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MyGithub\DesignHelper設計助手\template\template_for_Notice\"/>
    </mc:Choice>
  </mc:AlternateContent>
  <xr:revisionPtr revIDLastSave="0" documentId="13_ncr:1_{32CE8D75-64C5-4449-AE14-42F57562B3BE}" xr6:coauthVersionLast="36" xr6:coauthVersionMax="36" xr10:uidLastSave="{00000000-0000-0000-0000-000000000000}"/>
  <bookViews>
    <workbookView xWindow="0" yWindow="0" windowWidth="16200" windowHeight="11445" tabRatio="816" activeTab="6" xr2:uid="{00000000-000D-0000-FFFF-FFFF00000000}"/>
  </bookViews>
  <sheets>
    <sheet name="自主檢查表" sheetId="1023" r:id="rId1"/>
    <sheet name="試驗檢查表" sheetId="524" r:id="rId2"/>
    <sheet name="詳細表" sheetId="992" r:id="rId3"/>
    <sheet name="工項數量表" sheetId="1676" r:id="rId4"/>
    <sheet name="數量表" sheetId="1675" r:id="rId5"/>
    <sheet name="數量統計表" sheetId="1674" r:id="rId6"/>
    <sheet name="數量計算表" sheetId="1214" r:id="rId7"/>
    <sheet name="數量計算(設定)" sheetId="1062" state="hidden" r:id="rId8"/>
    <sheet name="數量計算" sheetId="1063" state="hidden" r:id="rId9"/>
    <sheet name="計算資料" sheetId="1061" state="hidden" r:id="rId10"/>
    <sheet name="自檢資料" sheetId="408" state="hidden" r:id="rId11"/>
    <sheet name="VBS程式碼編寫" sheetId="1127" state="hidden" r:id="rId12"/>
    <sheet name="合約" sheetId="193" r:id="rId13"/>
    <sheet name="參數" sheetId="1215" state="hidden" r:id="rId14"/>
    <sheet name="單價分析表" sheetId="581" r:id="rId15"/>
    <sheet name="合約 (中松)" sheetId="711" state="hidden" r:id="rId16"/>
    <sheet name="合約 (士大)" sheetId="885" state="hidden" r:id="rId17"/>
    <sheet name="合約 (北投)" sheetId="712" state="hidden" r:id="rId18"/>
    <sheet name="合約 (北搶)" sheetId="728" state="hidden" r:id="rId19"/>
    <sheet name="新增合約 (一)" sheetId="1172" state="hidden" r:id="rId20"/>
    <sheet name="新增合約 (二)" sheetId="1203" state="hidden" r:id="rId21"/>
    <sheet name="單價分析表 (中松)" sheetId="1121" state="hidden" r:id="rId22"/>
    <sheet name="單價分析表 (士大)" sheetId="1120" state="hidden" r:id="rId23"/>
    <sheet name="單價分析表 (北投)" sheetId="1642" state="hidden" r:id="rId24"/>
    <sheet name="單價分析表 (北搶)" sheetId="1119" state="hidden" r:id="rId25"/>
    <sheet name="工作表1" sheetId="1655" state="hidden" r:id="rId26"/>
    <sheet name="開立原則" sheetId="1129" state="hidden" r:id="rId27"/>
  </sheets>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s>
  <definedNames>
    <definedName name="_xlnm._FilterDatabase" localSheetId="8" hidden="1">數量計算!#REF!</definedName>
    <definedName name="a" localSheetId="23">#REF!</definedName>
    <definedName name="a">#REF!</definedName>
    <definedName name="ACxiu" localSheetId="22">EVALUATE([1]數量計算!$N$124)</definedName>
    <definedName name="ACxiu" localSheetId="23">EVALUATE([1]數量計算!$N$124)</definedName>
    <definedName name="ACxiu" localSheetId="24">EVALUATE([1]數量計算!$N$124)</definedName>
    <definedName name="ACxiu">EVALUATE([1]數量計算!$N$124)</definedName>
    <definedName name="bb" localSheetId="23">#REF!</definedName>
    <definedName name="bb">#REF!</definedName>
    <definedName name="cal" localSheetId="16">ROUND(EVALUATE(#REF!),2)</definedName>
    <definedName name="cal" localSheetId="0">ROUND(EVALUATE(#REF!),2)</definedName>
    <definedName name="cal" localSheetId="21">ROUND(EVALUATE(#REF!),2)</definedName>
    <definedName name="cal" localSheetId="23">ROUND(EVALUATE(#REF!),2)</definedName>
    <definedName name="cal" localSheetId="19">ROUND(EVALUATE(#REF!),2)</definedName>
    <definedName name="cal" localSheetId="20">ROUND(EVALUATE(#REF!),2)</definedName>
    <definedName name="cal" localSheetId="8">ROUND(EVALUATE(#REF!),2)</definedName>
    <definedName name="cal">ROUND(EVALUATE(#REF!),2)</definedName>
    <definedName name="cc" localSheetId="13">EVALUATE(數量計算表!XEX2)</definedName>
    <definedName name="cc" localSheetId="22">EVALUATE([2]數量計算表!XEX2)</definedName>
    <definedName name="cc" localSheetId="23">EVALUATE([2]數量計算表!XEX2)</definedName>
    <definedName name="cc" localSheetId="24">EVALUATE([2]數量計算表!XEX2)</definedName>
    <definedName name="cc" localSheetId="2">EVALUATE([3]數量計算表!XEX2)</definedName>
    <definedName name="cc" localSheetId="8">EVALUATE(數量計算!#REF!)</definedName>
    <definedName name="cc" localSheetId="6">EVALUATE(數量計算表!XEX2)</definedName>
    <definedName name="cc">EVALUATE(#REF!)</definedName>
    <definedName name="k" localSheetId="16">[4]數量統計表!#REF!</definedName>
    <definedName name="k" localSheetId="15">[4]數量統計表!#REF!</definedName>
    <definedName name="k" localSheetId="17">[4]數量統計表!#REF!</definedName>
    <definedName name="k" localSheetId="18">[4]數量統計表!#REF!</definedName>
    <definedName name="k" localSheetId="0">[4]數量統計表!#REF!</definedName>
    <definedName name="k" localSheetId="21">[4]數量統計表!#REF!</definedName>
    <definedName name="k" localSheetId="23">[4]數量統計表!#REF!</definedName>
    <definedName name="k" localSheetId="19">[4]數量統計表!#REF!</definedName>
    <definedName name="k" localSheetId="20">[4]數量統計表!#REF!</definedName>
    <definedName name="k" localSheetId="8">[4]數量統計表!#REF!</definedName>
    <definedName name="k">[4]數量統計表!#REF!</definedName>
    <definedName name="kk" localSheetId="13">EVALUATE(#REF!)</definedName>
    <definedName name="kk" localSheetId="6">EVALUATE(#REF!)</definedName>
    <definedName name="kk">EVALUATE(數量計算!XEX2)</definedName>
    <definedName name="L" localSheetId="16">[5]數量統計表!#REF!</definedName>
    <definedName name="L" localSheetId="15">[5]數量統計表!#REF!</definedName>
    <definedName name="L" localSheetId="17">[5]數量統計表!#REF!</definedName>
    <definedName name="L" localSheetId="18">[5]數量統計表!#REF!</definedName>
    <definedName name="L" localSheetId="0">[5]數量統計表!#REF!</definedName>
    <definedName name="L" localSheetId="21">[5]數量統計表!#REF!</definedName>
    <definedName name="L" localSheetId="23">[5]數量統計表!#REF!</definedName>
    <definedName name="L" localSheetId="19">[5]數量統計表!#REF!</definedName>
    <definedName name="L" localSheetId="20">[5]數量統計表!#REF!</definedName>
    <definedName name="L" localSheetId="2">[6]數量統計表!#REF!</definedName>
    <definedName name="L" localSheetId="8">[5]數量統計表!#REF!</definedName>
    <definedName name="L">[5]數量統計表!#REF!</definedName>
    <definedName name="_xlnm.Print_Area" localSheetId="17">'合約 (北投)'!$A$1:$I$548</definedName>
    <definedName name="_xlnm.Print_Area" localSheetId="23">#REF!</definedName>
    <definedName name="_xlnm.Print_Area" localSheetId="2">詳細表!$A$1:$H$47</definedName>
    <definedName name="_xlnm.Print_Area" localSheetId="8">數量計算!$A$1:$K$279</definedName>
    <definedName name="_xlnm.Print_Area" localSheetId="6">數量計算表!$A$1:$K$112</definedName>
    <definedName name="_xlnm.Print_Area">#REF!</definedName>
    <definedName name="PRINT_AREA_MI" localSheetId="23">#REF!</definedName>
    <definedName name="PRINT_AREA_MI" localSheetId="2">#REF!</definedName>
    <definedName name="PRINT_AREA_MI">#REF!</definedName>
    <definedName name="_xlnm.Print_Titles" localSheetId="3">工項數量表!$1:$1</definedName>
    <definedName name="_xlnm.Print_Titles" localSheetId="12">合約!$1:$4</definedName>
    <definedName name="_xlnm.Print_Titles" localSheetId="16">'合約 (士大)'!$1:$4</definedName>
    <definedName name="_xlnm.Print_Titles" localSheetId="15">'合約 (中松)'!$1:$4</definedName>
    <definedName name="_xlnm.Print_Titles" localSheetId="17">'合約 (北投)'!$1:$4</definedName>
    <definedName name="_xlnm.Print_Titles" localSheetId="18">'合約 (北搶)'!$1:$4</definedName>
    <definedName name="_xlnm.Print_Titles" localSheetId="14">單價分析表!$1:$6</definedName>
    <definedName name="_xlnm.Print_Titles" localSheetId="22">'單價分析表 (士大)'!$1:$6</definedName>
    <definedName name="_xlnm.Print_Titles" localSheetId="21">'單價分析表 (中松)'!$1:$6</definedName>
    <definedName name="_xlnm.Print_Titles" localSheetId="23">'單價分析表 (北投)'!$1:$6</definedName>
    <definedName name="_xlnm.Print_Titles" localSheetId="24">'單價分析表 (北搶)'!$1:$6</definedName>
    <definedName name="_xlnm.Print_Titles" localSheetId="19">'新增合約 (一)'!$1:$4</definedName>
    <definedName name="_xlnm.Print_Titles" localSheetId="20">'新增合約 (二)'!$1:$4</definedName>
    <definedName name="_xlnm.Print_Titles" localSheetId="4">數量表!$1:$1</definedName>
    <definedName name="_xlnm.Print_Titles" localSheetId="8">#REF!</definedName>
    <definedName name="_xlnm.Print_Titles">#REF!</definedName>
    <definedName name="Z_D6D419E4_7E82_4F2A_ABE1_D66BF32E6976_.wvu.PrintArea" localSheetId="2" hidden="1">詳細表!$A$1:$H$3</definedName>
    <definedName name="合約" localSheetId="12">'[7]詳細價目表 '!$A$6:$E$310</definedName>
    <definedName name="合約" localSheetId="16">'[7]詳細價目表 '!$A$6:$E$310</definedName>
    <definedName name="合約" localSheetId="15">'[7]詳細價目表 '!$A$6:$E$310</definedName>
    <definedName name="合約" localSheetId="17">'[7]詳細價目表 '!$A$6:$E$310</definedName>
    <definedName name="合約" localSheetId="18">'[7]詳細價目表 '!$A$6:$E$310</definedName>
    <definedName name="合約" localSheetId="22">'[8]詳細價目表 '!$A$6:$E$310</definedName>
    <definedName name="合約" localSheetId="23">'[8]詳細價目表 '!$A$6:$E$310</definedName>
    <definedName name="合約" localSheetId="24">'[8]詳細價目表 '!$A$6:$E$310</definedName>
    <definedName name="合約" localSheetId="19">'[7]詳細價目表 '!$A$6:$E$310</definedName>
    <definedName name="合約" localSheetId="20">'[7]詳細價目表 '!$A$6:$E$310</definedName>
    <definedName name="合約" localSheetId="2">'[9]詳細價目表 '!$A$6:$E$310</definedName>
    <definedName name="合約">'[7]詳細價目表 '!$A$6:$E$310</definedName>
    <definedName name="號數13" localSheetId="16">[10]單價分析表!#REF!</definedName>
    <definedName name="號數13" localSheetId="15">[10]單價分析表!#REF!</definedName>
    <definedName name="號數13" localSheetId="17">[10]單價分析表!#REF!</definedName>
    <definedName name="號數13" localSheetId="18">[10]單價分析表!#REF!</definedName>
    <definedName name="號數13" localSheetId="0">[10]單價分析表!#REF!</definedName>
    <definedName name="號數13" localSheetId="21">[10]單價分析表!#REF!</definedName>
    <definedName name="號數13" localSheetId="23">[10]單價分析表!#REF!</definedName>
    <definedName name="號數13" localSheetId="19">[10]單價分析表!#REF!</definedName>
    <definedName name="號數13" localSheetId="20">[10]單價分析表!#REF!</definedName>
    <definedName name="號數13" localSheetId="8">[10]單價分析表!#REF!</definedName>
    <definedName name="號數13">[10]單價分析表!#REF!</definedName>
    <definedName name="號數15" localSheetId="16">[10]單價分析表!#REF!</definedName>
    <definedName name="號數15" localSheetId="15">[10]單價分析表!#REF!</definedName>
    <definedName name="號數15" localSheetId="17">[10]單價分析表!#REF!</definedName>
    <definedName name="號數15" localSheetId="18">[10]單價分析表!#REF!</definedName>
    <definedName name="號數15" localSheetId="0">[10]單價分析表!#REF!</definedName>
    <definedName name="號數15" localSheetId="21">[10]單價分析表!#REF!</definedName>
    <definedName name="號數15" localSheetId="23">[10]單價分析表!#REF!</definedName>
    <definedName name="號數15" localSheetId="19">[10]單價分析表!#REF!</definedName>
    <definedName name="號數15" localSheetId="20">[10]單價分析表!#REF!</definedName>
    <definedName name="號數15" localSheetId="8">[10]單價分析表!#REF!</definedName>
    <definedName name="號數15">[10]單價分析表!#REF!</definedName>
    <definedName name="號數16" localSheetId="16">[10]單價分析表!#REF!</definedName>
    <definedName name="號數16" localSheetId="15">[10]單價分析表!#REF!</definedName>
    <definedName name="號數16" localSheetId="17">[10]單價分析表!#REF!</definedName>
    <definedName name="號數16" localSheetId="18">[10]單價分析表!#REF!</definedName>
    <definedName name="號數16" localSheetId="0">[10]單價分析表!#REF!</definedName>
    <definedName name="號數16" localSheetId="21">[10]單價分析表!#REF!</definedName>
    <definedName name="號數16" localSheetId="23">[10]單價分析表!#REF!</definedName>
    <definedName name="號數16" localSheetId="19">[10]單價分析表!#REF!</definedName>
    <definedName name="號數16" localSheetId="20">[10]單價分析表!#REF!</definedName>
    <definedName name="號數16" localSheetId="8">[10]單價分析表!#REF!</definedName>
    <definedName name="號數16">[10]單價分析表!#REF!</definedName>
    <definedName name="號數17" localSheetId="16">[11]單價分析表!#REF!</definedName>
    <definedName name="號數17" localSheetId="15">[11]單價分析表!#REF!</definedName>
    <definedName name="號數17" localSheetId="17">[11]單價分析表!#REF!</definedName>
    <definedName name="號數17" localSheetId="18">[11]單價分析表!#REF!</definedName>
    <definedName name="號數17" localSheetId="0">[11]單價分析表!#REF!</definedName>
    <definedName name="號數17" localSheetId="21">[11]單價分析表!#REF!</definedName>
    <definedName name="號數17" localSheetId="23">[11]單價分析表!#REF!</definedName>
    <definedName name="號數17" localSheetId="19">[11]單價分析表!#REF!</definedName>
    <definedName name="號數17" localSheetId="20">[11]單價分析表!#REF!</definedName>
    <definedName name="號數17" localSheetId="8">[11]單價分析表!#REF!</definedName>
    <definedName name="號數17">[11]單價分析表!#REF!</definedName>
    <definedName name="號數21" localSheetId="16">[11]單價分析表!#REF!</definedName>
    <definedName name="號數21" localSheetId="15">[11]單價分析表!#REF!</definedName>
    <definedName name="號數21" localSheetId="17">[11]單價分析表!#REF!</definedName>
    <definedName name="號數21" localSheetId="18">[11]單價分析表!#REF!</definedName>
    <definedName name="號數21" localSheetId="0">[11]單價分析表!#REF!</definedName>
    <definedName name="號數21" localSheetId="21">[11]單價分析表!#REF!</definedName>
    <definedName name="號數21" localSheetId="23">[11]單價分析表!#REF!</definedName>
    <definedName name="號數21" localSheetId="19">[11]單價分析表!#REF!</definedName>
    <definedName name="號數21" localSheetId="20">[11]單價分析表!#REF!</definedName>
    <definedName name="號數21" localSheetId="8">[11]單價分析表!#REF!</definedName>
    <definedName name="號數21">[11]單價分析表!#REF!</definedName>
    <definedName name="號數22" localSheetId="16">[12]單價分析表!#REF!</definedName>
    <definedName name="號數22" localSheetId="15">[12]單價分析表!#REF!</definedName>
    <definedName name="號數22" localSheetId="17">[12]單價分析表!#REF!</definedName>
    <definedName name="號數22" localSheetId="18">[12]單價分析表!#REF!</definedName>
    <definedName name="號數22" localSheetId="0">[12]單價分析表!#REF!</definedName>
    <definedName name="號數22" localSheetId="21">[12]單價分析表!#REF!</definedName>
    <definedName name="號數22" localSheetId="23">[12]單價分析表!#REF!</definedName>
    <definedName name="號數22" localSheetId="19">[12]單價分析表!#REF!</definedName>
    <definedName name="號數22" localSheetId="20">[12]單價分析表!#REF!</definedName>
    <definedName name="號數22" localSheetId="2">[13]單價分析表!#REF!</definedName>
    <definedName name="號數22" localSheetId="8">[12]單價分析表!#REF!</definedName>
    <definedName name="號數22">[12]單價分析表!#REF!</definedName>
    <definedName name="號數23" localSheetId="16">[12]單價分析表!#REF!</definedName>
    <definedName name="號數23" localSheetId="15">[12]單價分析表!#REF!</definedName>
    <definedName name="號數23" localSheetId="17">[12]單價分析表!#REF!</definedName>
    <definedName name="號數23" localSheetId="18">[12]單價分析表!#REF!</definedName>
    <definedName name="號數23" localSheetId="0">[12]單價分析表!#REF!</definedName>
    <definedName name="號數23" localSheetId="21">[12]單價分析表!#REF!</definedName>
    <definedName name="號數23" localSheetId="23">[12]單價分析表!#REF!</definedName>
    <definedName name="號數23" localSheetId="19">[12]單價分析表!#REF!</definedName>
    <definedName name="號數23" localSheetId="20">[12]單價分析表!#REF!</definedName>
    <definedName name="號數23" localSheetId="2">[13]單價分析表!#REF!</definedName>
    <definedName name="號數23" localSheetId="8">[12]單價分析表!#REF!</definedName>
    <definedName name="號數23">[12]單價分析表!#REF!</definedName>
    <definedName name="號數24" localSheetId="16">[12]單價分析表!#REF!</definedName>
    <definedName name="號數24" localSheetId="15">[12]單價分析表!#REF!</definedName>
    <definedName name="號數24" localSheetId="17">[12]單價分析表!#REF!</definedName>
    <definedName name="號數24" localSheetId="18">[12]單價分析表!#REF!</definedName>
    <definedName name="號數24" localSheetId="0">[12]單價分析表!#REF!</definedName>
    <definedName name="號數24" localSheetId="21">[12]單價分析表!#REF!</definedName>
    <definedName name="號數24" localSheetId="23">[12]單價分析表!#REF!</definedName>
    <definedName name="號數24" localSheetId="19">[12]單價分析表!#REF!</definedName>
    <definedName name="號數24" localSheetId="20">[12]單價分析表!#REF!</definedName>
    <definedName name="號數24" localSheetId="2">[13]單價分析表!#REF!</definedName>
    <definedName name="號數24" localSheetId="8">[12]單價分析表!#REF!</definedName>
    <definedName name="號數24">[12]單價分析表!#REF!</definedName>
    <definedName name="號數25" localSheetId="16">[12]單價分析表!#REF!</definedName>
    <definedName name="號數25" localSheetId="15">[12]單價分析表!#REF!</definedName>
    <definedName name="號數25" localSheetId="17">[12]單價分析表!#REF!</definedName>
    <definedName name="號數25" localSheetId="18">[12]單價分析表!#REF!</definedName>
    <definedName name="號數25" localSheetId="0">[12]單價分析表!#REF!</definedName>
    <definedName name="號數25" localSheetId="21">[12]單價分析表!#REF!</definedName>
    <definedName name="號數25" localSheetId="23">[12]單價分析表!#REF!</definedName>
    <definedName name="號數25" localSheetId="19">[12]單價分析表!#REF!</definedName>
    <definedName name="號數25" localSheetId="20">[12]單價分析表!#REF!</definedName>
    <definedName name="號數25" localSheetId="2">[13]單價分析表!#REF!</definedName>
    <definedName name="號數25" localSheetId="8">[12]單價分析表!#REF!</definedName>
    <definedName name="號數25">[12]單價分析表!#REF!</definedName>
    <definedName name="號數26" localSheetId="16">[12]單價分析表!#REF!</definedName>
    <definedName name="號數26" localSheetId="15">[12]單價分析表!#REF!</definedName>
    <definedName name="號數26" localSheetId="17">[12]單價分析表!#REF!</definedName>
    <definedName name="號數26" localSheetId="18">[12]單價分析表!#REF!</definedName>
    <definedName name="號數26" localSheetId="0">[12]單價分析表!#REF!</definedName>
    <definedName name="號數26" localSheetId="21">[12]單價分析表!#REF!</definedName>
    <definedName name="號數26" localSheetId="23">[12]單價分析表!#REF!</definedName>
    <definedName name="號數26" localSheetId="19">[12]單價分析表!#REF!</definedName>
    <definedName name="號數26" localSheetId="20">[12]單價分析表!#REF!</definedName>
    <definedName name="號數26" localSheetId="2">[13]單價分析表!#REF!</definedName>
    <definedName name="號數26" localSheetId="8">[12]單價分析表!#REF!</definedName>
    <definedName name="號數26">[12]單價分析表!#REF!</definedName>
    <definedName name="號數27" localSheetId="16">[10]單價分析表!#REF!</definedName>
    <definedName name="號數27" localSheetId="15">[10]單價分析表!#REF!</definedName>
    <definedName name="號數27" localSheetId="17">[10]單價分析表!#REF!</definedName>
    <definedName name="號數27" localSheetId="18">[10]單價分析表!#REF!</definedName>
    <definedName name="號數27" localSheetId="0">[10]單價分析表!#REF!</definedName>
    <definedName name="號數27" localSheetId="21">[10]單價分析表!#REF!</definedName>
    <definedName name="號數27" localSheetId="23">[10]單價分析表!#REF!</definedName>
    <definedName name="號數27" localSheetId="19">[10]單價分析表!#REF!</definedName>
    <definedName name="號數27" localSheetId="20">[10]單價分析表!#REF!</definedName>
    <definedName name="號數27" localSheetId="8">[10]單價分析表!#REF!</definedName>
    <definedName name="號數27">[10]單價分析表!#REF!</definedName>
    <definedName name="號數30" localSheetId="16">[12]單價分析表!#REF!</definedName>
    <definedName name="號數30" localSheetId="15">[12]單價分析表!#REF!</definedName>
    <definedName name="號數30" localSheetId="17">[12]單價分析表!#REF!</definedName>
    <definedName name="號數30" localSheetId="18">[12]單價分析表!#REF!</definedName>
    <definedName name="號數30" localSheetId="0">[12]單價分析表!#REF!</definedName>
    <definedName name="號數30" localSheetId="21">[12]單價分析表!#REF!</definedName>
    <definedName name="號數30" localSheetId="23">[12]單價分析表!#REF!</definedName>
    <definedName name="號數30" localSheetId="19">[12]單價分析表!#REF!</definedName>
    <definedName name="號數30" localSheetId="20">[12]單價分析表!#REF!</definedName>
    <definedName name="號數30" localSheetId="2">[13]單價分析表!#REF!</definedName>
    <definedName name="號數30" localSheetId="8">[12]單價分析表!#REF!</definedName>
    <definedName name="號數30">[12]單價分析表!#REF!</definedName>
    <definedName name="號數33" localSheetId="16">[12]單價分析表!#REF!</definedName>
    <definedName name="號數33" localSheetId="15">[12]單價分析表!#REF!</definedName>
    <definedName name="號數33" localSheetId="17">[12]單價分析表!#REF!</definedName>
    <definedName name="號數33" localSheetId="18">[12]單價分析表!#REF!</definedName>
    <definedName name="號數33" localSheetId="0">[12]單價分析表!#REF!</definedName>
    <definedName name="號數33" localSheetId="21">[12]單價分析表!#REF!</definedName>
    <definedName name="號數33" localSheetId="23">[12]單價分析表!#REF!</definedName>
    <definedName name="號數33" localSheetId="19">[12]單價分析表!#REF!</definedName>
    <definedName name="號數33" localSheetId="20">[12]單價分析表!#REF!</definedName>
    <definedName name="號數33" localSheetId="2">[13]單價分析表!#REF!</definedName>
    <definedName name="號數33" localSheetId="8">[12]單價分析表!#REF!</definedName>
    <definedName name="號數33">[12]單價分析表!#REF!</definedName>
    <definedName name="號數36" localSheetId="16">[12]單價分析表!#REF!</definedName>
    <definedName name="號數36" localSheetId="15">[12]單價分析表!#REF!</definedName>
    <definedName name="號數36" localSheetId="17">[12]單價分析表!#REF!</definedName>
    <definedName name="號數36" localSheetId="18">[12]單價分析表!#REF!</definedName>
    <definedName name="號數36" localSheetId="0">[12]單價分析表!#REF!</definedName>
    <definedName name="號數36" localSheetId="21">[12]單價分析表!#REF!</definedName>
    <definedName name="號數36" localSheetId="23">[12]單價分析表!#REF!</definedName>
    <definedName name="號數36" localSheetId="19">[12]單價分析表!#REF!</definedName>
    <definedName name="號數36" localSheetId="20">[12]單價分析表!#REF!</definedName>
    <definedName name="號數36" localSheetId="2">[13]單價分析表!#REF!</definedName>
    <definedName name="號數36" localSheetId="8">[12]單價分析表!#REF!</definedName>
    <definedName name="號數36">[12]單價分析表!#REF!</definedName>
    <definedName name="號數4" localSheetId="16">[12]單價分析表!#REF!</definedName>
    <definedName name="號數4" localSheetId="15">[12]單價分析表!#REF!</definedName>
    <definedName name="號數4" localSheetId="17">[12]單價分析表!#REF!</definedName>
    <definedName name="號數4" localSheetId="18">[12]單價分析表!#REF!</definedName>
    <definedName name="號數4" localSheetId="0">[12]單價分析表!#REF!</definedName>
    <definedName name="號數4" localSheetId="21">[12]單價分析表!#REF!</definedName>
    <definedName name="號數4" localSheetId="23">[12]單價分析表!#REF!</definedName>
    <definedName name="號數4" localSheetId="19">[12]單價分析表!#REF!</definedName>
    <definedName name="號數4" localSheetId="20">[12]單價分析表!#REF!</definedName>
    <definedName name="號數4" localSheetId="2">[13]單價分析表!#REF!</definedName>
    <definedName name="號數4" localSheetId="8">[12]單價分析表!#REF!</definedName>
    <definedName name="號數4">[12]單價分析表!#REF!</definedName>
    <definedName name="號數46" localSheetId="16">[14]單價分析表!#REF!</definedName>
    <definedName name="號數46" localSheetId="15">[14]單價分析表!#REF!</definedName>
    <definedName name="號數46" localSheetId="17">[14]單價分析表!#REF!</definedName>
    <definedName name="號數46" localSheetId="18">[14]單價分析表!#REF!</definedName>
    <definedName name="號數46" localSheetId="0">[14]單價分析表!#REF!</definedName>
    <definedName name="號數46" localSheetId="21">[14]單價分析表!#REF!</definedName>
    <definedName name="號數46" localSheetId="23">[14]單價分析表!#REF!</definedName>
    <definedName name="號數46" localSheetId="19">[14]單價分析表!#REF!</definedName>
    <definedName name="號數46" localSheetId="20">[14]單價分析表!#REF!</definedName>
    <definedName name="號數46" localSheetId="2">[15]單價分析表!#REF!</definedName>
    <definedName name="號數46" localSheetId="8">[14]單價分析表!#REF!</definedName>
    <definedName name="號數46">[14]單價分析表!#REF!</definedName>
    <definedName name="號數47" localSheetId="16">[11]單價分析表!#REF!</definedName>
    <definedName name="號數47" localSheetId="15">[11]單價分析表!#REF!</definedName>
    <definedName name="號數47" localSheetId="17">[11]單價分析表!#REF!</definedName>
    <definedName name="號數47" localSheetId="18">[11]單價分析表!#REF!</definedName>
    <definedName name="號數47" localSheetId="0">[11]單價分析表!#REF!</definedName>
    <definedName name="號數47" localSheetId="21">[11]單價分析表!#REF!</definedName>
    <definedName name="號數47" localSheetId="23">[11]單價分析表!#REF!</definedName>
    <definedName name="號數47" localSheetId="19">[11]單價分析表!#REF!</definedName>
    <definedName name="號數47" localSheetId="20">[11]單價分析表!#REF!</definedName>
    <definedName name="號數47" localSheetId="8">[11]單價分析表!#REF!</definedName>
    <definedName name="號數47">[11]單價分析表!#REF!</definedName>
    <definedName name="號數48" localSheetId="16">[14]單價分析表!#REF!</definedName>
    <definedName name="號數48" localSheetId="15">[14]單價分析表!#REF!</definedName>
    <definedName name="號數48" localSheetId="17">[14]單價分析表!#REF!</definedName>
    <definedName name="號數48" localSheetId="18">[14]單價分析表!#REF!</definedName>
    <definedName name="號數48" localSheetId="0">[14]單價分析表!#REF!</definedName>
    <definedName name="號數48" localSheetId="21">[14]單價分析表!#REF!</definedName>
    <definedName name="號數48" localSheetId="23">[14]單價分析表!#REF!</definedName>
    <definedName name="號數48" localSheetId="19">[14]單價分析表!#REF!</definedName>
    <definedName name="號數48" localSheetId="20">[14]單價分析表!#REF!</definedName>
    <definedName name="號數48" localSheetId="2">[15]單價分析表!#REF!</definedName>
    <definedName name="號數48" localSheetId="8">[14]單價分析表!#REF!</definedName>
    <definedName name="號數48">[14]單價分析表!#REF!</definedName>
    <definedName name="號數49" localSheetId="16">[11]單價分析表!#REF!</definedName>
    <definedName name="號數49" localSheetId="15">[11]單價分析表!#REF!</definedName>
    <definedName name="號數49" localSheetId="17">[11]單價分析表!#REF!</definedName>
    <definedName name="號數49" localSheetId="18">[11]單價分析表!#REF!</definedName>
    <definedName name="號數49" localSheetId="0">[11]單價分析表!#REF!</definedName>
    <definedName name="號數49" localSheetId="21">[11]單價分析表!#REF!</definedName>
    <definedName name="號數49" localSheetId="23">[11]單價分析表!#REF!</definedName>
    <definedName name="號數49" localSheetId="19">[11]單價分析表!#REF!</definedName>
    <definedName name="號數49" localSheetId="20">[11]單價分析表!#REF!</definedName>
    <definedName name="號數49" localSheetId="8">[11]單價分析表!#REF!</definedName>
    <definedName name="號數49">[11]單價分析表!#REF!</definedName>
    <definedName name="號數5" localSheetId="16">[11]單價分析表!#REF!</definedName>
    <definedName name="號數5" localSheetId="15">[11]單價分析表!#REF!</definedName>
    <definedName name="號數5" localSheetId="17">[11]單價分析表!#REF!</definedName>
    <definedName name="號數5" localSheetId="18">[11]單價分析表!#REF!</definedName>
    <definedName name="號數5" localSheetId="0">[11]單價分析表!#REF!</definedName>
    <definedName name="號數5" localSheetId="21">[11]單價分析表!#REF!</definedName>
    <definedName name="號數5" localSheetId="23">[11]單價分析表!#REF!</definedName>
    <definedName name="號數5" localSheetId="19">[11]單價分析表!#REF!</definedName>
    <definedName name="號數5" localSheetId="20">[11]單價分析表!#REF!</definedName>
    <definedName name="號數5" localSheetId="8">[11]單價分析表!#REF!</definedName>
    <definedName name="號數5">[11]單價分析表!#REF!</definedName>
    <definedName name="號數50" localSheetId="16">[14]單價分析表!#REF!</definedName>
    <definedName name="號數50" localSheetId="15">[14]單價分析表!#REF!</definedName>
    <definedName name="號數50" localSheetId="17">[14]單價分析表!#REF!</definedName>
    <definedName name="號數50" localSheetId="18">[14]單價分析表!#REF!</definedName>
    <definedName name="號數50" localSheetId="0">[14]單價分析表!#REF!</definedName>
    <definedName name="號數50" localSheetId="21">[14]單價分析表!#REF!</definedName>
    <definedName name="號數50" localSheetId="23">[14]單價分析表!#REF!</definedName>
    <definedName name="號數50" localSheetId="19">[14]單價分析表!#REF!</definedName>
    <definedName name="號數50" localSheetId="20">[14]單價分析表!#REF!</definedName>
    <definedName name="號數50" localSheetId="2">[15]單價分析表!#REF!</definedName>
    <definedName name="號數50" localSheetId="8">[14]單價分析表!#REF!</definedName>
    <definedName name="號數50">[14]單價分析表!#REF!</definedName>
    <definedName name="號數51" localSheetId="16">[14]單價分析表!#REF!</definedName>
    <definedName name="號數51" localSheetId="15">[14]單價分析表!#REF!</definedName>
    <definedName name="號數51" localSheetId="17">[14]單價分析表!#REF!</definedName>
    <definedName name="號數51" localSheetId="18">[14]單價分析表!#REF!</definedName>
    <definedName name="號數51" localSheetId="0">[14]單價分析表!#REF!</definedName>
    <definedName name="號數51" localSheetId="21">[14]單價分析表!#REF!</definedName>
    <definedName name="號數51" localSheetId="23">[14]單價分析表!#REF!</definedName>
    <definedName name="號數51" localSheetId="19">[14]單價分析表!#REF!</definedName>
    <definedName name="號數51" localSheetId="20">[14]單價分析表!#REF!</definedName>
    <definedName name="號數51" localSheetId="2">[15]單價分析表!#REF!</definedName>
    <definedName name="號數51" localSheetId="8">[14]單價分析表!#REF!</definedName>
    <definedName name="號數51">[14]單價分析表!#REF!</definedName>
    <definedName name="號數52" localSheetId="16">[14]單價分析表!#REF!</definedName>
    <definedName name="號數52" localSheetId="15">[14]單價分析表!#REF!</definedName>
    <definedName name="號數52" localSheetId="17">[14]單價分析表!#REF!</definedName>
    <definedName name="號數52" localSheetId="18">[14]單價分析表!#REF!</definedName>
    <definedName name="號數52" localSheetId="0">[14]單價分析表!#REF!</definedName>
    <definedName name="號數52" localSheetId="21">[14]單價分析表!#REF!</definedName>
    <definedName name="號數52" localSheetId="23">[14]單價分析表!#REF!</definedName>
    <definedName name="號數52" localSheetId="19">[14]單價分析表!#REF!</definedName>
    <definedName name="號數52" localSheetId="20">[14]單價分析表!#REF!</definedName>
    <definedName name="號數52" localSheetId="2">[15]單價分析表!#REF!</definedName>
    <definedName name="號數52" localSheetId="8">[14]單價分析表!#REF!</definedName>
    <definedName name="號數52">[14]單價分析表!#REF!</definedName>
    <definedName name="號數53" localSheetId="16">[14]單價分析表!#REF!</definedName>
    <definedName name="號數53" localSheetId="15">[14]單價分析表!#REF!</definedName>
    <definedName name="號數53" localSheetId="17">[14]單價分析表!#REF!</definedName>
    <definedName name="號數53" localSheetId="18">[14]單價分析表!#REF!</definedName>
    <definedName name="號數53" localSheetId="0">[14]單價分析表!#REF!</definedName>
    <definedName name="號數53" localSheetId="21">[14]單價分析表!#REF!</definedName>
    <definedName name="號數53" localSheetId="23">[14]單價分析表!#REF!</definedName>
    <definedName name="號數53" localSheetId="19">[14]單價分析表!#REF!</definedName>
    <definedName name="號數53" localSheetId="20">[14]單價分析表!#REF!</definedName>
    <definedName name="號數53" localSheetId="2">[15]單價分析表!#REF!</definedName>
    <definedName name="號數53" localSheetId="8">[14]單價分析表!#REF!</definedName>
    <definedName name="號數53">[14]單價分析表!#REF!</definedName>
  </definedNames>
  <calcPr calcId="191029"/>
</workbook>
</file>

<file path=xl/calcChain.xml><?xml version="1.0" encoding="utf-8"?>
<calcChain xmlns="http://schemas.openxmlformats.org/spreadsheetml/2006/main">
  <c r="H544" i="193" l="1"/>
  <c r="H543" i="193"/>
  <c r="H542" i="193"/>
  <c r="H541" i="193"/>
  <c r="H513" i="193"/>
  <c r="H512" i="193"/>
  <c r="H511" i="193"/>
  <c r="H510" i="193"/>
  <c r="H509" i="193"/>
  <c r="H508" i="193"/>
  <c r="H507" i="193"/>
  <c r="H506" i="193"/>
  <c r="H505" i="193"/>
  <c r="H504" i="193"/>
  <c r="H503" i="193"/>
  <c r="H502" i="193"/>
  <c r="H501" i="193"/>
  <c r="H500" i="193"/>
  <c r="H499" i="193"/>
  <c r="H498" i="193"/>
  <c r="H497" i="193"/>
  <c r="H496" i="193"/>
  <c r="J495" i="193"/>
  <c r="H495" i="193"/>
  <c r="J494" i="193"/>
  <c r="H494" i="193"/>
  <c r="J493" i="193"/>
  <c r="H493" i="193"/>
  <c r="J492" i="193"/>
  <c r="H492" i="193"/>
  <c r="J491" i="193"/>
  <c r="H491" i="193"/>
  <c r="J490" i="193"/>
  <c r="H490" i="193"/>
  <c r="J489" i="193"/>
  <c r="H489" i="193"/>
  <c r="J488" i="193"/>
  <c r="H488" i="193"/>
  <c r="J487" i="193"/>
  <c r="H487" i="193"/>
  <c r="J486" i="193"/>
  <c r="H486" i="193"/>
  <c r="J485" i="193"/>
  <c r="H485" i="193"/>
  <c r="J484" i="193"/>
  <c r="H484" i="193"/>
  <c r="J483" i="193"/>
  <c r="H483" i="193"/>
  <c r="J482" i="193"/>
  <c r="H482" i="193"/>
  <c r="J481" i="193"/>
  <c r="H481" i="193"/>
  <c r="J480" i="193"/>
  <c r="H480" i="193"/>
  <c r="J479" i="193"/>
  <c r="H479" i="193"/>
  <c r="J478" i="193"/>
  <c r="H478" i="193"/>
  <c r="J477" i="193"/>
  <c r="H477" i="193"/>
  <c r="J476" i="193"/>
  <c r="H476" i="193"/>
  <c r="J475" i="193"/>
  <c r="H475" i="193"/>
  <c r="J474" i="193"/>
  <c r="H474" i="193"/>
  <c r="J473" i="193"/>
  <c r="H473" i="193"/>
  <c r="J472" i="193"/>
  <c r="H472" i="193"/>
  <c r="J471" i="193"/>
  <c r="H471" i="193"/>
  <c r="J470" i="193"/>
  <c r="H470" i="193"/>
  <c r="J469" i="193"/>
  <c r="H469" i="193"/>
  <c r="J468" i="193"/>
  <c r="H468" i="193"/>
  <c r="J467" i="193"/>
  <c r="H467" i="193"/>
  <c r="J466" i="193"/>
  <c r="H466" i="193"/>
  <c r="J465" i="193"/>
  <c r="H465" i="193"/>
  <c r="J464" i="193"/>
  <c r="H464" i="193"/>
  <c r="J463" i="193"/>
  <c r="H463" i="193"/>
  <c r="J462" i="193"/>
  <c r="H462" i="193"/>
  <c r="J461" i="193"/>
  <c r="H461" i="193"/>
  <c r="J460" i="193"/>
  <c r="H460" i="193"/>
  <c r="J459" i="193"/>
  <c r="H459" i="193"/>
  <c r="J458" i="193"/>
  <c r="H458" i="193"/>
  <c r="J457" i="193"/>
  <c r="H457" i="193"/>
  <c r="J456" i="193"/>
  <c r="H456" i="193"/>
  <c r="J455" i="193"/>
  <c r="H455" i="193"/>
  <c r="J454" i="193"/>
  <c r="H454" i="193"/>
  <c r="J453" i="193"/>
  <c r="H453" i="193"/>
  <c r="J452" i="193"/>
  <c r="H452" i="193"/>
  <c r="J451" i="193"/>
  <c r="H451" i="193"/>
  <c r="J450" i="193"/>
  <c r="H450" i="193"/>
  <c r="J449" i="193"/>
  <c r="H449" i="193"/>
  <c r="J448" i="193"/>
  <c r="H448" i="193"/>
  <c r="J447" i="193"/>
  <c r="H447" i="193"/>
  <c r="J446" i="193"/>
  <c r="H446" i="193"/>
  <c r="J445" i="193"/>
  <c r="H445" i="193"/>
  <c r="J444" i="193"/>
  <c r="H444" i="193"/>
  <c r="J443" i="193"/>
  <c r="H443" i="193"/>
  <c r="J442" i="193"/>
  <c r="H442" i="193"/>
  <c r="J441" i="193"/>
  <c r="H441" i="193"/>
  <c r="J440" i="193"/>
  <c r="H440" i="193"/>
  <c r="J439" i="193"/>
  <c r="H439" i="193"/>
  <c r="J438" i="193"/>
  <c r="H438" i="193"/>
  <c r="J437" i="193"/>
  <c r="H437" i="193"/>
  <c r="J436" i="193"/>
  <c r="H436" i="193"/>
  <c r="J435" i="193"/>
  <c r="H435" i="193"/>
  <c r="J434" i="193"/>
  <c r="H434" i="193"/>
  <c r="J433" i="193"/>
  <c r="H433" i="193"/>
  <c r="J432" i="193"/>
  <c r="H432" i="193"/>
  <c r="J431" i="193"/>
  <c r="H431" i="193"/>
  <c r="J430" i="193"/>
  <c r="H430" i="193"/>
  <c r="J429" i="193"/>
  <c r="H429" i="193"/>
  <c r="J428" i="193"/>
  <c r="H428" i="193"/>
  <c r="J427" i="193"/>
  <c r="H427" i="193"/>
  <c r="J426" i="193"/>
  <c r="H426" i="193"/>
  <c r="J425" i="193"/>
  <c r="H425" i="193"/>
  <c r="J424" i="193"/>
  <c r="H424" i="193"/>
  <c r="J423" i="193"/>
  <c r="H423" i="193"/>
  <c r="J422" i="193"/>
  <c r="H422" i="193"/>
  <c r="J421" i="193"/>
  <c r="H421" i="193"/>
  <c r="J420" i="193"/>
  <c r="H420" i="193"/>
  <c r="J419" i="193"/>
  <c r="H419" i="193"/>
  <c r="J418" i="193"/>
  <c r="H418" i="193"/>
  <c r="J417" i="193"/>
  <c r="H417" i="193"/>
  <c r="J416" i="193"/>
  <c r="H416" i="193"/>
  <c r="J415" i="193"/>
  <c r="H415" i="193"/>
  <c r="J414" i="193"/>
  <c r="H414" i="193"/>
  <c r="J413" i="193"/>
  <c r="H413" i="193"/>
  <c r="J412" i="193"/>
  <c r="H412" i="193"/>
  <c r="J411" i="193"/>
  <c r="H411" i="193"/>
  <c r="J410" i="193"/>
  <c r="H410" i="193"/>
  <c r="J409" i="193"/>
  <c r="H409" i="193"/>
  <c r="J408" i="193"/>
  <c r="H408" i="193"/>
  <c r="J407" i="193"/>
  <c r="H407" i="193"/>
  <c r="J406" i="193"/>
  <c r="H406" i="193"/>
  <c r="J405" i="193"/>
  <c r="H405" i="193"/>
  <c r="J404" i="193"/>
  <c r="H404" i="193"/>
  <c r="J403" i="193"/>
  <c r="H403" i="193"/>
  <c r="J402" i="193"/>
  <c r="H402" i="193"/>
  <c r="J401" i="193"/>
  <c r="H401" i="193"/>
  <c r="J400" i="193"/>
  <c r="H400" i="193"/>
  <c r="J399" i="193"/>
  <c r="H399" i="193"/>
  <c r="J398" i="193"/>
  <c r="H398" i="193"/>
  <c r="J397" i="193"/>
  <c r="H397" i="193"/>
  <c r="J396" i="193"/>
  <c r="H396" i="193"/>
  <c r="J395" i="193"/>
  <c r="H395" i="193"/>
  <c r="J394" i="193"/>
  <c r="H394" i="193"/>
  <c r="J393" i="193"/>
  <c r="H393" i="193"/>
  <c r="J392" i="193"/>
  <c r="H392" i="193"/>
  <c r="J391" i="193"/>
  <c r="H391" i="193"/>
  <c r="J390" i="193"/>
  <c r="H390" i="193"/>
  <c r="J389" i="193"/>
  <c r="H389" i="193"/>
  <c r="J388" i="193"/>
  <c r="H388" i="193"/>
  <c r="J387" i="193"/>
  <c r="H387" i="193"/>
  <c r="J386" i="193"/>
  <c r="H386" i="193"/>
  <c r="J385" i="193"/>
  <c r="H385" i="193"/>
  <c r="J384" i="193"/>
  <c r="H384" i="193"/>
  <c r="J383" i="193"/>
  <c r="H383" i="193"/>
  <c r="J382" i="193"/>
  <c r="H382" i="193"/>
  <c r="J381" i="193"/>
  <c r="H381" i="193"/>
  <c r="J380" i="193"/>
  <c r="H380" i="193"/>
  <c r="J379" i="193"/>
  <c r="H379" i="193"/>
  <c r="J378" i="193"/>
  <c r="H378" i="193"/>
  <c r="J377" i="193"/>
  <c r="H377" i="193"/>
  <c r="J376" i="193"/>
  <c r="H376" i="193"/>
  <c r="J375" i="193"/>
  <c r="H375" i="193"/>
  <c r="J374" i="193"/>
  <c r="H374" i="193"/>
  <c r="J373" i="193"/>
  <c r="H373" i="193"/>
  <c r="J372" i="193"/>
  <c r="H372" i="193"/>
  <c r="J371" i="193"/>
  <c r="H371" i="193"/>
  <c r="J370" i="193"/>
  <c r="H370" i="193"/>
  <c r="J369" i="193"/>
  <c r="H369" i="193"/>
  <c r="J368" i="193"/>
  <c r="H368" i="193"/>
  <c r="J367" i="193"/>
  <c r="H367" i="193"/>
  <c r="J366" i="193"/>
  <c r="H366" i="193"/>
  <c r="J365" i="193"/>
  <c r="H365" i="193"/>
  <c r="J364" i="193"/>
  <c r="H364" i="193"/>
  <c r="J363" i="193"/>
  <c r="H363" i="193"/>
  <c r="J362" i="193"/>
  <c r="H362" i="193"/>
  <c r="J361" i="193"/>
  <c r="H361" i="193"/>
  <c r="J360" i="193"/>
  <c r="H360" i="193"/>
  <c r="J359" i="193"/>
  <c r="H359" i="193"/>
  <c r="J358" i="193"/>
  <c r="H358" i="193"/>
  <c r="J357" i="193"/>
  <c r="H357" i="193"/>
  <c r="J356" i="193"/>
  <c r="H356" i="193"/>
  <c r="J355" i="193"/>
  <c r="H355" i="193"/>
  <c r="J354" i="193"/>
  <c r="H354" i="193"/>
  <c r="J353" i="193"/>
  <c r="H353" i="193"/>
  <c r="J352" i="193"/>
  <c r="H352" i="193"/>
  <c r="J351" i="193"/>
  <c r="H351" i="193"/>
  <c r="J350" i="193"/>
  <c r="H350" i="193"/>
  <c r="J349" i="193"/>
  <c r="H349" i="193"/>
  <c r="J348" i="193"/>
  <c r="H348" i="193"/>
  <c r="J347" i="193"/>
  <c r="H347" i="193"/>
  <c r="J346" i="193"/>
  <c r="H346" i="193"/>
  <c r="J345" i="193"/>
  <c r="H345" i="193"/>
  <c r="J344" i="193"/>
  <c r="H344" i="193"/>
  <c r="J343" i="193"/>
  <c r="H343" i="193"/>
  <c r="J342" i="193"/>
  <c r="H342" i="193"/>
  <c r="J341" i="193"/>
  <c r="H341" i="193"/>
  <c r="J340" i="193"/>
  <c r="H340" i="193"/>
  <c r="J339" i="193"/>
  <c r="H339" i="193"/>
  <c r="J338" i="193"/>
  <c r="H338" i="193"/>
  <c r="J337" i="193"/>
  <c r="H337" i="193"/>
  <c r="J336" i="193"/>
  <c r="H336" i="193"/>
  <c r="J335" i="193"/>
  <c r="H335" i="193"/>
  <c r="J334" i="193"/>
  <c r="H334" i="193"/>
  <c r="J333" i="193"/>
  <c r="H333" i="193"/>
  <c r="J332" i="193"/>
  <c r="H332" i="193"/>
  <c r="J331" i="193"/>
  <c r="H331" i="193"/>
  <c r="J330" i="193"/>
  <c r="H330" i="193"/>
  <c r="J329" i="193"/>
  <c r="H329" i="193"/>
  <c r="J328" i="193"/>
  <c r="H328" i="193"/>
  <c r="J327" i="193"/>
  <c r="H327" i="193"/>
  <c r="J326" i="193"/>
  <c r="H326" i="193"/>
  <c r="J325" i="193"/>
  <c r="H325" i="193"/>
  <c r="J324" i="193"/>
  <c r="H324" i="193"/>
  <c r="J323" i="193"/>
  <c r="H323" i="193"/>
  <c r="J322" i="193"/>
  <c r="H322" i="193"/>
  <c r="J321" i="193"/>
  <c r="H321" i="193"/>
  <c r="J320" i="193"/>
  <c r="H320" i="193"/>
  <c r="J319" i="193"/>
  <c r="H319" i="193"/>
  <c r="J318" i="193"/>
  <c r="H318" i="193"/>
  <c r="J317" i="193"/>
  <c r="H317" i="193"/>
  <c r="J316" i="193"/>
  <c r="H316" i="193"/>
  <c r="J315" i="193"/>
  <c r="H315" i="193"/>
  <c r="J314" i="193"/>
  <c r="H314" i="193"/>
  <c r="J313" i="193"/>
  <c r="H313" i="193"/>
  <c r="J312" i="193"/>
  <c r="H312" i="193"/>
  <c r="J311" i="193"/>
  <c r="H311" i="193"/>
  <c r="J310" i="193"/>
  <c r="H310" i="193"/>
  <c r="J309" i="193"/>
  <c r="H309" i="193"/>
  <c r="J308" i="193"/>
  <c r="H308" i="193"/>
  <c r="J307" i="193"/>
  <c r="H307" i="193"/>
  <c r="J306" i="193"/>
  <c r="H306" i="193"/>
  <c r="J305" i="193"/>
  <c r="H305" i="193"/>
  <c r="J304" i="193"/>
  <c r="H304" i="193"/>
  <c r="J303" i="193"/>
  <c r="H303" i="193"/>
  <c r="J302" i="193"/>
  <c r="H302" i="193"/>
  <c r="J301" i="193"/>
  <c r="H301" i="193"/>
  <c r="J300" i="193"/>
  <c r="H300" i="193"/>
  <c r="J299" i="193"/>
  <c r="H299" i="193"/>
  <c r="J298" i="193"/>
  <c r="H298" i="193"/>
  <c r="J297" i="193"/>
  <c r="H297" i="193"/>
  <c r="J296" i="193"/>
  <c r="H296" i="193"/>
  <c r="J295" i="193"/>
  <c r="H295" i="193"/>
  <c r="J294" i="193"/>
  <c r="H294" i="193"/>
  <c r="J293" i="193"/>
  <c r="H293" i="193"/>
  <c r="J292" i="193"/>
  <c r="H292" i="193"/>
  <c r="J291" i="193"/>
  <c r="H291" i="193"/>
  <c r="J290" i="193"/>
  <c r="H290" i="193"/>
  <c r="J289" i="193"/>
  <c r="H289" i="193"/>
  <c r="J288" i="193"/>
  <c r="H288" i="193"/>
  <c r="J287" i="193"/>
  <c r="H287" i="193"/>
  <c r="J286" i="193"/>
  <c r="H286" i="193"/>
  <c r="J285" i="193"/>
  <c r="H285" i="193"/>
  <c r="J284" i="193"/>
  <c r="H284" i="193"/>
  <c r="J283" i="193"/>
  <c r="H283" i="193"/>
  <c r="J282" i="193"/>
  <c r="H282" i="193"/>
  <c r="J281" i="193"/>
  <c r="H281" i="193"/>
  <c r="J280" i="193"/>
  <c r="H280" i="193"/>
  <c r="J279" i="193"/>
  <c r="H279" i="193"/>
  <c r="J278" i="193"/>
  <c r="H278" i="193"/>
  <c r="J277" i="193"/>
  <c r="H277" i="193"/>
  <c r="J276" i="193"/>
  <c r="H276" i="193"/>
  <c r="J275" i="193"/>
  <c r="H275" i="193"/>
  <c r="J274" i="193"/>
  <c r="H274" i="193"/>
  <c r="J273" i="193"/>
  <c r="H273" i="193"/>
  <c r="J272" i="193"/>
  <c r="H272" i="193"/>
  <c r="J271" i="193"/>
  <c r="H271" i="193"/>
  <c r="J270" i="193"/>
  <c r="H270" i="193"/>
  <c r="J269" i="193"/>
  <c r="H269" i="193"/>
  <c r="J268" i="193"/>
  <c r="H268" i="193"/>
  <c r="J267" i="193"/>
  <c r="H267" i="193"/>
  <c r="J266" i="193"/>
  <c r="H266" i="193"/>
  <c r="J265" i="193"/>
  <c r="H265" i="193"/>
  <c r="J264" i="193"/>
  <c r="H264" i="193"/>
  <c r="J263" i="193"/>
  <c r="H263" i="193"/>
  <c r="J262" i="193"/>
  <c r="H262" i="193"/>
  <c r="J261" i="193"/>
  <c r="H261" i="193"/>
  <c r="J260" i="193"/>
  <c r="H260" i="193"/>
  <c r="J259" i="193"/>
  <c r="H259" i="193"/>
  <c r="J258" i="193"/>
  <c r="H258" i="193"/>
  <c r="J257" i="193"/>
  <c r="H257" i="193"/>
  <c r="J256" i="193"/>
  <c r="H256" i="193"/>
  <c r="J255" i="193"/>
  <c r="H255" i="193"/>
  <c r="J254" i="193"/>
  <c r="H254" i="193"/>
  <c r="J253" i="193"/>
  <c r="H253" i="193"/>
  <c r="J252" i="193"/>
  <c r="H252" i="193"/>
  <c r="J251" i="193"/>
  <c r="H251" i="193"/>
  <c r="J250" i="193"/>
  <c r="H250" i="193"/>
  <c r="J249" i="193"/>
  <c r="H249" i="193"/>
  <c r="J248" i="193"/>
  <c r="H248" i="193"/>
  <c r="J247" i="193"/>
  <c r="H247" i="193"/>
  <c r="J246" i="193"/>
  <c r="H246" i="193"/>
  <c r="J245" i="193"/>
  <c r="H245" i="193"/>
  <c r="J244" i="193"/>
  <c r="H244" i="193"/>
  <c r="J243" i="193"/>
  <c r="H243" i="193"/>
  <c r="J242" i="193"/>
  <c r="H242" i="193"/>
  <c r="J241" i="193"/>
  <c r="H241" i="193"/>
  <c r="J240" i="193"/>
  <c r="H240" i="193"/>
  <c r="J239" i="193"/>
  <c r="H239" i="193"/>
  <c r="J238" i="193"/>
  <c r="H238" i="193"/>
  <c r="J237" i="193"/>
  <c r="H237" i="193"/>
  <c r="J236" i="193"/>
  <c r="H236" i="193"/>
  <c r="J235" i="193"/>
  <c r="H235" i="193"/>
  <c r="J234" i="193"/>
  <c r="H234" i="193"/>
  <c r="J233" i="193"/>
  <c r="H233" i="193"/>
  <c r="J232" i="193"/>
  <c r="H232" i="193"/>
  <c r="J231" i="193"/>
  <c r="H231" i="193"/>
  <c r="J230" i="193"/>
  <c r="H230" i="193"/>
  <c r="J229" i="193"/>
  <c r="H229" i="193"/>
  <c r="J228" i="193"/>
  <c r="H228" i="193"/>
  <c r="J227" i="193"/>
  <c r="H227" i="193"/>
  <c r="J226" i="193"/>
  <c r="H226" i="193"/>
  <c r="J225" i="193"/>
  <c r="H225" i="193"/>
  <c r="J224" i="193"/>
  <c r="H224" i="193"/>
  <c r="J223" i="193"/>
  <c r="H223" i="193"/>
  <c r="J222" i="193"/>
  <c r="H222" i="193"/>
  <c r="J221" i="193"/>
  <c r="H221" i="193"/>
  <c r="J220" i="193"/>
  <c r="H220" i="193"/>
  <c r="J219" i="193"/>
  <c r="H219" i="193"/>
  <c r="J218" i="193"/>
  <c r="H218" i="193"/>
  <c r="J217" i="193"/>
  <c r="H217" i="193"/>
  <c r="J216" i="193"/>
  <c r="H216" i="193"/>
  <c r="J215" i="193"/>
  <c r="H215" i="193"/>
  <c r="J214" i="193"/>
  <c r="H214" i="193"/>
  <c r="J213" i="193"/>
  <c r="H213" i="193"/>
  <c r="J212" i="193"/>
  <c r="H212" i="193"/>
  <c r="J211" i="193"/>
  <c r="H211" i="193"/>
  <c r="J210" i="193"/>
  <c r="H210" i="193"/>
  <c r="J209" i="193"/>
  <c r="H209" i="193"/>
  <c r="J208" i="193"/>
  <c r="H208" i="193"/>
  <c r="J207" i="193"/>
  <c r="H207" i="193"/>
  <c r="J206" i="193"/>
  <c r="H206" i="193"/>
  <c r="J205" i="193"/>
  <c r="H205" i="193"/>
  <c r="J204" i="193"/>
  <c r="H204" i="193"/>
  <c r="J203" i="193"/>
  <c r="H203" i="193"/>
  <c r="J202" i="193"/>
  <c r="H202" i="193"/>
  <c r="J201" i="193"/>
  <c r="H201" i="193"/>
  <c r="J200" i="193"/>
  <c r="H200" i="193"/>
  <c r="J199" i="193"/>
  <c r="H199" i="193"/>
  <c r="J198" i="193"/>
  <c r="H198" i="193"/>
  <c r="J197" i="193"/>
  <c r="H197" i="193"/>
  <c r="J196" i="193"/>
  <c r="H196" i="193"/>
  <c r="J195" i="193"/>
  <c r="H195" i="193"/>
  <c r="J194" i="193"/>
  <c r="H194" i="193"/>
  <c r="J193" i="193"/>
  <c r="H193" i="193"/>
  <c r="J192" i="193"/>
  <c r="H192" i="193"/>
  <c r="J191" i="193"/>
  <c r="H191" i="193"/>
  <c r="J190" i="193"/>
  <c r="H190" i="193"/>
  <c r="J189" i="193"/>
  <c r="H189" i="193"/>
  <c r="J188" i="193"/>
  <c r="H188" i="193"/>
  <c r="J187" i="193"/>
  <c r="H187" i="193"/>
  <c r="J186" i="193"/>
  <c r="H186" i="193"/>
  <c r="J185" i="193"/>
  <c r="H185" i="193"/>
  <c r="J184" i="193"/>
  <c r="H184" i="193"/>
  <c r="J183" i="193"/>
  <c r="H183" i="193"/>
  <c r="J182" i="193"/>
  <c r="H182" i="193"/>
  <c r="J181" i="193"/>
  <c r="H181" i="193"/>
  <c r="J180" i="193"/>
  <c r="H180" i="193"/>
  <c r="J179" i="193"/>
  <c r="H179" i="193"/>
  <c r="J178" i="193"/>
  <c r="H178" i="193"/>
  <c r="J177" i="193"/>
  <c r="H177" i="193"/>
  <c r="J176" i="193"/>
  <c r="H176" i="193"/>
  <c r="J175" i="193"/>
  <c r="H175" i="193"/>
  <c r="J174" i="193"/>
  <c r="H174" i="193"/>
  <c r="J173" i="193"/>
  <c r="H173" i="193"/>
  <c r="J172" i="193"/>
  <c r="H172" i="193"/>
  <c r="J171" i="193"/>
  <c r="H171" i="193"/>
  <c r="J170" i="193"/>
  <c r="H170" i="193"/>
  <c r="J169" i="193"/>
  <c r="H169" i="193"/>
  <c r="J168" i="193"/>
  <c r="H168" i="193"/>
  <c r="J167" i="193"/>
  <c r="H167" i="193"/>
  <c r="J166" i="193"/>
  <c r="H166" i="193"/>
  <c r="J165" i="193"/>
  <c r="H165" i="193"/>
  <c r="J164" i="193"/>
  <c r="H164" i="193"/>
  <c r="J163" i="193"/>
  <c r="H163" i="193"/>
  <c r="J162" i="193"/>
  <c r="H162" i="193"/>
  <c r="J161" i="193"/>
  <c r="H161" i="193"/>
  <c r="J160" i="193"/>
  <c r="H160" i="193"/>
  <c r="J159" i="193"/>
  <c r="H159" i="193"/>
  <c r="J158" i="193"/>
  <c r="H158" i="193"/>
  <c r="J157" i="193"/>
  <c r="H157" i="193"/>
  <c r="J156" i="193"/>
  <c r="H156" i="193"/>
  <c r="J155" i="193"/>
  <c r="H155" i="193"/>
  <c r="J154" i="193"/>
  <c r="H154" i="193"/>
  <c r="J153" i="193"/>
  <c r="H153" i="193"/>
  <c r="J152" i="193"/>
  <c r="H152" i="193"/>
  <c r="J151" i="193"/>
  <c r="H151" i="193"/>
  <c r="J150" i="193"/>
  <c r="H150" i="193"/>
  <c r="J149" i="193"/>
  <c r="H149" i="193"/>
  <c r="J148" i="193"/>
  <c r="H148" i="193"/>
  <c r="J147" i="193"/>
  <c r="H147" i="193"/>
  <c r="J146" i="193"/>
  <c r="H146" i="193"/>
  <c r="J145" i="193"/>
  <c r="H145" i="193"/>
  <c r="J144" i="193"/>
  <c r="H144" i="193"/>
  <c r="J143" i="193"/>
  <c r="H143" i="193"/>
  <c r="J142" i="193"/>
  <c r="H142" i="193"/>
  <c r="J141" i="193"/>
  <c r="H141" i="193"/>
  <c r="J140" i="193"/>
  <c r="H140" i="193"/>
  <c r="J139" i="193"/>
  <c r="H139" i="193"/>
  <c r="J138" i="193"/>
  <c r="H138" i="193"/>
  <c r="J137" i="193"/>
  <c r="H137" i="193"/>
  <c r="J136" i="193"/>
  <c r="H136" i="193"/>
  <c r="J135" i="193"/>
  <c r="H135" i="193"/>
  <c r="J134" i="193"/>
  <c r="H134" i="193"/>
  <c r="J133" i="193"/>
  <c r="H133" i="193"/>
  <c r="J132" i="193"/>
  <c r="H132" i="193"/>
  <c r="J131" i="193"/>
  <c r="H131" i="193"/>
  <c r="J130" i="193"/>
  <c r="H130" i="193"/>
  <c r="J129" i="193"/>
  <c r="H129" i="193"/>
  <c r="J128" i="193"/>
  <c r="H128" i="193"/>
  <c r="J127" i="193"/>
  <c r="H127" i="193"/>
  <c r="J126" i="193"/>
  <c r="H126" i="193"/>
  <c r="J125" i="193"/>
  <c r="H125" i="193"/>
  <c r="J124" i="193"/>
  <c r="H124" i="193"/>
  <c r="J123" i="193"/>
  <c r="H123" i="193"/>
  <c r="J122" i="193"/>
  <c r="H122" i="193"/>
  <c r="J121" i="193"/>
  <c r="H121" i="193"/>
  <c r="J120" i="193"/>
  <c r="H120" i="193"/>
  <c r="J119" i="193"/>
  <c r="H119" i="193"/>
  <c r="J118" i="193"/>
  <c r="H118" i="193"/>
  <c r="J117" i="193"/>
  <c r="H117" i="193"/>
  <c r="J116" i="193"/>
  <c r="H116" i="193"/>
  <c r="J115" i="193"/>
  <c r="H115" i="193"/>
  <c r="J114" i="193"/>
  <c r="H114" i="193"/>
  <c r="J113" i="193"/>
  <c r="H113" i="193"/>
  <c r="J112" i="193"/>
  <c r="H112" i="193"/>
  <c r="J111" i="193"/>
  <c r="H111" i="193"/>
  <c r="J110" i="193"/>
  <c r="H110" i="193"/>
  <c r="J109" i="193"/>
  <c r="H109" i="193"/>
  <c r="J108" i="193"/>
  <c r="H108" i="193"/>
  <c r="J107" i="193"/>
  <c r="H107" i="193"/>
  <c r="J106" i="193"/>
  <c r="H106" i="193"/>
  <c r="J105" i="193"/>
  <c r="H105" i="193"/>
  <c r="J104" i="193"/>
  <c r="H104" i="193"/>
  <c r="J103" i="193"/>
  <c r="H103" i="193"/>
  <c r="J102" i="193"/>
  <c r="H102" i="193"/>
  <c r="J101" i="193"/>
  <c r="H101" i="193"/>
  <c r="J100" i="193"/>
  <c r="H100" i="193"/>
  <c r="J99" i="193"/>
  <c r="H99" i="193"/>
  <c r="J98" i="193"/>
  <c r="H98" i="193"/>
  <c r="J97" i="193"/>
  <c r="H97" i="193"/>
  <c r="J96" i="193"/>
  <c r="H96" i="193"/>
  <c r="J95" i="193"/>
  <c r="H95" i="193"/>
  <c r="J94" i="193"/>
  <c r="H94" i="193"/>
  <c r="J93" i="193"/>
  <c r="H93" i="193"/>
  <c r="J92" i="193"/>
  <c r="H92" i="193"/>
  <c r="J91" i="193"/>
  <c r="H91" i="193"/>
  <c r="J90" i="193"/>
  <c r="H90" i="193"/>
  <c r="J89" i="193"/>
  <c r="H89" i="193"/>
  <c r="J88" i="193"/>
  <c r="H88" i="193"/>
  <c r="J87" i="193"/>
  <c r="H87" i="193"/>
  <c r="J86" i="193"/>
  <c r="H86" i="193"/>
  <c r="J85" i="193"/>
  <c r="H85" i="193"/>
  <c r="J84" i="193"/>
  <c r="H84" i="193"/>
  <c r="J83" i="193"/>
  <c r="H83" i="193"/>
  <c r="J82" i="193"/>
  <c r="H82" i="193"/>
  <c r="J81" i="193"/>
  <c r="H81" i="193"/>
  <c r="J80" i="193"/>
  <c r="H80" i="193"/>
  <c r="J79" i="193"/>
  <c r="H79" i="193"/>
  <c r="J78" i="193"/>
  <c r="H78" i="193"/>
  <c r="J77" i="193"/>
  <c r="H77" i="193"/>
  <c r="J76" i="193"/>
  <c r="H76" i="193"/>
  <c r="J75" i="193"/>
  <c r="H75" i="193"/>
  <c r="J74" i="193"/>
  <c r="H74" i="193"/>
  <c r="J73" i="193"/>
  <c r="H73" i="193"/>
  <c r="J72" i="193"/>
  <c r="H72" i="193"/>
  <c r="J71" i="193"/>
  <c r="H71" i="193"/>
  <c r="J70" i="193"/>
  <c r="H70" i="193"/>
  <c r="J69" i="193"/>
  <c r="H69" i="193"/>
  <c r="J68" i="193"/>
  <c r="H68" i="193"/>
  <c r="J67" i="193"/>
  <c r="H67" i="193"/>
  <c r="J66" i="193"/>
  <c r="H66" i="193"/>
  <c r="J65" i="193"/>
  <c r="H65" i="193"/>
  <c r="J64" i="193"/>
  <c r="H64" i="193"/>
  <c r="J63" i="193"/>
  <c r="H63" i="193"/>
  <c r="J62" i="193"/>
  <c r="H62" i="193"/>
  <c r="J61" i="193"/>
  <c r="H61" i="193"/>
  <c r="J60" i="193"/>
  <c r="H60" i="193"/>
  <c r="J59" i="193"/>
  <c r="H59" i="193"/>
  <c r="J58" i="193"/>
  <c r="H58" i="193"/>
  <c r="J57" i="193"/>
  <c r="H57" i="193"/>
  <c r="J56" i="193"/>
  <c r="H56" i="193"/>
  <c r="J55" i="193"/>
  <c r="H55" i="193"/>
  <c r="J54" i="193"/>
  <c r="H54" i="193"/>
  <c r="J53" i="193"/>
  <c r="H53" i="193"/>
  <c r="J52" i="193"/>
  <c r="H52" i="193"/>
  <c r="J51" i="193"/>
  <c r="H51" i="193"/>
  <c r="J50" i="193"/>
  <c r="H50" i="193"/>
  <c r="J49" i="193"/>
  <c r="H49" i="193"/>
  <c r="J48" i="193"/>
  <c r="H48" i="193"/>
  <c r="J47" i="193"/>
  <c r="H47" i="193"/>
  <c r="J46" i="193"/>
  <c r="H46" i="193"/>
  <c r="J45" i="193"/>
  <c r="H45" i="193"/>
  <c r="J44" i="193"/>
  <c r="H44" i="193"/>
  <c r="J43" i="193"/>
  <c r="H43" i="193"/>
  <c r="J42" i="193"/>
  <c r="H42" i="193"/>
  <c r="J41" i="193"/>
  <c r="H41" i="193"/>
  <c r="J40" i="193"/>
  <c r="H40" i="193"/>
  <c r="J39" i="193"/>
  <c r="H39" i="193"/>
  <c r="J38" i="193"/>
  <c r="H38" i="193"/>
  <c r="J37" i="193"/>
  <c r="H37" i="193"/>
  <c r="J36" i="193"/>
  <c r="H36" i="193"/>
  <c r="J35" i="193"/>
  <c r="H35" i="193"/>
  <c r="J34" i="193"/>
  <c r="H34" i="193"/>
  <c r="J33" i="193"/>
  <c r="H33" i="193"/>
  <c r="J32" i="193"/>
  <c r="H32" i="193"/>
  <c r="J31" i="193"/>
  <c r="H31" i="193"/>
  <c r="J30" i="193"/>
  <c r="H30" i="193"/>
  <c r="J29" i="193"/>
  <c r="H29" i="193"/>
  <c r="J28" i="193"/>
  <c r="H28" i="193"/>
  <c r="J27" i="193"/>
  <c r="H27" i="193"/>
  <c r="J26" i="193"/>
  <c r="H26" i="193"/>
  <c r="J25" i="193"/>
  <c r="H25" i="193"/>
  <c r="J24" i="193"/>
  <c r="H24" i="193"/>
  <c r="J23" i="193"/>
  <c r="H23" i="193"/>
  <c r="J22" i="193"/>
  <c r="H22" i="193"/>
  <c r="J21" i="193"/>
  <c r="H21" i="193"/>
  <c r="J20" i="193"/>
  <c r="H20" i="193"/>
  <c r="J19" i="193"/>
  <c r="H19" i="193"/>
  <c r="J18" i="193"/>
  <c r="H18" i="193"/>
  <c r="J17" i="193"/>
  <c r="H17" i="193"/>
  <c r="J16" i="193"/>
  <c r="H16" i="193"/>
  <c r="J15" i="193"/>
  <c r="H15" i="193"/>
  <c r="J14" i="193"/>
  <c r="H14" i="193"/>
  <c r="J13" i="193"/>
  <c r="H13" i="193"/>
  <c r="J12" i="193"/>
  <c r="H12" i="193"/>
  <c r="J11" i="193"/>
  <c r="H11" i="193"/>
  <c r="J10" i="193"/>
  <c r="H10" i="193"/>
  <c r="J9" i="193"/>
  <c r="H9" i="193"/>
  <c r="J8" i="193"/>
  <c r="J7" i="193"/>
  <c r="J6" i="193"/>
  <c r="J5" i="193"/>
  <c r="J4" i="193"/>
  <c r="J3" i="193"/>
  <c r="J2" i="193"/>
  <c r="J1" i="193"/>
  <c r="O20" i="1214" l="1"/>
  <c r="M109" i="1214" l="1"/>
  <c r="K109" i="1214"/>
  <c r="B109" i="1214"/>
  <c r="M107" i="1214"/>
  <c r="K107" i="1214"/>
  <c r="M105" i="1214"/>
  <c r="K105" i="1214"/>
  <c r="M103" i="1214"/>
  <c r="K103" i="1214"/>
  <c r="M101" i="1214"/>
  <c r="K101" i="1214"/>
  <c r="M99" i="1214"/>
  <c r="K99" i="1214"/>
  <c r="B99" i="1214"/>
  <c r="M97" i="1214"/>
  <c r="K97" i="1214"/>
  <c r="M95" i="1214"/>
  <c r="K95" i="1214"/>
  <c r="M93" i="1214"/>
  <c r="K93" i="1214"/>
  <c r="M91" i="1214"/>
  <c r="K91" i="1214"/>
  <c r="M89" i="1214"/>
  <c r="K89" i="1214"/>
  <c r="B89" i="1214"/>
  <c r="M87" i="1214"/>
  <c r="K87" i="1214"/>
  <c r="M85" i="1214"/>
  <c r="K85" i="1214"/>
  <c r="M83" i="1214"/>
  <c r="K83" i="1214"/>
  <c r="M81" i="1214"/>
  <c r="K81" i="1214"/>
  <c r="M79" i="1214"/>
  <c r="K79" i="1214"/>
  <c r="M77" i="1214"/>
  <c r="K77" i="1214"/>
  <c r="B77" i="1214"/>
  <c r="M75" i="1214"/>
  <c r="K75" i="1214"/>
  <c r="M73" i="1214"/>
  <c r="K73" i="1214"/>
  <c r="M71" i="1214"/>
  <c r="K71" i="1214"/>
  <c r="M69" i="1214"/>
  <c r="K69" i="1214"/>
  <c r="M67" i="1214"/>
  <c r="K67" i="1214"/>
  <c r="M65" i="1214"/>
  <c r="K65" i="1214"/>
  <c r="B65" i="1214"/>
  <c r="M63" i="1214"/>
  <c r="K63" i="1214"/>
  <c r="M61" i="1214"/>
  <c r="K61" i="1214"/>
  <c r="M59" i="1214"/>
  <c r="K59" i="1214"/>
  <c r="M57" i="1214"/>
  <c r="K57" i="1214"/>
  <c r="M55" i="1214"/>
  <c r="K55" i="1214"/>
  <c r="M53" i="1214"/>
  <c r="K53" i="1214"/>
  <c r="B53" i="1214"/>
  <c r="J107" i="1214"/>
  <c r="J95" i="1214"/>
  <c r="J79" i="1214"/>
  <c r="J89" i="1214"/>
  <c r="J75" i="1214"/>
  <c r="J85" i="1214"/>
  <c r="J57" i="1214"/>
  <c r="J53" i="1214"/>
  <c r="J101" i="1214"/>
  <c r="J69" i="1214"/>
  <c r="J61" i="1214"/>
  <c r="J73" i="1214"/>
  <c r="J67" i="1214"/>
  <c r="J97" i="1214"/>
  <c r="J71" i="1214"/>
  <c r="J81" i="1214"/>
  <c r="J65" i="1214"/>
  <c r="J91" i="1214"/>
  <c r="J105" i="1214"/>
  <c r="J99" i="1214"/>
  <c r="J103" i="1214"/>
  <c r="J63" i="1214"/>
  <c r="J93" i="1214"/>
  <c r="J83" i="1214"/>
  <c r="J109" i="1214"/>
  <c r="J87" i="1214"/>
  <c r="J77" i="1214"/>
  <c r="J55" i="1214"/>
  <c r="J59" i="1214"/>
  <c r="L105" i="1214" l="1"/>
  <c r="N105" i="1214" s="1"/>
  <c r="L103" i="1214"/>
  <c r="N103" i="1214" s="1"/>
  <c r="L109" i="1214"/>
  <c r="N109" i="1214" s="1"/>
  <c r="L107" i="1214"/>
  <c r="N107" i="1214" s="1"/>
  <c r="L101" i="1214"/>
  <c r="N101" i="1214" s="1"/>
  <c r="L95" i="1214"/>
  <c r="N95" i="1214" s="1"/>
  <c r="L93" i="1214"/>
  <c r="N93" i="1214" s="1"/>
  <c r="L99" i="1214"/>
  <c r="N99" i="1214" s="1"/>
  <c r="L97" i="1214"/>
  <c r="N97" i="1214" s="1"/>
  <c r="L91" i="1214"/>
  <c r="N91" i="1214" s="1"/>
  <c r="L85" i="1214"/>
  <c r="N85" i="1214" s="1"/>
  <c r="L67" i="1214"/>
  <c r="N67" i="1214" s="1"/>
  <c r="L83" i="1214"/>
  <c r="N83" i="1214" s="1"/>
  <c r="L89" i="1214"/>
  <c r="N89" i="1214" s="1"/>
  <c r="L79" i="1214"/>
  <c r="N79" i="1214" s="1"/>
  <c r="L71" i="1214"/>
  <c r="N71" i="1214" s="1"/>
  <c r="L77" i="1214"/>
  <c r="N77" i="1214" s="1"/>
  <c r="L73" i="1214"/>
  <c r="N73" i="1214" s="1"/>
  <c r="L87" i="1214"/>
  <c r="N87" i="1214" s="1"/>
  <c r="L75" i="1214"/>
  <c r="N75" i="1214" s="1"/>
  <c r="L81" i="1214"/>
  <c r="N81" i="1214" s="1"/>
  <c r="L69" i="1214"/>
  <c r="N69" i="1214" s="1"/>
  <c r="L55" i="1214"/>
  <c r="N55" i="1214" s="1"/>
  <c r="L57" i="1214"/>
  <c r="N57" i="1214" s="1"/>
  <c r="L61" i="1214"/>
  <c r="N61" i="1214" s="1"/>
  <c r="L65" i="1214"/>
  <c r="N65" i="1214" s="1"/>
  <c r="L59" i="1214"/>
  <c r="N59" i="1214" s="1"/>
  <c r="L63" i="1214"/>
  <c r="N63" i="1214" s="1"/>
  <c r="L53" i="1214"/>
  <c r="N53" i="1214" s="1"/>
  <c r="M51" i="1214"/>
  <c r="K51" i="1214"/>
  <c r="M49" i="1214"/>
  <c r="K49" i="1214"/>
  <c r="M47" i="1214"/>
  <c r="K47" i="1214"/>
  <c r="M45" i="1214"/>
  <c r="K45" i="1214"/>
  <c r="M43" i="1214"/>
  <c r="K43" i="1214"/>
  <c r="J47" i="1214"/>
  <c r="J45" i="1214"/>
  <c r="J51" i="1214"/>
  <c r="J43" i="1214"/>
  <c r="J49" i="1214"/>
  <c r="L51" i="1214" l="1"/>
  <c r="N51" i="1214" s="1"/>
  <c r="L49" i="1214"/>
  <c r="N49" i="1214" s="1"/>
  <c r="L47" i="1214"/>
  <c r="N47" i="1214" s="1"/>
  <c r="L45" i="1214"/>
  <c r="N45" i="1214" s="1"/>
  <c r="L43" i="1214"/>
  <c r="N43" i="1214" s="1"/>
  <c r="O33" i="1214" s="1"/>
  <c r="B6" i="1676" l="1"/>
  <c r="G6" i="1676"/>
  <c r="B32" i="408"/>
  <c r="B31" i="408"/>
  <c r="B30" i="408"/>
  <c r="B29" i="408"/>
  <c r="B28" i="408"/>
  <c r="B27" i="408"/>
  <c r="B26" i="408"/>
  <c r="B25" i="408"/>
  <c r="B24" i="408"/>
  <c r="B23" i="408"/>
  <c r="B22" i="408"/>
  <c r="B21" i="408"/>
  <c r="B20" i="408"/>
  <c r="B19" i="408"/>
  <c r="B18" i="408"/>
  <c r="B17" i="408"/>
  <c r="B16" i="408"/>
  <c r="B15" i="408"/>
  <c r="B14" i="408"/>
  <c r="B13" i="408"/>
  <c r="B12" i="408"/>
  <c r="B11" i="408"/>
  <c r="B10" i="408"/>
  <c r="B9" i="408"/>
  <c r="B8" i="408"/>
  <c r="B7" i="408"/>
  <c r="B6" i="408"/>
  <c r="B5" i="408"/>
  <c r="B4" i="408"/>
  <c r="B3" i="408"/>
  <c r="B32" i="992"/>
  <c r="H32" i="992" s="1"/>
  <c r="B31" i="992"/>
  <c r="B30" i="992"/>
  <c r="F30" i="992" s="1"/>
  <c r="G30" i="408" s="1"/>
  <c r="B29" i="992"/>
  <c r="F29" i="992" s="1"/>
  <c r="G29" i="408" s="1"/>
  <c r="B28" i="992"/>
  <c r="C28" i="408" s="1"/>
  <c r="B27" i="992"/>
  <c r="B26" i="992"/>
  <c r="C26" i="408" s="1"/>
  <c r="B25" i="992"/>
  <c r="D25" i="992" s="1"/>
  <c r="E25" i="408" s="1"/>
  <c r="B24" i="992"/>
  <c r="C24" i="992" s="1"/>
  <c r="D24" i="408" s="1"/>
  <c r="B23" i="992"/>
  <c r="B22" i="992"/>
  <c r="F22" i="992" s="1"/>
  <c r="G22" i="408" s="1"/>
  <c r="B21" i="992"/>
  <c r="D21" i="992" s="1"/>
  <c r="E21" i="408" s="1"/>
  <c r="B20" i="992"/>
  <c r="C20" i="408" s="1"/>
  <c r="B19" i="992"/>
  <c r="F19" i="992" s="1"/>
  <c r="G19" i="408" s="1"/>
  <c r="B18" i="992"/>
  <c r="C18" i="408" s="1"/>
  <c r="B17" i="992"/>
  <c r="C17" i="992" s="1"/>
  <c r="D17" i="408" s="1"/>
  <c r="B16" i="992"/>
  <c r="C16" i="992" s="1"/>
  <c r="D16" i="408" s="1"/>
  <c r="B15" i="992"/>
  <c r="D15" i="992" s="1"/>
  <c r="E15" i="408" s="1"/>
  <c r="B14" i="992"/>
  <c r="F14" i="992" s="1"/>
  <c r="G14" i="408" s="1"/>
  <c r="B13" i="992"/>
  <c r="D13" i="992" s="1"/>
  <c r="E13" i="408" s="1"/>
  <c r="B12" i="992"/>
  <c r="C12" i="408" s="1"/>
  <c r="B11" i="992"/>
  <c r="H11" i="992" s="1"/>
  <c r="B10" i="992"/>
  <c r="C10" i="408" s="1"/>
  <c r="B9" i="992"/>
  <c r="C9" i="408" s="1"/>
  <c r="B8" i="992"/>
  <c r="C8" i="992" s="1"/>
  <c r="D8" i="408" s="1"/>
  <c r="B7" i="992"/>
  <c r="H7" i="992" s="1"/>
  <c r="B6" i="992"/>
  <c r="C6" i="992" s="1"/>
  <c r="D6" i="408" s="1"/>
  <c r="B5" i="992"/>
  <c r="H5" i="992" s="1"/>
  <c r="B4" i="992"/>
  <c r="C4" i="408" s="1"/>
  <c r="B3" i="992"/>
  <c r="C3" i="992" s="1"/>
  <c r="D3" i="408" s="1"/>
  <c r="H8" i="1676"/>
  <c r="G8" i="1676"/>
  <c r="B8" i="1676"/>
  <c r="H7" i="1676"/>
  <c r="G7" i="1676"/>
  <c r="B7" i="1676"/>
  <c r="H6" i="1676"/>
  <c r="H5" i="1676"/>
  <c r="G5" i="1676"/>
  <c r="B5" i="1676"/>
  <c r="H4" i="1676"/>
  <c r="G4" i="1676"/>
  <c r="B4" i="1676"/>
  <c r="H3" i="1676"/>
  <c r="G3" i="1676"/>
  <c r="B3" i="1676"/>
  <c r="H2" i="1676"/>
  <c r="G2" i="1676"/>
  <c r="B2" i="1676"/>
  <c r="L106" i="1674"/>
  <c r="L103" i="1674"/>
  <c r="I23" i="1675"/>
  <c r="L94" i="1674"/>
  <c r="L2" i="1674"/>
  <c r="L23" i="1674"/>
  <c r="L19" i="1674"/>
  <c r="L7" i="1674"/>
  <c r="I5" i="1675"/>
  <c r="L126" i="1674"/>
  <c r="L122" i="1674"/>
  <c r="L11" i="1674"/>
  <c r="L111" i="1674"/>
  <c r="I27" i="1675"/>
  <c r="I28" i="1675"/>
  <c r="I11" i="1675"/>
  <c r="L131" i="1674"/>
  <c r="L39" i="1674"/>
  <c r="I9" i="1675"/>
  <c r="L31" i="1674"/>
  <c r="O14" i="1214"/>
  <c r="L78" i="1674"/>
  <c r="L53" i="1674"/>
  <c r="L47" i="1674"/>
  <c r="L29" i="1674"/>
  <c r="I20" i="1675"/>
  <c r="L83" i="1674"/>
  <c r="L76" i="1674"/>
  <c r="L58" i="1674"/>
  <c r="L28" i="1674"/>
  <c r="I16" i="1675"/>
  <c r="I21" i="1675"/>
  <c r="L81" i="1674"/>
  <c r="L75" i="1674"/>
  <c r="L56" i="1674"/>
  <c r="L27" i="1674"/>
  <c r="L74" i="1674"/>
  <c r="I17" i="1675"/>
  <c r="L51" i="1674"/>
  <c r="L46" i="1674"/>
  <c r="L26" i="1674"/>
  <c r="F21" i="992" l="1"/>
  <c r="G21" i="408" s="1"/>
  <c r="C18" i="992"/>
  <c r="D18" i="408" s="1"/>
  <c r="H12" i="992"/>
  <c r="C20" i="992"/>
  <c r="D20" i="408" s="1"/>
  <c r="C28" i="992"/>
  <c r="D28" i="408" s="1"/>
  <c r="H25" i="992"/>
  <c r="C26" i="992"/>
  <c r="D26" i="408" s="1"/>
  <c r="F4" i="992"/>
  <c r="G4" i="408" s="1"/>
  <c r="F11" i="992"/>
  <c r="G11" i="408" s="1"/>
  <c r="D19" i="992"/>
  <c r="E19" i="408" s="1"/>
  <c r="F26" i="992"/>
  <c r="G26" i="408" s="1"/>
  <c r="H19" i="992"/>
  <c r="C12" i="992"/>
  <c r="D12" i="408" s="1"/>
  <c r="L3" i="1674"/>
  <c r="C4" i="992"/>
  <c r="D4" i="408" s="1"/>
  <c r="H20" i="992"/>
  <c r="L90" i="1674"/>
  <c r="I7" i="1675"/>
  <c r="H4" i="992"/>
  <c r="F18" i="992"/>
  <c r="G18" i="408" s="1"/>
  <c r="L14" i="1674"/>
  <c r="L98" i="1674"/>
  <c r="I18" i="1675"/>
  <c r="C7" i="992"/>
  <c r="D7" i="408" s="1"/>
  <c r="C10" i="992"/>
  <c r="D10" i="408" s="1"/>
  <c r="F12" i="992"/>
  <c r="G12" i="408" s="1"/>
  <c r="H18" i="992"/>
  <c r="H26" i="992"/>
  <c r="C30" i="992"/>
  <c r="D30" i="408" s="1"/>
  <c r="I13" i="1675"/>
  <c r="L22" i="1674"/>
  <c r="L99" i="1674"/>
  <c r="D7" i="992"/>
  <c r="E7" i="408" s="1"/>
  <c r="D10" i="992"/>
  <c r="E10" i="408" s="1"/>
  <c r="H30" i="992"/>
  <c r="L115" i="1674"/>
  <c r="F7" i="992"/>
  <c r="G7" i="408" s="1"/>
  <c r="F10" i="992"/>
  <c r="G10" i="408" s="1"/>
  <c r="L123" i="1674"/>
  <c r="H10" i="992"/>
  <c r="L48" i="1674"/>
  <c r="I2" i="1675"/>
  <c r="C14" i="992"/>
  <c r="D14" i="408" s="1"/>
  <c r="C22" i="992"/>
  <c r="D22" i="408" s="1"/>
  <c r="F28" i="992"/>
  <c r="G28" i="408" s="1"/>
  <c r="C32" i="992"/>
  <c r="D32" i="408" s="1"/>
  <c r="L52" i="1674"/>
  <c r="H14" i="992"/>
  <c r="H22" i="992"/>
  <c r="L82" i="1674"/>
  <c r="I12" i="1675"/>
  <c r="D18" i="992"/>
  <c r="E18" i="408" s="1"/>
  <c r="F20" i="992"/>
  <c r="G20" i="408" s="1"/>
  <c r="D26" i="992"/>
  <c r="E26" i="408" s="1"/>
  <c r="H29" i="992"/>
  <c r="K26" i="1674"/>
  <c r="H26" i="1674"/>
  <c r="K46" i="1674"/>
  <c r="H46" i="1674"/>
  <c r="H51" i="1674"/>
  <c r="K51" i="1674"/>
  <c r="K70" i="1674"/>
  <c r="K71" i="1674" s="1"/>
  <c r="H17" i="1675" s="1"/>
  <c r="E18" i="992" s="1"/>
  <c r="H70" i="1674"/>
  <c r="H74" i="1674"/>
  <c r="K74" i="1674"/>
  <c r="K27" i="1674"/>
  <c r="H27" i="1674"/>
  <c r="H56" i="1674"/>
  <c r="K56" i="1674"/>
  <c r="K75" i="1674"/>
  <c r="H75" i="1674"/>
  <c r="K81" i="1674"/>
  <c r="H81" i="1674"/>
  <c r="K90" i="1674"/>
  <c r="K91" i="1674" s="1"/>
  <c r="H21" i="1675" s="1"/>
  <c r="E22" i="992" s="1"/>
  <c r="H90" i="1674"/>
  <c r="H65" i="1674"/>
  <c r="K65" i="1674"/>
  <c r="H28" i="1674"/>
  <c r="K28" i="1674"/>
  <c r="K57" i="1674"/>
  <c r="H57" i="1674"/>
  <c r="H76" i="1674"/>
  <c r="K76" i="1674"/>
  <c r="K82" i="1674"/>
  <c r="H82" i="1674"/>
  <c r="K86" i="1674"/>
  <c r="K87" i="1674" s="1"/>
  <c r="H20" i="1675" s="1"/>
  <c r="E21" i="992" s="1"/>
  <c r="H86" i="1674"/>
  <c r="K66" i="1674"/>
  <c r="H66" i="1674"/>
  <c r="K29" i="1674"/>
  <c r="H29" i="1674"/>
  <c r="K47" i="1674"/>
  <c r="H47" i="1674"/>
  <c r="K52" i="1674"/>
  <c r="H52" i="1674"/>
  <c r="K61" i="1674"/>
  <c r="K62" i="1674" s="1"/>
  <c r="H15" i="1675" s="1"/>
  <c r="E16" i="992" s="1"/>
  <c r="H61" i="1674"/>
  <c r="K77" i="1674"/>
  <c r="H77" i="1674"/>
  <c r="H30" i="1674"/>
  <c r="K30" i="1674"/>
  <c r="K34" i="1674"/>
  <c r="K35" i="1674" s="1"/>
  <c r="H9" i="1675" s="1"/>
  <c r="E10" i="992" s="1"/>
  <c r="H34" i="1674"/>
  <c r="K38" i="1674"/>
  <c r="K39" i="1674" s="1"/>
  <c r="H10" i="1675" s="1"/>
  <c r="E11" i="992" s="1"/>
  <c r="H38" i="1674"/>
  <c r="K130" i="1674"/>
  <c r="K131" i="1674" s="1"/>
  <c r="H31" i="1675" s="1"/>
  <c r="E32" i="992" s="1"/>
  <c r="H130" i="1674"/>
  <c r="K42" i="1674"/>
  <c r="K43" i="1674" s="1"/>
  <c r="H11" i="1675" s="1"/>
  <c r="E12" i="992" s="1"/>
  <c r="H42" i="1674"/>
  <c r="H118" i="1674"/>
  <c r="K118" i="1674"/>
  <c r="K119" i="1674" s="1"/>
  <c r="H28" i="1675" s="1"/>
  <c r="E29" i="992" s="1"/>
  <c r="K114" i="1674"/>
  <c r="K115" i="1674" s="1"/>
  <c r="H27" i="1675" s="1"/>
  <c r="E28" i="992" s="1"/>
  <c r="H114" i="1674"/>
  <c r="K110" i="1674"/>
  <c r="K111" i="1674" s="1"/>
  <c r="H26" i="1675" s="1"/>
  <c r="E27" i="992" s="1"/>
  <c r="H110" i="1674"/>
  <c r="H10" i="1674"/>
  <c r="K10" i="1674"/>
  <c r="K11" i="1674" s="1"/>
  <c r="H4" i="1675" s="1"/>
  <c r="E5" i="992" s="1"/>
  <c r="K122" i="1674"/>
  <c r="K123" i="1674" s="1"/>
  <c r="H29" i="1675" s="1"/>
  <c r="E30" i="992" s="1"/>
  <c r="H122" i="1674"/>
  <c r="H126" i="1674"/>
  <c r="K126" i="1674"/>
  <c r="K127" i="1674" s="1"/>
  <c r="H30" i="1675" s="1"/>
  <c r="E31" i="992" s="1"/>
  <c r="K14" i="1674"/>
  <c r="K15" i="1674" s="1"/>
  <c r="H5" i="1675" s="1"/>
  <c r="E6" i="992" s="1"/>
  <c r="H14" i="1674"/>
  <c r="H6" i="1674"/>
  <c r="K6" i="1674"/>
  <c r="K7" i="1674" s="1"/>
  <c r="H3" i="1675" s="1"/>
  <c r="E4" i="992" s="1"/>
  <c r="K18" i="1674"/>
  <c r="K19" i="1674" s="1"/>
  <c r="H6" i="1675" s="1"/>
  <c r="E7" i="992" s="1"/>
  <c r="H18" i="1674"/>
  <c r="K22" i="1674"/>
  <c r="K23" i="1674" s="1"/>
  <c r="H7" i="1675" s="1"/>
  <c r="E8" i="992" s="1"/>
  <c r="H22" i="1674"/>
  <c r="H2" i="1674"/>
  <c r="K2" i="1674"/>
  <c r="K3" i="1674" s="1"/>
  <c r="H2" i="1675" s="1"/>
  <c r="E3" i="992" s="1"/>
  <c r="H94" i="1674"/>
  <c r="K94" i="1674"/>
  <c r="K95" i="1674" s="1"/>
  <c r="H22" i="1675" s="1"/>
  <c r="E23" i="992" s="1"/>
  <c r="K98" i="1674"/>
  <c r="K99" i="1674" s="1"/>
  <c r="H23" i="1675" s="1"/>
  <c r="E24" i="992" s="1"/>
  <c r="H98" i="1674"/>
  <c r="H102" i="1674"/>
  <c r="K102" i="1674"/>
  <c r="K103" i="1674" s="1"/>
  <c r="H24" i="1675" s="1"/>
  <c r="E25" i="992" s="1"/>
  <c r="K106" i="1674"/>
  <c r="K107" i="1674" s="1"/>
  <c r="H25" i="1675" s="1"/>
  <c r="E26" i="992" s="1"/>
  <c r="H106" i="1674"/>
  <c r="L34" i="1674"/>
  <c r="L6" i="1674"/>
  <c r="L15" i="1674"/>
  <c r="L35" i="1674"/>
  <c r="L43" i="1674"/>
  <c r="L57" i="1674"/>
  <c r="L65" i="1674"/>
  <c r="L71" i="1674"/>
  <c r="L77" i="1674"/>
  <c r="L91" i="1674"/>
  <c r="I3" i="1675"/>
  <c r="I8" i="1675"/>
  <c r="I14" i="1675"/>
  <c r="I19" i="1675"/>
  <c r="I24" i="1675"/>
  <c r="I30" i="1675"/>
  <c r="D9" i="992"/>
  <c r="E9" i="408" s="1"/>
  <c r="C21" i="408"/>
  <c r="C21" i="992"/>
  <c r="D21" i="408" s="1"/>
  <c r="F25" i="992"/>
  <c r="G25" i="408" s="1"/>
  <c r="C25" i="408"/>
  <c r="H31" i="992"/>
  <c r="F31" i="992"/>
  <c r="G31" i="408" s="1"/>
  <c r="C31" i="408"/>
  <c r="D31" i="992"/>
  <c r="E31" i="408" s="1"/>
  <c r="C31" i="992"/>
  <c r="D31" i="408" s="1"/>
  <c r="I29" i="1675"/>
  <c r="D3" i="992"/>
  <c r="E3" i="408" s="1"/>
  <c r="F6" i="992"/>
  <c r="G6" i="408" s="1"/>
  <c r="C6" i="408"/>
  <c r="D6" i="992"/>
  <c r="E6" i="408" s="1"/>
  <c r="C13" i="408"/>
  <c r="C13" i="992"/>
  <c r="D13" i="408" s="1"/>
  <c r="L67" i="1674"/>
  <c r="L66" i="1674"/>
  <c r="L102" i="1674"/>
  <c r="L110" i="1674"/>
  <c r="L127" i="1674"/>
  <c r="I25" i="1675"/>
  <c r="F3" i="992"/>
  <c r="G3" i="408" s="1"/>
  <c r="H8" i="992"/>
  <c r="F8" i="992"/>
  <c r="G8" i="408" s="1"/>
  <c r="C8" i="408"/>
  <c r="F13" i="992"/>
  <c r="G13" i="408" s="1"/>
  <c r="C15" i="408"/>
  <c r="C15" i="992"/>
  <c r="D15" i="408" s="1"/>
  <c r="C25" i="992"/>
  <c r="D25" i="408" s="1"/>
  <c r="L62" i="1674"/>
  <c r="L61" i="1674"/>
  <c r="C9" i="992"/>
  <c r="D9" i="408" s="1"/>
  <c r="I4" i="1675"/>
  <c r="I10" i="1675"/>
  <c r="I15" i="1675"/>
  <c r="I26" i="1675"/>
  <c r="I31" i="1675"/>
  <c r="C5" i="408"/>
  <c r="C5" i="992"/>
  <c r="D5" i="408" s="1"/>
  <c r="F9" i="992"/>
  <c r="G9" i="408" s="1"/>
  <c r="C23" i="408"/>
  <c r="D23" i="992"/>
  <c r="E23" i="408" s="1"/>
  <c r="C23" i="992"/>
  <c r="D23" i="408" s="1"/>
  <c r="C27" i="408"/>
  <c r="D27" i="992"/>
  <c r="E27" i="408" s="1"/>
  <c r="C27" i="992"/>
  <c r="D27" i="408" s="1"/>
  <c r="H27" i="992"/>
  <c r="C3" i="408"/>
  <c r="C17" i="408"/>
  <c r="L70" i="1674"/>
  <c r="L107" i="1674"/>
  <c r="L119" i="1674"/>
  <c r="L118" i="1674"/>
  <c r="L10" i="1674"/>
  <c r="L18" i="1674"/>
  <c r="L30" i="1674"/>
  <c r="L38" i="1674"/>
  <c r="L95" i="1674"/>
  <c r="H3" i="992"/>
  <c r="D5" i="992"/>
  <c r="E5" i="408" s="1"/>
  <c r="H6" i="992"/>
  <c r="D8" i="992"/>
  <c r="E8" i="408" s="1"/>
  <c r="H9" i="992"/>
  <c r="C11" i="408"/>
  <c r="C11" i="992"/>
  <c r="D11" i="408" s="1"/>
  <c r="H13" i="992"/>
  <c r="F15" i="992"/>
  <c r="G15" i="408" s="1"/>
  <c r="D17" i="992"/>
  <c r="E17" i="408" s="1"/>
  <c r="F23" i="992"/>
  <c r="G23" i="408" s="1"/>
  <c r="L42" i="1674"/>
  <c r="L87" i="1674"/>
  <c r="L86" i="1674"/>
  <c r="L114" i="1674"/>
  <c r="L130" i="1674"/>
  <c r="I6" i="1675"/>
  <c r="I22" i="1675"/>
  <c r="F5" i="992"/>
  <c r="G5" i="408" s="1"/>
  <c r="C7" i="408"/>
  <c r="D11" i="992"/>
  <c r="E11" i="408" s="1"/>
  <c r="H15" i="992"/>
  <c r="F17" i="992"/>
  <c r="G17" i="408" s="1"/>
  <c r="H21" i="992"/>
  <c r="H23" i="992"/>
  <c r="F27" i="992"/>
  <c r="G27" i="408" s="1"/>
  <c r="H16" i="992"/>
  <c r="F16" i="992"/>
  <c r="G16" i="408" s="1"/>
  <c r="C16" i="408"/>
  <c r="D16" i="992"/>
  <c r="E16" i="408" s="1"/>
  <c r="H17" i="992"/>
  <c r="C19" i="408"/>
  <c r="C19" i="992"/>
  <c r="D19" i="408" s="1"/>
  <c r="H24" i="992"/>
  <c r="F24" i="992"/>
  <c r="G24" i="408" s="1"/>
  <c r="C24" i="408"/>
  <c r="D24" i="992"/>
  <c r="E24" i="408" s="1"/>
  <c r="H28" i="992"/>
  <c r="D32" i="992"/>
  <c r="E32" i="408" s="1"/>
  <c r="C32" i="408"/>
  <c r="D14" i="992"/>
  <c r="E14" i="408" s="1"/>
  <c r="D22" i="992"/>
  <c r="E22" i="408" s="1"/>
  <c r="C29" i="992"/>
  <c r="D29" i="408" s="1"/>
  <c r="D30" i="992"/>
  <c r="E30" i="408" s="1"/>
  <c r="F32" i="992"/>
  <c r="G32" i="408" s="1"/>
  <c r="C14" i="408"/>
  <c r="C22" i="408"/>
  <c r="C30" i="408"/>
  <c r="D29" i="992"/>
  <c r="E29" i="408" s="1"/>
  <c r="C29" i="408"/>
  <c r="D4" i="992"/>
  <c r="E4" i="408" s="1"/>
  <c r="D12" i="992"/>
  <c r="E12" i="408" s="1"/>
  <c r="D20" i="992"/>
  <c r="E20" i="408" s="1"/>
  <c r="D28" i="992"/>
  <c r="E28" i="408" s="1"/>
  <c r="C79" i="1023"/>
  <c r="F25" i="408" l="1"/>
  <c r="G25" i="992"/>
  <c r="H25" i="408" s="1"/>
  <c r="F3" i="408"/>
  <c r="G3" i="992"/>
  <c r="F11" i="408"/>
  <c r="G11" i="992"/>
  <c r="H11" i="408" s="1"/>
  <c r="F23" i="408"/>
  <c r="G23" i="992"/>
  <c r="H23" i="408" s="1"/>
  <c r="F7" i="408"/>
  <c r="G7" i="992"/>
  <c r="H7" i="408" s="1"/>
  <c r="F30" i="408"/>
  <c r="G30" i="992"/>
  <c r="H30" i="408" s="1"/>
  <c r="G12" i="992"/>
  <c r="H12" i="408" s="1"/>
  <c r="F12" i="408"/>
  <c r="K78" i="1674"/>
  <c r="H18" i="1675" s="1"/>
  <c r="E19" i="992" s="1"/>
  <c r="F29" i="408"/>
  <c r="G29" i="992"/>
  <c r="H29" i="408" s="1"/>
  <c r="F27" i="408"/>
  <c r="G27" i="992"/>
  <c r="H27" i="408" s="1"/>
  <c r="F31" i="408"/>
  <c r="G31" i="992"/>
  <c r="H31" i="408" s="1"/>
  <c r="F21" i="408"/>
  <c r="G21" i="992"/>
  <c r="H21" i="408" s="1"/>
  <c r="F10" i="408"/>
  <c r="G10" i="992"/>
  <c r="H10" i="408" s="1"/>
  <c r="G28" i="992"/>
  <c r="H28" i="408" s="1"/>
  <c r="F28" i="408"/>
  <c r="O38" i="1214"/>
  <c r="F16" i="408"/>
  <c r="G16" i="992"/>
  <c r="H16" i="408" s="1"/>
  <c r="O8" i="1214"/>
  <c r="K48" i="1674"/>
  <c r="H12" i="1675" s="1"/>
  <c r="E13" i="992" s="1"/>
  <c r="F5" i="408"/>
  <c r="G5" i="992"/>
  <c r="H5" i="408" s="1"/>
  <c r="F26" i="408"/>
  <c r="G26" i="992"/>
  <c r="H26" i="408" s="1"/>
  <c r="F32" i="408"/>
  <c r="G32" i="992"/>
  <c r="H32" i="408" s="1"/>
  <c r="F22" i="408"/>
  <c r="G22" i="992"/>
  <c r="H22" i="408" s="1"/>
  <c r="K58" i="1674"/>
  <c r="H14" i="1675" s="1"/>
  <c r="E15" i="992" s="1"/>
  <c r="O2" i="1214"/>
  <c r="F24" i="408"/>
  <c r="G24" i="992"/>
  <c r="H24" i="408" s="1"/>
  <c r="F18" i="408"/>
  <c r="G18" i="992"/>
  <c r="H18" i="408" s="1"/>
  <c r="F8" i="408"/>
  <c r="G8" i="992"/>
  <c r="H8" i="408" s="1"/>
  <c r="F6" i="408"/>
  <c r="G6" i="992"/>
  <c r="H6" i="408" s="1"/>
  <c r="F4" i="408"/>
  <c r="G4" i="992"/>
  <c r="H4" i="408" s="1"/>
  <c r="O42" i="1214"/>
  <c r="K67" i="1674"/>
  <c r="H16" i="1675" s="1"/>
  <c r="E17" i="992" s="1"/>
  <c r="K83" i="1674"/>
  <c r="H19" i="1675" s="1"/>
  <c r="E20" i="992" s="1"/>
  <c r="O28" i="1214"/>
  <c r="K53" i="1674"/>
  <c r="H13" i="1675" s="1"/>
  <c r="E14" i="992" s="1"/>
  <c r="K31" i="1674"/>
  <c r="H8" i="1675" s="1"/>
  <c r="E9" i="992" s="1"/>
  <c r="C3" i="1023"/>
  <c r="F13" i="408" l="1"/>
  <c r="G13" i="992"/>
  <c r="H13" i="408" s="1"/>
  <c r="F19" i="408"/>
  <c r="G19" i="992"/>
  <c r="H19" i="408" s="1"/>
  <c r="F17" i="408"/>
  <c r="G17" i="992"/>
  <c r="H17" i="408" s="1"/>
  <c r="G20" i="992"/>
  <c r="H20" i="408" s="1"/>
  <c r="F20" i="408"/>
  <c r="H3" i="408"/>
  <c r="F9" i="408"/>
  <c r="G9" i="992"/>
  <c r="H9" i="408" s="1"/>
  <c r="F15" i="408"/>
  <c r="G15" i="992"/>
  <c r="H15" i="408" s="1"/>
  <c r="F14" i="408"/>
  <c r="G14" i="992"/>
  <c r="H14" i="408" s="1"/>
  <c r="H551" i="193"/>
  <c r="H550" i="193"/>
  <c r="H549" i="193"/>
  <c r="G33" i="992" l="1"/>
  <c r="H458" i="728"/>
  <c r="H459" i="728"/>
  <c r="H460" i="728"/>
  <c r="H461" i="728"/>
  <c r="H462" i="728"/>
  <c r="H463" i="728"/>
  <c r="H464" i="728"/>
  <c r="H465" i="728"/>
  <c r="H466" i="728"/>
  <c r="H467" i="728"/>
  <c r="B12" i="1127" l="1"/>
  <c r="C26" i="1127"/>
  <c r="C25" i="1127"/>
  <c r="C24" i="1127"/>
  <c r="E23" i="1127"/>
  <c r="G22" i="1127"/>
  <c r="D17" i="1127"/>
  <c r="G14" i="1127"/>
  <c r="C12" i="1127"/>
  <c r="D10" i="1127"/>
  <c r="D9" i="1127"/>
  <c r="C8" i="1127"/>
  <c r="C4" i="1127"/>
  <c r="C3" i="1127"/>
  <c r="B22" i="1127"/>
  <c r="B21" i="1127"/>
  <c r="B20" i="1127"/>
  <c r="B10" i="1127"/>
  <c r="B9" i="1127"/>
  <c r="B8" i="1127"/>
  <c r="H11" i="728"/>
  <c r="H12" i="728"/>
  <c r="H13" i="728"/>
  <c r="H14" i="728"/>
  <c r="H15" i="728"/>
  <c r="H16" i="728"/>
  <c r="H17" i="728"/>
  <c r="H18" i="728"/>
  <c r="H19" i="728"/>
  <c r="H20" i="728"/>
  <c r="H21" i="728"/>
  <c r="H22" i="728"/>
  <c r="H23" i="728"/>
  <c r="H24" i="728"/>
  <c r="H25" i="728"/>
  <c r="H26" i="728"/>
  <c r="H27" i="728"/>
  <c r="H28" i="728"/>
  <c r="H29" i="728"/>
  <c r="H30" i="728"/>
  <c r="H31" i="728"/>
  <c r="H32" i="728"/>
  <c r="H33" i="728"/>
  <c r="H34" i="728"/>
  <c r="H35" i="728"/>
  <c r="H36" i="728"/>
  <c r="H37" i="728"/>
  <c r="H38" i="728"/>
  <c r="H39" i="728"/>
  <c r="H40" i="728"/>
  <c r="H41" i="728"/>
  <c r="H42" i="728"/>
  <c r="H43" i="728"/>
  <c r="H44" i="728"/>
  <c r="H45" i="728"/>
  <c r="H46" i="728"/>
  <c r="H47" i="728"/>
  <c r="H48" i="728"/>
  <c r="H49" i="728"/>
  <c r="H50" i="728"/>
  <c r="H51" i="728"/>
  <c r="H52" i="728"/>
  <c r="H53" i="728"/>
  <c r="H54" i="728"/>
  <c r="H55" i="728"/>
  <c r="H56" i="728"/>
  <c r="H57" i="728"/>
  <c r="H58" i="728"/>
  <c r="H59" i="728"/>
  <c r="H60" i="728"/>
  <c r="H61" i="728"/>
  <c r="H62" i="728"/>
  <c r="H63" i="728"/>
  <c r="H64" i="728"/>
  <c r="H65" i="728"/>
  <c r="H66" i="728"/>
  <c r="H67" i="728"/>
  <c r="H68" i="728"/>
  <c r="H69" i="728"/>
  <c r="H70" i="728"/>
  <c r="H71" i="728"/>
  <c r="H72" i="728"/>
  <c r="H73" i="728"/>
  <c r="H74" i="728"/>
  <c r="H75" i="728"/>
  <c r="H76" i="728"/>
  <c r="H77" i="728"/>
  <c r="H78" i="728"/>
  <c r="H79" i="728"/>
  <c r="H80" i="728"/>
  <c r="H81" i="728"/>
  <c r="H82" i="728"/>
  <c r="H83" i="728"/>
  <c r="H84" i="728"/>
  <c r="H85" i="728"/>
  <c r="H86" i="728"/>
  <c r="H87" i="728"/>
  <c r="H88" i="728"/>
  <c r="H89" i="728"/>
  <c r="H90" i="728"/>
  <c r="H91" i="728"/>
  <c r="H92" i="728"/>
  <c r="H93" i="728"/>
  <c r="H94" i="728"/>
  <c r="H95" i="728"/>
  <c r="H96" i="728"/>
  <c r="H97" i="728"/>
  <c r="H98" i="728"/>
  <c r="H99" i="728"/>
  <c r="H100" i="728"/>
  <c r="H101" i="728"/>
  <c r="H102" i="728"/>
  <c r="H103" i="728"/>
  <c r="H104" i="728"/>
  <c r="H105" i="728"/>
  <c r="H106" i="728"/>
  <c r="H107" i="728"/>
  <c r="H108" i="728"/>
  <c r="H109" i="728"/>
  <c r="H110" i="728"/>
  <c r="H111" i="728"/>
  <c r="H112" i="728"/>
  <c r="H113" i="728"/>
  <c r="H114" i="728"/>
  <c r="H115" i="728"/>
  <c r="H116" i="728"/>
  <c r="H117" i="728"/>
  <c r="H118" i="728"/>
  <c r="H119" i="728"/>
  <c r="H120" i="728"/>
  <c r="H121" i="728"/>
  <c r="H122" i="728"/>
  <c r="H123" i="728"/>
  <c r="H124" i="728"/>
  <c r="H125" i="728"/>
  <c r="H126" i="728"/>
  <c r="H127" i="728"/>
  <c r="H128" i="728"/>
  <c r="H129" i="728"/>
  <c r="H130" i="728"/>
  <c r="H131" i="728"/>
  <c r="H132" i="728"/>
  <c r="H133" i="728"/>
  <c r="H134" i="728"/>
  <c r="H135" i="728"/>
  <c r="H136" i="728"/>
  <c r="H137" i="728"/>
  <c r="H138" i="728"/>
  <c r="H139" i="728"/>
  <c r="H140" i="728"/>
  <c r="H141" i="728"/>
  <c r="H142" i="728"/>
  <c r="H143" i="728"/>
  <c r="H144" i="728"/>
  <c r="H145" i="728"/>
  <c r="H146" i="728"/>
  <c r="H147" i="728"/>
  <c r="H148" i="728"/>
  <c r="H149" i="728"/>
  <c r="H150" i="728"/>
  <c r="H151" i="728"/>
  <c r="H152" i="728"/>
  <c r="H153" i="728"/>
  <c r="H154" i="728"/>
  <c r="H155" i="728"/>
  <c r="H156" i="728"/>
  <c r="H157" i="728"/>
  <c r="H158" i="728"/>
  <c r="H159" i="728"/>
  <c r="H160" i="728"/>
  <c r="H161" i="728"/>
  <c r="H162" i="728"/>
  <c r="H163" i="728"/>
  <c r="H164" i="728"/>
  <c r="H165" i="728"/>
  <c r="H166" i="728"/>
  <c r="H167" i="728"/>
  <c r="H168" i="728"/>
  <c r="H169" i="728"/>
  <c r="H170" i="728"/>
  <c r="H171" i="728"/>
  <c r="H172" i="728"/>
  <c r="H173" i="728"/>
  <c r="H174" i="728"/>
  <c r="H175" i="728"/>
  <c r="H176" i="728"/>
  <c r="H177" i="728"/>
  <c r="H178" i="728"/>
  <c r="H179" i="728"/>
  <c r="H180" i="728"/>
  <c r="H181" i="728"/>
  <c r="H182" i="728"/>
  <c r="H183" i="728"/>
  <c r="H184" i="728"/>
  <c r="H185" i="728"/>
  <c r="H186" i="728"/>
  <c r="H187" i="728"/>
  <c r="H188" i="728"/>
  <c r="H189" i="728"/>
  <c r="H190" i="728"/>
  <c r="H191" i="728"/>
  <c r="H192" i="728"/>
  <c r="H193" i="728"/>
  <c r="H194" i="728"/>
  <c r="H195" i="728"/>
  <c r="H196" i="728"/>
  <c r="H197" i="728"/>
  <c r="H198" i="728"/>
  <c r="H199" i="728"/>
  <c r="H200" i="728"/>
  <c r="H201" i="728"/>
  <c r="H202" i="728"/>
  <c r="H203" i="728"/>
  <c r="H204" i="728"/>
  <c r="H205" i="728"/>
  <c r="H206" i="728"/>
  <c r="H207" i="728"/>
  <c r="H208" i="728"/>
  <c r="H209" i="728"/>
  <c r="H210" i="728"/>
  <c r="H211" i="728"/>
  <c r="H212" i="728"/>
  <c r="H213" i="728"/>
  <c r="H214" i="728"/>
  <c r="H215" i="728"/>
  <c r="H216" i="728"/>
  <c r="H217" i="728"/>
  <c r="H218" i="728"/>
  <c r="H219" i="728"/>
  <c r="H220" i="728"/>
  <c r="H221" i="728"/>
  <c r="H222" i="728"/>
  <c r="H223" i="728"/>
  <c r="H224" i="728"/>
  <c r="H225" i="728"/>
  <c r="H226" i="728"/>
  <c r="H227" i="728"/>
  <c r="H228" i="728"/>
  <c r="H229" i="728"/>
  <c r="H230" i="728"/>
  <c r="H231" i="728"/>
  <c r="H232" i="728"/>
  <c r="H233" i="728"/>
  <c r="H234" i="728"/>
  <c r="H235" i="728"/>
  <c r="H236" i="728"/>
  <c r="H237" i="728"/>
  <c r="H238" i="728"/>
  <c r="H239" i="728"/>
  <c r="H240" i="728"/>
  <c r="H241" i="728"/>
  <c r="H242" i="728"/>
  <c r="H243" i="728"/>
  <c r="H244" i="728"/>
  <c r="H245" i="728"/>
  <c r="H246" i="728"/>
  <c r="H247" i="728"/>
  <c r="H248" i="728"/>
  <c r="H249" i="728"/>
  <c r="H250" i="728"/>
  <c r="H251" i="728"/>
  <c r="H252" i="728"/>
  <c r="H253" i="728"/>
  <c r="H254" i="728"/>
  <c r="H255" i="728"/>
  <c r="H256" i="728"/>
  <c r="H257" i="728"/>
  <c r="H258" i="728"/>
  <c r="H259" i="728"/>
  <c r="H260" i="728"/>
  <c r="H261" i="728"/>
  <c r="H262" i="728"/>
  <c r="H263" i="728"/>
  <c r="H264" i="728"/>
  <c r="H265" i="728"/>
  <c r="H266" i="728"/>
  <c r="H267" i="728"/>
  <c r="H268" i="728"/>
  <c r="H269" i="728"/>
  <c r="H270" i="728"/>
  <c r="H271" i="728"/>
  <c r="H272" i="728"/>
  <c r="H273" i="728"/>
  <c r="H274" i="728"/>
  <c r="H275" i="728"/>
  <c r="H276" i="728"/>
  <c r="H277" i="728"/>
  <c r="H278" i="728"/>
  <c r="H279" i="728"/>
  <c r="H280" i="728"/>
  <c r="H281" i="728"/>
  <c r="H282" i="728"/>
  <c r="H283" i="728"/>
  <c r="H284" i="728"/>
  <c r="H285" i="728"/>
  <c r="H286" i="728"/>
  <c r="H287" i="728"/>
  <c r="H288" i="728"/>
  <c r="H289" i="728"/>
  <c r="H290" i="728"/>
  <c r="H291" i="728"/>
  <c r="H292" i="728"/>
  <c r="H293" i="728"/>
  <c r="H294" i="728"/>
  <c r="H295" i="728"/>
  <c r="H296" i="728"/>
  <c r="H297" i="728"/>
  <c r="H298" i="728"/>
  <c r="H299" i="728"/>
  <c r="H300" i="728"/>
  <c r="H301" i="728"/>
  <c r="H302" i="728"/>
  <c r="H303" i="728"/>
  <c r="H304" i="728"/>
  <c r="H305" i="728"/>
  <c r="H306" i="728"/>
  <c r="H307" i="728"/>
  <c r="H308" i="728"/>
  <c r="H309" i="728"/>
  <c r="H310" i="728"/>
  <c r="H311" i="728"/>
  <c r="H312" i="728"/>
  <c r="H313" i="728"/>
  <c r="H314" i="728"/>
  <c r="H315" i="728"/>
  <c r="H316" i="728"/>
  <c r="H317" i="728"/>
  <c r="H318" i="728"/>
  <c r="H319" i="728"/>
  <c r="H320" i="728"/>
  <c r="H321" i="728"/>
  <c r="H322" i="728"/>
  <c r="H323" i="728"/>
  <c r="H324" i="728"/>
  <c r="H325" i="728"/>
  <c r="H326" i="728"/>
  <c r="H327" i="728"/>
  <c r="H328" i="728"/>
  <c r="H329" i="728"/>
  <c r="H330" i="728"/>
  <c r="H331" i="728"/>
  <c r="H332" i="728"/>
  <c r="H333" i="728"/>
  <c r="H334" i="728"/>
  <c r="H335" i="728"/>
  <c r="H336" i="728"/>
  <c r="H337" i="728"/>
  <c r="H338" i="728"/>
  <c r="H339" i="728"/>
  <c r="H340" i="728"/>
  <c r="H341" i="728"/>
  <c r="H342" i="728"/>
  <c r="H343" i="728"/>
  <c r="H344" i="728"/>
  <c r="H345" i="728"/>
  <c r="H346" i="728"/>
  <c r="H347" i="728"/>
  <c r="H348" i="728"/>
  <c r="H349" i="728"/>
  <c r="H350" i="728"/>
  <c r="H351" i="728"/>
  <c r="H352" i="728"/>
  <c r="H353" i="728"/>
  <c r="H354" i="728"/>
  <c r="H355" i="728"/>
  <c r="H356" i="728"/>
  <c r="H357" i="728"/>
  <c r="H358" i="728"/>
  <c r="H359" i="728"/>
  <c r="H360" i="728"/>
  <c r="H361" i="728"/>
  <c r="H362" i="728"/>
  <c r="H363" i="728"/>
  <c r="H364" i="728"/>
  <c r="H365" i="728"/>
  <c r="H366" i="728"/>
  <c r="H367" i="728"/>
  <c r="H368" i="728"/>
  <c r="H369" i="728"/>
  <c r="H370" i="728"/>
  <c r="H371" i="728"/>
  <c r="H372" i="728"/>
  <c r="H373" i="728"/>
  <c r="H374" i="728"/>
  <c r="H375" i="728"/>
  <c r="H376" i="728"/>
  <c r="H377" i="728"/>
  <c r="H378" i="728"/>
  <c r="H379" i="728"/>
  <c r="H380" i="728"/>
  <c r="H381" i="728"/>
  <c r="H382" i="728"/>
  <c r="H383" i="728"/>
  <c r="H384" i="728"/>
  <c r="H385" i="728"/>
  <c r="H386" i="728"/>
  <c r="H387" i="728"/>
  <c r="H388" i="728"/>
  <c r="H389" i="728"/>
  <c r="H390" i="728"/>
  <c r="H391" i="728"/>
  <c r="H392" i="728"/>
  <c r="H393" i="728"/>
  <c r="H394" i="728"/>
  <c r="H395" i="728"/>
  <c r="H396" i="728"/>
  <c r="H397" i="728"/>
  <c r="H398" i="728"/>
  <c r="H399" i="728"/>
  <c r="H400" i="728"/>
  <c r="H401" i="728"/>
  <c r="H402" i="728"/>
  <c r="H403" i="728"/>
  <c r="H404" i="728"/>
  <c r="H405" i="728"/>
  <c r="H406" i="728"/>
  <c r="H407" i="728"/>
  <c r="H408" i="728"/>
  <c r="H409" i="728"/>
  <c r="H410" i="728"/>
  <c r="H411" i="728"/>
  <c r="H412" i="728"/>
  <c r="H413" i="728"/>
  <c r="H414" i="728"/>
  <c r="H415" i="728"/>
  <c r="H416" i="728"/>
  <c r="H417" i="728"/>
  <c r="H418" i="728"/>
  <c r="H419" i="728"/>
  <c r="H420" i="728"/>
  <c r="H421" i="728"/>
  <c r="H422" i="728"/>
  <c r="H423" i="728"/>
  <c r="H424" i="728"/>
  <c r="H425" i="728"/>
  <c r="H426" i="728"/>
  <c r="H427" i="728"/>
  <c r="H428" i="728"/>
  <c r="H429" i="728"/>
  <c r="H430" i="728"/>
  <c r="H431" i="728"/>
  <c r="H432" i="728"/>
  <c r="H433" i="728"/>
  <c r="H434" i="728"/>
  <c r="H435" i="728"/>
  <c r="H436" i="728"/>
  <c r="H437" i="728"/>
  <c r="H438" i="728"/>
  <c r="H439" i="728"/>
  <c r="H440" i="728"/>
  <c r="H441" i="728"/>
  <c r="H442" i="728"/>
  <c r="H443" i="728"/>
  <c r="H444" i="728"/>
  <c r="H445" i="728"/>
  <c r="H446" i="728"/>
  <c r="H447" i="728"/>
  <c r="H448" i="728"/>
  <c r="H449" i="728"/>
  <c r="H450" i="728"/>
  <c r="H451" i="728"/>
  <c r="H452" i="728"/>
  <c r="H453" i="728"/>
  <c r="H454" i="728"/>
  <c r="H455" i="728"/>
  <c r="H456" i="728"/>
  <c r="H457" i="728"/>
  <c r="H468" i="728"/>
  <c r="H469" i="728"/>
  <c r="H470" i="728"/>
  <c r="H471" i="728"/>
  <c r="H472" i="728"/>
  <c r="H473" i="728"/>
  <c r="H474" i="728"/>
  <c r="H475" i="728"/>
  <c r="H476" i="728"/>
  <c r="H477" i="728"/>
  <c r="H478" i="728"/>
  <c r="H479" i="728"/>
  <c r="H480" i="728"/>
  <c r="H481" i="728"/>
  <c r="H482" i="728"/>
  <c r="H483" i="728"/>
  <c r="H484" i="728"/>
  <c r="H485" i="728"/>
  <c r="H486" i="728"/>
  <c r="H487" i="728"/>
  <c r="H488" i="728"/>
  <c r="H489" i="728"/>
  <c r="H490" i="728"/>
  <c r="H491" i="728"/>
  <c r="H492" i="728"/>
  <c r="H493" i="728"/>
  <c r="H494" i="728"/>
  <c r="H495" i="728"/>
  <c r="H496" i="728"/>
  <c r="H497" i="728"/>
  <c r="H498" i="728"/>
  <c r="H499" i="728"/>
  <c r="H500" i="728"/>
  <c r="H501" i="728"/>
  <c r="H502" i="728"/>
  <c r="H503" i="728"/>
  <c r="H504" i="728"/>
  <c r="H505" i="728"/>
  <c r="H506" i="728"/>
  <c r="H507" i="728"/>
  <c r="H508" i="728"/>
  <c r="H509" i="728"/>
  <c r="H510" i="728"/>
  <c r="H511" i="728"/>
  <c r="H512" i="728"/>
  <c r="H513" i="728"/>
  <c r="H514" i="728"/>
  <c r="H515" i="728"/>
  <c r="H516" i="728"/>
  <c r="H517" i="728"/>
  <c r="H518" i="728"/>
  <c r="H519" i="728"/>
  <c r="H520" i="728"/>
  <c r="H521" i="728"/>
  <c r="H522" i="728"/>
  <c r="H523" i="728"/>
  <c r="H524" i="728"/>
  <c r="H525" i="728"/>
  <c r="H526" i="728"/>
  <c r="H527" i="728"/>
  <c r="H528" i="728"/>
  <c r="H529" i="728"/>
  <c r="H530" i="728"/>
  <c r="H531" i="728"/>
  <c r="H532" i="728"/>
  <c r="H533" i="728"/>
  <c r="H534" i="728"/>
  <c r="H535" i="728"/>
  <c r="H536" i="728"/>
  <c r="H537" i="728"/>
  <c r="H538" i="728"/>
  <c r="H539" i="728"/>
  <c r="H540" i="728"/>
  <c r="H541" i="728"/>
  <c r="H542" i="728"/>
  <c r="H543" i="728"/>
  <c r="H544" i="728"/>
  <c r="H545" i="728"/>
  <c r="H546" i="728"/>
  <c r="H547" i="728"/>
  <c r="H548" i="728"/>
  <c r="H549" i="728"/>
  <c r="H550" i="728"/>
  <c r="H551" i="728"/>
  <c r="H10" i="728"/>
  <c r="H9" i="728"/>
  <c r="H11" i="885"/>
  <c r="H12" i="885"/>
  <c r="H13" i="885"/>
  <c r="H14" i="885"/>
  <c r="H15" i="885"/>
  <c r="H16" i="885"/>
  <c r="H17" i="885"/>
  <c r="H18" i="885"/>
  <c r="H19" i="885"/>
  <c r="H20" i="885"/>
  <c r="H21" i="885"/>
  <c r="H22" i="885"/>
  <c r="H23" i="885"/>
  <c r="H24" i="885"/>
  <c r="H25" i="885"/>
  <c r="H26" i="885"/>
  <c r="H27" i="885"/>
  <c r="H28" i="885"/>
  <c r="H29" i="885"/>
  <c r="H30" i="885"/>
  <c r="H31" i="885"/>
  <c r="H32" i="885"/>
  <c r="H33" i="885"/>
  <c r="H34" i="885"/>
  <c r="H35" i="885"/>
  <c r="H36" i="885"/>
  <c r="H37" i="885"/>
  <c r="H38" i="885"/>
  <c r="H39" i="885"/>
  <c r="H40" i="885"/>
  <c r="H41" i="885"/>
  <c r="H42" i="885"/>
  <c r="H43" i="885"/>
  <c r="H44" i="885"/>
  <c r="H45" i="885"/>
  <c r="H46" i="885"/>
  <c r="H47" i="885"/>
  <c r="H48" i="885"/>
  <c r="H49" i="885"/>
  <c r="H50" i="885"/>
  <c r="H51" i="885"/>
  <c r="H52" i="885"/>
  <c r="H53" i="885"/>
  <c r="H54" i="885"/>
  <c r="H55" i="885"/>
  <c r="H56" i="885"/>
  <c r="H57" i="885"/>
  <c r="H58" i="885"/>
  <c r="H59" i="885"/>
  <c r="H60" i="885"/>
  <c r="H61" i="885"/>
  <c r="H62" i="885"/>
  <c r="H63" i="885"/>
  <c r="H64" i="885"/>
  <c r="H65" i="885"/>
  <c r="H66" i="885"/>
  <c r="H67" i="885"/>
  <c r="H68" i="885"/>
  <c r="H69" i="885"/>
  <c r="H70" i="885"/>
  <c r="H71" i="885"/>
  <c r="H72" i="885"/>
  <c r="H73" i="885"/>
  <c r="H74" i="885"/>
  <c r="H75" i="885"/>
  <c r="H76" i="885"/>
  <c r="H77" i="885"/>
  <c r="H78" i="885"/>
  <c r="H79" i="885"/>
  <c r="H80" i="885"/>
  <c r="H81" i="885"/>
  <c r="H82" i="885"/>
  <c r="H83" i="885"/>
  <c r="H84" i="885"/>
  <c r="H85" i="885"/>
  <c r="H86" i="885"/>
  <c r="H87" i="885"/>
  <c r="H88" i="885"/>
  <c r="H89" i="885"/>
  <c r="H90" i="885"/>
  <c r="H91" i="885"/>
  <c r="H92" i="885"/>
  <c r="H93" i="885"/>
  <c r="H94" i="885"/>
  <c r="H95" i="885"/>
  <c r="H96" i="885"/>
  <c r="H97" i="885"/>
  <c r="H98" i="885"/>
  <c r="H99" i="885"/>
  <c r="H100" i="885"/>
  <c r="H101" i="885"/>
  <c r="H102" i="885"/>
  <c r="H103" i="885"/>
  <c r="H104" i="885"/>
  <c r="H105" i="885"/>
  <c r="H106" i="885"/>
  <c r="H107" i="885"/>
  <c r="H108" i="885"/>
  <c r="H109" i="885"/>
  <c r="H110" i="885"/>
  <c r="H111" i="885"/>
  <c r="H112" i="885"/>
  <c r="H113" i="885"/>
  <c r="H114" i="885"/>
  <c r="H115" i="885"/>
  <c r="H116" i="885"/>
  <c r="H117" i="885"/>
  <c r="H118" i="885"/>
  <c r="H119" i="885"/>
  <c r="H120" i="885"/>
  <c r="H121" i="885"/>
  <c r="H122" i="885"/>
  <c r="H123" i="885"/>
  <c r="H124" i="885"/>
  <c r="H125" i="885"/>
  <c r="H126" i="885"/>
  <c r="H127" i="885"/>
  <c r="H128" i="885"/>
  <c r="H129" i="885"/>
  <c r="H130" i="885"/>
  <c r="H131" i="885"/>
  <c r="H132" i="885"/>
  <c r="H133" i="885"/>
  <c r="H134" i="885"/>
  <c r="H135" i="885"/>
  <c r="H136" i="885"/>
  <c r="H137" i="885"/>
  <c r="H138" i="885"/>
  <c r="H139" i="885"/>
  <c r="H140" i="885"/>
  <c r="H141" i="885"/>
  <c r="H142" i="885"/>
  <c r="H143" i="885"/>
  <c r="H144" i="885"/>
  <c r="H145" i="885"/>
  <c r="H146" i="885"/>
  <c r="H147" i="885"/>
  <c r="H148" i="885"/>
  <c r="H149" i="885"/>
  <c r="H150" i="885"/>
  <c r="H151" i="885"/>
  <c r="H152" i="885"/>
  <c r="H153" i="885"/>
  <c r="H154" i="885"/>
  <c r="H155" i="885"/>
  <c r="H156" i="885"/>
  <c r="H157" i="885"/>
  <c r="H158" i="885"/>
  <c r="H159" i="885"/>
  <c r="H160" i="885"/>
  <c r="H161" i="885"/>
  <c r="H162" i="885"/>
  <c r="H163" i="885"/>
  <c r="H164" i="885"/>
  <c r="H165" i="885"/>
  <c r="H166" i="885"/>
  <c r="H167" i="885"/>
  <c r="H168" i="885"/>
  <c r="H169" i="885"/>
  <c r="H170" i="885"/>
  <c r="H171" i="885"/>
  <c r="H172" i="885"/>
  <c r="H173" i="885"/>
  <c r="H174" i="885"/>
  <c r="H175" i="885"/>
  <c r="H176" i="885"/>
  <c r="H177" i="885"/>
  <c r="H178" i="885"/>
  <c r="H179" i="885"/>
  <c r="H180" i="885"/>
  <c r="H181" i="885"/>
  <c r="H182" i="885"/>
  <c r="H183" i="885"/>
  <c r="H184" i="885"/>
  <c r="H185" i="885"/>
  <c r="H186" i="885"/>
  <c r="H187" i="885"/>
  <c r="H188" i="885"/>
  <c r="H189" i="885"/>
  <c r="H190" i="885"/>
  <c r="H191" i="885"/>
  <c r="H192" i="885"/>
  <c r="H193" i="885"/>
  <c r="H194" i="885"/>
  <c r="H195" i="885"/>
  <c r="H196" i="885"/>
  <c r="H197" i="885"/>
  <c r="H198" i="885"/>
  <c r="H199" i="885"/>
  <c r="H200" i="885"/>
  <c r="H201" i="885"/>
  <c r="H202" i="885"/>
  <c r="H203" i="885"/>
  <c r="H204" i="885"/>
  <c r="H205" i="885"/>
  <c r="H206" i="885"/>
  <c r="H207" i="885"/>
  <c r="H208" i="885"/>
  <c r="H209" i="885"/>
  <c r="H210" i="885"/>
  <c r="H211" i="885"/>
  <c r="H212" i="885"/>
  <c r="H213" i="885"/>
  <c r="H214" i="885"/>
  <c r="H215" i="885"/>
  <c r="H216" i="885"/>
  <c r="H217" i="885"/>
  <c r="H218" i="885"/>
  <c r="H219" i="885"/>
  <c r="H220" i="885"/>
  <c r="H221" i="885"/>
  <c r="H222" i="885"/>
  <c r="H223" i="885"/>
  <c r="H224" i="885"/>
  <c r="H225" i="885"/>
  <c r="H226" i="885"/>
  <c r="H227" i="885"/>
  <c r="H228" i="885"/>
  <c r="H229" i="885"/>
  <c r="H230" i="885"/>
  <c r="H231" i="885"/>
  <c r="H232" i="885"/>
  <c r="H233" i="885"/>
  <c r="H234" i="885"/>
  <c r="H235" i="885"/>
  <c r="H236" i="885"/>
  <c r="H237" i="885"/>
  <c r="H238" i="885"/>
  <c r="H239" i="885"/>
  <c r="H240" i="885"/>
  <c r="H241" i="885"/>
  <c r="H242" i="885"/>
  <c r="H243" i="885"/>
  <c r="H244" i="885"/>
  <c r="H245" i="885"/>
  <c r="H246" i="885"/>
  <c r="H247" i="885"/>
  <c r="H248" i="885"/>
  <c r="H249" i="885"/>
  <c r="H250" i="885"/>
  <c r="H251" i="885"/>
  <c r="H252" i="885"/>
  <c r="H253" i="885"/>
  <c r="H254" i="885"/>
  <c r="H255" i="885"/>
  <c r="H256" i="885"/>
  <c r="H257" i="885"/>
  <c r="H258" i="885"/>
  <c r="H259" i="885"/>
  <c r="H260" i="885"/>
  <c r="H261" i="885"/>
  <c r="H262" i="885"/>
  <c r="H263" i="885"/>
  <c r="H264" i="885"/>
  <c r="H265" i="885"/>
  <c r="H266" i="885"/>
  <c r="H267" i="885"/>
  <c r="H268" i="885"/>
  <c r="H269" i="885"/>
  <c r="H270" i="885"/>
  <c r="H271" i="885"/>
  <c r="H272" i="885"/>
  <c r="H273" i="885"/>
  <c r="H274" i="885"/>
  <c r="H275" i="885"/>
  <c r="H276" i="885"/>
  <c r="H277" i="885"/>
  <c r="H278" i="885"/>
  <c r="H279" i="885"/>
  <c r="H280" i="885"/>
  <c r="H281" i="885"/>
  <c r="H282" i="885"/>
  <c r="H283" i="885"/>
  <c r="H284" i="885"/>
  <c r="H285" i="885"/>
  <c r="H286" i="885"/>
  <c r="H287" i="885"/>
  <c r="H288" i="885"/>
  <c r="H289" i="885"/>
  <c r="H290" i="885"/>
  <c r="H291" i="885"/>
  <c r="H292" i="885"/>
  <c r="H293" i="885"/>
  <c r="H294" i="885"/>
  <c r="H295" i="885"/>
  <c r="H296" i="885"/>
  <c r="H297" i="885"/>
  <c r="H298" i="885"/>
  <c r="H299" i="885"/>
  <c r="H300" i="885"/>
  <c r="H301" i="885"/>
  <c r="H302" i="885"/>
  <c r="H303" i="885"/>
  <c r="H304" i="885"/>
  <c r="H305" i="885"/>
  <c r="H306" i="885"/>
  <c r="H307" i="885"/>
  <c r="H308" i="885"/>
  <c r="H309" i="885"/>
  <c r="H310" i="885"/>
  <c r="H311" i="885"/>
  <c r="H312" i="885"/>
  <c r="H313" i="885"/>
  <c r="H314" i="885"/>
  <c r="H315" i="885"/>
  <c r="H316" i="885"/>
  <c r="H317" i="885"/>
  <c r="H318" i="885"/>
  <c r="H319" i="885"/>
  <c r="H320" i="885"/>
  <c r="H321" i="885"/>
  <c r="H322" i="885"/>
  <c r="H323" i="885"/>
  <c r="H324" i="885"/>
  <c r="H325" i="885"/>
  <c r="H326" i="885"/>
  <c r="H327" i="885"/>
  <c r="H328" i="885"/>
  <c r="H329" i="885"/>
  <c r="H330" i="885"/>
  <c r="H331" i="885"/>
  <c r="H332" i="885"/>
  <c r="H333" i="885"/>
  <c r="H334" i="885"/>
  <c r="H335" i="885"/>
  <c r="H336" i="885"/>
  <c r="H337" i="885"/>
  <c r="H338" i="885"/>
  <c r="H339" i="885"/>
  <c r="H340" i="885"/>
  <c r="H341" i="885"/>
  <c r="H342" i="885"/>
  <c r="H343" i="885"/>
  <c r="H344" i="885"/>
  <c r="H345" i="885"/>
  <c r="H346" i="885"/>
  <c r="H347" i="885"/>
  <c r="H348" i="885"/>
  <c r="H349" i="885"/>
  <c r="H350" i="885"/>
  <c r="H351" i="885"/>
  <c r="H352" i="885"/>
  <c r="H353" i="885"/>
  <c r="H354" i="885"/>
  <c r="H355" i="885"/>
  <c r="H356" i="885"/>
  <c r="H357" i="885"/>
  <c r="H358" i="885"/>
  <c r="H359" i="885"/>
  <c r="H360" i="885"/>
  <c r="H361" i="885"/>
  <c r="H362" i="885"/>
  <c r="H363" i="885"/>
  <c r="H364" i="885"/>
  <c r="H365" i="885"/>
  <c r="H366" i="885"/>
  <c r="H367" i="885"/>
  <c r="H368" i="885"/>
  <c r="H369" i="885"/>
  <c r="H370" i="885"/>
  <c r="H371" i="885"/>
  <c r="H372" i="885"/>
  <c r="H373" i="885"/>
  <c r="H374" i="885"/>
  <c r="H375" i="885"/>
  <c r="H376" i="885"/>
  <c r="H377" i="885"/>
  <c r="H378" i="885"/>
  <c r="H379" i="885"/>
  <c r="H380" i="885"/>
  <c r="H381" i="885"/>
  <c r="H382" i="885"/>
  <c r="H383" i="885"/>
  <c r="H384" i="885"/>
  <c r="H385" i="885"/>
  <c r="H386" i="885"/>
  <c r="H387" i="885"/>
  <c r="H388" i="885"/>
  <c r="H389" i="885"/>
  <c r="H390" i="885"/>
  <c r="H391" i="885"/>
  <c r="H392" i="885"/>
  <c r="H393" i="885"/>
  <c r="H394" i="885"/>
  <c r="H395" i="885"/>
  <c r="H396" i="885"/>
  <c r="H397" i="885"/>
  <c r="H398" i="885"/>
  <c r="H399" i="885"/>
  <c r="H400" i="885"/>
  <c r="H401" i="885"/>
  <c r="H402" i="885"/>
  <c r="H403" i="885"/>
  <c r="H404" i="885"/>
  <c r="H405" i="885"/>
  <c r="H406" i="885"/>
  <c r="H407" i="885"/>
  <c r="H408" i="885"/>
  <c r="H409" i="885"/>
  <c r="H410" i="885"/>
  <c r="H411" i="885"/>
  <c r="H412" i="885"/>
  <c r="H413" i="885"/>
  <c r="H414" i="885"/>
  <c r="H415" i="885"/>
  <c r="H416" i="885"/>
  <c r="H417" i="885"/>
  <c r="H418" i="885"/>
  <c r="H419" i="885"/>
  <c r="H420" i="885"/>
  <c r="H421" i="885"/>
  <c r="H422" i="885"/>
  <c r="H423" i="885"/>
  <c r="H424" i="885"/>
  <c r="H425" i="885"/>
  <c r="H426" i="885"/>
  <c r="H427" i="885"/>
  <c r="H428" i="885"/>
  <c r="H429" i="885"/>
  <c r="H430" i="885"/>
  <c r="H431" i="885"/>
  <c r="H432" i="885"/>
  <c r="H433" i="885"/>
  <c r="H434" i="885"/>
  <c r="H435" i="885"/>
  <c r="H436" i="885"/>
  <c r="H437" i="885"/>
  <c r="H438" i="885"/>
  <c r="H439" i="885"/>
  <c r="H440" i="885"/>
  <c r="H441" i="885"/>
  <c r="H442" i="885"/>
  <c r="H443" i="885"/>
  <c r="H444" i="885"/>
  <c r="H445" i="885"/>
  <c r="H446" i="885"/>
  <c r="H447" i="885"/>
  <c r="H448" i="885"/>
  <c r="H449" i="885"/>
  <c r="H450" i="885"/>
  <c r="H451" i="885"/>
  <c r="H452" i="885"/>
  <c r="H453" i="885"/>
  <c r="H454" i="885"/>
  <c r="H455" i="885"/>
  <c r="H456" i="885"/>
  <c r="H457" i="885"/>
  <c r="H458" i="885"/>
  <c r="H459" i="885"/>
  <c r="H460" i="885"/>
  <c r="H461" i="885"/>
  <c r="H462" i="885"/>
  <c r="H463" i="885"/>
  <c r="H464" i="885"/>
  <c r="H465" i="885"/>
  <c r="H466" i="885"/>
  <c r="H467" i="885"/>
  <c r="H468" i="885"/>
  <c r="H469" i="885"/>
  <c r="H470" i="885"/>
  <c r="H471" i="885"/>
  <c r="H472" i="885"/>
  <c r="H473" i="885"/>
  <c r="H474" i="885"/>
  <c r="H475" i="885"/>
  <c r="H476" i="885"/>
  <c r="H477" i="885"/>
  <c r="H478" i="885"/>
  <c r="H479" i="885"/>
  <c r="H480" i="885"/>
  <c r="H481" i="885"/>
  <c r="H482" i="885"/>
  <c r="H483" i="885"/>
  <c r="H484" i="885"/>
  <c r="H485" i="885"/>
  <c r="H486" i="885"/>
  <c r="H487" i="885"/>
  <c r="H488" i="885"/>
  <c r="H489" i="885"/>
  <c r="H490" i="885"/>
  <c r="H491" i="885"/>
  <c r="H492" i="885"/>
  <c r="H493" i="885"/>
  <c r="H494" i="885"/>
  <c r="H495" i="885"/>
  <c r="H496" i="885"/>
  <c r="H497" i="885"/>
  <c r="H498" i="885"/>
  <c r="H499" i="885"/>
  <c r="H500" i="885"/>
  <c r="H501" i="885"/>
  <c r="H502" i="885"/>
  <c r="H503" i="885"/>
  <c r="H504" i="885"/>
  <c r="H505" i="885"/>
  <c r="H506" i="885"/>
  <c r="H507" i="885"/>
  <c r="H508" i="885"/>
  <c r="H509" i="885"/>
  <c r="H510" i="885"/>
  <c r="H511" i="885"/>
  <c r="H512" i="885"/>
  <c r="H513" i="885"/>
  <c r="H514" i="885"/>
  <c r="H515" i="885"/>
  <c r="H516" i="885"/>
  <c r="H517" i="885"/>
  <c r="H518" i="885"/>
  <c r="H519" i="885"/>
  <c r="H520" i="885"/>
  <c r="H521" i="885"/>
  <c r="H522" i="885"/>
  <c r="H523" i="885"/>
  <c r="H524" i="885"/>
  <c r="H525" i="885"/>
  <c r="H526" i="885"/>
  <c r="H527" i="885"/>
  <c r="H528" i="885"/>
  <c r="H529" i="885"/>
  <c r="H530" i="885"/>
  <c r="H531" i="885"/>
  <c r="H532" i="885"/>
  <c r="H533" i="885"/>
  <c r="H534" i="885"/>
  <c r="H535" i="885"/>
  <c r="H536" i="885"/>
  <c r="H537" i="885"/>
  <c r="H538" i="885"/>
  <c r="H539" i="885"/>
  <c r="H540" i="885"/>
  <c r="H541" i="885"/>
  <c r="H542" i="885"/>
  <c r="H543" i="885"/>
  <c r="H544" i="885"/>
  <c r="H10" i="885"/>
  <c r="H9" i="885"/>
  <c r="H10" i="711"/>
  <c r="H11" i="711"/>
  <c r="H12" i="711"/>
  <c r="H13" i="711"/>
  <c r="H14" i="711"/>
  <c r="H15" i="711"/>
  <c r="H16" i="711"/>
  <c r="H17" i="711"/>
  <c r="H18" i="711"/>
  <c r="H19" i="711"/>
  <c r="H20" i="711"/>
  <c r="H21" i="711"/>
  <c r="H22" i="711"/>
  <c r="H23" i="711"/>
  <c r="H24" i="711"/>
  <c r="H25" i="711"/>
  <c r="H26" i="711"/>
  <c r="H27" i="711"/>
  <c r="H28" i="711"/>
  <c r="H29" i="711"/>
  <c r="H30" i="711"/>
  <c r="H31" i="711"/>
  <c r="H32" i="711"/>
  <c r="H33" i="711"/>
  <c r="H34" i="711"/>
  <c r="H35" i="711"/>
  <c r="H36" i="711"/>
  <c r="H37" i="711"/>
  <c r="H38" i="711"/>
  <c r="H39" i="711"/>
  <c r="H40" i="711"/>
  <c r="H41" i="711"/>
  <c r="H42" i="711"/>
  <c r="H43" i="711"/>
  <c r="H44" i="711"/>
  <c r="H45" i="711"/>
  <c r="H46" i="711"/>
  <c r="H47" i="711"/>
  <c r="H48" i="711"/>
  <c r="H49" i="711"/>
  <c r="H50" i="711"/>
  <c r="H51" i="711"/>
  <c r="H52" i="711"/>
  <c r="H53" i="711"/>
  <c r="H54" i="711"/>
  <c r="H55" i="711"/>
  <c r="H56" i="711"/>
  <c r="H57" i="711"/>
  <c r="H58" i="711"/>
  <c r="H59" i="711"/>
  <c r="H60" i="711"/>
  <c r="H61" i="711"/>
  <c r="H62" i="711"/>
  <c r="H63" i="711"/>
  <c r="H64" i="711"/>
  <c r="H65" i="711"/>
  <c r="H66" i="711"/>
  <c r="H67" i="711"/>
  <c r="H68" i="711"/>
  <c r="H69" i="711"/>
  <c r="H70" i="711"/>
  <c r="H71" i="711"/>
  <c r="H72" i="711"/>
  <c r="H73" i="711"/>
  <c r="H74" i="711"/>
  <c r="H75" i="711"/>
  <c r="H76" i="711"/>
  <c r="H77" i="711"/>
  <c r="H78" i="711"/>
  <c r="H79" i="711"/>
  <c r="H80" i="711"/>
  <c r="H81" i="711"/>
  <c r="H82" i="711"/>
  <c r="H83" i="711"/>
  <c r="H84" i="711"/>
  <c r="H85" i="711"/>
  <c r="H86" i="711"/>
  <c r="H87" i="711"/>
  <c r="H88" i="711"/>
  <c r="H89" i="711"/>
  <c r="H90" i="711"/>
  <c r="H91" i="711"/>
  <c r="H92" i="711"/>
  <c r="H93" i="711"/>
  <c r="H94" i="711"/>
  <c r="H95" i="711"/>
  <c r="H96" i="711"/>
  <c r="H97" i="711"/>
  <c r="H98" i="711"/>
  <c r="H99" i="711"/>
  <c r="H100" i="711"/>
  <c r="H101" i="711"/>
  <c r="H102" i="711"/>
  <c r="H103" i="711"/>
  <c r="H104" i="711"/>
  <c r="H105" i="711"/>
  <c r="H106" i="711"/>
  <c r="H107" i="711"/>
  <c r="H108" i="711"/>
  <c r="H109" i="711"/>
  <c r="H110" i="711"/>
  <c r="H111" i="711"/>
  <c r="H112" i="711"/>
  <c r="H113" i="711"/>
  <c r="H114" i="711"/>
  <c r="H115" i="711"/>
  <c r="H116" i="711"/>
  <c r="H117" i="711"/>
  <c r="H118" i="711"/>
  <c r="H119" i="711"/>
  <c r="H120" i="711"/>
  <c r="H121" i="711"/>
  <c r="H122" i="711"/>
  <c r="H123" i="711"/>
  <c r="H124" i="711"/>
  <c r="H125" i="711"/>
  <c r="H126" i="711"/>
  <c r="H127" i="711"/>
  <c r="H128" i="711"/>
  <c r="H129" i="711"/>
  <c r="H130" i="711"/>
  <c r="H131" i="711"/>
  <c r="H132" i="711"/>
  <c r="H133" i="711"/>
  <c r="H134" i="711"/>
  <c r="H135" i="711"/>
  <c r="H136" i="711"/>
  <c r="H137" i="711"/>
  <c r="H138" i="711"/>
  <c r="H139" i="711"/>
  <c r="H140" i="711"/>
  <c r="H141" i="711"/>
  <c r="H142" i="711"/>
  <c r="H143" i="711"/>
  <c r="H144" i="711"/>
  <c r="H145" i="711"/>
  <c r="H146" i="711"/>
  <c r="H147" i="711"/>
  <c r="H148" i="711"/>
  <c r="H149" i="711"/>
  <c r="H150" i="711"/>
  <c r="H151" i="711"/>
  <c r="H152" i="711"/>
  <c r="H153" i="711"/>
  <c r="H154" i="711"/>
  <c r="H155" i="711"/>
  <c r="H156" i="711"/>
  <c r="H157" i="711"/>
  <c r="H158" i="711"/>
  <c r="H159" i="711"/>
  <c r="H160" i="711"/>
  <c r="H161" i="711"/>
  <c r="H162" i="711"/>
  <c r="H163" i="711"/>
  <c r="H164" i="711"/>
  <c r="H165" i="711"/>
  <c r="H166" i="711"/>
  <c r="H167" i="711"/>
  <c r="H168" i="711"/>
  <c r="H169" i="711"/>
  <c r="H170" i="711"/>
  <c r="H171" i="711"/>
  <c r="H172" i="711"/>
  <c r="H173" i="711"/>
  <c r="H174" i="711"/>
  <c r="H175" i="711"/>
  <c r="H176" i="711"/>
  <c r="H177" i="711"/>
  <c r="H178" i="711"/>
  <c r="H179" i="711"/>
  <c r="H180" i="711"/>
  <c r="H181" i="711"/>
  <c r="H182" i="711"/>
  <c r="H183" i="711"/>
  <c r="H184" i="711"/>
  <c r="H185" i="711"/>
  <c r="H186" i="711"/>
  <c r="H187" i="711"/>
  <c r="H188" i="711"/>
  <c r="H189" i="711"/>
  <c r="H190" i="711"/>
  <c r="H191" i="711"/>
  <c r="H192" i="711"/>
  <c r="H193" i="711"/>
  <c r="H194" i="711"/>
  <c r="H195" i="711"/>
  <c r="H196" i="711"/>
  <c r="H197" i="711"/>
  <c r="H198" i="711"/>
  <c r="H199" i="711"/>
  <c r="H200" i="711"/>
  <c r="H201" i="711"/>
  <c r="H202" i="711"/>
  <c r="H203" i="711"/>
  <c r="H204" i="711"/>
  <c r="H205" i="711"/>
  <c r="H206" i="711"/>
  <c r="H207" i="711"/>
  <c r="H208" i="711"/>
  <c r="H209" i="711"/>
  <c r="H210" i="711"/>
  <c r="H211" i="711"/>
  <c r="H212" i="711"/>
  <c r="H213" i="711"/>
  <c r="H214" i="711"/>
  <c r="H215" i="711"/>
  <c r="H216" i="711"/>
  <c r="H217" i="711"/>
  <c r="H218" i="711"/>
  <c r="H219" i="711"/>
  <c r="H220" i="711"/>
  <c r="H221" i="711"/>
  <c r="H222" i="711"/>
  <c r="H223" i="711"/>
  <c r="H224" i="711"/>
  <c r="H225" i="711"/>
  <c r="H226" i="711"/>
  <c r="H227" i="711"/>
  <c r="H228" i="711"/>
  <c r="H229" i="711"/>
  <c r="H230" i="711"/>
  <c r="H231" i="711"/>
  <c r="H232" i="711"/>
  <c r="H233" i="711"/>
  <c r="H234" i="711"/>
  <c r="H235" i="711"/>
  <c r="H236" i="711"/>
  <c r="H237" i="711"/>
  <c r="H238" i="711"/>
  <c r="H239" i="711"/>
  <c r="H240" i="711"/>
  <c r="H241" i="711"/>
  <c r="H242" i="711"/>
  <c r="H243" i="711"/>
  <c r="H244" i="711"/>
  <c r="H245" i="711"/>
  <c r="H246" i="711"/>
  <c r="H247" i="711"/>
  <c r="H248" i="711"/>
  <c r="H249" i="711"/>
  <c r="H250" i="711"/>
  <c r="H251" i="711"/>
  <c r="H252" i="711"/>
  <c r="H253" i="711"/>
  <c r="H254" i="711"/>
  <c r="H255" i="711"/>
  <c r="H256" i="711"/>
  <c r="H257" i="711"/>
  <c r="H258" i="711"/>
  <c r="H259" i="711"/>
  <c r="H260" i="711"/>
  <c r="H261" i="711"/>
  <c r="H262" i="711"/>
  <c r="H263" i="711"/>
  <c r="H264" i="711"/>
  <c r="H265" i="711"/>
  <c r="H266" i="711"/>
  <c r="H267" i="711"/>
  <c r="H268" i="711"/>
  <c r="H269" i="711"/>
  <c r="H270" i="711"/>
  <c r="H271" i="711"/>
  <c r="H272" i="711"/>
  <c r="H273" i="711"/>
  <c r="H274" i="711"/>
  <c r="H275" i="711"/>
  <c r="H276" i="711"/>
  <c r="H277" i="711"/>
  <c r="H278" i="711"/>
  <c r="H279" i="711"/>
  <c r="H280" i="711"/>
  <c r="H281" i="711"/>
  <c r="H282" i="711"/>
  <c r="H283" i="711"/>
  <c r="H284" i="711"/>
  <c r="H285" i="711"/>
  <c r="H286" i="711"/>
  <c r="H287" i="711"/>
  <c r="H288" i="711"/>
  <c r="H289" i="711"/>
  <c r="H290" i="711"/>
  <c r="H291" i="711"/>
  <c r="H292" i="711"/>
  <c r="H293" i="711"/>
  <c r="H294" i="711"/>
  <c r="H295" i="711"/>
  <c r="H296" i="711"/>
  <c r="H297" i="711"/>
  <c r="H298" i="711"/>
  <c r="H299" i="711"/>
  <c r="H300" i="711"/>
  <c r="H301" i="711"/>
  <c r="H302" i="711"/>
  <c r="H303" i="711"/>
  <c r="H304" i="711"/>
  <c r="H305" i="711"/>
  <c r="H306" i="711"/>
  <c r="H307" i="711"/>
  <c r="H308" i="711"/>
  <c r="H309" i="711"/>
  <c r="H310" i="711"/>
  <c r="H311" i="711"/>
  <c r="H312" i="711"/>
  <c r="H313" i="711"/>
  <c r="H314" i="711"/>
  <c r="H315" i="711"/>
  <c r="H316" i="711"/>
  <c r="H317" i="711"/>
  <c r="H318" i="711"/>
  <c r="H319" i="711"/>
  <c r="H320" i="711"/>
  <c r="H321" i="711"/>
  <c r="H322" i="711"/>
  <c r="H323" i="711"/>
  <c r="H324" i="711"/>
  <c r="H325" i="711"/>
  <c r="H326" i="711"/>
  <c r="H327" i="711"/>
  <c r="H328" i="711"/>
  <c r="H329" i="711"/>
  <c r="H330" i="711"/>
  <c r="H331" i="711"/>
  <c r="H332" i="711"/>
  <c r="H333" i="711"/>
  <c r="H334" i="711"/>
  <c r="H335" i="711"/>
  <c r="H336" i="711"/>
  <c r="H337" i="711"/>
  <c r="H338" i="711"/>
  <c r="H339" i="711"/>
  <c r="H340" i="711"/>
  <c r="H341" i="711"/>
  <c r="H342" i="711"/>
  <c r="H343" i="711"/>
  <c r="H344" i="711"/>
  <c r="H345" i="711"/>
  <c r="H346" i="711"/>
  <c r="H347" i="711"/>
  <c r="H348" i="711"/>
  <c r="H349" i="711"/>
  <c r="H350" i="711"/>
  <c r="H351" i="711"/>
  <c r="H352" i="711"/>
  <c r="H353" i="711"/>
  <c r="H354" i="711"/>
  <c r="H355" i="711"/>
  <c r="H356" i="711"/>
  <c r="H357" i="711"/>
  <c r="H358" i="711"/>
  <c r="H359" i="711"/>
  <c r="H360" i="711"/>
  <c r="H361" i="711"/>
  <c r="H362" i="711"/>
  <c r="H363" i="711"/>
  <c r="H364" i="711"/>
  <c r="H365" i="711"/>
  <c r="H366" i="711"/>
  <c r="H367" i="711"/>
  <c r="H368" i="711"/>
  <c r="H369" i="711"/>
  <c r="H370" i="711"/>
  <c r="H371" i="711"/>
  <c r="H372" i="711"/>
  <c r="H373" i="711"/>
  <c r="H374" i="711"/>
  <c r="H375" i="711"/>
  <c r="H376" i="711"/>
  <c r="H377" i="711"/>
  <c r="H378" i="711"/>
  <c r="H379" i="711"/>
  <c r="H380" i="711"/>
  <c r="H381" i="711"/>
  <c r="H382" i="711"/>
  <c r="H383" i="711"/>
  <c r="H384" i="711"/>
  <c r="H385" i="711"/>
  <c r="H386" i="711"/>
  <c r="H387" i="711"/>
  <c r="H388" i="711"/>
  <c r="H389" i="711"/>
  <c r="H390" i="711"/>
  <c r="H391" i="711"/>
  <c r="H392" i="711"/>
  <c r="H393" i="711"/>
  <c r="H394" i="711"/>
  <c r="H395" i="711"/>
  <c r="H396" i="711"/>
  <c r="H397" i="711"/>
  <c r="H398" i="711"/>
  <c r="H399" i="711"/>
  <c r="H400" i="711"/>
  <c r="H401" i="711"/>
  <c r="H402" i="711"/>
  <c r="H403" i="711"/>
  <c r="H404" i="711"/>
  <c r="H405" i="711"/>
  <c r="H406" i="711"/>
  <c r="H407" i="711"/>
  <c r="H408" i="711"/>
  <c r="H409" i="711"/>
  <c r="H410" i="711"/>
  <c r="H411" i="711"/>
  <c r="H412" i="711"/>
  <c r="H413" i="711"/>
  <c r="H414" i="711"/>
  <c r="H415" i="711"/>
  <c r="H416" i="711"/>
  <c r="H417" i="711"/>
  <c r="H418" i="711"/>
  <c r="H419" i="711"/>
  <c r="H420" i="711"/>
  <c r="H421" i="711"/>
  <c r="H422" i="711"/>
  <c r="H423" i="711"/>
  <c r="H424" i="711"/>
  <c r="H425" i="711"/>
  <c r="H426" i="711"/>
  <c r="H427" i="711"/>
  <c r="H428" i="711"/>
  <c r="H429" i="711"/>
  <c r="H430" i="711"/>
  <c r="H431" i="711"/>
  <c r="H432" i="711"/>
  <c r="H433" i="711"/>
  <c r="H434" i="711"/>
  <c r="H435" i="711"/>
  <c r="H436" i="711"/>
  <c r="H437" i="711"/>
  <c r="H438" i="711"/>
  <c r="H439" i="711"/>
  <c r="H440" i="711"/>
  <c r="H441" i="711"/>
  <c r="H442" i="711"/>
  <c r="H443" i="711"/>
  <c r="H444" i="711"/>
  <c r="H445" i="711"/>
  <c r="H446" i="711"/>
  <c r="H447" i="711"/>
  <c r="H448" i="711"/>
  <c r="H449" i="711"/>
  <c r="H450" i="711"/>
  <c r="H451" i="711"/>
  <c r="H452" i="711"/>
  <c r="H453" i="711"/>
  <c r="H454" i="711"/>
  <c r="H455" i="711"/>
  <c r="H456" i="711"/>
  <c r="H457" i="711"/>
  <c r="H458" i="711"/>
  <c r="H459" i="711"/>
  <c r="H460" i="711"/>
  <c r="H461" i="711"/>
  <c r="H462" i="711"/>
  <c r="H463" i="711"/>
  <c r="H464" i="711"/>
  <c r="H465" i="711"/>
  <c r="H466" i="711"/>
  <c r="H467" i="711"/>
  <c r="H468" i="711"/>
  <c r="H469" i="711"/>
  <c r="H470" i="711"/>
  <c r="H471" i="711"/>
  <c r="H472" i="711"/>
  <c r="H473" i="711"/>
  <c r="H474" i="711"/>
  <c r="H475" i="711"/>
  <c r="H476" i="711"/>
  <c r="H477" i="711"/>
  <c r="H478" i="711"/>
  <c r="H479" i="711"/>
  <c r="H480" i="711"/>
  <c r="H481" i="711"/>
  <c r="H482" i="711"/>
  <c r="H483" i="711"/>
  <c r="H484" i="711"/>
  <c r="H485" i="711"/>
  <c r="H486" i="711"/>
  <c r="H487" i="711"/>
  <c r="H488" i="711"/>
  <c r="H489" i="711"/>
  <c r="H490" i="711"/>
  <c r="H491" i="711"/>
  <c r="H492" i="711"/>
  <c r="H493" i="711"/>
  <c r="H494" i="711"/>
  <c r="H495" i="711"/>
  <c r="H496" i="711"/>
  <c r="H497" i="711"/>
  <c r="H498" i="711"/>
  <c r="H499" i="711"/>
  <c r="H500" i="711"/>
  <c r="H501" i="711"/>
  <c r="H502" i="711"/>
  <c r="H503" i="711"/>
  <c r="H504" i="711"/>
  <c r="H505" i="711"/>
  <c r="H506" i="711"/>
  <c r="H507" i="711"/>
  <c r="H508" i="711"/>
  <c r="H509" i="711"/>
  <c r="H510" i="711"/>
  <c r="H511" i="711"/>
  <c r="H512" i="711"/>
  <c r="H513" i="711"/>
  <c r="H514" i="711"/>
  <c r="H515" i="711"/>
  <c r="H516" i="711"/>
  <c r="H517" i="711"/>
  <c r="H518" i="711"/>
  <c r="H519" i="711"/>
  <c r="H520" i="711"/>
  <c r="H521" i="711"/>
  <c r="H522" i="711"/>
  <c r="H523" i="711"/>
  <c r="H524" i="711"/>
  <c r="H525" i="711"/>
  <c r="H526" i="711"/>
  <c r="H527" i="711"/>
  <c r="H528" i="711"/>
  <c r="H529" i="711"/>
  <c r="H530" i="711"/>
  <c r="H531" i="711"/>
  <c r="H532" i="711"/>
  <c r="H533" i="711"/>
  <c r="H534" i="711"/>
  <c r="H535" i="711"/>
  <c r="H536" i="711"/>
  <c r="H537" i="711"/>
  <c r="H538" i="711"/>
  <c r="H539" i="711"/>
  <c r="H540" i="711"/>
  <c r="H541" i="711"/>
  <c r="H542" i="711"/>
  <c r="H543" i="711"/>
  <c r="H544" i="711"/>
  <c r="H9" i="711"/>
  <c r="B27" i="1127"/>
  <c r="B26" i="1127"/>
  <c r="B25" i="1127"/>
  <c r="B17" i="1127"/>
  <c r="B16" i="1127"/>
  <c r="B14" i="1127"/>
  <c r="B13" i="1127"/>
  <c r="B4" i="1127"/>
  <c r="B3" i="1127"/>
  <c r="B24" i="1127"/>
  <c r="B18" i="1127"/>
  <c r="B15" i="1127"/>
  <c r="B6" i="1127"/>
  <c r="B5" i="1127"/>
  <c r="B37" i="1127"/>
  <c r="B36" i="1127"/>
  <c r="B35" i="1127"/>
  <c r="B34" i="1127"/>
  <c r="B31" i="1127"/>
  <c r="B30" i="1127"/>
  <c r="B23" i="1127"/>
  <c r="B19" i="1127"/>
  <c r="B11" i="1127"/>
  <c r="B7" i="1127"/>
  <c r="D33" i="1127"/>
  <c r="G31" i="1127"/>
  <c r="C30" i="1127"/>
  <c r="C29" i="1127"/>
  <c r="C28" i="1127"/>
  <c r="B33" i="1127"/>
  <c r="B32" i="1127"/>
  <c r="B29" i="1127"/>
  <c r="B39" i="1127"/>
  <c r="B38" i="1127"/>
  <c r="B28" i="1127"/>
  <c r="D39" i="1127"/>
  <c r="C38" i="1127"/>
  <c r="D228" i="1063"/>
  <c r="J512" i="728"/>
  <c r="J511" i="728"/>
  <c r="J510" i="728"/>
  <c r="J509" i="728"/>
  <c r="J508" i="728"/>
  <c r="J507" i="728"/>
  <c r="J506" i="728"/>
  <c r="J505" i="728"/>
  <c r="J504" i="728"/>
  <c r="J503" i="728"/>
  <c r="J502" i="728"/>
  <c r="J501" i="728"/>
  <c r="J500" i="728"/>
  <c r="J499" i="728"/>
  <c r="J498" i="728"/>
  <c r="J497" i="728"/>
  <c r="J496" i="728"/>
  <c r="J495" i="728"/>
  <c r="J494" i="728"/>
  <c r="J493" i="728"/>
  <c r="J492" i="728"/>
  <c r="J491" i="728"/>
  <c r="J490" i="728"/>
  <c r="J489" i="728"/>
  <c r="J488" i="728"/>
  <c r="J487" i="728"/>
  <c r="J486" i="728"/>
  <c r="J485" i="728"/>
  <c r="J484" i="728"/>
  <c r="J483" i="728"/>
  <c r="J482" i="728"/>
  <c r="J481" i="728"/>
  <c r="J480" i="728"/>
  <c r="J479" i="728"/>
  <c r="J478" i="728"/>
  <c r="J477" i="728"/>
  <c r="J476" i="728"/>
  <c r="J475" i="728"/>
  <c r="J474" i="728"/>
  <c r="J473" i="728"/>
  <c r="J472" i="728"/>
  <c r="J471" i="728"/>
  <c r="J470" i="728"/>
  <c r="J469" i="728"/>
  <c r="J468" i="728"/>
  <c r="J460" i="728"/>
  <c r="J459" i="728"/>
  <c r="J458" i="728"/>
  <c r="J457" i="728"/>
  <c r="J456" i="728"/>
  <c r="J455" i="728"/>
  <c r="J454" i="728"/>
  <c r="J453" i="728"/>
  <c r="J452" i="728"/>
  <c r="J451" i="728"/>
  <c r="J450" i="728"/>
  <c r="J449" i="728"/>
  <c r="J448" i="728"/>
  <c r="J447" i="728"/>
  <c r="J446" i="728"/>
  <c r="J445" i="728"/>
  <c r="J444" i="728"/>
  <c r="J443" i="728"/>
  <c r="J442" i="728"/>
  <c r="J441" i="728"/>
  <c r="J440" i="728"/>
  <c r="J439" i="728"/>
  <c r="J438" i="728"/>
  <c r="J437" i="728"/>
  <c r="J436" i="728"/>
  <c r="J435" i="728"/>
  <c r="J434" i="728"/>
  <c r="J433" i="728"/>
  <c r="J432" i="728"/>
  <c r="J431" i="728"/>
  <c r="J430" i="728"/>
  <c r="J429" i="728"/>
  <c r="J428" i="728"/>
  <c r="J427" i="728"/>
  <c r="J426" i="728"/>
  <c r="J425" i="728"/>
  <c r="J424" i="728"/>
  <c r="J423" i="728"/>
  <c r="J422" i="728"/>
  <c r="J421" i="728"/>
  <c r="J420" i="728"/>
  <c r="J419" i="728"/>
  <c r="J418" i="728"/>
  <c r="J417" i="728"/>
  <c r="J416" i="728"/>
  <c r="J415" i="728"/>
  <c r="J414" i="728"/>
  <c r="J413" i="728"/>
  <c r="J412" i="728"/>
  <c r="J411" i="728"/>
  <c r="J410" i="728"/>
  <c r="J409" i="728"/>
  <c r="J408" i="728"/>
  <c r="J407" i="728"/>
  <c r="J406" i="728"/>
  <c r="J405" i="728"/>
  <c r="J404" i="728"/>
  <c r="J403" i="728"/>
  <c r="J402" i="728"/>
  <c r="J401" i="728"/>
  <c r="J400" i="728"/>
  <c r="J399" i="728"/>
  <c r="J398" i="728"/>
  <c r="J397" i="728"/>
  <c r="J396" i="728"/>
  <c r="J395" i="728"/>
  <c r="J394" i="728"/>
  <c r="J393" i="728"/>
  <c r="J392" i="728"/>
  <c r="J391" i="728"/>
  <c r="J390" i="728"/>
  <c r="J389" i="728"/>
  <c r="J388" i="728"/>
  <c r="J387" i="728"/>
  <c r="J386" i="728"/>
  <c r="J385" i="728"/>
  <c r="J384" i="728"/>
  <c r="J383" i="728"/>
  <c r="J382" i="728"/>
  <c r="J381" i="728"/>
  <c r="J380" i="728"/>
  <c r="J379" i="728"/>
  <c r="J378" i="728"/>
  <c r="J377" i="728"/>
  <c r="J376" i="728"/>
  <c r="J375" i="728"/>
  <c r="J374" i="728"/>
  <c r="J373" i="728"/>
  <c r="J372" i="728"/>
  <c r="J371" i="728"/>
  <c r="J370" i="728"/>
  <c r="J369" i="728"/>
  <c r="J368" i="728"/>
  <c r="J367" i="728"/>
  <c r="J366" i="728"/>
  <c r="J365" i="728"/>
  <c r="J364" i="728"/>
  <c r="J363" i="728"/>
  <c r="J362" i="728"/>
  <c r="J361" i="728"/>
  <c r="J360" i="728"/>
  <c r="J359" i="728"/>
  <c r="J358" i="728"/>
  <c r="J357" i="728"/>
  <c r="J356" i="728"/>
  <c r="J355" i="728"/>
  <c r="J354" i="728"/>
  <c r="J353" i="728"/>
  <c r="J352" i="728"/>
  <c r="J351" i="728"/>
  <c r="J350" i="728"/>
  <c r="J349" i="728"/>
  <c r="J348" i="728"/>
  <c r="J347" i="728"/>
  <c r="J346" i="728"/>
  <c r="J345" i="728"/>
  <c r="J344" i="728"/>
  <c r="J343" i="728"/>
  <c r="J342" i="728"/>
  <c r="J341" i="728"/>
  <c r="J340" i="728"/>
  <c r="J339" i="728"/>
  <c r="J338" i="728"/>
  <c r="J337" i="728"/>
  <c r="J336" i="728"/>
  <c r="J335" i="728"/>
  <c r="J334" i="728"/>
  <c r="J333" i="728"/>
  <c r="J332" i="728"/>
  <c r="J331" i="728"/>
  <c r="J330" i="728"/>
  <c r="J329" i="728"/>
  <c r="J328" i="728"/>
  <c r="J327" i="728"/>
  <c r="J326" i="728"/>
  <c r="J325" i="728"/>
  <c r="J324" i="728"/>
  <c r="J323" i="728"/>
  <c r="J322" i="728"/>
  <c r="J321" i="728"/>
  <c r="J320" i="728"/>
  <c r="J319" i="728"/>
  <c r="J318" i="728"/>
  <c r="J317" i="728"/>
  <c r="J316" i="728"/>
  <c r="J315" i="728"/>
  <c r="J314" i="728"/>
  <c r="J313" i="728"/>
  <c r="J312" i="728"/>
  <c r="J311" i="728"/>
  <c r="J310" i="728"/>
  <c r="J309" i="728"/>
  <c r="J308" i="728"/>
  <c r="J307" i="728"/>
  <c r="J306" i="728"/>
  <c r="J305" i="728"/>
  <c r="J304" i="728"/>
  <c r="J303" i="728"/>
  <c r="J302" i="728"/>
  <c r="J301" i="728"/>
  <c r="J300" i="728"/>
  <c r="J299" i="728"/>
  <c r="J298" i="728"/>
  <c r="J297" i="728"/>
  <c r="J296" i="728"/>
  <c r="J295" i="728"/>
  <c r="J294" i="728"/>
  <c r="J293" i="728"/>
  <c r="J292" i="728"/>
  <c r="J291" i="728"/>
  <c r="J290" i="728"/>
  <c r="J289" i="728"/>
  <c r="J288" i="728"/>
  <c r="J287" i="728"/>
  <c r="J286" i="728"/>
  <c r="J285" i="728"/>
  <c r="J284" i="728"/>
  <c r="J283" i="728"/>
  <c r="J282" i="728"/>
  <c r="J281" i="728"/>
  <c r="J280" i="728"/>
  <c r="J279" i="728"/>
  <c r="J278" i="728"/>
  <c r="J277" i="728"/>
  <c r="J276" i="728"/>
  <c r="J275" i="728"/>
  <c r="J274" i="728"/>
  <c r="J273" i="728"/>
  <c r="J272" i="728"/>
  <c r="J271" i="728"/>
  <c r="J270" i="728"/>
  <c r="J269" i="728"/>
  <c r="J268" i="728"/>
  <c r="J267" i="728"/>
  <c r="J266" i="728"/>
  <c r="J265" i="728"/>
  <c r="J264" i="728"/>
  <c r="J263" i="728"/>
  <c r="J262" i="728"/>
  <c r="J261" i="728"/>
  <c r="J260" i="728"/>
  <c r="J259" i="728"/>
  <c r="J258" i="728"/>
  <c r="J257" i="728"/>
  <c r="J256" i="728"/>
  <c r="J255" i="728"/>
  <c r="J254" i="728"/>
  <c r="J253" i="728"/>
  <c r="J252" i="728"/>
  <c r="J251" i="728"/>
  <c r="J250" i="728"/>
  <c r="J249" i="728"/>
  <c r="J248" i="728"/>
  <c r="J247" i="728"/>
  <c r="J246" i="728"/>
  <c r="J245" i="728"/>
  <c r="J244" i="728"/>
  <c r="J243" i="728"/>
  <c r="J242" i="728"/>
  <c r="J241" i="728"/>
  <c r="J240" i="728"/>
  <c r="J239" i="728"/>
  <c r="J238" i="728"/>
  <c r="J237" i="728"/>
  <c r="J236" i="728"/>
  <c r="J235" i="728"/>
  <c r="J234" i="728"/>
  <c r="J233" i="728"/>
  <c r="J232" i="728"/>
  <c r="J231" i="728"/>
  <c r="J230" i="728"/>
  <c r="J229" i="728"/>
  <c r="J228" i="728"/>
  <c r="J227" i="728"/>
  <c r="J226" i="728"/>
  <c r="J225" i="728"/>
  <c r="J224" i="728"/>
  <c r="J223" i="728"/>
  <c r="J222" i="728"/>
  <c r="J221" i="728"/>
  <c r="J220" i="728"/>
  <c r="J219" i="728"/>
  <c r="J218" i="728"/>
  <c r="J217" i="728"/>
  <c r="J216" i="728"/>
  <c r="J215" i="728"/>
  <c r="J214" i="728"/>
  <c r="J213" i="728"/>
  <c r="J212" i="728"/>
  <c r="J211" i="728"/>
  <c r="J210" i="728"/>
  <c r="J209" i="728"/>
  <c r="J208" i="728"/>
  <c r="J207" i="728"/>
  <c r="J206" i="728"/>
  <c r="J205" i="728"/>
  <c r="J204" i="728"/>
  <c r="J203" i="728"/>
  <c r="J202" i="728"/>
  <c r="J201" i="728"/>
  <c r="J200" i="728"/>
  <c r="J199" i="728"/>
  <c r="J198" i="728"/>
  <c r="J197" i="728"/>
  <c r="J196" i="728"/>
  <c r="J195" i="728"/>
  <c r="J194" i="728"/>
  <c r="J193" i="728"/>
  <c r="J192" i="728"/>
  <c r="J191" i="728"/>
  <c r="J190" i="728"/>
  <c r="J189" i="728"/>
  <c r="J188" i="728"/>
  <c r="J187" i="728"/>
  <c r="J186" i="728"/>
  <c r="J185" i="728"/>
  <c r="J184" i="728"/>
  <c r="J183" i="728"/>
  <c r="J182" i="728"/>
  <c r="J181" i="728"/>
  <c r="J180" i="728"/>
  <c r="J179" i="728"/>
  <c r="J178" i="728"/>
  <c r="J177" i="728"/>
  <c r="J176" i="728"/>
  <c r="J175" i="728"/>
  <c r="J174" i="728"/>
  <c r="J173" i="728"/>
  <c r="J172" i="728"/>
  <c r="J171" i="728"/>
  <c r="J170" i="728"/>
  <c r="J169" i="728"/>
  <c r="J168" i="728"/>
  <c r="J167" i="728"/>
  <c r="J166" i="728"/>
  <c r="J165" i="728"/>
  <c r="J164" i="728"/>
  <c r="J163" i="728"/>
  <c r="J162" i="728"/>
  <c r="J161" i="728"/>
  <c r="J160" i="728"/>
  <c r="J159" i="728"/>
  <c r="J158" i="728"/>
  <c r="J157" i="728"/>
  <c r="J156" i="728"/>
  <c r="J155" i="728"/>
  <c r="J154" i="728"/>
  <c r="J153" i="728"/>
  <c r="J152" i="728"/>
  <c r="J151" i="728"/>
  <c r="J150" i="728"/>
  <c r="J149" i="728"/>
  <c r="J148" i="728"/>
  <c r="J147" i="728"/>
  <c r="J146" i="728"/>
  <c r="J145" i="728"/>
  <c r="J144" i="728"/>
  <c r="J143" i="728"/>
  <c r="J142" i="728"/>
  <c r="J141" i="728"/>
  <c r="J140" i="728"/>
  <c r="J139" i="728"/>
  <c r="J138" i="728"/>
  <c r="J137" i="728"/>
  <c r="J136" i="728"/>
  <c r="J135" i="728"/>
  <c r="J134" i="728"/>
  <c r="J133" i="728"/>
  <c r="J132" i="728"/>
  <c r="J131" i="728"/>
  <c r="J130" i="728"/>
  <c r="J129" i="728"/>
  <c r="J128" i="728"/>
  <c r="J127" i="728"/>
  <c r="J126" i="728"/>
  <c r="J125" i="728"/>
  <c r="J124" i="728"/>
  <c r="J123" i="728"/>
  <c r="J122" i="728"/>
  <c r="J121" i="728"/>
  <c r="J120" i="728"/>
  <c r="J119" i="728"/>
  <c r="J118" i="728"/>
  <c r="J117" i="728"/>
  <c r="J116" i="728"/>
  <c r="J115" i="728"/>
  <c r="J114" i="728"/>
  <c r="J113" i="728"/>
  <c r="J112" i="728"/>
  <c r="J111" i="728"/>
  <c r="J110" i="728"/>
  <c r="J109" i="728"/>
  <c r="J108" i="728"/>
  <c r="J107" i="728"/>
  <c r="J106" i="728"/>
  <c r="J105" i="728"/>
  <c r="J104" i="728"/>
  <c r="J103" i="728"/>
  <c r="J102" i="728"/>
  <c r="J101" i="728"/>
  <c r="J100" i="728"/>
  <c r="J99" i="728"/>
  <c r="J98" i="728"/>
  <c r="J97" i="728"/>
  <c r="J96" i="728"/>
  <c r="J95" i="728"/>
  <c r="J94" i="728"/>
  <c r="J93" i="728"/>
  <c r="J92" i="728"/>
  <c r="J91" i="728"/>
  <c r="J90" i="728"/>
  <c r="J89" i="728"/>
  <c r="J88" i="728"/>
  <c r="J87" i="728"/>
  <c r="J86" i="728"/>
  <c r="J85" i="728"/>
  <c r="J84" i="728"/>
  <c r="J83" i="728"/>
  <c r="J82" i="728"/>
  <c r="J81" i="728"/>
  <c r="J80" i="728"/>
  <c r="J79" i="728"/>
  <c r="J78" i="728"/>
  <c r="J77" i="728"/>
  <c r="J76" i="728"/>
  <c r="J75" i="728"/>
  <c r="J74" i="728"/>
  <c r="J73" i="728"/>
  <c r="J72" i="728"/>
  <c r="J71" i="728"/>
  <c r="J70" i="728"/>
  <c r="J69" i="728"/>
  <c r="J68" i="728"/>
  <c r="J67" i="728"/>
  <c r="J66" i="728"/>
  <c r="J65" i="728"/>
  <c r="J64" i="728"/>
  <c r="J63" i="728"/>
  <c r="J62" i="728"/>
  <c r="J61" i="728"/>
  <c r="J60" i="728"/>
  <c r="J59" i="728"/>
  <c r="J58" i="728"/>
  <c r="J57" i="728"/>
  <c r="J56" i="728"/>
  <c r="J55" i="728"/>
  <c r="J54" i="728"/>
  <c r="J53" i="728"/>
  <c r="J52" i="728"/>
  <c r="J51" i="728"/>
  <c r="J50" i="728"/>
  <c r="J49" i="728"/>
  <c r="J48" i="728"/>
  <c r="J47" i="728"/>
  <c r="J46" i="728"/>
  <c r="J45" i="728"/>
  <c r="J44" i="728"/>
  <c r="J43" i="728"/>
  <c r="J42" i="728"/>
  <c r="J41" i="728"/>
  <c r="J40" i="728"/>
  <c r="J39" i="728"/>
  <c r="J38" i="728"/>
  <c r="J37" i="728"/>
  <c r="J36" i="728"/>
  <c r="J35" i="728"/>
  <c r="J34" i="728"/>
  <c r="J33" i="728"/>
  <c r="J32" i="728"/>
  <c r="J31" i="728"/>
  <c r="J30" i="728"/>
  <c r="J29" i="728"/>
  <c r="J28" i="728"/>
  <c r="J27" i="728"/>
  <c r="J26" i="728"/>
  <c r="J25" i="728"/>
  <c r="J24" i="728"/>
  <c r="J23" i="728"/>
  <c r="J22" i="728"/>
  <c r="J21" i="728"/>
  <c r="J20" i="728"/>
  <c r="J19" i="728"/>
  <c r="J18" i="728"/>
  <c r="J17" i="728"/>
  <c r="J16" i="728"/>
  <c r="J15" i="728"/>
  <c r="J14" i="728"/>
  <c r="J13" i="728"/>
  <c r="J12" i="728"/>
  <c r="J11" i="728"/>
  <c r="J10" i="728"/>
  <c r="J9" i="728"/>
  <c r="J8" i="728"/>
  <c r="J7" i="728"/>
  <c r="J6" i="728"/>
  <c r="J5" i="728"/>
  <c r="J4" i="728"/>
  <c r="J3" i="728"/>
  <c r="J2" i="728"/>
  <c r="J1" i="728"/>
  <c r="J505" i="712"/>
  <c r="J504" i="712"/>
  <c r="J503" i="712"/>
  <c r="J502" i="712"/>
  <c r="J501" i="712"/>
  <c r="J500" i="712"/>
  <c r="J499" i="712"/>
  <c r="J498" i="712"/>
  <c r="J497" i="712"/>
  <c r="J496" i="712"/>
  <c r="J495" i="712"/>
  <c r="J494" i="712"/>
  <c r="J493" i="712"/>
  <c r="J492" i="712"/>
  <c r="J491" i="712"/>
  <c r="J490" i="712"/>
  <c r="J489" i="712"/>
  <c r="J488" i="712"/>
  <c r="J487" i="712"/>
  <c r="J486" i="712"/>
  <c r="J485" i="712"/>
  <c r="J484" i="712"/>
  <c r="J483" i="712"/>
  <c r="J482" i="712"/>
  <c r="J481" i="712"/>
  <c r="J480" i="712"/>
  <c r="J479" i="712"/>
  <c r="J478" i="712"/>
  <c r="J477" i="712"/>
  <c r="J476" i="712"/>
  <c r="J475" i="712"/>
  <c r="J474" i="712"/>
  <c r="J473" i="712"/>
  <c r="J472" i="712"/>
  <c r="J471" i="712"/>
  <c r="J470" i="712"/>
  <c r="J469" i="712"/>
  <c r="J468" i="712"/>
  <c r="J467" i="712"/>
  <c r="J466" i="712"/>
  <c r="J465" i="712"/>
  <c r="J464" i="712"/>
  <c r="J463" i="712"/>
  <c r="J462" i="712"/>
  <c r="J461" i="712"/>
  <c r="J460" i="712"/>
  <c r="J459" i="712"/>
  <c r="J458" i="712"/>
  <c r="J457" i="712"/>
  <c r="J456" i="712"/>
  <c r="J455" i="712"/>
  <c r="J454" i="712"/>
  <c r="J453" i="712"/>
  <c r="J452" i="712"/>
  <c r="J451" i="712"/>
  <c r="J450" i="712"/>
  <c r="J449" i="712"/>
  <c r="J448" i="712"/>
  <c r="J447" i="712"/>
  <c r="J446" i="712"/>
  <c r="J445" i="712"/>
  <c r="J444" i="712"/>
  <c r="J443" i="712"/>
  <c r="J442" i="712"/>
  <c r="J441" i="712"/>
  <c r="J440" i="712"/>
  <c r="J439" i="712"/>
  <c r="J438" i="712"/>
  <c r="J437" i="712"/>
  <c r="J436" i="712"/>
  <c r="J435" i="712"/>
  <c r="J434" i="712"/>
  <c r="J433" i="712"/>
  <c r="J432" i="712"/>
  <c r="J431" i="712"/>
  <c r="J430" i="712"/>
  <c r="J429" i="712"/>
  <c r="J428" i="712"/>
  <c r="J427" i="712"/>
  <c r="J426" i="712"/>
  <c r="J425" i="712"/>
  <c r="J424" i="712"/>
  <c r="J423" i="712"/>
  <c r="J422" i="712"/>
  <c r="J421" i="712"/>
  <c r="J420" i="712"/>
  <c r="J419" i="712"/>
  <c r="J418" i="712"/>
  <c r="J417" i="712"/>
  <c r="J416" i="712"/>
  <c r="J415" i="712"/>
  <c r="J414" i="712"/>
  <c r="J413" i="712"/>
  <c r="J412" i="712"/>
  <c r="J411" i="712"/>
  <c r="J410" i="712"/>
  <c r="J409" i="712"/>
  <c r="J408" i="712"/>
  <c r="J407" i="712"/>
  <c r="J406" i="712"/>
  <c r="J405" i="712"/>
  <c r="J404" i="712"/>
  <c r="J403" i="712"/>
  <c r="J402" i="712"/>
  <c r="J401" i="712"/>
  <c r="J400" i="712"/>
  <c r="J399" i="712"/>
  <c r="J398" i="712"/>
  <c r="J397" i="712"/>
  <c r="J396" i="712"/>
  <c r="J395" i="712"/>
  <c r="J394" i="712"/>
  <c r="J393" i="712"/>
  <c r="J392" i="712"/>
  <c r="J391" i="712"/>
  <c r="J390" i="712"/>
  <c r="J389" i="712"/>
  <c r="J388" i="712"/>
  <c r="J387" i="712"/>
  <c r="J386" i="712"/>
  <c r="J385" i="712"/>
  <c r="J384" i="712"/>
  <c r="J383" i="712"/>
  <c r="J382" i="712"/>
  <c r="J381" i="712"/>
  <c r="J380" i="712"/>
  <c r="J379" i="712"/>
  <c r="J378" i="712"/>
  <c r="J377" i="712"/>
  <c r="J376" i="712"/>
  <c r="J375" i="712"/>
  <c r="J374" i="712"/>
  <c r="J373" i="712"/>
  <c r="J372" i="712"/>
  <c r="J371" i="712"/>
  <c r="J370" i="712"/>
  <c r="J369" i="712"/>
  <c r="J368" i="712"/>
  <c r="J367" i="712"/>
  <c r="J366" i="712"/>
  <c r="J365" i="712"/>
  <c r="J364" i="712"/>
  <c r="J363" i="712"/>
  <c r="J362" i="712"/>
  <c r="J361" i="712"/>
  <c r="J360" i="712"/>
  <c r="J359" i="712"/>
  <c r="J358" i="712"/>
  <c r="J357" i="712"/>
  <c r="J356" i="712"/>
  <c r="J355" i="712"/>
  <c r="J354" i="712"/>
  <c r="J353" i="712"/>
  <c r="J352" i="712"/>
  <c r="J351" i="712"/>
  <c r="J350" i="712"/>
  <c r="J349" i="712"/>
  <c r="J348" i="712"/>
  <c r="J347" i="712"/>
  <c r="J346" i="712"/>
  <c r="J345" i="712"/>
  <c r="J344" i="712"/>
  <c r="J343" i="712"/>
  <c r="J342" i="712"/>
  <c r="J341" i="712"/>
  <c r="J340" i="712"/>
  <c r="J339" i="712"/>
  <c r="J338" i="712"/>
  <c r="J337" i="712"/>
  <c r="J336" i="712"/>
  <c r="J335" i="712"/>
  <c r="J334" i="712"/>
  <c r="J333" i="712"/>
  <c r="J332" i="712"/>
  <c r="J331" i="712"/>
  <c r="J330" i="712"/>
  <c r="J329" i="712"/>
  <c r="J328" i="712"/>
  <c r="J327" i="712"/>
  <c r="J326" i="712"/>
  <c r="J325" i="712"/>
  <c r="J324" i="712"/>
  <c r="J323" i="712"/>
  <c r="J322" i="712"/>
  <c r="J321" i="712"/>
  <c r="J320" i="712"/>
  <c r="J319" i="712"/>
  <c r="J318" i="712"/>
  <c r="J317" i="712"/>
  <c r="J316" i="712"/>
  <c r="J315" i="712"/>
  <c r="J314" i="712"/>
  <c r="J313" i="712"/>
  <c r="J312" i="712"/>
  <c r="J311" i="712"/>
  <c r="J310" i="712"/>
  <c r="J309" i="712"/>
  <c r="J308" i="712"/>
  <c r="J307" i="712"/>
  <c r="J306" i="712"/>
  <c r="J305" i="712"/>
  <c r="J304" i="712"/>
  <c r="J303" i="712"/>
  <c r="J302" i="712"/>
  <c r="J301" i="712"/>
  <c r="J300" i="712"/>
  <c r="J299" i="712"/>
  <c r="J298" i="712"/>
  <c r="J297" i="712"/>
  <c r="J296" i="712"/>
  <c r="J295" i="712"/>
  <c r="J294" i="712"/>
  <c r="J293" i="712"/>
  <c r="J292" i="712"/>
  <c r="J291" i="712"/>
  <c r="J290" i="712"/>
  <c r="J289" i="712"/>
  <c r="J288" i="712"/>
  <c r="J287" i="712"/>
  <c r="J286" i="712"/>
  <c r="J285" i="712"/>
  <c r="J284" i="712"/>
  <c r="J283" i="712"/>
  <c r="J282" i="712"/>
  <c r="J281" i="712"/>
  <c r="J280" i="712"/>
  <c r="J279" i="712"/>
  <c r="J278" i="712"/>
  <c r="J277" i="712"/>
  <c r="J276" i="712"/>
  <c r="J275" i="712"/>
  <c r="J274" i="712"/>
  <c r="J273" i="712"/>
  <c r="J272" i="712"/>
  <c r="J271" i="712"/>
  <c r="J270" i="712"/>
  <c r="J269" i="712"/>
  <c r="J268" i="712"/>
  <c r="J267" i="712"/>
  <c r="J266" i="712"/>
  <c r="J265" i="712"/>
  <c r="J264" i="712"/>
  <c r="J263" i="712"/>
  <c r="J262" i="712"/>
  <c r="J261" i="712"/>
  <c r="J260" i="712"/>
  <c r="J259" i="712"/>
  <c r="J258" i="712"/>
  <c r="J257" i="712"/>
  <c r="J256" i="712"/>
  <c r="J255" i="712"/>
  <c r="J254" i="712"/>
  <c r="J253" i="712"/>
  <c r="J252" i="712"/>
  <c r="J251" i="712"/>
  <c r="J250" i="712"/>
  <c r="J249" i="712"/>
  <c r="J248" i="712"/>
  <c r="J247" i="712"/>
  <c r="J246" i="712"/>
  <c r="J245" i="712"/>
  <c r="J244" i="712"/>
  <c r="J243" i="712"/>
  <c r="J242" i="712"/>
  <c r="J241" i="712"/>
  <c r="J240" i="712"/>
  <c r="J239" i="712"/>
  <c r="J238" i="712"/>
  <c r="J237" i="712"/>
  <c r="J236" i="712"/>
  <c r="J235" i="712"/>
  <c r="J234" i="712"/>
  <c r="J233" i="712"/>
  <c r="J232" i="712"/>
  <c r="J231" i="712"/>
  <c r="J230" i="712"/>
  <c r="J229" i="712"/>
  <c r="J228" i="712"/>
  <c r="J227" i="712"/>
  <c r="J226" i="712"/>
  <c r="J225" i="712"/>
  <c r="J224" i="712"/>
  <c r="J223" i="712"/>
  <c r="J222" i="712"/>
  <c r="J221" i="712"/>
  <c r="J220" i="712"/>
  <c r="J219" i="712"/>
  <c r="J218" i="712"/>
  <c r="J217" i="712"/>
  <c r="J216" i="712"/>
  <c r="J215" i="712"/>
  <c r="J214" i="712"/>
  <c r="J213" i="712"/>
  <c r="J212" i="712"/>
  <c r="J211" i="712"/>
  <c r="J210" i="712"/>
  <c r="J209" i="712"/>
  <c r="J208" i="712"/>
  <c r="J207" i="712"/>
  <c r="J206" i="712"/>
  <c r="J205" i="712"/>
  <c r="J204" i="712"/>
  <c r="J203" i="712"/>
  <c r="J202" i="712"/>
  <c r="J201" i="712"/>
  <c r="J200" i="712"/>
  <c r="J199" i="712"/>
  <c r="J198" i="712"/>
  <c r="J197" i="712"/>
  <c r="J196" i="712"/>
  <c r="J195" i="712"/>
  <c r="J194" i="712"/>
  <c r="J193" i="712"/>
  <c r="J192" i="712"/>
  <c r="J191" i="712"/>
  <c r="J190" i="712"/>
  <c r="J189" i="712"/>
  <c r="J188" i="712"/>
  <c r="J187" i="712"/>
  <c r="J186" i="712"/>
  <c r="J185" i="712"/>
  <c r="J184" i="712"/>
  <c r="J183" i="712"/>
  <c r="J182" i="712"/>
  <c r="J181" i="712"/>
  <c r="J180" i="712"/>
  <c r="J179" i="712"/>
  <c r="J178" i="712"/>
  <c r="J177" i="712"/>
  <c r="J176" i="712"/>
  <c r="J175" i="712"/>
  <c r="J174" i="712"/>
  <c r="J173" i="712"/>
  <c r="J172" i="712"/>
  <c r="J171" i="712"/>
  <c r="J170" i="712"/>
  <c r="J169" i="712"/>
  <c r="J168" i="712"/>
  <c r="J167" i="712"/>
  <c r="J166" i="712"/>
  <c r="J165" i="712"/>
  <c r="J164" i="712"/>
  <c r="J163" i="712"/>
  <c r="J162" i="712"/>
  <c r="J161" i="712"/>
  <c r="J160" i="712"/>
  <c r="J159" i="712"/>
  <c r="J158" i="712"/>
  <c r="J157" i="712"/>
  <c r="J156" i="712"/>
  <c r="J155" i="712"/>
  <c r="J154" i="712"/>
  <c r="J153" i="712"/>
  <c r="J152" i="712"/>
  <c r="J151" i="712"/>
  <c r="J150" i="712"/>
  <c r="J149" i="712"/>
  <c r="J148" i="712"/>
  <c r="J147" i="712"/>
  <c r="J146" i="712"/>
  <c r="J145" i="712"/>
  <c r="J144" i="712"/>
  <c r="J143" i="712"/>
  <c r="J142" i="712"/>
  <c r="J141" i="712"/>
  <c r="J140" i="712"/>
  <c r="J139" i="712"/>
  <c r="J138" i="712"/>
  <c r="J137" i="712"/>
  <c r="J136" i="712"/>
  <c r="J135" i="712"/>
  <c r="J134" i="712"/>
  <c r="J133" i="712"/>
  <c r="J132" i="712"/>
  <c r="J131" i="712"/>
  <c r="J130" i="712"/>
  <c r="J129" i="712"/>
  <c r="J128" i="712"/>
  <c r="J127" i="712"/>
  <c r="J126" i="712"/>
  <c r="J125" i="712"/>
  <c r="J124" i="712"/>
  <c r="J123" i="712"/>
  <c r="J122" i="712"/>
  <c r="J121" i="712"/>
  <c r="J120" i="712"/>
  <c r="J119" i="712"/>
  <c r="J118" i="712"/>
  <c r="J117" i="712"/>
  <c r="J116" i="712"/>
  <c r="J115" i="712"/>
  <c r="J114" i="712"/>
  <c r="J113" i="712"/>
  <c r="J112" i="712"/>
  <c r="J111" i="712"/>
  <c r="J110" i="712"/>
  <c r="J109" i="712"/>
  <c r="J108" i="712"/>
  <c r="J107" i="712"/>
  <c r="J106" i="712"/>
  <c r="J105" i="712"/>
  <c r="J104" i="712"/>
  <c r="J103" i="712"/>
  <c r="J102" i="712"/>
  <c r="J101" i="712"/>
  <c r="J100" i="712"/>
  <c r="J99" i="712"/>
  <c r="J98" i="712"/>
  <c r="J97" i="712"/>
  <c r="J96" i="712"/>
  <c r="J95" i="712"/>
  <c r="J94" i="712"/>
  <c r="J93" i="712"/>
  <c r="J92" i="712"/>
  <c r="J91" i="712"/>
  <c r="J90" i="712"/>
  <c r="J89" i="712"/>
  <c r="J88" i="712"/>
  <c r="J87" i="712"/>
  <c r="J86" i="712"/>
  <c r="J85" i="712"/>
  <c r="J84" i="712"/>
  <c r="J83" i="712"/>
  <c r="J82" i="712"/>
  <c r="J81" i="712"/>
  <c r="J80" i="712"/>
  <c r="J79" i="712"/>
  <c r="J78" i="712"/>
  <c r="J77" i="712"/>
  <c r="J76" i="712"/>
  <c r="J75" i="712"/>
  <c r="J74" i="712"/>
  <c r="J73" i="712"/>
  <c r="J72" i="712"/>
  <c r="J71" i="712"/>
  <c r="J70" i="712"/>
  <c r="J69" i="712"/>
  <c r="J68" i="712"/>
  <c r="J67" i="712"/>
  <c r="J66" i="712"/>
  <c r="J65" i="712"/>
  <c r="J64" i="712"/>
  <c r="J63" i="712"/>
  <c r="J62" i="712"/>
  <c r="J61" i="712"/>
  <c r="J60" i="712"/>
  <c r="J59" i="712"/>
  <c r="J58" i="712"/>
  <c r="J57" i="712"/>
  <c r="J56" i="712"/>
  <c r="J55" i="712"/>
  <c r="J54" i="712"/>
  <c r="J53" i="712"/>
  <c r="J52" i="712"/>
  <c r="J51" i="712"/>
  <c r="J50" i="712"/>
  <c r="J49" i="712"/>
  <c r="J48" i="712"/>
  <c r="J47" i="712"/>
  <c r="J46" i="712"/>
  <c r="J45" i="712"/>
  <c r="J44" i="712"/>
  <c r="J43" i="712"/>
  <c r="J42" i="712"/>
  <c r="J41" i="712"/>
  <c r="J40" i="712"/>
  <c r="J39" i="712"/>
  <c r="J38" i="712"/>
  <c r="J37" i="712"/>
  <c r="J36" i="712"/>
  <c r="J35" i="712"/>
  <c r="J34" i="712"/>
  <c r="J33" i="712"/>
  <c r="J32" i="712"/>
  <c r="J31" i="712"/>
  <c r="J30" i="712"/>
  <c r="J29" i="712"/>
  <c r="J28" i="712"/>
  <c r="J27" i="712"/>
  <c r="J26" i="712"/>
  <c r="J25" i="712"/>
  <c r="J24" i="712"/>
  <c r="J23" i="712"/>
  <c r="J22" i="712"/>
  <c r="J21" i="712"/>
  <c r="J20" i="712"/>
  <c r="J19" i="712"/>
  <c r="J18" i="712"/>
  <c r="J17" i="712"/>
  <c r="J16" i="712"/>
  <c r="J15" i="712"/>
  <c r="J14" i="712"/>
  <c r="J13" i="712"/>
  <c r="J12" i="712"/>
  <c r="J11" i="712"/>
  <c r="J10" i="712"/>
  <c r="J9" i="712"/>
  <c r="J8" i="712"/>
  <c r="J7" i="712"/>
  <c r="J6" i="712"/>
  <c r="J5" i="712"/>
  <c r="J4" i="712"/>
  <c r="J3" i="712"/>
  <c r="J2" i="712"/>
  <c r="J1" i="712"/>
  <c r="J505" i="885"/>
  <c r="J504" i="885"/>
  <c r="J503" i="885"/>
  <c r="J502" i="885"/>
  <c r="J501" i="885"/>
  <c r="J500" i="885"/>
  <c r="J499" i="885"/>
  <c r="J498" i="885"/>
  <c r="J497" i="885"/>
  <c r="J496" i="885"/>
  <c r="J495" i="885"/>
  <c r="J494" i="885"/>
  <c r="J493" i="885"/>
  <c r="J492" i="885"/>
  <c r="J491" i="885"/>
  <c r="J490" i="885"/>
  <c r="J489" i="885"/>
  <c r="J488" i="885"/>
  <c r="J487" i="885"/>
  <c r="J486" i="885"/>
  <c r="J485" i="885"/>
  <c r="J484" i="885"/>
  <c r="J483" i="885"/>
  <c r="J482" i="885"/>
  <c r="J481" i="885"/>
  <c r="J480" i="885"/>
  <c r="J479" i="885"/>
  <c r="J478" i="885"/>
  <c r="J477" i="885"/>
  <c r="J476" i="885"/>
  <c r="J475" i="885"/>
  <c r="J474" i="885"/>
  <c r="J473" i="885"/>
  <c r="J472" i="885"/>
  <c r="J471" i="885"/>
  <c r="J470" i="885"/>
  <c r="J469" i="885"/>
  <c r="J468" i="885"/>
  <c r="J467" i="885"/>
  <c r="J466" i="885"/>
  <c r="J465" i="885"/>
  <c r="J464" i="885"/>
  <c r="J463" i="885"/>
  <c r="J462" i="885"/>
  <c r="J461" i="885"/>
  <c r="J460" i="885"/>
  <c r="J459" i="885"/>
  <c r="J458" i="885"/>
  <c r="J457" i="885"/>
  <c r="J456" i="885"/>
  <c r="J455" i="885"/>
  <c r="J454" i="885"/>
  <c r="J453" i="885"/>
  <c r="J452" i="885"/>
  <c r="J451" i="885"/>
  <c r="J450" i="885"/>
  <c r="J449" i="885"/>
  <c r="J448" i="885"/>
  <c r="J447" i="885"/>
  <c r="J446" i="885"/>
  <c r="J445" i="885"/>
  <c r="J444" i="885"/>
  <c r="J443" i="885"/>
  <c r="J442" i="885"/>
  <c r="J441" i="885"/>
  <c r="J440" i="885"/>
  <c r="J439" i="885"/>
  <c r="J438" i="885"/>
  <c r="J437" i="885"/>
  <c r="J436" i="885"/>
  <c r="J435" i="885"/>
  <c r="J434" i="885"/>
  <c r="J433" i="885"/>
  <c r="J432" i="885"/>
  <c r="J431" i="885"/>
  <c r="J430" i="885"/>
  <c r="J429" i="885"/>
  <c r="J428" i="885"/>
  <c r="J427" i="885"/>
  <c r="J426" i="885"/>
  <c r="J425" i="885"/>
  <c r="J424" i="885"/>
  <c r="J423" i="885"/>
  <c r="J422" i="885"/>
  <c r="J421" i="885"/>
  <c r="J420" i="885"/>
  <c r="J419" i="885"/>
  <c r="J418" i="885"/>
  <c r="J417" i="885"/>
  <c r="J416" i="885"/>
  <c r="J415" i="885"/>
  <c r="J414" i="885"/>
  <c r="J413" i="885"/>
  <c r="J412" i="885"/>
  <c r="J411" i="885"/>
  <c r="J410" i="885"/>
  <c r="J409" i="885"/>
  <c r="J408" i="885"/>
  <c r="J407" i="885"/>
  <c r="J406" i="885"/>
  <c r="J405" i="885"/>
  <c r="J404" i="885"/>
  <c r="J403" i="885"/>
  <c r="J402" i="885"/>
  <c r="J401" i="885"/>
  <c r="J400" i="885"/>
  <c r="J399" i="885"/>
  <c r="J398" i="885"/>
  <c r="J397" i="885"/>
  <c r="J396" i="885"/>
  <c r="J395" i="885"/>
  <c r="J394" i="885"/>
  <c r="J393" i="885"/>
  <c r="J392" i="885"/>
  <c r="J391" i="885"/>
  <c r="J390" i="885"/>
  <c r="J389" i="885"/>
  <c r="J388" i="885"/>
  <c r="J387" i="885"/>
  <c r="J386" i="885"/>
  <c r="J385" i="885"/>
  <c r="J384" i="885"/>
  <c r="J383" i="885"/>
  <c r="J382" i="885"/>
  <c r="J381" i="885"/>
  <c r="J380" i="885"/>
  <c r="J379" i="885"/>
  <c r="J378" i="885"/>
  <c r="J377" i="885"/>
  <c r="J376" i="885"/>
  <c r="J375" i="885"/>
  <c r="J374" i="885"/>
  <c r="J373" i="885"/>
  <c r="J372" i="885"/>
  <c r="J371" i="885"/>
  <c r="J370" i="885"/>
  <c r="J369" i="885"/>
  <c r="J368" i="885"/>
  <c r="J367" i="885"/>
  <c r="J366" i="885"/>
  <c r="J365" i="885"/>
  <c r="J364" i="885"/>
  <c r="J363" i="885"/>
  <c r="J362" i="885"/>
  <c r="J361" i="885"/>
  <c r="J360" i="885"/>
  <c r="J359" i="885"/>
  <c r="J358" i="885"/>
  <c r="J357" i="885"/>
  <c r="J356" i="885"/>
  <c r="J355" i="885"/>
  <c r="J354" i="885"/>
  <c r="J353" i="885"/>
  <c r="J352" i="885"/>
  <c r="J351" i="885"/>
  <c r="J350" i="885"/>
  <c r="J349" i="885"/>
  <c r="J348" i="885"/>
  <c r="J347" i="885"/>
  <c r="J346" i="885"/>
  <c r="J345" i="885"/>
  <c r="J344" i="885"/>
  <c r="J343" i="885"/>
  <c r="J342" i="885"/>
  <c r="J341" i="885"/>
  <c r="J340" i="885"/>
  <c r="J339" i="885"/>
  <c r="J338" i="885"/>
  <c r="J337" i="885"/>
  <c r="J336" i="885"/>
  <c r="J335" i="885"/>
  <c r="J334" i="885"/>
  <c r="J333" i="885"/>
  <c r="J332" i="885"/>
  <c r="J331" i="885"/>
  <c r="J330" i="885"/>
  <c r="J329" i="885"/>
  <c r="J328" i="885"/>
  <c r="J327" i="885"/>
  <c r="J326" i="885"/>
  <c r="J325" i="885"/>
  <c r="J324" i="885"/>
  <c r="J323" i="885"/>
  <c r="J322" i="885"/>
  <c r="J321" i="885"/>
  <c r="J320" i="885"/>
  <c r="J319" i="885"/>
  <c r="J318" i="885"/>
  <c r="J317" i="885"/>
  <c r="J316" i="885"/>
  <c r="J315" i="885"/>
  <c r="J314" i="885"/>
  <c r="J313" i="885"/>
  <c r="J312" i="885"/>
  <c r="J311" i="885"/>
  <c r="J310" i="885"/>
  <c r="J309" i="885"/>
  <c r="J308" i="885"/>
  <c r="J307" i="885"/>
  <c r="J306" i="885"/>
  <c r="J305" i="885"/>
  <c r="J304" i="885"/>
  <c r="J303" i="885"/>
  <c r="J302" i="885"/>
  <c r="J301" i="885"/>
  <c r="J300" i="885"/>
  <c r="J299" i="885"/>
  <c r="J298" i="885"/>
  <c r="J297" i="885"/>
  <c r="J296" i="885"/>
  <c r="J295" i="885"/>
  <c r="J294" i="885"/>
  <c r="J293" i="885"/>
  <c r="J292" i="885"/>
  <c r="J291" i="885"/>
  <c r="J290" i="885"/>
  <c r="J289" i="885"/>
  <c r="J288" i="885"/>
  <c r="J287" i="885"/>
  <c r="J286" i="885"/>
  <c r="J285" i="885"/>
  <c r="J284" i="885"/>
  <c r="J283" i="885"/>
  <c r="J282" i="885"/>
  <c r="J281" i="885"/>
  <c r="J280" i="885"/>
  <c r="J279" i="885"/>
  <c r="J278" i="885"/>
  <c r="J277" i="885"/>
  <c r="J276" i="885"/>
  <c r="J275" i="885"/>
  <c r="J274" i="885"/>
  <c r="J273" i="885"/>
  <c r="J272" i="885"/>
  <c r="J271" i="885"/>
  <c r="J270" i="885"/>
  <c r="J269" i="885"/>
  <c r="J268" i="885"/>
  <c r="J267" i="885"/>
  <c r="J266" i="885"/>
  <c r="J265" i="885"/>
  <c r="J264" i="885"/>
  <c r="J263" i="885"/>
  <c r="J262" i="885"/>
  <c r="J261" i="885"/>
  <c r="J260" i="885"/>
  <c r="J259" i="885"/>
  <c r="J258" i="885"/>
  <c r="J257" i="885"/>
  <c r="J256" i="885"/>
  <c r="J255" i="885"/>
  <c r="J254" i="885"/>
  <c r="J253" i="885"/>
  <c r="J252" i="885"/>
  <c r="J251" i="885"/>
  <c r="J250" i="885"/>
  <c r="J249" i="885"/>
  <c r="J248" i="885"/>
  <c r="J247" i="885"/>
  <c r="J246" i="885"/>
  <c r="J245" i="885"/>
  <c r="J244" i="885"/>
  <c r="J243" i="885"/>
  <c r="J242" i="885"/>
  <c r="J241" i="885"/>
  <c r="J240" i="885"/>
  <c r="J239" i="885"/>
  <c r="J238" i="885"/>
  <c r="J237" i="885"/>
  <c r="J236" i="885"/>
  <c r="J235" i="885"/>
  <c r="J234" i="885"/>
  <c r="J233" i="885"/>
  <c r="J232" i="885"/>
  <c r="J231" i="885"/>
  <c r="J230" i="885"/>
  <c r="J229" i="885"/>
  <c r="J228" i="885"/>
  <c r="J227" i="885"/>
  <c r="J226" i="885"/>
  <c r="J225" i="885"/>
  <c r="J224" i="885"/>
  <c r="J223" i="885"/>
  <c r="J222" i="885"/>
  <c r="J221" i="885"/>
  <c r="J220" i="885"/>
  <c r="J219" i="885"/>
  <c r="J218" i="885"/>
  <c r="J217" i="885"/>
  <c r="J216" i="885"/>
  <c r="J215" i="885"/>
  <c r="J214" i="885"/>
  <c r="J213" i="885"/>
  <c r="J212" i="885"/>
  <c r="J211" i="885"/>
  <c r="J210" i="885"/>
  <c r="J209" i="885"/>
  <c r="J208" i="885"/>
  <c r="J207" i="885"/>
  <c r="J206" i="885"/>
  <c r="J205" i="885"/>
  <c r="J204" i="885"/>
  <c r="J203" i="885"/>
  <c r="J202" i="885"/>
  <c r="J201" i="885"/>
  <c r="J200" i="885"/>
  <c r="J199" i="885"/>
  <c r="J198" i="885"/>
  <c r="J197" i="885"/>
  <c r="J196" i="885"/>
  <c r="J195" i="885"/>
  <c r="J194" i="885"/>
  <c r="J193" i="885"/>
  <c r="J192" i="885"/>
  <c r="J191" i="885"/>
  <c r="J190" i="885"/>
  <c r="J189" i="885"/>
  <c r="J188" i="885"/>
  <c r="J187" i="885"/>
  <c r="J186" i="885"/>
  <c r="J185" i="885"/>
  <c r="J184" i="885"/>
  <c r="J183" i="885"/>
  <c r="J182" i="885"/>
  <c r="J181" i="885"/>
  <c r="J180" i="885"/>
  <c r="J179" i="885"/>
  <c r="J178" i="885"/>
  <c r="J177" i="885"/>
  <c r="J176" i="885"/>
  <c r="J175" i="885"/>
  <c r="J174" i="885"/>
  <c r="J173" i="885"/>
  <c r="J172" i="885"/>
  <c r="J171" i="885"/>
  <c r="J170" i="885"/>
  <c r="J169" i="885"/>
  <c r="J168" i="885"/>
  <c r="J167" i="885"/>
  <c r="J166" i="885"/>
  <c r="J165" i="885"/>
  <c r="J164" i="885"/>
  <c r="J163" i="885"/>
  <c r="J162" i="885"/>
  <c r="J161" i="885"/>
  <c r="J160" i="885"/>
  <c r="J159" i="885"/>
  <c r="J158" i="885"/>
  <c r="J157" i="885"/>
  <c r="J156" i="885"/>
  <c r="J155" i="885"/>
  <c r="J154" i="885"/>
  <c r="J153" i="885"/>
  <c r="J152" i="885"/>
  <c r="J151" i="885"/>
  <c r="J150" i="885"/>
  <c r="J149" i="885"/>
  <c r="J148" i="885"/>
  <c r="J147" i="885"/>
  <c r="J146" i="885"/>
  <c r="J145" i="885"/>
  <c r="J144" i="885"/>
  <c r="J143" i="885"/>
  <c r="J142" i="885"/>
  <c r="J141" i="885"/>
  <c r="J140" i="885"/>
  <c r="J139" i="885"/>
  <c r="J138" i="885"/>
  <c r="J137" i="885"/>
  <c r="J136" i="885"/>
  <c r="J135" i="885"/>
  <c r="J134" i="885"/>
  <c r="J133" i="885"/>
  <c r="J132" i="885"/>
  <c r="J131" i="885"/>
  <c r="J130" i="885"/>
  <c r="J129" i="885"/>
  <c r="J128" i="885"/>
  <c r="J127" i="885"/>
  <c r="J126" i="885"/>
  <c r="J125" i="885"/>
  <c r="J124" i="885"/>
  <c r="J123" i="885"/>
  <c r="J122" i="885"/>
  <c r="J121" i="885"/>
  <c r="J120" i="885"/>
  <c r="J119" i="885"/>
  <c r="J118" i="885"/>
  <c r="J117" i="885"/>
  <c r="J116" i="885"/>
  <c r="J115" i="885"/>
  <c r="J114" i="885"/>
  <c r="J113" i="885"/>
  <c r="J112" i="885"/>
  <c r="J111" i="885"/>
  <c r="J110" i="885"/>
  <c r="J109" i="885"/>
  <c r="J108" i="885"/>
  <c r="J107" i="885"/>
  <c r="J106" i="885"/>
  <c r="J105" i="885"/>
  <c r="J104" i="885"/>
  <c r="J103" i="885"/>
  <c r="J102" i="885"/>
  <c r="J101" i="885"/>
  <c r="J100" i="885"/>
  <c r="J99" i="885"/>
  <c r="J98" i="885"/>
  <c r="J97" i="885"/>
  <c r="J96" i="885"/>
  <c r="J95" i="885"/>
  <c r="J94" i="885"/>
  <c r="J93" i="885"/>
  <c r="J92" i="885"/>
  <c r="J91" i="885"/>
  <c r="J90" i="885"/>
  <c r="J89" i="885"/>
  <c r="J88" i="885"/>
  <c r="J87" i="885"/>
  <c r="J86" i="885"/>
  <c r="J85" i="885"/>
  <c r="J84" i="885"/>
  <c r="J83" i="885"/>
  <c r="J82" i="885"/>
  <c r="J81" i="885"/>
  <c r="J80" i="885"/>
  <c r="J79" i="885"/>
  <c r="J78" i="885"/>
  <c r="J77" i="885"/>
  <c r="J76" i="885"/>
  <c r="J75" i="885"/>
  <c r="J74" i="885"/>
  <c r="J73" i="885"/>
  <c r="J72" i="885"/>
  <c r="J71" i="885"/>
  <c r="J70" i="885"/>
  <c r="J69" i="885"/>
  <c r="J68" i="885"/>
  <c r="J67" i="885"/>
  <c r="J66" i="885"/>
  <c r="J65" i="885"/>
  <c r="J64" i="885"/>
  <c r="J63" i="885"/>
  <c r="J62" i="885"/>
  <c r="J61" i="885"/>
  <c r="J60" i="885"/>
  <c r="J59" i="885"/>
  <c r="J58" i="885"/>
  <c r="J57" i="885"/>
  <c r="J56" i="885"/>
  <c r="J55" i="885"/>
  <c r="J54" i="885"/>
  <c r="J53" i="885"/>
  <c r="J52" i="885"/>
  <c r="J51" i="885"/>
  <c r="J50" i="885"/>
  <c r="J49" i="885"/>
  <c r="J48" i="885"/>
  <c r="J47" i="885"/>
  <c r="J46" i="885"/>
  <c r="J45" i="885"/>
  <c r="J44" i="885"/>
  <c r="J43" i="885"/>
  <c r="J42" i="885"/>
  <c r="J41" i="885"/>
  <c r="J40" i="885"/>
  <c r="J39" i="885"/>
  <c r="J38" i="885"/>
  <c r="J37" i="885"/>
  <c r="J36" i="885"/>
  <c r="J35" i="885"/>
  <c r="J34" i="885"/>
  <c r="J33" i="885"/>
  <c r="J32" i="885"/>
  <c r="J31" i="885"/>
  <c r="J30" i="885"/>
  <c r="J29" i="885"/>
  <c r="J28" i="885"/>
  <c r="J27" i="885"/>
  <c r="J26" i="885"/>
  <c r="J25" i="885"/>
  <c r="J24" i="885"/>
  <c r="J23" i="885"/>
  <c r="J22" i="885"/>
  <c r="J21" i="885"/>
  <c r="J20" i="885"/>
  <c r="J19" i="885"/>
  <c r="J18" i="885"/>
  <c r="J17" i="885"/>
  <c r="J16" i="885"/>
  <c r="J15" i="885"/>
  <c r="J14" i="885"/>
  <c r="J13" i="885"/>
  <c r="J12" i="885"/>
  <c r="J11" i="885"/>
  <c r="J10" i="885"/>
  <c r="J9" i="885"/>
  <c r="J8" i="885"/>
  <c r="J7" i="885"/>
  <c r="J6" i="885"/>
  <c r="J5" i="885"/>
  <c r="J4" i="885"/>
  <c r="J3" i="885"/>
  <c r="J2" i="885"/>
  <c r="J1" i="885"/>
  <c r="J498" i="711"/>
  <c r="J499" i="711"/>
  <c r="J500" i="711"/>
  <c r="J501" i="711"/>
  <c r="J502" i="711"/>
  <c r="J503" i="711"/>
  <c r="J504" i="711"/>
  <c r="J505" i="711"/>
  <c r="J497" i="711"/>
  <c r="J496" i="711"/>
  <c r="J495" i="711"/>
  <c r="J494" i="711"/>
  <c r="J493" i="711"/>
  <c r="J492" i="711"/>
  <c r="J491" i="711"/>
  <c r="J490" i="711"/>
  <c r="J489" i="711"/>
  <c r="J488" i="711"/>
  <c r="J487" i="711"/>
  <c r="J486" i="711"/>
  <c r="J485" i="711"/>
  <c r="J484" i="711"/>
  <c r="J483" i="711"/>
  <c r="J482" i="711"/>
  <c r="J481" i="711"/>
  <c r="J480" i="711"/>
  <c r="J479" i="711"/>
  <c r="J478" i="711"/>
  <c r="J477" i="711"/>
  <c r="J476" i="711"/>
  <c r="J475" i="711"/>
  <c r="J474" i="711"/>
  <c r="J473" i="711"/>
  <c r="J472" i="711"/>
  <c r="J471" i="711"/>
  <c r="J470" i="711"/>
  <c r="J469" i="711"/>
  <c r="J468" i="711"/>
  <c r="J467" i="711"/>
  <c r="J466" i="711"/>
  <c r="J465" i="711"/>
  <c r="J464" i="711"/>
  <c r="J463" i="711"/>
  <c r="J462" i="711"/>
  <c r="J461" i="711"/>
  <c r="J460" i="711"/>
  <c r="J459" i="711"/>
  <c r="J458" i="711"/>
  <c r="J457" i="711"/>
  <c r="J456" i="711"/>
  <c r="J455" i="711"/>
  <c r="J454" i="711"/>
  <c r="J453" i="711"/>
  <c r="J452" i="711"/>
  <c r="J451" i="711"/>
  <c r="J450" i="711"/>
  <c r="J449" i="711"/>
  <c r="J448" i="711"/>
  <c r="J447" i="711"/>
  <c r="J446" i="711"/>
  <c r="J445" i="711"/>
  <c r="J444" i="711"/>
  <c r="J443" i="711"/>
  <c r="J442" i="711"/>
  <c r="J441" i="711"/>
  <c r="J440" i="711"/>
  <c r="J439" i="711"/>
  <c r="J438" i="711"/>
  <c r="J437" i="711"/>
  <c r="J436" i="711"/>
  <c r="J435" i="711"/>
  <c r="J434" i="711"/>
  <c r="J433" i="711"/>
  <c r="J432" i="711"/>
  <c r="J431" i="711"/>
  <c r="J430" i="711"/>
  <c r="J429" i="711"/>
  <c r="J428" i="711"/>
  <c r="J427" i="711"/>
  <c r="J426" i="711"/>
  <c r="J425" i="711"/>
  <c r="J424" i="711"/>
  <c r="J423" i="711"/>
  <c r="J422" i="711"/>
  <c r="J421" i="711"/>
  <c r="J420" i="711"/>
  <c r="J419" i="711"/>
  <c r="J418" i="711"/>
  <c r="J417" i="711"/>
  <c r="J416" i="711"/>
  <c r="J415" i="711"/>
  <c r="J414" i="711"/>
  <c r="J413" i="711"/>
  <c r="J412" i="711"/>
  <c r="J411" i="711"/>
  <c r="J410" i="711"/>
  <c r="J409" i="711"/>
  <c r="J408" i="711"/>
  <c r="J407" i="711"/>
  <c r="J406" i="711"/>
  <c r="J405" i="711"/>
  <c r="J404" i="711"/>
  <c r="J403" i="711"/>
  <c r="J402" i="711"/>
  <c r="J401" i="711"/>
  <c r="J400" i="711"/>
  <c r="J399" i="711"/>
  <c r="J398" i="711"/>
  <c r="J397" i="711"/>
  <c r="J396" i="711"/>
  <c r="J395" i="711"/>
  <c r="J394" i="711"/>
  <c r="J393" i="711"/>
  <c r="J392" i="711"/>
  <c r="J391" i="711"/>
  <c r="J390" i="711"/>
  <c r="J389" i="711"/>
  <c r="J388" i="711"/>
  <c r="J387" i="711"/>
  <c r="J386" i="711"/>
  <c r="J385" i="711"/>
  <c r="J384" i="711"/>
  <c r="J383" i="711"/>
  <c r="J382" i="711"/>
  <c r="J381" i="711"/>
  <c r="J380" i="711"/>
  <c r="J379" i="711"/>
  <c r="J378" i="711"/>
  <c r="J377" i="711"/>
  <c r="J376" i="711"/>
  <c r="J375" i="711"/>
  <c r="J374" i="711"/>
  <c r="J373" i="711"/>
  <c r="J372" i="711"/>
  <c r="J371" i="711"/>
  <c r="J370" i="711"/>
  <c r="J369" i="711"/>
  <c r="J368" i="711"/>
  <c r="J367" i="711"/>
  <c r="J366" i="711"/>
  <c r="J365" i="711"/>
  <c r="J364" i="711"/>
  <c r="J363" i="711"/>
  <c r="J362" i="711"/>
  <c r="J361" i="711"/>
  <c r="J360" i="711"/>
  <c r="J359" i="711"/>
  <c r="J358" i="711"/>
  <c r="J357" i="711"/>
  <c r="J356" i="711"/>
  <c r="J355" i="711"/>
  <c r="J354" i="711"/>
  <c r="J353" i="711"/>
  <c r="J352" i="711"/>
  <c r="J351" i="711"/>
  <c r="J350" i="711"/>
  <c r="J349" i="711"/>
  <c r="J348" i="711"/>
  <c r="J347" i="711"/>
  <c r="J346" i="711"/>
  <c r="J345" i="711"/>
  <c r="J344" i="711"/>
  <c r="J343" i="711"/>
  <c r="J342" i="711"/>
  <c r="J341" i="711"/>
  <c r="J340" i="711"/>
  <c r="J339" i="711"/>
  <c r="J338" i="711"/>
  <c r="J337" i="711"/>
  <c r="J336" i="711"/>
  <c r="J335" i="711"/>
  <c r="J334" i="711"/>
  <c r="J333" i="711"/>
  <c r="J332" i="711"/>
  <c r="J331" i="711"/>
  <c r="J330" i="711"/>
  <c r="J329" i="711"/>
  <c r="J328" i="711"/>
  <c r="J327" i="711"/>
  <c r="J326" i="711"/>
  <c r="J325" i="711"/>
  <c r="J324" i="711"/>
  <c r="J323" i="711"/>
  <c r="J322" i="711"/>
  <c r="J321" i="711"/>
  <c r="J320" i="711"/>
  <c r="J319" i="711"/>
  <c r="J318" i="711"/>
  <c r="J317" i="711"/>
  <c r="J316" i="711"/>
  <c r="J315" i="711"/>
  <c r="J314" i="711"/>
  <c r="J313" i="711"/>
  <c r="J312" i="711"/>
  <c r="J311" i="711"/>
  <c r="J310" i="711"/>
  <c r="J309" i="711"/>
  <c r="J308" i="711"/>
  <c r="J307" i="711"/>
  <c r="J306" i="711"/>
  <c r="J305" i="711"/>
  <c r="J304" i="711"/>
  <c r="J303" i="711"/>
  <c r="J302" i="711"/>
  <c r="J301" i="711"/>
  <c r="J300" i="711"/>
  <c r="J299" i="711"/>
  <c r="J298" i="711"/>
  <c r="J297" i="711"/>
  <c r="J296" i="711"/>
  <c r="J295" i="711"/>
  <c r="J294" i="711"/>
  <c r="J293" i="711"/>
  <c r="J292" i="711"/>
  <c r="J291" i="711"/>
  <c r="J290" i="711"/>
  <c r="J289" i="711"/>
  <c r="J288" i="711"/>
  <c r="J287" i="711"/>
  <c r="J286" i="711"/>
  <c r="J285" i="711"/>
  <c r="J284" i="711"/>
  <c r="J283" i="711"/>
  <c r="J282" i="711"/>
  <c r="J281" i="711"/>
  <c r="J280" i="711"/>
  <c r="J279" i="711"/>
  <c r="J278" i="711"/>
  <c r="J277" i="711"/>
  <c r="J276" i="711"/>
  <c r="J275" i="711"/>
  <c r="J274" i="711"/>
  <c r="J273" i="711"/>
  <c r="J272" i="711"/>
  <c r="J271" i="711"/>
  <c r="J270" i="711"/>
  <c r="J269" i="711"/>
  <c r="J268" i="711"/>
  <c r="J267" i="711"/>
  <c r="J266" i="711"/>
  <c r="J265" i="711"/>
  <c r="J264" i="711"/>
  <c r="J263" i="711"/>
  <c r="J262" i="711"/>
  <c r="J261" i="711"/>
  <c r="J260" i="711"/>
  <c r="J259" i="711"/>
  <c r="J258" i="711"/>
  <c r="J257" i="711"/>
  <c r="J256" i="711"/>
  <c r="J255" i="711"/>
  <c r="J254" i="711"/>
  <c r="J253" i="711"/>
  <c r="J252" i="711"/>
  <c r="J251" i="711"/>
  <c r="J250" i="711"/>
  <c r="J249" i="711"/>
  <c r="J248" i="711"/>
  <c r="J247" i="711"/>
  <c r="J246" i="711"/>
  <c r="J245" i="711"/>
  <c r="J244" i="711"/>
  <c r="J243" i="711"/>
  <c r="J242" i="711"/>
  <c r="J241" i="711"/>
  <c r="J240" i="711"/>
  <c r="J239" i="711"/>
  <c r="J238" i="711"/>
  <c r="J237" i="711"/>
  <c r="J236" i="711"/>
  <c r="J235" i="711"/>
  <c r="J234" i="711"/>
  <c r="J233" i="711"/>
  <c r="J232" i="711"/>
  <c r="J231" i="711"/>
  <c r="J230" i="711"/>
  <c r="J229" i="711"/>
  <c r="J228" i="711"/>
  <c r="J227" i="711"/>
  <c r="J226" i="711"/>
  <c r="J225" i="711"/>
  <c r="J224" i="711"/>
  <c r="J223" i="711"/>
  <c r="J222" i="711"/>
  <c r="J221" i="711"/>
  <c r="J220" i="711"/>
  <c r="J219" i="711"/>
  <c r="J218" i="711"/>
  <c r="J217" i="711"/>
  <c r="J216" i="711"/>
  <c r="J215" i="711"/>
  <c r="J214" i="711"/>
  <c r="J213" i="711"/>
  <c r="J212" i="711"/>
  <c r="J211" i="711"/>
  <c r="J210" i="711"/>
  <c r="J209" i="711"/>
  <c r="J208" i="711"/>
  <c r="J207" i="711"/>
  <c r="J206" i="711"/>
  <c r="J205" i="711"/>
  <c r="J204" i="711"/>
  <c r="J203" i="711"/>
  <c r="J202" i="711"/>
  <c r="J201" i="711"/>
  <c r="J200" i="711"/>
  <c r="J199" i="711"/>
  <c r="J198" i="711"/>
  <c r="J197" i="711"/>
  <c r="J196" i="711"/>
  <c r="J195" i="711"/>
  <c r="J194" i="711"/>
  <c r="J193" i="711"/>
  <c r="J192" i="711"/>
  <c r="J191" i="711"/>
  <c r="J190" i="711"/>
  <c r="J189" i="711"/>
  <c r="J188" i="711"/>
  <c r="J187" i="711"/>
  <c r="J186" i="711"/>
  <c r="J185" i="711"/>
  <c r="J184" i="711"/>
  <c r="J183" i="711"/>
  <c r="J182" i="711"/>
  <c r="J181" i="711"/>
  <c r="J180" i="711"/>
  <c r="J179" i="711"/>
  <c r="J178" i="711"/>
  <c r="J177" i="711"/>
  <c r="J176" i="711"/>
  <c r="J175" i="711"/>
  <c r="J174" i="711"/>
  <c r="J173" i="711"/>
  <c r="J172" i="711"/>
  <c r="J171" i="711"/>
  <c r="J170" i="711"/>
  <c r="J169" i="711"/>
  <c r="J168" i="711"/>
  <c r="J167" i="711"/>
  <c r="J166" i="711"/>
  <c r="J165" i="711"/>
  <c r="J164" i="711"/>
  <c r="J163" i="711"/>
  <c r="J162" i="711"/>
  <c r="J161" i="711"/>
  <c r="J160" i="711"/>
  <c r="J159" i="711"/>
  <c r="J158" i="711"/>
  <c r="J157" i="711"/>
  <c r="J156" i="711"/>
  <c r="J155" i="711"/>
  <c r="J154" i="711"/>
  <c r="J153" i="711"/>
  <c r="J152" i="711"/>
  <c r="J151" i="711"/>
  <c r="J150" i="711"/>
  <c r="J149" i="711"/>
  <c r="J148" i="711"/>
  <c r="J147" i="711"/>
  <c r="J146" i="711"/>
  <c r="J145" i="711"/>
  <c r="J144" i="711"/>
  <c r="J143" i="711"/>
  <c r="J142" i="711"/>
  <c r="J141" i="711"/>
  <c r="J140" i="711"/>
  <c r="J139" i="711"/>
  <c r="J138" i="711"/>
  <c r="J137" i="711"/>
  <c r="J136" i="711"/>
  <c r="J135" i="711"/>
  <c r="J134" i="711"/>
  <c r="J133" i="711"/>
  <c r="J132" i="711"/>
  <c r="J131" i="711"/>
  <c r="J130" i="711"/>
  <c r="J129" i="711"/>
  <c r="J128" i="711"/>
  <c r="J127" i="711"/>
  <c r="J126" i="711"/>
  <c r="J125" i="711"/>
  <c r="J124" i="711"/>
  <c r="J123" i="711"/>
  <c r="J122" i="711"/>
  <c r="J121" i="711"/>
  <c r="J120" i="711"/>
  <c r="J119" i="711"/>
  <c r="J118" i="711"/>
  <c r="J117" i="711"/>
  <c r="J116" i="711"/>
  <c r="J115" i="711"/>
  <c r="J114" i="711"/>
  <c r="J113" i="711"/>
  <c r="J112" i="711"/>
  <c r="J111" i="711"/>
  <c r="J110" i="711"/>
  <c r="J109" i="711"/>
  <c r="J108" i="711"/>
  <c r="J107" i="711"/>
  <c r="J106" i="711"/>
  <c r="J105" i="711"/>
  <c r="J104" i="711"/>
  <c r="J103" i="711"/>
  <c r="J102" i="711"/>
  <c r="J101" i="711"/>
  <c r="J100" i="711"/>
  <c r="J99" i="711"/>
  <c r="J98" i="711"/>
  <c r="J97" i="711"/>
  <c r="J96" i="711"/>
  <c r="J95" i="711"/>
  <c r="J94" i="711"/>
  <c r="J93" i="711"/>
  <c r="J92" i="711"/>
  <c r="J91" i="711"/>
  <c r="J90" i="711"/>
  <c r="J89" i="711"/>
  <c r="J88" i="711"/>
  <c r="J87" i="711"/>
  <c r="J86" i="711"/>
  <c r="J85" i="711"/>
  <c r="J84" i="711"/>
  <c r="J83" i="711"/>
  <c r="J82" i="711"/>
  <c r="J81" i="711"/>
  <c r="J80" i="711"/>
  <c r="J79" i="711"/>
  <c r="J78" i="711"/>
  <c r="J77" i="711"/>
  <c r="J76" i="711"/>
  <c r="J75" i="711"/>
  <c r="J74" i="711"/>
  <c r="J73" i="711"/>
  <c r="J72" i="711"/>
  <c r="J71" i="711"/>
  <c r="J70" i="711"/>
  <c r="J69" i="711"/>
  <c r="J68" i="711"/>
  <c r="J67" i="711"/>
  <c r="J66" i="711"/>
  <c r="J65" i="711"/>
  <c r="J64" i="711"/>
  <c r="J63" i="711"/>
  <c r="J62" i="711"/>
  <c r="J61" i="711"/>
  <c r="J60" i="711"/>
  <c r="J59" i="711"/>
  <c r="J58" i="711"/>
  <c r="J57" i="711"/>
  <c r="J56" i="711"/>
  <c r="J55" i="711"/>
  <c r="J54" i="711"/>
  <c r="J53" i="711"/>
  <c r="J52" i="711"/>
  <c r="J51" i="711"/>
  <c r="J50" i="711"/>
  <c r="J49" i="711"/>
  <c r="J48" i="711"/>
  <c r="J47" i="711"/>
  <c r="J46" i="711"/>
  <c r="J45" i="711"/>
  <c r="J44" i="711"/>
  <c r="J43" i="711"/>
  <c r="J42" i="711"/>
  <c r="J41" i="711"/>
  <c r="J40" i="711"/>
  <c r="J39" i="711"/>
  <c r="J38" i="711"/>
  <c r="J37" i="711"/>
  <c r="J36" i="711"/>
  <c r="J35" i="711"/>
  <c r="J34" i="711"/>
  <c r="J33" i="711"/>
  <c r="J32" i="711"/>
  <c r="J31" i="711"/>
  <c r="J30" i="711"/>
  <c r="J29" i="711"/>
  <c r="J28" i="711"/>
  <c r="J27" i="711"/>
  <c r="J26" i="711"/>
  <c r="J25" i="711"/>
  <c r="J24" i="711"/>
  <c r="J23" i="711"/>
  <c r="J22" i="711"/>
  <c r="J21" i="711"/>
  <c r="J20" i="711"/>
  <c r="J19" i="711"/>
  <c r="J18" i="711"/>
  <c r="J17" i="711"/>
  <c r="J16" i="711"/>
  <c r="J15" i="711"/>
  <c r="J14" i="711"/>
  <c r="J13" i="711"/>
  <c r="J12" i="711"/>
  <c r="J11" i="711"/>
  <c r="J10" i="711"/>
  <c r="J9" i="711"/>
  <c r="J8" i="711"/>
  <c r="J7" i="711"/>
  <c r="J6" i="711"/>
  <c r="J5" i="711"/>
  <c r="J4" i="711"/>
  <c r="J3" i="711"/>
  <c r="J2" i="711"/>
  <c r="J1" i="711"/>
  <c r="Y102" i="408"/>
  <c r="L125" i="408" s="1"/>
  <c r="W105" i="408"/>
  <c r="P9" i="408"/>
  <c r="X121" i="408"/>
  <c r="O13" i="408"/>
  <c r="P10" i="408"/>
  <c r="R5" i="408"/>
  <c r="R6" i="408"/>
  <c r="R7" i="408"/>
  <c r="R10" i="408"/>
  <c r="R4" i="408"/>
  <c r="U25" i="408" s="1"/>
  <c r="P7" i="408"/>
  <c r="T13" i="408" s="1"/>
  <c r="P8" i="408"/>
  <c r="P11" i="408"/>
  <c r="P5" i="408"/>
  <c r="AG8" i="408"/>
  <c r="AH8" i="408"/>
  <c r="D3" i="1063"/>
  <c r="B41" i="1127"/>
  <c r="B40" i="1127"/>
  <c r="C41" i="1127"/>
  <c r="D40" i="1127"/>
  <c r="D45" i="1127"/>
  <c r="G45" i="1127"/>
  <c r="C45" i="1127"/>
  <c r="D43" i="1127"/>
  <c r="E45" i="1127"/>
  <c r="E11" i="1063"/>
  <c r="H5" i="1061" s="1"/>
  <c r="B44" i="1127"/>
  <c r="B43" i="1127"/>
  <c r="B42" i="1127"/>
  <c r="B45" i="1127"/>
  <c r="D151" i="1063"/>
  <c r="D150" i="1063"/>
  <c r="Q353" i="1127"/>
  <c r="AA353" i="1127"/>
  <c r="Q341" i="1127"/>
  <c r="AA343" i="1127" s="1"/>
  <c r="Q329" i="1127"/>
  <c r="X333" i="1127"/>
  <c r="Q317" i="1127"/>
  <c r="Q305" i="1127"/>
  <c r="Q295" i="1127"/>
  <c r="S295" i="1127"/>
  <c r="U295" i="1127" s="1"/>
  <c r="Q271" i="1127"/>
  <c r="S271" i="1127"/>
  <c r="U271" i="1127"/>
  <c r="L112" i="408"/>
  <c r="L113" i="408"/>
  <c r="C43" i="1023"/>
  <c r="J142" i="408"/>
  <c r="G74" i="1023" s="1"/>
  <c r="J131" i="408"/>
  <c r="G63" i="1023"/>
  <c r="J128" i="408"/>
  <c r="G58" i="1023" s="1"/>
  <c r="B46" i="1127"/>
  <c r="J114" i="408"/>
  <c r="G46" i="1023"/>
  <c r="P28" i="1127"/>
  <c r="P12" i="1127"/>
  <c r="P14" i="1127"/>
  <c r="P16" i="1127"/>
  <c r="P18" i="1127"/>
  <c r="P20" i="1127"/>
  <c r="P22" i="1127"/>
  <c r="P24" i="1127"/>
  <c r="P26" i="1127"/>
  <c r="P30" i="1127"/>
  <c r="P32" i="1127"/>
  <c r="P34" i="1127"/>
  <c r="P36" i="1127"/>
  <c r="P38" i="1127"/>
  <c r="P40" i="1127"/>
  <c r="P42" i="1127"/>
  <c r="P44" i="1127"/>
  <c r="P46" i="1127"/>
  <c r="P48" i="1127"/>
  <c r="P50" i="1127"/>
  <c r="S50" i="1127" s="1"/>
  <c r="U50" i="1127" s="1"/>
  <c r="X50" i="1127" s="1"/>
  <c r="AA50" i="1127" s="1"/>
  <c r="P52" i="1127"/>
  <c r="P54" i="1127"/>
  <c r="P56" i="1127"/>
  <c r="P58" i="1127"/>
  <c r="S58" i="1127" s="1"/>
  <c r="U58" i="1127" s="1"/>
  <c r="P60" i="1127"/>
  <c r="P62" i="1127"/>
  <c r="P64" i="1127"/>
  <c r="P66" i="1127"/>
  <c r="P68" i="1127"/>
  <c r="P70" i="1127"/>
  <c r="P72" i="1127"/>
  <c r="P74" i="1127"/>
  <c r="S74" i="1127" s="1"/>
  <c r="U74" i="1127" s="1"/>
  <c r="P76" i="1127"/>
  <c r="P78" i="1127"/>
  <c r="P80" i="1127"/>
  <c r="P82" i="1127"/>
  <c r="P84" i="1127"/>
  <c r="P86" i="1127"/>
  <c r="P88" i="1127"/>
  <c r="P90" i="1127"/>
  <c r="S90" i="1127" s="1"/>
  <c r="U90" i="1127" s="1"/>
  <c r="P92" i="1127"/>
  <c r="P94" i="1127"/>
  <c r="P96" i="1127"/>
  <c r="P98" i="1127"/>
  <c r="P100" i="1127"/>
  <c r="P102" i="1127"/>
  <c r="P104" i="1127"/>
  <c r="S104" i="1127" s="1"/>
  <c r="U104" i="1127" s="1"/>
  <c r="P106" i="1127"/>
  <c r="S106" i="1127" s="1"/>
  <c r="U106" i="1127" s="1"/>
  <c r="P108" i="1127"/>
  <c r="P110" i="1127"/>
  <c r="P112" i="1127"/>
  <c r="P114" i="1127"/>
  <c r="S114" i="1127" s="1"/>
  <c r="U114" i="1127" s="1"/>
  <c r="P116" i="1127"/>
  <c r="P118" i="1127"/>
  <c r="P120" i="1127"/>
  <c r="P122" i="1127"/>
  <c r="S122" i="1127" s="1"/>
  <c r="U122" i="1127" s="1"/>
  <c r="P124" i="1127"/>
  <c r="P126" i="1127"/>
  <c r="P128" i="1127"/>
  <c r="S128" i="1127" s="1"/>
  <c r="U128" i="1127" s="1"/>
  <c r="P130" i="1127"/>
  <c r="S130" i="1127" s="1"/>
  <c r="U130" i="1127" s="1"/>
  <c r="P132" i="1127"/>
  <c r="P134" i="1127"/>
  <c r="P136" i="1127"/>
  <c r="P138" i="1127"/>
  <c r="S138" i="1127" s="1"/>
  <c r="U138" i="1127" s="1"/>
  <c r="P140" i="1127"/>
  <c r="P142" i="1127"/>
  <c r="P144" i="1127"/>
  <c r="S144" i="1127" s="1"/>
  <c r="U144" i="1127" s="1"/>
  <c r="P146" i="1127"/>
  <c r="S146" i="1127" s="1"/>
  <c r="U146" i="1127" s="1"/>
  <c r="P148" i="1127"/>
  <c r="P150" i="1127"/>
  <c r="S150" i="1127" s="1"/>
  <c r="P152" i="1127"/>
  <c r="S152" i="1127" s="1"/>
  <c r="P154" i="1127"/>
  <c r="S154" i="1127" s="1"/>
  <c r="U154" i="1127" s="1"/>
  <c r="P156" i="1127"/>
  <c r="P158" i="1127"/>
  <c r="S158" i="1127" s="1"/>
  <c r="P160" i="1127"/>
  <c r="S160" i="1127" s="1"/>
  <c r="U160" i="1127" s="1"/>
  <c r="P162" i="1127"/>
  <c r="S162" i="1127" s="1"/>
  <c r="P164" i="1127"/>
  <c r="P166" i="1127"/>
  <c r="S166" i="1127" s="1"/>
  <c r="P168" i="1127"/>
  <c r="S168" i="1127" s="1"/>
  <c r="U168" i="1127" s="1"/>
  <c r="P170" i="1127"/>
  <c r="S170" i="1127" s="1"/>
  <c r="U170" i="1127" s="1"/>
  <c r="P172" i="1127"/>
  <c r="P174" i="1127"/>
  <c r="P176" i="1127"/>
  <c r="S176" i="1127" s="1"/>
  <c r="P178" i="1127"/>
  <c r="S178" i="1127" s="1"/>
  <c r="P180" i="1127"/>
  <c r="P182" i="1127"/>
  <c r="S182" i="1127" s="1"/>
  <c r="P184" i="1127"/>
  <c r="S184" i="1127" s="1"/>
  <c r="U184" i="1127" s="1"/>
  <c r="P186" i="1127"/>
  <c r="S186" i="1127" s="1"/>
  <c r="U186" i="1127" s="1"/>
  <c r="P188" i="1127"/>
  <c r="P190" i="1127"/>
  <c r="S190" i="1127" s="1"/>
  <c r="P192" i="1127"/>
  <c r="S192" i="1127" s="1"/>
  <c r="U192" i="1127" s="1"/>
  <c r="P194" i="1127"/>
  <c r="P196" i="1127"/>
  <c r="P198" i="1127"/>
  <c r="S198" i="1127" s="1"/>
  <c r="U198" i="1127" s="1"/>
  <c r="P200" i="1127"/>
  <c r="P202" i="1127"/>
  <c r="S202" i="1127" s="1"/>
  <c r="P204" i="1127"/>
  <c r="P206" i="1127"/>
  <c r="P208" i="1127"/>
  <c r="S208" i="1127" s="1"/>
  <c r="U208" i="1127" s="1"/>
  <c r="P210" i="1127"/>
  <c r="S210" i="1127" s="1"/>
  <c r="P212" i="1127"/>
  <c r="P214" i="1127"/>
  <c r="S214" i="1127" s="1"/>
  <c r="P216" i="1127"/>
  <c r="S216" i="1127" s="1"/>
  <c r="P218" i="1127"/>
  <c r="P220" i="1127"/>
  <c r="P222" i="1127"/>
  <c r="S222" i="1127" s="1"/>
  <c r="P224" i="1127"/>
  <c r="S224" i="1127" s="1"/>
  <c r="U224" i="1127" s="1"/>
  <c r="P226" i="1127"/>
  <c r="S226" i="1127" s="1"/>
  <c r="U226" i="1127" s="1"/>
  <c r="P228" i="1127"/>
  <c r="P230" i="1127"/>
  <c r="S230" i="1127" s="1"/>
  <c r="P232" i="1127"/>
  <c r="P234" i="1127"/>
  <c r="S234" i="1127" s="1"/>
  <c r="U234" i="1127" s="1"/>
  <c r="P236" i="1127"/>
  <c r="P238" i="1127"/>
  <c r="S238" i="1127" s="1"/>
  <c r="P240" i="1127"/>
  <c r="S240" i="1127" s="1"/>
  <c r="U240" i="1127" s="1"/>
  <c r="P242" i="1127"/>
  <c r="P244" i="1127"/>
  <c r="P246" i="1127"/>
  <c r="S246" i="1127" s="1"/>
  <c r="P248" i="1127"/>
  <c r="P250" i="1127"/>
  <c r="S250" i="1127" s="1"/>
  <c r="U250" i="1127" s="1"/>
  <c r="P252" i="1127"/>
  <c r="P254" i="1127"/>
  <c r="P256" i="1127"/>
  <c r="S256" i="1127" s="1"/>
  <c r="U256" i="1127" s="1"/>
  <c r="P258" i="1127"/>
  <c r="S258" i="1127" s="1"/>
  <c r="P260" i="1127"/>
  <c r="P262" i="1127"/>
  <c r="S262" i="1127" s="1"/>
  <c r="U262" i="1127" s="1"/>
  <c r="P264" i="1127"/>
  <c r="P266" i="1127"/>
  <c r="S266" i="1127" s="1"/>
  <c r="U266" i="1127" s="1"/>
  <c r="P268" i="1127"/>
  <c r="P270" i="1127"/>
  <c r="S270" i="1127" s="1"/>
  <c r="P272" i="1127"/>
  <c r="P274" i="1127"/>
  <c r="S274" i="1127" s="1"/>
  <c r="U274" i="1127" s="1"/>
  <c r="P276" i="1127"/>
  <c r="P278" i="1127"/>
  <c r="P280" i="1127"/>
  <c r="P282" i="1127"/>
  <c r="S282" i="1127" s="1"/>
  <c r="U282" i="1127" s="1"/>
  <c r="P284" i="1127"/>
  <c r="P286" i="1127"/>
  <c r="S286" i="1127" s="1"/>
  <c r="U286" i="1127" s="1"/>
  <c r="P288" i="1127"/>
  <c r="S288" i="1127" s="1"/>
  <c r="U288" i="1127" s="1"/>
  <c r="P290" i="1127"/>
  <c r="S290" i="1127" s="1"/>
  <c r="U290" i="1127" s="1"/>
  <c r="P292" i="1127"/>
  <c r="P294" i="1127"/>
  <c r="S294" i="1127" s="1"/>
  <c r="P296" i="1127"/>
  <c r="P298" i="1127"/>
  <c r="S298" i="1127" s="1"/>
  <c r="U298" i="1127" s="1"/>
  <c r="Q299" i="1127"/>
  <c r="P300" i="1127"/>
  <c r="Q301" i="1127"/>
  <c r="P302" i="1127"/>
  <c r="S302" i="1127" s="1"/>
  <c r="U302" i="1127" s="1"/>
  <c r="P304" i="1127"/>
  <c r="P306" i="1127"/>
  <c r="Q307" i="1127"/>
  <c r="P308" i="1127"/>
  <c r="S308" i="1127" s="1"/>
  <c r="U308" i="1127" s="1"/>
  <c r="P310" i="1127"/>
  <c r="Q311" i="1127"/>
  <c r="AA315" i="1127"/>
  <c r="P312" i="1127"/>
  <c r="Q313" i="1127"/>
  <c r="S313" i="1127"/>
  <c r="U313" i="1127"/>
  <c r="P314" i="1127"/>
  <c r="P316" i="1127"/>
  <c r="P318" i="1127"/>
  <c r="Q319" i="1127"/>
  <c r="S319" i="1127" s="1"/>
  <c r="U319" i="1127" s="1"/>
  <c r="P320" i="1127"/>
  <c r="S320" i="1127" s="1"/>
  <c r="U320" i="1127" s="1"/>
  <c r="P322" i="1127"/>
  <c r="Q323" i="1127"/>
  <c r="AA327" i="1127"/>
  <c r="P324" i="1127"/>
  <c r="S324" i="1127" s="1"/>
  <c r="U324" i="1127" s="1"/>
  <c r="Q325" i="1127"/>
  <c r="P326" i="1127"/>
  <c r="P328" i="1127"/>
  <c r="S328" i="1127" s="1"/>
  <c r="U328" i="1127" s="1"/>
  <c r="P330" i="1127"/>
  <c r="S330" i="1127" s="1"/>
  <c r="Q331" i="1127"/>
  <c r="S331" i="1127"/>
  <c r="U331" i="1127"/>
  <c r="P332" i="1127"/>
  <c r="S332" i="1127" s="1"/>
  <c r="U332" i="1127" s="1"/>
  <c r="P334" i="1127"/>
  <c r="Q335" i="1127"/>
  <c r="X337" i="1127"/>
  <c r="P336" i="1127"/>
  <c r="S336" i="1127" s="1"/>
  <c r="U336" i="1127" s="1"/>
  <c r="Q337" i="1127"/>
  <c r="S337" i="1127"/>
  <c r="U337" i="1127"/>
  <c r="P338" i="1127"/>
  <c r="S338" i="1127" s="1"/>
  <c r="U338" i="1127" s="1"/>
  <c r="P340" i="1127"/>
  <c r="P342" i="1127"/>
  <c r="Q343" i="1127"/>
  <c r="P344" i="1127"/>
  <c r="S344" i="1127" s="1"/>
  <c r="U344" i="1127" s="1"/>
  <c r="P346" i="1127"/>
  <c r="Q347" i="1127"/>
  <c r="X351" i="1127"/>
  <c r="P348" i="1127"/>
  <c r="S348" i="1127" s="1"/>
  <c r="U348" i="1127" s="1"/>
  <c r="Q349" i="1127"/>
  <c r="P350" i="1127"/>
  <c r="S350" i="1127" s="1"/>
  <c r="U350" i="1127" s="1"/>
  <c r="P352" i="1127"/>
  <c r="S352" i="1127" s="1"/>
  <c r="U352" i="1127" s="1"/>
  <c r="P354" i="1127"/>
  <c r="Q355" i="1127"/>
  <c r="S355" i="1127"/>
  <c r="U355" i="1127"/>
  <c r="P356" i="1127"/>
  <c r="P358" i="1127"/>
  <c r="Q359" i="1127"/>
  <c r="X359" i="1127"/>
  <c r="P360" i="1127"/>
  <c r="S360" i="1127" s="1"/>
  <c r="Q361" i="1127"/>
  <c r="S361" i="1127"/>
  <c r="U361" i="1127"/>
  <c r="P362" i="1127"/>
  <c r="S362" i="1127" s="1"/>
  <c r="U362" i="1127" s="1"/>
  <c r="P364" i="1127"/>
  <c r="L110" i="408"/>
  <c r="P110" i="408"/>
  <c r="D40" i="1023" s="1"/>
  <c r="L111" i="408"/>
  <c r="P111" i="408"/>
  <c r="D41" i="1023" s="1"/>
  <c r="L129" i="408"/>
  <c r="L130" i="408"/>
  <c r="Q130" i="408" s="1"/>
  <c r="F60" i="1023" s="1"/>
  <c r="L128" i="408"/>
  <c r="Q128" i="408" s="1"/>
  <c r="F58" i="1023" s="1"/>
  <c r="L132" i="408"/>
  <c r="L133" i="408"/>
  <c r="O133" i="408" s="1"/>
  <c r="L134" i="408"/>
  <c r="O134" i="408" s="1"/>
  <c r="L135" i="408"/>
  <c r="Q135" i="408"/>
  <c r="F65" i="1023" s="1"/>
  <c r="L136" i="408"/>
  <c r="L137" i="408"/>
  <c r="L138" i="408"/>
  <c r="Q138" i="408" s="1"/>
  <c r="F68" i="1023" s="1"/>
  <c r="L139" i="408"/>
  <c r="C69" i="1023" s="1"/>
  <c r="L140" i="408"/>
  <c r="L141" i="408"/>
  <c r="L142" i="408"/>
  <c r="Q142" i="408"/>
  <c r="F72" i="1023" s="1"/>
  <c r="L143" i="408"/>
  <c r="L144" i="408"/>
  <c r="P144" i="408"/>
  <c r="D74" i="1023" s="1"/>
  <c r="L145" i="408"/>
  <c r="O145" i="408" s="1"/>
  <c r="L146" i="408"/>
  <c r="L147" i="408"/>
  <c r="L148" i="408"/>
  <c r="L149" i="408"/>
  <c r="L131" i="408"/>
  <c r="L108" i="408"/>
  <c r="L109" i="408"/>
  <c r="L107" i="408"/>
  <c r="V99" i="408"/>
  <c r="S364" i="1127"/>
  <c r="U364" i="1127" s="1"/>
  <c r="S363" i="1127"/>
  <c r="U363" i="1127" s="1"/>
  <c r="U360" i="1127"/>
  <c r="S358" i="1127"/>
  <c r="U358" i="1127" s="1"/>
  <c r="S357" i="1127"/>
  <c r="U357" i="1127"/>
  <c r="S356" i="1127"/>
  <c r="U356" i="1127" s="1"/>
  <c r="S354" i="1127"/>
  <c r="U354" i="1127" s="1"/>
  <c r="S351" i="1127"/>
  <c r="U351" i="1127"/>
  <c r="S349" i="1127"/>
  <c r="U349" i="1127" s="1"/>
  <c r="S346" i="1127"/>
  <c r="U346" i="1127"/>
  <c r="S345" i="1127"/>
  <c r="U345" i="1127" s="1"/>
  <c r="S343" i="1127"/>
  <c r="U343" i="1127" s="1"/>
  <c r="S342" i="1127"/>
  <c r="U342" i="1127" s="1"/>
  <c r="S340" i="1127"/>
  <c r="U340" i="1127" s="1"/>
  <c r="S339" i="1127"/>
  <c r="U339" i="1127"/>
  <c r="S334" i="1127"/>
  <c r="U334" i="1127" s="1"/>
  <c r="S333" i="1127"/>
  <c r="U333" i="1127" s="1"/>
  <c r="U330" i="1127"/>
  <c r="S327" i="1127"/>
  <c r="U327" i="1127" s="1"/>
  <c r="S326" i="1127"/>
  <c r="U326" i="1127" s="1"/>
  <c r="S325" i="1127"/>
  <c r="U325" i="1127"/>
  <c r="S322" i="1127"/>
  <c r="U322" i="1127" s="1"/>
  <c r="S321" i="1127"/>
  <c r="U321" i="1127" s="1"/>
  <c r="S318" i="1127"/>
  <c r="U318" i="1127"/>
  <c r="S316" i="1127"/>
  <c r="U316" i="1127" s="1"/>
  <c r="S315" i="1127"/>
  <c r="U315" i="1127"/>
  <c r="S314" i="1127"/>
  <c r="U314" i="1127" s="1"/>
  <c r="S312" i="1127"/>
  <c r="U312" i="1127" s="1"/>
  <c r="S310" i="1127"/>
  <c r="U310" i="1127" s="1"/>
  <c r="S309" i="1127"/>
  <c r="U309" i="1127"/>
  <c r="S307" i="1127"/>
  <c r="U307" i="1127" s="1"/>
  <c r="S306" i="1127"/>
  <c r="U306" i="1127" s="1"/>
  <c r="S304" i="1127"/>
  <c r="U304" i="1127"/>
  <c r="S303" i="1127"/>
  <c r="U303" i="1127" s="1"/>
  <c r="S301" i="1127"/>
  <c r="U301" i="1127" s="1"/>
  <c r="S300" i="1127"/>
  <c r="U300" i="1127" s="1"/>
  <c r="S297" i="1127"/>
  <c r="U297" i="1127"/>
  <c r="S296" i="1127"/>
  <c r="U296" i="1127" s="1"/>
  <c r="U294" i="1127"/>
  <c r="S292" i="1127"/>
  <c r="U292" i="1127" s="1"/>
  <c r="S291" i="1127"/>
  <c r="U291" i="1127" s="1"/>
  <c r="S285" i="1127"/>
  <c r="U285" i="1127"/>
  <c r="S284" i="1127"/>
  <c r="U284" i="1127" s="1"/>
  <c r="S280" i="1127"/>
  <c r="U280" i="1127" s="1"/>
  <c r="S279" i="1127"/>
  <c r="U279" i="1127" s="1"/>
  <c r="S278" i="1127"/>
  <c r="U278" i="1127" s="1"/>
  <c r="S276" i="1127"/>
  <c r="U276" i="1127"/>
  <c r="S273" i="1127"/>
  <c r="U273" i="1127" s="1"/>
  <c r="S272" i="1127"/>
  <c r="U272" i="1127" s="1"/>
  <c r="U270" i="1127"/>
  <c r="S268" i="1127"/>
  <c r="U268" i="1127" s="1"/>
  <c r="S267" i="1127"/>
  <c r="U267" i="1127" s="1"/>
  <c r="S264" i="1127"/>
  <c r="U264" i="1127" s="1"/>
  <c r="S261" i="1127"/>
  <c r="U261" i="1127"/>
  <c r="S260" i="1127"/>
  <c r="U260" i="1127" s="1"/>
  <c r="U258" i="1127"/>
  <c r="S255" i="1127"/>
  <c r="U255" i="1127" s="1"/>
  <c r="S254" i="1127"/>
  <c r="U254" i="1127" s="1"/>
  <c r="S252" i="1127"/>
  <c r="U252" i="1127" s="1"/>
  <c r="S249" i="1127"/>
  <c r="U249" i="1127"/>
  <c r="S248" i="1127"/>
  <c r="U248" i="1127" s="1"/>
  <c r="U246" i="1127"/>
  <c r="S244" i="1127"/>
  <c r="U244" i="1127" s="1"/>
  <c r="S243" i="1127"/>
  <c r="U243" i="1127" s="1"/>
  <c r="S242" i="1127"/>
  <c r="U242" i="1127" s="1"/>
  <c r="O239" i="1127"/>
  <c r="U238" i="1127"/>
  <c r="S237" i="1127"/>
  <c r="U237" i="1127"/>
  <c r="S236" i="1127"/>
  <c r="U236" i="1127"/>
  <c r="O233" i="1127"/>
  <c r="S232" i="1127"/>
  <c r="U232" i="1127" s="1"/>
  <c r="S231" i="1127"/>
  <c r="U231" i="1127" s="1"/>
  <c r="U230" i="1127"/>
  <c r="S228" i="1127"/>
  <c r="U228" i="1127" s="1"/>
  <c r="O227" i="1127"/>
  <c r="S225" i="1127"/>
  <c r="U225" i="1127"/>
  <c r="U222" i="1127"/>
  <c r="O221" i="1127"/>
  <c r="S220" i="1127"/>
  <c r="U220" i="1127" s="1"/>
  <c r="S219" i="1127"/>
  <c r="U219" i="1127"/>
  <c r="S218" i="1127"/>
  <c r="U218" i="1127" s="1"/>
  <c r="U216" i="1127"/>
  <c r="O215" i="1127"/>
  <c r="U214" i="1127"/>
  <c r="S213" i="1127"/>
  <c r="U213" i="1127"/>
  <c r="S212" i="1127"/>
  <c r="U212" i="1127"/>
  <c r="U210" i="1127"/>
  <c r="O209" i="1127"/>
  <c r="S207" i="1127"/>
  <c r="U207" i="1127" s="1"/>
  <c r="S206" i="1127"/>
  <c r="U206" i="1127"/>
  <c r="S204" i="1127"/>
  <c r="U204" i="1127" s="1"/>
  <c r="O203" i="1127"/>
  <c r="U202" i="1127"/>
  <c r="S201" i="1127"/>
  <c r="U201" i="1127"/>
  <c r="S200" i="1127"/>
  <c r="U200" i="1127"/>
  <c r="O197" i="1127"/>
  <c r="S196" i="1127"/>
  <c r="U196" i="1127" s="1"/>
  <c r="S195" i="1127"/>
  <c r="U195" i="1127" s="1"/>
  <c r="S194" i="1127"/>
  <c r="U194" i="1127" s="1"/>
  <c r="O191" i="1127"/>
  <c r="U190" i="1127"/>
  <c r="S189" i="1127"/>
  <c r="U189" i="1127"/>
  <c r="S188" i="1127"/>
  <c r="U188" i="1127"/>
  <c r="S183" i="1127"/>
  <c r="U183" i="1127"/>
  <c r="U182" i="1127"/>
  <c r="S180" i="1127"/>
  <c r="U180" i="1127"/>
  <c r="U178" i="1127"/>
  <c r="S177" i="1127"/>
  <c r="U177" i="1127" s="1"/>
  <c r="U176" i="1127"/>
  <c r="S174" i="1127"/>
  <c r="U174" i="1127"/>
  <c r="S172" i="1127"/>
  <c r="U172" i="1127"/>
  <c r="S171" i="1127"/>
  <c r="U171" i="1127"/>
  <c r="U166" i="1127"/>
  <c r="S165" i="1127"/>
  <c r="U165" i="1127"/>
  <c r="S164" i="1127"/>
  <c r="U164" i="1127"/>
  <c r="U162" i="1127"/>
  <c r="S159" i="1127"/>
  <c r="U159" i="1127" s="1"/>
  <c r="U158" i="1127"/>
  <c r="S156" i="1127"/>
  <c r="U156" i="1127" s="1"/>
  <c r="S153" i="1127"/>
  <c r="U153" i="1127"/>
  <c r="U152" i="1127"/>
  <c r="U150" i="1127"/>
  <c r="O149" i="1127"/>
  <c r="S148" i="1127"/>
  <c r="U148" i="1127" s="1"/>
  <c r="S147" i="1127"/>
  <c r="U147" i="1127" s="1"/>
  <c r="X147" i="1127" s="1"/>
  <c r="O143" i="1127"/>
  <c r="S142" i="1127"/>
  <c r="U142" i="1127" s="1"/>
  <c r="S141" i="1127"/>
  <c r="U141" i="1127"/>
  <c r="S140" i="1127"/>
  <c r="U140" i="1127" s="1"/>
  <c r="O137" i="1127"/>
  <c r="S136" i="1127"/>
  <c r="U136" i="1127" s="1"/>
  <c r="S135" i="1127"/>
  <c r="U135" i="1127" s="1"/>
  <c r="S134" i="1127"/>
  <c r="U134" i="1127" s="1"/>
  <c r="S132" i="1127"/>
  <c r="U132" i="1127"/>
  <c r="X132" i="1127" s="1"/>
  <c r="O131" i="1127"/>
  <c r="S129" i="1127"/>
  <c r="U129" i="1127"/>
  <c r="X129" i="1127" s="1"/>
  <c r="AA129" i="1127" s="1"/>
  <c r="S126" i="1127"/>
  <c r="U126" i="1127" s="1"/>
  <c r="O125" i="1127"/>
  <c r="S124" i="1127"/>
  <c r="U124" i="1127"/>
  <c r="S123" i="1127"/>
  <c r="U123" i="1127" s="1"/>
  <c r="S120" i="1127"/>
  <c r="U120" i="1127" s="1"/>
  <c r="O119" i="1127"/>
  <c r="S118" i="1127"/>
  <c r="U118" i="1127" s="1"/>
  <c r="S117" i="1127"/>
  <c r="U117" i="1127"/>
  <c r="S116" i="1127"/>
  <c r="U116" i="1127" s="1"/>
  <c r="X116" i="1127" s="1"/>
  <c r="O113" i="1127"/>
  <c r="S112" i="1127"/>
  <c r="U112" i="1127" s="1"/>
  <c r="S111" i="1127"/>
  <c r="U111" i="1127" s="1"/>
  <c r="X111" i="1127" s="1"/>
  <c r="S110" i="1127"/>
  <c r="U110" i="1127" s="1"/>
  <c r="X110" i="1127" s="1"/>
  <c r="AA110" i="1127" s="1"/>
  <c r="S108" i="1127"/>
  <c r="U108" i="1127" s="1"/>
  <c r="X108" i="1127" s="1"/>
  <c r="AA108" i="1127" s="1"/>
  <c r="O107" i="1127"/>
  <c r="S105" i="1127"/>
  <c r="U105" i="1127" s="1"/>
  <c r="S102" i="1127"/>
  <c r="U102" i="1127"/>
  <c r="O101" i="1127"/>
  <c r="S100" i="1127"/>
  <c r="U100" i="1127"/>
  <c r="S99" i="1127"/>
  <c r="U99" i="1127" s="1"/>
  <c r="S98" i="1127"/>
  <c r="U98" i="1127" s="1"/>
  <c r="X98" i="1127" s="1"/>
  <c r="S96" i="1127"/>
  <c r="U96" i="1127" s="1"/>
  <c r="O95" i="1127"/>
  <c r="S94" i="1127"/>
  <c r="U94" i="1127" s="1"/>
  <c r="S93" i="1127"/>
  <c r="U93" i="1127"/>
  <c r="X93" i="1127" s="1"/>
  <c r="AA93" i="1127" s="1"/>
  <c r="S92" i="1127"/>
  <c r="U92" i="1127" s="1"/>
  <c r="O89" i="1127"/>
  <c r="S88" i="1127"/>
  <c r="U88" i="1127" s="1"/>
  <c r="S87" i="1127"/>
  <c r="U87" i="1127"/>
  <c r="S86" i="1127"/>
  <c r="U86" i="1127"/>
  <c r="S84" i="1127"/>
  <c r="U84" i="1127"/>
  <c r="O83" i="1127"/>
  <c r="S82" i="1127"/>
  <c r="U82" i="1127" s="1"/>
  <c r="S81" i="1127"/>
  <c r="U81" i="1127"/>
  <c r="S80" i="1127"/>
  <c r="U80" i="1127" s="1"/>
  <c r="S78" i="1127"/>
  <c r="U78" i="1127"/>
  <c r="O77" i="1127"/>
  <c r="S76" i="1127"/>
  <c r="U76" i="1127"/>
  <c r="S75" i="1127"/>
  <c r="U75" i="1127" s="1"/>
  <c r="S72" i="1127"/>
  <c r="U72" i="1127" s="1"/>
  <c r="O71" i="1127"/>
  <c r="S70" i="1127"/>
  <c r="U70" i="1127"/>
  <c r="S69" i="1127"/>
  <c r="U69" i="1127" s="1"/>
  <c r="S68" i="1127"/>
  <c r="U68" i="1127"/>
  <c r="S66" i="1127"/>
  <c r="U66" i="1127" s="1"/>
  <c r="O65" i="1127"/>
  <c r="S64" i="1127"/>
  <c r="U64" i="1127" s="1"/>
  <c r="S63" i="1127"/>
  <c r="U63" i="1127"/>
  <c r="S62" i="1127"/>
  <c r="U62" i="1127" s="1"/>
  <c r="S60" i="1127"/>
  <c r="U60" i="1127"/>
  <c r="O59" i="1127"/>
  <c r="S57" i="1127"/>
  <c r="U57" i="1127"/>
  <c r="S56" i="1127"/>
  <c r="U56" i="1127" s="1"/>
  <c r="S54" i="1127"/>
  <c r="U54" i="1127"/>
  <c r="O53" i="1127"/>
  <c r="S52" i="1127"/>
  <c r="U52" i="1127"/>
  <c r="S51" i="1127"/>
  <c r="U51" i="1127"/>
  <c r="S48" i="1127"/>
  <c r="U48" i="1127" s="1"/>
  <c r="O47" i="1127"/>
  <c r="S46" i="1127"/>
  <c r="U46" i="1127"/>
  <c r="S45" i="1127"/>
  <c r="U45" i="1127" s="1"/>
  <c r="S44" i="1127"/>
  <c r="U44" i="1127"/>
  <c r="S42" i="1127"/>
  <c r="U42" i="1127" s="1"/>
  <c r="O41" i="1127"/>
  <c r="S40" i="1127"/>
  <c r="U40" i="1127" s="1"/>
  <c r="X40" i="1127" s="1"/>
  <c r="AA40" i="1127" s="1"/>
  <c r="S39" i="1127"/>
  <c r="U39" i="1127"/>
  <c r="S38" i="1127"/>
  <c r="U38" i="1127" s="1"/>
  <c r="X38" i="1127" s="1"/>
  <c r="AA38" i="1127" s="1"/>
  <c r="S36" i="1127"/>
  <c r="U36" i="1127"/>
  <c r="O35" i="1127"/>
  <c r="S34" i="1127"/>
  <c r="U34" i="1127" s="1"/>
  <c r="S33" i="1127"/>
  <c r="U33" i="1127"/>
  <c r="S32" i="1127"/>
  <c r="U32" i="1127" s="1"/>
  <c r="X32" i="1127" s="1"/>
  <c r="AA32" i="1127" s="1"/>
  <c r="S30" i="1127"/>
  <c r="U30" i="1127"/>
  <c r="O29" i="1127"/>
  <c r="S28" i="1127"/>
  <c r="U28" i="1127"/>
  <c r="X28" i="1127" s="1"/>
  <c r="S27" i="1127"/>
  <c r="U27" i="1127" s="1"/>
  <c r="S26" i="1127"/>
  <c r="U26" i="1127"/>
  <c r="X26" i="1127" s="1"/>
  <c r="AA26" i="1127" s="1"/>
  <c r="S24" i="1127"/>
  <c r="U24" i="1127" s="1"/>
  <c r="X24" i="1127" s="1"/>
  <c r="AA24" i="1127" s="1"/>
  <c r="O23" i="1127"/>
  <c r="S22" i="1127"/>
  <c r="U22" i="1127"/>
  <c r="X22" i="1127" s="1"/>
  <c r="S21" i="1127"/>
  <c r="U21" i="1127" s="1"/>
  <c r="S20" i="1127"/>
  <c r="U20" i="1127"/>
  <c r="S18" i="1127"/>
  <c r="U18" i="1127" s="1"/>
  <c r="O17" i="1127"/>
  <c r="S16" i="1127"/>
  <c r="U16" i="1127" s="1"/>
  <c r="X16" i="1127" s="1"/>
  <c r="S15" i="1127"/>
  <c r="U15" i="1127"/>
  <c r="S14" i="1127"/>
  <c r="U14" i="1127" s="1"/>
  <c r="S12" i="1127"/>
  <c r="U12" i="1127"/>
  <c r="O11" i="1127"/>
  <c r="P10" i="1127"/>
  <c r="S10" i="1127" s="1"/>
  <c r="U10" i="1127" s="1"/>
  <c r="X10" i="1127" s="1"/>
  <c r="AA10" i="1127" s="1"/>
  <c r="S9" i="1127"/>
  <c r="U9" i="1127" s="1"/>
  <c r="P8" i="1127"/>
  <c r="S8" i="1127"/>
  <c r="U8" i="1127"/>
  <c r="X8" i="1127" s="1"/>
  <c r="AA8" i="1127" s="1"/>
  <c r="P6" i="1127"/>
  <c r="S6" i="1127" s="1"/>
  <c r="U6" i="1127" s="1"/>
  <c r="O5" i="1127"/>
  <c r="P4" i="1127"/>
  <c r="S4" i="1127" s="1"/>
  <c r="U4" i="1127" s="1"/>
  <c r="X4" i="1127" s="1"/>
  <c r="AA4" i="1127" s="1"/>
  <c r="S3" i="1127"/>
  <c r="U3" i="1127"/>
  <c r="X3" i="1127"/>
  <c r="AA3" i="1127" s="1"/>
  <c r="A3" i="1127"/>
  <c r="A4" i="1127"/>
  <c r="A5" i="1127"/>
  <c r="A6" i="1127"/>
  <c r="A7" i="1127"/>
  <c r="A8" i="1127"/>
  <c r="A9" i="1127"/>
  <c r="A10" i="1127"/>
  <c r="A11" i="1127"/>
  <c r="A12" i="1127"/>
  <c r="A13" i="1127"/>
  <c r="A14" i="1127"/>
  <c r="A15" i="1127"/>
  <c r="A16" i="1127"/>
  <c r="A17" i="1127"/>
  <c r="A18" i="1127"/>
  <c r="A19" i="1127"/>
  <c r="A20" i="1127"/>
  <c r="A21" i="1127"/>
  <c r="A22" i="1127"/>
  <c r="A23" i="1127"/>
  <c r="A24" i="1127"/>
  <c r="A25" i="1127"/>
  <c r="A26" i="1127"/>
  <c r="A27" i="1127"/>
  <c r="A28" i="1127"/>
  <c r="A29" i="1127"/>
  <c r="A30" i="1127"/>
  <c r="A31" i="1127"/>
  <c r="A32" i="1127"/>
  <c r="A33" i="1127"/>
  <c r="A34" i="1127"/>
  <c r="A35" i="1127"/>
  <c r="A36" i="1127"/>
  <c r="A37" i="1127"/>
  <c r="A38" i="1127"/>
  <c r="A39" i="1127"/>
  <c r="A40" i="1127"/>
  <c r="A41" i="1127"/>
  <c r="A42" i="1127"/>
  <c r="A43" i="1127"/>
  <c r="A44" i="1127"/>
  <c r="A45" i="1127"/>
  <c r="A46" i="1127"/>
  <c r="A47" i="1127"/>
  <c r="B47" i="1127"/>
  <c r="C47" i="1127"/>
  <c r="D47" i="1127"/>
  <c r="Q269" i="1127"/>
  <c r="E47" i="1127"/>
  <c r="F47" i="1127"/>
  <c r="G47" i="1127"/>
  <c r="H47" i="1127"/>
  <c r="A48" i="1127"/>
  <c r="B48" i="1127"/>
  <c r="C48" i="1127"/>
  <c r="D48" i="1127"/>
  <c r="Q275" i="1127"/>
  <c r="AA280" i="1127" s="1"/>
  <c r="X280" i="1127"/>
  <c r="E48" i="1127"/>
  <c r="F48" i="1127"/>
  <c r="Q277" i="1127"/>
  <c r="S277" i="1127"/>
  <c r="U277" i="1127" s="1"/>
  <c r="G48" i="1127"/>
  <c r="H48" i="1127"/>
  <c r="A49" i="1127"/>
  <c r="B49" i="1127"/>
  <c r="C49" i="1127"/>
  <c r="D49" i="1127"/>
  <c r="Q281" i="1127"/>
  <c r="E49" i="1127"/>
  <c r="F49" i="1127"/>
  <c r="Q283" i="1127"/>
  <c r="S283" i="1127" s="1"/>
  <c r="U283" i="1127" s="1"/>
  <c r="G49" i="1127"/>
  <c r="H49" i="1127"/>
  <c r="A50" i="1127"/>
  <c r="B50" i="1127"/>
  <c r="C50" i="1127"/>
  <c r="D50" i="1127"/>
  <c r="Q287" i="1127"/>
  <c r="E50" i="1127"/>
  <c r="F50" i="1127"/>
  <c r="Q289" i="1127"/>
  <c r="S289" i="1127"/>
  <c r="U289" i="1127" s="1"/>
  <c r="G50" i="1127"/>
  <c r="H50" i="1127"/>
  <c r="A51" i="1127"/>
  <c r="B51" i="1127"/>
  <c r="C51" i="1127"/>
  <c r="D51" i="1127"/>
  <c r="Q293" i="1127"/>
  <c r="E51" i="1127"/>
  <c r="F51" i="1127"/>
  <c r="G51" i="1127"/>
  <c r="H51" i="1127"/>
  <c r="B2" i="1127"/>
  <c r="C2" i="1127"/>
  <c r="D2" i="1127"/>
  <c r="E2" i="1127"/>
  <c r="F2" i="1127"/>
  <c r="G2" i="1127"/>
  <c r="A2" i="1127"/>
  <c r="W148" i="1061"/>
  <c r="AG135" i="1061"/>
  <c r="CE188" i="1061"/>
  <c r="T18" i="1061"/>
  <c r="CE186" i="1061"/>
  <c r="T16" i="1061"/>
  <c r="BQ184" i="1061"/>
  <c r="BP184" i="1061"/>
  <c r="BO184" i="1061"/>
  <c r="D227" i="1063"/>
  <c r="B225" i="1063"/>
  <c r="D210" i="1063"/>
  <c r="B208" i="1063" s="1"/>
  <c r="I23" i="1063"/>
  <c r="I22" i="1063"/>
  <c r="I21" i="1063"/>
  <c r="H23" i="1063"/>
  <c r="H22" i="1063"/>
  <c r="H21" i="1063"/>
  <c r="G23" i="1063"/>
  <c r="G22" i="1063"/>
  <c r="G21" i="1063"/>
  <c r="I58" i="1063"/>
  <c r="I57" i="1063"/>
  <c r="I56" i="1063"/>
  <c r="H58" i="1063"/>
  <c r="H57" i="1063"/>
  <c r="H56" i="1063"/>
  <c r="G58" i="1063"/>
  <c r="G57" i="1063"/>
  <c r="G56" i="1063"/>
  <c r="I152" i="1063"/>
  <c r="I151" i="1063"/>
  <c r="I150" i="1063"/>
  <c r="H152" i="1063"/>
  <c r="H151" i="1063"/>
  <c r="H150" i="1063"/>
  <c r="G152" i="1063"/>
  <c r="G150" i="1063"/>
  <c r="G151" i="1063"/>
  <c r="B80" i="1063"/>
  <c r="D249" i="1063"/>
  <c r="D114" i="1063"/>
  <c r="D90" i="1063"/>
  <c r="AA24" i="1061"/>
  <c r="D206" i="1063"/>
  <c r="D223" i="1063"/>
  <c r="CD4" i="1061" s="1"/>
  <c r="E173" i="1063"/>
  <c r="BL57" i="1061" s="1"/>
  <c r="BL62" i="1061" s="1"/>
  <c r="J105" i="1062" s="1"/>
  <c r="E140" i="1063"/>
  <c r="H84" i="1061" s="1"/>
  <c r="F81" i="1063"/>
  <c r="H122" i="1061" s="1"/>
  <c r="E46" i="1063"/>
  <c r="H44" i="1061" s="1"/>
  <c r="BW6" i="1061"/>
  <c r="BU186" i="1061"/>
  <c r="C127" i="1062" s="1"/>
  <c r="BU190" i="1061"/>
  <c r="C131" i="1062" s="1"/>
  <c r="BU192" i="1061"/>
  <c r="BO192" i="1061" s="1"/>
  <c r="C218" i="1063" s="1"/>
  <c r="I218" i="1063" s="1"/>
  <c r="BU185" i="1061"/>
  <c r="BO185" i="1061" s="1"/>
  <c r="BO220" i="1061"/>
  <c r="BO204" i="1061"/>
  <c r="BU204" i="1061"/>
  <c r="BU188" i="1061"/>
  <c r="BO188" i="1061" s="1"/>
  <c r="C214" i="1063" s="1"/>
  <c r="B214" i="1063" s="1"/>
  <c r="BU220" i="1061"/>
  <c r="BS64" i="1061"/>
  <c r="W168" i="1061"/>
  <c r="AC168" i="1061"/>
  <c r="AC148" i="1061"/>
  <c r="W104" i="1061"/>
  <c r="P100" i="1061"/>
  <c r="AA64" i="1061"/>
  <c r="T60" i="1061"/>
  <c r="T20" i="1061"/>
  <c r="E226" i="1063"/>
  <c r="CG4" i="1061"/>
  <c r="DD132" i="1061" s="1"/>
  <c r="CF4" i="1061"/>
  <c r="CE4" i="1061"/>
  <c r="CK17" i="1061"/>
  <c r="AO238" i="1061"/>
  <c r="E209" i="1063"/>
  <c r="D184" i="1063"/>
  <c r="D183" i="1063"/>
  <c r="B180" i="1063"/>
  <c r="D181" i="1063"/>
  <c r="E181" i="1063"/>
  <c r="D152" i="1063"/>
  <c r="D149" i="1063"/>
  <c r="B147" i="1063" s="1"/>
  <c r="D148" i="1063"/>
  <c r="E148" i="1063"/>
  <c r="D115" i="1063"/>
  <c r="D117" i="1063"/>
  <c r="G116" i="1063"/>
  <c r="D116" i="1063"/>
  <c r="G115" i="1063"/>
  <c r="D93" i="1063"/>
  <c r="D92" i="1063"/>
  <c r="D91" i="1063"/>
  <c r="G92" i="1063"/>
  <c r="G91" i="1063"/>
  <c r="E80" i="1063"/>
  <c r="D80" i="1063"/>
  <c r="F82" i="1063"/>
  <c r="B82" i="1063"/>
  <c r="E90" i="1063"/>
  <c r="E114" i="1063"/>
  <c r="D58" i="1063"/>
  <c r="D57" i="1063"/>
  <c r="D56" i="1063"/>
  <c r="D55" i="1063"/>
  <c r="D54" i="1063"/>
  <c r="E54" i="1063"/>
  <c r="C43" i="1063"/>
  <c r="K42" i="1063" s="1"/>
  <c r="J42" i="1063"/>
  <c r="C42" i="1063"/>
  <c r="I42" i="1063"/>
  <c r="BU195" i="1061"/>
  <c r="BO195" i="1061" s="1"/>
  <c r="BU194" i="1061"/>
  <c r="BO194" i="1061" s="1"/>
  <c r="CD193" i="1061"/>
  <c r="CD192" i="1061"/>
  <c r="CE193" i="1061" s="1"/>
  <c r="CD191" i="1061"/>
  <c r="CE190" i="1061"/>
  <c r="CD190" i="1061"/>
  <c r="CE195" i="1061"/>
  <c r="CD187" i="1061"/>
  <c r="CE197" i="1061"/>
  <c r="CD186" i="1061"/>
  <c r="BW184" i="1061"/>
  <c r="BV184" i="1061"/>
  <c r="BP216" i="1061" s="1"/>
  <c r="BU184" i="1061"/>
  <c r="BU216" i="1061" s="1"/>
  <c r="C126" i="1062"/>
  <c r="CD188" i="1061"/>
  <c r="BQ171" i="1061"/>
  <c r="BQ169" i="1061"/>
  <c r="BQ167" i="1061"/>
  <c r="BQ165" i="1061"/>
  <c r="BQ150" i="1061"/>
  <c r="BQ148" i="1061"/>
  <c r="BQ146" i="1061"/>
  <c r="BQ144" i="1061"/>
  <c r="BP139" i="1061"/>
  <c r="BR57" i="1061"/>
  <c r="BQ57" i="1061"/>
  <c r="BM88" i="1061"/>
  <c r="BP57" i="1061"/>
  <c r="BO57" i="1061"/>
  <c r="BN57" i="1061"/>
  <c r="BM57" i="1061"/>
  <c r="BS62" i="1061" s="1"/>
  <c r="BR56" i="1061"/>
  <c r="BQ56" i="1061"/>
  <c r="BP56" i="1061"/>
  <c r="BO56" i="1061"/>
  <c r="BN56" i="1061"/>
  <c r="BM56" i="1061"/>
  <c r="BL56" i="1061"/>
  <c r="P122" i="1061"/>
  <c r="O122" i="1061"/>
  <c r="W144" i="1061"/>
  <c r="N122" i="1061"/>
  <c r="AC176" i="1061" s="1"/>
  <c r="M122" i="1061"/>
  <c r="X136" i="1061"/>
  <c r="L122" i="1061"/>
  <c r="K122" i="1061"/>
  <c r="J122" i="1061"/>
  <c r="R122" i="1061" s="1"/>
  <c r="W179" i="1061" s="1"/>
  <c r="I122" i="1061"/>
  <c r="W95" i="1061"/>
  <c r="T85" i="1062" s="1"/>
  <c r="M86" i="1061"/>
  <c r="L86" i="1061"/>
  <c r="L90" i="1061"/>
  <c r="K86" i="1061"/>
  <c r="K90" i="1061" s="1"/>
  <c r="J86" i="1061"/>
  <c r="I86" i="1061"/>
  <c r="H86" i="1061"/>
  <c r="P107" i="1061" s="1"/>
  <c r="W111" i="1061"/>
  <c r="K84" i="1061"/>
  <c r="J84" i="1061"/>
  <c r="I84" i="1061"/>
  <c r="P96" i="1061"/>
  <c r="AA55" i="1061"/>
  <c r="N48" i="1061"/>
  <c r="R46" i="1061"/>
  <c r="M46" i="1061"/>
  <c r="K50" i="1061"/>
  <c r="L46" i="1061"/>
  <c r="K46" i="1061"/>
  <c r="J46" i="1061"/>
  <c r="T63" i="1061" s="1"/>
  <c r="K48" i="1061"/>
  <c r="I46" i="1061"/>
  <c r="H46" i="1061"/>
  <c r="K44" i="1061"/>
  <c r="J44" i="1061"/>
  <c r="I50" i="1061" s="1"/>
  <c r="I44" i="1061"/>
  <c r="AM198" i="1061"/>
  <c r="AM194" i="1061"/>
  <c r="AM192" i="1061"/>
  <c r="AO231" i="1061"/>
  <c r="AJ231" i="1061" s="1"/>
  <c r="AH138" i="1061"/>
  <c r="AG137" i="1061"/>
  <c r="AH136" i="1061"/>
  <c r="AE124" i="1061"/>
  <c r="AD124" i="1061"/>
  <c r="AC124" i="1061"/>
  <c r="G86" i="1063" s="1"/>
  <c r="AB124" i="1061"/>
  <c r="F86" i="1063"/>
  <c r="AA124" i="1061"/>
  <c r="E70" i="1062" s="1"/>
  <c r="Z124" i="1061"/>
  <c r="Y124" i="1061"/>
  <c r="C86" i="1063"/>
  <c r="X124" i="1061"/>
  <c r="W124" i="1061"/>
  <c r="AA121" i="1061"/>
  <c r="Z121" i="1061"/>
  <c r="Y121" i="1061"/>
  <c r="X121" i="1061"/>
  <c r="C84" i="1063"/>
  <c r="W121" i="1061"/>
  <c r="W108" i="1061"/>
  <c r="P104" i="1061"/>
  <c r="CD2" i="1061"/>
  <c r="CD6" i="1061"/>
  <c r="J126" i="1062" s="1"/>
  <c r="I5" i="1061"/>
  <c r="J5" i="1061" s="1"/>
  <c r="K5" i="1061"/>
  <c r="H7" i="1061"/>
  <c r="I7" i="1061"/>
  <c r="L48" i="1061"/>
  <c r="J7" i="1061"/>
  <c r="AA27" i="1061" s="1"/>
  <c r="K7" i="1061"/>
  <c r="L7" i="1061"/>
  <c r="M50" i="1061" s="1"/>
  <c r="M7" i="1061"/>
  <c r="R7" i="1061"/>
  <c r="I9" i="1061"/>
  <c r="I11" i="1061"/>
  <c r="F178" i="1063"/>
  <c r="B178" i="1063"/>
  <c r="F145" i="1063"/>
  <c r="G145" i="1063"/>
  <c r="B145" i="1063"/>
  <c r="D145" i="1063" s="1"/>
  <c r="C135" i="1063"/>
  <c r="J134" i="1063"/>
  <c r="C134" i="1063"/>
  <c r="I134" i="1063" s="1"/>
  <c r="I82" i="1063"/>
  <c r="H82" i="1063"/>
  <c r="G82" i="1063"/>
  <c r="E82" i="1063"/>
  <c r="D82" i="1063"/>
  <c r="C82" i="1063"/>
  <c r="I51" i="1063"/>
  <c r="J51" i="1063"/>
  <c r="O48" i="1061" s="1"/>
  <c r="T69" i="1061" s="1"/>
  <c r="B51" i="1063"/>
  <c r="D51" i="1063"/>
  <c r="D20" i="1063"/>
  <c r="D23" i="1063"/>
  <c r="D22" i="1063"/>
  <c r="D21" i="1063"/>
  <c r="D19" i="1063"/>
  <c r="F16" i="1063"/>
  <c r="G16" i="1063" s="1"/>
  <c r="M9" i="1061" s="1"/>
  <c r="B16" i="1063"/>
  <c r="D16" i="1063" s="1"/>
  <c r="E19" i="1063"/>
  <c r="M100" i="1062"/>
  <c r="I100" i="1062"/>
  <c r="W91" i="1062"/>
  <c r="V91" i="1062"/>
  <c r="U91" i="1062"/>
  <c r="N91" i="1062"/>
  <c r="L91" i="1062"/>
  <c r="K91" i="1062"/>
  <c r="J91" i="1062"/>
  <c r="I91" i="1062"/>
  <c r="N90" i="1062"/>
  <c r="W89" i="1062"/>
  <c r="V89" i="1062"/>
  <c r="U89" i="1062"/>
  <c r="L89" i="1062"/>
  <c r="K89" i="1062"/>
  <c r="J89" i="1062"/>
  <c r="I89" i="1062"/>
  <c r="W87" i="1062"/>
  <c r="V87" i="1062"/>
  <c r="U87" i="1062"/>
  <c r="L87" i="1062"/>
  <c r="K87" i="1062"/>
  <c r="J87" i="1062"/>
  <c r="I87" i="1062"/>
  <c r="W85" i="1062"/>
  <c r="V85" i="1062"/>
  <c r="U85" i="1062"/>
  <c r="L85" i="1062"/>
  <c r="K85" i="1062"/>
  <c r="J85" i="1062"/>
  <c r="I85" i="1062"/>
  <c r="W83" i="1062"/>
  <c r="V83" i="1062"/>
  <c r="U83" i="1062"/>
  <c r="T83" i="1062"/>
  <c r="L83" i="1062"/>
  <c r="K83" i="1062"/>
  <c r="J83" i="1062"/>
  <c r="I83" i="1062"/>
  <c r="W81" i="1062"/>
  <c r="V81" i="1062"/>
  <c r="U81" i="1062"/>
  <c r="T81" i="1062"/>
  <c r="L81" i="1062"/>
  <c r="K81" i="1062"/>
  <c r="J81" i="1062"/>
  <c r="I81" i="1062"/>
  <c r="W79" i="1062"/>
  <c r="V79" i="1062"/>
  <c r="U79" i="1062"/>
  <c r="T79" i="1062"/>
  <c r="L79" i="1062"/>
  <c r="K79" i="1062"/>
  <c r="J79" i="1062"/>
  <c r="I79" i="1062"/>
  <c r="W77" i="1062"/>
  <c r="V77" i="1062"/>
  <c r="U77" i="1062"/>
  <c r="T77" i="1062"/>
  <c r="L77" i="1062"/>
  <c r="K77" i="1062"/>
  <c r="J77" i="1062"/>
  <c r="I77" i="1062"/>
  <c r="W75" i="1062"/>
  <c r="V75" i="1062"/>
  <c r="U75" i="1062"/>
  <c r="T75" i="1062"/>
  <c r="L75" i="1062"/>
  <c r="K75" i="1062"/>
  <c r="J75" i="1062"/>
  <c r="I75" i="1062"/>
  <c r="O70" i="1062"/>
  <c r="N70" i="1062"/>
  <c r="M70" i="1062"/>
  <c r="F70" i="1062"/>
  <c r="O68" i="1062"/>
  <c r="N68" i="1062"/>
  <c r="M68" i="1062"/>
  <c r="F100" i="1062"/>
  <c r="G100" i="1062" s="1"/>
  <c r="H100" i="1062" s="1"/>
  <c r="B100" i="1062"/>
  <c r="D100" i="1062" s="1"/>
  <c r="I43" i="1062"/>
  <c r="J43" i="1062"/>
  <c r="D43" i="1062"/>
  <c r="B43" i="1062"/>
  <c r="F14" i="1062"/>
  <c r="G14" i="1062"/>
  <c r="B14" i="1062"/>
  <c r="D14" i="1062"/>
  <c r="H14" i="1062"/>
  <c r="W104" i="408"/>
  <c r="E173" i="408"/>
  <c r="P136" i="408"/>
  <c r="AC145" i="408"/>
  <c r="AC144" i="408"/>
  <c r="AD97" i="408" s="1"/>
  <c r="N47" i="1062"/>
  <c r="M47" i="1062"/>
  <c r="N49" i="1062"/>
  <c r="M57" i="1062"/>
  <c r="N61" i="1062"/>
  <c r="M61" i="1062"/>
  <c r="N51" i="1062"/>
  <c r="M49" i="1062"/>
  <c r="M51" i="1062"/>
  <c r="N59" i="1062"/>
  <c r="N57" i="1062"/>
  <c r="M53" i="1062"/>
  <c r="N53" i="1062"/>
  <c r="M63" i="1062"/>
  <c r="N55" i="1062"/>
  <c r="M55" i="1062"/>
  <c r="M59" i="1062"/>
  <c r="N63" i="1062"/>
  <c r="AO234" i="1061"/>
  <c r="AJ234" i="1061"/>
  <c r="AO242" i="1061"/>
  <c r="AO235" i="1061"/>
  <c r="AJ235" i="1061"/>
  <c r="AO239" i="1061"/>
  <c r="AJ239" i="1061" s="1"/>
  <c r="AO236" i="1061"/>
  <c r="AJ236" i="1061"/>
  <c r="AO233" i="1061"/>
  <c r="AO244" i="1061"/>
  <c r="AJ244" i="1061"/>
  <c r="AO245" i="1061"/>
  <c r="AO240" i="1061"/>
  <c r="AJ240" i="1061"/>
  <c r="AM196" i="1061"/>
  <c r="AO230" i="1061"/>
  <c r="AJ230" i="1061"/>
  <c r="AI230" i="1061"/>
  <c r="AO237" i="1061"/>
  <c r="AO243" i="1061"/>
  <c r="AJ243" i="1061"/>
  <c r="AO232" i="1061"/>
  <c r="AO247" i="1061"/>
  <c r="AO241" i="1061"/>
  <c r="AO246" i="1061"/>
  <c r="C68" i="1062"/>
  <c r="J184" i="1061"/>
  <c r="L178" i="1061"/>
  <c r="D70" i="1062"/>
  <c r="D86" i="1063"/>
  <c r="AA339" i="1127"/>
  <c r="AA307" i="1127"/>
  <c r="X363" i="1127"/>
  <c r="X315" i="1127"/>
  <c r="AA310" i="1127"/>
  <c r="X325" i="1127"/>
  <c r="S311" i="1127"/>
  <c r="U311" i="1127"/>
  <c r="X301" i="1127"/>
  <c r="X311" i="1127"/>
  <c r="AA301" i="1127"/>
  <c r="AA311" i="1127"/>
  <c r="X304" i="1127"/>
  <c r="AA314" i="1127"/>
  <c r="X340" i="1127"/>
  <c r="AA338" i="1127"/>
  <c r="X339" i="1127"/>
  <c r="S335" i="1127"/>
  <c r="U335" i="1127" s="1"/>
  <c r="X300" i="1127"/>
  <c r="X335" i="1127"/>
  <c r="AA335" i="1127"/>
  <c r="AA337" i="1127"/>
  <c r="AA336" i="1127"/>
  <c r="X338" i="1127"/>
  <c r="X336" i="1127"/>
  <c r="AA340" i="1127"/>
  <c r="D46" i="1127"/>
  <c r="Q263" i="1127"/>
  <c r="E46" i="1127"/>
  <c r="C46" i="1127"/>
  <c r="G46" i="1127"/>
  <c r="Q77" i="1127"/>
  <c r="X80" i="1127" s="1"/>
  <c r="Q197" i="1127"/>
  <c r="Q167" i="1127"/>
  <c r="X171" i="1127"/>
  <c r="Q107" i="1127"/>
  <c r="S107" i="1127"/>
  <c r="U107" i="1127"/>
  <c r="X107" i="1127"/>
  <c r="AA107" i="1127" s="1"/>
  <c r="Q125" i="1127"/>
  <c r="X128" i="1127"/>
  <c r="AA128" i="1127"/>
  <c r="Q185" i="1127"/>
  <c r="S185" i="1127"/>
  <c r="U185" i="1127"/>
  <c r="X185" i="1127"/>
  <c r="AA185" i="1127"/>
  <c r="Q95" i="1127"/>
  <c r="X96" i="1127"/>
  <c r="AA96" i="1127"/>
  <c r="Q41" i="1127"/>
  <c r="Q191" i="1127"/>
  <c r="AA191" i="1127" s="1"/>
  <c r="X194" i="1127"/>
  <c r="AA194" i="1127"/>
  <c r="Q113" i="1127"/>
  <c r="Q227" i="1127"/>
  <c r="X232" i="1127"/>
  <c r="X230" i="1127"/>
  <c r="Q209" i="1127"/>
  <c r="S209" i="1127"/>
  <c r="U209" i="1127"/>
  <c r="Q251" i="1127"/>
  <c r="Q17" i="1127"/>
  <c r="AA19" i="1127" s="1"/>
  <c r="Q29" i="1127"/>
  <c r="Q215" i="1127"/>
  <c r="AA218" i="1127"/>
  <c r="X218" i="1127"/>
  <c r="Q47" i="1127"/>
  <c r="S47" i="1127"/>
  <c r="U47" i="1127"/>
  <c r="X47" i="1127" s="1"/>
  <c r="AA47" i="1127" s="1"/>
  <c r="Q59" i="1127"/>
  <c r="Q83" i="1127"/>
  <c r="Q101" i="1127"/>
  <c r="Q143" i="1127"/>
  <c r="AA147" i="1127"/>
  <c r="Q119" i="1127"/>
  <c r="Q179" i="1127"/>
  <c r="X179" i="1127" s="1"/>
  <c r="S179" i="1127"/>
  <c r="U179" i="1127"/>
  <c r="AA179" i="1127"/>
  <c r="Q257" i="1127"/>
  <c r="X261" i="1127"/>
  <c r="Q23" i="1127"/>
  <c r="X27" i="1127"/>
  <c r="AA27" i="1127" s="1"/>
  <c r="Q239" i="1127"/>
  <c r="Q233" i="1127"/>
  <c r="AA233" i="1127" s="1"/>
  <c r="X237" i="1127"/>
  <c r="X236" i="1127"/>
  <c r="Q245" i="1127"/>
  <c r="AA247" i="1127"/>
  <c r="X250" i="1127"/>
  <c r="Q173" i="1127"/>
  <c r="Q89" i="1127"/>
  <c r="Q65" i="1127"/>
  <c r="Q149" i="1127"/>
  <c r="X154" i="1127" s="1"/>
  <c r="Q161" i="1127"/>
  <c r="AA161" i="1127"/>
  <c r="Q137" i="1127"/>
  <c r="Q221" i="1127"/>
  <c r="X224" i="1127"/>
  <c r="Q11" i="1127"/>
  <c r="Q155" i="1127"/>
  <c r="X160" i="1127"/>
  <c r="X159" i="1127"/>
  <c r="Q53" i="1127"/>
  <c r="Q71" i="1127"/>
  <c r="X72" i="1127" s="1"/>
  <c r="AA72" i="1127" s="1"/>
  <c r="Q131" i="1127"/>
  <c r="AA132" i="1127"/>
  <c r="Q203" i="1127"/>
  <c r="AA204" i="1127" s="1"/>
  <c r="Q35" i="1127"/>
  <c r="O112" i="408"/>
  <c r="X352" i="1127"/>
  <c r="X350" i="1127"/>
  <c r="X343" i="1127"/>
  <c r="AA344" i="1127"/>
  <c r="Q5" i="1127"/>
  <c r="AA289" i="1127"/>
  <c r="X291" i="1127"/>
  <c r="AA291" i="1127"/>
  <c r="S287" i="1127"/>
  <c r="U287" i="1127" s="1"/>
  <c r="X276" i="1127"/>
  <c r="X219" i="1127"/>
  <c r="AA183" i="1127"/>
  <c r="X182" i="1127"/>
  <c r="AA182" i="1127"/>
  <c r="AA184" i="1127"/>
  <c r="X284" i="1127"/>
  <c r="AA334" i="1127"/>
  <c r="S329" i="1127"/>
  <c r="U329" i="1127" s="1"/>
  <c r="AA330" i="1127"/>
  <c r="X331" i="1127"/>
  <c r="AA332" i="1127"/>
  <c r="AA329" i="1127"/>
  <c r="X186" i="1127"/>
  <c r="AA186" i="1127"/>
  <c r="X234" i="1127"/>
  <c r="AA269" i="1127"/>
  <c r="AA270" i="1127"/>
  <c r="AA271" i="1127"/>
  <c r="X269" i="1127"/>
  <c r="X274" i="1127"/>
  <c r="X271" i="1127"/>
  <c r="AA272" i="1127"/>
  <c r="AA274" i="1127"/>
  <c r="X272" i="1127"/>
  <c r="S269" i="1127"/>
  <c r="U269" i="1127" s="1"/>
  <c r="X270" i="1127"/>
  <c r="AA273" i="1127"/>
  <c r="AA294" i="1127"/>
  <c r="AA295" i="1127"/>
  <c r="X295" i="1127"/>
  <c r="X298" i="1127"/>
  <c r="AA322" i="1127"/>
  <c r="X344" i="1127"/>
  <c r="X341" i="1127"/>
  <c r="AA346" i="1127"/>
  <c r="X345" i="1127"/>
  <c r="S341" i="1127"/>
  <c r="U341" i="1127" s="1"/>
  <c r="X346" i="1127"/>
  <c r="AA345" i="1127"/>
  <c r="AA342" i="1127"/>
  <c r="AA341" i="1127"/>
  <c r="AA250" i="1127"/>
  <c r="X188" i="1127"/>
  <c r="X297" i="1127"/>
  <c r="X342" i="1127"/>
  <c r="X58" i="1127"/>
  <c r="AA58" i="1127"/>
  <c r="AA262" i="1127"/>
  <c r="X310" i="1127"/>
  <c r="AA308" i="1127"/>
  <c r="X306" i="1127"/>
  <c r="AA306" i="1127"/>
  <c r="X309" i="1127"/>
  <c r="X307" i="1127"/>
  <c r="X308" i="1127"/>
  <c r="AA305" i="1127"/>
  <c r="S305" i="1127"/>
  <c r="U305" i="1127"/>
  <c r="X305" i="1127"/>
  <c r="AA309" i="1127"/>
  <c r="X357" i="1127"/>
  <c r="AA358" i="1127"/>
  <c r="X355" i="1127"/>
  <c r="AA249" i="1127"/>
  <c r="X90" i="1127"/>
  <c r="AA90" i="1127"/>
  <c r="X273" i="1127"/>
  <c r="X327" i="1127"/>
  <c r="X328" i="1127"/>
  <c r="X326" i="1127"/>
  <c r="X278" i="1127"/>
  <c r="X275" i="1127"/>
  <c r="AA278" i="1127"/>
  <c r="S227" i="1127"/>
  <c r="U227" i="1127" s="1"/>
  <c r="AA349" i="1127"/>
  <c r="AA347" i="1127"/>
  <c r="AA352" i="1127"/>
  <c r="X347" i="1127"/>
  <c r="AA348" i="1127"/>
  <c r="S347" i="1127"/>
  <c r="U347" i="1127"/>
  <c r="X348" i="1127"/>
  <c r="AA350" i="1127"/>
  <c r="X349" i="1127"/>
  <c r="AA351" i="1127"/>
  <c r="X302" i="1127"/>
  <c r="AA303" i="1127"/>
  <c r="X303" i="1127"/>
  <c r="S299" i="1127"/>
  <c r="U299" i="1127" s="1"/>
  <c r="AA299" i="1127"/>
  <c r="AA302" i="1127"/>
  <c r="X299" i="1127"/>
  <c r="AA304" i="1127"/>
  <c r="AA300" i="1127"/>
  <c r="Q163" i="1127"/>
  <c r="S163" i="1127"/>
  <c r="U163" i="1127" s="1"/>
  <c r="Q145" i="1127"/>
  <c r="S145" i="1127"/>
  <c r="U145" i="1127" s="1"/>
  <c r="X145" i="1127" s="1"/>
  <c r="AA145" i="1127"/>
  <c r="S191" i="1127"/>
  <c r="U191" i="1127"/>
  <c r="X191" i="1127"/>
  <c r="S233" i="1127"/>
  <c r="U233" i="1127"/>
  <c r="X233" i="1127"/>
  <c r="AA236" i="1127"/>
  <c r="AA237" i="1127"/>
  <c r="X238" i="1127"/>
  <c r="S95" i="1127"/>
  <c r="U95" i="1127"/>
  <c r="X95" i="1127"/>
  <c r="X204" i="1127"/>
  <c r="Q175" i="1127"/>
  <c r="S175" i="1127"/>
  <c r="U175" i="1127" s="1"/>
  <c r="Q193" i="1127"/>
  <c r="S193" i="1127"/>
  <c r="U193" i="1127"/>
  <c r="Q187" i="1127"/>
  <c r="S187" i="1127" s="1"/>
  <c r="U187" i="1127" s="1"/>
  <c r="X187" i="1127"/>
  <c r="AA187" i="1127"/>
  <c r="H46" i="1127"/>
  <c r="Q157" i="1127"/>
  <c r="S157" i="1127"/>
  <c r="U157" i="1127" s="1"/>
  <c r="X157" i="1127"/>
  <c r="AA157" i="1127"/>
  <c r="Q217" i="1127"/>
  <c r="S217" i="1127" s="1"/>
  <c r="U217" i="1127" s="1"/>
  <c r="X217" i="1127"/>
  <c r="Q181" i="1127"/>
  <c r="S181" i="1127"/>
  <c r="U181" i="1127" s="1"/>
  <c r="X181" i="1127"/>
  <c r="AA181" i="1127"/>
  <c r="Q211" i="1127"/>
  <c r="S211" i="1127" s="1"/>
  <c r="U211" i="1127" s="1"/>
  <c r="Q55" i="1127"/>
  <c r="S55" i="1127" s="1"/>
  <c r="U55" i="1127" s="1"/>
  <c r="Q97" i="1127"/>
  <c r="S97" i="1127" s="1"/>
  <c r="U97" i="1127" s="1"/>
  <c r="X97" i="1127" s="1"/>
  <c r="AA97" i="1127" s="1"/>
  <c r="Q37" i="1127"/>
  <c r="S37" i="1127" s="1"/>
  <c r="U37" i="1127" s="1"/>
  <c r="X37" i="1127"/>
  <c r="AA37" i="1127"/>
  <c r="Q139" i="1127"/>
  <c r="S139" i="1127"/>
  <c r="U139" i="1127"/>
  <c r="X139" i="1127"/>
  <c r="Q67" i="1127"/>
  <c r="S67" i="1127"/>
  <c r="U67" i="1127"/>
  <c r="Q103" i="1127"/>
  <c r="S103" i="1127" s="1"/>
  <c r="U103" i="1127" s="1"/>
  <c r="Q229" i="1127"/>
  <c r="S229" i="1127" s="1"/>
  <c r="U229" i="1127" s="1"/>
  <c r="Q247" i="1127"/>
  <c r="S247" i="1127"/>
  <c r="U247" i="1127" s="1"/>
  <c r="X247" i="1127"/>
  <c r="Q199" i="1127"/>
  <c r="S199" i="1127" s="1"/>
  <c r="U199" i="1127" s="1"/>
  <c r="Q85" i="1127"/>
  <c r="S85" i="1127"/>
  <c r="U85" i="1127"/>
  <c r="Q235" i="1127"/>
  <c r="S235" i="1127"/>
  <c r="U235" i="1127" s="1"/>
  <c r="X235" i="1127"/>
  <c r="AA235" i="1127"/>
  <c r="Q241" i="1127"/>
  <c r="S241" i="1127" s="1"/>
  <c r="U241" i="1127" s="1"/>
  <c r="Q109" i="1127"/>
  <c r="S109" i="1127" s="1"/>
  <c r="U109" i="1127" s="1"/>
  <c r="X109" i="1127" s="1"/>
  <c r="AA109" i="1127" s="1"/>
  <c r="Q79" i="1127"/>
  <c r="S79" i="1127" s="1"/>
  <c r="U79" i="1127" s="1"/>
  <c r="Q25" i="1127"/>
  <c r="S25" i="1127" s="1"/>
  <c r="U25" i="1127" s="1"/>
  <c r="X25" i="1127" s="1"/>
  <c r="AA25" i="1127"/>
  <c r="Q115" i="1127"/>
  <c r="S115" i="1127" s="1"/>
  <c r="U115" i="1127" s="1"/>
  <c r="X115" i="1127"/>
  <c r="AA115" i="1127" s="1"/>
  <c r="Q223" i="1127"/>
  <c r="S223" i="1127"/>
  <c r="U223" i="1127"/>
  <c r="Q127" i="1127"/>
  <c r="S127" i="1127" s="1"/>
  <c r="U127" i="1127" s="1"/>
  <c r="X127" i="1127"/>
  <c r="AA127" i="1127"/>
  <c r="Q91" i="1127"/>
  <c r="S91" i="1127"/>
  <c r="U91" i="1127"/>
  <c r="X91" i="1127"/>
  <c r="Q13" i="1127"/>
  <c r="S13" i="1127"/>
  <c r="U13" i="1127"/>
  <c r="Q253" i="1127"/>
  <c r="S253" i="1127"/>
  <c r="U253" i="1127"/>
  <c r="AA253" i="1127"/>
  <c r="Q19" i="1127"/>
  <c r="S19" i="1127"/>
  <c r="U19" i="1127"/>
  <c r="X19" i="1127"/>
  <c r="F46" i="1127"/>
  <c r="Q265" i="1127"/>
  <c r="S265" i="1127" s="1"/>
  <c r="U265" i="1127" s="1"/>
  <c r="Q259" i="1127"/>
  <c r="S259" i="1127" s="1"/>
  <c r="U259" i="1127" s="1"/>
  <c r="Q151" i="1127"/>
  <c r="S151" i="1127" s="1"/>
  <c r="U151" i="1127" s="1"/>
  <c r="X151" i="1127" s="1"/>
  <c r="AA151" i="1127" s="1"/>
  <c r="Q61" i="1127"/>
  <c r="S61" i="1127" s="1"/>
  <c r="U61" i="1127" s="1"/>
  <c r="X61" i="1127" s="1"/>
  <c r="Q31" i="1127"/>
  <c r="S31" i="1127"/>
  <c r="U31" i="1127"/>
  <c r="X31" i="1127" s="1"/>
  <c r="Q121" i="1127"/>
  <c r="S121" i="1127"/>
  <c r="U121" i="1127" s="1"/>
  <c r="Q49" i="1127"/>
  <c r="S49" i="1127"/>
  <c r="U49" i="1127" s="1"/>
  <c r="X49" i="1127" s="1"/>
  <c r="AA49" i="1127"/>
  <c r="Q169" i="1127"/>
  <c r="S169" i="1127" s="1"/>
  <c r="U169" i="1127" s="1"/>
  <c r="AA169" i="1127"/>
  <c r="Q205" i="1127"/>
  <c r="S205" i="1127"/>
  <c r="U205" i="1127" s="1"/>
  <c r="Q43" i="1127"/>
  <c r="S43" i="1127"/>
  <c r="U43" i="1127" s="1"/>
  <c r="X43" i="1127"/>
  <c r="AA43" i="1127" s="1"/>
  <c r="Q73" i="1127"/>
  <c r="S73" i="1127"/>
  <c r="U73" i="1127" s="1"/>
  <c r="Q133" i="1127"/>
  <c r="S133" i="1127" s="1"/>
  <c r="U133" i="1127" s="1"/>
  <c r="X133" i="1127" s="1"/>
  <c r="AA133" i="1127" s="1"/>
  <c r="Q7" i="1127"/>
  <c r="S7" i="1127" s="1"/>
  <c r="U7" i="1127"/>
  <c r="X7" i="1127" s="1"/>
  <c r="AA7" i="1127" s="1"/>
  <c r="C43" i="1127"/>
  <c r="G43" i="1127"/>
  <c r="E41" i="1127"/>
  <c r="G41" i="1127"/>
  <c r="D44" i="1127"/>
  <c r="G44" i="1127"/>
  <c r="C44" i="1127"/>
  <c r="E44" i="1127"/>
  <c r="F42" i="1127"/>
  <c r="F44" i="1127"/>
  <c r="F40" i="1127"/>
  <c r="F45" i="1127"/>
  <c r="E42" i="1127"/>
  <c r="G42" i="1127"/>
  <c r="D42" i="1127"/>
  <c r="C42" i="1127"/>
  <c r="C40" i="1127"/>
  <c r="E43" i="1127"/>
  <c r="G40" i="1127"/>
  <c r="E40" i="1127"/>
  <c r="D41" i="1127"/>
  <c r="H42" i="1127"/>
  <c r="H45" i="1127"/>
  <c r="H44" i="1127"/>
  <c r="H43" i="1127"/>
  <c r="F43" i="1127"/>
  <c r="H40" i="1127"/>
  <c r="H41" i="1127"/>
  <c r="F41" i="1127"/>
  <c r="K134" i="1063"/>
  <c r="X137" i="1061"/>
  <c r="X135" i="1061"/>
  <c r="X138" i="1061"/>
  <c r="T122" i="1061"/>
  <c r="BY4" i="1061"/>
  <c r="O88" i="1061"/>
  <c r="BS77" i="1061"/>
  <c r="BS76" i="1061"/>
  <c r="V125" i="1061"/>
  <c r="AF122" i="1061"/>
  <c r="C83" i="1063" s="1"/>
  <c r="H88" i="1061"/>
  <c r="H90" i="1061"/>
  <c r="BS67" i="1061"/>
  <c r="W161" i="1061"/>
  <c r="AC160" i="1061"/>
  <c r="AC180" i="1061"/>
  <c r="BS60" i="1061"/>
  <c r="W181" i="1061"/>
  <c r="L9" i="1061"/>
  <c r="W180" i="1061"/>
  <c r="B134" i="1063"/>
  <c r="T23" i="1061"/>
  <c r="BS73" i="1061"/>
  <c r="BU219" i="1061"/>
  <c r="BS65" i="1061"/>
  <c r="BS71" i="1061"/>
  <c r="DD66" i="1061"/>
  <c r="AA28" i="1061"/>
  <c r="BO200" i="1061"/>
  <c r="BO216" i="1061"/>
  <c r="BO205" i="1061"/>
  <c r="W135" i="1061"/>
  <c r="BU221" i="1061"/>
  <c r="K88" i="1061"/>
  <c r="L88" i="1061"/>
  <c r="BO88" i="1061"/>
  <c r="BP200" i="1061"/>
  <c r="BV200" i="1061"/>
  <c r="BV216" i="1061"/>
  <c r="BU223" i="1061"/>
  <c r="BO207" i="1061"/>
  <c r="AA356" i="1127"/>
  <c r="X356" i="1127"/>
  <c r="X358" i="1127"/>
  <c r="X353" i="1127"/>
  <c r="X354" i="1127"/>
  <c r="AA354" i="1127"/>
  <c r="AA357" i="1127"/>
  <c r="AA355" i="1127"/>
  <c r="S353" i="1127"/>
  <c r="U353" i="1127"/>
  <c r="X329" i="1127"/>
  <c r="X332" i="1127"/>
  <c r="X334" i="1127"/>
  <c r="X330" i="1127"/>
  <c r="AA331" i="1127"/>
  <c r="AA333" i="1127"/>
  <c r="AA325" i="1127"/>
  <c r="X324" i="1127"/>
  <c r="S323" i="1127"/>
  <c r="U323" i="1127"/>
  <c r="AA324" i="1127"/>
  <c r="AA326" i="1127"/>
  <c r="AA323" i="1127"/>
  <c r="AA328" i="1127"/>
  <c r="X323" i="1127"/>
  <c r="AA319" i="1127"/>
  <c r="AA318" i="1127"/>
  <c r="AA321" i="1127"/>
  <c r="AA317" i="1127"/>
  <c r="S317" i="1127"/>
  <c r="U317" i="1127" s="1"/>
  <c r="X314" i="1127"/>
  <c r="AA313" i="1127"/>
  <c r="AA312" i="1127"/>
  <c r="AA316" i="1127"/>
  <c r="X316" i="1127"/>
  <c r="X313" i="1127"/>
  <c r="X257" i="1127"/>
  <c r="X262" i="1127"/>
  <c r="AA259" i="1127"/>
  <c r="AA260" i="1127"/>
  <c r="AA261" i="1127"/>
  <c r="X259" i="1127"/>
  <c r="S257" i="1127"/>
  <c r="U257" i="1127" s="1"/>
  <c r="X260" i="1127"/>
  <c r="AA252" i="1127"/>
  <c r="X252" i="1127"/>
  <c r="AA251" i="1127"/>
  <c r="AA254" i="1127"/>
  <c r="X146" i="1127"/>
  <c r="AA146" i="1127" s="1"/>
  <c r="X144" i="1127"/>
  <c r="X112" i="1127"/>
  <c r="AA112" i="1127" s="1"/>
  <c r="AA111" i="1127"/>
  <c r="X69" i="1127"/>
  <c r="AA69" i="1127" s="1"/>
  <c r="X68" i="1127"/>
  <c r="AA68" i="1127" s="1"/>
  <c r="S23" i="1127"/>
  <c r="U23" i="1127"/>
  <c r="X23" i="1127"/>
  <c r="AA23" i="1127" s="1"/>
  <c r="AA28" i="1127"/>
  <c r="S5" i="1127"/>
  <c r="U5" i="1127" s="1"/>
  <c r="C63" i="1023"/>
  <c r="Q133" i="408"/>
  <c r="F63" i="1023" s="1"/>
  <c r="Q149" i="408"/>
  <c r="F79" i="1023" s="1"/>
  <c r="C40" i="1023"/>
  <c r="C65" i="1023"/>
  <c r="O135" i="408"/>
  <c r="P142" i="408"/>
  <c r="D72" i="1023" s="1"/>
  <c r="Q110" i="408"/>
  <c r="F40" i="1023" s="1"/>
  <c r="O139" i="408"/>
  <c r="O141" i="408"/>
  <c r="Q141" i="408"/>
  <c r="F71" i="1023" s="1"/>
  <c r="C71" i="1023"/>
  <c r="C76" i="1023"/>
  <c r="C62" i="1023"/>
  <c r="Q132" i="408"/>
  <c r="F62" i="1023" s="1"/>
  <c r="O132" i="408"/>
  <c r="O148" i="408"/>
  <c r="O113" i="408"/>
  <c r="Q113" i="408"/>
  <c r="F43" i="1023" s="1"/>
  <c r="O111" i="408"/>
  <c r="P113" i="408"/>
  <c r="D43" i="1023" s="1"/>
  <c r="O144" i="408"/>
  <c r="Q144" i="408"/>
  <c r="F74" i="1023" s="1"/>
  <c r="C61" i="1023"/>
  <c r="O137" i="408"/>
  <c r="O130" i="408"/>
  <c r="P130" i="408"/>
  <c r="D60" i="1023" s="1"/>
  <c r="C60" i="1023"/>
  <c r="P143" i="408"/>
  <c r="D73" i="1023" s="1"/>
  <c r="O109" i="408"/>
  <c r="P109" i="408"/>
  <c r="D39" i="1023" s="1"/>
  <c r="C39" i="1023"/>
  <c r="Q109" i="408"/>
  <c r="F39" i="1023" s="1"/>
  <c r="C74" i="1023"/>
  <c r="C68" i="1023"/>
  <c r="Q131" i="408"/>
  <c r="F61" i="1023" s="1"/>
  <c r="O131" i="408"/>
  <c r="O140" i="408"/>
  <c r="O136" i="408"/>
  <c r="C42" i="1023"/>
  <c r="Q112" i="408"/>
  <c r="F42" i="1023" s="1"/>
  <c r="P112" i="408"/>
  <c r="D42" i="1023" s="1"/>
  <c r="O110" i="408"/>
  <c r="C37" i="1023"/>
  <c r="O138" i="408"/>
  <c r="C41" i="1023"/>
  <c r="Q111" i="408"/>
  <c r="F41" i="1023" s="1"/>
  <c r="Q145" i="408"/>
  <c r="F75" i="1023" s="1"/>
  <c r="AD98" i="408"/>
  <c r="O142" i="408"/>
  <c r="O128" i="408"/>
  <c r="C72" i="1023"/>
  <c r="E174" i="408"/>
  <c r="P137" i="408"/>
  <c r="E177" i="408"/>
  <c r="P140" i="408" s="1"/>
  <c r="R202" i="408"/>
  <c r="E178" i="408"/>
  <c r="P141" i="408"/>
  <c r="E175" i="408"/>
  <c r="P138" i="408"/>
  <c r="R201" i="408"/>
  <c r="P108" i="408"/>
  <c r="D38" i="1023" s="1"/>
  <c r="Q108" i="408"/>
  <c r="F38" i="1023" s="1"/>
  <c r="O108" i="408"/>
  <c r="C73" i="1023"/>
  <c r="Q143" i="408"/>
  <c r="F73" i="1023" s="1"/>
  <c r="O143" i="408"/>
  <c r="Q140" i="408"/>
  <c r="F70" i="1023" s="1"/>
  <c r="C70" i="1023"/>
  <c r="Q136" i="408"/>
  <c r="F66" i="1023" s="1"/>
  <c r="C66" i="1023"/>
  <c r="C38" i="1023"/>
  <c r="P146" i="408"/>
  <c r="D76" i="1023" s="1"/>
  <c r="O146" i="408"/>
  <c r="Q146" i="408"/>
  <c r="F76" i="1023" s="1"/>
  <c r="P139" i="408"/>
  <c r="D69" i="1023" s="1"/>
  <c r="P149" i="408"/>
  <c r="D79" i="1023" s="1"/>
  <c r="O149" i="408"/>
  <c r="C75" i="1023"/>
  <c r="P145" i="408"/>
  <c r="D75" i="1023" s="1"/>
  <c r="C64" i="1023"/>
  <c r="Q134" i="408"/>
  <c r="F64" i="1023" s="1"/>
  <c r="P129" i="408"/>
  <c r="D59" i="1023" s="1"/>
  <c r="C78" i="1023"/>
  <c r="Q148" i="408"/>
  <c r="F78" i="1023" s="1"/>
  <c r="Q137" i="408"/>
  <c r="F67" i="1023" s="1"/>
  <c r="C67" i="1023"/>
  <c r="C58" i="1023"/>
  <c r="P128" i="408"/>
  <c r="D58" i="1023" s="1"/>
  <c r="AA122" i="1061"/>
  <c r="H48" i="1061"/>
  <c r="V122" i="1061"/>
  <c r="B84" i="1063" s="1"/>
  <c r="B68" i="1062"/>
  <c r="X125" i="1061"/>
  <c r="AF125" i="1061"/>
  <c r="M71" i="1062" s="1"/>
  <c r="CE196" i="1061"/>
  <c r="AE125" i="1061"/>
  <c r="I70" i="1062" s="1"/>
  <c r="I71" i="1062"/>
  <c r="Z122" i="1061"/>
  <c r="AA125" i="1061"/>
  <c r="E71" i="1062" s="1"/>
  <c r="Y122" i="1061"/>
  <c r="D85" i="1063" s="1"/>
  <c r="D69" i="1062"/>
  <c r="AC143" i="1061"/>
  <c r="H149" i="1061" s="1"/>
  <c r="N73" i="1062" s="1"/>
  <c r="I87" i="1063"/>
  <c r="F69" i="1062"/>
  <c r="CX42" i="1061"/>
  <c r="CX14" i="1061"/>
  <c r="DD130" i="1061"/>
  <c r="DD70" i="1061"/>
  <c r="CX128" i="1061"/>
  <c r="CX70" i="1061"/>
  <c r="CX94" i="1061"/>
  <c r="CX122" i="1061"/>
  <c r="CK122" i="1061"/>
  <c r="DD38" i="1061"/>
  <c r="DD10" i="1061" s="1"/>
  <c r="CK124" i="1061"/>
  <c r="CK128" i="1061"/>
  <c r="CK64" i="1061"/>
  <c r="DD44" i="1061"/>
  <c r="DD16" i="1061" s="1"/>
  <c r="CX98" i="1061"/>
  <c r="DD124" i="1061"/>
  <c r="CK126" i="1061"/>
  <c r="CQ98" i="1061"/>
  <c r="CX38" i="1061"/>
  <c r="CX10" i="1061" s="1"/>
  <c r="E249" i="1063"/>
  <c r="AB125" i="1061"/>
  <c r="F87" i="1063" s="1"/>
  <c r="CQ44" i="1061"/>
  <c r="CQ16" i="1061" s="1"/>
  <c r="CK96" i="1061"/>
  <c r="AI239" i="1061"/>
  <c r="C70" i="1062"/>
  <c r="CX96" i="1061"/>
  <c r="DD100" i="1061"/>
  <c r="CX40" i="1061"/>
  <c r="CX12" i="1061" s="1"/>
  <c r="BX184" i="1061"/>
  <c r="S177" i="408"/>
  <c r="R178" i="408"/>
  <c r="S173" i="408"/>
  <c r="E172" i="408"/>
  <c r="P135" i="408" s="1"/>
  <c r="R175" i="408"/>
  <c r="R173" i="408"/>
  <c r="R177" i="408"/>
  <c r="AC97" i="408"/>
  <c r="H8" i="524" s="1"/>
  <c r="AD144" i="408"/>
  <c r="AD100" i="408"/>
  <c r="AC100" i="408" s="1"/>
  <c r="H11" i="524" s="1"/>
  <c r="AE100" i="408"/>
  <c r="G11" i="524" s="1"/>
  <c r="T16" i="408"/>
  <c r="R8" i="408"/>
  <c r="X115" i="408" s="1"/>
  <c r="Y115" i="408" s="1"/>
  <c r="E143" i="408" s="1"/>
  <c r="X120" i="408"/>
  <c r="X118" i="408"/>
  <c r="AA31" i="1061"/>
  <c r="W110" i="1061"/>
  <c r="P106" i="1061"/>
  <c r="T26" i="1061"/>
  <c r="O9" i="1061"/>
  <c r="T27" i="1061"/>
  <c r="B53" i="1063"/>
  <c r="W132" i="1061"/>
  <c r="X132" i="1061" s="1"/>
  <c r="AC132" i="1061"/>
  <c r="W131" i="1061"/>
  <c r="X131" i="1061" s="1"/>
  <c r="AC131" i="1061" s="1"/>
  <c r="W125" i="1061"/>
  <c r="C135" i="1062"/>
  <c r="AA67" i="1061"/>
  <c r="J50" i="1061"/>
  <c r="AC146" i="1061"/>
  <c r="W146" i="1061"/>
  <c r="AC144" i="1061"/>
  <c r="AA15" i="1061"/>
  <c r="B18" i="1063"/>
  <c r="K9" i="1061"/>
  <c r="L101" i="408"/>
  <c r="O101" i="408" s="1"/>
  <c r="L100" i="408"/>
  <c r="O100" i="408" s="1"/>
  <c r="L106" i="408"/>
  <c r="C36" i="1023" s="1"/>
  <c r="L122" i="408"/>
  <c r="L126" i="408"/>
  <c r="L123" i="408"/>
  <c r="C53" i="1023" s="1"/>
  <c r="L119" i="408"/>
  <c r="O119" i="408" s="1"/>
  <c r="L103" i="408"/>
  <c r="Q103" i="408" s="1"/>
  <c r="F33" i="1023" s="1"/>
  <c r="L120" i="408"/>
  <c r="O120" i="408" s="1"/>
  <c r="L118" i="408"/>
  <c r="O118" i="408" s="1"/>
  <c r="L115" i="408"/>
  <c r="C45" i="1023" s="1"/>
  <c r="E171" i="408"/>
  <c r="P134" i="408" s="1"/>
  <c r="L102" i="408"/>
  <c r="C32" i="1023" s="1"/>
  <c r="L114" i="408"/>
  <c r="C44" i="1023" s="1"/>
  <c r="L121" i="408"/>
  <c r="C51" i="1023" s="1"/>
  <c r="DD46" i="1061"/>
  <c r="DD18" i="1061" s="1"/>
  <c r="H50" i="1061"/>
  <c r="CC183" i="1061"/>
  <c r="CE187" i="1061"/>
  <c r="P105" i="1061"/>
  <c r="P97" i="1061"/>
  <c r="DD21" i="1061"/>
  <c r="CK22" i="1061"/>
  <c r="CX24" i="1061"/>
  <c r="CQ21" i="1061"/>
  <c r="CQ8" i="1061"/>
  <c r="DD9" i="1061"/>
  <c r="DD22" i="1061"/>
  <c r="BP88" i="1061"/>
  <c r="X112" i="408"/>
  <c r="Y112" i="408" s="1"/>
  <c r="AE97" i="408"/>
  <c r="G8" i="524" s="1"/>
  <c r="T19" i="408"/>
  <c r="X116" i="408"/>
  <c r="E155" i="408"/>
  <c r="X113" i="408"/>
  <c r="E136" i="408"/>
  <c r="X117" i="408"/>
  <c r="X114" i="408"/>
  <c r="E135" i="408"/>
  <c r="R9" i="408"/>
  <c r="W107" i="408" s="1"/>
  <c r="Y107" i="408" s="1"/>
  <c r="X119" i="408"/>
  <c r="U19" i="408"/>
  <c r="CQ12" i="1061"/>
  <c r="CQ25" i="1061"/>
  <c r="BX4" i="1061"/>
  <c r="CQ7" i="1061"/>
  <c r="CX23" i="1061"/>
  <c r="DD24" i="1061"/>
  <c r="CQ9" i="1061"/>
  <c r="CK20" i="1061"/>
  <c r="CX21" i="1061"/>
  <c r="CK19" i="1061"/>
  <c r="CQ23" i="1061"/>
  <c r="DD13" i="1061"/>
  <c r="CX18" i="1061"/>
  <c r="CX7" i="1061"/>
  <c r="DD15" i="1061"/>
  <c r="DD20" i="1061"/>
  <c r="CK15" i="1061"/>
  <c r="CX19" i="1061"/>
  <c r="CX17" i="1061"/>
  <c r="CQ24" i="1061"/>
  <c r="CQ19" i="1061"/>
  <c r="CX11" i="1061"/>
  <c r="CK11" i="1061"/>
  <c r="CQ17" i="1061"/>
  <c r="CQ18" i="1061"/>
  <c r="DD12" i="1061"/>
  <c r="DD17" i="1061"/>
  <c r="CX20" i="1061"/>
  <c r="CX22" i="1061"/>
  <c r="CQ15" i="1061"/>
  <c r="CQ13" i="1061"/>
  <c r="CK9" i="1061"/>
  <c r="CX25" i="1061"/>
  <c r="CX9" i="1061"/>
  <c r="CQ22" i="1061"/>
  <c r="DD19" i="1061"/>
  <c r="CX13" i="1061"/>
  <c r="CK23" i="1061"/>
  <c r="CK18" i="1061"/>
  <c r="CQ20" i="1061"/>
  <c r="CK16" i="1061"/>
  <c r="CK13" i="1061"/>
  <c r="DD25" i="1061"/>
  <c r="CK25" i="1061"/>
  <c r="CK7" i="1061"/>
  <c r="DD8" i="1061"/>
  <c r="CK24" i="1061"/>
  <c r="DD7" i="1061"/>
  <c r="CX15" i="1061"/>
  <c r="CK21" i="1061"/>
  <c r="DD23" i="1061"/>
  <c r="F71" i="1062"/>
  <c r="E87" i="1063"/>
  <c r="F84" i="1063"/>
  <c r="H55" i="1061"/>
  <c r="C45" i="1062" s="1"/>
  <c r="W97" i="1061"/>
  <c r="T87" i="1062"/>
  <c r="W99" i="1061"/>
  <c r="T89" i="1062" s="1"/>
  <c r="E144" i="408"/>
  <c r="E152" i="408"/>
  <c r="E139" i="408"/>
  <c r="E141" i="408"/>
  <c r="X267" i="1127"/>
  <c r="X243" i="1127"/>
  <c r="AA239" i="1127"/>
  <c r="X239" i="1127"/>
  <c r="X242" i="1127"/>
  <c r="X240" i="1127"/>
  <c r="AA234" i="1127"/>
  <c r="AA231" i="1127"/>
  <c r="AA228" i="1127"/>
  <c r="X231" i="1127"/>
  <c r="X228" i="1127"/>
  <c r="AA229" i="1127"/>
  <c r="AA227" i="1127"/>
  <c r="X229" i="1127"/>
  <c r="X227" i="1127"/>
  <c r="AA230" i="1127"/>
  <c r="X222" i="1127"/>
  <c r="AA222" i="1127"/>
  <c r="X223" i="1127"/>
  <c r="AA223" i="1127"/>
  <c r="S221" i="1127"/>
  <c r="U221" i="1127" s="1"/>
  <c r="X221" i="1127"/>
  <c r="AA221" i="1127"/>
  <c r="X225" i="1127"/>
  <c r="AA225" i="1127"/>
  <c r="AA224" i="1127"/>
  <c r="X180" i="1127"/>
  <c r="AA180" i="1127"/>
  <c r="X167" i="1127"/>
  <c r="AA167" i="1127"/>
  <c r="X172" i="1127"/>
  <c r="AA172" i="1127"/>
  <c r="AA162" i="1127"/>
  <c r="S125" i="1127"/>
  <c r="U125" i="1127" s="1"/>
  <c r="X125" i="1127" s="1"/>
  <c r="AA125" i="1127" s="1"/>
  <c r="X130" i="1127"/>
  <c r="AA130" i="1127"/>
  <c r="X126" i="1127"/>
  <c r="AA126" i="1127"/>
  <c r="X118" i="1127"/>
  <c r="AA118" i="1127"/>
  <c r="X114" i="1127"/>
  <c r="AA114" i="1127"/>
  <c r="AA116" i="1127"/>
  <c r="X117" i="1127"/>
  <c r="AA117" i="1127"/>
  <c r="S113" i="1127"/>
  <c r="U113" i="1127"/>
  <c r="X113" i="1127" s="1"/>
  <c r="AA113" i="1127" s="1"/>
  <c r="X105" i="1127"/>
  <c r="S83" i="1127"/>
  <c r="U83" i="1127" s="1"/>
  <c r="X83" i="1127"/>
  <c r="AA83" i="1127" s="1"/>
  <c r="X84" i="1127"/>
  <c r="AA84" i="1127" s="1"/>
  <c r="X87" i="1127"/>
  <c r="AA87" i="1127"/>
  <c r="X88" i="1127"/>
  <c r="AA88" i="1127" s="1"/>
  <c r="X86" i="1127"/>
  <c r="AA86" i="1127"/>
  <c r="X75" i="1127"/>
  <c r="X76" i="1127"/>
  <c r="AA76" i="1127"/>
  <c r="S71" i="1127"/>
  <c r="U71" i="1127" s="1"/>
  <c r="X71" i="1127"/>
  <c r="AA71" i="1127" s="1"/>
  <c r="X62" i="1127"/>
  <c r="AA62" i="1127" s="1"/>
  <c r="S59" i="1127"/>
  <c r="U59" i="1127"/>
  <c r="X60" i="1127"/>
  <c r="AA60" i="1127"/>
  <c r="S41" i="1127"/>
  <c r="U41" i="1127" s="1"/>
  <c r="X41" i="1127" s="1"/>
  <c r="AA41" i="1127" s="1"/>
  <c r="X42" i="1127"/>
  <c r="AA42" i="1127"/>
  <c r="X46" i="1127"/>
  <c r="AA46" i="1127" s="1"/>
  <c r="X44" i="1127"/>
  <c r="AA44" i="1127"/>
  <c r="X45" i="1127"/>
  <c r="AA45" i="1127" s="1"/>
  <c r="X39" i="1127"/>
  <c r="AA39" i="1127"/>
  <c r="S35" i="1127"/>
  <c r="U35" i="1127" s="1"/>
  <c r="X35" i="1127" s="1"/>
  <c r="AA35" i="1127" s="1"/>
  <c r="X36" i="1127"/>
  <c r="AA36" i="1127"/>
  <c r="S29" i="1127"/>
  <c r="U29" i="1127"/>
  <c r="X29" i="1127"/>
  <c r="AA29" i="1127" s="1"/>
  <c r="X33" i="1127"/>
  <c r="AA33" i="1127"/>
  <c r="G38" i="1127"/>
  <c r="E38" i="1127"/>
  <c r="D38" i="1127"/>
  <c r="G39" i="1127"/>
  <c r="E39" i="1127"/>
  <c r="C39" i="1127"/>
  <c r="C129" i="1062"/>
  <c r="H140" i="1061"/>
  <c r="C109" i="1063" s="1"/>
  <c r="H159" i="1061"/>
  <c r="N83" i="1062" s="1"/>
  <c r="H142" i="1061"/>
  <c r="H165" i="1061"/>
  <c r="CD194" i="1061"/>
  <c r="M88" i="1061"/>
  <c r="M48" i="1061"/>
  <c r="K51" i="1063"/>
  <c r="AA73" i="1061"/>
  <c r="F39" i="1127"/>
  <c r="H39" i="1127"/>
  <c r="F38" i="1127"/>
  <c r="H38" i="1127"/>
  <c r="C36" i="1127"/>
  <c r="X312" i="1127"/>
  <c r="X277" i="1127"/>
  <c r="X279" i="1127"/>
  <c r="AA275" i="1127"/>
  <c r="AA279" i="1127"/>
  <c r="AA277" i="1127"/>
  <c r="X248" i="1127"/>
  <c r="X246" i="1127"/>
  <c r="X245" i="1127"/>
  <c r="AA243" i="1127"/>
  <c r="AA242" i="1127"/>
  <c r="AA241" i="1127"/>
  <c r="X244" i="1127"/>
  <c r="AA220" i="1127"/>
  <c r="AA217" i="1127"/>
  <c r="X220" i="1127"/>
  <c r="X192" i="1127"/>
  <c r="AA192" i="1127"/>
  <c r="X196" i="1127"/>
  <c r="AA196" i="1127"/>
  <c r="X193" i="1127"/>
  <c r="AA193" i="1127"/>
  <c r="X195" i="1127"/>
  <c r="AA195" i="1127"/>
  <c r="AA188" i="1127"/>
  <c r="X190" i="1127"/>
  <c r="AA190" i="1127"/>
  <c r="S173" i="1127"/>
  <c r="U173" i="1127"/>
  <c r="X173" i="1127"/>
  <c r="AA173" i="1127"/>
  <c r="S155" i="1127"/>
  <c r="U155" i="1127"/>
  <c r="X155" i="1127"/>
  <c r="AA155" i="1127"/>
  <c r="X156" i="1127"/>
  <c r="AA156" i="1127"/>
  <c r="AA160" i="1127"/>
  <c r="X158" i="1127"/>
  <c r="AA158" i="1127"/>
  <c r="AA159" i="1127"/>
  <c r="X152" i="1127"/>
  <c r="AA152" i="1127"/>
  <c r="X148" i="1127"/>
  <c r="AA148" i="1127"/>
  <c r="X100" i="1127"/>
  <c r="AA100" i="1127"/>
  <c r="X99" i="1127"/>
  <c r="AA99" i="1127" s="1"/>
  <c r="AA98" i="1127"/>
  <c r="S65" i="1127"/>
  <c r="U65" i="1127" s="1"/>
  <c r="X65" i="1127" s="1"/>
  <c r="AA65" i="1127" s="1"/>
  <c r="X54" i="1127"/>
  <c r="AA54" i="1127"/>
  <c r="X18" i="1127"/>
  <c r="AA18" i="1127"/>
  <c r="S17" i="1127"/>
  <c r="U17" i="1127"/>
  <c r="X17" i="1127"/>
  <c r="AA17" i="1127"/>
  <c r="X13" i="1127"/>
  <c r="AA13" i="1127"/>
  <c r="X12" i="1127"/>
  <c r="AA12" i="1127"/>
  <c r="X15" i="1127"/>
  <c r="AA15" i="1127"/>
  <c r="S11" i="1127"/>
  <c r="U11" i="1127"/>
  <c r="X11" i="1127" s="1"/>
  <c r="AA11" i="1127" s="1"/>
  <c r="AA16" i="1127"/>
  <c r="AA276" i="1127"/>
  <c r="S275" i="1127"/>
  <c r="U275" i="1127"/>
  <c r="X249" i="1127"/>
  <c r="AA245" i="1127"/>
  <c r="AA246" i="1127"/>
  <c r="S245" i="1127"/>
  <c r="U245" i="1127"/>
  <c r="AA226" i="1127"/>
  <c r="X226" i="1127"/>
  <c r="AA219" i="1127"/>
  <c r="AA215" i="1127"/>
  <c r="X215" i="1127"/>
  <c r="AA216" i="1127"/>
  <c r="X216" i="1127"/>
  <c r="S215" i="1127"/>
  <c r="U215" i="1127" s="1"/>
  <c r="X209" i="1127"/>
  <c r="X214" i="1127"/>
  <c r="AA214" i="1127"/>
  <c r="X210" i="1127"/>
  <c r="AA210" i="1127"/>
  <c r="X213" i="1127"/>
  <c r="AA213" i="1127"/>
  <c r="X211" i="1127"/>
  <c r="AA211" i="1127"/>
  <c r="X212" i="1127"/>
  <c r="AA212" i="1127"/>
  <c r="AA209" i="1127"/>
  <c r="S203" i="1127"/>
  <c r="U203" i="1127"/>
  <c r="X203" i="1127"/>
  <c r="AA203" i="1127"/>
  <c r="X208" i="1127"/>
  <c r="AA208" i="1127"/>
  <c r="X207" i="1127"/>
  <c r="AA207" i="1127"/>
  <c r="AA205" i="1127"/>
  <c r="AA206" i="1127"/>
  <c r="X198" i="1127"/>
  <c r="AA198" i="1127"/>
  <c r="X201" i="1127"/>
  <c r="AA201" i="1127"/>
  <c r="X200" i="1127"/>
  <c r="AA200" i="1127"/>
  <c r="S197" i="1127"/>
  <c r="U197" i="1127"/>
  <c r="X197" i="1127"/>
  <c r="AA197" i="1127"/>
  <c r="X199" i="1127"/>
  <c r="AA199" i="1127"/>
  <c r="X202" i="1127"/>
  <c r="AA202" i="1127"/>
  <c r="X189" i="1127"/>
  <c r="AA189" i="1127"/>
  <c r="X178" i="1127"/>
  <c r="AA178" i="1127"/>
  <c r="X176" i="1127"/>
  <c r="AA176" i="1127"/>
  <c r="X175" i="1127"/>
  <c r="AA175" i="1127"/>
  <c r="X177" i="1127"/>
  <c r="AA177" i="1127"/>
  <c r="X170" i="1127"/>
  <c r="AA170" i="1127"/>
  <c r="X165" i="1127"/>
  <c r="AA165" i="1127"/>
  <c r="X166" i="1127"/>
  <c r="AA166" i="1127"/>
  <c r="X164" i="1127"/>
  <c r="AA164" i="1127"/>
  <c r="S143" i="1127"/>
  <c r="U143" i="1127" s="1"/>
  <c r="X143" i="1127" s="1"/>
  <c r="AA143" i="1127"/>
  <c r="AA144" i="1127"/>
  <c r="X140" i="1127"/>
  <c r="AA140" i="1127"/>
  <c r="X134" i="1127"/>
  <c r="AA134" i="1127"/>
  <c r="S131" i="1127"/>
  <c r="U131" i="1127"/>
  <c r="X131" i="1127"/>
  <c r="AA131" i="1127"/>
  <c r="X136" i="1127"/>
  <c r="AA136" i="1127"/>
  <c r="X135" i="1127"/>
  <c r="AA135" i="1127"/>
  <c r="X123" i="1127"/>
  <c r="AA123" i="1127"/>
  <c r="X94" i="1127"/>
  <c r="AA94" i="1127"/>
  <c r="S89" i="1127"/>
  <c r="U89" i="1127"/>
  <c r="X89" i="1127"/>
  <c r="AA89" i="1127"/>
  <c r="X78" i="1127"/>
  <c r="AA78" i="1127"/>
  <c r="X56" i="1127"/>
  <c r="AA56" i="1127"/>
  <c r="X48" i="1127"/>
  <c r="AA48" i="1127"/>
  <c r="X52" i="1127"/>
  <c r="AA52" i="1127"/>
  <c r="X51" i="1127"/>
  <c r="AA51" i="1127"/>
  <c r="X21" i="1127"/>
  <c r="AA21" i="1127" s="1"/>
  <c r="X20" i="1127"/>
  <c r="AA20" i="1127"/>
  <c r="AA22" i="1127"/>
  <c r="AA361" i="1127"/>
  <c r="X361" i="1127"/>
  <c r="AA364" i="1127"/>
  <c r="S359" i="1127"/>
  <c r="U359" i="1127" s="1"/>
  <c r="AA362" i="1127"/>
  <c r="X362" i="1127"/>
  <c r="AA360" i="1127"/>
  <c r="AA363" i="1127"/>
  <c r="X360" i="1127"/>
  <c r="AA359" i="1127"/>
  <c r="X364" i="1127"/>
  <c r="X256" i="1127"/>
  <c r="AA248" i="1127"/>
  <c r="AA232" i="1127"/>
  <c r="AA171" i="1127"/>
  <c r="S149" i="1127"/>
  <c r="U149" i="1127" s="1"/>
  <c r="X149" i="1127" s="1"/>
  <c r="AA149" i="1127"/>
  <c r="AA154" i="1127"/>
  <c r="X153" i="1127"/>
  <c r="AA153" i="1127"/>
  <c r="X150" i="1127"/>
  <c r="AA150" i="1127"/>
  <c r="X141" i="1127"/>
  <c r="AA141" i="1127"/>
  <c r="S119" i="1127"/>
  <c r="U119" i="1127"/>
  <c r="X119" i="1127" s="1"/>
  <c r="AA119" i="1127" s="1"/>
  <c r="X122" i="1127"/>
  <c r="AA122" i="1127" s="1"/>
  <c r="X81" i="1127"/>
  <c r="AA81" i="1127"/>
  <c r="X79" i="1127"/>
  <c r="AA79" i="1127" s="1"/>
  <c r="X82" i="1127"/>
  <c r="AA82" i="1127"/>
  <c r="S77" i="1127"/>
  <c r="U77" i="1127" s="1"/>
  <c r="X77" i="1127" s="1"/>
  <c r="AA77" i="1127"/>
  <c r="AA80" i="1127"/>
  <c r="D178" i="1063"/>
  <c r="N88" i="1061"/>
  <c r="CD195" i="1061"/>
  <c r="CE199" i="1061"/>
  <c r="H145" i="1063"/>
  <c r="D29" i="1127"/>
  <c r="D30" i="1127"/>
  <c r="D28" i="1127"/>
  <c r="E28" i="1127"/>
  <c r="G32" i="1127"/>
  <c r="G28" i="1127"/>
  <c r="E33" i="1127"/>
  <c r="G33" i="1127"/>
  <c r="E29" i="1127"/>
  <c r="E34" i="1127"/>
  <c r="E35" i="1127"/>
  <c r="D35" i="1127"/>
  <c r="C31" i="1127"/>
  <c r="E30" i="1127"/>
  <c r="D37" i="1127"/>
  <c r="C33" i="1127"/>
  <c r="D32" i="1127"/>
  <c r="G35" i="1127"/>
  <c r="E37" i="1127"/>
  <c r="G30" i="1127"/>
  <c r="E32" i="1127"/>
  <c r="C35" i="1127"/>
  <c r="D34" i="1127"/>
  <c r="G37" i="1127"/>
  <c r="C37" i="1127"/>
  <c r="D36" i="1127"/>
  <c r="C32" i="1127"/>
  <c r="D31" i="1127"/>
  <c r="G34" i="1127"/>
  <c r="E36" i="1127"/>
  <c r="G29" i="1127"/>
  <c r="E31" i="1127"/>
  <c r="C34" i="1127"/>
  <c r="G36" i="1127"/>
  <c r="P109" i="1061"/>
  <c r="W113" i="1061"/>
  <c r="H36" i="1127"/>
  <c r="F36" i="1127"/>
  <c r="H29" i="1127"/>
  <c r="F29" i="1127"/>
  <c r="H34" i="1127"/>
  <c r="F34" i="1127"/>
  <c r="F37" i="1127"/>
  <c r="H37" i="1127"/>
  <c r="F30" i="1127"/>
  <c r="H30" i="1127"/>
  <c r="F31" i="1127"/>
  <c r="H31" i="1127"/>
  <c r="F28" i="1127"/>
  <c r="H28" i="1127"/>
  <c r="F32" i="1127"/>
  <c r="H32" i="1127"/>
  <c r="F35" i="1127"/>
  <c r="H35" i="1127"/>
  <c r="F33" i="1127"/>
  <c r="H33" i="1127"/>
  <c r="O183" i="408"/>
  <c r="O184" i="408"/>
  <c r="C20" i="1127"/>
  <c r="D27" i="1127"/>
  <c r="C16" i="1127"/>
  <c r="O222" i="1063"/>
  <c r="P151" i="1061" a="1"/>
  <c r="P128" i="1061" a="1"/>
  <c r="O69" i="1061" a="1"/>
  <c r="P138" i="1061" a="1"/>
  <c r="O65" i="1061" a="1"/>
  <c r="P126" i="1061" a="1"/>
  <c r="O61" i="1061" a="1"/>
  <c r="N31" i="1061" a="1"/>
  <c r="P159" i="1061" a="1"/>
  <c r="P130" i="1061" a="1"/>
  <c r="N29" i="1061" a="1"/>
  <c r="P165" i="1061" a="1"/>
  <c r="O57" i="1061" a="1"/>
  <c r="P142" i="1061" a="1"/>
  <c r="O63" i="1061" a="1"/>
  <c r="N27" i="1061" a="1"/>
  <c r="O67" i="1061" a="1"/>
  <c r="P157" i="1061" a="1"/>
  <c r="N19" i="1061" a="1"/>
  <c r="O73" i="1061" a="1"/>
  <c r="P134" i="1061" a="1"/>
  <c r="P153" i="1061" a="1"/>
  <c r="P140" i="1061" a="1"/>
  <c r="N25" i="1061" a="1"/>
  <c r="O59" i="1061" a="1"/>
  <c r="P155" i="1061" a="1"/>
  <c r="P161" i="1061" a="1"/>
  <c r="P132" i="1061" a="1"/>
  <c r="N23" i="1061" a="1"/>
  <c r="N21" i="1061" a="1"/>
  <c r="P136" i="1061" a="1"/>
  <c r="P167" i="1061" a="1"/>
  <c r="N33" i="1061" a="1"/>
  <c r="N17" i="1061" a="1"/>
  <c r="P163" i="1061" a="1"/>
  <c r="O71" i="1061" a="1"/>
  <c r="BO190" i="1061" l="1"/>
  <c r="C216" i="1063" s="1"/>
  <c r="B216" i="1063" s="1"/>
  <c r="BO186" i="1061"/>
  <c r="C212" i="1063" s="1"/>
  <c r="B212" i="1063" s="1"/>
  <c r="C133" i="1062"/>
  <c r="I214" i="1063"/>
  <c r="W157" i="1061"/>
  <c r="B113" i="1063"/>
  <c r="AC179" i="1061"/>
  <c r="W159" i="1061"/>
  <c r="I86" i="1063"/>
  <c r="AC159" i="1061"/>
  <c r="B89" i="1063"/>
  <c r="L50" i="1061"/>
  <c r="K11" i="1061"/>
  <c r="L11" i="1061"/>
  <c r="H11" i="1061"/>
  <c r="T15" i="1061"/>
  <c r="AA19" i="1061"/>
  <c r="H15" i="1061"/>
  <c r="C16" i="1062" s="1"/>
  <c r="AA17" i="1061"/>
  <c r="E134" i="408"/>
  <c r="E133" i="408"/>
  <c r="E154" i="408"/>
  <c r="C50" i="1023"/>
  <c r="L117" i="408"/>
  <c r="O117" i="408" s="1"/>
  <c r="L127" i="408"/>
  <c r="L116" i="408"/>
  <c r="P120" i="408"/>
  <c r="D50" i="1023" s="1"/>
  <c r="E168" i="408"/>
  <c r="P131" i="408" s="1"/>
  <c r="D61" i="1023" s="1"/>
  <c r="L124" i="408"/>
  <c r="O124" i="408" s="1"/>
  <c r="N106" i="408"/>
  <c r="L104" i="408"/>
  <c r="Q104" i="408" s="1"/>
  <c r="F34" i="1023" s="1"/>
  <c r="L105" i="408"/>
  <c r="N105" i="408" s="1"/>
  <c r="L150" i="408"/>
  <c r="L99" i="408"/>
  <c r="BL67" i="1061"/>
  <c r="C192" i="1063" s="1"/>
  <c r="P100" i="408"/>
  <c r="D30" i="1023" s="1"/>
  <c r="Q127" i="408"/>
  <c r="F57" i="1023" s="1"/>
  <c r="Q115" i="408"/>
  <c r="F45" i="1023" s="1"/>
  <c r="Q120" i="408"/>
  <c r="F50" i="1023" s="1"/>
  <c r="Q114" i="408"/>
  <c r="F44" i="1023" s="1"/>
  <c r="BL74" i="1061"/>
  <c r="J115" i="1062" s="1"/>
  <c r="BL66" i="1061"/>
  <c r="P101" i="408"/>
  <c r="D31" i="1023" s="1"/>
  <c r="O123" i="408"/>
  <c r="BL64" i="1061"/>
  <c r="J107" i="1062" s="1"/>
  <c r="C31" i="1023"/>
  <c r="P121" i="408"/>
  <c r="D51" i="1023" s="1"/>
  <c r="BL76" i="1061"/>
  <c r="J117" i="1062" s="1"/>
  <c r="Q102" i="408"/>
  <c r="F32" i="1023" s="1"/>
  <c r="BL75" i="1061"/>
  <c r="C198" i="1063" s="1"/>
  <c r="O121" i="408"/>
  <c r="Q124" i="408"/>
  <c r="F54" i="1023" s="1"/>
  <c r="BL61" i="1061"/>
  <c r="C186" i="1063" s="1"/>
  <c r="BL60" i="1061"/>
  <c r="C185" i="1063" s="1"/>
  <c r="I185" i="1063" s="1"/>
  <c r="O102" i="408"/>
  <c r="Q105" i="408"/>
  <c r="F35" i="1023" s="1"/>
  <c r="P102" i="408"/>
  <c r="O150" i="408"/>
  <c r="C47" i="1023"/>
  <c r="C30" i="1023"/>
  <c r="C187" i="1063"/>
  <c r="I187" i="1063" s="1"/>
  <c r="C49" i="1023"/>
  <c r="P103" i="408"/>
  <c r="D33" i="1023" s="1"/>
  <c r="C33" i="1023"/>
  <c r="Q121" i="408"/>
  <c r="F51" i="1023" s="1"/>
  <c r="Q123" i="408"/>
  <c r="F53" i="1023" s="1"/>
  <c r="Q100" i="408"/>
  <c r="F30" i="1023" s="1"/>
  <c r="O103" i="408"/>
  <c r="CD22" i="1061"/>
  <c r="BW22" i="1061" s="1"/>
  <c r="C244" i="1063" s="1"/>
  <c r="CD25" i="1061"/>
  <c r="BW25" i="1061" s="1"/>
  <c r="H74" i="1061"/>
  <c r="C77" i="1063" s="1"/>
  <c r="B77" i="1063" s="1"/>
  <c r="H59" i="1061"/>
  <c r="H71" i="1061"/>
  <c r="H72" i="1061"/>
  <c r="H70" i="1061"/>
  <c r="C73" i="1063" s="1"/>
  <c r="H75" i="1061"/>
  <c r="C78" i="1063" s="1"/>
  <c r="K77" i="1063" s="1"/>
  <c r="H73" i="1061"/>
  <c r="C55" i="1023"/>
  <c r="Q125" i="408"/>
  <c r="F55" i="1023" s="1"/>
  <c r="O125" i="408"/>
  <c r="H30" i="1061"/>
  <c r="H16" i="1061"/>
  <c r="H24" i="1061"/>
  <c r="C32" i="1063" s="1"/>
  <c r="I32" i="1063" s="1"/>
  <c r="H26" i="1061"/>
  <c r="H27" i="1061"/>
  <c r="H32" i="1061"/>
  <c r="C40" i="1063" s="1"/>
  <c r="B40" i="1063" s="1"/>
  <c r="H31" i="1061"/>
  <c r="H33" i="1061"/>
  <c r="H19" i="1061"/>
  <c r="C20" i="1062" s="1"/>
  <c r="H28" i="1061"/>
  <c r="H29" i="1061"/>
  <c r="C30" i="1062" s="1"/>
  <c r="H18" i="1061"/>
  <c r="H22" i="1061"/>
  <c r="H108" i="1061"/>
  <c r="H106" i="1061"/>
  <c r="C113" i="1062" s="1"/>
  <c r="H96" i="1061"/>
  <c r="C103" i="1062" s="1"/>
  <c r="H113" i="1061"/>
  <c r="H103" i="1061"/>
  <c r="C160" i="1063" s="1"/>
  <c r="H110" i="1061"/>
  <c r="H114" i="1061"/>
  <c r="H101" i="1061"/>
  <c r="H111" i="1061"/>
  <c r="H98" i="1061"/>
  <c r="H112" i="1061"/>
  <c r="H102" i="1061"/>
  <c r="H115" i="1061"/>
  <c r="H100" i="1061"/>
  <c r="C107" i="1062" s="1"/>
  <c r="H107" i="1061"/>
  <c r="H104" i="1061"/>
  <c r="H109" i="1061"/>
  <c r="C89" i="1062"/>
  <c r="P106" i="408"/>
  <c r="C127" i="1063"/>
  <c r="Q119" i="408"/>
  <c r="F49" i="1023" s="1"/>
  <c r="Q106" i="408"/>
  <c r="F36" i="1023" s="1"/>
  <c r="Q101" i="408"/>
  <c r="F31" i="1023" s="1"/>
  <c r="C48" i="1023"/>
  <c r="O106" i="408"/>
  <c r="H23" i="1061"/>
  <c r="C24" i="1062" s="1"/>
  <c r="H56" i="1061"/>
  <c r="C59" i="1063" s="1"/>
  <c r="H105" i="1061"/>
  <c r="C162" i="1063" s="1"/>
  <c r="Q118" i="408"/>
  <c r="F48" i="1023" s="1"/>
  <c r="H16" i="1063"/>
  <c r="N9" i="1061"/>
  <c r="W106" i="408"/>
  <c r="Y106" i="408" s="1"/>
  <c r="Y118" i="408"/>
  <c r="Y117" i="408" s="1"/>
  <c r="E153" i="408" s="1"/>
  <c r="P119" i="408" s="1"/>
  <c r="D49" i="1023" s="1"/>
  <c r="U16" i="408"/>
  <c r="U13" i="408"/>
  <c r="E142" i="408"/>
  <c r="E17" i="1127"/>
  <c r="E3" i="1127"/>
  <c r="D8" i="1127"/>
  <c r="D64" i="1023"/>
  <c r="O187" i="408"/>
  <c r="C2" i="1023"/>
  <c r="D70" i="1023"/>
  <c r="AB141" i="408"/>
  <c r="O188" i="408"/>
  <c r="AB142" i="408"/>
  <c r="O189" i="408"/>
  <c r="E4" i="1127"/>
  <c r="D7" i="1127"/>
  <c r="E9" i="1127"/>
  <c r="G9" i="1127"/>
  <c r="D65" i="1023"/>
  <c r="G17" i="1127"/>
  <c r="D67" i="1023"/>
  <c r="C9" i="1127"/>
  <c r="E7" i="1127"/>
  <c r="E8" i="1127"/>
  <c r="D15" i="1127"/>
  <c r="D16" i="1127"/>
  <c r="G23" i="1127"/>
  <c r="D4" i="1127"/>
  <c r="G7" i="1127"/>
  <c r="E15" i="1127"/>
  <c r="E16" i="1127"/>
  <c r="D71" i="1023"/>
  <c r="G15" i="1127"/>
  <c r="E24" i="1127"/>
  <c r="D26" i="1127"/>
  <c r="D68" i="1023"/>
  <c r="G3" i="1127"/>
  <c r="D20" i="1127"/>
  <c r="G21" i="1127"/>
  <c r="C17" i="1127"/>
  <c r="D12" i="1127"/>
  <c r="G13" i="1127"/>
  <c r="E20" i="1127"/>
  <c r="D23" i="1127"/>
  <c r="E27" i="1127"/>
  <c r="D3" i="1127"/>
  <c r="E12" i="1127"/>
  <c r="D24" i="1127"/>
  <c r="P165" i="1061"/>
  <c r="S165" i="1061" s="1"/>
  <c r="P159" i="1061"/>
  <c r="S159" i="1061" s="1"/>
  <c r="O67" i="1061"/>
  <c r="O61" i="1061"/>
  <c r="N23" i="1061"/>
  <c r="Q23" i="1061" s="1"/>
  <c r="P151" i="1061"/>
  <c r="S151" i="1061" s="1"/>
  <c r="O65" i="1061"/>
  <c r="O69" i="1061"/>
  <c r="CH5" i="1061"/>
  <c r="J223" i="1063"/>
  <c r="P136" i="1061"/>
  <c r="S136" i="1061" s="1"/>
  <c r="N31" i="1061"/>
  <c r="Q31" i="1061" s="1"/>
  <c r="O73" i="1061"/>
  <c r="N19" i="1061"/>
  <c r="Q19" i="1061" s="1"/>
  <c r="O59" i="1061"/>
  <c r="P157" i="1061"/>
  <c r="S157" i="1061" s="1"/>
  <c r="P153" i="1061"/>
  <c r="S153" i="1061" s="1"/>
  <c r="N21" i="1061"/>
  <c r="Q21" i="1061" s="1"/>
  <c r="P126" i="1061"/>
  <c r="S126" i="1061" s="1"/>
  <c r="P128" i="1061"/>
  <c r="S128" i="1061" s="1"/>
  <c r="O63" i="1061"/>
  <c r="O71" i="1061"/>
  <c r="P132" i="1061"/>
  <c r="S132" i="1061" s="1"/>
  <c r="O57" i="1061"/>
  <c r="P134" i="1061"/>
  <c r="S134" i="1061" s="1"/>
  <c r="P138" i="1061"/>
  <c r="S138" i="1061" s="1"/>
  <c r="P155" i="1061"/>
  <c r="S155" i="1061" s="1"/>
  <c r="N29" i="1061"/>
  <c r="Q29" i="1061" s="1"/>
  <c r="P163" i="1061"/>
  <c r="S163" i="1061" s="1"/>
  <c r="P140" i="1061"/>
  <c r="S140" i="1061" s="1"/>
  <c r="N33" i="1061"/>
  <c r="Q33" i="1061" s="1"/>
  <c r="N17" i="1061"/>
  <c r="Q17" i="1061" s="1"/>
  <c r="S7" i="1061" s="1"/>
  <c r="P130" i="1061"/>
  <c r="S130" i="1061" s="1"/>
  <c r="P142" i="1061"/>
  <c r="S142" i="1061" s="1"/>
  <c r="P161" i="1061"/>
  <c r="S161" i="1061" s="1"/>
  <c r="N27" i="1061"/>
  <c r="Q27" i="1061" s="1"/>
  <c r="P167" i="1061"/>
  <c r="S167" i="1061" s="1"/>
  <c r="N25" i="1061"/>
  <c r="Q25" i="1061" s="1"/>
  <c r="C91" i="1062"/>
  <c r="C111" i="1063"/>
  <c r="E140" i="408"/>
  <c r="E151" i="408"/>
  <c r="E138" i="408"/>
  <c r="T57" i="1061"/>
  <c r="T59" i="1061"/>
  <c r="P98" i="1061"/>
  <c r="T55" i="1061"/>
  <c r="AA57" i="1061"/>
  <c r="T61" i="1061"/>
  <c r="H57" i="1061" s="1"/>
  <c r="H95" i="1061"/>
  <c r="C102" i="1062" s="1"/>
  <c r="T58" i="1061"/>
  <c r="AA59" i="1061"/>
  <c r="AA65" i="1061"/>
  <c r="T56" i="1061"/>
  <c r="P95" i="1061"/>
  <c r="T67" i="1061"/>
  <c r="H63" i="1061" s="1"/>
  <c r="AA71" i="1061"/>
  <c r="B185" i="1063"/>
  <c r="C153" i="1063"/>
  <c r="BR216" i="1061"/>
  <c r="BR200" i="1061"/>
  <c r="BX216" i="1061"/>
  <c r="BX200" i="1061"/>
  <c r="E85" i="1063"/>
  <c r="E69" i="1062"/>
  <c r="E68" i="1062"/>
  <c r="E84" i="1063"/>
  <c r="G83" i="1063"/>
  <c r="AA69" i="1061"/>
  <c r="AA63" i="1061"/>
  <c r="T65" i="1061"/>
  <c r="H61" i="1061" s="1"/>
  <c r="AA61" i="1061"/>
  <c r="AE98" i="408"/>
  <c r="G9" i="524" s="1"/>
  <c r="AC98" i="408"/>
  <c r="H9" i="524" s="1"/>
  <c r="X103" i="1127"/>
  <c r="AA103" i="1127" s="1"/>
  <c r="X102" i="1127"/>
  <c r="X106" i="1127"/>
  <c r="X104" i="1127"/>
  <c r="X101" i="1127"/>
  <c r="AA101" i="1127" s="1"/>
  <c r="AA105" i="1127"/>
  <c r="AA104" i="1127"/>
  <c r="AA102" i="1127"/>
  <c r="AA106" i="1127"/>
  <c r="S101" i="1127"/>
  <c r="U101" i="1127" s="1"/>
  <c r="AJ237" i="1061"/>
  <c r="AI236" i="1061"/>
  <c r="AI242" i="1061"/>
  <c r="AJ242" i="1061"/>
  <c r="B175" i="1061"/>
  <c r="N89" i="1062"/>
  <c r="C133" i="1063"/>
  <c r="K100" i="1062"/>
  <c r="C46" i="1023"/>
  <c r="O116" i="408"/>
  <c r="Q116" i="408"/>
  <c r="F46" i="1023" s="1"/>
  <c r="J100" i="1062"/>
  <c r="C178" i="1063"/>
  <c r="X264" i="1127"/>
  <c r="X265" i="1127"/>
  <c r="X266" i="1127"/>
  <c r="AA263" i="1127"/>
  <c r="X263" i="1127"/>
  <c r="X268" i="1127"/>
  <c r="AA268" i="1127"/>
  <c r="AA266" i="1127"/>
  <c r="AA265" i="1127"/>
  <c r="AA264" i="1127"/>
  <c r="S263" i="1127"/>
  <c r="U263" i="1127" s="1"/>
  <c r="AA267" i="1127"/>
  <c r="J77" i="1063"/>
  <c r="E149" i="408"/>
  <c r="P115" i="408" s="1"/>
  <c r="E150" i="408"/>
  <c r="E159" i="408"/>
  <c r="P125" i="408" s="1"/>
  <c r="D55" i="1023" s="1"/>
  <c r="E158" i="408"/>
  <c r="P124" i="408" s="1"/>
  <c r="E137" i="408"/>
  <c r="P116" i="408" s="1"/>
  <c r="E148" i="408"/>
  <c r="P114" i="408" s="1"/>
  <c r="Q122" i="408"/>
  <c r="F52" i="1023" s="1"/>
  <c r="O122" i="408"/>
  <c r="C52" i="1023"/>
  <c r="B86" i="1063"/>
  <c r="B70" i="1062"/>
  <c r="BR184" i="1061"/>
  <c r="BW200" i="1061"/>
  <c r="H131" i="1061"/>
  <c r="H156" i="1061"/>
  <c r="H129" i="1061"/>
  <c r="H138" i="1061"/>
  <c r="H139" i="1061"/>
  <c r="H158" i="1061"/>
  <c r="H137" i="1061"/>
  <c r="H162" i="1061"/>
  <c r="CD19" i="1061"/>
  <c r="CD8" i="1061"/>
  <c r="CD9" i="1061"/>
  <c r="CD7" i="1061"/>
  <c r="CD12" i="1061"/>
  <c r="CD15" i="1061"/>
  <c r="X286" i="1127"/>
  <c r="X282" i="1127"/>
  <c r="AA281" i="1127"/>
  <c r="S281" i="1127"/>
  <c r="U281" i="1127" s="1"/>
  <c r="AA283" i="1127"/>
  <c r="X281" i="1127"/>
  <c r="X283" i="1127"/>
  <c r="AA286" i="1127"/>
  <c r="AA285" i="1127"/>
  <c r="H127" i="1061"/>
  <c r="H136" i="1061"/>
  <c r="H164" i="1061"/>
  <c r="CD26" i="1061"/>
  <c r="BW26" i="1061" s="1"/>
  <c r="CD18" i="1061"/>
  <c r="CD17" i="1061"/>
  <c r="CD20" i="1061"/>
  <c r="C34" i="1023"/>
  <c r="BQ216" i="1061"/>
  <c r="W103" i="1061"/>
  <c r="P101" i="1061"/>
  <c r="H97" i="1061" s="1"/>
  <c r="W105" i="1061"/>
  <c r="P99" i="1061"/>
  <c r="W101" i="1061"/>
  <c r="T91" i="1062" s="1"/>
  <c r="X206" i="1127"/>
  <c r="AA282" i="1127"/>
  <c r="X163" i="1127"/>
  <c r="X162" i="1127"/>
  <c r="X161" i="1127"/>
  <c r="AA163" i="1127"/>
  <c r="S161" i="1127"/>
  <c r="U161" i="1127" s="1"/>
  <c r="X174" i="1127"/>
  <c r="AA174" i="1127"/>
  <c r="X120" i="1127"/>
  <c r="AA124" i="1127"/>
  <c r="X121" i="1127"/>
  <c r="AA121" i="1127" s="1"/>
  <c r="AA120" i="1127"/>
  <c r="X85" i="1127"/>
  <c r="AA85" i="1127" s="1"/>
  <c r="AA255" i="1127"/>
  <c r="X253" i="1127"/>
  <c r="X255" i="1127"/>
  <c r="AA256" i="1127"/>
  <c r="X251" i="1127"/>
  <c r="S167" i="1127"/>
  <c r="U167" i="1127" s="1"/>
  <c r="X168" i="1127"/>
  <c r="X169" i="1127"/>
  <c r="AA168" i="1127"/>
  <c r="K43" i="1062"/>
  <c r="D84" i="1063"/>
  <c r="D68" i="1062"/>
  <c r="E86" i="1063"/>
  <c r="G70" i="1062"/>
  <c r="W129" i="1061"/>
  <c r="W136" i="1061"/>
  <c r="W138" i="1061"/>
  <c r="W165" i="1061"/>
  <c r="W137" i="1061"/>
  <c r="BS72" i="1061"/>
  <c r="BL68" i="1061" s="1"/>
  <c r="BS74" i="1061"/>
  <c r="BL70" i="1061" s="1"/>
  <c r="BS75" i="1061"/>
  <c r="BL71" i="1061" s="1"/>
  <c r="CE191" i="1061"/>
  <c r="CE189" i="1061"/>
  <c r="CK98" i="1061"/>
  <c r="CX124" i="1061"/>
  <c r="CK38" i="1061"/>
  <c r="CK10" i="1061" s="1"/>
  <c r="DD98" i="1061"/>
  <c r="DD128" i="1061"/>
  <c r="CQ38" i="1061"/>
  <c r="CQ10" i="1061" s="1"/>
  <c r="CD10" i="1061" s="1"/>
  <c r="CQ130" i="1061"/>
  <c r="DD42" i="1061"/>
  <c r="DD14" i="1061" s="1"/>
  <c r="CX36" i="1061"/>
  <c r="CX8" i="1061" s="1"/>
  <c r="DD94" i="1061"/>
  <c r="CK42" i="1061"/>
  <c r="CK14" i="1061" s="1"/>
  <c r="CQ124" i="1061"/>
  <c r="CQ66" i="1061"/>
  <c r="DD72" i="1061"/>
  <c r="CX126" i="1061"/>
  <c r="CK68" i="1061"/>
  <c r="CQ100" i="1061"/>
  <c r="DD74" i="1061"/>
  <c r="CK40" i="1061"/>
  <c r="CK12" i="1061" s="1"/>
  <c r="CX130" i="1061"/>
  <c r="CQ70" i="1061"/>
  <c r="CX44" i="1061"/>
  <c r="CX16" i="1061" s="1"/>
  <c r="CK94" i="1061"/>
  <c r="BZ4" i="1061"/>
  <c r="CX92" i="1061"/>
  <c r="CK70" i="1061"/>
  <c r="CX66" i="1061"/>
  <c r="CQ128" i="1061"/>
  <c r="CX68" i="1061"/>
  <c r="O147" i="408"/>
  <c r="Q147" i="408"/>
  <c r="F77" i="1023" s="1"/>
  <c r="C6" i="1127"/>
  <c r="E6" i="1127"/>
  <c r="D6" i="1127"/>
  <c r="G6" i="1127"/>
  <c r="H154" i="1061"/>
  <c r="H150" i="1061"/>
  <c r="H141" i="1061"/>
  <c r="H143" i="1061"/>
  <c r="H145" i="1061"/>
  <c r="H160" i="1061"/>
  <c r="CD23" i="1061"/>
  <c r="CD13" i="1061"/>
  <c r="BW4" i="1061"/>
  <c r="CD21" i="1061"/>
  <c r="O114" i="408"/>
  <c r="O126" i="408"/>
  <c r="Q126" i="408"/>
  <c r="F56" i="1023" s="1"/>
  <c r="BY184" i="1061"/>
  <c r="Z135" i="1061"/>
  <c r="Z125" i="1061" s="1"/>
  <c r="Y135" i="1061"/>
  <c r="X285" i="1127"/>
  <c r="X73" i="1127"/>
  <c r="AA73" i="1127" s="1"/>
  <c r="AA75" i="1127"/>
  <c r="X74" i="1127"/>
  <c r="AA74" i="1127" s="1"/>
  <c r="X63" i="1127"/>
  <c r="AA61" i="1127"/>
  <c r="X64" i="1127"/>
  <c r="AA64" i="1127" s="1"/>
  <c r="X59" i="1127"/>
  <c r="AA59" i="1127" s="1"/>
  <c r="AA63" i="1127"/>
  <c r="AJ233" i="1061"/>
  <c r="AI233" i="1061"/>
  <c r="AD145" i="408"/>
  <c r="AE144" i="408" s="1"/>
  <c r="AC140" i="408"/>
  <c r="AD101" i="408"/>
  <c r="W109" i="1061"/>
  <c r="P103" i="1061"/>
  <c r="H99" i="1061" s="1"/>
  <c r="W107" i="1061"/>
  <c r="H58" i="1061"/>
  <c r="H60" i="1061"/>
  <c r="H67" i="1061"/>
  <c r="H68" i="1061"/>
  <c r="H66" i="1061"/>
  <c r="H65" i="1061"/>
  <c r="H62" i="1061"/>
  <c r="H64" i="1061"/>
  <c r="H69" i="1061"/>
  <c r="X290" i="1127"/>
  <c r="AA290" i="1127"/>
  <c r="AA287" i="1127"/>
  <c r="X292" i="1127"/>
  <c r="AA292" i="1127"/>
  <c r="X287" i="1127"/>
  <c r="X288" i="1127"/>
  <c r="AA288" i="1127"/>
  <c r="Q107" i="408"/>
  <c r="F37" i="1023" s="1"/>
  <c r="P107" i="408"/>
  <c r="D37" i="1023" s="1"/>
  <c r="B187" i="1063"/>
  <c r="H135" i="1061"/>
  <c r="H144" i="1061"/>
  <c r="H161" i="1061"/>
  <c r="H152" i="1061"/>
  <c r="H125" i="1061"/>
  <c r="H133" i="1061"/>
  <c r="CD24" i="1061"/>
  <c r="CD16" i="1061"/>
  <c r="O115" i="408"/>
  <c r="C56" i="1023"/>
  <c r="W130" i="1061"/>
  <c r="X130" i="1061" s="1"/>
  <c r="AC130" i="1061" s="1"/>
  <c r="W143" i="1061"/>
  <c r="H124" i="1061" s="1"/>
  <c r="C73" i="1062" s="1"/>
  <c r="AC165" i="1061"/>
  <c r="BW216" i="1061"/>
  <c r="BS184" i="1061"/>
  <c r="CQ72" i="1061"/>
  <c r="BQ200" i="1061"/>
  <c r="CK92" i="1061"/>
  <c r="CK66" i="1061"/>
  <c r="CX72" i="1061"/>
  <c r="CQ94" i="1061"/>
  <c r="CX64" i="1061"/>
  <c r="CK36" i="1061"/>
  <c r="CK8" i="1061" s="1"/>
  <c r="CQ42" i="1061"/>
  <c r="CQ14" i="1061" s="1"/>
  <c r="CD14" i="1061" s="1"/>
  <c r="O107" i="408"/>
  <c r="C77" i="1023"/>
  <c r="X254" i="1127"/>
  <c r="S251" i="1127"/>
  <c r="U251" i="1127" s="1"/>
  <c r="T24" i="1061"/>
  <c r="H20" i="1061" s="1"/>
  <c r="Q122" i="1061"/>
  <c r="X205" i="1127"/>
  <c r="X124" i="1127"/>
  <c r="AA284" i="1127"/>
  <c r="X289" i="1127"/>
  <c r="X14" i="1127"/>
  <c r="AA14" i="1127" s="1"/>
  <c r="S137" i="1127"/>
  <c r="U137" i="1127" s="1"/>
  <c r="X137" i="1127" s="1"/>
  <c r="AA139" i="1127"/>
  <c r="X138" i="1127"/>
  <c r="AA138" i="1127" s="1"/>
  <c r="AA137" i="1127"/>
  <c r="X142" i="1127"/>
  <c r="AA142" i="1127" s="1"/>
  <c r="X66" i="1127"/>
  <c r="AA66" i="1127" s="1"/>
  <c r="X67" i="1127"/>
  <c r="AA67" i="1127" s="1"/>
  <c r="X70" i="1127"/>
  <c r="AA70" i="1127"/>
  <c r="AA95" i="1127"/>
  <c r="AI245" i="1061"/>
  <c r="AJ245" i="1061"/>
  <c r="D66" i="1023"/>
  <c r="H9" i="1061"/>
  <c r="BL69" i="1061"/>
  <c r="BL72" i="1061"/>
  <c r="BL77" i="1061"/>
  <c r="BL63" i="1061"/>
  <c r="BL73" i="1061"/>
  <c r="S293" i="1127"/>
  <c r="U293" i="1127" s="1"/>
  <c r="X294" i="1127"/>
  <c r="X296" i="1127"/>
  <c r="AA293" i="1127"/>
  <c r="AA298" i="1127"/>
  <c r="AA297" i="1127"/>
  <c r="X293" i="1127"/>
  <c r="AA296" i="1127"/>
  <c r="Q129" i="408"/>
  <c r="F59" i="1023" s="1"/>
  <c r="O129" i="408"/>
  <c r="X317" i="1127"/>
  <c r="X321" i="1127"/>
  <c r="X319" i="1127"/>
  <c r="X322" i="1127"/>
  <c r="X318" i="1127"/>
  <c r="S175" i="408"/>
  <c r="R174" i="408"/>
  <c r="S178" i="408"/>
  <c r="C19" i="1127"/>
  <c r="E19" i="1127"/>
  <c r="D19" i="1127"/>
  <c r="Q117" i="408"/>
  <c r="F47" i="1023" s="1"/>
  <c r="P117" i="408"/>
  <c r="D47" i="1023" s="1"/>
  <c r="P118" i="408"/>
  <c r="D48" i="1023" s="1"/>
  <c r="E169" i="408"/>
  <c r="R176" i="408"/>
  <c r="S176" i="408"/>
  <c r="S174" i="408"/>
  <c r="F68" i="1062"/>
  <c r="F85" i="1063"/>
  <c r="C59" i="1023"/>
  <c r="Q139" i="408"/>
  <c r="F69" i="1023" s="1"/>
  <c r="X320" i="1127"/>
  <c r="AA320" i="1127"/>
  <c r="M69" i="1062"/>
  <c r="X6" i="1127"/>
  <c r="AA6" i="1127" s="1"/>
  <c r="X5" i="1127"/>
  <c r="AA5" i="1127" s="1"/>
  <c r="X9" i="1127"/>
  <c r="AA9" i="1127" s="1"/>
  <c r="X57" i="1127"/>
  <c r="AA57" i="1127" s="1"/>
  <c r="S53" i="1127"/>
  <c r="U53" i="1127" s="1"/>
  <c r="X53" i="1127" s="1"/>
  <c r="AA53" i="1127" s="1"/>
  <c r="X55" i="1127"/>
  <c r="AA55" i="1127" s="1"/>
  <c r="X92" i="1127"/>
  <c r="AA92" i="1127" s="1"/>
  <c r="AA91" i="1127"/>
  <c r="AA240" i="1127"/>
  <c r="X241" i="1127"/>
  <c r="S239" i="1127"/>
  <c r="U239" i="1127" s="1"/>
  <c r="AA244" i="1127"/>
  <c r="AA257" i="1127"/>
  <c r="AA258" i="1127"/>
  <c r="X258" i="1127"/>
  <c r="X34" i="1127"/>
  <c r="AA34" i="1127" s="1"/>
  <c r="X30" i="1127"/>
  <c r="AA30" i="1127" s="1"/>
  <c r="AA31" i="1127"/>
  <c r="AD125" i="1061"/>
  <c r="AC125" i="1061"/>
  <c r="W177" i="1061"/>
  <c r="H134" i="1061" s="1"/>
  <c r="AC156" i="1061"/>
  <c r="AC181" i="1061"/>
  <c r="H163" i="1061" s="1"/>
  <c r="AC161" i="1061"/>
  <c r="W160" i="1061"/>
  <c r="BS61" i="1061"/>
  <c r="BS63" i="1061"/>
  <c r="BL88" i="1061"/>
  <c r="BQ88" i="1061" s="1"/>
  <c r="BU200" i="1061"/>
  <c r="BO203" i="1061"/>
  <c r="C11" i="1127"/>
  <c r="E11" i="1127"/>
  <c r="G11" i="1127"/>
  <c r="D11" i="1127"/>
  <c r="G19" i="1127"/>
  <c r="AA30" i="1061"/>
  <c r="S122" i="1061"/>
  <c r="AA238" i="1127"/>
  <c r="X184" i="1127"/>
  <c r="X183" i="1127"/>
  <c r="C10" i="1127"/>
  <c r="E10" i="1127"/>
  <c r="G10" i="1127"/>
  <c r="C18" i="1127"/>
  <c r="E18" i="1127"/>
  <c r="G18" i="1127"/>
  <c r="D18" i="1127"/>
  <c r="D5" i="1127"/>
  <c r="G5" i="1127"/>
  <c r="E5" i="1127"/>
  <c r="D13" i="1127"/>
  <c r="C13" i="1127"/>
  <c r="C14" i="1127"/>
  <c r="E14" i="1127"/>
  <c r="D14" i="1127"/>
  <c r="E13" i="1127"/>
  <c r="D21" i="1127"/>
  <c r="C21" i="1127"/>
  <c r="E21" i="1127"/>
  <c r="C22" i="1127"/>
  <c r="E22" i="1127"/>
  <c r="E25" i="1127"/>
  <c r="D25" i="1127"/>
  <c r="C7" i="1127"/>
  <c r="C15" i="1127"/>
  <c r="D22" i="1127"/>
  <c r="C23" i="1127"/>
  <c r="G25" i="1127"/>
  <c r="G4" i="1127"/>
  <c r="G8" i="1127"/>
  <c r="G12" i="1127"/>
  <c r="G16" i="1127"/>
  <c r="G20" i="1127"/>
  <c r="G24" i="1127"/>
  <c r="E26" i="1127"/>
  <c r="G27" i="1127"/>
  <c r="C27" i="1127"/>
  <c r="G26" i="1127"/>
  <c r="J191" i="1063"/>
  <c r="J185" i="1063"/>
  <c r="J108" i="1063"/>
  <c r="J126" i="1063"/>
  <c r="I216" i="1063" l="1"/>
  <c r="I212" i="1063"/>
  <c r="D54" i="1023"/>
  <c r="E156" i="408"/>
  <c r="P122" i="408" s="1"/>
  <c r="E157" i="408"/>
  <c r="P123" i="408" s="1"/>
  <c r="D53" i="1023" s="1"/>
  <c r="C189" i="1063"/>
  <c r="B189" i="1063" s="1"/>
  <c r="D36" i="1023"/>
  <c r="C197" i="1063"/>
  <c r="J110" i="1062"/>
  <c r="P104" i="408"/>
  <c r="D34" i="1023" s="1"/>
  <c r="E36" i="1023"/>
  <c r="C27" i="1063"/>
  <c r="P99" i="408"/>
  <c r="D29" i="1023" s="1"/>
  <c r="Q99" i="408"/>
  <c r="F29" i="1023" s="1"/>
  <c r="C29" i="1023"/>
  <c r="O99" i="408"/>
  <c r="J104" i="1062"/>
  <c r="C54" i="1023"/>
  <c r="P150" i="408"/>
  <c r="D80" i="1023" s="1"/>
  <c r="Q150" i="408"/>
  <c r="F80" i="1023" s="1"/>
  <c r="C80" i="1023"/>
  <c r="C57" i="1023"/>
  <c r="O127" i="408"/>
  <c r="O104" i="408"/>
  <c r="C35" i="1023"/>
  <c r="O105" i="408"/>
  <c r="E35" i="1023" s="1"/>
  <c r="P105" i="408"/>
  <c r="J116" i="1062"/>
  <c r="I77" i="1063"/>
  <c r="C46" i="1062"/>
  <c r="C199" i="1063"/>
  <c r="I199" i="1063" s="1"/>
  <c r="I40" i="1063"/>
  <c r="J119" i="1062"/>
  <c r="C201" i="1063"/>
  <c r="B201" i="1063" s="1"/>
  <c r="C112" i="1062"/>
  <c r="C33" i="1062"/>
  <c r="C163" i="1063"/>
  <c r="I163" i="1063" s="1"/>
  <c r="K185" i="1063"/>
  <c r="J103" i="1062"/>
  <c r="I189" i="1063"/>
  <c r="C110" i="1062"/>
  <c r="C191" i="1063"/>
  <c r="J109" i="1062"/>
  <c r="C31" i="1063"/>
  <c r="J142" i="1062"/>
  <c r="C114" i="1062"/>
  <c r="C164" i="1063"/>
  <c r="C19" i="1062"/>
  <c r="C26" i="1063"/>
  <c r="C27" i="1062"/>
  <c r="C34" i="1063"/>
  <c r="C37" i="1063"/>
  <c r="C60" i="1062"/>
  <c r="C29" i="1062"/>
  <c r="C36" i="1063"/>
  <c r="C24" i="1063"/>
  <c r="C17" i="1062"/>
  <c r="C75" i="1063"/>
  <c r="C62" i="1062"/>
  <c r="B32" i="1063"/>
  <c r="C109" i="1062"/>
  <c r="C159" i="1063"/>
  <c r="C170" i="1063"/>
  <c r="C120" i="1062"/>
  <c r="C31" i="1062"/>
  <c r="C38" i="1063"/>
  <c r="C74" i="1063"/>
  <c r="C61" i="1062"/>
  <c r="C169" i="1063"/>
  <c r="I169" i="1063" s="1"/>
  <c r="C119" i="1062"/>
  <c r="C41" i="1063"/>
  <c r="C34" i="1062"/>
  <c r="C62" i="1063"/>
  <c r="C49" i="1062"/>
  <c r="C155" i="1063"/>
  <c r="C105" i="1062"/>
  <c r="C32" i="1062"/>
  <c r="C39" i="1063"/>
  <c r="C25" i="1062"/>
  <c r="C166" i="1063"/>
  <c r="C116" i="1062"/>
  <c r="C118" i="1062"/>
  <c r="C168" i="1063"/>
  <c r="C115" i="1062"/>
  <c r="C165" i="1063"/>
  <c r="C117" i="1062"/>
  <c r="C167" i="1063"/>
  <c r="C157" i="1063"/>
  <c r="I157" i="1063" s="1"/>
  <c r="C161" i="1063"/>
  <c r="C111" i="1062"/>
  <c r="C158" i="1063"/>
  <c r="K157" i="1063" s="1"/>
  <c r="C108" i="1062"/>
  <c r="C30" i="1063"/>
  <c r="C23" i="1062"/>
  <c r="C35" i="1063"/>
  <c r="C28" i="1062"/>
  <c r="C63" i="1062"/>
  <c r="C76" i="1063"/>
  <c r="AA33" i="1061"/>
  <c r="T29" i="1061"/>
  <c r="H25" i="1061" s="1"/>
  <c r="P4" i="408"/>
  <c r="W102" i="408"/>
  <c r="AC141" i="408"/>
  <c r="D46" i="1023"/>
  <c r="C131" i="1063"/>
  <c r="N87" i="1062"/>
  <c r="S180" i="408"/>
  <c r="S179" i="408"/>
  <c r="S181" i="408" s="1"/>
  <c r="E161" i="408"/>
  <c r="E160" i="408" s="1"/>
  <c r="P126" i="408" s="1"/>
  <c r="D56" i="1023" s="1"/>
  <c r="E145" i="408"/>
  <c r="P127" i="408" s="1"/>
  <c r="D57" i="1023" s="1"/>
  <c r="R179" i="408"/>
  <c r="R180" i="408"/>
  <c r="F5" i="1127"/>
  <c r="H5" i="1127"/>
  <c r="F18" i="1127"/>
  <c r="H18" i="1127"/>
  <c r="H87" i="1063"/>
  <c r="H86" i="1063"/>
  <c r="H70" i="1062"/>
  <c r="H71" i="1062"/>
  <c r="P132" i="408"/>
  <c r="D62" i="1023" s="1"/>
  <c r="E170" i="408"/>
  <c r="P133" i="408" s="1"/>
  <c r="D63" i="1023" s="1"/>
  <c r="J106" i="1062"/>
  <c r="C188" i="1063"/>
  <c r="AA21" i="1061"/>
  <c r="AA25" i="1061"/>
  <c r="T21" i="1061"/>
  <c r="H17" i="1061" s="1"/>
  <c r="AA23" i="1061"/>
  <c r="T25" i="1061"/>
  <c r="H21" i="1061" s="1"/>
  <c r="T17" i="1061"/>
  <c r="T19" i="1061"/>
  <c r="AC175" i="1061"/>
  <c r="H157" i="1061" s="1"/>
  <c r="AC155" i="1061"/>
  <c r="W147" i="1061"/>
  <c r="W169" i="1061"/>
  <c r="H126" i="1061" s="1"/>
  <c r="W171" i="1061"/>
  <c r="H128" i="1061" s="1"/>
  <c r="AC169" i="1061"/>
  <c r="H151" i="1061" s="1"/>
  <c r="W151" i="1061"/>
  <c r="W155" i="1061"/>
  <c r="AC171" i="1061"/>
  <c r="H153" i="1061" s="1"/>
  <c r="AC147" i="1061"/>
  <c r="AC145" i="1061"/>
  <c r="W149" i="1061"/>
  <c r="AC151" i="1061"/>
  <c r="AC149" i="1061"/>
  <c r="W145" i="1061"/>
  <c r="W175" i="1061"/>
  <c r="H132" i="1061" s="1"/>
  <c r="BW16" i="1061"/>
  <c r="C238" i="1063" s="1"/>
  <c r="J136" i="1062"/>
  <c r="C74" i="1062"/>
  <c r="C94" i="1063"/>
  <c r="C65" i="1063"/>
  <c r="C52" i="1062"/>
  <c r="C57" i="1062"/>
  <c r="C70" i="1063"/>
  <c r="C106" i="1062"/>
  <c r="C156" i="1063"/>
  <c r="AH135" i="1061"/>
  <c r="AG125" i="1061" s="1"/>
  <c r="Y125" i="1061"/>
  <c r="BW13" i="1061"/>
  <c r="C235" i="1063" s="1"/>
  <c r="J133" i="1062"/>
  <c r="Z137" i="1061"/>
  <c r="Y137" i="1061"/>
  <c r="W122" i="1061"/>
  <c r="X129" i="1061"/>
  <c r="BW7" i="1061"/>
  <c r="C229" i="1063" s="1"/>
  <c r="J127" i="1062"/>
  <c r="C130" i="1063"/>
  <c r="N86" i="1062"/>
  <c r="C80" i="1062"/>
  <c r="C100" i="1063"/>
  <c r="C51" i="1062"/>
  <c r="C64" i="1063"/>
  <c r="B163" i="1063"/>
  <c r="C60" i="1063"/>
  <c r="C47" i="1062"/>
  <c r="F17" i="1127"/>
  <c r="H17" i="1127"/>
  <c r="L47" i="1062"/>
  <c r="Q57" i="1061"/>
  <c r="H12" i="1127"/>
  <c r="F12" i="1127"/>
  <c r="F8" i="1127"/>
  <c r="H8" i="1127"/>
  <c r="Q65" i="1061"/>
  <c r="O55" i="1062" s="1"/>
  <c r="L55" i="1062"/>
  <c r="L57" i="1062"/>
  <c r="Q67" i="1061"/>
  <c r="O57" i="1062" s="1"/>
  <c r="F7" i="1127"/>
  <c r="H7" i="1127"/>
  <c r="F23" i="1127"/>
  <c r="H23" i="1127"/>
  <c r="F15" i="1127"/>
  <c r="H15" i="1127"/>
  <c r="F25" i="1127"/>
  <c r="H25" i="1127"/>
  <c r="F14" i="1127"/>
  <c r="H14" i="1127"/>
  <c r="AD117" i="408"/>
  <c r="AD94" i="408"/>
  <c r="AD121" i="408"/>
  <c r="F188" i="408"/>
  <c r="AD115" i="408"/>
  <c r="F158" i="408"/>
  <c r="N124" i="408" s="1"/>
  <c r="E54" i="1023" s="1"/>
  <c r="F117" i="408"/>
  <c r="N100" i="408" s="1"/>
  <c r="E30" i="1023" s="1"/>
  <c r="R184" i="408"/>
  <c r="F113" i="408"/>
  <c r="N103" i="408" s="1"/>
  <c r="E33" i="1023" s="1"/>
  <c r="X186" i="408"/>
  <c r="AC154" i="408"/>
  <c r="F144" i="408"/>
  <c r="S185" i="408"/>
  <c r="F140" i="408"/>
  <c r="S187" i="408"/>
  <c r="AD110" i="408"/>
  <c r="F189" i="408"/>
  <c r="F135" i="408"/>
  <c r="AD109" i="408"/>
  <c r="F121" i="408"/>
  <c r="N193" i="408"/>
  <c r="AC143" i="408"/>
  <c r="AD104" i="408"/>
  <c r="F138" i="408"/>
  <c r="R187" i="408"/>
  <c r="F176" i="408"/>
  <c r="N139" i="408" s="1"/>
  <c r="E69" i="1023" s="1"/>
  <c r="F111" i="408"/>
  <c r="AD103" i="408"/>
  <c r="C5" i="1127"/>
  <c r="X207" i="408"/>
  <c r="R189" i="408"/>
  <c r="X183" i="408"/>
  <c r="F118" i="408"/>
  <c r="AD125" i="408"/>
  <c r="AD90" i="408"/>
  <c r="X195" i="408"/>
  <c r="AD92" i="408"/>
  <c r="F185" i="408"/>
  <c r="N148" i="408" s="1"/>
  <c r="E78" i="1023" s="1"/>
  <c r="X205" i="408"/>
  <c r="X185" i="408"/>
  <c r="AD114" i="408"/>
  <c r="F157" i="408"/>
  <c r="N123" i="408" s="1"/>
  <c r="E53" i="1023" s="1"/>
  <c r="F152" i="408"/>
  <c r="N118" i="408" s="1"/>
  <c r="E48" i="1023" s="1"/>
  <c r="R185" i="408"/>
  <c r="AD123" i="408"/>
  <c r="F149" i="408"/>
  <c r="N115" i="408" s="1"/>
  <c r="E45" i="1023" s="1"/>
  <c r="F174" i="408"/>
  <c r="N137" i="408" s="1"/>
  <c r="E67" i="1023" s="1"/>
  <c r="F139" i="408"/>
  <c r="F187" i="408"/>
  <c r="F107" i="408"/>
  <c r="F165" i="408"/>
  <c r="N130" i="408" s="1"/>
  <c r="E60" i="1023" s="1"/>
  <c r="F159" i="408"/>
  <c r="N125" i="408" s="1"/>
  <c r="E55" i="1023" s="1"/>
  <c r="X202" i="408"/>
  <c r="AD89" i="408"/>
  <c r="F175" i="408"/>
  <c r="N138" i="408" s="1"/>
  <c r="E68" i="1023" s="1"/>
  <c r="F153" i="408"/>
  <c r="N119" i="408" s="1"/>
  <c r="E49" i="1023" s="1"/>
  <c r="N194" i="408"/>
  <c r="F110" i="408"/>
  <c r="F127" i="408"/>
  <c r="N108" i="408" s="1"/>
  <c r="F190" i="408"/>
  <c r="N150" i="408" s="1"/>
  <c r="E80" i="1023" s="1"/>
  <c r="S186" i="408"/>
  <c r="AD105" i="408"/>
  <c r="N192" i="408"/>
  <c r="F108" i="408"/>
  <c r="F134" i="408"/>
  <c r="F132" i="408"/>
  <c r="N113" i="408" s="1"/>
  <c r="E43" i="1023" s="1"/>
  <c r="AC142" i="408"/>
  <c r="F102" i="408"/>
  <c r="X194" i="408"/>
  <c r="AD120" i="408"/>
  <c r="F141" i="408"/>
  <c r="F155" i="408"/>
  <c r="N121" i="408" s="1"/>
  <c r="E51" i="1023" s="1"/>
  <c r="F143" i="408"/>
  <c r="F182" i="408"/>
  <c r="N145" i="408" s="1"/>
  <c r="E75" i="1023" s="1"/>
  <c r="X184" i="408"/>
  <c r="AC155" i="408"/>
  <c r="F136" i="408"/>
  <c r="AD96" i="408"/>
  <c r="X192" i="408"/>
  <c r="F179" i="408"/>
  <c r="N142" i="408" s="1"/>
  <c r="E72" i="1023" s="1"/>
  <c r="X193" i="408"/>
  <c r="X212" i="408"/>
  <c r="F103" i="408"/>
  <c r="F126" i="408"/>
  <c r="N107" i="408" s="1"/>
  <c r="E37" i="1023" s="1"/>
  <c r="X188" i="408"/>
  <c r="X196" i="408"/>
  <c r="S189" i="408"/>
  <c r="R188" i="408"/>
  <c r="AD118" i="408"/>
  <c r="F129" i="408"/>
  <c r="N110" i="408" s="1"/>
  <c r="R186" i="408"/>
  <c r="F104" i="408"/>
  <c r="F142" i="408"/>
  <c r="F181" i="408"/>
  <c r="N144" i="408" s="1"/>
  <c r="E74" i="1023" s="1"/>
  <c r="X198" i="408"/>
  <c r="S188" i="408"/>
  <c r="X189" i="408"/>
  <c r="F109" i="408"/>
  <c r="F105" i="408"/>
  <c r="F178" i="408"/>
  <c r="N141" i="408" s="1"/>
  <c r="E71" i="1023" s="1"/>
  <c r="AD106" i="408"/>
  <c r="F114" i="408"/>
  <c r="N104" i="408" s="1"/>
  <c r="F133" i="408"/>
  <c r="X199" i="408"/>
  <c r="AD124" i="408"/>
  <c r="X203" i="408"/>
  <c r="S184" i="408"/>
  <c r="AD122" i="408"/>
  <c r="X204" i="408"/>
  <c r="X187" i="408"/>
  <c r="F130" i="408"/>
  <c r="N111" i="408" s="1"/>
  <c r="E41" i="1023" s="1"/>
  <c r="X200" i="408"/>
  <c r="F164" i="408"/>
  <c r="N129" i="408" s="1"/>
  <c r="E59" i="1023" s="1"/>
  <c r="F120" i="408"/>
  <c r="F173" i="408"/>
  <c r="N136" i="408" s="1"/>
  <c r="E66" i="1023" s="1"/>
  <c r="F10" i="1127"/>
  <c r="H10" i="1127"/>
  <c r="BU209" i="1061"/>
  <c r="BU193" i="1061" s="1"/>
  <c r="BO225" i="1061"/>
  <c r="BU203" i="1061"/>
  <c r="BU187" i="1061" s="1"/>
  <c r="BO221" i="1061"/>
  <c r="BO223" i="1061"/>
  <c r="BU207" i="1061"/>
  <c r="BU191" i="1061" s="1"/>
  <c r="BO219" i="1061"/>
  <c r="BU205" i="1061"/>
  <c r="BU189" i="1061" s="1"/>
  <c r="C83" i="1062"/>
  <c r="C103" i="1063"/>
  <c r="C202" i="1063"/>
  <c r="J118" i="1062"/>
  <c r="C200" i="1063"/>
  <c r="J120" i="1062"/>
  <c r="C21" i="1062"/>
  <c r="C28" i="1063"/>
  <c r="J134" i="1062"/>
  <c r="BW14" i="1061"/>
  <c r="C236" i="1063" s="1"/>
  <c r="N76" i="1062"/>
  <c r="C120" i="1063"/>
  <c r="C84" i="1062"/>
  <c r="C104" i="1063"/>
  <c r="C55" i="1062"/>
  <c r="C68" i="1063"/>
  <c r="C50" i="1062"/>
  <c r="C63" i="1063"/>
  <c r="D87" i="1063"/>
  <c r="D71" i="1062"/>
  <c r="D45" i="1023"/>
  <c r="BW23" i="1061"/>
  <c r="C245" i="1063" s="1"/>
  <c r="J143" i="1062"/>
  <c r="C110" i="1063"/>
  <c r="C90" i="1062"/>
  <c r="J130" i="1062"/>
  <c r="BW10" i="1061"/>
  <c r="C232" i="1063" s="1"/>
  <c r="C194" i="1063"/>
  <c r="J112" i="1062"/>
  <c r="AA29" i="1061"/>
  <c r="J140" i="1062"/>
  <c r="BW20" i="1061"/>
  <c r="C242" i="1063" s="1"/>
  <c r="C85" i="1062"/>
  <c r="C105" i="1063"/>
  <c r="J129" i="1062"/>
  <c r="BW9" i="1061"/>
  <c r="C231" i="1063" s="1"/>
  <c r="C86" i="1062"/>
  <c r="C106" i="1063"/>
  <c r="C87" i="1062"/>
  <c r="C107" i="1063"/>
  <c r="I59" i="1063"/>
  <c r="B59" i="1063"/>
  <c r="K197" i="1063"/>
  <c r="I153" i="1063"/>
  <c r="B153" i="1063"/>
  <c r="B73" i="1063"/>
  <c r="I73" i="1063"/>
  <c r="C53" i="1062"/>
  <c r="C66" i="1063"/>
  <c r="J110" i="1063"/>
  <c r="K110" i="1063"/>
  <c r="H4" i="1127"/>
  <c r="L61" i="1062"/>
  <c r="Q71" i="1061"/>
  <c r="O61" i="1062" s="1"/>
  <c r="Q73" i="1061"/>
  <c r="O63" i="1062" s="1"/>
  <c r="L63" i="1062"/>
  <c r="H27" i="1127"/>
  <c r="F27" i="1127"/>
  <c r="F21" i="1127"/>
  <c r="H21" i="1127"/>
  <c r="BS88" i="1061"/>
  <c r="L100" i="1062"/>
  <c r="E178" i="1063"/>
  <c r="C195" i="1063"/>
  <c r="J113" i="1062"/>
  <c r="BW24" i="1061"/>
  <c r="C246" i="1063" s="1"/>
  <c r="J144" i="1062"/>
  <c r="B157" i="1063"/>
  <c r="C59" i="1062"/>
  <c r="C72" i="1063"/>
  <c r="C56" i="1062"/>
  <c r="C69" i="1063"/>
  <c r="C48" i="1062"/>
  <c r="C61" i="1063"/>
  <c r="AE101" i="408"/>
  <c r="G12" i="524" s="1"/>
  <c r="AC101" i="408"/>
  <c r="H12" i="524" s="1"/>
  <c r="BS200" i="1061"/>
  <c r="BY216" i="1061"/>
  <c r="BY200" i="1061"/>
  <c r="BS216" i="1061"/>
  <c r="BW21" i="1061"/>
  <c r="C243" i="1063" s="1"/>
  <c r="J141" i="1062"/>
  <c r="C128" i="1063"/>
  <c r="N84" i="1062"/>
  <c r="C118" i="1063"/>
  <c r="N74" i="1062"/>
  <c r="F6" i="1127"/>
  <c r="H6" i="1127"/>
  <c r="J111" i="1062"/>
  <c r="C193" i="1063"/>
  <c r="Y138" i="1061"/>
  <c r="AG138" i="1061" s="1"/>
  <c r="Z138" i="1061"/>
  <c r="C154" i="1063"/>
  <c r="C104" i="1062"/>
  <c r="J137" i="1062"/>
  <c r="BW17" i="1061"/>
  <c r="C239" i="1063" s="1"/>
  <c r="C132" i="1063"/>
  <c r="K132" i="1063" s="1"/>
  <c r="N88" i="1062"/>
  <c r="J135" i="1062"/>
  <c r="BW15" i="1061"/>
  <c r="C237" i="1063" s="1"/>
  <c r="BW8" i="1061"/>
  <c r="C230" i="1063" s="1"/>
  <c r="J128" i="1062"/>
  <c r="C126" i="1063"/>
  <c r="N82" i="1062"/>
  <c r="C98" i="1063"/>
  <c r="C78" i="1062"/>
  <c r="K161" i="1063"/>
  <c r="W11" i="1062"/>
  <c r="T7" i="1061"/>
  <c r="W13" i="1062" s="1"/>
  <c r="L53" i="1062"/>
  <c r="Q63" i="1061"/>
  <c r="O53" i="1062" s="1"/>
  <c r="F26" i="1127"/>
  <c r="H26" i="1127"/>
  <c r="CI5" i="1061"/>
  <c r="P124" i="1062" s="1"/>
  <c r="CQ67" i="1061"/>
  <c r="CQ125" i="1061"/>
  <c r="DD125" i="1061"/>
  <c r="CA5" i="1061"/>
  <c r="CB5" i="1061" s="1"/>
  <c r="CQ39" i="1061"/>
  <c r="CQ11" i="1061" s="1"/>
  <c r="CD11" i="1061" s="1"/>
  <c r="DD67" i="1061"/>
  <c r="DD39" i="1061"/>
  <c r="DD11" i="1061" s="1"/>
  <c r="CQ95" i="1061"/>
  <c r="F22" i="1127"/>
  <c r="H22" i="1127"/>
  <c r="H24" i="1127"/>
  <c r="F24" i="1127"/>
  <c r="H20" i="1127"/>
  <c r="F20" i="1127"/>
  <c r="F13" i="1127"/>
  <c r="H13" i="1127"/>
  <c r="F11" i="1127"/>
  <c r="H11" i="1127"/>
  <c r="G87" i="1063"/>
  <c r="G71" i="1062"/>
  <c r="F19" i="1127"/>
  <c r="H19" i="1127"/>
  <c r="J114" i="1062"/>
  <c r="C196" i="1063"/>
  <c r="C82" i="1062"/>
  <c r="C102" i="1063"/>
  <c r="C129" i="1063"/>
  <c r="N85" i="1062"/>
  <c r="C54" i="1062"/>
  <c r="C67" i="1063"/>
  <c r="C58" i="1062"/>
  <c r="C71" i="1063"/>
  <c r="AB148" i="408"/>
  <c r="AB140" i="408"/>
  <c r="D44" i="1023"/>
  <c r="N78" i="1062"/>
  <c r="C122" i="1063"/>
  <c r="Z136" i="1061"/>
  <c r="Y136" i="1061"/>
  <c r="AG136" i="1061" s="1"/>
  <c r="J138" i="1062"/>
  <c r="BW18" i="1061"/>
  <c r="C240" i="1063" s="1"/>
  <c r="C96" i="1063"/>
  <c r="C76" i="1062"/>
  <c r="BW12" i="1061"/>
  <c r="C234" i="1063" s="1"/>
  <c r="J132" i="1062"/>
  <c r="J139" i="1062"/>
  <c r="BW19" i="1061"/>
  <c r="C241" i="1063" s="1"/>
  <c r="C88" i="1062"/>
  <c r="C108" i="1063"/>
  <c r="K108" i="1063" s="1"/>
  <c r="N80" i="1062"/>
  <c r="C124" i="1063"/>
  <c r="D52" i="1023"/>
  <c r="R183" i="408"/>
  <c r="K159" i="1063"/>
  <c r="S183" i="408"/>
  <c r="Q59" i="1061"/>
  <c r="O49" i="1062" s="1"/>
  <c r="L49" i="1062"/>
  <c r="F16" i="1127"/>
  <c r="H16" i="1127"/>
  <c r="Q69" i="1061"/>
  <c r="O59" i="1062" s="1"/>
  <c r="L59" i="1062"/>
  <c r="F9" i="1127"/>
  <c r="H9" i="1127"/>
  <c r="Q61" i="1061"/>
  <c r="O51" i="1062" s="1"/>
  <c r="L51" i="1062"/>
  <c r="J243" i="1063"/>
  <c r="J157" i="1063"/>
  <c r="J132" i="1063"/>
  <c r="J197" i="1063"/>
  <c r="J159" i="1063"/>
  <c r="J161" i="1063"/>
  <c r="J36" i="1063"/>
  <c r="J30" i="1063"/>
  <c r="J26" i="1063"/>
  <c r="J61" i="1063"/>
  <c r="D35" i="1023" l="1"/>
  <c r="B197" i="1063"/>
  <c r="I197" i="1063"/>
  <c r="E34" i="1023"/>
  <c r="B199" i="1063"/>
  <c r="I201" i="1063"/>
  <c r="K30" i="1063"/>
  <c r="I191" i="1063"/>
  <c r="K191" i="1063"/>
  <c r="B191" i="1063"/>
  <c r="K165" i="1063"/>
  <c r="I38" i="1063"/>
  <c r="B38" i="1063"/>
  <c r="I75" i="1063"/>
  <c r="B75" i="1063"/>
  <c r="K34" i="1063"/>
  <c r="I167" i="1063"/>
  <c r="B167" i="1063"/>
  <c r="K36" i="1063"/>
  <c r="J38" i="1063"/>
  <c r="K38" i="1063"/>
  <c r="I24" i="1063"/>
  <c r="B24" i="1063"/>
  <c r="I34" i="1063"/>
  <c r="B34" i="1063"/>
  <c r="B30" i="1063"/>
  <c r="I30" i="1063"/>
  <c r="I165" i="1063"/>
  <c r="B165" i="1063"/>
  <c r="K40" i="1063"/>
  <c r="J40" i="1063"/>
  <c r="K169" i="1063"/>
  <c r="J169" i="1063"/>
  <c r="B36" i="1063"/>
  <c r="I36" i="1063"/>
  <c r="I159" i="1063"/>
  <c r="B159" i="1063"/>
  <c r="B26" i="1063"/>
  <c r="I26" i="1063"/>
  <c r="J167" i="1063"/>
  <c r="K167" i="1063"/>
  <c r="B155" i="1063"/>
  <c r="I155" i="1063"/>
  <c r="K75" i="1063"/>
  <c r="J75" i="1063"/>
  <c r="K163" i="1063"/>
  <c r="I161" i="1063"/>
  <c r="B161" i="1063"/>
  <c r="J73" i="1063"/>
  <c r="K73" i="1063"/>
  <c r="K26" i="1063"/>
  <c r="C33" i="1063"/>
  <c r="C26" i="1062"/>
  <c r="F183" i="408"/>
  <c r="N146" i="408" s="1"/>
  <c r="E76" i="1023" s="1"/>
  <c r="F131" i="408"/>
  <c r="N112" i="408" s="1"/>
  <c r="E42" i="1023" s="1"/>
  <c r="AD95" i="408"/>
  <c r="AE95" i="408" s="1"/>
  <c r="G6" i="524" s="1"/>
  <c r="X197" i="408"/>
  <c r="F168" i="408"/>
  <c r="N131" i="408" s="1"/>
  <c r="E61" i="1023" s="1"/>
  <c r="F128" i="408"/>
  <c r="N109" i="408" s="1"/>
  <c r="T109" i="408" s="1"/>
  <c r="X177" i="408"/>
  <c r="AD91" i="408"/>
  <c r="AE89" i="408" s="1"/>
  <c r="G2" i="524" s="1"/>
  <c r="F160" i="408"/>
  <c r="N126" i="408" s="1"/>
  <c r="E56" i="1023" s="1"/>
  <c r="X179" i="408"/>
  <c r="F161" i="408"/>
  <c r="R190" i="408"/>
  <c r="F145" i="408"/>
  <c r="N127" i="408" s="1"/>
  <c r="E57" i="1023" s="1"/>
  <c r="F148" i="408"/>
  <c r="N114" i="408" s="1"/>
  <c r="E44" i="1023" s="1"/>
  <c r="X201" i="408"/>
  <c r="X182" i="408"/>
  <c r="F184" i="408"/>
  <c r="N147" i="408" s="1"/>
  <c r="E77" i="1023" s="1"/>
  <c r="X190" i="408"/>
  <c r="F156" i="408"/>
  <c r="N122" i="408" s="1"/>
  <c r="E52" i="1023" s="1"/>
  <c r="BW11" i="1061"/>
  <c r="C233" i="1063" s="1"/>
  <c r="J131" i="1062"/>
  <c r="I108" i="1063"/>
  <c r="B108" i="1063"/>
  <c r="K239" i="1063"/>
  <c r="B122" i="1063"/>
  <c r="I122" i="1063"/>
  <c r="F3" i="1127"/>
  <c r="X178" i="408"/>
  <c r="X176" i="408"/>
  <c r="X180" i="408"/>
  <c r="F170" i="408"/>
  <c r="N133" i="408" s="1"/>
  <c r="E63" i="1023" s="1"/>
  <c r="K229" i="1063"/>
  <c r="K153" i="1063"/>
  <c r="I243" i="1063"/>
  <c r="B243" i="1063"/>
  <c r="K245" i="1063"/>
  <c r="J245" i="1063"/>
  <c r="B245" i="1063"/>
  <c r="I245" i="1063"/>
  <c r="K235" i="1063"/>
  <c r="X173" i="408"/>
  <c r="X175" i="408"/>
  <c r="AC122" i="408"/>
  <c r="H31" i="524" s="1"/>
  <c r="AE122" i="408"/>
  <c r="G31" i="524" s="1"/>
  <c r="AE103" i="408"/>
  <c r="G14" i="524" s="1"/>
  <c r="AC103" i="408"/>
  <c r="H14" i="524" s="1"/>
  <c r="X211" i="408"/>
  <c r="AE110" i="408"/>
  <c r="G21" i="524" s="1"/>
  <c r="AC110" i="408"/>
  <c r="H21" i="524" s="1"/>
  <c r="AE121" i="408"/>
  <c r="G30" i="524" s="1"/>
  <c r="AC121" i="408"/>
  <c r="H30" i="524" s="1"/>
  <c r="B130" i="1063"/>
  <c r="I130" i="1063"/>
  <c r="B235" i="1063"/>
  <c r="I235" i="1063"/>
  <c r="I65" i="1063"/>
  <c r="B65" i="1063"/>
  <c r="K237" i="1063"/>
  <c r="C121" i="1063"/>
  <c r="N77" i="1062"/>
  <c r="C97" i="1063"/>
  <c r="C77" i="1062"/>
  <c r="N81" i="1062"/>
  <c r="C125" i="1063"/>
  <c r="K187" i="1063"/>
  <c r="I124" i="1063"/>
  <c r="B124" i="1063"/>
  <c r="B98" i="1063"/>
  <c r="I98" i="1063"/>
  <c r="I132" i="1063"/>
  <c r="B132" i="1063"/>
  <c r="I118" i="1063"/>
  <c r="B118" i="1063"/>
  <c r="I106" i="1063"/>
  <c r="B106" i="1063"/>
  <c r="K104" i="1063"/>
  <c r="B63" i="1063"/>
  <c r="I63" i="1063"/>
  <c r="B104" i="1063"/>
  <c r="I104" i="1063"/>
  <c r="K102" i="1063"/>
  <c r="BO191" i="1061"/>
  <c r="C217" i="1063" s="1"/>
  <c r="C132" i="1062"/>
  <c r="K233" i="1063"/>
  <c r="B71" i="1063"/>
  <c r="I71" i="1063"/>
  <c r="K195" i="1063"/>
  <c r="I237" i="1063"/>
  <c r="B237" i="1063"/>
  <c r="I239" i="1063"/>
  <c r="B239" i="1063"/>
  <c r="I69" i="1063"/>
  <c r="B69" i="1063"/>
  <c r="N100" i="1062"/>
  <c r="G178" i="1063"/>
  <c r="BS69" i="1061"/>
  <c r="BL65" i="1061" s="1"/>
  <c r="BT88" i="1061"/>
  <c r="J199" i="1063"/>
  <c r="K199" i="1063"/>
  <c r="BO193" i="1061"/>
  <c r="C219" i="1063" s="1"/>
  <c r="C134" i="1062"/>
  <c r="F137" i="408"/>
  <c r="N116" i="408" s="1"/>
  <c r="E46" i="1023" s="1"/>
  <c r="X206" i="408"/>
  <c r="R205" i="408" s="1"/>
  <c r="AC124" i="408"/>
  <c r="H33" i="524" s="1"/>
  <c r="AE124" i="408"/>
  <c r="G33" i="524" s="1"/>
  <c r="X191" i="408"/>
  <c r="T100" i="408"/>
  <c r="AE123" i="408"/>
  <c r="G32" i="524" s="1"/>
  <c r="AC123" i="408"/>
  <c r="H32" i="524" s="1"/>
  <c r="F154" i="408"/>
  <c r="N120" i="408" s="1"/>
  <c r="E50" i="1023" s="1"/>
  <c r="AE90" i="408"/>
  <c r="G3" i="524" s="1"/>
  <c r="AC90" i="408"/>
  <c r="H3" i="524" s="1"/>
  <c r="N191" i="408"/>
  <c r="M191" i="408" s="1"/>
  <c r="N101" i="408"/>
  <c r="E31" i="1023" s="1"/>
  <c r="AC104" i="408"/>
  <c r="H15" i="524" s="1"/>
  <c r="AE104" i="408"/>
  <c r="G15" i="524" s="1"/>
  <c r="AE109" i="408"/>
  <c r="G20" i="524" s="1"/>
  <c r="AC109" i="408"/>
  <c r="H20" i="524" s="1"/>
  <c r="AC94" i="408"/>
  <c r="H5" i="524" s="1"/>
  <c r="AE94" i="408"/>
  <c r="G5" i="524" s="1"/>
  <c r="S46" i="1061"/>
  <c r="O47" i="1062"/>
  <c r="K63" i="1063"/>
  <c r="I100" i="1063"/>
  <c r="B100" i="1063"/>
  <c r="AH137" i="1061"/>
  <c r="C71" i="1062"/>
  <c r="C87" i="1063"/>
  <c r="K69" i="1063"/>
  <c r="B94" i="1063"/>
  <c r="I94" i="1063"/>
  <c r="C101" i="1063"/>
  <c r="C81" i="1062"/>
  <c r="C75" i="1062"/>
  <c r="C95" i="1063"/>
  <c r="C25" i="1063"/>
  <c r="C18" i="1062"/>
  <c r="R181" i="408"/>
  <c r="I241" i="1063"/>
  <c r="B241" i="1063"/>
  <c r="K128" i="1063"/>
  <c r="B195" i="1063"/>
  <c r="I195" i="1063"/>
  <c r="I231" i="1063"/>
  <c r="B231" i="1063"/>
  <c r="K193" i="1063"/>
  <c r="I120" i="1063"/>
  <c r="B120" i="1063"/>
  <c r="F119" i="408"/>
  <c r="E40" i="1023"/>
  <c r="AC96" i="408"/>
  <c r="H7" i="524" s="1"/>
  <c r="AE96" i="408"/>
  <c r="G7" i="524" s="1"/>
  <c r="F171" i="408"/>
  <c r="N134" i="408" s="1"/>
  <c r="E64" i="1023" s="1"/>
  <c r="E38" i="1023"/>
  <c r="F169" i="408"/>
  <c r="N132" i="408" s="1"/>
  <c r="E62" i="1023" s="1"/>
  <c r="AE114" i="408"/>
  <c r="G23" i="524" s="1"/>
  <c r="AC114" i="408"/>
  <c r="H23" i="524" s="1"/>
  <c r="AE125" i="408"/>
  <c r="G34" i="524" s="1"/>
  <c r="AC125" i="408"/>
  <c r="H34" i="524" s="1"/>
  <c r="S190" i="408"/>
  <c r="F150" i="408"/>
  <c r="F180" i="408"/>
  <c r="N143" i="408" s="1"/>
  <c r="E73" i="1023" s="1"/>
  <c r="AD150" i="408"/>
  <c r="F177" i="408"/>
  <c r="N140" i="408" s="1"/>
  <c r="E70" i="1023" s="1"/>
  <c r="AE115" i="408"/>
  <c r="G24" i="524" s="1"/>
  <c r="AC115" i="408"/>
  <c r="H24" i="524" s="1"/>
  <c r="AC117" i="408"/>
  <c r="H26" i="524" s="1"/>
  <c r="AE117" i="408"/>
  <c r="G26" i="524" s="1"/>
  <c r="K59" i="1063"/>
  <c r="B229" i="1063"/>
  <c r="I229" i="1063"/>
  <c r="H83" i="1063"/>
  <c r="AC173" i="1061"/>
  <c r="H155" i="1061" s="1"/>
  <c r="N71" i="1062"/>
  <c r="AC153" i="1061"/>
  <c r="AH125" i="1061"/>
  <c r="B126" i="1063"/>
  <c r="I126" i="1063"/>
  <c r="K126" i="1063"/>
  <c r="B128" i="1063"/>
  <c r="I128" i="1063"/>
  <c r="F172" i="408"/>
  <c r="N135" i="408" s="1"/>
  <c r="E65" i="1023" s="1"/>
  <c r="F4" i="1127"/>
  <c r="X174" i="408"/>
  <c r="K65" i="1063"/>
  <c r="K106" i="1063"/>
  <c r="K241" i="1063"/>
  <c r="B110" i="1063"/>
  <c r="I110" i="1063"/>
  <c r="K67" i="1063"/>
  <c r="I28" i="1063"/>
  <c r="B28" i="1063"/>
  <c r="BO189" i="1061"/>
  <c r="C215" i="1063" s="1"/>
  <c r="C130" i="1062"/>
  <c r="B96" i="1063"/>
  <c r="I96" i="1063"/>
  <c r="B67" i="1063"/>
  <c r="I67" i="1063"/>
  <c r="B102" i="1063"/>
  <c r="I102" i="1063"/>
  <c r="B193" i="1063"/>
  <c r="I193" i="1063"/>
  <c r="I61" i="1063"/>
  <c r="B61" i="1063"/>
  <c r="K61" i="1063"/>
  <c r="K71" i="1063"/>
  <c r="K243" i="1063"/>
  <c r="K231" i="1063"/>
  <c r="K201" i="1063"/>
  <c r="J201" i="1063"/>
  <c r="BO187" i="1061"/>
  <c r="C213" i="1063" s="1"/>
  <c r="C128" i="1062"/>
  <c r="F151" i="408"/>
  <c r="N117" i="408" s="1"/>
  <c r="E47" i="1023" s="1"/>
  <c r="F112" i="408"/>
  <c r="N102" i="408" s="1"/>
  <c r="E32" i="1023" s="1"/>
  <c r="AE106" i="408"/>
  <c r="G17" i="524" s="1"/>
  <c r="AC106" i="408"/>
  <c r="H17" i="524" s="1"/>
  <c r="AE118" i="408"/>
  <c r="G27" i="524" s="1"/>
  <c r="AC118" i="408"/>
  <c r="H27" i="524" s="1"/>
  <c r="F186" i="408"/>
  <c r="N149" i="408" s="1"/>
  <c r="E79" i="1023" s="1"/>
  <c r="AE120" i="408"/>
  <c r="G29" i="524" s="1"/>
  <c r="AC120" i="408"/>
  <c r="H29" i="524" s="1"/>
  <c r="AE105" i="408"/>
  <c r="G16" i="524" s="1"/>
  <c r="AC105" i="408"/>
  <c r="H16" i="524" s="1"/>
  <c r="X181" i="408"/>
  <c r="AC156" i="408"/>
  <c r="F116" i="408"/>
  <c r="F163" i="408"/>
  <c r="N128" i="408" s="1"/>
  <c r="E58" i="1023" s="1"/>
  <c r="AC129" i="1061"/>
  <c r="AG122" i="1061" s="1"/>
  <c r="X122" i="1061"/>
  <c r="K155" i="1063"/>
  <c r="N75" i="1062"/>
  <c r="C119" i="1063"/>
  <c r="C29" i="1063"/>
  <c r="C22" i="1062"/>
  <c r="K130" i="1063"/>
  <c r="J165" i="1063"/>
  <c r="J69" i="1063"/>
  <c r="J155" i="1063"/>
  <c r="J231" i="1063"/>
  <c r="J153" i="1063"/>
  <c r="J229" i="1063"/>
  <c r="J237" i="1063"/>
  <c r="J195" i="1063"/>
  <c r="J187" i="1063"/>
  <c r="J233" i="1063"/>
  <c r="J106" i="1063"/>
  <c r="J130" i="1063"/>
  <c r="J193" i="1063"/>
  <c r="J239" i="1063"/>
  <c r="J34" i="1063"/>
  <c r="J163" i="1063"/>
  <c r="J71" i="1063"/>
  <c r="J241" i="1063"/>
  <c r="J235" i="1063"/>
  <c r="J104" i="1063"/>
  <c r="J102" i="1063"/>
  <c r="J128" i="1063"/>
  <c r="J67" i="1063"/>
  <c r="J65" i="1063"/>
  <c r="J59" i="1063"/>
  <c r="J63" i="1063"/>
  <c r="K32" i="1063" l="1"/>
  <c r="AC89" i="408"/>
  <c r="H2" i="524" s="1"/>
  <c r="AC95" i="408"/>
  <c r="H6" i="524" s="1"/>
  <c r="T107" i="408"/>
  <c r="T108" i="408"/>
  <c r="T110" i="408"/>
  <c r="E39" i="1023"/>
  <c r="T101" i="408"/>
  <c r="T99" i="408"/>
  <c r="N99" i="408"/>
  <c r="E29" i="1023" s="1"/>
  <c r="H3" i="1127"/>
  <c r="H2" i="408"/>
  <c r="K214" i="1063"/>
  <c r="K28" i="1063"/>
  <c r="R193" i="408"/>
  <c r="R191" i="408"/>
  <c r="R192" i="408"/>
  <c r="R194" i="408"/>
  <c r="O100" i="1062"/>
  <c r="H178" i="1063"/>
  <c r="K118" i="1063"/>
  <c r="C85" i="1063"/>
  <c r="C69" i="1062"/>
  <c r="C190" i="1063"/>
  <c r="J108" i="1062"/>
  <c r="K216" i="1063"/>
  <c r="K96" i="1063"/>
  <c r="O71" i="1062"/>
  <c r="I83" i="1063"/>
  <c r="K212" i="1063"/>
  <c r="N69" i="1062"/>
  <c r="W173" i="1061"/>
  <c r="H130" i="1061" s="1"/>
  <c r="AH122" i="1061"/>
  <c r="D83" i="1063"/>
  <c r="W153" i="1061"/>
  <c r="F39" i="992"/>
  <c r="G39" i="992" s="1"/>
  <c r="F38" i="992"/>
  <c r="G38" i="992" s="1"/>
  <c r="F36" i="992"/>
  <c r="G36" i="992" s="1"/>
  <c r="F41" i="992"/>
  <c r="G41" i="992" s="1"/>
  <c r="F40" i="992"/>
  <c r="G40" i="992" s="1"/>
  <c r="K24" i="1063"/>
  <c r="K100" i="1063"/>
  <c r="K124" i="1063"/>
  <c r="C123" i="1063"/>
  <c r="N79" i="1062"/>
  <c r="K94" i="1063"/>
  <c r="T46" i="1061"/>
  <c r="N42" i="1062" s="1"/>
  <c r="N40" i="1062"/>
  <c r="K120" i="1063"/>
  <c r="I233" i="1063"/>
  <c r="B233" i="1063"/>
  <c r="J96" i="1063"/>
  <c r="J120" i="1063"/>
  <c r="J118" i="1063"/>
  <c r="J124" i="1063"/>
  <c r="J100" i="1063"/>
  <c r="J94" i="1063"/>
  <c r="J28" i="1063"/>
  <c r="J24" i="1063"/>
  <c r="J32" i="1063"/>
  <c r="J212" i="1063"/>
  <c r="J216" i="1063"/>
  <c r="J214" i="1063"/>
  <c r="J107" i="408" l="1"/>
  <c r="G39" i="1023" s="1"/>
  <c r="J99" i="408"/>
  <c r="G31" i="1023" s="1"/>
  <c r="G42" i="992"/>
  <c r="F44" i="992" s="1"/>
  <c r="G44" i="992" s="1"/>
  <c r="G45" i="992" s="1"/>
  <c r="G46" i="992" s="1"/>
  <c r="E184" i="408"/>
  <c r="P147" i="408" s="1"/>
  <c r="D77" i="1023" s="1"/>
  <c r="E185" i="408"/>
  <c r="P148" i="408" s="1"/>
  <c r="D78" i="1023" s="1"/>
  <c r="H2" i="1127"/>
  <c r="AC138" i="408"/>
  <c r="T147" i="408"/>
  <c r="J147" i="408" s="1"/>
  <c r="G79" i="1023" s="1"/>
  <c r="C4" i="1023"/>
  <c r="P6" i="408" s="1"/>
  <c r="K189" i="1063"/>
  <c r="K122" i="1063"/>
  <c r="C79" i="1062"/>
  <c r="C99" i="1063"/>
  <c r="E83" i="1063"/>
  <c r="O69" i="1062"/>
  <c r="J189" i="1063"/>
  <c r="J122" i="1063"/>
  <c r="K98" i="1063" l="1"/>
  <c r="AB138" i="408"/>
  <c r="AD138" i="408"/>
  <c r="J98" i="1063"/>
</calcChain>
</file>

<file path=xl/sharedStrings.xml><?xml version="1.0" encoding="utf-8"?>
<sst xmlns="http://schemas.openxmlformats.org/spreadsheetml/2006/main" count="75137" uniqueCount="6472">
  <si>
    <t>M3</t>
  </si>
  <si>
    <t>B.M3</t>
  </si>
  <si>
    <t/>
  </si>
  <si>
    <t>M2</t>
  </si>
  <si>
    <t>2.</t>
  </si>
  <si>
    <t>3.</t>
  </si>
  <si>
    <t>4.</t>
  </si>
  <si>
    <t>5.</t>
  </si>
  <si>
    <t>6.</t>
  </si>
  <si>
    <t>7.</t>
  </si>
  <si>
    <t>項次</t>
  </si>
  <si>
    <t>數量</t>
  </si>
  <si>
    <t>單位</t>
  </si>
  <si>
    <t>小  計</t>
  </si>
  <si>
    <t>式</t>
  </si>
  <si>
    <t>C.M3</t>
  </si>
  <si>
    <t>結構用混凝土，預拌，280kgf/cm2</t>
  </si>
  <si>
    <t>M</t>
  </si>
  <si>
    <t>KG</t>
  </si>
  <si>
    <t>每</t>
    <phoneticPr fontId="14" type="noConversion"/>
  </si>
  <si>
    <t>項目數量=</t>
    <phoneticPr fontId="14" type="noConversion"/>
  </si>
  <si>
    <t>總  計</t>
  </si>
  <si>
    <t>項次</t>
    <phoneticPr fontId="8" type="noConversion"/>
  </si>
  <si>
    <t>單位</t>
    <phoneticPr fontId="8" type="noConversion"/>
  </si>
  <si>
    <t>數量</t>
    <phoneticPr fontId="8" type="noConversion"/>
  </si>
  <si>
    <t>備註</t>
    <phoneticPr fontId="8" type="noConversion"/>
  </si>
  <si>
    <t>餘方自行處理(含水土保持)，總重15t傾卸貨車</t>
  </si>
  <si>
    <t>依實際檢驗項目</t>
  </si>
  <si>
    <t>1.1</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</si>
  <si>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</si>
  <si>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</si>
  <si>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</si>
  <si>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</si>
  <si>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</si>
  <si>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</si>
  <si>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</si>
  <si>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</si>
  <si>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</si>
  <si>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</si>
  <si>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</si>
  <si>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</si>
  <si>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</si>
  <si>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</si>
  <si>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</si>
  <si>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</si>
  <si>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</si>
  <si>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</si>
  <si>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</si>
  <si>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</si>
  <si>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</si>
  <si>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</si>
  <si>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</si>
  <si>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</si>
  <si>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</si>
  <si>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</si>
  <si>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</si>
  <si>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</si>
  <si>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</si>
  <si>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</si>
  <si>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</si>
  <si>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</si>
  <si>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</si>
  <si>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</si>
  <si>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</si>
  <si>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</si>
  <si>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</si>
  <si>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</si>
  <si>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</si>
  <si>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</si>
  <si>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</si>
  <si>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</si>
  <si>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</si>
  <si>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</si>
  <si>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</si>
  <si>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</si>
  <si>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</si>
  <si>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</si>
  <si>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</si>
  <si>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</si>
  <si>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</si>
  <si>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</si>
  <si>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</si>
  <si>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</si>
  <si>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</si>
  <si>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</si>
  <si>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</si>
  <si>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</si>
  <si>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</si>
  <si>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</si>
  <si>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</si>
  <si>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</si>
  <si>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</si>
  <si>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</si>
  <si>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</si>
  <si>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</si>
  <si>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</si>
  <si>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</si>
  <si>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</si>
  <si>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</si>
  <si>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</si>
  <si>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</si>
  <si>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</si>
  <si>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</si>
  <si>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</si>
  <si>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</si>
  <si>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</si>
  <si>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</si>
  <si>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</si>
  <si>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</si>
  <si>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</si>
  <si>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</si>
  <si>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</si>
  <si>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</si>
  <si>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</si>
  <si>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</si>
  <si>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</si>
  <si>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</si>
  <si>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</si>
  <si>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</si>
  <si>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</si>
  <si>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</si>
  <si>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</si>
  <si>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</si>
  <si>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</si>
  <si>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</si>
  <si>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</si>
  <si>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</si>
  <si>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</si>
  <si>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</si>
  <si>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</si>
  <si>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</si>
  <si>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</si>
  <si>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</si>
  <si>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</si>
  <si>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</si>
  <si>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</si>
  <si>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</si>
  <si>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</si>
  <si>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</si>
  <si>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</si>
  <si>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</si>
  <si>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</si>
  <si>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</si>
  <si>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</si>
  <si>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</si>
  <si>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</si>
  <si>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</si>
  <si>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</si>
  <si>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</si>
  <si>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</si>
  <si>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</si>
  <si>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</si>
  <si>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</si>
  <si>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</si>
  <si>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</si>
  <si>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</si>
  <si>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</si>
  <si>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</si>
  <si>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</si>
  <si>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</si>
  <si>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</si>
  <si>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</si>
  <si>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</si>
  <si>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</si>
  <si>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</si>
  <si>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</si>
  <si>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</si>
  <si>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</si>
  <si>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</si>
  <si>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</si>
  <si>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</si>
  <si>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</si>
  <si>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</si>
  <si>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</si>
  <si>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</si>
  <si>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</si>
  <si>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</si>
  <si>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</si>
  <si>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</si>
  <si>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</si>
  <si>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</si>
  <si>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</si>
  <si>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</si>
  <si>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</si>
  <si>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</si>
  <si>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</si>
  <si>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</si>
  <si>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</si>
  <si>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</si>
  <si>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</si>
  <si>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</si>
  <si>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</si>
  <si>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</si>
  <si>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</si>
  <si>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</si>
  <si>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</si>
  <si>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</si>
  <si>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</si>
  <si>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</si>
  <si>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</si>
  <si>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</si>
  <si>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</si>
  <si>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</si>
  <si>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</si>
  <si>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</si>
  <si>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</si>
  <si>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</si>
  <si>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</si>
  <si>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</si>
  <si>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</si>
  <si>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</si>
  <si>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</si>
  <si>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</si>
  <si>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</si>
  <si>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</si>
  <si>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</si>
  <si>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</si>
  <si>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</si>
  <si>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</si>
  <si>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</si>
  <si>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</si>
  <si>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</si>
  <si>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</si>
  <si>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</si>
  <si>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</si>
  <si>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</si>
  <si>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</si>
  <si>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</si>
  <si>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</si>
  <si>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</si>
  <si>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</si>
  <si>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</si>
  <si>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</si>
  <si>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</si>
  <si>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</si>
  <si>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</si>
  <si>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</si>
  <si>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</si>
  <si>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</si>
  <si>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</si>
  <si>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</si>
  <si>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</si>
  <si>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</si>
  <si>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</si>
  <si>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</si>
  <si>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</si>
  <si>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</si>
  <si>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</si>
  <si>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</si>
  <si>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</si>
  <si>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</si>
  <si>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</si>
  <si>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</si>
  <si>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</si>
  <si>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</si>
  <si>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</si>
  <si>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</si>
  <si>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</si>
  <si>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</si>
  <si>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</si>
  <si>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</si>
  <si>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</si>
  <si>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</si>
  <si>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</si>
  <si>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</si>
  <si>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</si>
  <si>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</si>
  <si>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</si>
  <si>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</si>
  <si>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</si>
  <si>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</si>
  <si>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</si>
  <si>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</si>
  <si>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</si>
  <si>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</si>
  <si>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</si>
  <si>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</si>
  <si>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</si>
  <si>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</si>
  <si>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</si>
  <si>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</si>
  <si>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</si>
  <si>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</si>
  <si>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</si>
  <si>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</si>
  <si>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</si>
  <si>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</si>
  <si>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</si>
  <si>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</si>
  <si>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</si>
  <si>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</si>
  <si>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</si>
  <si>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</si>
  <si>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</si>
  <si>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</si>
  <si>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</si>
  <si>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</si>
  <si>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</si>
  <si>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</si>
  <si>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</si>
  <si>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</si>
  <si>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</si>
  <si>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</si>
  <si>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</si>
  <si>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</si>
  <si>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</si>
  <si>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</si>
  <si>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</si>
  <si>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</si>
  <si>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</si>
  <si>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</si>
  <si>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</si>
  <si>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</si>
  <si>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</si>
  <si>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</si>
  <si>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</si>
  <si>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</si>
  <si>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</si>
  <si>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</si>
  <si>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</si>
  <si>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</si>
  <si>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</si>
  <si>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</si>
  <si>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</si>
  <si>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</si>
  <si>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</si>
  <si>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</si>
  <si>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</si>
  <si>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</si>
  <si>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</si>
  <si>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</si>
  <si>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</si>
  <si>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</si>
  <si>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</si>
  <si>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</si>
  <si>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</si>
  <si>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</si>
  <si>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2.1</t>
  </si>
  <si>
    <t>2.2</t>
  </si>
  <si>
    <t>2.3</t>
  </si>
  <si>
    <t>2.4</t>
  </si>
  <si>
    <t>2.5</t>
  </si>
  <si>
    <t>2.6</t>
  </si>
  <si>
    <t>2.7</t>
  </si>
  <si>
    <t>2.8</t>
  </si>
  <si>
    <t>2.9</t>
  </si>
  <si>
    <t>2.10</t>
  </si>
  <si>
    <t>2.11</t>
  </si>
  <si>
    <t>2.12</t>
  </si>
  <si>
    <t>2.13</t>
  </si>
  <si>
    <t>2.14</t>
  </si>
  <si>
    <t>2.15</t>
  </si>
  <si>
    <t>2.16</t>
  </si>
  <si>
    <t>2.17</t>
  </si>
  <si>
    <t>3.1</t>
  </si>
  <si>
    <t>3.2</t>
  </si>
  <si>
    <t>4.1</t>
  </si>
  <si>
    <t>4.2</t>
  </si>
  <si>
    <t>4.3</t>
  </si>
  <si>
    <t>5.1</t>
  </si>
  <si>
    <t>5.2</t>
  </si>
  <si>
    <t>5.3</t>
  </si>
  <si>
    <t>5.4</t>
  </si>
  <si>
    <t>5.5</t>
  </si>
  <si>
    <t>5.6</t>
  </si>
  <si>
    <t>5.7</t>
  </si>
  <si>
    <t>5.8</t>
  </si>
  <si>
    <t>5.9</t>
  </si>
  <si>
    <t>5.10</t>
  </si>
  <si>
    <t>5.11</t>
  </si>
  <si>
    <t>5.12</t>
  </si>
  <si>
    <t>5.13</t>
  </si>
  <si>
    <t>5.14</t>
  </si>
  <si>
    <t>5.15</t>
  </si>
  <si>
    <t>5.16</t>
  </si>
  <si>
    <t>5.17</t>
  </si>
  <si>
    <t>6.1</t>
  </si>
  <si>
    <t>6.2</t>
  </si>
  <si>
    <t>6.3</t>
  </si>
  <si>
    <t>6.4</t>
  </si>
  <si>
    <t>6.5</t>
  </si>
  <si>
    <t>6.6</t>
  </si>
  <si>
    <t>6.7</t>
  </si>
  <si>
    <t>6.8</t>
  </si>
  <si>
    <t>6.9</t>
  </si>
  <si>
    <t>6.10</t>
  </si>
  <si>
    <t>6.11</t>
  </si>
  <si>
    <t>6.12</t>
  </si>
  <si>
    <t>6.13</t>
  </si>
  <si>
    <t>6.14</t>
  </si>
  <si>
    <t>6.15</t>
  </si>
  <si>
    <t>6.16</t>
  </si>
  <si>
    <t>6.17</t>
  </si>
  <si>
    <t>6.18</t>
  </si>
  <si>
    <t>6.19</t>
  </si>
  <si>
    <t>6.20</t>
  </si>
  <si>
    <t>7.1</t>
  </si>
  <si>
    <t>7.2</t>
  </si>
  <si>
    <t>7.3</t>
  </si>
  <si>
    <t>7.4</t>
  </si>
  <si>
    <t>7.5</t>
  </si>
  <si>
    <t>依施工費×2.52%</t>
    <phoneticPr fontId="3" type="noConversion"/>
  </si>
  <si>
    <t>須檢據核銷</t>
    <phoneticPr fontId="3" type="noConversion"/>
  </si>
  <si>
    <t>依施工費×4.97%</t>
    <phoneticPr fontId="3" type="noConversion"/>
  </si>
  <si>
    <t>鋼製模板，U型溝用，W=40cm，L=120cm</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</si>
  <si>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</si>
  <si>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</si>
  <si>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</si>
  <si>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</si>
  <si>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</si>
  <si>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</si>
  <si>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</si>
  <si>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</si>
  <si>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</si>
  <si>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</si>
  <si>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</si>
  <si>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</si>
  <si>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</si>
  <si>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</si>
  <si>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</si>
  <si>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</si>
  <si>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</si>
  <si>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</si>
  <si>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</si>
  <si>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</si>
  <si>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</si>
  <si>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</si>
  <si>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</si>
  <si>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</si>
  <si>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</si>
  <si>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</si>
  <si>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</si>
  <si>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</si>
  <si>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</si>
  <si>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</si>
  <si>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</si>
  <si>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</si>
  <si>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</si>
  <si>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</si>
  <si>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</si>
  <si>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</si>
  <si>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</si>
  <si>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</si>
  <si>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</si>
  <si>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</si>
  <si>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</si>
  <si>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</si>
  <si>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</si>
  <si>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</si>
  <si>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</si>
  <si>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</si>
  <si>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</si>
  <si>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</si>
  <si>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人工拆除，鋼筋混凝土，含裝車未含運費</t>
  </si>
  <si>
    <t>清運，工區內二次搬運，人工</t>
  </si>
  <si>
    <t>1.358</t>
  </si>
  <si>
    <t>1.359</t>
  </si>
  <si>
    <t>1.360</t>
  </si>
  <si>
    <t>2.18</t>
  </si>
  <si>
    <t>2.19</t>
  </si>
  <si>
    <t>2.20</t>
  </si>
  <si>
    <t>式</t>
    <phoneticPr fontId="14" type="noConversion"/>
  </si>
  <si>
    <t>切割瀝青混凝土或無筋混凝土，5cm≦切割深度＜10cm</t>
  </si>
  <si>
    <t>8.</t>
  </si>
  <si>
    <t>結構用混凝土，預拌，140kgf/cm2</t>
  </si>
  <si>
    <t>1</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</si>
  <si>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</si>
  <si>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</si>
  <si>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</si>
  <si>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</si>
  <si>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</si>
  <si>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</si>
  <si>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</si>
  <si>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</si>
  <si>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</si>
  <si>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</si>
  <si>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</si>
  <si>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</si>
  <si>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</si>
  <si>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</si>
  <si>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</si>
  <si>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</si>
  <si>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</si>
  <si>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</si>
  <si>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</si>
  <si>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</si>
  <si>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</si>
  <si>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</si>
  <si>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</si>
  <si>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</si>
  <si>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</si>
  <si>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</si>
  <si>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</si>
  <si>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</si>
  <si>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</si>
  <si>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</si>
  <si>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</si>
  <si>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</si>
  <si>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</si>
  <si>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</si>
  <si>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r>
      <rPr>
        <sz val="16"/>
        <color indexed="8"/>
        <rFont val="標楷體"/>
        <family val="4"/>
        <charset val="136"/>
      </rPr>
      <t>臺北市政府工務局水利工程處</t>
    </r>
  </si>
  <si>
    <r>
      <rPr>
        <sz val="16"/>
        <color indexed="8"/>
        <rFont val="標楷體"/>
        <family val="4"/>
        <charset val="136"/>
      </rPr>
      <t>詳</t>
    </r>
    <r>
      <rPr>
        <sz val="16"/>
        <color indexed="8"/>
        <rFont val="Times New Roman"/>
        <family val="1"/>
      </rPr>
      <t xml:space="preserve"> </t>
    </r>
    <r>
      <rPr>
        <sz val="16"/>
        <color indexed="8"/>
        <rFont val="標楷體"/>
        <family val="4"/>
        <charset val="136"/>
      </rPr>
      <t>細</t>
    </r>
    <r>
      <rPr>
        <sz val="16"/>
        <color indexed="8"/>
        <rFont val="Times New Roman"/>
        <family val="1"/>
      </rPr>
      <t xml:space="preserve"> </t>
    </r>
    <r>
      <rPr>
        <sz val="16"/>
        <color indexed="8"/>
        <rFont val="標楷體"/>
        <family val="4"/>
        <charset val="136"/>
      </rPr>
      <t>價</t>
    </r>
    <r>
      <rPr>
        <sz val="16"/>
        <color indexed="8"/>
        <rFont val="Times New Roman"/>
        <family val="1"/>
      </rPr>
      <t xml:space="preserve"> </t>
    </r>
    <r>
      <rPr>
        <sz val="16"/>
        <color indexed="8"/>
        <rFont val="標楷體"/>
        <family val="4"/>
        <charset val="136"/>
      </rPr>
      <t>目</t>
    </r>
    <r>
      <rPr>
        <sz val="16"/>
        <color indexed="8"/>
        <rFont val="Times New Roman"/>
        <family val="1"/>
      </rPr>
      <t xml:space="preserve"> </t>
    </r>
    <r>
      <rPr>
        <sz val="16"/>
        <color indexed="8"/>
        <rFont val="標楷體"/>
        <family val="4"/>
        <charset val="136"/>
      </rPr>
      <t>表</t>
    </r>
  </si>
  <si>
    <r>
      <rPr>
        <sz val="12"/>
        <color indexed="8"/>
        <rFont val="標楷體"/>
        <family val="4"/>
        <charset val="136"/>
      </rPr>
      <t>項次</t>
    </r>
  </si>
  <si>
    <r>
      <rPr>
        <sz val="12"/>
        <color indexed="8"/>
        <rFont val="標楷體"/>
        <family val="4"/>
        <charset val="136"/>
      </rPr>
      <t>項</t>
    </r>
    <r>
      <rPr>
        <sz val="12"/>
        <color indexed="8"/>
        <rFont val="Times New Roman"/>
        <family val="1"/>
      </rPr>
      <t xml:space="preserve">  </t>
    </r>
    <r>
      <rPr>
        <sz val="12"/>
        <color indexed="8"/>
        <rFont val="標楷體"/>
        <family val="4"/>
        <charset val="136"/>
      </rPr>
      <t>目</t>
    </r>
    <r>
      <rPr>
        <sz val="12"/>
        <color indexed="8"/>
        <rFont val="Times New Roman"/>
        <family val="1"/>
      </rPr>
      <t xml:space="preserve">  </t>
    </r>
    <r>
      <rPr>
        <sz val="12"/>
        <color indexed="8"/>
        <rFont val="標楷體"/>
        <family val="4"/>
        <charset val="136"/>
      </rPr>
      <t>及</t>
    </r>
    <r>
      <rPr>
        <sz val="12"/>
        <color indexed="8"/>
        <rFont val="Times New Roman"/>
        <family val="1"/>
      </rPr>
      <t xml:space="preserve">  </t>
    </r>
    <r>
      <rPr>
        <sz val="12"/>
        <color indexed="8"/>
        <rFont val="標楷體"/>
        <family val="4"/>
        <charset val="136"/>
      </rPr>
      <t>說</t>
    </r>
    <r>
      <rPr>
        <sz val="12"/>
        <color indexed="8"/>
        <rFont val="Times New Roman"/>
        <family val="1"/>
      </rPr>
      <t xml:space="preserve">  </t>
    </r>
    <r>
      <rPr>
        <sz val="12"/>
        <color indexed="8"/>
        <rFont val="標楷體"/>
        <family val="4"/>
        <charset val="136"/>
      </rPr>
      <t>明</t>
    </r>
  </si>
  <si>
    <r>
      <rPr>
        <sz val="12"/>
        <color indexed="8"/>
        <rFont val="標楷體"/>
        <family val="4"/>
        <charset val="136"/>
      </rPr>
      <t>單位</t>
    </r>
  </si>
  <si>
    <r>
      <rPr>
        <sz val="12"/>
        <color indexed="8"/>
        <rFont val="標楷體"/>
        <family val="4"/>
        <charset val="136"/>
      </rPr>
      <t>單</t>
    </r>
    <r>
      <rPr>
        <sz val="12"/>
        <color indexed="8"/>
        <rFont val="Times New Roman"/>
        <family val="1"/>
      </rPr>
      <t xml:space="preserve">  </t>
    </r>
    <r>
      <rPr>
        <sz val="12"/>
        <color indexed="8"/>
        <rFont val="標楷體"/>
        <family val="4"/>
        <charset val="136"/>
      </rPr>
      <t>價</t>
    </r>
  </si>
  <si>
    <r>
      <rPr>
        <sz val="12"/>
        <color indexed="8"/>
        <rFont val="標楷體"/>
        <family val="4"/>
        <charset val="136"/>
      </rPr>
      <t>備</t>
    </r>
    <r>
      <rPr>
        <sz val="12"/>
        <color indexed="8"/>
        <rFont val="Times New Roman"/>
        <family val="1"/>
      </rPr>
      <t xml:space="preserve">  </t>
    </r>
    <r>
      <rPr>
        <sz val="12"/>
        <color indexed="8"/>
        <rFont val="標楷體"/>
        <family val="4"/>
        <charset val="136"/>
      </rPr>
      <t>註</t>
    </r>
  </si>
  <si>
    <r>
      <rPr>
        <sz val="11"/>
        <color indexed="8"/>
        <rFont val="標楷體"/>
        <family val="4"/>
        <charset val="136"/>
      </rPr>
      <t>壹</t>
    </r>
  </si>
  <si>
    <r>
      <rPr>
        <sz val="11"/>
        <color indexed="8"/>
        <rFont val="標楷體"/>
        <family val="4"/>
        <charset val="136"/>
      </rPr>
      <t>發包工程費</t>
    </r>
  </si>
  <si>
    <r>
      <rPr>
        <sz val="10"/>
        <color indexed="8"/>
        <rFont val="標楷體"/>
        <family val="4"/>
        <charset val="136"/>
      </rPr>
      <t>式</t>
    </r>
  </si>
  <si>
    <r>
      <rPr>
        <sz val="11"/>
        <color indexed="8"/>
        <rFont val="標楷體"/>
        <family val="4"/>
        <charset val="136"/>
      </rPr>
      <t>　一</t>
    </r>
  </si>
  <si>
    <r>
      <rPr>
        <sz val="11"/>
        <color indexed="8"/>
        <rFont val="標楷體"/>
        <family val="4"/>
        <charset val="136"/>
      </rPr>
      <t>工程費</t>
    </r>
  </si>
  <si>
    <r>
      <rPr>
        <sz val="10"/>
        <color indexed="8"/>
        <rFont val="標楷體"/>
        <family val="4"/>
        <charset val="136"/>
      </rPr>
      <t>單價訂約</t>
    </r>
  </si>
  <si>
    <t>鋼筋，SD280W</t>
  </si>
  <si>
    <t>臨時設施，排水設備，引擎抽水機，D=10cm，租金</t>
  </si>
  <si>
    <t>圍水，砂包堆置</t>
  </si>
  <si>
    <t>清水模板，乙種.</t>
    <phoneticPr fontId="3" type="noConversion"/>
  </si>
  <si>
    <t>9.</t>
  </si>
  <si>
    <t>10.</t>
  </si>
  <si>
    <t>11.</t>
  </si>
  <si>
    <t>餘方自行處理(含水土保持)，總重15t傾卸貨車</t>
    <phoneticPr fontId="3" type="noConversion"/>
  </si>
  <si>
    <t>1.395</t>
  </si>
  <si>
    <t>1.396</t>
  </si>
  <si>
    <t>1.397</t>
  </si>
  <si>
    <t>1.398</t>
  </si>
  <si>
    <t>1.399</t>
  </si>
  <si>
    <t>1.400</t>
  </si>
  <si>
    <t>1.401</t>
  </si>
  <si>
    <t>1.402</t>
  </si>
  <si>
    <t>2.21</t>
  </si>
  <si>
    <t>2.22</t>
  </si>
  <si>
    <t>2.23</t>
  </si>
  <si>
    <t xml:space="preserve">015741010J
</t>
  </si>
  <si>
    <t xml:space="preserve">01510C8004
</t>
  </si>
  <si>
    <t>10.1</t>
  </si>
  <si>
    <t>人工拆除，無筋混凝土，含裝車未含運費.</t>
    <phoneticPr fontId="3" type="noConversion"/>
  </si>
  <si>
    <t>基地及路幅開挖，軟岩，人工挖，含裝車未含運費.</t>
    <phoneticPr fontId="3" type="noConversion"/>
  </si>
  <si>
    <t>機械拆除，預鑄溝蓋板，未含運費.</t>
    <phoneticPr fontId="3" type="noConversion"/>
  </si>
  <si>
    <t>混凝土量</t>
    <phoneticPr fontId="3" type="noConversion"/>
  </si>
  <si>
    <t>結構用混凝土，預拌，210kgf/cm2</t>
    <phoneticPr fontId="3" type="noConversion"/>
  </si>
  <si>
    <t>結構用混凝土，預拌，140kgf/cm2</t>
    <phoneticPr fontId="3" type="noConversion"/>
  </si>
  <si>
    <t>結構用混凝土，機拌，140kgf/cm2</t>
    <phoneticPr fontId="3" type="noConversion"/>
  </si>
  <si>
    <t>餘方出土量</t>
    <phoneticPr fontId="3" type="noConversion"/>
  </si>
  <si>
    <t>餘方自行處理(含水土保持)，總重3-3.9t貨車</t>
  </si>
  <si>
    <t>L0000051000Q1</t>
    <phoneticPr fontId="3" type="noConversion"/>
  </si>
  <si>
    <t>L000005300061</t>
    <phoneticPr fontId="3" type="noConversion"/>
  </si>
  <si>
    <t>L000006A00001</t>
    <phoneticPr fontId="3" type="noConversion"/>
  </si>
  <si>
    <t>L000005000301</t>
    <phoneticPr fontId="3" type="noConversion"/>
  </si>
  <si>
    <t>E000002880001</t>
    <phoneticPr fontId="3" type="noConversion"/>
  </si>
  <si>
    <t>E000003903001</t>
    <phoneticPr fontId="3" type="noConversion"/>
  </si>
  <si>
    <t>E000003415001</t>
    <phoneticPr fontId="3" type="noConversion"/>
  </si>
  <si>
    <t>E000003435001</t>
    <phoneticPr fontId="3" type="noConversion"/>
  </si>
  <si>
    <t>E000003E10001</t>
    <phoneticPr fontId="3" type="noConversion"/>
  </si>
  <si>
    <t>E000004101201</t>
    <phoneticPr fontId="3" type="noConversion"/>
  </si>
  <si>
    <t>E000004407001</t>
    <phoneticPr fontId="3" type="noConversion"/>
  </si>
  <si>
    <t>E000002420001</t>
    <phoneticPr fontId="3" type="noConversion"/>
  </si>
  <si>
    <t>0222010E23</t>
    <phoneticPr fontId="3" type="noConversion"/>
  </si>
  <si>
    <t>0222010423</t>
    <phoneticPr fontId="3" type="noConversion"/>
  </si>
  <si>
    <t>023215F00A</t>
    <phoneticPr fontId="3" type="noConversion"/>
  </si>
  <si>
    <t>02321PWD05AB1</t>
    <phoneticPr fontId="3" type="noConversion"/>
  </si>
  <si>
    <t>023214D00A</t>
    <phoneticPr fontId="3" type="noConversion"/>
  </si>
  <si>
    <t>023214F00A</t>
    <phoneticPr fontId="3" type="noConversion"/>
  </si>
  <si>
    <t>023215D00A</t>
    <phoneticPr fontId="3" type="noConversion"/>
  </si>
  <si>
    <t>0231600Z6A</t>
    <phoneticPr fontId="3" type="noConversion"/>
  </si>
  <si>
    <t>人工拆除，鋼筋混凝土，含裝車未含運費.</t>
    <phoneticPr fontId="3" type="noConversion"/>
  </si>
  <si>
    <t>0222020403</t>
    <phoneticPr fontId="3" type="noConversion"/>
  </si>
  <si>
    <t>機械拆除，無筋混凝土，未含運費.</t>
    <phoneticPr fontId="3" type="noConversion"/>
  </si>
  <si>
    <t>0222010403</t>
    <phoneticPr fontId="3" type="noConversion"/>
  </si>
  <si>
    <t>機械拆除，鋼筋混凝土，未含運費.</t>
    <phoneticPr fontId="3" type="noConversion"/>
  </si>
  <si>
    <t>023214D10A</t>
    <phoneticPr fontId="3" type="noConversion"/>
  </si>
  <si>
    <t>023214F01A</t>
    <phoneticPr fontId="3" type="noConversion"/>
  </si>
  <si>
    <t>基地及路幅開挖，硬岩，人工挖，含裝車未含運費.</t>
    <phoneticPr fontId="3" type="noConversion"/>
  </si>
  <si>
    <t>023215D10A</t>
    <phoneticPr fontId="3" type="noConversion"/>
  </si>
  <si>
    <t>023215F01A</t>
    <phoneticPr fontId="3" type="noConversion"/>
  </si>
  <si>
    <t>023210E00A</t>
    <phoneticPr fontId="3" type="noConversion"/>
  </si>
  <si>
    <t>0231601Z6A</t>
    <phoneticPr fontId="3" type="noConversion"/>
  </si>
  <si>
    <t>0222020E33</t>
    <phoneticPr fontId="3" type="noConversion"/>
  </si>
  <si>
    <t>0296103003</t>
    <phoneticPr fontId="3" type="noConversion"/>
  </si>
  <si>
    <t>瀝青混凝土面層刨除，刨除料運費.</t>
    <phoneticPr fontId="3" type="noConversion"/>
  </si>
  <si>
    <t>0296103023</t>
    <phoneticPr fontId="3" type="noConversion"/>
  </si>
  <si>
    <t>02325C0001</t>
    <phoneticPr fontId="3" type="noConversion"/>
  </si>
  <si>
    <t>023250A00A</t>
    <phoneticPr fontId="3" type="noConversion"/>
  </si>
  <si>
    <t>023250500A</t>
    <phoneticPr fontId="3" type="noConversion"/>
  </si>
  <si>
    <t>023250B001</t>
    <phoneticPr fontId="3" type="noConversion"/>
  </si>
  <si>
    <t>023250D00A</t>
    <phoneticPr fontId="3" type="noConversion"/>
  </si>
  <si>
    <t>02234W0002</t>
    <phoneticPr fontId="3" type="noConversion"/>
  </si>
  <si>
    <t>02233A1003</t>
    <phoneticPr fontId="3" type="noConversion"/>
  </si>
  <si>
    <t>023310000B</t>
    <phoneticPr fontId="3" type="noConversion"/>
  </si>
  <si>
    <t>023174000A</t>
    <phoneticPr fontId="3" type="noConversion"/>
  </si>
  <si>
    <t>02931BDD101</t>
    <phoneticPr fontId="3" type="noConversion"/>
  </si>
  <si>
    <t>02323400003</t>
    <phoneticPr fontId="3" type="noConversion"/>
  </si>
  <si>
    <t>02323PWD30B03</t>
    <phoneticPr fontId="3" type="noConversion"/>
  </si>
  <si>
    <t>023234004A</t>
    <phoneticPr fontId="3" type="noConversion"/>
  </si>
  <si>
    <t>023234006A</t>
    <phoneticPr fontId="3" type="noConversion"/>
  </si>
  <si>
    <t>023232000A</t>
    <phoneticPr fontId="3" type="noConversion"/>
  </si>
  <si>
    <t>02323PWD0A001</t>
    <phoneticPr fontId="3" type="noConversion"/>
  </si>
  <si>
    <t>02323H0003</t>
    <phoneticPr fontId="3" type="noConversion"/>
  </si>
  <si>
    <t>0233600002</t>
    <phoneticPr fontId="3" type="noConversion"/>
  </si>
  <si>
    <t>027261000B</t>
    <phoneticPr fontId="3" type="noConversion"/>
  </si>
  <si>
    <t>02319130BA</t>
    <phoneticPr fontId="3" type="noConversion"/>
  </si>
  <si>
    <t>02319140BA</t>
    <phoneticPr fontId="3" type="noConversion"/>
  </si>
  <si>
    <t>0274512002</t>
    <phoneticPr fontId="3" type="noConversion"/>
  </si>
  <si>
    <t>0274711002</t>
    <phoneticPr fontId="3" type="noConversion"/>
  </si>
  <si>
    <t>0274205303</t>
    <phoneticPr fontId="3" type="noConversion"/>
  </si>
  <si>
    <t>0274203303</t>
    <phoneticPr fontId="3" type="noConversion"/>
  </si>
  <si>
    <t>0274205B03</t>
    <phoneticPr fontId="3" type="noConversion"/>
  </si>
  <si>
    <t>0274203B03</t>
    <phoneticPr fontId="3" type="noConversion"/>
  </si>
  <si>
    <t>0279605303</t>
    <phoneticPr fontId="3" type="noConversion"/>
  </si>
  <si>
    <t>0279605313</t>
    <phoneticPr fontId="3" type="noConversion"/>
  </si>
  <si>
    <t>0279800003</t>
    <phoneticPr fontId="3" type="noConversion"/>
  </si>
  <si>
    <t>0296613003</t>
    <phoneticPr fontId="3" type="noConversion"/>
  </si>
  <si>
    <t>02966130B3</t>
    <phoneticPr fontId="3" type="noConversion"/>
  </si>
  <si>
    <t>0296615003</t>
    <phoneticPr fontId="3" type="noConversion"/>
  </si>
  <si>
    <t>02966150B3</t>
    <phoneticPr fontId="3" type="noConversion"/>
  </si>
  <si>
    <t>0295240003</t>
    <phoneticPr fontId="3" type="noConversion"/>
  </si>
  <si>
    <t>0296140332</t>
    <phoneticPr fontId="3" type="noConversion"/>
  </si>
  <si>
    <t>0296140432</t>
    <phoneticPr fontId="3" type="noConversion"/>
  </si>
  <si>
    <t>0296190332</t>
    <phoneticPr fontId="3" type="noConversion"/>
  </si>
  <si>
    <t>0296190432</t>
    <phoneticPr fontId="3" type="noConversion"/>
  </si>
  <si>
    <t>02220PWD00021</t>
    <phoneticPr fontId="3" type="noConversion"/>
  </si>
  <si>
    <t>02220PWD00031</t>
    <phoneticPr fontId="3" type="noConversion"/>
  </si>
  <si>
    <t>02220#0041</t>
    <phoneticPr fontId="3" type="noConversion"/>
  </si>
  <si>
    <t>0331023003</t>
    <phoneticPr fontId="3" type="noConversion"/>
  </si>
  <si>
    <t>0331024003</t>
    <phoneticPr fontId="3" type="noConversion"/>
  </si>
  <si>
    <t>0331025003</t>
    <phoneticPr fontId="3" type="noConversion"/>
  </si>
  <si>
    <t>0331026003</t>
    <phoneticPr fontId="3" type="noConversion"/>
  </si>
  <si>
    <t>0331027003</t>
    <phoneticPr fontId="3" type="noConversion"/>
  </si>
  <si>
    <t>0331029003</t>
    <phoneticPr fontId="3" type="noConversion"/>
  </si>
  <si>
    <t>0331013003</t>
    <phoneticPr fontId="3" type="noConversion"/>
  </si>
  <si>
    <t>0331014003</t>
    <phoneticPr fontId="3" type="noConversion"/>
  </si>
  <si>
    <t>0331015003</t>
    <phoneticPr fontId="3" type="noConversion"/>
  </si>
  <si>
    <t>0331016003</t>
    <phoneticPr fontId="3" type="noConversion"/>
  </si>
  <si>
    <t>033100E0B3</t>
    <phoneticPr fontId="3" type="noConversion"/>
  </si>
  <si>
    <t>030521#231</t>
    <phoneticPr fontId="3" type="noConversion"/>
  </si>
  <si>
    <t>0337700003</t>
    <phoneticPr fontId="3" type="noConversion"/>
  </si>
  <si>
    <t>03310000Z5</t>
    <phoneticPr fontId="3" type="noConversion"/>
  </si>
  <si>
    <t>0336020002</t>
    <phoneticPr fontId="3" type="noConversion"/>
  </si>
  <si>
    <t>0311021102</t>
    <phoneticPr fontId="3" type="noConversion"/>
  </si>
  <si>
    <t>0311021202</t>
    <phoneticPr fontId="3" type="noConversion"/>
  </si>
  <si>
    <t>0311021302</t>
    <phoneticPr fontId="3" type="noConversion"/>
  </si>
  <si>
    <t>0311011202</t>
    <phoneticPr fontId="3" type="noConversion"/>
  </si>
  <si>
    <t>0311011302</t>
    <phoneticPr fontId="3" type="noConversion"/>
  </si>
  <si>
    <t>03110960a1</t>
    <phoneticPr fontId="3" type="noConversion"/>
  </si>
  <si>
    <t>03110960a2</t>
    <phoneticPr fontId="3" type="noConversion"/>
  </si>
  <si>
    <t>03110960b1</t>
    <phoneticPr fontId="3" type="noConversion"/>
  </si>
  <si>
    <t>03110960b2</t>
    <phoneticPr fontId="3" type="noConversion"/>
  </si>
  <si>
    <t>03110960c1</t>
    <phoneticPr fontId="3" type="noConversion"/>
  </si>
  <si>
    <t>03110960c2</t>
    <phoneticPr fontId="3" type="noConversion"/>
  </si>
  <si>
    <t>0311021112</t>
    <phoneticPr fontId="3" type="noConversion"/>
  </si>
  <si>
    <t>0311021212</t>
    <phoneticPr fontId="3" type="noConversion"/>
  </si>
  <si>
    <t>0311021312</t>
    <phoneticPr fontId="3" type="noConversion"/>
  </si>
  <si>
    <t>0311011212</t>
    <phoneticPr fontId="3" type="noConversion"/>
  </si>
  <si>
    <t>0311011312</t>
    <phoneticPr fontId="3" type="noConversion"/>
  </si>
  <si>
    <t>03110900a1</t>
    <phoneticPr fontId="3" type="noConversion"/>
  </si>
  <si>
    <t>03110900a2</t>
    <phoneticPr fontId="3" type="noConversion"/>
  </si>
  <si>
    <t>03110900b1</t>
    <phoneticPr fontId="3" type="noConversion"/>
  </si>
  <si>
    <t>03110900b2</t>
    <phoneticPr fontId="3" type="noConversion"/>
  </si>
  <si>
    <t>03110900c1</t>
    <phoneticPr fontId="3" type="noConversion"/>
  </si>
  <si>
    <t>03110900c2</t>
    <phoneticPr fontId="3" type="noConversion"/>
  </si>
  <si>
    <t>0321040009</t>
    <phoneticPr fontId="3" type="noConversion"/>
  </si>
  <si>
    <t>0321030009</t>
    <phoneticPr fontId="3" type="noConversion"/>
  </si>
  <si>
    <t>0321050009</t>
    <phoneticPr fontId="3" type="noConversion"/>
  </si>
  <si>
    <t>0321060009</t>
    <phoneticPr fontId="3" type="noConversion"/>
  </si>
  <si>
    <t>0321031009</t>
    <phoneticPr fontId="3" type="noConversion"/>
  </si>
  <si>
    <t>0321041009</t>
    <phoneticPr fontId="3" type="noConversion"/>
  </si>
  <si>
    <t>0321051009</t>
    <phoneticPr fontId="3" type="noConversion"/>
  </si>
  <si>
    <t>0321061009</t>
    <phoneticPr fontId="3" type="noConversion"/>
  </si>
  <si>
    <t>05500R1009</t>
    <phoneticPr fontId="3" type="noConversion"/>
  </si>
  <si>
    <t>M0550010009</t>
    <phoneticPr fontId="3" type="noConversion"/>
  </si>
  <si>
    <t>05500Pc009</t>
    <phoneticPr fontId="3" type="noConversion"/>
  </si>
  <si>
    <t>05500Pd009</t>
    <phoneticPr fontId="3" type="noConversion"/>
  </si>
  <si>
    <t>M0322004732</t>
    <phoneticPr fontId="3" type="noConversion"/>
  </si>
  <si>
    <t>03110700h2</t>
    <phoneticPr fontId="3" type="noConversion"/>
  </si>
  <si>
    <t>03110700J2</t>
    <phoneticPr fontId="3" type="noConversion"/>
  </si>
  <si>
    <t>0311090012</t>
    <phoneticPr fontId="3" type="noConversion"/>
  </si>
  <si>
    <t>032100E2GB</t>
    <phoneticPr fontId="3" type="noConversion"/>
  </si>
  <si>
    <t>032100E4GB</t>
    <phoneticPr fontId="3" type="noConversion"/>
  </si>
  <si>
    <t>032100E5GB</t>
    <phoneticPr fontId="3" type="noConversion"/>
  </si>
  <si>
    <t>032100E6GB</t>
    <phoneticPr fontId="3" type="noConversion"/>
  </si>
  <si>
    <t>02472PWD02301</t>
    <phoneticPr fontId="3" type="noConversion"/>
  </si>
  <si>
    <t>02472PWD03301</t>
    <phoneticPr fontId="3" type="noConversion"/>
  </si>
  <si>
    <t>0225513611</t>
    <phoneticPr fontId="3" type="noConversion"/>
  </si>
  <si>
    <t>0225512711</t>
    <phoneticPr fontId="3" type="noConversion"/>
  </si>
  <si>
    <t>0225630001</t>
    <phoneticPr fontId="3" type="noConversion"/>
  </si>
  <si>
    <t>0225620022</t>
    <phoneticPr fontId="3" type="noConversion"/>
  </si>
  <si>
    <t>0225540321</t>
    <phoneticPr fontId="3" type="noConversion"/>
  </si>
  <si>
    <t>0225540121</t>
    <phoneticPr fontId="3" type="noConversion"/>
  </si>
  <si>
    <t>0225540621</t>
    <phoneticPr fontId="3" type="noConversion"/>
  </si>
  <si>
    <t>0225540D21</t>
    <phoneticPr fontId="3" type="noConversion"/>
  </si>
  <si>
    <t>0225540G21</t>
    <phoneticPr fontId="3" type="noConversion"/>
  </si>
  <si>
    <t>02255200V1</t>
    <phoneticPr fontId="3" type="noConversion"/>
  </si>
  <si>
    <t>0225520E31</t>
    <phoneticPr fontId="3" type="noConversion"/>
  </si>
  <si>
    <t>0225530E31</t>
    <phoneticPr fontId="3" type="noConversion"/>
  </si>
  <si>
    <t>0922010012</t>
    <phoneticPr fontId="3" type="noConversion"/>
  </si>
  <si>
    <t>0922020012</t>
    <phoneticPr fontId="3" type="noConversion"/>
  </si>
  <si>
    <t>0922030042</t>
    <phoneticPr fontId="3" type="noConversion"/>
  </si>
  <si>
    <t>0406110003</t>
    <phoneticPr fontId="3" type="noConversion"/>
  </si>
  <si>
    <t>0238630302</t>
    <phoneticPr fontId="3" type="noConversion"/>
  </si>
  <si>
    <t>0238630402</t>
    <phoneticPr fontId="3" type="noConversion"/>
  </si>
  <si>
    <t>0238630502</t>
    <phoneticPr fontId="3" type="noConversion"/>
  </si>
  <si>
    <t>0922030012</t>
    <phoneticPr fontId="3" type="noConversion"/>
  </si>
  <si>
    <t>02374CD008</t>
    <phoneticPr fontId="3" type="noConversion"/>
  </si>
  <si>
    <t>02381A010A</t>
    <phoneticPr fontId="3" type="noConversion"/>
  </si>
  <si>
    <t>033722V022</t>
    <phoneticPr fontId="3" type="noConversion"/>
  </si>
  <si>
    <t>03372PWDB0SAE</t>
    <phoneticPr fontId="3" type="noConversion"/>
  </si>
  <si>
    <t>026108803H</t>
    <phoneticPr fontId="3" type="noConversion"/>
  </si>
  <si>
    <t>026108903H</t>
    <phoneticPr fontId="3" type="noConversion"/>
  </si>
  <si>
    <t>026108B03H</t>
    <phoneticPr fontId="3" type="noConversion"/>
  </si>
  <si>
    <t>026108D03H</t>
    <phoneticPr fontId="3" type="noConversion"/>
  </si>
  <si>
    <t>026102D321</t>
    <phoneticPr fontId="3" type="noConversion"/>
  </si>
  <si>
    <t>026102F321</t>
    <phoneticPr fontId="3" type="noConversion"/>
  </si>
  <si>
    <t>026102H321</t>
    <phoneticPr fontId="3" type="noConversion"/>
  </si>
  <si>
    <t>026102N321</t>
    <phoneticPr fontId="3" type="noConversion"/>
  </si>
  <si>
    <t>026102Q321</t>
    <phoneticPr fontId="3" type="noConversion"/>
  </si>
  <si>
    <t>026100B90H</t>
    <phoneticPr fontId="3" type="noConversion"/>
  </si>
  <si>
    <t>02610PWD0A331</t>
    <phoneticPr fontId="3" type="noConversion"/>
  </si>
  <si>
    <t>034006500A</t>
    <phoneticPr fontId="3" type="noConversion"/>
  </si>
  <si>
    <t>034006800A</t>
    <phoneticPr fontId="3" type="noConversion"/>
  </si>
  <si>
    <t>034007200A</t>
    <phoneticPr fontId="3" type="noConversion"/>
  </si>
  <si>
    <t>034007400A</t>
    <phoneticPr fontId="3" type="noConversion"/>
  </si>
  <si>
    <t>034007600A</t>
    <phoneticPr fontId="3" type="noConversion"/>
  </si>
  <si>
    <t>034007800A</t>
    <phoneticPr fontId="3" type="noConversion"/>
  </si>
  <si>
    <t>034003112A</t>
    <phoneticPr fontId="3" type="noConversion"/>
  </si>
  <si>
    <t>034003212A</t>
    <phoneticPr fontId="3" type="noConversion"/>
  </si>
  <si>
    <t>034003222A</t>
    <phoneticPr fontId="3" type="noConversion"/>
  </si>
  <si>
    <t>034004112A</t>
    <phoneticPr fontId="3" type="noConversion"/>
  </si>
  <si>
    <t>034004312A</t>
    <phoneticPr fontId="3" type="noConversion"/>
  </si>
  <si>
    <t>034004122A</t>
    <phoneticPr fontId="3" type="noConversion"/>
  </si>
  <si>
    <t>034004322A</t>
    <phoneticPr fontId="3" type="noConversion"/>
  </si>
  <si>
    <t>0553073008</t>
    <phoneticPr fontId="3" type="noConversion"/>
  </si>
  <si>
    <t>03400K102A</t>
    <phoneticPr fontId="3" type="noConversion"/>
  </si>
  <si>
    <t>02631P110C</t>
    <phoneticPr fontId="3" type="noConversion"/>
  </si>
  <si>
    <t>02631P212C</t>
    <phoneticPr fontId="3" type="noConversion"/>
  </si>
  <si>
    <t>02631P211C</t>
    <phoneticPr fontId="3" type="noConversion"/>
  </si>
  <si>
    <t>055626011C</t>
    <phoneticPr fontId="3" type="noConversion"/>
  </si>
  <si>
    <t>02631T210C</t>
    <phoneticPr fontId="3" type="noConversion"/>
  </si>
  <si>
    <t>02631T220C</t>
    <phoneticPr fontId="3" type="noConversion"/>
  </si>
  <si>
    <t>02631T110C</t>
    <phoneticPr fontId="3" type="noConversion"/>
  </si>
  <si>
    <t>02631S000C</t>
    <phoneticPr fontId="3" type="noConversion"/>
  </si>
  <si>
    <t>M0963710902</t>
    <phoneticPr fontId="3" type="noConversion"/>
  </si>
  <si>
    <t>06100M0002</t>
    <phoneticPr fontId="3" type="noConversion"/>
  </si>
  <si>
    <t>02631N201B</t>
    <phoneticPr fontId="3" type="noConversion"/>
  </si>
  <si>
    <t>02631N302B</t>
    <phoneticPr fontId="3" type="noConversion"/>
  </si>
  <si>
    <t>0153210012</t>
    <phoneticPr fontId="3" type="noConversion"/>
  </si>
  <si>
    <t>01532C0002</t>
    <phoneticPr fontId="3" type="noConversion"/>
  </si>
  <si>
    <t>15110X150R08</t>
    <phoneticPr fontId="3" type="noConversion"/>
  </si>
  <si>
    <t>05500FAC18</t>
    <phoneticPr fontId="3" type="noConversion"/>
  </si>
  <si>
    <t>02900B100C</t>
    <phoneticPr fontId="3" type="noConversion"/>
  </si>
  <si>
    <t>0292012C02</t>
    <phoneticPr fontId="3" type="noConversion"/>
  </si>
  <si>
    <t>0292000U02</t>
    <phoneticPr fontId="3" type="noConversion"/>
  </si>
  <si>
    <t>0223102002</t>
    <phoneticPr fontId="3" type="noConversion"/>
  </si>
  <si>
    <t>0223109002</t>
    <phoneticPr fontId="3" type="noConversion"/>
  </si>
  <si>
    <t>02234A0003</t>
    <phoneticPr fontId="3" type="noConversion"/>
  </si>
  <si>
    <t>01271AB201</t>
    <phoneticPr fontId="3" type="noConversion"/>
  </si>
  <si>
    <t>01510533BD</t>
    <phoneticPr fontId="3" type="noConversion"/>
  </si>
  <si>
    <t>0226210003</t>
    <phoneticPr fontId="3" type="noConversion"/>
  </si>
  <si>
    <t>02220301BE</t>
    <phoneticPr fontId="3" type="noConversion"/>
  </si>
  <si>
    <t>0250611011</t>
    <phoneticPr fontId="3" type="noConversion"/>
  </si>
  <si>
    <t>03400R0007</t>
    <phoneticPr fontId="3" type="noConversion"/>
  </si>
  <si>
    <t>02742B0H03</t>
    <phoneticPr fontId="3" type="noConversion"/>
  </si>
  <si>
    <t>0151112021</t>
    <phoneticPr fontId="3" type="noConversion"/>
  </si>
  <si>
    <t>0151111221</t>
    <phoneticPr fontId="3" type="noConversion"/>
  </si>
  <si>
    <t>臨時設施，雜項工程，工地處理，施工動復員，小型機具</t>
    <phoneticPr fontId="3" type="noConversion"/>
  </si>
  <si>
    <t>01510CC11G</t>
    <phoneticPr fontId="3" type="noConversion"/>
  </si>
  <si>
    <t>01510CC12G</t>
    <phoneticPr fontId="3" type="noConversion"/>
  </si>
  <si>
    <t>0221071026</t>
    <phoneticPr fontId="3" type="noConversion"/>
  </si>
  <si>
    <t>0221072026</t>
    <phoneticPr fontId="3" type="noConversion"/>
  </si>
  <si>
    <t>0221092102</t>
    <phoneticPr fontId="3" type="noConversion"/>
  </si>
  <si>
    <t>02742050B3</t>
    <phoneticPr fontId="3" type="noConversion"/>
  </si>
  <si>
    <t>02742D3003</t>
    <phoneticPr fontId="3" type="noConversion"/>
  </si>
  <si>
    <t>02742D5003</t>
    <phoneticPr fontId="3" type="noConversion"/>
  </si>
  <si>
    <t>0274293G03</t>
    <phoneticPr fontId="3" type="noConversion"/>
  </si>
  <si>
    <t>0296150N01</t>
    <phoneticPr fontId="3" type="noConversion"/>
  </si>
  <si>
    <t>0250111111</t>
    <phoneticPr fontId="3" type="noConversion"/>
  </si>
  <si>
    <t>0250111121</t>
    <phoneticPr fontId="3" type="noConversion"/>
  </si>
  <si>
    <t>0250111211</t>
    <phoneticPr fontId="3" type="noConversion"/>
  </si>
  <si>
    <t>0250112521</t>
    <phoneticPr fontId="3" type="noConversion"/>
  </si>
  <si>
    <t>01564L4001</t>
    <phoneticPr fontId="3" type="noConversion"/>
  </si>
  <si>
    <t>01564C4001</t>
    <phoneticPr fontId="3" type="noConversion"/>
  </si>
  <si>
    <t>L015566G02001</t>
    <phoneticPr fontId="3" type="noConversion"/>
  </si>
  <si>
    <t>01556D300F</t>
    <phoneticPr fontId="3" type="noConversion"/>
  </si>
  <si>
    <t>01556H1001</t>
    <phoneticPr fontId="3" type="noConversion"/>
  </si>
  <si>
    <t>01556C00A1</t>
    <phoneticPr fontId="3" type="noConversion"/>
  </si>
  <si>
    <t>02891A5007</t>
    <phoneticPr fontId="3" type="noConversion"/>
  </si>
  <si>
    <t>05500S4601</t>
    <phoneticPr fontId="3" type="noConversion"/>
  </si>
  <si>
    <t>028915WE13</t>
    <phoneticPr fontId="3" type="noConversion"/>
  </si>
  <si>
    <t>0289250007</t>
    <phoneticPr fontId="3" type="noConversion"/>
  </si>
  <si>
    <t>0289205007</t>
    <phoneticPr fontId="3" type="noConversion"/>
  </si>
  <si>
    <t>E000009A00002</t>
    <phoneticPr fontId="3" type="noConversion"/>
  </si>
  <si>
    <t>備註</t>
    <phoneticPr fontId="28" type="noConversion"/>
  </si>
  <si>
    <t>側溝長度</t>
    <phoneticPr fontId="3" type="noConversion"/>
  </si>
  <si>
    <t>銑鋪範圍≦200m2</t>
    <phoneticPr fontId="3" type="noConversion"/>
  </si>
  <si>
    <t>抽水機時數以每日2小時*工期/2</t>
    <phoneticPr fontId="3" type="noConversion"/>
  </si>
  <si>
    <t>操作手，重機械</t>
    <phoneticPr fontId="3" type="noConversion"/>
  </si>
  <si>
    <t>灑水車，8.0-8.9m3</t>
    <phoneticPr fontId="3" type="noConversion"/>
  </si>
  <si>
    <t>駕駛，小貨車</t>
    <phoneticPr fontId="3" type="noConversion"/>
  </si>
  <si>
    <t>輪式鏟裝車</t>
    <phoneticPr fontId="3" type="noConversion"/>
  </si>
  <si>
    <t>操作手，重機械</t>
    <phoneticPr fontId="3" type="noConversion"/>
  </si>
  <si>
    <t>停車場出入口</t>
    <phoneticPr fontId="3" type="noConversion"/>
  </si>
  <si>
    <t>吊卡車，15米-噸</t>
    <phoneticPr fontId="3" type="noConversion"/>
  </si>
  <si>
    <t>操作手，重機械</t>
    <phoneticPr fontId="3" type="noConversion"/>
  </si>
  <si>
    <t>開挖機，0.70-0.79m3</t>
    <phoneticPr fontId="3" type="noConversion"/>
  </si>
  <si>
    <t>施工費＜25萬元</t>
    <phoneticPr fontId="3" type="noConversion"/>
  </si>
  <si>
    <t>餘方自行處理(含水土保持)，總重8-8.9t傾卸貨車</t>
    <phoneticPr fontId="3" type="noConversion"/>
  </si>
  <si>
    <t>結構用混凝土，預拌，280kgf/cm2</t>
    <phoneticPr fontId="3" type="noConversion"/>
  </si>
  <si>
    <t>結構用混凝土，機拌，210kgf/cm2</t>
    <phoneticPr fontId="3" type="noConversion"/>
  </si>
  <si>
    <t>義交人員，每日8小時*工期/2</t>
    <phoneticPr fontId="3" type="noConversion"/>
  </si>
  <si>
    <t>圍排水之砂包以溝寬*溝深*0.4</t>
    <phoneticPr fontId="3" type="noConversion"/>
  </si>
  <si>
    <t>圍水，砂包堆置</t>
    <phoneticPr fontId="3" type="noConversion"/>
  </si>
  <si>
    <t>L000005301021</t>
    <phoneticPr fontId="3" type="noConversion"/>
  </si>
  <si>
    <t>E000002500BA1</t>
    <phoneticPr fontId="3" type="noConversion"/>
  </si>
  <si>
    <t>E000003400001</t>
    <phoneticPr fontId="3" type="noConversion"/>
  </si>
  <si>
    <t>032100E3GB</t>
    <phoneticPr fontId="3" type="noConversion"/>
  </si>
  <si>
    <t>032100E7GB</t>
    <phoneticPr fontId="3" type="noConversion"/>
  </si>
  <si>
    <t>02472PWD04301</t>
    <phoneticPr fontId="3" type="noConversion"/>
  </si>
  <si>
    <t>0225514811</t>
    <phoneticPr fontId="3" type="noConversion"/>
  </si>
  <si>
    <t>0225540921</t>
    <phoneticPr fontId="3" type="noConversion"/>
  </si>
  <si>
    <t>02255300V1</t>
    <phoneticPr fontId="3" type="noConversion"/>
  </si>
  <si>
    <t>02255400U1</t>
    <phoneticPr fontId="3" type="noConversion"/>
  </si>
  <si>
    <t>02386PWDA1302</t>
    <phoneticPr fontId="3" type="noConversion"/>
  </si>
  <si>
    <t>026108F03H</t>
    <phoneticPr fontId="3" type="noConversion"/>
  </si>
  <si>
    <t>026102L321</t>
    <phoneticPr fontId="3" type="noConversion"/>
  </si>
  <si>
    <t>026102M321</t>
    <phoneticPr fontId="3" type="noConversion"/>
  </si>
  <si>
    <t>026102P321</t>
    <phoneticPr fontId="3" type="noConversion"/>
  </si>
  <si>
    <t>026102R321</t>
    <phoneticPr fontId="3" type="noConversion"/>
  </si>
  <si>
    <t>026100BB0H</t>
    <phoneticPr fontId="3" type="noConversion"/>
  </si>
  <si>
    <t>026100BD0H</t>
    <phoneticPr fontId="3" type="noConversion"/>
  </si>
  <si>
    <t>026100BF0H</t>
    <phoneticPr fontId="3" type="noConversion"/>
  </si>
  <si>
    <t>026100BG0H</t>
    <phoneticPr fontId="3" type="noConversion"/>
  </si>
  <si>
    <t>026100BH0H</t>
    <phoneticPr fontId="3" type="noConversion"/>
  </si>
  <si>
    <t>026100BJ0H</t>
    <phoneticPr fontId="3" type="noConversion"/>
  </si>
  <si>
    <t>026100BL0H</t>
    <phoneticPr fontId="3" type="noConversion"/>
  </si>
  <si>
    <t>02610PWD0A441</t>
    <phoneticPr fontId="3" type="noConversion"/>
  </si>
  <si>
    <t>02610PWD0A551</t>
    <phoneticPr fontId="3" type="noConversion"/>
  </si>
  <si>
    <t>03150231C1</t>
    <phoneticPr fontId="3" type="noConversion"/>
  </si>
  <si>
    <t>034006100A</t>
    <phoneticPr fontId="3" type="noConversion"/>
  </si>
  <si>
    <t>034006300A</t>
    <phoneticPr fontId="3" type="noConversion"/>
  </si>
  <si>
    <t>034006700A</t>
    <phoneticPr fontId="3" type="noConversion"/>
  </si>
  <si>
    <t>034003312A</t>
    <phoneticPr fontId="3" type="noConversion"/>
  </si>
  <si>
    <t>034003122A</t>
    <phoneticPr fontId="3" type="noConversion"/>
  </si>
  <si>
    <t>034003322A</t>
    <phoneticPr fontId="3" type="noConversion"/>
  </si>
  <si>
    <t>034004212A</t>
    <phoneticPr fontId="3" type="noConversion"/>
  </si>
  <si>
    <t>03400M102A</t>
    <phoneticPr fontId="3" type="noConversion"/>
  </si>
  <si>
    <t>055626021C</t>
    <phoneticPr fontId="3" type="noConversion"/>
  </si>
  <si>
    <t>06100M000B</t>
    <phoneticPr fontId="3" type="noConversion"/>
  </si>
  <si>
    <t>M06060B00SB</t>
    <phoneticPr fontId="3" type="noConversion"/>
  </si>
  <si>
    <t>02631N202B</t>
    <phoneticPr fontId="3" type="noConversion"/>
  </si>
  <si>
    <t>02631N101B</t>
    <phoneticPr fontId="3" type="noConversion"/>
  </si>
  <si>
    <t>02631N102B</t>
    <phoneticPr fontId="3" type="noConversion"/>
  </si>
  <si>
    <t>02631N301B</t>
    <phoneticPr fontId="3" type="noConversion"/>
  </si>
  <si>
    <t>02610ZT002</t>
    <phoneticPr fontId="3" type="noConversion"/>
  </si>
  <si>
    <t>028432A001</t>
    <phoneticPr fontId="3" type="noConversion"/>
  </si>
  <si>
    <t>028432B001</t>
    <phoneticPr fontId="3" type="noConversion"/>
  </si>
  <si>
    <t>028432C001</t>
    <phoneticPr fontId="3" type="noConversion"/>
  </si>
  <si>
    <t>028432D001</t>
    <phoneticPr fontId="3" type="noConversion"/>
  </si>
  <si>
    <t>151072DF0011</t>
    <phoneticPr fontId="3" type="noConversion"/>
  </si>
  <si>
    <t>151072EH0011</t>
    <phoneticPr fontId="3" type="noConversion"/>
  </si>
  <si>
    <t>151072FK0011</t>
    <phoneticPr fontId="3" type="noConversion"/>
  </si>
  <si>
    <t>151072GN0011</t>
    <phoneticPr fontId="3" type="noConversion"/>
  </si>
  <si>
    <t>151072JR0011</t>
    <phoneticPr fontId="3" type="noConversion"/>
  </si>
  <si>
    <t>0154011102</t>
    <phoneticPr fontId="3" type="noConversion"/>
  </si>
  <si>
    <t>0154011202</t>
    <phoneticPr fontId="3" type="noConversion"/>
  </si>
  <si>
    <t>01532AB002</t>
    <phoneticPr fontId="3" type="noConversion"/>
  </si>
  <si>
    <t>05500h0R0A</t>
    <phoneticPr fontId="3" type="noConversion"/>
  </si>
  <si>
    <t>05500f4R0A</t>
    <phoneticPr fontId="3" type="noConversion"/>
  </si>
  <si>
    <t>05500FAA14</t>
    <phoneticPr fontId="3" type="noConversion"/>
  </si>
  <si>
    <t>05500FAB14</t>
    <phoneticPr fontId="3" type="noConversion"/>
  </si>
  <si>
    <t>02233A0002</t>
    <phoneticPr fontId="3" type="noConversion"/>
  </si>
  <si>
    <t>02234A0001</t>
    <phoneticPr fontId="3" type="noConversion"/>
  </si>
  <si>
    <t>029351C32A</t>
    <phoneticPr fontId="3" type="noConversion"/>
  </si>
  <si>
    <t>02234A0002</t>
    <phoneticPr fontId="3" type="noConversion"/>
  </si>
  <si>
    <t>02240B100D</t>
    <phoneticPr fontId="3" type="noConversion"/>
  </si>
  <si>
    <t>02240B200D</t>
    <phoneticPr fontId="3" type="noConversion"/>
  </si>
  <si>
    <t>01271AB101</t>
    <phoneticPr fontId="3" type="noConversion"/>
  </si>
  <si>
    <t>01510522BD</t>
    <phoneticPr fontId="3" type="noConversion"/>
  </si>
  <si>
    <t>01510532BD</t>
    <phoneticPr fontId="3" type="noConversion"/>
  </si>
  <si>
    <t>01572D0007</t>
    <phoneticPr fontId="3" type="noConversion"/>
  </si>
  <si>
    <t>050900GGCA</t>
    <phoneticPr fontId="3" type="noConversion"/>
  </si>
  <si>
    <t>050900MH0A</t>
    <phoneticPr fontId="3" type="noConversion"/>
  </si>
  <si>
    <t>M0556210008</t>
    <phoneticPr fontId="3" type="noConversion"/>
  </si>
  <si>
    <t>M050900M80A</t>
    <phoneticPr fontId="3" type="noConversion"/>
  </si>
  <si>
    <t>03400B0007</t>
    <phoneticPr fontId="3" type="noConversion"/>
  </si>
  <si>
    <t>03400X000A</t>
    <phoneticPr fontId="3" type="noConversion"/>
  </si>
  <si>
    <t>03400Y000A</t>
    <phoneticPr fontId="3" type="noConversion"/>
  </si>
  <si>
    <t>022180A005</t>
    <phoneticPr fontId="3" type="noConversion"/>
  </si>
  <si>
    <t>012714000A</t>
    <phoneticPr fontId="3" type="noConversion"/>
  </si>
  <si>
    <t>012714100A</t>
    <phoneticPr fontId="3" type="noConversion"/>
  </si>
  <si>
    <t>0151111021</t>
    <phoneticPr fontId="3" type="noConversion"/>
  </si>
  <si>
    <t>0221071123</t>
    <phoneticPr fontId="3" type="noConversion"/>
  </si>
  <si>
    <t>0221092202</t>
    <phoneticPr fontId="3" type="noConversion"/>
  </si>
  <si>
    <t>0151113021</t>
    <phoneticPr fontId="3" type="noConversion"/>
  </si>
  <si>
    <t>02742000S3</t>
    <phoneticPr fontId="3" type="noConversion"/>
  </si>
  <si>
    <t>0274200BS3</t>
    <phoneticPr fontId="3" type="noConversion"/>
  </si>
  <si>
    <t>0274200NS3</t>
    <phoneticPr fontId="3" type="noConversion"/>
  </si>
  <si>
    <t>027420BNS3</t>
    <phoneticPr fontId="3" type="noConversion"/>
  </si>
  <si>
    <t>02742040B3</t>
    <phoneticPr fontId="3" type="noConversion"/>
  </si>
  <si>
    <t>0250111221</t>
    <phoneticPr fontId="3" type="noConversion"/>
  </si>
  <si>
    <t>0250111311</t>
    <phoneticPr fontId="3" type="noConversion"/>
  </si>
  <si>
    <t>0250111321</t>
    <phoneticPr fontId="3" type="noConversion"/>
  </si>
  <si>
    <t>0250112411</t>
    <phoneticPr fontId="3" type="noConversion"/>
  </si>
  <si>
    <t>0250112421</t>
    <phoneticPr fontId="3" type="noConversion"/>
  </si>
  <si>
    <t>0250112511</t>
    <phoneticPr fontId="3" type="noConversion"/>
  </si>
  <si>
    <t>01725W0B5D</t>
    <phoneticPr fontId="3" type="noConversion"/>
  </si>
  <si>
    <t>013210000B</t>
    <phoneticPr fontId="3" type="noConversion"/>
  </si>
  <si>
    <t>013210100b</t>
    <phoneticPr fontId="3" type="noConversion"/>
  </si>
  <si>
    <t>015640B002</t>
    <phoneticPr fontId="3" type="noConversion"/>
  </si>
  <si>
    <t>01510B000G</t>
    <phoneticPr fontId="3" type="noConversion"/>
  </si>
  <si>
    <t>L015566G01001</t>
    <phoneticPr fontId="3" type="noConversion"/>
  </si>
  <si>
    <t>05500p4008</t>
    <phoneticPr fontId="3" type="noConversion"/>
  </si>
  <si>
    <t>02899#B001</t>
    <phoneticPr fontId="3" type="noConversion"/>
  </si>
  <si>
    <t>0289821302</t>
    <phoneticPr fontId="3" type="noConversion"/>
  </si>
  <si>
    <t>E000009A00022</t>
    <phoneticPr fontId="3" type="noConversion"/>
  </si>
  <si>
    <t>油漆，一底二度，耐候性油漆塗佈</t>
  </si>
  <si>
    <t>標線，熱處理聚酯，反光，厚2mm，第Ⅱ型，12公尺以下道路及零星路段繪設</t>
  </si>
  <si>
    <t>臺北市政府工務局水利工程處</t>
  </si>
  <si>
    <t>單 價 分 析 表</t>
  </si>
  <si>
    <t>施工地點：臺北市中山、松山區</t>
  </si>
  <si>
    <t>項  目  及  說  明</t>
  </si>
  <si>
    <t>單  價</t>
  </si>
  <si>
    <t>複  價</t>
  </si>
  <si>
    <t>備  註</t>
  </si>
  <si>
    <t xml:space="preserve"> </t>
  </si>
  <si>
    <t>分析表1</t>
  </si>
  <si>
    <t>機械拆除，鋼筋混凝土，未含運費</t>
  </si>
  <si>
    <t xml:space="preserve">0222010E23
</t>
  </si>
  <si>
    <t xml:space="preserve">
</t>
  </si>
  <si>
    <t>開挖機，70~79KW，(作為破碎機用)</t>
  </si>
  <si>
    <t>時</t>
  </si>
  <si>
    <t xml:space="preserve">E000004400711
</t>
  </si>
  <si>
    <t>開挖機，0.70~0.79m3</t>
  </si>
  <si>
    <t xml:space="preserve">E000004407001
</t>
  </si>
  <si>
    <t>零星工料</t>
  </si>
  <si>
    <t xml:space="preserve">W0127110004
</t>
  </si>
  <si>
    <t xml:space="preserve">  ** 小計 **</t>
  </si>
  <si>
    <t xml:space="preserve">  ** 單價計 **</t>
  </si>
  <si>
    <t>分析表2</t>
  </si>
  <si>
    <t>機械拆除，無筋混凝土，未含運費</t>
  </si>
  <si>
    <t xml:space="preserve">0222010423
</t>
  </si>
  <si>
    <t>分析表3</t>
  </si>
  <si>
    <t>基地及路幅開挖，硬岩，(機械挖，手提鑿岩機配合開挖機)，未含運費</t>
  </si>
  <si>
    <t xml:space="preserve">023215F00A
</t>
  </si>
  <si>
    <t>空氣壓縮機，170~179CFM</t>
  </si>
  <si>
    <t xml:space="preserve">E5118YJ#0S1
</t>
  </si>
  <si>
    <t>機具不分類，鑿岩機，手提式</t>
  </si>
  <si>
    <t xml:space="preserve">E0000010M1001
</t>
  </si>
  <si>
    <t>操作手，空氣壓縮機</t>
  </si>
  <si>
    <t xml:space="preserve">L0000051000G1
</t>
  </si>
  <si>
    <t>操作手，鑿岩機</t>
  </si>
  <si>
    <t xml:space="preserve">L0000051000J1
</t>
  </si>
  <si>
    <t>分析表4</t>
  </si>
  <si>
    <t>基地及路幅開挖，未含運費，(機械挖，0.7～0.79m3開挖機)</t>
  </si>
  <si>
    <t xml:space="preserve">02321PWD05AB1
</t>
  </si>
  <si>
    <t>分析表5</t>
  </si>
  <si>
    <t>人工拆除，無筋混凝土，含裝車未含運費</t>
  </si>
  <si>
    <t xml:space="preserve">0222020433
</t>
  </si>
  <si>
    <t>工具損耗</t>
  </si>
  <si>
    <t xml:space="preserve">W0127120004
</t>
  </si>
  <si>
    <t>分析表6</t>
  </si>
  <si>
    <t>基地及路幅開挖，軟岩，人工挖，含裝車未含運費</t>
  </si>
  <si>
    <t xml:space="preserve">023214D00A
</t>
  </si>
  <si>
    <t>分析表7</t>
  </si>
  <si>
    <t>基地及路幅開挖，軟岩，(機械挖，手提鑿岩機配合開挖機)，未含運費</t>
  </si>
  <si>
    <t xml:space="preserve">023214F00A
</t>
  </si>
  <si>
    <t>分析表8</t>
  </si>
  <si>
    <t>基地及路幅開挖，硬岩，人工挖，含裝車未含運費</t>
  </si>
  <si>
    <t xml:space="preserve">023215D00A
</t>
  </si>
  <si>
    <t>分析表9</t>
  </si>
  <si>
    <t>0222020E03
經機關核定每日施工期間未達7小時適用</t>
  </si>
  <si>
    <t>分析表10</t>
  </si>
  <si>
    <t>0222020403
經機關核定每日施工期間未達7小時適用</t>
  </si>
  <si>
    <t>分析表11</t>
  </si>
  <si>
    <t>0222010403
經機關核定每日施工期間未達7小時適用</t>
  </si>
  <si>
    <t>分析表12</t>
  </si>
  <si>
    <t>0222010E03
經機關核定每日施工期間未達7小時適用</t>
  </si>
  <si>
    <t>分析表13</t>
  </si>
  <si>
    <t>023214D10A
經機關核定每日施工期間未達7小時適用</t>
  </si>
  <si>
    <t>分析表14</t>
  </si>
  <si>
    <t>023214F01A
經機關核定每日施工期間未達7小時適用</t>
  </si>
  <si>
    <t>分析表15</t>
  </si>
  <si>
    <t>023215D10A
經機關核定每日施工期間未達7小時適用</t>
  </si>
  <si>
    <t>分析表16</t>
  </si>
  <si>
    <t>023215F01A
經機關核定每日施工期間未達7小時適用</t>
  </si>
  <si>
    <t>分析表17</t>
  </si>
  <si>
    <t>023210E00A
經機關核定每日施工期間未達7小時適用</t>
  </si>
  <si>
    <t>分析表18</t>
  </si>
  <si>
    <t>構造物開挖，(人工挖，未含抽水)，未含運費(含裝車)</t>
  </si>
  <si>
    <t>0231601Z6A
經機關核定每日施工期間未達7小時適用</t>
  </si>
  <si>
    <t>分析表19</t>
  </si>
  <si>
    <t xml:space="preserve">0222020E33
</t>
  </si>
  <si>
    <t>分析表20</t>
  </si>
  <si>
    <t>機械拆除，預鑄溝蓋板，未含運費</t>
  </si>
  <si>
    <t xml:space="preserve">022201E201
</t>
  </si>
  <si>
    <t>分析表21</t>
  </si>
  <si>
    <t>0222010E01
經機關核定每日施工期間未達7小時適用</t>
  </si>
  <si>
    <t>分析表22</t>
  </si>
  <si>
    <t>瀝青混凝土面層刨除，刨除料運費</t>
  </si>
  <si>
    <t xml:space="preserve">0296103003
</t>
  </si>
  <si>
    <t>傾卸貨車，總重15-15.9t</t>
  </si>
  <si>
    <t xml:space="preserve">E000003415001
</t>
  </si>
  <si>
    <t>駕駛，大貨車</t>
  </si>
  <si>
    <t>分析表23</t>
  </si>
  <si>
    <t>0296103023
經機關核定每日施工期間未達7小時適用</t>
  </si>
  <si>
    <t>分析表24</t>
  </si>
  <si>
    <t>浚挖，河道清疏【岸邊作業】</t>
  </si>
  <si>
    <t xml:space="preserve">02325C0001
</t>
  </si>
  <si>
    <t>推土機，60~69KW</t>
  </si>
  <si>
    <t xml:space="preserve">E000004100601
</t>
  </si>
  <si>
    <t>浚挖小搬運費</t>
  </si>
  <si>
    <t xml:space="preserve">02325PWD00004
</t>
  </si>
  <si>
    <t>分析表25</t>
  </si>
  <si>
    <t>浚挖，箱涵及涵管</t>
  </si>
  <si>
    <t xml:space="preserve">023250A00A
</t>
  </si>
  <si>
    <t>浚挖，人工開挖</t>
  </si>
  <si>
    <t xml:space="preserve">023250C00A
</t>
  </si>
  <si>
    <t>浚挖，間隔土打除，含小搬運</t>
  </si>
  <si>
    <t xml:space="preserve">023250D00A
</t>
  </si>
  <si>
    <t>浚挖，廢方人工裝車</t>
  </si>
  <si>
    <t xml:space="preserve">023250E00A
</t>
  </si>
  <si>
    <t>分析表26</t>
  </si>
  <si>
    <t>浚挖，水中作業</t>
  </si>
  <si>
    <t xml:space="preserve">023250500A
</t>
  </si>
  <si>
    <t>浚挖，挖方船機，浮筒組裝及拆除費</t>
  </si>
  <si>
    <t xml:space="preserve">0232508044
</t>
  </si>
  <si>
    <t>浚挖，挖方船機，使用費</t>
  </si>
  <si>
    <t>船月</t>
  </si>
  <si>
    <t xml:space="preserve">023250805B
</t>
  </si>
  <si>
    <t>浚挖，運土船機，浮筒組裝及拆除費</t>
  </si>
  <si>
    <t xml:space="preserve">0232509044
</t>
  </si>
  <si>
    <t>浚挖，運土船機，使用費</t>
  </si>
  <si>
    <t xml:space="preserve">023250905B
</t>
  </si>
  <si>
    <t>水深測量，河川，測深記錄</t>
  </si>
  <si>
    <t xml:space="preserve">0172600334
</t>
  </si>
  <si>
    <t>分析表27</t>
  </si>
  <si>
    <t>浚挖，側溝、明溝及連接管</t>
  </si>
  <si>
    <t xml:space="preserve">023250B001
</t>
  </si>
  <si>
    <t>分析表28</t>
  </si>
  <si>
    <t>清除，高壓水清洗</t>
  </si>
  <si>
    <t xml:space="preserve">02234W0002
</t>
  </si>
  <si>
    <t>清洗機，(高壓，泵浦壓力須達2610 psi）</t>
  </si>
  <si>
    <t xml:space="preserve">E3535PWDX30101
</t>
  </si>
  <si>
    <t>清除，高壓水沖洗，發電機設備及清潔用品</t>
  </si>
  <si>
    <t xml:space="preserve">02234W00Y4
</t>
  </si>
  <si>
    <t>分析表29</t>
  </si>
  <si>
    <t xml:space="preserve">02233A1003
</t>
  </si>
  <si>
    <t>小搬運，施工材料及廢棄物搬運，搬運工具及配件</t>
  </si>
  <si>
    <t xml:space="preserve">W0127160004
</t>
  </si>
  <si>
    <t xml:space="preserve">W0127111004
</t>
  </si>
  <si>
    <t>分析表30</t>
  </si>
  <si>
    <t>基地及路堤填築</t>
  </si>
  <si>
    <t xml:space="preserve">023310000B
</t>
  </si>
  <si>
    <t>推土機，120~129KW</t>
  </si>
  <si>
    <t xml:space="preserve">E000004101201
</t>
  </si>
  <si>
    <t>鐵輪壓路機，自走式振動，8~10t</t>
  </si>
  <si>
    <t xml:space="preserve">E000006732001
</t>
  </si>
  <si>
    <t>膠輪壓路機，8~20t</t>
  </si>
  <si>
    <t xml:space="preserve">E000006608001
</t>
  </si>
  <si>
    <t>灑水車，8.0~8.9m3</t>
  </si>
  <si>
    <t xml:space="preserve">E000002880001
</t>
  </si>
  <si>
    <t>抽水機，箱涵用</t>
  </si>
  <si>
    <t xml:space="preserve">E5118PWDXJ#101
</t>
  </si>
  <si>
    <t>駕駛，灑水車</t>
  </si>
  <si>
    <t xml:space="preserve">L000005300031
</t>
  </si>
  <si>
    <t>操作手，抽水機</t>
  </si>
  <si>
    <t xml:space="preserve">L0000051000F1
</t>
  </si>
  <si>
    <t>基地及路堤填築，調整含水量處理</t>
  </si>
  <si>
    <t xml:space="preserve">023310001B
</t>
  </si>
  <si>
    <t>分析表31</t>
  </si>
  <si>
    <t>構造物回填，回填及夯實(實際)</t>
  </si>
  <si>
    <t xml:space="preserve">023174000A
</t>
  </si>
  <si>
    <t>回填土搗固機</t>
  </si>
  <si>
    <t xml:space="preserve">E000005800001
</t>
  </si>
  <si>
    <t>分析表32</t>
  </si>
  <si>
    <t>利用填方，含夯實</t>
  </si>
  <si>
    <t xml:space="preserve">02931BDD101
</t>
  </si>
  <si>
    <t>分析表33</t>
  </si>
  <si>
    <t>02323400003
每日產出餘土量≤2M3使用</t>
  </si>
  <si>
    <t>小型貨車，總重3~3.9t</t>
  </si>
  <si>
    <t xml:space="preserve">E000003903001
</t>
  </si>
  <si>
    <t>駕駛，小貨車</t>
  </si>
  <si>
    <t xml:space="preserve">L000005300161
</t>
  </si>
  <si>
    <t>棄土區費用(含水土保持)</t>
  </si>
  <si>
    <t xml:space="preserve">02323A000A
</t>
  </si>
  <si>
    <t>分析表34</t>
  </si>
  <si>
    <t>餘方自行處理(含水土保持)，總重8-8.9t傾卸貨車</t>
  </si>
  <si>
    <t>傾卸貨車，總重8-8.9t</t>
  </si>
  <si>
    <t xml:space="preserve">E000003400001
</t>
  </si>
  <si>
    <t>駕駛，傾卸貨車</t>
  </si>
  <si>
    <t xml:space="preserve">L000005300011
</t>
  </si>
  <si>
    <t>分析表35</t>
  </si>
  <si>
    <t xml:space="preserve">023234004A
</t>
  </si>
  <si>
    <t>分析表36</t>
  </si>
  <si>
    <t>餘方自行處理(含水土保持)，總重35t傾卸貨車</t>
  </si>
  <si>
    <t xml:space="preserve">023234006A
</t>
  </si>
  <si>
    <t>傾卸貨車，總重35-35.9t</t>
  </si>
  <si>
    <t xml:space="preserve">E000003435001
</t>
  </si>
  <si>
    <t>分析表37</t>
  </si>
  <si>
    <t>餘方遠運利用(指定他標工地)</t>
  </si>
  <si>
    <t>023232000A
無棄土費用</t>
  </si>
  <si>
    <t>分析表38</t>
  </si>
  <si>
    <t>餘方自行處理(房屋廢方，含水土保持)</t>
  </si>
  <si>
    <t xml:space="preserve">02323PWD0A001
</t>
  </si>
  <si>
    <t>棄土區費用(含水土保持)，土棧場(修建工程廢棄物用)</t>
  </si>
  <si>
    <t xml:space="preserve">02323PWDA0101
</t>
  </si>
  <si>
    <t>分析表39</t>
  </si>
  <si>
    <t>泥漿運棄及處理</t>
  </si>
  <si>
    <t xml:space="preserve">02323H0003
</t>
  </si>
  <si>
    <t>罐車，總重35~35.9t，裝泥漿用</t>
  </si>
  <si>
    <t xml:space="preserve">E000003A35011
</t>
  </si>
  <si>
    <t>泥漿處理</t>
  </si>
  <si>
    <t xml:space="preserve">02323F0003
</t>
  </si>
  <si>
    <t>分析表40</t>
  </si>
  <si>
    <t>路基整理</t>
  </si>
  <si>
    <t xml:space="preserve">0233600002
</t>
  </si>
  <si>
    <t>鐵輪壓路機，三輪自走式，10~12t</t>
  </si>
  <si>
    <t xml:space="preserve">E000006723001
</t>
  </si>
  <si>
    <t>臨時設施，工程用水</t>
  </si>
  <si>
    <t xml:space="preserve">0151090004
</t>
  </si>
  <si>
    <t>分析表41</t>
  </si>
  <si>
    <t>級配粒料底層，碎石級配</t>
  </si>
  <si>
    <t xml:space="preserve">027261000B
</t>
  </si>
  <si>
    <t>產品，級配粒料底層，碎石級配</t>
  </si>
  <si>
    <t>L.M3</t>
  </si>
  <si>
    <t xml:space="preserve">M027261000A
</t>
  </si>
  <si>
    <t>鐵輪壓路機，自走式振動，20~22t</t>
  </si>
  <si>
    <t xml:space="preserve">E000006738001
</t>
  </si>
  <si>
    <t>機動平土機，100~109kw</t>
  </si>
  <si>
    <t xml:space="preserve">E000005701001
</t>
  </si>
  <si>
    <t>領班</t>
  </si>
  <si>
    <t xml:space="preserve">L000004000001
</t>
  </si>
  <si>
    <t>分析表42</t>
  </si>
  <si>
    <t>選擇性回填材料，透水材料，碎石，用於構造物背填</t>
  </si>
  <si>
    <t xml:space="preserve">02319130BA
</t>
  </si>
  <si>
    <t>產品，選擇性回填材料，透水材料，碎石</t>
  </si>
  <si>
    <t xml:space="preserve">M023191300B
</t>
  </si>
  <si>
    <t>分析表43</t>
  </si>
  <si>
    <t>選擇性回填材料，透水材料，卵石，用於構造物背填</t>
  </si>
  <si>
    <t xml:space="preserve">02319140BA
</t>
  </si>
  <si>
    <t>產品，選擇性回填材料，透水材料，卵石</t>
  </si>
  <si>
    <t xml:space="preserve">M023191400B
</t>
  </si>
  <si>
    <t>分析表44</t>
  </si>
  <si>
    <t>瀝青透層，中凝油溶瀝青，MC-70</t>
  </si>
  <si>
    <t xml:space="preserve">0274512002
</t>
  </si>
  <si>
    <t>產品，瀝青透層，中凝油溶瀝青，MC-70</t>
  </si>
  <si>
    <t xml:space="preserve">M0274512009
</t>
  </si>
  <si>
    <t>液化瀝青灑佈機</t>
  </si>
  <si>
    <t xml:space="preserve">E000006100001
</t>
  </si>
  <si>
    <t>瀝青黏層，拌和廠保溫設備及加溫等(黏層用)</t>
  </si>
  <si>
    <t xml:space="preserve">0274700019
</t>
  </si>
  <si>
    <t>分析表45</t>
  </si>
  <si>
    <t>瀝青黏層，快凝油溶瀝青，RC-70</t>
  </si>
  <si>
    <t xml:space="preserve">0274711002
</t>
  </si>
  <si>
    <t>產品，瀝青黏層，快凝油溶瀝青，RC-70</t>
  </si>
  <si>
    <t xml:space="preserve">M0274711009
</t>
  </si>
  <si>
    <t>分析表46</t>
  </si>
  <si>
    <t>瀝青混凝土舖面，粗粒料9.5mm，黏度AC(1)-20</t>
  </si>
  <si>
    <t xml:space="preserve">0274205303
</t>
  </si>
  <si>
    <t>產品，瀝青混凝土舖面，密級配，粗粒料9.5mm，黏度AC(1)-20</t>
  </si>
  <si>
    <t xml:space="preserve">M0274295303
</t>
  </si>
  <si>
    <t xml:space="preserve">02742000A3
</t>
  </si>
  <si>
    <t>瀝青混凝土舖面，邊模等零星器材費</t>
  </si>
  <si>
    <t xml:space="preserve">02742000F3
</t>
  </si>
  <si>
    <t>分析表47</t>
  </si>
  <si>
    <t>瀝青混凝土舖面，粗粒料19.0mm，黏度AC(1)-20</t>
  </si>
  <si>
    <t xml:space="preserve">0274203303
</t>
  </si>
  <si>
    <t>產品，瀝青混凝土舖面，密級配，粗粒料19.0mm，黏度AC(1)-20</t>
  </si>
  <si>
    <t xml:space="preserve">M0274293303
</t>
  </si>
  <si>
    <t>分析表48</t>
  </si>
  <si>
    <t>產品，瀝青混凝土舖面，粗粒料9.5mm，黏度AC(1)-20</t>
  </si>
  <si>
    <t xml:space="preserve">M0274205303
</t>
  </si>
  <si>
    <t>0274200BA3
零星工程用</t>
  </si>
  <si>
    <t>分析表49</t>
  </si>
  <si>
    <t>產品，瀝青混凝土舖面，粗粒料19.0mm，黏度AC(1)-20</t>
  </si>
  <si>
    <t xml:space="preserve">M0274203303
</t>
  </si>
  <si>
    <t>分析表50</t>
  </si>
  <si>
    <t>密級配改質瀝青混凝土，粗粒料19 mm，改質Ⅲ型</t>
  </si>
  <si>
    <t xml:space="preserve">0279605303
</t>
  </si>
  <si>
    <t>產品，密級配改質瀝青混凝土鋪面，粗粒料19.0mm，改質Ⅲ型</t>
  </si>
  <si>
    <t xml:space="preserve">M0279605303
</t>
  </si>
  <si>
    <t>分析表51</t>
  </si>
  <si>
    <t>密級配改質瀝青混凝土，粗粒料19mm，改質Ⅲ型，零星工程用</t>
  </si>
  <si>
    <t xml:space="preserve">0279605313
</t>
  </si>
  <si>
    <t>分析表52</t>
  </si>
  <si>
    <t>多孔隙瀝青混凝土鋪面</t>
  </si>
  <si>
    <t xml:space="preserve">0279800003
</t>
  </si>
  <si>
    <t>產品，多孔隙瀝青混凝土鋪面</t>
  </si>
  <si>
    <t xml:space="preserve">M0279800003
</t>
  </si>
  <si>
    <t>分析表53</t>
  </si>
  <si>
    <t>再生瀝青混凝土鋪面，(密級配，30%回收料)，粗粒料9.5mm</t>
  </si>
  <si>
    <t xml:space="preserve">0296613003
</t>
  </si>
  <si>
    <t>產品，再生瀝青混凝土鋪面，(密級配，30%回收料)，粗粒料9.5mm</t>
  </si>
  <si>
    <t xml:space="preserve">M0296615003
</t>
  </si>
  <si>
    <t>分析表54</t>
  </si>
  <si>
    <t>再生瀝青混凝土鋪面，(密級配，30%回收料)，粗粒料9.5mm，零星工程用</t>
  </si>
  <si>
    <t xml:space="preserve">02966130B3
</t>
  </si>
  <si>
    <t>分析表55</t>
  </si>
  <si>
    <t>再生瀝青混凝土鋪面，(密級配，30%回收料)，粗粒料19.0mm</t>
  </si>
  <si>
    <t xml:space="preserve">0296615003
</t>
  </si>
  <si>
    <t>產品，再生瀝青混凝土鋪面，(密級配，30%回收料)，粗粒料19.0mm，黏度AC(1)-10</t>
  </si>
  <si>
    <t xml:space="preserve">M0296613203
</t>
  </si>
  <si>
    <t>分析表56</t>
  </si>
  <si>
    <t>再生瀝青混凝土鋪面，(密級配，30%回收料)，粗粒料19.0mm，零星工程用</t>
  </si>
  <si>
    <t xml:space="preserve">02966150B3
</t>
  </si>
  <si>
    <t>分析表57</t>
  </si>
  <si>
    <t>瀝青混凝土路面，樹脂混凝土，路面修補</t>
  </si>
  <si>
    <t xml:space="preserve">0295240003
</t>
  </si>
  <si>
    <t>產品，樹脂水泥</t>
  </si>
  <si>
    <t>L</t>
  </si>
  <si>
    <t xml:space="preserve">M0263114203
</t>
  </si>
  <si>
    <t>產品，選擇性回填材料，透水材料，碎石，10≦粒徑＜20cm</t>
  </si>
  <si>
    <t xml:space="preserve">M0231913033
</t>
  </si>
  <si>
    <t>泥水工</t>
  </si>
  <si>
    <t xml:space="preserve">L000005B00001
</t>
  </si>
  <si>
    <t>機具不分類，攪拌機，手提式</t>
  </si>
  <si>
    <t xml:space="preserve">E0000010J0004
</t>
  </si>
  <si>
    <t>分析表58</t>
  </si>
  <si>
    <t>瀝青混凝土面層刨除，厚5cm，刨除機1.2m寬，未含運費</t>
  </si>
  <si>
    <t xml:space="preserve">0296140332
</t>
  </si>
  <si>
    <t>瀝青混凝土刨除機，寬1.2m</t>
  </si>
  <si>
    <t xml:space="preserve">E000006310001
</t>
  </si>
  <si>
    <t>瀝青混凝土刨除機，刨除機刨刀損耗</t>
  </si>
  <si>
    <t>片</t>
  </si>
  <si>
    <t xml:space="preserve">E00000630100B
</t>
  </si>
  <si>
    <t>收料機(包括輸送帶)</t>
  </si>
  <si>
    <t xml:space="preserve">E3542PWDX30U01
</t>
  </si>
  <si>
    <t>清掃機</t>
  </si>
  <si>
    <t xml:space="preserve">E000003200001
</t>
  </si>
  <si>
    <t>駕駛，清掃機</t>
  </si>
  <si>
    <t xml:space="preserve">L000005300041
</t>
  </si>
  <si>
    <t>清潔工</t>
  </si>
  <si>
    <t xml:space="preserve">L000006500001
</t>
  </si>
  <si>
    <t>分析表59</t>
  </si>
  <si>
    <t>瀝青混凝土面層刨除，厚5cm，刨除機2.2m寬，未含運費</t>
  </si>
  <si>
    <t xml:space="preserve">0296140432
</t>
  </si>
  <si>
    <t>瀝青混凝土刨除機，寬2.2m</t>
  </si>
  <si>
    <t xml:space="preserve">E000006320001
</t>
  </si>
  <si>
    <t>分析表60</t>
  </si>
  <si>
    <t>瀝青混凝土面層刨除，厚10cm，刨除機1.2m寬，未含運費</t>
  </si>
  <si>
    <t xml:space="preserve">0296190332
</t>
  </si>
  <si>
    <t>分析表61</t>
  </si>
  <si>
    <t>瀝青混凝土面層刨除，厚10cm，刨除機2.2m寬，未含運費</t>
  </si>
  <si>
    <t xml:space="preserve">0296190432
</t>
  </si>
  <si>
    <t>分析表62</t>
  </si>
  <si>
    <t xml:space="preserve">02220PWD00021
</t>
  </si>
  <si>
    <t>機具不分類，混凝土割切機</t>
  </si>
  <si>
    <t xml:space="preserve">E0000010R0001
</t>
  </si>
  <si>
    <t>機具不分類，割切機鋸片損耗</t>
  </si>
  <si>
    <t xml:space="preserve">E0000010T0004
</t>
  </si>
  <si>
    <t>產品，臨時設施，工程用水</t>
  </si>
  <si>
    <t xml:space="preserve">M0151090004
</t>
  </si>
  <si>
    <t>分析表63</t>
  </si>
  <si>
    <t>切割瀝青混凝土或無筋混凝土，10cm≦切割深度</t>
  </si>
  <si>
    <t xml:space="preserve">02220PWD00031
</t>
  </si>
  <si>
    <t>分析表64</t>
  </si>
  <si>
    <t>混凝土勾縫切割處理(1cm寬)</t>
  </si>
  <si>
    <t xml:space="preserve">02220#0041
</t>
  </si>
  <si>
    <t>鑿除工</t>
  </si>
  <si>
    <t xml:space="preserve">L7121230001
</t>
  </si>
  <si>
    <t>分析表65</t>
  </si>
  <si>
    <t xml:space="preserve">0331023003
</t>
  </si>
  <si>
    <t>產品，預拌混凝土材料費，140kgf/cm2，第1型水泥</t>
  </si>
  <si>
    <t xml:space="preserve">M0305042103
</t>
  </si>
  <si>
    <t>混凝土作業工，澆置</t>
  </si>
  <si>
    <t xml:space="preserve">L000006900021
</t>
  </si>
  <si>
    <t>混凝土振動器</t>
  </si>
  <si>
    <t xml:space="preserve">E000003100004
</t>
  </si>
  <si>
    <t>混凝土養護</t>
  </si>
  <si>
    <t xml:space="preserve">0339000004
</t>
  </si>
  <si>
    <t>混凝土輸送設備</t>
  </si>
  <si>
    <t xml:space="preserve">E3532PWDX60104
</t>
  </si>
  <si>
    <t>分析表66</t>
  </si>
  <si>
    <t>結構用混凝土，預拌，175kgf/cm2</t>
  </si>
  <si>
    <t xml:space="preserve">0331024003
</t>
  </si>
  <si>
    <t>產品，預拌混凝土材料費，175kgf/cm2，第1型水泥</t>
  </si>
  <si>
    <t xml:space="preserve">M0305043103
</t>
  </si>
  <si>
    <t>分析表67</t>
  </si>
  <si>
    <t>結構用混凝土，預拌，210kgf/cm2</t>
  </si>
  <si>
    <t>0331025003
本項納入「水泥及其製品類」物價指數調整</t>
  </si>
  <si>
    <t>產品，預拌混凝土材料費，210kgf/cm2，第1型水泥</t>
  </si>
  <si>
    <t>M0305044103
本項納入「水泥及其製品類」物價指數調整</t>
  </si>
  <si>
    <t>分析表68</t>
  </si>
  <si>
    <t>結構用混凝土，預拌，245kgf/cm2</t>
  </si>
  <si>
    <t xml:space="preserve">0331026003
</t>
  </si>
  <si>
    <t>產品，預拌混凝土材料費，245kgf/cm2，第1型水泥</t>
  </si>
  <si>
    <t xml:space="preserve">M0305045103
</t>
  </si>
  <si>
    <t>分析表69</t>
  </si>
  <si>
    <t>產品，預拌混凝土材料費，280kgf/cm2，第1型水泥</t>
  </si>
  <si>
    <t>分析表70</t>
  </si>
  <si>
    <t>結構用混凝土，預拌，350kgf/cm2</t>
  </si>
  <si>
    <t xml:space="preserve">0331029003
</t>
  </si>
  <si>
    <t>產品，預拌混凝土材料費，350kgf/cm2，第1型水泥</t>
  </si>
  <si>
    <t xml:space="preserve">M0305048103
</t>
  </si>
  <si>
    <t>分析表71</t>
  </si>
  <si>
    <t>結構用混凝土，機拌，140kgf/cm2</t>
  </si>
  <si>
    <t>0331013003
本項零星工料包含鋼筋混凝土所需之墊塊費用</t>
  </si>
  <si>
    <t>產品，卜特蘭水泥，第1型水泥，袋裝，工地交貨</t>
  </si>
  <si>
    <t>包</t>
  </si>
  <si>
    <t xml:space="preserve">M030521140A
</t>
  </si>
  <si>
    <t>產品，粒料，粗粒料</t>
  </si>
  <si>
    <t xml:space="preserve">M030502100B
</t>
  </si>
  <si>
    <t>產品，粒料，細粒料</t>
  </si>
  <si>
    <t xml:space="preserve">M030502200B
</t>
  </si>
  <si>
    <t>混凝土作業工，攪和</t>
  </si>
  <si>
    <t xml:space="preserve">L000006900011
</t>
  </si>
  <si>
    <t>結構用混凝土，機拌，機電設備及動力</t>
  </si>
  <si>
    <t xml:space="preserve">03310PWD100b3
</t>
  </si>
  <si>
    <t>分析表72</t>
  </si>
  <si>
    <t>結構用混凝土，機拌，175kgf/cm2</t>
  </si>
  <si>
    <t>0331014003
本項零星工料包含鋼筋混凝土所需之墊塊費用</t>
  </si>
  <si>
    <t>分析表73</t>
  </si>
  <si>
    <t>結構用混凝土，機拌，210kgf/cm2</t>
  </si>
  <si>
    <t>0331015003
本項零星工料包含鋼筋混凝土所需之墊塊費用</t>
  </si>
  <si>
    <t>分析表74</t>
  </si>
  <si>
    <t>結構用混凝土，機拌，245kgf/cm2</t>
  </si>
  <si>
    <t>0331016003
本項零星工料包含鋼筋混凝土所需之墊塊費用</t>
  </si>
  <si>
    <t>分析表75</t>
  </si>
  <si>
    <t>結構用混凝土，385kgf/cm2，含附屬品及早強劑</t>
  </si>
  <si>
    <t>033100E0B3
本項零星工料包含鋼筋混凝土所需之墊塊費用</t>
  </si>
  <si>
    <t>產品，385kgf/cm2結構用混凝土，早強劑及無收縮化學摻料</t>
  </si>
  <si>
    <t xml:space="preserve">M03310Y9005
</t>
  </si>
  <si>
    <t>分析表76</t>
  </si>
  <si>
    <t>結構用透水混凝土，預拌，175kg/cm2</t>
  </si>
  <si>
    <t xml:space="preserve">030521#231
</t>
  </si>
  <si>
    <t>產品，結構用透水混凝土，預拌，175kg/cm2</t>
  </si>
  <si>
    <t xml:space="preserve">M030521#241
</t>
  </si>
  <si>
    <t xml:space="preserve">L000006400001
</t>
  </si>
  <si>
    <t>分析表77</t>
  </si>
  <si>
    <t>控制性低強度回填材料及澆置</t>
  </si>
  <si>
    <t>分析表78</t>
  </si>
  <si>
    <t>混凝土表面處理，磨飾面處理</t>
  </si>
  <si>
    <t xml:space="preserve">0336020002
</t>
  </si>
  <si>
    <t>工具損耗，含金鋼石等</t>
  </si>
  <si>
    <t xml:space="preserve">W01271200A4
</t>
  </si>
  <si>
    <t>分析表79</t>
  </si>
  <si>
    <t>清水模板，甲種</t>
  </si>
  <si>
    <t>0311021102
橋面</t>
  </si>
  <si>
    <t>產品，模板用木材，板材，損耗</t>
  </si>
  <si>
    <t>產品，模板用木材，割材及角材，損耗</t>
  </si>
  <si>
    <t xml:space="preserve">M0605024013
</t>
  </si>
  <si>
    <t>產品，合板</t>
  </si>
  <si>
    <t xml:space="preserve">M0605010002
</t>
  </si>
  <si>
    <t>產品，模板用支撐材料，橋面模板用</t>
  </si>
  <si>
    <t xml:space="preserve">M03110PWD0A24
</t>
  </si>
  <si>
    <t>產品，鐵釘，鍍鋅</t>
  </si>
  <si>
    <t xml:space="preserve">M0609011009
</t>
  </si>
  <si>
    <t>產品，金屬材料，鐵件，五金繫件</t>
  </si>
  <si>
    <t xml:space="preserve">M05060D4009
</t>
  </si>
  <si>
    <t>分析表80</t>
  </si>
  <si>
    <t>清水模板，乙種</t>
  </si>
  <si>
    <t>0311021202
場鑄結構混凝土用模板，(乙種，擋土牆，橋台，車行箱涵等)</t>
  </si>
  <si>
    <t>產品，模板用支撐材料，乙種模板用</t>
  </si>
  <si>
    <t xml:space="preserve">M03110PWD0A34
</t>
  </si>
  <si>
    <t>分析表81</t>
  </si>
  <si>
    <t>清水模板，丙種</t>
  </si>
  <si>
    <t xml:space="preserve">0311021302
</t>
  </si>
  <si>
    <t>產品，模板用支撐材料，丙種模板用</t>
  </si>
  <si>
    <t xml:space="preserve">M03110PWD0A44
</t>
  </si>
  <si>
    <t>分析表82</t>
  </si>
  <si>
    <t>普通模板，乙種</t>
  </si>
  <si>
    <t>0311011202
擋土牆，橋台，車行箱涵等</t>
  </si>
  <si>
    <t>分析表83</t>
  </si>
  <si>
    <t>普通模板，丙種</t>
  </si>
  <si>
    <t>0311011302
U型構，集水井，排水箱涵等</t>
  </si>
  <si>
    <t>分析表84</t>
  </si>
  <si>
    <t xml:space="preserve">03110960a1
</t>
  </si>
  <si>
    <t>產品，場鑄結構混凝土用模板，鋼模製作費(含折舊)</t>
  </si>
  <si>
    <t>M03110PWDSU0R1
使用40次</t>
  </si>
  <si>
    <t>產品，脫模劑</t>
  </si>
  <si>
    <t xml:space="preserve">M0305060004
</t>
  </si>
  <si>
    <t>分析表85</t>
  </si>
  <si>
    <t>鋼製模板，U型溝用，W=40cm，L=120cm，H&gt;80cm</t>
  </si>
  <si>
    <t xml:space="preserve">03110960a2
</t>
  </si>
  <si>
    <t>分析表86</t>
  </si>
  <si>
    <t>鋼製模板，U型溝用，W=50cm，L=120cm</t>
  </si>
  <si>
    <t xml:space="preserve">03110960b1
</t>
  </si>
  <si>
    <t>分析表87</t>
  </si>
  <si>
    <t>鋼製模板，U型溝用，W=50cm，L=120cm，H&gt;80cm</t>
  </si>
  <si>
    <t xml:space="preserve">03110960b2
</t>
  </si>
  <si>
    <t>分析表88</t>
  </si>
  <si>
    <t>鋼製模板，U型溝用，W=60cm，L=120cm</t>
  </si>
  <si>
    <t xml:space="preserve">03110960c1
</t>
  </si>
  <si>
    <t>分析表89</t>
  </si>
  <si>
    <t>鋼製模板，U型溝用，W=60cm，L=120cm，H&gt;80cm</t>
  </si>
  <si>
    <t xml:space="preserve">03110960c2
</t>
  </si>
  <si>
    <t>分析表90</t>
  </si>
  <si>
    <t>場鑄結構混凝土用模板，清水模板，甲種</t>
  </si>
  <si>
    <t>0311021112
經機關核定每日施工期間未達7小時適用</t>
  </si>
  <si>
    <t>分析表91</t>
  </si>
  <si>
    <t>0311021212
場鑄結構混凝土用模板，(乙種，擋土牆，橋台，車行箱涵等)，經機關核定每日施工期間未達7小時適用</t>
  </si>
  <si>
    <t>分析表92</t>
  </si>
  <si>
    <t>場鑄結構混凝土用模板，清水模板，丙種</t>
  </si>
  <si>
    <t>0311021312
經機關核定每日施工期間未達7小時適用</t>
  </si>
  <si>
    <t>分析表93</t>
  </si>
  <si>
    <t>場鑄結構混凝土用模板，普通模板，乙種</t>
  </si>
  <si>
    <t>0311011212
擋土牆，橋台，車行箱涵等，經機關核定每日施工期間未達7小時適用適用</t>
  </si>
  <si>
    <t>分析表94</t>
  </si>
  <si>
    <t>場鑄結構混凝土用模板，普通模板，丙種</t>
  </si>
  <si>
    <t>0311011312
U型構，集水井，排水箱涵等，經機關核定每日施工期間未達7小時適用</t>
  </si>
  <si>
    <t>分析表95</t>
  </si>
  <si>
    <t>03110900a1
經機關核定每日施工期間未達7小時適用</t>
  </si>
  <si>
    <t>分析表96</t>
  </si>
  <si>
    <t>03110900a2
經機關核定每日施工期間未達7小時適用</t>
  </si>
  <si>
    <t>分析表97</t>
  </si>
  <si>
    <t>03110900b1
經機關核定每日施工期間未達7小時適用</t>
  </si>
  <si>
    <t>分析表98</t>
  </si>
  <si>
    <t>03110900b2
經機關核定每日施工期間未達7小時適用</t>
  </si>
  <si>
    <t>分析表99</t>
  </si>
  <si>
    <t>03110900c1
經機關核定每日施工期間未達7小時適用</t>
  </si>
  <si>
    <t>分析表100</t>
  </si>
  <si>
    <t>03110900c2
經機關核定每日施工期間未達7小時適用</t>
  </si>
  <si>
    <t>分析表101</t>
  </si>
  <si>
    <t>0321040009
本項納入「鋼筋」物價指數調整</t>
  </si>
  <si>
    <t>產品，鋼筋，SD280W</t>
  </si>
  <si>
    <t>T</t>
  </si>
  <si>
    <t>M0321040005
本項納入「鋼筋」物價指數調整</t>
  </si>
  <si>
    <t>產品，金屬材料，鐵線</t>
  </si>
  <si>
    <t xml:space="preserve">M0506020009
</t>
  </si>
  <si>
    <t>分析表102</t>
  </si>
  <si>
    <t>鋼筋，SD280</t>
  </si>
  <si>
    <t>產品，鋼筋，SD280</t>
  </si>
  <si>
    <t>分析表103</t>
  </si>
  <si>
    <t>鋼筋，SD420</t>
  </si>
  <si>
    <t xml:space="preserve">0321050009
</t>
  </si>
  <si>
    <t>產品，鋼筋，SD420</t>
  </si>
  <si>
    <t xml:space="preserve">M0321050005
</t>
  </si>
  <si>
    <t>分析表104</t>
  </si>
  <si>
    <t>鋼筋，SD420W</t>
  </si>
  <si>
    <t xml:space="preserve">0321060009
</t>
  </si>
  <si>
    <t>產品，鋼筋，SD420W</t>
  </si>
  <si>
    <t xml:space="preserve">M0321060005
</t>
  </si>
  <si>
    <t>分析表105</t>
  </si>
  <si>
    <t>分析表106</t>
  </si>
  <si>
    <t>0321041009
經機關核定每日施工期間未達7小時適用，本項納入「鋼筋」物價指數調整</t>
  </si>
  <si>
    <t>分析表107</t>
  </si>
  <si>
    <t>0321051009
經機關核定每日施工期間未達7小時適用</t>
  </si>
  <si>
    <t>分析表108</t>
  </si>
  <si>
    <t>0321061009
經機關核定每日施工期間未達7小時適用</t>
  </si>
  <si>
    <t>分析表109</t>
  </si>
  <si>
    <t>鍍鋅鋼料，製作</t>
  </si>
  <si>
    <t xml:space="preserve">05500R1009
</t>
  </si>
  <si>
    <t>熱浸鍍鋅處理，550g/m2≦鍍鋅附著量</t>
  </si>
  <si>
    <t xml:space="preserve">0508160004
</t>
  </si>
  <si>
    <t>移動式起重機，10~19t</t>
  </si>
  <si>
    <t xml:space="preserve">E000008b10001
</t>
  </si>
  <si>
    <t>操作手，移動式起重機</t>
  </si>
  <si>
    <t xml:space="preserve">L000005100041
</t>
  </si>
  <si>
    <t>結構用鋼料，製作</t>
  </si>
  <si>
    <t xml:space="preserve">0550011009
</t>
  </si>
  <si>
    <t>分析表110</t>
  </si>
  <si>
    <t>不銹鋼料，SUS304，含加工安裝等</t>
  </si>
  <si>
    <t xml:space="preserve">05500Pc009
</t>
  </si>
  <si>
    <t>產品，不銹鋼料，SUS304</t>
  </si>
  <si>
    <t xml:space="preserve">M05500PC009
</t>
  </si>
  <si>
    <t>不銹鋼，加工焊接及架設按裝</t>
  </si>
  <si>
    <t xml:space="preserve">05501S00P4
</t>
  </si>
  <si>
    <t>分析表111</t>
  </si>
  <si>
    <t>不銹鋼料，SUS316，含加工安裝等</t>
  </si>
  <si>
    <t xml:space="preserve">05500Pd009
</t>
  </si>
  <si>
    <t>產品，不銹鋼料，SUS316</t>
  </si>
  <si>
    <t xml:space="preserve">M05500Pd009
</t>
  </si>
  <si>
    <t>分析表112</t>
  </si>
  <si>
    <t>(免拆模板，鋼質)，厚3mm鋼模</t>
  </si>
  <si>
    <t xml:space="preserve">03110700h2
</t>
  </si>
  <si>
    <t>產品，金屬材料，鋼料，加強支撐鋼材</t>
  </si>
  <si>
    <t xml:space="preserve">M05060CC004
</t>
  </si>
  <si>
    <t>產品，鋼板及其他鋼料</t>
  </si>
  <si>
    <t xml:space="preserve">M05500F0009
</t>
  </si>
  <si>
    <t>裁切加工電焊(含安裝)</t>
  </si>
  <si>
    <t xml:space="preserve">05060#A004
</t>
  </si>
  <si>
    <t>分析表113</t>
  </si>
  <si>
    <t>(免拆模板，鋼質)，厚5mm鋼模</t>
  </si>
  <si>
    <t xml:space="preserve">03110700J2
</t>
  </si>
  <si>
    <t>分析表114</t>
  </si>
  <si>
    <t>鋼製模板，場鑄溝蓋板溝蓋立面開孔用</t>
  </si>
  <si>
    <t xml:space="preserve">0311090012
</t>
  </si>
  <si>
    <t>分析表115</t>
  </si>
  <si>
    <t>場鑄水泥砂漿樁，D=300mm，210kgf/cm2</t>
  </si>
  <si>
    <t>02472PWD02301
本項零星工料包含鋼筋籠外側所需之間隔片費用</t>
  </si>
  <si>
    <t>場鑄水泥砂漿樁，水泥砂漿，210kgf/cm2</t>
  </si>
  <si>
    <t xml:space="preserve">02472PWD10303
</t>
  </si>
  <si>
    <t>場鑄水泥砂漿樁，鑽孔，D=300mm</t>
  </si>
  <si>
    <t xml:space="preserve">02472PWD22001
</t>
  </si>
  <si>
    <t>鋼筋，鋼筋點銲及鋼筋籠吊放</t>
  </si>
  <si>
    <t xml:space="preserve">03210000D9
</t>
  </si>
  <si>
    <t>分析表116</t>
  </si>
  <si>
    <t>場鑄水泥砂漿樁，D=350mm，210kgf/cm2</t>
  </si>
  <si>
    <t>02472PWD03301
本項零星工料包含鋼筋籠外側所需之間隔片費用</t>
  </si>
  <si>
    <t>場鑄水泥砂漿樁，鑽孔，D=350mm</t>
  </si>
  <si>
    <t xml:space="preserve">02472PWD23001
</t>
  </si>
  <si>
    <t>分析表117</t>
  </si>
  <si>
    <t>場鑄水泥砂漿樁，D=400mm，210kgf/cm2</t>
  </si>
  <si>
    <t>02472PWD04301
本項零星工料包含鋼筋籠外側所需之間隔片費用</t>
  </si>
  <si>
    <t>場鑄水泥砂漿樁，鑽孔，D=400mm</t>
  </si>
  <si>
    <t xml:space="preserve">02472PWD24001
</t>
  </si>
  <si>
    <t>分析表118</t>
  </si>
  <si>
    <t>臨時擋土樁設施，木板樁，(甲種，L=4.85m，t=9cm，W=25cm)，(單邊水平長度，含擋土支撐系統)</t>
  </si>
  <si>
    <t xml:space="preserve">0225514811
</t>
  </si>
  <si>
    <t>臨時擋土樁設施，木板樁，(甲種，L=4.85m，t=9cm，W=25cm)，打拔</t>
  </si>
  <si>
    <t>支</t>
  </si>
  <si>
    <t xml:space="preserve">022551483D
</t>
  </si>
  <si>
    <t>產品，擋土板用木材，板材，損耗</t>
  </si>
  <si>
    <t xml:space="preserve">M0605051013
</t>
  </si>
  <si>
    <t>產品，腹板用木撐木材，損耗</t>
  </si>
  <si>
    <t xml:space="preserve">M0605040013
</t>
  </si>
  <si>
    <t>木工</t>
  </si>
  <si>
    <t xml:space="preserve">L000005800001
</t>
  </si>
  <si>
    <t>產品，鐵件</t>
  </si>
  <si>
    <t xml:space="preserve">M0609060009
</t>
  </si>
  <si>
    <t>分析表119</t>
  </si>
  <si>
    <t>臨時擋土樁設施，木板樁，(乙種，L=3.64m，t=8cm，W=25cm)，(單邊水平長度，含擋土支撐系統)</t>
  </si>
  <si>
    <t xml:space="preserve">0225513611
</t>
  </si>
  <si>
    <t>臨時擋土樁設施，木板樁，(乙種，L=3.64m，t=8cm，W=25cm)，打拔</t>
  </si>
  <si>
    <t xml:space="preserve">022551363D
</t>
  </si>
  <si>
    <t>分析表120</t>
  </si>
  <si>
    <t>臨時擋土樁設施，木板樁，(丙種，L=2.72m，t=7cm，W=25cm)，(單邊水平長度，含擋土支撐系統)</t>
  </si>
  <si>
    <t xml:space="preserve">0225512711
</t>
  </si>
  <si>
    <t>臨時擋土樁設施，木板樁，(丙種，L=2.72m，t=7cm，W=25cm)，打拔</t>
  </si>
  <si>
    <t xml:space="preserve">022551273D
</t>
  </si>
  <si>
    <t>分析表121</t>
  </si>
  <si>
    <t>臨時擋土支撐工法，中間支撐</t>
  </si>
  <si>
    <t xml:space="preserve">0225630001
</t>
  </si>
  <si>
    <t>臨時擋土支撐工法，中間支撐，打拔</t>
  </si>
  <si>
    <t xml:space="preserve">02256300C1
</t>
  </si>
  <si>
    <t>產品，臨時擋土支撐工法，中間支撐，(租金，2.5月)</t>
  </si>
  <si>
    <t xml:space="preserve">M02256300N1
</t>
  </si>
  <si>
    <t>分析表122</t>
  </si>
  <si>
    <t>臨時擋土支撐工法，H型鋼橫擋及支撐，未含在臨時擋土樁費用內</t>
  </si>
  <si>
    <t xml:space="preserve">0225620022
</t>
  </si>
  <si>
    <t>產品，臨時擋土支撐工法，H型鋼350×350×12×19mm，租金</t>
  </si>
  <si>
    <t>M月</t>
  </si>
  <si>
    <t xml:space="preserve">M02256PWDC00AB
</t>
  </si>
  <si>
    <t>臨時擋土支撐工法，H型鋼橫擋及支撐，裝拆</t>
  </si>
  <si>
    <t xml:space="preserve">02256200B2
</t>
  </si>
  <si>
    <t>分析表123</t>
  </si>
  <si>
    <t>臨時擋土樁設施，鋼板樁，L=3m，(單邊水平長度，未含擋土支撐系統)</t>
  </si>
  <si>
    <t>0225540321
每M2.5片</t>
  </si>
  <si>
    <t>產品，臨時擋土樁設施，鋼板樁，L=3m，(租金，1.0月)</t>
  </si>
  <si>
    <t>片/月</t>
  </si>
  <si>
    <t xml:space="preserve">M022554035B
</t>
  </si>
  <si>
    <t>臨時擋土樁設施，鋼板樁，L=3m，打拔</t>
  </si>
  <si>
    <t xml:space="preserve">022554033C
</t>
  </si>
  <si>
    <t>臨時擋土樁設施，鋼板樁，拉固工料費</t>
  </si>
  <si>
    <t xml:space="preserve">02255PWD40A04
</t>
  </si>
  <si>
    <t>分析表124</t>
  </si>
  <si>
    <t>臨時擋土樁設施，鋼板樁，L=4.5m，(單邊水平長度，未含擋土支撐系統)</t>
  </si>
  <si>
    <t>0225540121
每M2.5片</t>
  </si>
  <si>
    <t>產品，臨時擋土樁設施，鋼板樁，L=4.5m，(租金，1.0月)</t>
  </si>
  <si>
    <t xml:space="preserve">M022554015B
</t>
  </si>
  <si>
    <t>臨時擋土樁設施，鋼板樁，L=4.5m，打拔</t>
  </si>
  <si>
    <t xml:space="preserve">022554013C
</t>
  </si>
  <si>
    <t>分析表125</t>
  </si>
  <si>
    <t>臨時擋土樁設施，鋼板樁，L=6m，(單邊水平長度，未含擋土支撐系統)</t>
  </si>
  <si>
    <t xml:space="preserve">0225540621
</t>
  </si>
  <si>
    <t>產品，臨時擋土樁設施，鋼板樁，L=6m，(租金，1.0月)</t>
  </si>
  <si>
    <t xml:space="preserve">M022554065B
</t>
  </si>
  <si>
    <t>臨時擋土樁設施，鋼板樁，L=6m，打拔</t>
  </si>
  <si>
    <t xml:space="preserve">022554063C
</t>
  </si>
  <si>
    <t>分析表126</t>
  </si>
  <si>
    <t>臨時擋土樁設施，鋼板樁，L=9m，(單邊水平長度，未含擋土支撐系統)</t>
  </si>
  <si>
    <t xml:space="preserve">0225540921
</t>
  </si>
  <si>
    <t>產品，臨時擋土樁設施，鋼板樁，L=9m，(租金，1.0月)</t>
  </si>
  <si>
    <t xml:space="preserve">M022554095B
</t>
  </si>
  <si>
    <t>臨時擋土樁設施，鋼板樁，L=9m，打拔</t>
  </si>
  <si>
    <t xml:space="preserve">022554093C
</t>
  </si>
  <si>
    <t>分析表127</t>
  </si>
  <si>
    <t>臨時擋土樁設施，鋼板樁，L=13m，(單邊水平長度，未含擋土支撐系統)</t>
  </si>
  <si>
    <t xml:space="preserve">0225540D21
</t>
  </si>
  <si>
    <t>產品，臨時擋土樁設施，鋼板樁，L=13m，(租金，1.0月)</t>
  </si>
  <si>
    <t xml:space="preserve">M0225540D5B
</t>
  </si>
  <si>
    <t>臨時擋土樁設施，鋼板樁，L=13m，打拔</t>
  </si>
  <si>
    <t xml:space="preserve">0225540D3C
</t>
  </si>
  <si>
    <t>分析表128</t>
  </si>
  <si>
    <t>臨時擋土樁設施，鋼板樁，L=16m，(單邊水平長度，未含擋土支撐系統)</t>
  </si>
  <si>
    <t xml:space="preserve">0225540G21
</t>
  </si>
  <si>
    <t>產品，臨時擋土樁設施，鋼板樁，L=16m，(租金，1.0月)</t>
  </si>
  <si>
    <t xml:space="preserve">M0225540G5B
</t>
  </si>
  <si>
    <t>臨時擋土樁設施，鋼板樁，L=16m，打拔</t>
  </si>
  <si>
    <t xml:space="preserve">0225540G3C
</t>
  </si>
  <si>
    <t>分析表129</t>
  </si>
  <si>
    <t>臨時擋土樁設施，鋼軌樁 37kg/m</t>
  </si>
  <si>
    <t>0225520001
租用</t>
  </si>
  <si>
    <t>臨時擋土樁設施，鋼軌樁 37kg/m，打拔</t>
  </si>
  <si>
    <t xml:space="preserve">0225520031
</t>
  </si>
  <si>
    <t>產品，臨時擋土樁設施，鋼軌樁 37kg/m，(租金，1.0月)</t>
  </si>
  <si>
    <t>M0225520071
含運費</t>
  </si>
  <si>
    <t>分析表130</t>
  </si>
  <si>
    <t>臨時擋土樁設施，鋼軌樁 50kg/m</t>
  </si>
  <si>
    <t>0225530001
租用</t>
  </si>
  <si>
    <t>臨時擋土樁設施，鋼軌樁 50kg/m，打拔</t>
  </si>
  <si>
    <t xml:space="preserve">0225530031
</t>
  </si>
  <si>
    <t>產品，臨時擋土樁設施，鋼軌樁 50kg/m，(租金，1.0月)</t>
  </si>
  <si>
    <t>M0225530071
含運費</t>
  </si>
  <si>
    <t>分析表131</t>
  </si>
  <si>
    <t>臨時擋土樁設施，鋼軌樁 37kg/m，買斷</t>
  </si>
  <si>
    <t xml:space="preserve">02255200V1
</t>
  </si>
  <si>
    <t>臨時擋土樁設施，鋼軌樁 37kg/m，打設</t>
  </si>
  <si>
    <t xml:space="preserve">02255200Y1
</t>
  </si>
  <si>
    <t>產品，臨時擋土樁設施，鋼軌樁 37kg/m</t>
  </si>
  <si>
    <t>M0225520001
含運費</t>
  </si>
  <si>
    <t>分析表132</t>
  </si>
  <si>
    <t>臨時擋土樁設施，鋼軌樁 50kg/m，買斷</t>
  </si>
  <si>
    <t xml:space="preserve">02255300V1
</t>
  </si>
  <si>
    <t>臨時擋土樁設施，鋼軌樁 50kg/m，打設</t>
  </si>
  <si>
    <t xml:space="preserve">02255300Y1
</t>
  </si>
  <si>
    <t>產品，臨時擋土樁設施，鋼軌樁 50kg/m</t>
  </si>
  <si>
    <t>M0225530001
含運費</t>
  </si>
  <si>
    <t>分析表133</t>
  </si>
  <si>
    <t>臨時擋土樁設施，鋼板樁，(租金，1.0月)，W=40cm</t>
  </si>
  <si>
    <t>0225540051
含運費</t>
  </si>
  <si>
    <t>臨時擋土樁設施，鋼板樁，打拔</t>
  </si>
  <si>
    <t xml:space="preserve">0225540031
</t>
  </si>
  <si>
    <t>產品，臨時擋土樁設施，鋼板樁，(租金，1.0月)</t>
  </si>
  <si>
    <t>M0225540051
含運費</t>
  </si>
  <si>
    <t>分析表134</t>
  </si>
  <si>
    <t>臨時擋土樁設施，鋼板樁，買斷，W=40cm</t>
  </si>
  <si>
    <t xml:space="preserve">02255400U1
</t>
  </si>
  <si>
    <t>臨時擋土樁設施，鋼板樁，打設</t>
  </si>
  <si>
    <t xml:space="preserve">02255400Y1
</t>
  </si>
  <si>
    <t>產品，臨時擋土樁設施，鋼板樁</t>
  </si>
  <si>
    <t>M0225540001
買斷，含運費</t>
  </si>
  <si>
    <t>分析表135</t>
  </si>
  <si>
    <t>臨時擋土樁設施，鋼軌樁 37kg/m(含運費)，打拔</t>
  </si>
  <si>
    <t xml:space="preserve">0225520E31
</t>
  </si>
  <si>
    <t>臨時擋土樁設施，鋼軌樁 37kg/m，運費</t>
  </si>
  <si>
    <t xml:space="preserve">02255200W1
</t>
  </si>
  <si>
    <t>分析表136</t>
  </si>
  <si>
    <t>臨時擋土樁設施，鋼軌樁 50kg/m(含運費)，打拔</t>
  </si>
  <si>
    <t xml:space="preserve">0225530E31
</t>
  </si>
  <si>
    <t>臨時擋土樁設施，鋼軌樁 50kg/m，運費</t>
  </si>
  <si>
    <t xml:space="preserve">02255300W1
</t>
  </si>
  <si>
    <t>分析表137</t>
  </si>
  <si>
    <t>臨時擋土樁設施，鋼板樁(W=40cm)(含運費)，打拔</t>
  </si>
  <si>
    <t xml:space="preserve">0225540E31
</t>
  </si>
  <si>
    <t>臨時擋土樁設施，鋼板樁，運費</t>
  </si>
  <si>
    <t xml:space="preserve">02255400W1
</t>
  </si>
  <si>
    <t>分析表138</t>
  </si>
  <si>
    <t>砌排石工，水泥砂漿表面勾縫，1：3</t>
  </si>
  <si>
    <t xml:space="preserve">02386PWDA1302
</t>
  </si>
  <si>
    <t>水泥砂漿，1:3</t>
  </si>
  <si>
    <t>泥水工，粉刷</t>
  </si>
  <si>
    <t xml:space="preserve">L000005B00011
</t>
  </si>
  <si>
    <t>分析表139</t>
  </si>
  <si>
    <t>水泥砂漿粉刷，1：1水泥砂漿，面層粉光</t>
  </si>
  <si>
    <t xml:space="preserve">0922010012
</t>
  </si>
  <si>
    <t>水泥砂漿，1:1</t>
  </si>
  <si>
    <t>配合技術工之勞工，泥水</t>
  </si>
  <si>
    <t xml:space="preserve">L000006A00071
</t>
  </si>
  <si>
    <t>分析表140</t>
  </si>
  <si>
    <t>水泥砂漿粉刷，1：2水泥砂漿，面層粉光</t>
  </si>
  <si>
    <t xml:space="preserve">0922020012
</t>
  </si>
  <si>
    <t>水泥砂漿，1:2</t>
  </si>
  <si>
    <t>分析表141</t>
  </si>
  <si>
    <t>水泥砂漿粉刷，1：3水泥砂漿，整體粉光</t>
  </si>
  <si>
    <t>0922030042
(適用施作面積200M2以上)</t>
  </si>
  <si>
    <t>拍漿機(粉光用)</t>
  </si>
  <si>
    <t xml:space="preserve">E3533X10001
</t>
  </si>
  <si>
    <t>產品，標高調整器</t>
  </si>
  <si>
    <t xml:space="preserve">M024950D082
</t>
  </si>
  <si>
    <t>分析表142</t>
  </si>
  <si>
    <t xml:space="preserve">0406110003
</t>
  </si>
  <si>
    <t>產品，粒料，細粒料，工地交貨</t>
  </si>
  <si>
    <t xml:space="preserve">M030502203B
</t>
  </si>
  <si>
    <t>分析表143</t>
  </si>
  <si>
    <t xml:space="preserve">0406120003
</t>
  </si>
  <si>
    <t>分析表144</t>
  </si>
  <si>
    <t xml:space="preserve">0406130003
</t>
  </si>
  <si>
    <t>分析表145</t>
  </si>
  <si>
    <t>砌排石工，混凝土砌石，(卵石，厚20cm，含勾縫)</t>
  </si>
  <si>
    <t xml:space="preserve">0238630302
</t>
  </si>
  <si>
    <t>產品，砌排石工，(卵石，厚20cm，未含勾縫)</t>
  </si>
  <si>
    <t xml:space="preserve">M023860120A
</t>
  </si>
  <si>
    <t>技術工，砌石</t>
  </si>
  <si>
    <t xml:space="preserve">L000005000011
</t>
  </si>
  <si>
    <t>產品，硬質聚氯乙烯塑膠管(A管薄管)，洩水孔用</t>
  </si>
  <si>
    <t xml:space="preserve">M1510710000B4
</t>
  </si>
  <si>
    <t>分析表146</t>
  </si>
  <si>
    <t>砌排石工，混凝土砌石，(卵石，厚25cm，含勾縫)</t>
  </si>
  <si>
    <t xml:space="preserve">0238630402
</t>
  </si>
  <si>
    <t>產品，砌排石工，(卵石，厚25cm，未含勾縫)</t>
  </si>
  <si>
    <t xml:space="preserve">M023860130A
</t>
  </si>
  <si>
    <t>分析表147</t>
  </si>
  <si>
    <t>砌排石工，混凝土砌石，(卵石，厚30cm，含勾縫)</t>
  </si>
  <si>
    <t xml:space="preserve">0238630502
</t>
  </si>
  <si>
    <t>產品，砌排石工，(卵石，厚30cm，未含勾縫)</t>
  </si>
  <si>
    <t xml:space="preserve">M023860140A
</t>
  </si>
  <si>
    <t>分析表148</t>
  </si>
  <si>
    <t>水泥砂漿粉刷，1：3水泥砂漿，面層粉光</t>
  </si>
  <si>
    <t xml:space="preserve">0922030012
</t>
  </si>
  <si>
    <t>分析表149</t>
  </si>
  <si>
    <t>箱型石籠，300x150x50cm，高鍍鋅鐵線包覆PVC</t>
  </si>
  <si>
    <t>組</t>
  </si>
  <si>
    <t xml:space="preserve">02374CD008
</t>
  </si>
  <si>
    <t>產品，箱型石籠，300x150x50cm，高鍍鋅鐵線包覆PVC</t>
  </si>
  <si>
    <t xml:space="preserve">M02374PWDCD002
</t>
  </si>
  <si>
    <t>產品，石材，天然卵石(∮15~45cm)</t>
  </si>
  <si>
    <t xml:space="preserve">M0441010003
</t>
  </si>
  <si>
    <t>配合技術工之勞工，裝石</t>
  </si>
  <si>
    <t xml:space="preserve">L000006A00091
</t>
  </si>
  <si>
    <t>拋石，塊石，硬石</t>
  </si>
  <si>
    <t xml:space="preserve">02381A0104
</t>
  </si>
  <si>
    <t>分析表150</t>
  </si>
  <si>
    <t>鑽堡(∮8")</t>
  </si>
  <si>
    <t xml:space="preserve">0234420701
</t>
  </si>
  <si>
    <t>鑽孔費(∮8"含岩方)(0.7M3)</t>
  </si>
  <si>
    <t xml:space="preserve">02344007A1
</t>
  </si>
  <si>
    <t>灌漿機</t>
  </si>
  <si>
    <t xml:space="preserve">E000002C00004
</t>
  </si>
  <si>
    <t>分析表151</t>
  </si>
  <si>
    <t xml:space="preserve">02381A010A
</t>
  </si>
  <si>
    <t>產品，拋石，塊石，硬石</t>
  </si>
  <si>
    <t xml:space="preserve">M02381A010B
</t>
  </si>
  <si>
    <t>分析表152</t>
  </si>
  <si>
    <t>噴凝土，溼式(邊坡)，(厚度5cm，抗壓強度175kgf/cm2)</t>
  </si>
  <si>
    <t xml:space="preserve">0337225002
</t>
  </si>
  <si>
    <t>噴凝土，抗壓強度175kgf/cm2</t>
  </si>
  <si>
    <t>噴凝土，溼式(邊坡)，厚度3cm，施工費</t>
  </si>
  <si>
    <t>護坡，搭架費</t>
  </si>
  <si>
    <t xml:space="preserve">0237200104
</t>
  </si>
  <si>
    <t>噴凝土，臨時水電費</t>
  </si>
  <si>
    <t xml:space="preserve">03372PWD00054
</t>
  </si>
  <si>
    <t>噴凝土，錨筋及1：3水泥砂漿灌漿，鋼筋D13mm，鑽孔L=1m</t>
  </si>
  <si>
    <t>產品，銲接鋼線網，鍍鋅網線，D=2.60mm，菱形(6*6cm)</t>
  </si>
  <si>
    <t xml:space="preserve">M03220539E2
</t>
  </si>
  <si>
    <t>分析表153</t>
  </si>
  <si>
    <t xml:space="preserve">0337201003
</t>
  </si>
  <si>
    <t>產品，化學摻料</t>
  </si>
  <si>
    <t xml:space="preserve">M0305010004
</t>
  </si>
  <si>
    <t>噴凝土，材料及拌和費</t>
  </si>
  <si>
    <t xml:space="preserve">0337200043
</t>
  </si>
  <si>
    <t>分析表154</t>
  </si>
  <si>
    <t xml:space="preserve">033722V022
</t>
  </si>
  <si>
    <t>空氣壓縮機，392CFM</t>
  </si>
  <si>
    <t xml:space="preserve">E5118YJ#0T1
</t>
  </si>
  <si>
    <t>噴凝土設備及機具，噴凝土拌和機</t>
  </si>
  <si>
    <t xml:space="preserve">E000002D20001
</t>
  </si>
  <si>
    <t>噴凝土設備及機具，噴凝土泵</t>
  </si>
  <si>
    <t xml:space="preserve">E000002D10001
</t>
  </si>
  <si>
    <t>噴凝土，混凝土噴佈機</t>
  </si>
  <si>
    <t xml:space="preserve">E033722900001
</t>
  </si>
  <si>
    <t>噴凝土噴佈工</t>
  </si>
  <si>
    <t xml:space="preserve">L000005j00001
</t>
  </si>
  <si>
    <t>分析表155</t>
  </si>
  <si>
    <t xml:space="preserve">03372PWDB0SAE
</t>
  </si>
  <si>
    <t>鑽孔，孔深1m，內徑30~40mm</t>
  </si>
  <si>
    <t xml:space="preserve">02218PWDAA0AC
</t>
  </si>
  <si>
    <t>產品，鋼筋，SD280，D13mm</t>
  </si>
  <si>
    <t xml:space="preserve">M0321030309
</t>
  </si>
  <si>
    <t>噴凝土，1：3水泥砂漿灌漿</t>
  </si>
  <si>
    <t xml:space="preserve">03372PWD000D3
</t>
  </si>
  <si>
    <t>噴凝土，錨筋安裝費</t>
  </si>
  <si>
    <t xml:space="preserve">03372PWD000BE
</t>
  </si>
  <si>
    <t>分析表156</t>
  </si>
  <si>
    <t>鋼筋除鏽混凝土修補</t>
  </si>
  <si>
    <t xml:space="preserve">0335021002
</t>
  </si>
  <si>
    <t>人工拆除，結構物拆除(建築物以外之結構物拆除)，鋼筋混凝土，未含運費</t>
  </si>
  <si>
    <t xml:space="preserve">0222023823
</t>
  </si>
  <si>
    <t>施工範圍混凝土切割(1cm深)</t>
  </si>
  <si>
    <t xml:space="preserve">02611DR276
</t>
  </si>
  <si>
    <t>鋼筋除鏽</t>
  </si>
  <si>
    <t xml:space="preserve">02611DR492
</t>
  </si>
  <si>
    <t>現場鋼筋表面塗刷防鏽劑</t>
  </si>
  <si>
    <t xml:space="preserve">02611DR512
</t>
  </si>
  <si>
    <t>無收縮水泥砂漿</t>
  </si>
  <si>
    <t xml:space="preserve">0360100003
</t>
  </si>
  <si>
    <t>混凝土表面修飾</t>
  </si>
  <si>
    <t xml:space="preserve">0335000002
</t>
  </si>
  <si>
    <t>廢棄物運離工地及棄置</t>
  </si>
  <si>
    <t xml:space="preserve">0212000003
</t>
  </si>
  <si>
    <t>搬運費，含機械設備材料裝卸</t>
  </si>
  <si>
    <t xml:space="preserve">W01271400B4
</t>
  </si>
  <si>
    <t>分析表157</t>
  </si>
  <si>
    <t>鋼筋混凝土管(B型)，D=600mm，三級管，未含開挖回填</t>
  </si>
  <si>
    <t xml:space="preserve">026102D321
</t>
  </si>
  <si>
    <t>產品，鋼筋混凝土管(B型)，D=600mm，三級管</t>
  </si>
  <si>
    <t>M026102D30A
L=2.4</t>
  </si>
  <si>
    <t>吊卡車，15米-噸</t>
  </si>
  <si>
    <t xml:space="preserve">E000003E10001
</t>
  </si>
  <si>
    <t>分析表158</t>
  </si>
  <si>
    <t>鋼筋混凝土管(B型)，D=800mm，三級管，未含開挖回填</t>
  </si>
  <si>
    <t xml:space="preserve">026102F321
</t>
  </si>
  <si>
    <t>產品，鋼筋混凝土管(B型)，D=800mm，三級管</t>
  </si>
  <si>
    <t>M026102F30A
L=2.4</t>
  </si>
  <si>
    <t>分析表159</t>
  </si>
  <si>
    <t>鋼筋混凝土管(B型)，D=1000mm，三級管，未含開挖回填</t>
  </si>
  <si>
    <t xml:space="preserve">026102H321
</t>
  </si>
  <si>
    <t>產品，鋼筋混凝土管(B型)，D=1000mm，三級管</t>
  </si>
  <si>
    <t>M026102H30A
L=2.4</t>
  </si>
  <si>
    <t>分析表160</t>
  </si>
  <si>
    <t>鋼筋混凝土管(B型)，D=1200mm，三級管，未含開挖回填</t>
  </si>
  <si>
    <t xml:space="preserve">026102L321
</t>
  </si>
  <si>
    <t>產品，鋼筋混凝土管(B型)，D=1200mm，三級管</t>
  </si>
  <si>
    <t>M026102L30A
L=2.4</t>
  </si>
  <si>
    <t>分析表161</t>
  </si>
  <si>
    <t>鋼筋混凝土管(B型)，D=1350mm，三級管，未含開挖回填</t>
  </si>
  <si>
    <t xml:space="preserve">026102M321
</t>
  </si>
  <si>
    <t>產品，鋼筋混凝土管(B型)，D=1350mm，三級管</t>
  </si>
  <si>
    <t>M026102M30A
L=2.4</t>
  </si>
  <si>
    <t>分析表162</t>
  </si>
  <si>
    <t>鋼筋混凝土管(B型)，D=1500mm，三級管，未含開挖回填</t>
  </si>
  <si>
    <t xml:space="preserve">026102N321
</t>
  </si>
  <si>
    <t>產品，鋼筋混凝土管(B型)，D=1500mm，三級管</t>
  </si>
  <si>
    <t>M026102N30A
L=2.4</t>
  </si>
  <si>
    <t>分析表163</t>
  </si>
  <si>
    <t>鋼筋混凝土管(B型)，D=1650mm，三級管，未含開挖回填</t>
  </si>
  <si>
    <t xml:space="preserve">026102P321
</t>
  </si>
  <si>
    <t>產品，鋼筋混凝土管(B型)，D=1650mm，三級管</t>
  </si>
  <si>
    <t>M026102P30A
L=2.4</t>
  </si>
  <si>
    <t>分析表164</t>
  </si>
  <si>
    <t>鋼筋混凝土管(B型)，D=1800mm，三級管，未含開挖回填</t>
  </si>
  <si>
    <t xml:space="preserve">026102Q321
</t>
  </si>
  <si>
    <t>產品，鋼筋混凝土管(B型)，D=1800mm，三級管</t>
  </si>
  <si>
    <t>M026102Q30A
L=2.4</t>
  </si>
  <si>
    <t>分析表165</t>
  </si>
  <si>
    <t>鋼筋混凝土管(B型)，D=2000mm，三級管，未含開挖回填</t>
  </si>
  <si>
    <t xml:space="preserve">026102R321
</t>
  </si>
  <si>
    <t>產品，鋼筋混凝土管(B型)，D=2000mm，三級管</t>
  </si>
  <si>
    <t>M026102R30A
L=2.4</t>
  </si>
  <si>
    <t>分析表166</t>
  </si>
  <si>
    <t>預鑄鋼筋混凝土基座(埋管用)，D=600mm管用</t>
  </si>
  <si>
    <t>座</t>
  </si>
  <si>
    <t xml:space="preserve">026100B90H
</t>
  </si>
  <si>
    <t>產品，預鑄鋼筋混凝土基座(埋管用)，D=600mm管用</t>
  </si>
  <si>
    <t xml:space="preserve">M026100B90H
</t>
  </si>
  <si>
    <t>預鑄鋼筋混凝土基座(埋管用)吊裝，D=600mm管用</t>
  </si>
  <si>
    <t xml:space="preserve">02610#C90H
</t>
  </si>
  <si>
    <t>分析表167</t>
  </si>
  <si>
    <t>預鑄鋼筋混凝土基座(埋管用)，D=800mm管用</t>
  </si>
  <si>
    <t xml:space="preserve">026100BB0H
</t>
  </si>
  <si>
    <t>產品，預鑄鋼筋混凝土基座(埋管用)，D=800mm管用</t>
  </si>
  <si>
    <t xml:space="preserve">M026100BB0H
</t>
  </si>
  <si>
    <t>預鑄鋼筋混凝土基座(埋管用)吊裝，D=800mm管用</t>
  </si>
  <si>
    <t xml:space="preserve">02610#CB0H
</t>
  </si>
  <si>
    <t>分析表168</t>
  </si>
  <si>
    <t>預鑄鋼筋混凝土基座(埋管用)，D=1000mm管用</t>
  </si>
  <si>
    <t xml:space="preserve">026100BD0H
</t>
  </si>
  <si>
    <t>產品，預鑄鋼筋混凝土基座(埋管用)，D=1000mm管用</t>
  </si>
  <si>
    <t xml:space="preserve">M026100BD0H
</t>
  </si>
  <si>
    <t>預鑄鋼筋混凝土基座(埋管用)吊裝，D=1000mm管用</t>
  </si>
  <si>
    <t xml:space="preserve">02610#CD0H
</t>
  </si>
  <si>
    <t>分析表169</t>
  </si>
  <si>
    <t>預鑄鋼筋混凝土基座(埋管用)，D=1200mm管用</t>
  </si>
  <si>
    <t xml:space="preserve">026100BF0H
</t>
  </si>
  <si>
    <t>產品，預鑄鋼筋混凝土基座(埋管用)，D=1200mm管用</t>
  </si>
  <si>
    <t xml:space="preserve">M026100BF0H
</t>
  </si>
  <si>
    <t>預鑄鋼筋混凝土基座(埋管用)吊裝，D=1200mm管用</t>
  </si>
  <si>
    <t xml:space="preserve">02610#CF0H
</t>
  </si>
  <si>
    <t>分析表170</t>
  </si>
  <si>
    <t>預鑄鋼筋混凝土基座(埋管用)，D=1350mm管用</t>
  </si>
  <si>
    <t xml:space="preserve">026100BG0H
</t>
  </si>
  <si>
    <t>產品，預鑄鋼筋混凝土基座(埋管用)，D=1350mm管用</t>
  </si>
  <si>
    <t xml:space="preserve">M026100BG0H
</t>
  </si>
  <si>
    <t>預鑄鋼筋混凝土基座(埋管用)吊裝，D=1350mm管用</t>
  </si>
  <si>
    <t xml:space="preserve">02610#CG0H
</t>
  </si>
  <si>
    <t>分析表171</t>
  </si>
  <si>
    <t>預鑄鋼筋混凝土基座(埋管用)，D=1500mm管用</t>
  </si>
  <si>
    <t xml:space="preserve">026100BH0H
</t>
  </si>
  <si>
    <t>產品，預鑄鋼筋混凝土基座(埋管用)，D=1500mm管用</t>
  </si>
  <si>
    <t xml:space="preserve">M026100BH0H
</t>
  </si>
  <si>
    <t>預鑄鋼筋混凝土基座(埋管用)吊裝，D=1500mm管用</t>
  </si>
  <si>
    <t xml:space="preserve">02610#CH0H
</t>
  </si>
  <si>
    <t>分析表172</t>
  </si>
  <si>
    <t>預鑄鋼筋混凝土基座(埋管用)，D=1650mm管用</t>
  </si>
  <si>
    <t xml:space="preserve">026100BJ0H
</t>
  </si>
  <si>
    <t>產品，預鑄鋼筋混凝土基座(埋管用)，D=1650mm管用</t>
  </si>
  <si>
    <t xml:space="preserve">M026100BJ0H
</t>
  </si>
  <si>
    <t>預鑄鋼筋混凝土基座(埋管用)吊裝，D=1650mm管用</t>
  </si>
  <si>
    <t xml:space="preserve">02610#CJ0H
</t>
  </si>
  <si>
    <t>分析表173</t>
  </si>
  <si>
    <t>預鑄鋼筋混凝土基座(埋管用)，D=1800mm管用</t>
  </si>
  <si>
    <t xml:space="preserve">026100BL0H
</t>
  </si>
  <si>
    <t>產品，預鑄鋼筋混凝土基座(埋管用)，D=1800mm管用</t>
  </si>
  <si>
    <t xml:space="preserve">M026100BL0H
</t>
  </si>
  <si>
    <t>預鑄鋼筋混凝土基座(埋管用)吊裝，D=1800mm管用</t>
  </si>
  <si>
    <t xml:space="preserve">02610#CL0H
</t>
  </si>
  <si>
    <t>分析表174</t>
  </si>
  <si>
    <t>預鑄混凝土，S1型預鑄溝蓋板，寬70x長50cm</t>
  </si>
  <si>
    <t>塊</t>
  </si>
  <si>
    <t xml:space="preserve">034006100A
</t>
  </si>
  <si>
    <t>產品，預鑄混凝土，S1型預鑄溝蓋板，寬70x長50cm</t>
  </si>
  <si>
    <t xml:space="preserve">M034006100A
</t>
  </si>
  <si>
    <t>預鑄溝蓋板安裝，S1型，寬70x長50cm</t>
  </si>
  <si>
    <t xml:space="preserve">03400#A512
</t>
  </si>
  <si>
    <t>分析表175</t>
  </si>
  <si>
    <t>預鑄混凝土，S1型預鑄溝蓋板，寬80x長50cm</t>
  </si>
  <si>
    <t xml:space="preserve">034006300A
</t>
  </si>
  <si>
    <t>產品，預鑄混凝土，S1型預鑄溝蓋板，寬80x長50cm</t>
  </si>
  <si>
    <t xml:space="preserve">M034006300A
</t>
  </si>
  <si>
    <t>預鑄溝蓋板安裝，S1型，寬80x長50cm</t>
  </si>
  <si>
    <t xml:space="preserve">03400#A532
</t>
  </si>
  <si>
    <t>分析表176</t>
  </si>
  <si>
    <t>預鑄混凝土，S1型預鑄溝蓋板，寬90x長50cm</t>
  </si>
  <si>
    <t xml:space="preserve">034006500A
</t>
  </si>
  <si>
    <t>產品，預鑄混凝土，S1型預鑄溝蓋板，寬90x長50cm</t>
  </si>
  <si>
    <t xml:space="preserve">M034006500A
</t>
  </si>
  <si>
    <t>預鑄溝蓋板安裝，S1型，寬90x長50cm</t>
  </si>
  <si>
    <t xml:space="preserve">03400#A552
</t>
  </si>
  <si>
    <t>分析表177</t>
  </si>
  <si>
    <t>預鑄混凝土，S1型預鑄溝蓋板，寬100x長50cm</t>
  </si>
  <si>
    <t xml:space="preserve">034006700A
</t>
  </si>
  <si>
    <t>產品，預鑄混凝土，S1型預鑄溝蓋板，寬100x長50cm</t>
  </si>
  <si>
    <t xml:space="preserve">M034006700A
</t>
  </si>
  <si>
    <t>預鑄溝蓋板安裝，S1型，寬100x長50cm</t>
  </si>
  <si>
    <t xml:space="preserve">03400#A562
</t>
  </si>
  <si>
    <t>分析表178</t>
  </si>
  <si>
    <t>預鑄混凝土，S1型預鑄溝蓋板，寬100x長100cm</t>
  </si>
  <si>
    <t xml:space="preserve">034006800A
</t>
  </si>
  <si>
    <t>產品，預鑄混凝土，S1型預鑄溝蓋板，寬100x長100cm</t>
  </si>
  <si>
    <t xml:space="preserve">M034006800A
</t>
  </si>
  <si>
    <t>預鑄溝蓋板安裝，S1型，寬100x長100cm</t>
  </si>
  <si>
    <t xml:space="preserve">03400#A572
</t>
  </si>
  <si>
    <t>分析表179</t>
  </si>
  <si>
    <t>預鑄混凝土，S2型預鑄溝蓋板，寬70x長100cm</t>
  </si>
  <si>
    <t xml:space="preserve">034007200A
</t>
  </si>
  <si>
    <t>產品，預鑄混凝土，S2型預鑄溝蓋板，寬70x長100cm</t>
  </si>
  <si>
    <t xml:space="preserve">M034007200A
</t>
  </si>
  <si>
    <t>預鑄溝蓋板安裝，S2型，寬70x長100cm</t>
  </si>
  <si>
    <t xml:space="preserve">03400#A622
</t>
  </si>
  <si>
    <t>分析表180</t>
  </si>
  <si>
    <t>預鑄混凝土，S2型預鑄溝蓋板，寬80x長100cm</t>
  </si>
  <si>
    <t xml:space="preserve">034007400A
</t>
  </si>
  <si>
    <t>產品，預鑄混凝土，S2型預鑄溝蓋板，寬80x長100cm</t>
  </si>
  <si>
    <t xml:space="preserve">M034007400A
</t>
  </si>
  <si>
    <t>預鑄溝蓋板安裝，S2型，寬80x長100cm</t>
  </si>
  <si>
    <t xml:space="preserve">03400#A642
</t>
  </si>
  <si>
    <t>分析表181</t>
  </si>
  <si>
    <t>預鑄混凝土，S2型預鑄溝蓋板，寬100x長100cm</t>
  </si>
  <si>
    <t xml:space="preserve">034007600A
</t>
  </si>
  <si>
    <t>產品，預鑄混凝土，S2型預鑄溝蓋板，寬100x長100cm</t>
  </si>
  <si>
    <t xml:space="preserve">M034007600A
</t>
  </si>
  <si>
    <t>預鑄溝蓋板安裝，S2型，寬100x長100cm</t>
  </si>
  <si>
    <t xml:space="preserve">03400#A672
</t>
  </si>
  <si>
    <t>分析表182</t>
  </si>
  <si>
    <t>預鑄混凝土，S2型預鑄溝蓋板，寬90x長100cm</t>
  </si>
  <si>
    <t xml:space="preserve">034007800A
</t>
  </si>
  <si>
    <t>產品，預鑄混凝土，S2型預鑄溝蓋板，寬90x長100cm</t>
  </si>
  <si>
    <t xml:space="preserve">M034007800A
</t>
  </si>
  <si>
    <t>預鑄溝蓋板安裝，S2型，寬90x長100cm</t>
  </si>
  <si>
    <t xml:space="preserve">03400#A6E2
</t>
  </si>
  <si>
    <t>分析表183</t>
  </si>
  <si>
    <t>預鑄混凝土，L1型預鑄溝蓋板，寬80x長90cm，高25cm，含製作及吊放</t>
  </si>
  <si>
    <t xml:space="preserve">034003112A
</t>
  </si>
  <si>
    <t>產品，預鑄混凝土，L1型預鑄溝蓋板，寬80x長90cm，高25cm</t>
  </si>
  <si>
    <t xml:space="preserve">M034003110A
</t>
  </si>
  <si>
    <t>預鑄混凝土，L1型預鑄溝蓋板，寬80x長90cm，高25cm，吊放</t>
  </si>
  <si>
    <t>034003116A
含安裝</t>
  </si>
  <si>
    <t>分析表184</t>
  </si>
  <si>
    <t>預鑄混凝土，L1型預鑄溝蓋板，寬90x長90cm，高25cm，含製作及吊放</t>
  </si>
  <si>
    <t xml:space="preserve">034003212A
</t>
  </si>
  <si>
    <t>產品，預鑄混凝土，L1型預鑄溝蓋板，寬90x長90cm，高25cm</t>
  </si>
  <si>
    <t xml:space="preserve">M034003210A
</t>
  </si>
  <si>
    <t>預鑄混凝土，L1型預鑄溝蓋板，寬90x長90cm，高25cm，吊放</t>
  </si>
  <si>
    <t>034003216A
含安裝</t>
  </si>
  <si>
    <t>分析表185</t>
  </si>
  <si>
    <t>預鑄混凝土，L1型預鑄溝蓋板，寬100x長90cm，高25cm，含製作及吊放</t>
  </si>
  <si>
    <t xml:space="preserve">034003312A
</t>
  </si>
  <si>
    <t>產品，預鑄混凝土，L1型預鑄溝蓋板，寬100x長90cm，高25cm</t>
  </si>
  <si>
    <t xml:space="preserve">M034003310A
</t>
  </si>
  <si>
    <t>預鑄混凝土，L1型預鑄溝蓋板，寬100x長90cm，高25cm，吊放</t>
  </si>
  <si>
    <t>034003316A
含安裝</t>
  </si>
  <si>
    <t>分析表186</t>
  </si>
  <si>
    <t>預鑄混凝土，L1型預鑄溝蓋板，寬80x長90cm，高30cm，含製作及吊放</t>
  </si>
  <si>
    <t xml:space="preserve">034003122A
</t>
  </si>
  <si>
    <t>產品，預鑄混凝土，L1型預鑄溝蓋板，寬80x長90cm，高30cm</t>
  </si>
  <si>
    <t xml:space="preserve">M034003120A
</t>
  </si>
  <si>
    <t>預鑄混凝土，L1型預鑄溝蓋板，寬80x長90cm，高30cm，吊放</t>
  </si>
  <si>
    <t>034003126A
含安裝</t>
  </si>
  <si>
    <t>分析表187</t>
  </si>
  <si>
    <t>預鑄混凝土，L1型預鑄溝蓋板，寬90x長90cm，高30cm，含製作及吊放</t>
  </si>
  <si>
    <t xml:space="preserve">034003222A
</t>
  </si>
  <si>
    <t>產品，預鑄混凝土，L1型預鑄溝蓋板，寬90x長90cm，高30cm</t>
  </si>
  <si>
    <t xml:space="preserve">M034003220A
</t>
  </si>
  <si>
    <t>預鑄混凝土，L1型預鑄溝蓋板，寬90x長90cm，高30cm，吊放</t>
  </si>
  <si>
    <t>034003226A
含安裝</t>
  </si>
  <si>
    <t>分析表188</t>
  </si>
  <si>
    <t>預鑄混凝土，L1型預鑄溝蓋板，寬100x長90cm，高30cm，含製作及吊放</t>
  </si>
  <si>
    <t xml:space="preserve">034003322A
</t>
  </si>
  <si>
    <t>產品，預鑄混凝土，L1型預鑄溝蓋板，寬100x長90cm，高30cm</t>
  </si>
  <si>
    <t xml:space="preserve">M034003320A
</t>
  </si>
  <si>
    <t>預鑄混凝土，L1型預鑄溝蓋板，寬100x長90cm，高30cm，吊放</t>
  </si>
  <si>
    <t>034003326A
含安裝</t>
  </si>
  <si>
    <t>分析表189</t>
  </si>
  <si>
    <t>預鑄混凝土，L2型預鑄溝蓋板，寬80x長90cm，高25cm，含製作及吊放</t>
  </si>
  <si>
    <t xml:space="preserve">034004112A
</t>
  </si>
  <si>
    <t>產品，預鑄混凝土，L2型預鑄溝蓋板，寬80x長90cm，高25cm</t>
  </si>
  <si>
    <t xml:space="preserve">M034004110A
</t>
  </si>
  <si>
    <t>預鑄混凝土，L2型預鑄溝蓋板，寬80x長90cm，高25cm，吊放</t>
  </si>
  <si>
    <t>034004116A
含安裝</t>
  </si>
  <si>
    <t>分析表190</t>
  </si>
  <si>
    <t>預鑄混凝土，L2型預鑄溝蓋板，寬90x長90cm，高25cm，含製作及吊放</t>
  </si>
  <si>
    <t xml:space="preserve">034004212A
</t>
  </si>
  <si>
    <t>產品，預鑄混凝土，L2型預鑄溝蓋板，寬90x長90cm，高25cm</t>
  </si>
  <si>
    <t xml:space="preserve">M034004210A
</t>
  </si>
  <si>
    <t>預鑄混凝土，L2型預鑄溝蓋板，寬90x長90cm，高25cm，吊放</t>
  </si>
  <si>
    <t xml:space="preserve">034004216A
</t>
  </si>
  <si>
    <t>分析表191</t>
  </si>
  <si>
    <t>預鑄混凝土，L2型預鑄溝蓋板，寬100x長90cm，高25cm，含製作及吊放</t>
  </si>
  <si>
    <t xml:space="preserve">034004312A
</t>
  </si>
  <si>
    <t>產品，預鑄混凝土，L2型預鑄溝蓋板，寬100x長90cm，高25cm</t>
  </si>
  <si>
    <t xml:space="preserve">M034004310A
</t>
  </si>
  <si>
    <t>預鑄混凝土，L2型預鑄溝蓋板，寬100x長90cm，高25cm，吊放</t>
  </si>
  <si>
    <t>034004316A
含安裝</t>
  </si>
  <si>
    <t>分析表192</t>
  </si>
  <si>
    <t>預鑄混凝土，L2型預鑄溝蓋板，寬80x長90cm，高30cm，含製作及吊放</t>
  </si>
  <si>
    <t xml:space="preserve">034004122A
</t>
  </si>
  <si>
    <t>產品，預鑄混凝土，L2型預鑄溝蓋板，寬80x長90cm，高30cm</t>
  </si>
  <si>
    <t xml:space="preserve">M034004120A
</t>
  </si>
  <si>
    <t>預鑄混凝土，L2型預鑄溝蓋板，寬80x長90cm，高30cm，吊放</t>
  </si>
  <si>
    <t xml:space="preserve">034004126A
</t>
  </si>
  <si>
    <t>分析表193</t>
  </si>
  <si>
    <t>預鑄混凝土，L2型預鑄溝蓋板，寬90x長90cm，高30cm，含製作及吊放</t>
  </si>
  <si>
    <t xml:space="preserve">034004222A
</t>
  </si>
  <si>
    <t>產品，預鑄混凝土，L2型預鑄溝蓋板，寬90x長90cm，高30cm</t>
  </si>
  <si>
    <t xml:space="preserve">M034004220A
</t>
  </si>
  <si>
    <t>預鑄混凝土，L2型預鑄溝蓋板，寬90x長90cm，高30cm，吊放</t>
  </si>
  <si>
    <t>034004226A
含安裝</t>
  </si>
  <si>
    <t>分析表194</t>
  </si>
  <si>
    <t>預鑄混凝土，L2型預鑄溝蓋板，寬100x長90cm，高30cm，含製作及吊放</t>
  </si>
  <si>
    <t xml:space="preserve">034004322A
</t>
  </si>
  <si>
    <t>產品，預鑄混凝土，L2型預鑄溝蓋板，寬100x長90cm，高30cm</t>
  </si>
  <si>
    <t xml:space="preserve">M034004320A
</t>
  </si>
  <si>
    <t>預鑄混凝土，L2型預鑄溝蓋板，寬100x長90cm，高30cm，吊放</t>
  </si>
  <si>
    <t>034004326A
含安裝</t>
  </si>
  <si>
    <t>分析表195</t>
  </si>
  <si>
    <t>鍍鋅花紋蓋板及框座，(框53.6cm，蓋45cm)</t>
  </si>
  <si>
    <t xml:space="preserve">0553082008
</t>
  </si>
  <si>
    <t>產品，鍍鋅花紋蓋板及框座</t>
  </si>
  <si>
    <t xml:space="preserve">M0553080009
</t>
  </si>
  <si>
    <t>金屬格柵蓋板，搬運費(含安裝)</t>
  </si>
  <si>
    <t xml:space="preserve">0553000044
</t>
  </si>
  <si>
    <t>分析表196</t>
  </si>
  <si>
    <t>鍍鋅花紋蓋板及框座，(框63.6cm，蓋55cm)</t>
  </si>
  <si>
    <t xml:space="preserve">0553083008
</t>
  </si>
  <si>
    <t>分析表197</t>
  </si>
  <si>
    <t>鍍鋅格柵板及框座，(框53.6cm，蓋45cm)</t>
  </si>
  <si>
    <t xml:space="preserve">0553072008
</t>
  </si>
  <si>
    <t>產品，金屬格柵蓋板，鍍鋅格柵蓋板(含框座)，(規格同80x90預鑄溝蓋板)</t>
  </si>
  <si>
    <t xml:space="preserve">M0553061002
</t>
  </si>
  <si>
    <t>分析表198</t>
  </si>
  <si>
    <t>鍍鋅格柵板及框座，(框63.6cm，蓋55cm)</t>
  </si>
  <si>
    <t xml:space="preserve">0553073008
</t>
  </si>
  <si>
    <t>產品，金屬格柵蓋板，鍍鋅格柵蓋板(含框座)，(規格同90x90預鑄溝蓋板)</t>
  </si>
  <si>
    <t xml:space="preserve">M0553062002
</t>
  </si>
  <si>
    <t>分析表199</t>
  </si>
  <si>
    <t>鍍鋅格柵板及框座，(框73.6cm，蓋65cm)</t>
  </si>
  <si>
    <t xml:space="preserve">0553074008
</t>
  </si>
  <si>
    <t>產品，金屬格柵蓋板，鍍鋅格柵蓋板(含框座)，(規格同100x90預鑄溝蓋板)</t>
  </si>
  <si>
    <t xml:space="preserve">M0553063002
</t>
  </si>
  <si>
    <t>分析表200</t>
  </si>
  <si>
    <t>鍍鋅格柵板及框座，止滑花紋加工</t>
  </si>
  <si>
    <t xml:space="preserve">0553070009
</t>
  </si>
  <si>
    <t>產品，結構用鋼料</t>
  </si>
  <si>
    <t xml:space="preserve">M0550010009
</t>
  </si>
  <si>
    <t>金屬格柵蓋板，鍍鋅格柵蓋板(含框座)，止滑花紋加工(人工)</t>
  </si>
  <si>
    <t xml:space="preserve">0553060021
</t>
  </si>
  <si>
    <t>分析表201</t>
  </si>
  <si>
    <t>鍍鋅格柵蓋板，(框53.6cm，蓋45cm)，細目型</t>
  </si>
  <si>
    <t xml:space="preserve">0553062008
</t>
  </si>
  <si>
    <t>產品，細目型鍍鋅格柵蓋框(Ⅰ型)(含框座、鍊條)，溝寬40cm使用</t>
  </si>
  <si>
    <t xml:space="preserve">M0553068008
</t>
  </si>
  <si>
    <t>分析表202</t>
  </si>
  <si>
    <t>鍍鋅格柵蓋板，(框63.6cm，蓋55cm)，細目型</t>
  </si>
  <si>
    <t xml:space="preserve">0553063008
</t>
  </si>
  <si>
    <t>產品，細目型鍍鋅格柵蓋框(Ⅰ型)(含框座、鍊條)，溝寬50cm使用</t>
  </si>
  <si>
    <t xml:space="preserve">M0553068502
</t>
  </si>
  <si>
    <t>分析表203</t>
  </si>
  <si>
    <t>鍍鋅格柵蓋板，(框73.6cm，蓋65cm)，細目型</t>
  </si>
  <si>
    <t xml:space="preserve">0553064008
</t>
  </si>
  <si>
    <t>產品，細目型鍍鋅格柵蓋框(Ⅰ型)(含框座、鍊條)，溝寬60cm使用</t>
  </si>
  <si>
    <t xml:space="preserve">M0553068602
</t>
  </si>
  <si>
    <t>分析表204</t>
  </si>
  <si>
    <t>預鑄混凝土，甲種預鑄溝蓋板，寬100x長140cm，含製作及吊放</t>
  </si>
  <si>
    <t xml:space="preserve">03400K102A
</t>
  </si>
  <si>
    <t>產品，預鑄混凝土，甲種預鑄溝蓋板，寬100x長140cm</t>
  </si>
  <si>
    <t xml:space="preserve">M03400K100A
</t>
  </si>
  <si>
    <t>預鑄混凝土，甲種預鑄溝蓋板，寬100x長140cm，運搬</t>
  </si>
  <si>
    <t>03400K1054
含吊裝</t>
  </si>
  <si>
    <t>分析表205</t>
  </si>
  <si>
    <t>預鑄混凝土，乙種預鑄溝蓋板，寬100x長140cm，含製作及吊放</t>
  </si>
  <si>
    <t xml:space="preserve">03400M102A
</t>
  </si>
  <si>
    <t>產品，預鑄混凝土，乙種預鑄溝蓋板，寬100x長140cm</t>
  </si>
  <si>
    <t xml:space="preserve">M03400M100A
</t>
  </si>
  <si>
    <t>預鑄混凝土，乙種預鑄溝蓋板，寬100x長140cm，運搬</t>
  </si>
  <si>
    <t>03400M1054
含吊裝</t>
  </si>
  <si>
    <t>分析表206</t>
  </si>
  <si>
    <t>人孔井，甲種人孔，人孔頂版</t>
  </si>
  <si>
    <t xml:space="preserve">02631P110C
</t>
  </si>
  <si>
    <t>產品，人孔井，甲種人孔，人孔頂版</t>
  </si>
  <si>
    <t xml:space="preserve">M02631P110C
</t>
  </si>
  <si>
    <t>人孔井，甲種人孔，人孔頂版，吊裝費(含運搬)</t>
  </si>
  <si>
    <t xml:space="preserve">02631P1134
</t>
  </si>
  <si>
    <t>分析表207</t>
  </si>
  <si>
    <t>人孔井，乙種人孔，人孔頂版，開口直徑900mm</t>
  </si>
  <si>
    <t xml:space="preserve">02631P212C
</t>
  </si>
  <si>
    <t>產品，人孔井，乙種人孔，人孔頂版，開口直徑900mm</t>
  </si>
  <si>
    <t xml:space="preserve">M02631P212C
</t>
  </si>
  <si>
    <t>人孔井，乙種人孔，人孔頂版，吊裝費(含運搬)</t>
  </si>
  <si>
    <t xml:space="preserve">02631P2134
</t>
  </si>
  <si>
    <t>分析表208</t>
  </si>
  <si>
    <t>人孔井，乙種人孔，人孔頂版，開口直徑600mm</t>
  </si>
  <si>
    <t xml:space="preserve">02631P211C
</t>
  </si>
  <si>
    <t>產品，人孔井，乙種人孔，人孔頂版，開口直徑600mm</t>
  </si>
  <si>
    <t xml:space="preserve">M02631P211C
</t>
  </si>
  <si>
    <t>分析表209</t>
  </si>
  <si>
    <t>鑄鐵件，球狀石磨鑄鐵人孔蓋及框座，氣掀式，彩色，含安裝</t>
  </si>
  <si>
    <t xml:space="preserve">055626021C
</t>
  </si>
  <si>
    <t>產品，鑄鐵件，球狀石磨鑄鐵人孔蓋及框座，氣掀式，含安裝</t>
  </si>
  <si>
    <t xml:space="preserve">M055626010C
</t>
  </si>
  <si>
    <t>吊裝費及運費</t>
  </si>
  <si>
    <t xml:space="preserve">W01271PWDN0004
</t>
  </si>
  <si>
    <t>產品，油漆，耐磨面漆，美化塗裝</t>
  </si>
  <si>
    <t xml:space="preserve">M09910R00B4
</t>
  </si>
  <si>
    <t xml:space="preserve">W0127100004
</t>
  </si>
  <si>
    <t>分析表210</t>
  </si>
  <si>
    <t>鑄鐵件，球狀石磨鑄鐵人孔蓋及框座，氣掀式，含安裝</t>
  </si>
  <si>
    <t xml:space="preserve">055626011C
</t>
  </si>
  <si>
    <t>分析表211</t>
  </si>
  <si>
    <t>預鑄人孔頸下部，D=90cm，H=30cm</t>
  </si>
  <si>
    <t xml:space="preserve">02631T210C
</t>
  </si>
  <si>
    <t>產品，預鑄人孔頸下部，D=90cm，H=30cm</t>
  </si>
  <si>
    <t xml:space="preserve">M02631T210C
</t>
  </si>
  <si>
    <t>產品，不銹鋼踏步，直徑=19mm</t>
  </si>
  <si>
    <t>M05500f0R0A
L=86cm</t>
  </si>
  <si>
    <t>預鑄人孔頸下部，搬運及吊裝</t>
  </si>
  <si>
    <t xml:space="preserve">02631T0024
</t>
  </si>
  <si>
    <t>分析表212</t>
  </si>
  <si>
    <t>預鑄人孔頸下部，D=90cm，H=60cm</t>
  </si>
  <si>
    <t xml:space="preserve">02631T220C
</t>
  </si>
  <si>
    <t>產品，預鑄人孔頸下部，D=90cm，H=60cm</t>
  </si>
  <si>
    <t xml:space="preserve">M02631T220C
</t>
  </si>
  <si>
    <t>分析表213</t>
  </si>
  <si>
    <t>預鑄人孔頸下部，D=60cm，H=30cm</t>
  </si>
  <si>
    <t xml:space="preserve">02631T110C
</t>
  </si>
  <si>
    <t>產品，預鑄人孔頸下部，D=60cm，H=30cm</t>
  </si>
  <si>
    <t xml:space="preserve">M02631T110C
</t>
  </si>
  <si>
    <t>分析表214</t>
  </si>
  <si>
    <t>預鑄人孔頸端部</t>
  </si>
  <si>
    <t xml:space="preserve">02631S000C
</t>
  </si>
  <si>
    <t>產品，預鑄人孔頸端部</t>
  </si>
  <si>
    <t xml:space="preserve">M02631S000C
</t>
  </si>
  <si>
    <t>預鑄人孔頸端部，搬運及吊裝</t>
  </si>
  <si>
    <t xml:space="preserve">02631S0024
</t>
  </si>
  <si>
    <t>分析表215</t>
  </si>
  <si>
    <t>人行道面層，舖面磚(高壓)，未含伸縮縫</t>
  </si>
  <si>
    <t xml:space="preserve">0277850021
</t>
  </si>
  <si>
    <t>產品，人行道面層，鋪面磚(高壓)</t>
  </si>
  <si>
    <t xml:space="preserve">M0277850002
</t>
  </si>
  <si>
    <t>分析表216</t>
  </si>
  <si>
    <t>粗木作，木棧道，平台面板更換</t>
  </si>
  <si>
    <t>06100M0002
# T=4cm W=14cm</t>
  </si>
  <si>
    <t>產品，粗木作，防腐處理，杉木(新料)</t>
  </si>
  <si>
    <t>才</t>
  </si>
  <si>
    <t>M061000010D
#</t>
  </si>
  <si>
    <t>木料，加工及鉋光，含施作與安裝</t>
  </si>
  <si>
    <t>0605080104
#</t>
  </si>
  <si>
    <t>木料，表面塗料塗佈，含施作及安裝</t>
  </si>
  <si>
    <t>0605080204
#</t>
  </si>
  <si>
    <t>木材及塑膠接合材料，五金配件</t>
  </si>
  <si>
    <t>0609000004
#</t>
  </si>
  <si>
    <t>分析表217</t>
  </si>
  <si>
    <t>粗木作，木棧道，欄杆橫桿更換</t>
  </si>
  <si>
    <t>06100M000B
# T=4cm W=14cm</t>
  </si>
  <si>
    <t>分析表218</t>
  </si>
  <si>
    <t>0991002002
#</t>
  </si>
  <si>
    <t>產品，油漆，一底二度</t>
  </si>
  <si>
    <t xml:space="preserve">M0991002002
</t>
  </si>
  <si>
    <t>產品，油漆，補土，一底二度</t>
  </si>
  <si>
    <t xml:space="preserve">M09910G2002
</t>
  </si>
  <si>
    <t>油漆，一底二度，塗佈工資</t>
  </si>
  <si>
    <t xml:space="preserve">0991002022
</t>
  </si>
  <si>
    <t>分析表219</t>
  </si>
  <si>
    <t>伸縮縫</t>
  </si>
  <si>
    <t xml:space="preserve">0315030001
</t>
  </si>
  <si>
    <t>產品，伸縮縫，填縫劑</t>
  </si>
  <si>
    <t xml:space="preserve">M0315036004
</t>
  </si>
  <si>
    <t>產品，混凝土附屬品，伸縮縫，發泡PE棒</t>
  </si>
  <si>
    <t xml:space="preserve">M031503E0004
</t>
  </si>
  <si>
    <t>產品，伸縮縫，(保麗龍，厚小於3.0cm)</t>
  </si>
  <si>
    <t xml:space="preserve">M0315034004
</t>
  </si>
  <si>
    <t>產品，混凝土附屬品，伸縮縫，側模</t>
  </si>
  <si>
    <t xml:space="preserve">M031503F0004
</t>
  </si>
  <si>
    <t>分析表220</t>
  </si>
  <si>
    <t>洗石子</t>
  </si>
  <si>
    <t xml:space="preserve">0978000002
</t>
  </si>
  <si>
    <t>水泥砂漿粉刷，1：3水泥砂漿，打底</t>
  </si>
  <si>
    <t xml:space="preserve">0922030022
</t>
  </si>
  <si>
    <t>產品，粒料，細粒料，2.1~3mm</t>
  </si>
  <si>
    <t xml:space="preserve">M0305022009
</t>
  </si>
  <si>
    <t>產品，礦物填縫料</t>
  </si>
  <si>
    <t xml:space="preserve">M09050G0009
</t>
  </si>
  <si>
    <t>水泥砂漿粉刷，分隔壓條</t>
  </si>
  <si>
    <t xml:space="preserve">09220000F4
</t>
  </si>
  <si>
    <t>分析表221</t>
  </si>
  <si>
    <t>斬石子</t>
  </si>
  <si>
    <t xml:space="preserve">0978100002
</t>
  </si>
  <si>
    <t>技術工，斬石子</t>
  </si>
  <si>
    <t>分析表222</t>
  </si>
  <si>
    <t>抿石子</t>
  </si>
  <si>
    <t xml:space="preserve">0978200002
</t>
  </si>
  <si>
    <t>產品，抿石子，分隔壓條</t>
  </si>
  <si>
    <t xml:space="preserve">M0978200024
</t>
  </si>
  <si>
    <t>抿石子，技術工</t>
  </si>
  <si>
    <t xml:space="preserve">L097825000001
</t>
  </si>
  <si>
    <t>油漆，透明漆，一底二度</t>
  </si>
  <si>
    <t xml:space="preserve">0991092002
</t>
  </si>
  <si>
    <t>分析表223</t>
  </si>
  <si>
    <t>人孔提升調降，不更換框座，日間施工(人工)</t>
  </si>
  <si>
    <t xml:space="preserve">02631N201B
</t>
  </si>
  <si>
    <t xml:space="preserve">0231600Z6A
</t>
  </si>
  <si>
    <t>人孔提升調降，支撐架(含校教調費)</t>
  </si>
  <si>
    <t xml:space="preserve">02631N4008
</t>
  </si>
  <si>
    <t>人孔提升調降，人孔支距調查</t>
  </si>
  <si>
    <t xml:space="preserve">02631N5004
</t>
  </si>
  <si>
    <t>分析表224</t>
  </si>
  <si>
    <t>人孔提升調降，不更換框座，夜間施工(人工)</t>
  </si>
  <si>
    <t xml:space="preserve">02631N202B
</t>
  </si>
  <si>
    <t>構造物開挖，(人工挖，未含抽水)，未含運費，夜間施工</t>
  </si>
  <si>
    <t xml:space="preserve">023160NZ61
</t>
  </si>
  <si>
    <t>餘方自行處理(含水土保持)，總重15t傾卸貨車，夜間施工</t>
  </si>
  <si>
    <t xml:space="preserve">0232340NZ1
</t>
  </si>
  <si>
    <t>分析表225</t>
  </si>
  <si>
    <t>人孔提升調降，含更換框座，日間施工(人工)</t>
  </si>
  <si>
    <t xml:space="preserve">02631N101B
</t>
  </si>
  <si>
    <t>人孔提升調降，支線及連接管支距調查</t>
  </si>
  <si>
    <t xml:space="preserve">02631N6004
</t>
  </si>
  <si>
    <t>產品，鑄鐵件，球狀石墨鑄鐵人孔蓋及框座</t>
  </si>
  <si>
    <t xml:space="preserve">M0556260008
</t>
  </si>
  <si>
    <t>分析表226</t>
  </si>
  <si>
    <t>人孔提升調降，含更換框座，夜間施工(人工)</t>
  </si>
  <si>
    <t xml:space="preserve">02631N102B
</t>
  </si>
  <si>
    <t>分析表227</t>
  </si>
  <si>
    <t>人孔提升調降，打除原有混凝土框座並更新，日間施工(人工)</t>
  </si>
  <si>
    <t xml:space="preserve">02631N301B
</t>
  </si>
  <si>
    <t>分析表228</t>
  </si>
  <si>
    <t>人孔提升調降，打除原有混凝土框座並更新，夜間施工(人工)</t>
  </si>
  <si>
    <t xml:space="preserve">02631N302B
</t>
  </si>
  <si>
    <t>人工拆除，鋼筋混凝土，含裝車未含運費，夜間施工</t>
  </si>
  <si>
    <t xml:space="preserve">02220212N3
</t>
  </si>
  <si>
    <t>分析表229</t>
  </si>
  <si>
    <t>住戶排水銜接費，人行道寬度5m(含)以上</t>
  </si>
  <si>
    <t>處</t>
  </si>
  <si>
    <t xml:space="preserve">02610ZT002
</t>
  </si>
  <si>
    <t>住戶排水銜接費，PVC管(厚管)，4"</t>
  </si>
  <si>
    <t xml:space="preserve">02610Z0PN4
</t>
  </si>
  <si>
    <t>住戶排水銜接費，接頭彎管及其他材料費</t>
  </si>
  <si>
    <t xml:space="preserve">02610Z0G04
</t>
  </si>
  <si>
    <t>分析表230</t>
  </si>
  <si>
    <t>護欄，混凝土護欄，仿竹欄杆(含底座，不含植筋)</t>
  </si>
  <si>
    <t xml:space="preserve">028432A001
</t>
  </si>
  <si>
    <t>清水模板，丁種</t>
  </si>
  <si>
    <t xml:space="preserve">0311021402
</t>
  </si>
  <si>
    <t>護欄，混凝土護欄，造型模板折舊費</t>
  </si>
  <si>
    <t xml:space="preserve">02843200A5
</t>
  </si>
  <si>
    <t>護欄，混凝土護欄，造型模板組立</t>
  </si>
  <si>
    <t xml:space="preserve">02843200B4
</t>
  </si>
  <si>
    <t>護欄，混凝土護欄，表面雕飾及防水水泥漆粉刷(一底二度)</t>
  </si>
  <si>
    <t xml:space="preserve">02843200C5
</t>
  </si>
  <si>
    <t>分析表231</t>
  </si>
  <si>
    <t>護欄，混凝土護欄，仿松竹欄杆(含底座，不含植筋)</t>
  </si>
  <si>
    <t xml:space="preserve">028432B001
</t>
  </si>
  <si>
    <t>分析表232</t>
  </si>
  <si>
    <t>護欄，混凝土護欄，仿松欄杆TYPE1(含底座，不含植筋)</t>
  </si>
  <si>
    <t xml:space="preserve">028432C001
</t>
  </si>
  <si>
    <t>分析表233</t>
  </si>
  <si>
    <t>護欄，混凝土護欄，仿松欄杆TYPE2(含底座，不含植筋)</t>
  </si>
  <si>
    <t xml:space="preserve">028432D001
</t>
  </si>
  <si>
    <t>分析表234</t>
  </si>
  <si>
    <t>施工輔助設施，施工架，鋼管，單管</t>
  </si>
  <si>
    <t xml:space="preserve">0154011102
</t>
  </si>
  <si>
    <t>產品，施工輔助設施，施工架，鋼管，單管</t>
  </si>
  <si>
    <t>M0154011102
(含繫件，配件)</t>
  </si>
  <si>
    <t>施工輔助設施，施工架，鋼管，單管，裝拆</t>
  </si>
  <si>
    <t xml:space="preserve">0154011122
</t>
  </si>
  <si>
    <t>施工輔助設施，施工架，安全設施(含橫版及護欄等)</t>
  </si>
  <si>
    <t xml:space="preserve">0154010324
</t>
  </si>
  <si>
    <t>分析表235</t>
  </si>
  <si>
    <t>施工輔助設施，施工架，鋼管，框式</t>
  </si>
  <si>
    <t>0154011202
需符合中華民國國家標準4750</t>
  </si>
  <si>
    <t>產品，施工輔助設施，施工架，鋼管，框式</t>
  </si>
  <si>
    <t>M0154011202
(含繫件，配件)</t>
  </si>
  <si>
    <t>施工輔助設施，施工架，鋼管，框式，裝拆</t>
  </si>
  <si>
    <t xml:space="preserve">0154011222
</t>
  </si>
  <si>
    <t>分析表236</t>
  </si>
  <si>
    <t>開挖臨時覆蓋板及其支撐，鋼質覆蓋板，含覆蓋板之支撐結構</t>
  </si>
  <si>
    <t xml:space="preserve">0153210012
</t>
  </si>
  <si>
    <t>產品，開挖臨時覆蓋板及其支撐，舖設鋼板臨時作為舖面用</t>
  </si>
  <si>
    <t>M01532A000A
租金</t>
  </si>
  <si>
    <t>開挖臨時覆蓋板及其支撐，舖設鋼板臨時作為舖面用，加工費(含槽鋼、H型鋼、擋土鋼鈑及其零件)</t>
  </si>
  <si>
    <t xml:space="preserve">01532A00B4
</t>
  </si>
  <si>
    <t>開挖臨時覆蓋板及其支撐，舖設鋼板臨時作為舖面用，裝拆及維護</t>
  </si>
  <si>
    <t>01532A0004
含吊車</t>
  </si>
  <si>
    <t>開挖臨時覆蓋板及其支撐，舖設鋼板臨時作為舖面用，配合設施(含木板埋設砂包填充及覆工板外緣AC修復)</t>
  </si>
  <si>
    <t xml:space="preserve">01532A00C4
</t>
  </si>
  <si>
    <t>分析表237</t>
  </si>
  <si>
    <t>開挖臨時覆蓋板及其支撐，舖設鋼板臨時作為舖面用，厚15mm</t>
  </si>
  <si>
    <t xml:space="preserve">01532AB002
</t>
  </si>
  <si>
    <t>產品，開挖臨時覆蓋板及其支撐，舖設鋼板臨時作為舖面用，厚15mm，租金</t>
  </si>
  <si>
    <t xml:space="preserve">M01532AB012
</t>
  </si>
  <si>
    <t>分析表238</t>
  </si>
  <si>
    <t>開挖臨時覆蓋板及其支撐，管溝開挖臨時做為跨越用</t>
  </si>
  <si>
    <t>分析表239</t>
  </si>
  <si>
    <t>舌閥，含止傾桿，球狀石墨鑄鐵，標稱口徑600mm</t>
  </si>
  <si>
    <t xml:space="preserve">15110X150R08
</t>
  </si>
  <si>
    <t>產品，舌閥，含止傾桿，球狀石墨鑄鐵，標稱口徑600mm</t>
  </si>
  <si>
    <t xml:space="preserve">M15110X150R08
</t>
  </si>
  <si>
    <t>舌閥，吊裝費</t>
  </si>
  <si>
    <t xml:space="preserve">15110X200004
</t>
  </si>
  <si>
    <t>分析表240</t>
  </si>
  <si>
    <t>塑膠包覆不銹鋼踏步，直徑=19mm</t>
  </si>
  <si>
    <t xml:space="preserve">05500h0R0A
</t>
  </si>
  <si>
    <t>產品，塑膠包覆不銹鋼踏步，直徑=19mm</t>
  </si>
  <si>
    <t xml:space="preserve">M05500h0R0A
</t>
  </si>
  <si>
    <t>塑膠包覆不銹鋼踏步，安裝，直徑=19mm</t>
  </si>
  <si>
    <t xml:space="preserve">05500h4R04
</t>
  </si>
  <si>
    <t>分析表241</t>
  </si>
  <si>
    <t>不銹鋼踏步，安裝，直徑=19mm</t>
  </si>
  <si>
    <t xml:space="preserve">05500f4R0A
</t>
  </si>
  <si>
    <t>原有不銹鋼踏步，拆除</t>
  </si>
  <si>
    <t xml:space="preserve">0550000014
</t>
  </si>
  <si>
    <t>分析表242</t>
  </si>
  <si>
    <t>原有不銹鋼踏步更新，∮19mm(L=86cm)，含切割及安裝(A型)</t>
  </si>
  <si>
    <t xml:space="preserve">05500FAA14
</t>
  </si>
  <si>
    <t>原有不銹鋼踏步，切除及表面處理</t>
  </si>
  <si>
    <t xml:space="preserve">05500F0014
</t>
  </si>
  <si>
    <t>原有不銹鋼踏步，壁面鑽孔及安裝</t>
  </si>
  <si>
    <t xml:space="preserve">055000C004
</t>
  </si>
  <si>
    <t>原有不銹鋼踏步，化學錨定藥液</t>
  </si>
  <si>
    <t xml:space="preserve">0550000034
</t>
  </si>
  <si>
    <t>分析表243</t>
  </si>
  <si>
    <t>原有不銹鋼踏步更新，∮19mm(L=50cm)，含切割及安裝(B型)</t>
  </si>
  <si>
    <t>05500FAB14
每M3.3支踏步計</t>
  </si>
  <si>
    <t>產品，不銹鋼踏步，∮19mm(L=50cm)含加工</t>
  </si>
  <si>
    <t xml:space="preserve">M05500FB124
</t>
  </si>
  <si>
    <t>產品，不銹扁鋼(t=4.5mm，b=50mm)，含加工</t>
  </si>
  <si>
    <t xml:space="preserve">M05500CB004
</t>
  </si>
  <si>
    <t>金屬接合，不銹鋼膨脹螺栓，含零配件</t>
  </si>
  <si>
    <t xml:space="preserve">050900MH0A
</t>
  </si>
  <si>
    <t>孔</t>
  </si>
  <si>
    <t xml:space="preserve">055000C009
</t>
  </si>
  <si>
    <t>分析表244</t>
  </si>
  <si>
    <t>原有不銹鋼踏步更新，∮19mm(L=50cm)，含切割及安裝(C型)</t>
  </si>
  <si>
    <t xml:space="preserve">05500FAC18
</t>
  </si>
  <si>
    <t>分析表245</t>
  </si>
  <si>
    <t>植栽，客土，砂質壤土</t>
  </si>
  <si>
    <t>02900B100C
穴孔：D=20CM， H=20CM</t>
  </si>
  <si>
    <t>產品，植栽，客土，砂質壤土</t>
  </si>
  <si>
    <t xml:space="preserve">M02900B100B
</t>
  </si>
  <si>
    <t>分析表246</t>
  </si>
  <si>
    <t>植草，草種噴植，混合草種，養護</t>
  </si>
  <si>
    <t xml:space="preserve">0292012C02
</t>
  </si>
  <si>
    <t>產品，植草，草種噴植，混合草種</t>
  </si>
  <si>
    <t xml:space="preserve">M0292012009
</t>
  </si>
  <si>
    <t>產品，植草，草種噴植，(黏著劑、肥料、農藥及水等)</t>
  </si>
  <si>
    <t xml:space="preserve">M029201A004
</t>
  </si>
  <si>
    <t>植草，草種噴植，(覆蓋稻草蓆、撒砂土或其他方式處理)</t>
  </si>
  <si>
    <t xml:space="preserve">0292010Q02
</t>
  </si>
  <si>
    <t>植草，草種噴植</t>
  </si>
  <si>
    <t xml:space="preserve">0292010002
</t>
  </si>
  <si>
    <t>噴植草，植草養護(含澆水、施肥、病蟲防治、除雜草、保活等)</t>
  </si>
  <si>
    <t xml:space="preserve">0292190002
</t>
  </si>
  <si>
    <t>配合技術工之勞工，整地</t>
  </si>
  <si>
    <t>分析表247</t>
  </si>
  <si>
    <t>植草，密舖</t>
  </si>
  <si>
    <t xml:space="preserve">0292000U02
</t>
  </si>
  <si>
    <t>產品，植草，密舖</t>
  </si>
  <si>
    <t>M0292000U02
狗牙根、地毯草及假儉草</t>
  </si>
  <si>
    <t xml:space="preserve">L000006A00011
</t>
  </si>
  <si>
    <t>植栽，機械挖穴</t>
  </si>
  <si>
    <t xml:space="preserve">029003000C
</t>
  </si>
  <si>
    <t>產品，植栽，肥料，有機肥料</t>
  </si>
  <si>
    <t xml:space="preserve">M02900A1009
</t>
  </si>
  <si>
    <t>植栽種植工</t>
  </si>
  <si>
    <t xml:space="preserve">L000005e00001
</t>
  </si>
  <si>
    <t>分析表248</t>
  </si>
  <si>
    <t>混凝土植草磚</t>
  </si>
  <si>
    <t xml:space="preserve">0422200002
</t>
  </si>
  <si>
    <t>產品，混凝土植草磚</t>
  </si>
  <si>
    <t>M0422200002
含損耗</t>
  </si>
  <si>
    <t>種植費，客土施放</t>
  </si>
  <si>
    <t xml:space="preserve">0293100002
</t>
  </si>
  <si>
    <t>分析表249</t>
  </si>
  <si>
    <t>清運，雜草雜木(含垃圾)</t>
  </si>
  <si>
    <t xml:space="preserve">02233A0002
</t>
  </si>
  <si>
    <t>吊放吊物，吊車(20t以下)</t>
  </si>
  <si>
    <t>分析表250</t>
  </si>
  <si>
    <t>清除及掘除，雜草，機械割(含雜木)</t>
  </si>
  <si>
    <t xml:space="preserve">0223102002
</t>
  </si>
  <si>
    <t>割草機</t>
  </si>
  <si>
    <t xml:space="preserve">E000006A00001
</t>
  </si>
  <si>
    <t>割草機操作工</t>
  </si>
  <si>
    <t xml:space="preserve">L0205000002
</t>
  </si>
  <si>
    <t>分析表251</t>
  </si>
  <si>
    <t>清除及掘除，雜草雜木，含垃圾撿除，人工割</t>
  </si>
  <si>
    <t xml:space="preserve">0223109002
</t>
  </si>
  <si>
    <t>分析表252</t>
  </si>
  <si>
    <t>清除，垃圾及廢棄物(以重量計)，含運費</t>
  </si>
  <si>
    <t>噸</t>
  </si>
  <si>
    <t xml:space="preserve">02234A0001
</t>
  </si>
  <si>
    <t>清除，垃圾及廢棄物，小搬運</t>
  </si>
  <si>
    <t xml:space="preserve">02234A00Z4
</t>
  </si>
  <si>
    <t>分析表253</t>
  </si>
  <si>
    <t>植栽維護，喬木類，樹木剪枝，A級</t>
  </si>
  <si>
    <t>株</t>
  </si>
  <si>
    <t>029351C32A
樹高8-10公尺，修剪前樹寬3-5公尺</t>
  </si>
  <si>
    <t>植栽養護工，修剪及整枝</t>
  </si>
  <si>
    <t xml:space="preserve">L000005F00021
</t>
  </si>
  <si>
    <t>分析表254</t>
  </si>
  <si>
    <t>清除，垃圾及廢棄物(以面積計)，含運費</t>
  </si>
  <si>
    <t xml:space="preserve">02234A0002
</t>
  </si>
  <si>
    <t>清運，棄置場費用(含卡車沖洗及帆布覆蓋費)</t>
  </si>
  <si>
    <t xml:space="preserve">02233B0004
</t>
  </si>
  <si>
    <t>分析表255</t>
  </si>
  <si>
    <t>清除，垃圾及廢棄物(以體積計)，含運費</t>
  </si>
  <si>
    <t xml:space="preserve">02234A0003
</t>
  </si>
  <si>
    <t xml:space="preserve">02233B0003
</t>
  </si>
  <si>
    <t>分析表256</t>
  </si>
  <si>
    <t>袪水，臨時排水，箱涵用</t>
  </si>
  <si>
    <t>分析表257</t>
  </si>
  <si>
    <t>袪水，臨時排水，RCP用</t>
  </si>
  <si>
    <t>分析表258</t>
  </si>
  <si>
    <t xml:space="preserve">01271AB101
</t>
  </si>
  <si>
    <t>吊車，20t以下</t>
  </si>
  <si>
    <t xml:space="preserve">E3814ZFB101
</t>
  </si>
  <si>
    <t>分析表259</t>
  </si>
  <si>
    <t>吊放吊物，吊車(20t以上)</t>
  </si>
  <si>
    <t xml:space="preserve">01271AB201
</t>
  </si>
  <si>
    <t>吊車，20t以上</t>
  </si>
  <si>
    <t xml:space="preserve">E3814ZFB201
</t>
  </si>
  <si>
    <t>分析表260</t>
  </si>
  <si>
    <t>01510522BD
(含油料及運費)</t>
  </si>
  <si>
    <t>臨時設施，排水設備，引擎抽水機，60~100KW(含油料及運費)</t>
  </si>
  <si>
    <t xml:space="preserve">015105210D
</t>
  </si>
  <si>
    <t>五金另料，配合現場所需管線及PVC彎頭</t>
  </si>
  <si>
    <t xml:space="preserve">W028432G131
</t>
  </si>
  <si>
    <t>分析表261</t>
  </si>
  <si>
    <t>臨時設施，排水設備，沉水式抽水機，D=15cm，租金</t>
  </si>
  <si>
    <t>01510533BD
(含油料及運費)</t>
  </si>
  <si>
    <t>產品，臨時設施，排水設備，沉水式抽水機，D=15cm</t>
  </si>
  <si>
    <t xml:space="preserve">M015105330D
</t>
  </si>
  <si>
    <t>分析表262</t>
  </si>
  <si>
    <t>臨時設施，排水設備，沉水式抽水機，D=10cm，租金</t>
  </si>
  <si>
    <t>01510532BD
(含油料及運費)</t>
  </si>
  <si>
    <t>產品，臨時設施，排水設備，沉水式抽水機，D=10cm</t>
  </si>
  <si>
    <t xml:space="preserve">M015105320D
</t>
  </si>
  <si>
    <t>分析表263</t>
  </si>
  <si>
    <t>環境保護，沖吸兩用清溝車</t>
  </si>
  <si>
    <t>輛</t>
  </si>
  <si>
    <t>01572D0007
廢方另計</t>
  </si>
  <si>
    <t>沖吸兩用清溝車(高壓水泵壓力170kg/cm2以上</t>
  </si>
  <si>
    <t>日</t>
  </si>
  <si>
    <t xml:space="preserve">E4172X40B06
</t>
  </si>
  <si>
    <t>清溝車操作工</t>
  </si>
  <si>
    <t xml:space="preserve">L8423070002
</t>
  </si>
  <si>
    <t>分析表264</t>
  </si>
  <si>
    <t xml:space="preserve">0226210003
</t>
  </si>
  <si>
    <t>圍水，砂包堆置，粗粒料運費</t>
  </si>
  <si>
    <t xml:space="preserve">022621002A
</t>
  </si>
  <si>
    <t>產品，圍水，砂包堆置，聚丙烯袋(含紮繩)</t>
  </si>
  <si>
    <t xml:space="preserve">M0226210034
</t>
  </si>
  <si>
    <t>分析表265</t>
  </si>
  <si>
    <t>鑽孔，混凝土結構物鑽孔費，含溝蓋溝牆等</t>
  </si>
  <si>
    <t xml:space="preserve">022180A005
</t>
  </si>
  <si>
    <t>操作手，鑽孔機</t>
  </si>
  <si>
    <t xml:space="preserve">L0000051000H1
</t>
  </si>
  <si>
    <t>機具不分類，鑽孔機等設備</t>
  </si>
  <si>
    <t xml:space="preserve">E0000010N0001
</t>
  </si>
  <si>
    <t>小搬運，含施工機械及廢棄物搬運棄</t>
  </si>
  <si>
    <t xml:space="preserve">W12711A0004
</t>
  </si>
  <si>
    <t xml:space="preserve">W1271100004
</t>
  </si>
  <si>
    <t>分析表266</t>
  </si>
  <si>
    <t>瀝青混凝土舖面，常溫，高黏度，樹脂瀝青</t>
  </si>
  <si>
    <t>02742B0H03
#</t>
  </si>
  <si>
    <t>產品，瀝青混凝土鋪面，常溫，樹脂瀝青</t>
  </si>
  <si>
    <t xml:space="preserve">M02742B0H09
</t>
  </si>
  <si>
    <t>構造物回填，回填及夯實，人工夯實</t>
  </si>
  <si>
    <t xml:space="preserve">0231740#M1
</t>
  </si>
  <si>
    <t>分析表267</t>
  </si>
  <si>
    <t>工地處理，路口管涵開挖，路口≦8m，夜間施工</t>
  </si>
  <si>
    <t xml:space="preserve">0151111021
</t>
  </si>
  <si>
    <t xml:space="preserve">L000005102011
</t>
  </si>
  <si>
    <t xml:space="preserve">L000005302011
</t>
  </si>
  <si>
    <t>分析表268</t>
  </si>
  <si>
    <t>工地處理，路口管涵開挖，路口＞8m，夜間施工</t>
  </si>
  <si>
    <t xml:space="preserve">0151112021
</t>
  </si>
  <si>
    <t>分析表269</t>
  </si>
  <si>
    <t>工地處理，路口管涵開挖，路口≦8m</t>
  </si>
  <si>
    <t xml:space="preserve">0151111221
</t>
  </si>
  <si>
    <t>分析表270</t>
  </si>
  <si>
    <t>工地處理，路口管涵開挖，路口＞8m</t>
  </si>
  <si>
    <t xml:space="preserve">0151112221
</t>
  </si>
  <si>
    <t>分析表271</t>
  </si>
  <si>
    <t>現場調查，1999通報，調查及回報，日間</t>
  </si>
  <si>
    <t>次</t>
  </si>
  <si>
    <t xml:space="preserve">0221071026
</t>
  </si>
  <si>
    <t>現場調查，含車輛、簡易機具及文件製作</t>
  </si>
  <si>
    <t xml:space="preserve">0221071024
</t>
  </si>
  <si>
    <t>現場調查，調查人員費</t>
  </si>
  <si>
    <t xml:space="preserve">0221071034
</t>
  </si>
  <si>
    <t>分析表272</t>
  </si>
  <si>
    <t>現場調查，1999通報，安全圍設，日間</t>
  </si>
  <si>
    <t xml:space="preserve">0221071123
</t>
  </si>
  <si>
    <t>現場圍設(含交通錐、警示燈等)</t>
  </si>
  <si>
    <t xml:space="preserve">W0127111104
</t>
  </si>
  <si>
    <t>現場調查，值勤人員費</t>
  </si>
  <si>
    <t xml:space="preserve">0221071044
</t>
  </si>
  <si>
    <t>零星工料(含文件製作)</t>
  </si>
  <si>
    <t xml:space="preserve">W0127111014
</t>
  </si>
  <si>
    <t>分析表273</t>
  </si>
  <si>
    <t>現場調查，1999通報，調查及回報，夜間</t>
  </si>
  <si>
    <t xml:space="preserve">0221072026
</t>
  </si>
  <si>
    <t>分析表274</t>
  </si>
  <si>
    <t>現場調查，1999通報，安全圍設，夜間</t>
  </si>
  <si>
    <t xml:space="preserve">0221072123
</t>
  </si>
  <si>
    <t>分析表275</t>
  </si>
  <si>
    <t>工地處理，緊急搶修，路面開挖</t>
  </si>
  <si>
    <t xml:space="preserve">0151113021
</t>
  </si>
  <si>
    <t>分析表276</t>
  </si>
  <si>
    <t>工地處理，緊急搶修，路面開挖，夜間施工</t>
  </si>
  <si>
    <t xml:space="preserve">0151113221
</t>
  </si>
  <si>
    <t>分析表277</t>
  </si>
  <si>
    <t>瀝青混凝土舖面，舖築及滾壓，緊急搶修工程用，鋪設面積≦50m2適用</t>
  </si>
  <si>
    <t xml:space="preserve">02742000S3
</t>
  </si>
  <si>
    <t>輪式鏟裝機</t>
  </si>
  <si>
    <t xml:space="preserve">E3511X74001
</t>
  </si>
  <si>
    <t>鐵輪壓路機，二輪自走式</t>
  </si>
  <si>
    <t xml:space="preserve">E000006710001
</t>
  </si>
  <si>
    <t>輪式鏟裝機操作工</t>
  </si>
  <si>
    <t xml:space="preserve">L8441170001
</t>
  </si>
  <si>
    <t>分析表278</t>
  </si>
  <si>
    <t>瀝青混凝土舖面，舖築及滾壓，緊急搶修工程用，鋪設面積＞50m2適用</t>
  </si>
  <si>
    <t xml:space="preserve">0274200BS3
</t>
  </si>
  <si>
    <t>分析表279</t>
  </si>
  <si>
    <t>瀝青混凝土舖面，舖築及滾壓，緊急搶修工程用，鋪設面積≦50m2適用，夜間</t>
  </si>
  <si>
    <t xml:space="preserve">0274200NS3
</t>
  </si>
  <si>
    <t>輪式鏟裝機操作工，夜間</t>
  </si>
  <si>
    <t xml:space="preserve">L8441170N01
</t>
  </si>
  <si>
    <t>操作手，壓路機，夜間</t>
  </si>
  <si>
    <t xml:space="preserve">L000005102071
</t>
  </si>
  <si>
    <t>分析表280</t>
  </si>
  <si>
    <t>瀝青混凝土舖面，舖築及滾壓，緊急搶修工程用，鋪設面積＞50m2適用，夜間</t>
  </si>
  <si>
    <t xml:space="preserve">027420BNS3
</t>
  </si>
  <si>
    <t>分析表281</t>
  </si>
  <si>
    <t>瀝青混凝土舖面，粗粒料19.0mm，針入度60~70，緊急搶修工程用，舖築及滾壓另計</t>
  </si>
  <si>
    <t xml:space="preserve">02742040B3
</t>
  </si>
  <si>
    <t xml:space="preserve">02742000D3
</t>
  </si>
  <si>
    <t>分析表282</t>
  </si>
  <si>
    <t>瀝青混凝土舖面，粗粒料9.5mm，針入度60~70，緊急搶修工程用，舖築及滾壓另計</t>
  </si>
  <si>
    <t xml:space="preserve">02742050B3
</t>
  </si>
  <si>
    <t>分析表283</t>
  </si>
  <si>
    <t>瀝青混凝土面，再生粒料，粗粒料19.0mm，緊急搶修工程用，舖築及滾壓另計</t>
  </si>
  <si>
    <t xml:space="preserve">02742D3003
</t>
  </si>
  <si>
    <t>分析表284</t>
  </si>
  <si>
    <t>瀝青混凝土面，再生粒料，粗粒料9.5mm，緊急搶修工程用，舖築及滾壓另計</t>
  </si>
  <si>
    <t xml:space="preserve">02742D5003
</t>
  </si>
  <si>
    <t>分析表285</t>
  </si>
  <si>
    <t>瀝青混凝土面，密級配改質瀝青混凝土，粗粒料19mm，改質Ⅲ型，緊急搶修工程用，舖築及滾壓另計</t>
  </si>
  <si>
    <t xml:space="preserve">0274293G03
</t>
  </si>
  <si>
    <t>分析表286</t>
  </si>
  <si>
    <t>瀝青混凝土面層刨除，刨除機1.2m寬，緊急搶修工程用，未含刨除料運費</t>
  </si>
  <si>
    <t xml:space="preserve">0296150001
</t>
  </si>
  <si>
    <t>操作手，日間，刨除機</t>
  </si>
  <si>
    <t xml:space="preserve">L0000051010A1
</t>
  </si>
  <si>
    <t>分析表287</t>
  </si>
  <si>
    <t>瀝青混凝土面層刨除，刨除機1.2m寬，緊急搶修工程用，未含刨除料運費，夜間施工</t>
  </si>
  <si>
    <t xml:space="preserve">0296150N01
</t>
  </si>
  <si>
    <t>清掃機駕駛員，夜間</t>
  </si>
  <si>
    <t>L84230090N1
#</t>
  </si>
  <si>
    <t>操作手，夜間，刨除機</t>
  </si>
  <si>
    <t xml:space="preserve">L0000051020A1
</t>
  </si>
  <si>
    <t>清潔工，夜間</t>
  </si>
  <si>
    <t xml:space="preserve">L000006502001
</t>
  </si>
  <si>
    <t>分析表288</t>
  </si>
  <si>
    <t>試挖，地下管線，W=1m，H=1m，日間施工</t>
  </si>
  <si>
    <t xml:space="preserve">0250111111
</t>
  </si>
  <si>
    <t>竣工文件，工程成果製作，含測量繪圖及照片</t>
  </si>
  <si>
    <t xml:space="preserve">0178100004
</t>
  </si>
  <si>
    <t>臨時設施，擋土設施</t>
  </si>
  <si>
    <t xml:space="preserve">0151070004
</t>
  </si>
  <si>
    <t>分析表289</t>
  </si>
  <si>
    <t>試挖，地下管線，W=1m，H=1m，夜間施工</t>
  </si>
  <si>
    <t xml:space="preserve">0250111121
</t>
  </si>
  <si>
    <t>基地及路幅開挖，未含運費，(機械挖，0.7~0.79m3開挖機)(夜間施工)</t>
  </si>
  <si>
    <t xml:space="preserve">0232105AN1
</t>
  </si>
  <si>
    <t xml:space="preserve">0274203B53
</t>
  </si>
  <si>
    <t>0274205B53
零星工程用</t>
  </si>
  <si>
    <t>分析表290</t>
  </si>
  <si>
    <t>試挖，地下管線，W=1m，H=1.5m，日間施工</t>
  </si>
  <si>
    <t xml:space="preserve">0250111211
</t>
  </si>
  <si>
    <t>分析表291</t>
  </si>
  <si>
    <t>試挖，地下管線，W=1m，H=1.5m，夜間施工</t>
  </si>
  <si>
    <t xml:space="preserve">0250111221
</t>
  </si>
  <si>
    <t>分析表292</t>
  </si>
  <si>
    <t>試挖，地下管線，W=1m，H=2m，日間施工</t>
  </si>
  <si>
    <t xml:space="preserve">0250111311
</t>
  </si>
  <si>
    <t>分析表293</t>
  </si>
  <si>
    <t>試挖，地下管線，W=1m，H=2m，夜間施工</t>
  </si>
  <si>
    <t xml:space="preserve">0250111321
</t>
  </si>
  <si>
    <t>分析表294</t>
  </si>
  <si>
    <t>試挖，地下管線，W=1.6m，H=2.5m，日間施工</t>
  </si>
  <si>
    <t xml:space="preserve">0250112411
</t>
  </si>
  <si>
    <t>分析表295</t>
  </si>
  <si>
    <t>試挖，地下管線，W=1.6m，H=2.5m，夜間施工</t>
  </si>
  <si>
    <t xml:space="preserve">0250112421
</t>
  </si>
  <si>
    <t>分析表296</t>
  </si>
  <si>
    <t>試挖，地下管線，W=1.6m，H=3m，日間施工</t>
  </si>
  <si>
    <t xml:space="preserve">0250112511
</t>
  </si>
  <si>
    <t>分析表297</t>
  </si>
  <si>
    <t>試挖，地下管線，W=1.6m，H=3m，夜間施工</t>
  </si>
  <si>
    <t xml:space="preserve">0250112521
</t>
  </si>
  <si>
    <t>分析表298</t>
  </si>
  <si>
    <t>施工測量，地形測量，平面測量，土木及水利工程</t>
  </si>
  <si>
    <t xml:space="preserve">0172521202
</t>
  </si>
  <si>
    <t>測量人員</t>
  </si>
  <si>
    <t xml:space="preserve">L000002800001
</t>
  </si>
  <si>
    <t>施工測量，地形測量，平面測量，儀器折舊</t>
  </si>
  <si>
    <t xml:space="preserve">0172521064
</t>
  </si>
  <si>
    <t>施工測量，地形測量，平面測量，含成果製作【CAD繪圖含光碟製作及A1出圖】</t>
  </si>
  <si>
    <t xml:space="preserve">0172521054
</t>
  </si>
  <si>
    <t>分析表299</t>
  </si>
  <si>
    <t>施工照相及攝(錄)影，施工動態即時影像傳輸費，機關提供攝影機</t>
  </si>
  <si>
    <t>日/台</t>
  </si>
  <si>
    <t>013210000B
含路證申請、回報及配合道路挖掘之相關作業費用</t>
  </si>
  <si>
    <t>產品，施工照相及攝(錄)影，(4G行動門號，即時攝影無線傳輸)，含電池及設備租用</t>
  </si>
  <si>
    <t>台/日</t>
  </si>
  <si>
    <t xml:space="preserve">M013210100B
</t>
  </si>
  <si>
    <t xml:space="preserve">L000006300001
</t>
  </si>
  <si>
    <t xml:space="preserve">L000006C00001
</t>
  </si>
  <si>
    <t>分析表300</t>
  </si>
  <si>
    <t>施工照相及攝(錄)影，(4G行動門號，即時攝影無線傳輸)，施工動態即時影像傳輸費</t>
  </si>
  <si>
    <t>013210100b
含路證申請、回報及配合道路挖掘之相關作業費用</t>
  </si>
  <si>
    <t>產品，戶外型雲端管理型攝(錄)影機，(4G行動門號，即時攝影無線傳輸)，租用</t>
  </si>
  <si>
    <t xml:space="preserve">M013211100B
</t>
  </si>
  <si>
    <t>分析表301</t>
  </si>
  <si>
    <t>施工圍籬，組合式固定，2.4m ≦高度</t>
  </si>
  <si>
    <t>01564L4001
高度2.4m</t>
  </si>
  <si>
    <t>產品，施工圍籬，組合式固定，2.4m ≦高度</t>
  </si>
  <si>
    <t xml:space="preserve">M01564L4004
</t>
  </si>
  <si>
    <t>施工圍籬，組合式固定，2.4m ≦高度，裝拆</t>
  </si>
  <si>
    <t xml:space="preserve">01564L4024
</t>
  </si>
  <si>
    <t>施工圍籬，組合式固定，2.4m ≦高度，維護</t>
  </si>
  <si>
    <t xml:space="preserve">01564L4034
</t>
  </si>
  <si>
    <t>施工圍籬，混凝土基礎</t>
  </si>
  <si>
    <t xml:space="preserve">01564M000B
</t>
  </si>
  <si>
    <t>分析表302</t>
  </si>
  <si>
    <t>施工圍籬，組合式活動，2.4m ≦高度</t>
  </si>
  <si>
    <t>01564C4001
高度2.4m</t>
  </si>
  <si>
    <t>產品，施工圍籬，組合式活動，2.4m ≦高度</t>
  </si>
  <si>
    <t xml:space="preserve">M01564C4004
</t>
  </si>
  <si>
    <t>施工圍籬，組合式活動，2.4m ≦高度，裝拆</t>
  </si>
  <si>
    <t xml:space="preserve">01564C4024
</t>
  </si>
  <si>
    <t>施工圍籬，組合式活動，2.4m ≦高度，維護</t>
  </si>
  <si>
    <t xml:space="preserve">01564C4034
</t>
  </si>
  <si>
    <t>施工圍籬，固定式基礎</t>
  </si>
  <si>
    <t xml:space="preserve">01564a0004
</t>
  </si>
  <si>
    <t>分析表303</t>
  </si>
  <si>
    <t>型鋼護欄，含警示燈</t>
  </si>
  <si>
    <t>結構鋼，熱軋型鋼，H型鋼，(H250xB250mm，t1=9mm，t2=14mm)</t>
  </si>
  <si>
    <t xml:space="preserve">0512018181
</t>
  </si>
  <si>
    <t>鋼管（∮113.9mm）</t>
  </si>
  <si>
    <t xml:space="preserve">05500PWD50C03
</t>
  </si>
  <si>
    <t>結構鋼，熱軋型鋼，輕量型鋼</t>
  </si>
  <si>
    <t xml:space="preserve">051201A001
</t>
  </si>
  <si>
    <t>加工組立（含焊接螺栓）、油漆及吊運組裝費</t>
  </si>
  <si>
    <t xml:space="preserve">05500PWD00004
</t>
  </si>
  <si>
    <t>分析表304</t>
  </si>
  <si>
    <t>交通維持用，槽鋼護欄，含警示燈</t>
  </si>
  <si>
    <t>01556C00A1
使用10次</t>
  </si>
  <si>
    <t>kg</t>
  </si>
  <si>
    <t xml:space="preserve">0550000004
</t>
  </si>
  <si>
    <t>交通維持用，槽鋼護欄，維護(含警示燈)</t>
  </si>
  <si>
    <t xml:space="preserve">01556C0034
</t>
  </si>
  <si>
    <t>分析表305</t>
  </si>
  <si>
    <t>鋁板(標誌用)，厚3.26mm</t>
  </si>
  <si>
    <t xml:space="preserve">0289190002
</t>
  </si>
  <si>
    <t>產品，鋁板(標誌用)，厚3.26mm</t>
  </si>
  <si>
    <t xml:space="preserve">M0289191A01
</t>
  </si>
  <si>
    <t>鋁板(標誌用)，厚3.26mm，加工</t>
  </si>
  <si>
    <t>工</t>
  </si>
  <si>
    <t xml:space="preserve">0289191A11
</t>
  </si>
  <si>
    <t>分析表306</t>
  </si>
  <si>
    <t>牌面承座</t>
  </si>
  <si>
    <t>個</t>
  </si>
  <si>
    <t xml:space="preserve">02891A5007
</t>
  </si>
  <si>
    <t>產品，牌面承座及零件</t>
  </si>
  <si>
    <t xml:space="preserve">M028910A007
</t>
  </si>
  <si>
    <t>分析表307</t>
  </si>
  <si>
    <t>反光片</t>
  </si>
  <si>
    <t xml:space="preserve">0289100202
</t>
  </si>
  <si>
    <t>反光片，製作及印刷</t>
  </si>
  <si>
    <t xml:space="preserve">0289100401
</t>
  </si>
  <si>
    <t>產品，反光片</t>
  </si>
  <si>
    <t xml:space="preserve">M0289100202
</t>
  </si>
  <si>
    <t>反光片，黏貼滾壓及修邊</t>
  </si>
  <si>
    <t xml:space="preserve">0289100501
</t>
  </si>
  <si>
    <t>分析表308</t>
  </si>
  <si>
    <t>2"∮/2.5"∮A級管用夾具</t>
  </si>
  <si>
    <t>套</t>
  </si>
  <si>
    <t xml:space="preserve">05500p4008
</t>
  </si>
  <si>
    <t xml:space="preserve">M028911AC03
</t>
  </si>
  <si>
    <t>產品，產品，2"∮(或2.5"∮)A級管用夾具不鏽鋼螺絲</t>
  </si>
  <si>
    <t xml:space="preserve">M028911AC04
</t>
  </si>
  <si>
    <t>鋼材(鐵件)加工</t>
  </si>
  <si>
    <t xml:space="preserve">L7214090003
</t>
  </si>
  <si>
    <t>分析表309</t>
  </si>
  <si>
    <t>2"∮A級熱鍍鋅鋼管及安裝</t>
  </si>
  <si>
    <t xml:space="preserve">05500S4601
</t>
  </si>
  <si>
    <t>產品，2"∮A級熱鍍鋅鋼管</t>
  </si>
  <si>
    <t xml:space="preserve">M02891AA001
</t>
  </si>
  <si>
    <t>分析表310</t>
  </si>
  <si>
    <t>2.5"∮A級熱鍍鋅鋼管及安裝</t>
  </si>
  <si>
    <t xml:space="preserve">028915WE13
</t>
  </si>
  <si>
    <t>產品，2.5"∮A級熱鍍鋅鋼管</t>
  </si>
  <si>
    <t xml:space="preserve">M02891AC001
</t>
  </si>
  <si>
    <t>分析表311</t>
  </si>
  <si>
    <t>標線，骨材標線</t>
  </si>
  <si>
    <t xml:space="preserve">0289821205
</t>
  </si>
  <si>
    <t>產品，熱處理彩色聚酯鋪面材料</t>
  </si>
  <si>
    <t xml:space="preserve">M0289821401
</t>
  </si>
  <si>
    <t>產品，標線，黏層劑(底漆)</t>
  </si>
  <si>
    <t xml:space="preserve">M0289800019
</t>
  </si>
  <si>
    <t>標線，技術工</t>
  </si>
  <si>
    <t xml:space="preserve">L028985000001
</t>
  </si>
  <si>
    <t>施工鋪設費</t>
  </si>
  <si>
    <t xml:space="preserve">W0127170004
</t>
  </si>
  <si>
    <t>產品，彩色防滑材料</t>
  </si>
  <si>
    <t xml:space="preserve">M0289821501
</t>
  </si>
  <si>
    <t>分析表312</t>
  </si>
  <si>
    <t>危險標記第一類，路面用，反光，強化玻璃</t>
  </si>
  <si>
    <t>0289250007
#</t>
  </si>
  <si>
    <t>危險標記第一類，鑽孔及孔內塗布環氧樹脂，強化玻璃用</t>
  </si>
  <si>
    <t>0289250004
#</t>
  </si>
  <si>
    <t>產品，危險標記第一類，路面用，反光，強化玻璃</t>
  </si>
  <si>
    <t>M0289250007
#</t>
  </si>
  <si>
    <t>分析表313</t>
  </si>
  <si>
    <t>軟質彈性分隔桿，含安裝</t>
  </si>
  <si>
    <t>02899#B001
D=8cm ±5%，H=75cm ±5%</t>
  </si>
  <si>
    <t>產品，PU彈性分隔桿</t>
  </si>
  <si>
    <t>M02899#B002
D=8cm ±5%，H=75cm ±5%</t>
  </si>
  <si>
    <t>分析表314</t>
  </si>
  <si>
    <t>回復型警示桿，L=62cm</t>
  </si>
  <si>
    <t xml:space="preserve">01556M100A
</t>
  </si>
  <si>
    <t>產品，回復型警示桿，L=62cm</t>
  </si>
  <si>
    <t xml:space="preserve">M01556M100E
</t>
  </si>
  <si>
    <t>產品，塑膠膨脹螺套(16*85mm)</t>
  </si>
  <si>
    <t xml:space="preserve">M028990D002
</t>
  </si>
  <si>
    <t>產品，固定板面螺栓</t>
  </si>
  <si>
    <t xml:space="preserve">M02899#C002
</t>
  </si>
  <si>
    <t>產品，固定路面基座</t>
  </si>
  <si>
    <t xml:space="preserve">M02899#D001
</t>
  </si>
  <si>
    <t>產品，固定基座螺栓(16*85mm)</t>
  </si>
  <si>
    <t xml:space="preserve">M02899#E002
</t>
  </si>
  <si>
    <t>分析表315</t>
  </si>
  <si>
    <t>回復型警示桿，L=92cm</t>
  </si>
  <si>
    <t xml:space="preserve">01556M200A
</t>
  </si>
  <si>
    <t>產品，回復型警示桿，L=92cm</t>
  </si>
  <si>
    <t xml:space="preserve">M01556M200E
</t>
  </si>
  <si>
    <t>分析表316</t>
  </si>
  <si>
    <t>反光導標，D=15cm，座式</t>
  </si>
  <si>
    <t>0289205007
#</t>
  </si>
  <si>
    <t>反光導標，D=15cm，加工及裝設</t>
  </si>
  <si>
    <t xml:space="preserve">0289205074
</t>
  </si>
  <si>
    <t>產品，反光導標，D=15cm，PU本體</t>
  </si>
  <si>
    <t>M0289205007
#</t>
  </si>
  <si>
    <t>產品，反光導標，鑽石級反光紙</t>
  </si>
  <si>
    <t>M0289200002
#</t>
  </si>
  <si>
    <t>分析表317</t>
  </si>
  <si>
    <t xml:space="preserve">0289821302
</t>
  </si>
  <si>
    <t>產品，固體塑膠粉末第Ⅱ型</t>
  </si>
  <si>
    <t xml:space="preserve">M02898AB009
</t>
  </si>
  <si>
    <t>產品，標線，反光玻璃珠</t>
  </si>
  <si>
    <t xml:space="preserve">M02898B0009
</t>
  </si>
  <si>
    <t>產品，色粉</t>
  </si>
  <si>
    <t xml:space="preserve">M09050E0009
</t>
  </si>
  <si>
    <t>劃線機，(車載式，熱處理聚酯標線用)</t>
  </si>
  <si>
    <t xml:space="preserve">E000006920001
</t>
  </si>
  <si>
    <t>標線，駕駛，車載式畫線機</t>
  </si>
  <si>
    <t xml:space="preserve">L000005300051
</t>
  </si>
  <si>
    <t>標線施工障礙排除</t>
  </si>
  <si>
    <t xml:space="preserve">02898#D004
</t>
  </si>
  <si>
    <t>分析表318</t>
  </si>
  <si>
    <t>標線，熱處理聚酯，反光，厚2mm，黏層劑(底漆)，第Ⅱ型</t>
  </si>
  <si>
    <t xml:space="preserve">0289821312
</t>
  </si>
  <si>
    <t>分析表319</t>
  </si>
  <si>
    <t>環境保護，工地清潔費</t>
  </si>
  <si>
    <t>M2/月</t>
  </si>
  <si>
    <t xml:space="preserve">01572F000E
</t>
  </si>
  <si>
    <t>分析表320</t>
  </si>
  <si>
    <t>環境保護，逕流污染防治，洗車沖洗費</t>
  </si>
  <si>
    <t>處/月</t>
  </si>
  <si>
    <t xml:space="preserve">01572H100F
</t>
  </si>
  <si>
    <t>銑鋪範圍</t>
    <phoneticPr fontId="3" type="noConversion"/>
  </si>
  <si>
    <t>施工費</t>
    <phoneticPr fontId="3" type="noConversion"/>
  </si>
  <si>
    <t>鋼筋SD280W</t>
  </si>
  <si>
    <t>鋼筋SD420W</t>
  </si>
  <si>
    <t>瀝青混凝土壓實度試驗及厚度檢驗</t>
    <phoneticPr fontId="3" type="noConversion"/>
  </si>
  <si>
    <t>AC面積(5cm)</t>
  </si>
  <si>
    <t>AC面積(10cm)</t>
  </si>
  <si>
    <t>40m3以下免驗
規範:03310</t>
    <phoneticPr fontId="3" type="noConversion"/>
  </si>
  <si>
    <t>200m2以下免驗
規範:02742</t>
    <phoneticPr fontId="3" type="noConversion"/>
  </si>
  <si>
    <t>20組以下免驗
規範:02611</t>
    <phoneticPr fontId="3" type="noConversion"/>
  </si>
  <si>
    <t>1000m2以下免驗
規範:02786</t>
    <phoneticPr fontId="3" type="noConversion"/>
  </si>
  <si>
    <t>鋼筋試驗</t>
    <phoneticPr fontId="3" type="noConversion"/>
  </si>
  <si>
    <t>混凝土圓柱</t>
    <phoneticPr fontId="3" type="noConversion"/>
  </si>
  <si>
    <t>瀝青壓實度</t>
    <phoneticPr fontId="3" type="noConversion"/>
  </si>
  <si>
    <t>逢機鑽心</t>
    <phoneticPr fontId="3" type="noConversion"/>
  </si>
  <si>
    <t>鍍鋅格柵</t>
    <phoneticPr fontId="3" type="noConversion"/>
  </si>
  <si>
    <t>高壓磚</t>
    <phoneticPr fontId="3" type="noConversion"/>
  </si>
  <si>
    <t>Ac面積(5cm)</t>
    <phoneticPr fontId="3" type="noConversion"/>
  </si>
  <si>
    <t>Ac面積(10cm)</t>
    <phoneticPr fontId="3" type="noConversion"/>
  </si>
  <si>
    <t>Ac面積(10cm)</t>
    <phoneticPr fontId="3" type="noConversion"/>
  </si>
  <si>
    <t>餘方自行處理(含水土保持)，總重3-3.9t貨車</t>
    <phoneticPr fontId="3" type="noConversion"/>
  </si>
  <si>
    <t>交通維持，道路管制人員，日間(06-22時)，義交</t>
    <phoneticPr fontId="3" type="noConversion"/>
  </si>
  <si>
    <t>不銹鋼料檢驗</t>
    <phoneticPr fontId="3" type="noConversion"/>
  </si>
  <si>
    <t>鋼料</t>
    <phoneticPr fontId="3" type="noConversion"/>
  </si>
  <si>
    <t>不鏽鋼</t>
    <phoneticPr fontId="3" type="noConversion"/>
  </si>
  <si>
    <t>20支以下免驗
規範:03211</t>
    <phoneticPr fontId="3" type="noConversion"/>
  </si>
  <si>
    <t>3T以下免驗
規範:05501</t>
    <phoneticPr fontId="3" type="noConversion"/>
  </si>
  <si>
    <t>3T以下免驗
規範:02532</t>
    <phoneticPr fontId="3" type="noConversion"/>
  </si>
  <si>
    <t>塑膠包覆不銹鋼踏步，直徑=19mm</t>
    <phoneticPr fontId="3" type="noConversion"/>
  </si>
  <si>
    <t>鋼筋，植筋，D10mm，鑽孔(含空氣槍清孔)及化學藥劑</t>
  </si>
  <si>
    <t>鋼筋，植筋，D13mm，鑽孔(含空氣槍清孔)及化學藥劑</t>
    <phoneticPr fontId="3" type="noConversion"/>
  </si>
  <si>
    <t>鋼筋，植筋，D19mm，鑽孔(含空氣槍清孔)及化學藥劑</t>
    <phoneticPr fontId="3" type="noConversion"/>
  </si>
  <si>
    <t>鋼筋，植筋，D16mm</t>
    <phoneticPr fontId="3" type="noConversion"/>
  </si>
  <si>
    <t>鋼筋，植筋，D13mm</t>
    <phoneticPr fontId="3" type="noConversion"/>
  </si>
  <si>
    <t>塑膠包覆人孔踏步</t>
  </si>
  <si>
    <t>鋼筋，植筋，D16mm，鑽孔(含空氣槍清孔)及化學藥劑</t>
    <phoneticPr fontId="3" type="noConversion"/>
  </si>
  <si>
    <t>鋼筋，植筋，D22mm，鑽孔(含空氣槍清孔)及化學藥劑</t>
    <phoneticPr fontId="3" type="noConversion"/>
  </si>
  <si>
    <t>鋼筋拉拔，#8以上</t>
    <phoneticPr fontId="3" type="noConversion"/>
  </si>
  <si>
    <t>鋼筋拉拔，#8以下</t>
    <phoneticPr fontId="3" type="noConversion"/>
  </si>
  <si>
    <t>不銹鋼踏步，安裝，直徑=19mm</t>
    <phoneticPr fontId="3" type="noConversion"/>
  </si>
  <si>
    <t>不銹鋼料，SUS304，含加工安裝等</t>
    <phoneticPr fontId="3" type="noConversion"/>
  </si>
  <si>
    <t>不銹鋼料，SUS316，含加工安裝等</t>
    <phoneticPr fontId="3" type="noConversion"/>
  </si>
  <si>
    <t>產品，結構用鋼料</t>
    <phoneticPr fontId="3" type="noConversion"/>
  </si>
  <si>
    <t>3T以下免驗
規範:03210</t>
    <phoneticPr fontId="3" type="noConversion"/>
  </si>
  <si>
    <t>20支以下免驗
規範:02532</t>
    <phoneticPr fontId="3" type="noConversion"/>
  </si>
  <si>
    <t>項次</t>
    <phoneticPr fontId="28" type="noConversion"/>
  </si>
  <si>
    <t>檢核結果</t>
    <phoneticPr fontId="28" type="noConversion"/>
  </si>
  <si>
    <t>本案數量</t>
    <phoneticPr fontId="3" type="noConversion"/>
  </si>
  <si>
    <t>試驗項目</t>
    <phoneticPr fontId="28" type="noConversion"/>
  </si>
  <si>
    <t>試驗頻率</t>
    <phoneticPr fontId="28" type="noConversion"/>
  </si>
  <si>
    <t>試驗工項</t>
    <phoneticPr fontId="28" type="noConversion"/>
  </si>
  <si>
    <t>試驗數量</t>
    <phoneticPr fontId="28" type="noConversion"/>
  </si>
  <si>
    <t>A2006鋼筋混凝土用鋼筋</t>
    <phoneticPr fontId="3" type="noConversion"/>
  </si>
  <si>
    <t>A3045混凝土圓柱試體抗壓強度之檢驗法</t>
    <phoneticPr fontId="3" type="noConversion"/>
  </si>
  <si>
    <t>瀝青混凝土逢機鑽心及取樣孔恢復</t>
    <phoneticPr fontId="3" type="noConversion"/>
  </si>
  <si>
    <t>鍍鋅格柵蓋板檢驗</t>
    <phoneticPr fontId="3" type="noConversion"/>
  </si>
  <si>
    <t>鍍鋅格柵板及框座，(框53.6cm，蓋45cm)</t>
    <phoneticPr fontId="3" type="noConversion"/>
  </si>
  <si>
    <t>鍍鋅格柵板及框座，(框63.6cm，蓋55cm)</t>
    <phoneticPr fontId="3" type="noConversion"/>
  </si>
  <si>
    <t>鍍鋅格柵板及框座，(框73.6cm，蓋65cm)</t>
    <phoneticPr fontId="3" type="noConversion"/>
  </si>
  <si>
    <t>高壓鋪面磚、紅磚(包括抗壓強度、吸水率、外觀及耐磨性)</t>
    <phoneticPr fontId="3" type="noConversion"/>
  </si>
  <si>
    <t>人行道面層，舖面磚(高壓)</t>
    <phoneticPr fontId="3" type="noConversion"/>
  </si>
  <si>
    <t>鋼鐵件檢驗【含降伏、拉伸、彎曲、化性】</t>
    <phoneticPr fontId="3" type="noConversion"/>
  </si>
  <si>
    <t>結構用鋼料，製作</t>
    <phoneticPr fontId="3" type="noConversion"/>
  </si>
  <si>
    <t>A3331塑膠包覆人孔踏步檢驗法</t>
    <phoneticPr fontId="3" type="noConversion"/>
  </si>
  <si>
    <t>鋼筋拉拔試驗費，#8(含)下上鋼筋</t>
    <phoneticPr fontId="3" type="noConversion"/>
  </si>
  <si>
    <t>鋼筋，植筋，D10mm</t>
    <phoneticPr fontId="3" type="noConversion"/>
  </si>
  <si>
    <t>鋼筋拉拔試驗費，#8以上鋼筋</t>
    <phoneticPr fontId="3" type="noConversion"/>
  </si>
  <si>
    <t>鋼筋，植筋，D19mm</t>
    <phoneticPr fontId="3" type="noConversion"/>
  </si>
  <si>
    <t>鋼筋，植筋，D22mm</t>
    <phoneticPr fontId="3" type="noConversion"/>
  </si>
  <si>
    <t>鋼筋，植筋，D25mm</t>
    <phoneticPr fontId="3" type="noConversion"/>
  </si>
  <si>
    <t>5cm</t>
    <phoneticPr fontId="3" type="noConversion"/>
  </si>
  <si>
    <t>10cm</t>
    <phoneticPr fontId="3" type="noConversion"/>
  </si>
  <si>
    <t>交通維持，道路管制人員，日間(06-22時)，義交</t>
  </si>
  <si>
    <t>0289821205</t>
    <phoneticPr fontId="3" type="noConversion"/>
  </si>
  <si>
    <t>項目數量=</t>
  </si>
  <si>
    <r>
      <rPr>
        <sz val="12"/>
        <color indexed="9"/>
        <rFont val="標楷體"/>
        <family val="4"/>
        <charset val="136"/>
      </rPr>
      <t>數量</t>
    </r>
  </si>
  <si>
    <r>
      <rPr>
        <sz val="12"/>
        <color indexed="9"/>
        <rFont val="標楷體"/>
        <family val="4"/>
        <charset val="136"/>
      </rPr>
      <t>複</t>
    </r>
    <r>
      <rPr>
        <sz val="12"/>
        <color indexed="9"/>
        <rFont val="Times New Roman"/>
        <family val="1"/>
      </rPr>
      <t xml:space="preserve">  </t>
    </r>
    <r>
      <rPr>
        <sz val="12"/>
        <color indexed="9"/>
        <rFont val="標楷體"/>
        <family val="4"/>
        <charset val="136"/>
      </rPr>
      <t>價</t>
    </r>
  </si>
  <si>
    <t>06050100F1</t>
    <phoneticPr fontId="3" type="noConversion"/>
  </si>
  <si>
    <t>026100C001</t>
    <phoneticPr fontId="3" type="noConversion"/>
  </si>
  <si>
    <t>026100D001</t>
    <phoneticPr fontId="3" type="noConversion"/>
  </si>
  <si>
    <t>026100F001</t>
    <phoneticPr fontId="3" type="noConversion"/>
  </si>
  <si>
    <t>026100H001</t>
    <phoneticPr fontId="3" type="noConversion"/>
  </si>
  <si>
    <t>026100L001</t>
    <phoneticPr fontId="3" type="noConversion"/>
  </si>
  <si>
    <t>161323006041</t>
    <phoneticPr fontId="3" type="noConversion"/>
  </si>
  <si>
    <t>161323007041</t>
    <phoneticPr fontId="3" type="noConversion"/>
  </si>
  <si>
    <t>161323009041</t>
    <phoneticPr fontId="3" type="noConversion"/>
  </si>
  <si>
    <t>16132300A041</t>
    <phoneticPr fontId="3" type="noConversion"/>
  </si>
  <si>
    <t>16132300B041</t>
    <phoneticPr fontId="3" type="noConversion"/>
  </si>
  <si>
    <t>16132300C041</t>
    <phoneticPr fontId="3" type="noConversion"/>
  </si>
  <si>
    <t>0221072123</t>
    <phoneticPr fontId="3" type="noConversion"/>
  </si>
  <si>
    <t>0151113221</t>
    <phoneticPr fontId="3" type="noConversion"/>
  </si>
  <si>
    <t>01556M200A</t>
    <phoneticPr fontId="3" type="noConversion"/>
  </si>
  <si>
    <t>0289821312</t>
    <phoneticPr fontId="3" type="noConversion"/>
  </si>
  <si>
    <t>1.403</t>
  </si>
  <si>
    <t>1.404</t>
  </si>
  <si>
    <t>0151112221</t>
    <phoneticPr fontId="3" type="noConversion"/>
  </si>
  <si>
    <t>0172521202</t>
    <phoneticPr fontId="3" type="noConversion"/>
  </si>
  <si>
    <t>01556M100A</t>
    <phoneticPr fontId="3" type="noConversion"/>
  </si>
  <si>
    <t>0222020000</t>
    <phoneticPr fontId="3" type="noConversion"/>
  </si>
  <si>
    <t>0222010000</t>
    <phoneticPr fontId="3" type="noConversion"/>
  </si>
  <si>
    <t xml:space="preserve"> 022201E201</t>
    <phoneticPr fontId="3" type="noConversion"/>
  </si>
  <si>
    <t xml:space="preserve"> 0222010E01</t>
    <phoneticPr fontId="3" type="noConversion"/>
  </si>
  <si>
    <t xml:space="preserve"> 0225540E31</t>
    <phoneticPr fontId="3" type="noConversion"/>
  </si>
  <si>
    <t xml:space="preserve"> 0406120003</t>
    <phoneticPr fontId="3" type="noConversion"/>
  </si>
  <si>
    <t xml:space="preserve"> 0406130003</t>
    <phoneticPr fontId="3" type="noConversion"/>
  </si>
  <si>
    <t xml:space="preserve"> 0393010009</t>
    <phoneticPr fontId="3" type="noConversion"/>
  </si>
  <si>
    <r>
      <rPr>
        <sz val="10"/>
        <rFont val="標楷體"/>
        <family val="4"/>
        <charset val="136"/>
      </rPr>
      <t>單價訂約</t>
    </r>
  </si>
  <si>
    <t>操作手</t>
    <phoneticPr fontId="3" type="noConversion"/>
  </si>
  <si>
    <t>瀝青混凝土舖面，粗粒料19.0mm，針入度60-70，緊急搶修工程用，舖築及滾壓另計</t>
  </si>
  <si>
    <t>瀝青混凝土舖面，粗粒料19.0mm，針入度60-70，緊急搶修工程用，舖築及滾壓另計</t>
    <phoneticPr fontId="3" type="noConversion"/>
  </si>
  <si>
    <t>小計</t>
  </si>
  <si>
    <t>200~1000m2鑽取一個，每增加1000m2增加一個</t>
    <phoneticPr fontId="28" type="noConversion"/>
  </si>
  <si>
    <t>超過3T且總價超過12萬元者檢驗1次</t>
    <phoneticPr fontId="28" type="noConversion"/>
  </si>
  <si>
    <t>20~100組檢驗1次，超過100組加驗1次</t>
    <phoneticPr fontId="28" type="noConversion"/>
  </si>
  <si>
    <t>&gt;1000m2，依施工規範表02786-1規定之抽樣數</t>
    <phoneticPr fontId="28" type="noConversion"/>
  </si>
  <si>
    <t>20~100支抽驗1支，超過100支加驗1支</t>
    <phoneticPr fontId="28" type="noConversion"/>
  </si>
  <si>
    <t>50T以下取1支，超過50T至100T取2支(以同一爐號、標稱直徑)</t>
    <phoneticPr fontId="28" type="noConversion"/>
  </si>
  <si>
    <t>120m3取一組(以同一配比)，餘數超過40m3增加一組(一組5個)</t>
    <phoneticPr fontId="28" type="noConversion"/>
  </si>
  <si>
    <t>20~200支抽取1組，超過後每200取1組</t>
    <phoneticPr fontId="28" type="noConversion"/>
  </si>
  <si>
    <t>本案工期:</t>
    <phoneticPr fontId="28" type="noConversion"/>
  </si>
  <si>
    <t>施作長度:</t>
    <phoneticPr fontId="28" type="noConversion"/>
  </si>
  <si>
    <t>銑鋪面積(10cm):</t>
    <phoneticPr fontId="28" type="noConversion"/>
  </si>
  <si>
    <t>本案</t>
    <phoneticPr fontId="3" type="noConversion"/>
  </si>
  <si>
    <t>側溝工程施作長度≦50m(以50m為單位，超過依比例給付)
灑水車，8.0-8.9m3開立8小時
輪式鏟裝車開立12小時</t>
    <phoneticPr fontId="3" type="noConversion"/>
  </si>
  <si>
    <t>單張通報單新築側溝10m以內(含箱涵、連接管破損修復)，得開立灑水車及輪式鏟裝車4小時；10m以上，得開立灑水車8小時及輪式鏟裝車12小時</t>
    <phoneticPr fontId="3" type="noConversion"/>
  </si>
  <si>
    <t>原則數量</t>
    <phoneticPr fontId="28" type="noConversion"/>
  </si>
  <si>
    <t>施工測量，配合道路主管機關辦理管線施作及圖資更新維護作業，土木及水利等構造物，含成果製作</t>
  </si>
  <si>
    <t>x</t>
    <phoneticPr fontId="3" type="noConversion"/>
  </si>
  <si>
    <t>X</t>
    <phoneticPr fontId="3" type="noConversion"/>
  </si>
  <si>
    <t>X</t>
    <phoneticPr fontId="3" type="noConversion"/>
  </si>
  <si>
    <t>X</t>
    <phoneticPr fontId="3" type="noConversion"/>
  </si>
  <si>
    <t>臨時設施，排水設備，沉水式抽水機，D=10cm，租金</t>
    <phoneticPr fontId="3" type="noConversion"/>
  </si>
  <si>
    <t>道路銑鋪工項及滾壓</t>
    <phoneticPr fontId="3" type="noConversion"/>
  </si>
  <si>
    <t>再生瀝青混凝土鋪面，(密級配，30%回收料)，粗粒料9.5mm</t>
    <phoneticPr fontId="3" type="noConversion"/>
  </si>
  <si>
    <t>再生瀝青混凝土鋪面，(密級配，30%回收料)，粗粒料19.0mm</t>
    <phoneticPr fontId="3" type="noConversion"/>
  </si>
  <si>
    <t>製作日期:</t>
    <phoneticPr fontId="28" type="noConversion"/>
  </si>
  <si>
    <t>主要負責:</t>
    <phoneticPr fontId="28" type="noConversion"/>
  </si>
  <si>
    <t>會勘人員:</t>
    <phoneticPr fontId="28" type="noConversion"/>
  </si>
  <si>
    <t>銑鋪面積(5cm):</t>
    <phoneticPr fontId="28" type="noConversion"/>
  </si>
  <si>
    <t>本案備註</t>
    <phoneticPr fontId="28" type="noConversion"/>
  </si>
  <si>
    <t>本案資訊</t>
    <phoneticPr fontId="28" type="noConversion"/>
  </si>
  <si>
    <t>切割</t>
    <phoneticPr fontId="3" type="noConversion"/>
  </si>
  <si>
    <t>0991002002</t>
    <phoneticPr fontId="3" type="noConversion"/>
  </si>
  <si>
    <t>-</t>
    <phoneticPr fontId="3" type="noConversion"/>
  </si>
  <si>
    <t>296150001</t>
    <phoneticPr fontId="3" type="noConversion"/>
  </si>
  <si>
    <t>225520001</t>
    <phoneticPr fontId="3" type="noConversion"/>
  </si>
  <si>
    <t>m</t>
    <phoneticPr fontId="14" type="noConversion"/>
  </si>
  <si>
    <t>鋼筋，SD280W.</t>
  </si>
  <si>
    <t>九、稅什費</t>
    <phoneticPr fontId="3" type="noConversion"/>
  </si>
  <si>
    <t>導線管，硬質聚氯乙烯塑膠管，標稱52mm，接線及安裝，含尼龍繩</t>
  </si>
  <si>
    <t>臨時設施，雜項工程，工地處理，施工動復員，小型機具</t>
  </si>
  <si>
    <t>鋼筋，SD280W.</t>
    <phoneticPr fontId="3" type="noConversion"/>
  </si>
  <si>
    <t>鋼筋，SD420W.</t>
    <phoneticPr fontId="3" type="noConversion"/>
  </si>
  <si>
    <t>標線復舊</t>
    <phoneticPr fontId="3" type="noConversion"/>
  </si>
  <si>
    <t>骨材標線</t>
    <phoneticPr fontId="3" type="noConversion"/>
  </si>
  <si>
    <t>標線，熱處理聚酯，反光，厚2mm，第Ⅱ型，12公尺以下道路及零星路段繪設</t>
    <phoneticPr fontId="3" type="noConversion"/>
  </si>
  <si>
    <t>一、施工費</t>
    <phoneticPr fontId="3" type="noConversion"/>
  </si>
  <si>
    <t>1.</t>
    <phoneticPr fontId="3" type="noConversion"/>
  </si>
  <si>
    <t>二、材料檢驗</t>
    <phoneticPr fontId="3" type="noConversion"/>
  </si>
  <si>
    <t>三、工地環保清潔</t>
    <phoneticPr fontId="3" type="noConversion"/>
  </si>
  <si>
    <t>四、防範瓦斯管道破損駐廠人員費</t>
    <phoneticPr fontId="3" type="noConversion"/>
  </si>
  <si>
    <t>五、安全設施及交通維護</t>
    <phoneticPr fontId="3" type="noConversion"/>
  </si>
  <si>
    <t>六、職業安全衛生管理費</t>
    <phoneticPr fontId="3" type="noConversion"/>
  </si>
  <si>
    <t>七、雜項工程</t>
    <phoneticPr fontId="3" type="noConversion"/>
  </si>
  <si>
    <t>八、自主品管費</t>
    <phoneticPr fontId="3" type="noConversion"/>
  </si>
  <si>
    <t>瀝青混凝土舖面，舖築及滾壓，緊急搶修工程用，鋪設面積≦50m2適用</t>
    <phoneticPr fontId="3" type="noConversion"/>
  </si>
  <si>
    <t>搬運費，AC施工機械(面積2000m2以下適用)</t>
  </si>
  <si>
    <t>034004222A</t>
  </si>
  <si>
    <t xml:space="preserve">	E0000010N0001</t>
    <phoneticPr fontId="3" type="noConversion"/>
  </si>
  <si>
    <t>開挖</t>
    <phoneticPr fontId="3" type="noConversion"/>
  </si>
  <si>
    <t>工地處理，緊急搶修，路面開挖</t>
    <phoneticPr fontId="3" type="noConversion"/>
  </si>
  <si>
    <t>分析單位=</t>
    <phoneticPr fontId="14" type="noConversion"/>
  </si>
  <si>
    <t>程式碼</t>
    <phoneticPr fontId="53" type="noConversion"/>
  </si>
  <si>
    <t>程式碼整理</t>
    <phoneticPr fontId="53" type="noConversion"/>
  </si>
  <si>
    <t>起始</t>
    <phoneticPr fontId="53" type="noConversion"/>
  </si>
  <si>
    <t xml:space="preserve">KeyPress "Tab", </t>
    <phoneticPr fontId="53" type="noConversion"/>
  </si>
  <si>
    <t>SayString "</t>
    <phoneticPr fontId="53" type="noConversion"/>
  </si>
  <si>
    <t>"</t>
    <phoneticPr fontId="53" type="noConversion"/>
  </si>
  <si>
    <t>間隔時間</t>
    <phoneticPr fontId="3" type="noConversion"/>
  </si>
  <si>
    <t>停頓時間</t>
    <phoneticPr fontId="3" type="noConversion"/>
  </si>
  <si>
    <t>溝深=</t>
    <phoneticPr fontId="3" type="noConversion"/>
  </si>
  <si>
    <t>溝寬=</t>
    <phoneticPr fontId="3" type="noConversion"/>
  </si>
  <si>
    <t>場鑄結構混凝土用模板，清水模板，丙種.</t>
  </si>
  <si>
    <t>瀝青混凝土舖面，粗粒料9.5mm，針入度60-70，緊急搶修工程用，舖築及滾壓另計</t>
  </si>
  <si>
    <t>瀝青混凝土舖面，粗粒料9.5mm，針入度60-70，緊急搶修工程用，舖築及滾壓另計</t>
    <phoneticPr fontId="3" type="noConversion"/>
  </si>
  <si>
    <t>場鑄結構混凝土用模板，普通模板，丙種.</t>
    <phoneticPr fontId="3" type="noConversion"/>
  </si>
  <si>
    <t>m</t>
    <phoneticPr fontId="3" type="noConversion"/>
  </si>
  <si>
    <t>牆寬=</t>
    <phoneticPr fontId="3" type="noConversion"/>
  </si>
  <si>
    <t>施作類型=</t>
    <phoneticPr fontId="3" type="noConversion"/>
  </si>
  <si>
    <t>更新</t>
  </si>
  <si>
    <t>20.</t>
    <phoneticPr fontId="3" type="noConversion"/>
  </si>
  <si>
    <t>銑鋪厚度=</t>
    <phoneticPr fontId="3" type="noConversion"/>
  </si>
  <si>
    <t>銑鋪用料=</t>
    <phoneticPr fontId="3" type="noConversion"/>
  </si>
  <si>
    <t>5cm</t>
  </si>
  <si>
    <t>再生瀝青</t>
  </si>
  <si>
    <t>瀝青混凝土舖面，粗粒料9.5mm，針入度60-70</t>
    <phoneticPr fontId="3" type="noConversion"/>
  </si>
  <si>
    <t>10cm</t>
  </si>
  <si>
    <t>井深=</t>
    <phoneticPr fontId="3" type="noConversion"/>
  </si>
  <si>
    <t>井寬=</t>
    <phoneticPr fontId="3" type="noConversion"/>
  </si>
  <si>
    <t>頂板寬=</t>
    <phoneticPr fontId="3" type="noConversion"/>
  </si>
  <si>
    <t>頂板厚=</t>
    <phoneticPr fontId="3" type="noConversion"/>
  </si>
  <si>
    <t>詳 細 價 目 表</t>
  </si>
  <si>
    <t>工程編號：112 070020302 032 14</t>
  </si>
  <si>
    <t>壹</t>
  </si>
  <si>
    <t>發包工程費</t>
  </si>
  <si>
    <t>　一</t>
  </si>
  <si>
    <t>工程費</t>
  </si>
  <si>
    <t>單價訂約</t>
  </si>
  <si>
    <t>操作手，重機械</t>
  </si>
  <si>
    <t>L0000051000Q1
[人力工項不打折]</t>
  </si>
  <si>
    <t>駕駛，日間，大貨車</t>
  </si>
  <si>
    <t>L000005301021
[人力工項不打折]</t>
  </si>
  <si>
    <t>L000005300061
[人力工項不打折]</t>
  </si>
  <si>
    <t>配合技術工之勞工</t>
  </si>
  <si>
    <t>L000006A00001
[人力工項不打折]</t>
  </si>
  <si>
    <t>技術工，年資3年</t>
  </si>
  <si>
    <t>L000005000301
[人力工項不打折]</t>
  </si>
  <si>
    <t>曳引鏟土機，1.2m3，車輪式</t>
  </si>
  <si>
    <t xml:space="preserve">E000002500BA1
</t>
  </si>
  <si>
    <t>輪式鏟裝車</t>
  </si>
  <si>
    <t xml:space="preserve">E000002420001
</t>
  </si>
  <si>
    <t xml:space="preserve">0222010E23
分析表1_x000D_
</t>
  </si>
  <si>
    <t xml:space="preserve">0222010423
分析表2_x000D_
</t>
  </si>
  <si>
    <t xml:space="preserve">023215F00A
分析表3_x000D_
</t>
  </si>
  <si>
    <t xml:space="preserve">02321PWD05AB1
分析表4_x000D_
</t>
  </si>
  <si>
    <t xml:space="preserve">0222020433
分析表5_x000D_
</t>
  </si>
  <si>
    <t xml:space="preserve">023214D00A
分析表6_x000D_
</t>
  </si>
  <si>
    <t xml:space="preserve">023214F00A
分析表7_x000D_
</t>
  </si>
  <si>
    <t xml:space="preserve">023215D00A
分析表8_x000D_
</t>
  </si>
  <si>
    <t>0222020E03
分析表9_x000D_
經機關核定每日施工期間未達7小時適用</t>
  </si>
  <si>
    <t>0222020403
分析表10_x000D_
經機關核定每日施工期間未達7小時適用</t>
  </si>
  <si>
    <t>0222010403
分析表11_x000D_
經機關核定每日施工期間未達7小時適用</t>
  </si>
  <si>
    <t>0222010E03
分析表12_x000D_
經機關核定每日施工期間未達7小時適用</t>
  </si>
  <si>
    <t>023214D10A
分析表13_x000D_
經機關核定每日施工期間未達7小時適用</t>
  </si>
  <si>
    <t>023214F01A
分析表14_x000D_
經機關核定每日施工期間未達7小時適用</t>
  </si>
  <si>
    <t>023215D10A
分析表15_x000D_
經機關核定每日施工期間未達7小時適用</t>
  </si>
  <si>
    <t>023215F01A
分析表16_x000D_
經機關核定每日施工期間未達7小時適用</t>
  </si>
  <si>
    <t>023210E00A
分析表17_x000D_
經機關核定每日施工期間未達7小時適用</t>
  </si>
  <si>
    <t>0231601Z6A
分析表18_x000D_
經機關核定每日施工期間未達7小時適用</t>
  </si>
  <si>
    <t xml:space="preserve">0222020E33
分析表19_x000D_
</t>
  </si>
  <si>
    <t xml:space="preserve">022201E201
分析表20_x000D_
</t>
  </si>
  <si>
    <t>0222010E01
分析表21_x000D_
經機關核定每日施工期間未達7小時適用</t>
  </si>
  <si>
    <t xml:space="preserve">0296103003
分析表22_x000D_
</t>
  </si>
  <si>
    <t>0296103023
分析表23_x000D_
經機關核定每日施工期間未達7小時適用</t>
  </si>
  <si>
    <t xml:space="preserve">02325C0001
分析表24_x000D_
</t>
  </si>
  <si>
    <t xml:space="preserve">023250A00A
分析表25_x000D_
</t>
  </si>
  <si>
    <t xml:space="preserve">023250500A
分析表26_x000D_
</t>
  </si>
  <si>
    <t xml:space="preserve">023250B001
分析表27_x000D_
</t>
  </si>
  <si>
    <t xml:space="preserve">02234W0002
分析表28_x000D_
</t>
  </si>
  <si>
    <t xml:space="preserve">02233A1003
分析表29_x000D_
</t>
  </si>
  <si>
    <t xml:space="preserve">023310000B
分析表30_x000D_
</t>
  </si>
  <si>
    <t xml:space="preserve">023174000A
分析表31_x000D_
</t>
  </si>
  <si>
    <t xml:space="preserve">02931BDD101
分析表32_x000D_
</t>
  </si>
  <si>
    <t>02323400003
分析表33_x000D_
每日產出餘土量≤2M3使用</t>
  </si>
  <si>
    <t xml:space="preserve">02323PWD30B03
分析表34_x000D_
</t>
  </si>
  <si>
    <t xml:space="preserve">023234004A
分析表35_x000D_
</t>
  </si>
  <si>
    <t xml:space="preserve">023234006A
分析表36_x000D_
</t>
  </si>
  <si>
    <t>023232000A
分析表37_x000D_
無棄土費用</t>
  </si>
  <si>
    <t xml:space="preserve">02323PWD0A001
分析表38_x000D_
</t>
  </si>
  <si>
    <t xml:space="preserve">02323H0003
分析表39_x000D_
</t>
  </si>
  <si>
    <t xml:space="preserve">0233600002
分析表40_x000D_
</t>
  </si>
  <si>
    <t xml:space="preserve">027261000B
分析表41_x000D_
</t>
  </si>
  <si>
    <t xml:space="preserve">02319130BA
分析表42_x000D_
</t>
  </si>
  <si>
    <t xml:space="preserve">02319140BA
分析表43_x000D_
</t>
  </si>
  <si>
    <t xml:space="preserve">0274512002
分析表44_x000D_
</t>
  </si>
  <si>
    <t xml:space="preserve">0274711002
分析表45_x000D_
</t>
  </si>
  <si>
    <t xml:space="preserve">0274205303
分析表46_x000D_
</t>
  </si>
  <si>
    <t xml:space="preserve">0274203303
分析表47_x000D_
</t>
  </si>
  <si>
    <t>0274205B03
分析表48_x000D_
零星工程用</t>
  </si>
  <si>
    <t>0274203B03
分析表49_x000D_
零星工程用</t>
  </si>
  <si>
    <t xml:space="preserve">0279605303
分析表50_x000D_
</t>
  </si>
  <si>
    <t xml:space="preserve">0279605313
分析表51_x000D_
</t>
  </si>
  <si>
    <t xml:space="preserve">0279800003
分析表52_x000D_
</t>
  </si>
  <si>
    <t xml:space="preserve">0296613003
分析表53_x000D_
</t>
  </si>
  <si>
    <t xml:space="preserve">02966130B3
分析表54_x000D_
</t>
  </si>
  <si>
    <t xml:space="preserve">0296615003
分析表55_x000D_
</t>
  </si>
  <si>
    <t xml:space="preserve">02966150B3
分析表56_x000D_
</t>
  </si>
  <si>
    <t xml:space="preserve">0295240003
分析表57_x000D_
</t>
  </si>
  <si>
    <t xml:space="preserve">0296140332
分析表58_x000D_
</t>
  </si>
  <si>
    <t xml:space="preserve">0296140432
分析表59_x000D_
</t>
  </si>
  <si>
    <t xml:space="preserve">0296190332
分析表60_x000D_
</t>
  </si>
  <si>
    <t xml:space="preserve">0296190432
分析表61_x000D_
</t>
  </si>
  <si>
    <t xml:space="preserve">02220PWD00021
分析表62_x000D_
</t>
  </si>
  <si>
    <t xml:space="preserve">02220PWD00031
分析表63_x000D_
</t>
  </si>
  <si>
    <t xml:space="preserve">02220#0041
分析表64_x000D_
</t>
  </si>
  <si>
    <t xml:space="preserve">0331023003
分析表65_x000D_
</t>
  </si>
  <si>
    <t xml:space="preserve">0331024003
分析表66_x000D_
</t>
  </si>
  <si>
    <t>0331025003
分析表67_x000D_
本項納入「水泥及其製品類」物價指數調整</t>
  </si>
  <si>
    <t xml:space="preserve">0331026003
分析表68_x000D_
</t>
  </si>
  <si>
    <t xml:space="preserve">0331027003
分析表69_x000D_
</t>
  </si>
  <si>
    <t xml:space="preserve">0331029003
分析表70_x000D_
</t>
  </si>
  <si>
    <t>0331013003
分析表71_x000D_
本項零星工料包含鋼筋混凝土所需之墊塊費用</t>
  </si>
  <si>
    <t>0331014003
分析表72_x000D_
本項零星工料包含鋼筋混凝土所需之墊塊費用</t>
  </si>
  <si>
    <t>0331015003
分析表73_x000D_
本項零星工料包含鋼筋混凝土所需之墊塊費用</t>
  </si>
  <si>
    <t>0331016003
分析表74_x000D_
本項零星工料包含鋼筋混凝土所需之墊塊費用</t>
  </si>
  <si>
    <t>033100E0B3
分析表75_x000D_
本項零星工料包含鋼筋混凝土所需之墊塊費用</t>
  </si>
  <si>
    <t xml:space="preserve">030521#231
分析表76_x000D_
</t>
  </si>
  <si>
    <t xml:space="preserve">0337700003
分析表77_x000D_
</t>
  </si>
  <si>
    <t>結構用混凝土，泵送及澆注費</t>
  </si>
  <si>
    <t xml:space="preserve">03310000Z5
</t>
  </si>
  <si>
    <t xml:space="preserve">0336020002
分析表78_x000D_
</t>
  </si>
  <si>
    <t>0311021102
分析表79_x000D_
橋面</t>
  </si>
  <si>
    <t>0311021202
分析表80_x000D_
場鑄結構混凝土用模板，(乙種，擋土牆，橋台，車行箱涵等)</t>
  </si>
  <si>
    <t xml:space="preserve">0311021302
分析表81_x000D_
</t>
  </si>
  <si>
    <t>0311011202
分析表82_x000D_
擋土牆，橋台，車行箱涵等</t>
  </si>
  <si>
    <t>0311011302
分析表83_x000D_
U型構，集水井，排水箱涵等</t>
  </si>
  <si>
    <t xml:space="preserve">03110960a1
分析表84_x000D_
</t>
  </si>
  <si>
    <t xml:space="preserve">03110960a2
分析表85_x000D_
</t>
  </si>
  <si>
    <t xml:space="preserve">03110960b1
分析表86_x000D_
</t>
  </si>
  <si>
    <t xml:space="preserve">03110960b2
分析表87_x000D_
</t>
  </si>
  <si>
    <t xml:space="preserve">03110960c1
分析表88_x000D_
</t>
  </si>
  <si>
    <t xml:space="preserve">03110960c2
分析表89_x000D_
</t>
  </si>
  <si>
    <t>0311021112
分析表90_x000D_
經機關核定每日施工期間未達7小時適用</t>
  </si>
  <si>
    <t>0311021212
分析表91_x000D_
場鑄結構混凝土用模板，(乙種，擋土牆，橋台，車行箱涵等)，經機關核定每日施工期間未達7小時適用</t>
  </si>
  <si>
    <t>0311021312
分析表92_x000D_
經機關核定每日施工期間未達7小時適用</t>
  </si>
  <si>
    <t>0311011212
分析表93_x000D_
擋土牆，橋台，車行箱涵等，經機關核定每日施工期間未達7小時適用適用</t>
  </si>
  <si>
    <t>0311011312
分析表94_x000D_
U型構，集水井，排水箱涵等，經機關核定每日施工期間未達7小時適用</t>
  </si>
  <si>
    <t>03110900a1
分析表95_x000D_
經機關核定每日施工期間未達7小時適用</t>
  </si>
  <si>
    <t>03110900a2
分析表96_x000D_
經機關核定每日施工期間未達7小時適用</t>
  </si>
  <si>
    <t>03110900b1
分析表97_x000D_
經機關核定每日施工期間未達7小時適用</t>
  </si>
  <si>
    <t>03110900b2
分析表98_x000D_
經機關核定每日施工期間未達7小時適用</t>
  </si>
  <si>
    <t>03110900c1
分析表99_x000D_
經機關核定每日施工期間未達7小時適用</t>
  </si>
  <si>
    <t>03110900c2
分析表100_x000D_
經機關核定每日施工期間未達7小時適用</t>
  </si>
  <si>
    <t>0321040009
分析表101_x000D_
本項納入「鋼筋」物價指數調整</t>
  </si>
  <si>
    <t xml:space="preserve">0321030009
分析表102_x000D_
</t>
  </si>
  <si>
    <t xml:space="preserve">0321050009
分析表103_x000D_
</t>
  </si>
  <si>
    <t xml:space="preserve">0321060009
分析表104_x000D_
</t>
  </si>
  <si>
    <t>0321031009
分析表105_x000D_
經機關核定每日施工期間未達7小時適用</t>
  </si>
  <si>
    <t>0321041009
分析表106_x000D_
經機關核定每日施工期間未達7小時適用，本項納入「鋼筋」物價指數調整</t>
  </si>
  <si>
    <t>0321051009
分析表107_x000D_
經機關核定每日施工期間未達7小時適用</t>
  </si>
  <si>
    <t>0321061009
分析表108_x000D_
經機關核定每日施工期間未達7小時適用</t>
  </si>
  <si>
    <t xml:space="preserve">05500R1009
分析表109_x000D_
</t>
  </si>
  <si>
    <t xml:space="preserve">05500Pc009
分析表110_x000D_
</t>
  </si>
  <si>
    <t xml:space="preserve">05500Pd009
分析表111_x000D_
</t>
  </si>
  <si>
    <t>合板，厚3mm( 一分)，邊模用(不拆模)</t>
  </si>
  <si>
    <t>06050100F1
#</t>
  </si>
  <si>
    <t>產品，銲接鋼線網，D=4.00mm，7.5x7.5cm</t>
  </si>
  <si>
    <t xml:space="preserve">M0322004732
</t>
  </si>
  <si>
    <t xml:space="preserve">03110700h2
分析表112_x000D_
</t>
  </si>
  <si>
    <t xml:space="preserve">03110700J2
分析表113_x000D_
</t>
  </si>
  <si>
    <t xml:space="preserve">0311090012
分析表114_x000D_
</t>
  </si>
  <si>
    <t xml:space="preserve">032100E2GB
</t>
  </si>
  <si>
    <t>鋼筋，植筋，D13mm，鑽孔(含空氣槍清孔)及化學藥劑</t>
  </si>
  <si>
    <t xml:space="preserve">032100E3GB
</t>
  </si>
  <si>
    <t>鋼筋，植筋，D16mm，鑽孔(含空氣槍清孔)及化學藥劑</t>
  </si>
  <si>
    <t xml:space="preserve">032100E4GB
</t>
  </si>
  <si>
    <t>鋼筋，植筋，D19mm，鑽孔(含空氣槍清孔)及化學藥劑</t>
  </si>
  <si>
    <t xml:space="preserve">032100E5GB
</t>
  </si>
  <si>
    <t>鋼筋，植筋，D22mm，鑽孔(含空氣槍清孔)及化學藥劑</t>
  </si>
  <si>
    <t xml:space="preserve">032100E6GB
</t>
  </si>
  <si>
    <t>鋼筋，植筋，D25mm，鑽孔(含空氣槍清孔)及化學藥劑</t>
  </si>
  <si>
    <t xml:space="preserve">032100E7GB
</t>
  </si>
  <si>
    <t>02472PWD02301
分析表115_x000D_
本項零星工料包含鋼筋籠外側所需之間隔片費用</t>
  </si>
  <si>
    <t>02472PWD03301
分析表116_x000D_
本項零星工料包含鋼筋籠外側所需之間隔片費用</t>
  </si>
  <si>
    <t>02472PWD04301
分析表117_x000D_
本項零星工料包含鋼筋籠外側所需之間隔片費用</t>
  </si>
  <si>
    <t xml:space="preserve">0225514811
分析表118_x000D_
</t>
  </si>
  <si>
    <t xml:space="preserve">0225513611
分析表119_x000D_
</t>
  </si>
  <si>
    <t xml:space="preserve">0225512711
分析表120_x000D_
</t>
  </si>
  <si>
    <t xml:space="preserve">0225630001
分析表121_x000D_
</t>
  </si>
  <si>
    <t xml:space="preserve">0225620022
分析表122_x000D_
</t>
  </si>
  <si>
    <t>0225540321
分析表123_x000D_
每M2.5片</t>
  </si>
  <si>
    <t>0225540121
分析表124_x000D_
每M2.5片</t>
  </si>
  <si>
    <t xml:space="preserve">0225540621
分析表125_x000D_
</t>
  </si>
  <si>
    <t xml:space="preserve">0225540921
分析表126_x000D_
</t>
  </si>
  <si>
    <t xml:space="preserve">0225540D21
分析表127_x000D_
</t>
  </si>
  <si>
    <t xml:space="preserve">0225540G21
分析表128_x000D_
</t>
  </si>
  <si>
    <t>0225520001
分析表129_x000D_
租用</t>
  </si>
  <si>
    <t>0225530001
分析表130_x000D_
租用</t>
  </si>
  <si>
    <t xml:space="preserve">02255200V1
分析表131_x000D_
</t>
  </si>
  <si>
    <t xml:space="preserve">02255300V1
分析表132_x000D_
</t>
  </si>
  <si>
    <t>0225540051
分析表133_x000D_
含運費</t>
  </si>
  <si>
    <t xml:space="preserve">02255400U1
分析表134_x000D_
</t>
  </si>
  <si>
    <t xml:space="preserve">0225520E31
分析表135_x000D_
</t>
  </si>
  <si>
    <t xml:space="preserve">0225530E31
分析表136_x000D_
</t>
  </si>
  <si>
    <t xml:space="preserve">0225540E31
分析表137_x000D_
</t>
  </si>
  <si>
    <t xml:space="preserve">02386PWDA1302
分析表138_x000D_
</t>
  </si>
  <si>
    <t xml:space="preserve">0922010012
分析表139_x000D_
</t>
  </si>
  <si>
    <t xml:space="preserve">0922020012
分析表140_x000D_
</t>
  </si>
  <si>
    <t>0922030042
分析表141_x000D_
(適用施作面積200M2以上)</t>
  </si>
  <si>
    <t xml:space="preserve">0406110003
分析表142_x000D_
</t>
  </si>
  <si>
    <t xml:space="preserve">0406120003
分析表143_x000D_
</t>
  </si>
  <si>
    <t xml:space="preserve">0406130003
分析表144_x000D_
</t>
  </si>
  <si>
    <t xml:space="preserve">0238630302
分析表145_x000D_
</t>
  </si>
  <si>
    <t xml:space="preserve">0238630402
分析表146_x000D_
</t>
  </si>
  <si>
    <t xml:space="preserve">0238630502
分析表147_x000D_
</t>
  </si>
  <si>
    <t xml:space="preserve">0922030012
分析表148_x000D_
</t>
  </si>
  <si>
    <t xml:space="preserve">02374CD008
分析表149_x000D_
</t>
  </si>
  <si>
    <t xml:space="preserve">0234420701
分析表150_x000D_
</t>
  </si>
  <si>
    <t xml:space="preserve">02381A010A
分析表151_x000D_
</t>
  </si>
  <si>
    <t xml:space="preserve">0337225002
分析表152_x000D_
</t>
  </si>
  <si>
    <t xml:space="preserve">0337201003
分析表153_x000D_
</t>
  </si>
  <si>
    <t xml:space="preserve">033722V022
分析表154_x000D_
</t>
  </si>
  <si>
    <t xml:space="preserve">03372PWDB0SAE
分析表155_x000D_
</t>
  </si>
  <si>
    <t>補修用環氧樹脂，含施工</t>
  </si>
  <si>
    <t>0393010009
#</t>
  </si>
  <si>
    <t>排水管涵，D=500mm，玻璃纖維管(FRP管)，含運費及埋設</t>
  </si>
  <si>
    <t>026100C001
#</t>
  </si>
  <si>
    <t xml:space="preserve">0335021002
分析表156_x000D_
</t>
  </si>
  <si>
    <t>玻璃纖維管(FRP管)套管接頭，D=500mm，含運費及埋設</t>
  </si>
  <si>
    <t xml:space="preserve">026108803H
</t>
  </si>
  <si>
    <t>排水管涵，D=600mm，玻璃纖維管(FRP管)，含運費及埋設</t>
  </si>
  <si>
    <t>026100D001
#</t>
  </si>
  <si>
    <t>玻璃纖維管(FRP管)套管接頭，D=600mm，含運費及埋設</t>
  </si>
  <si>
    <t xml:space="preserve">026108903H
</t>
  </si>
  <si>
    <t>排水管涵，D=800mm，玻璃纖維管(FRP管)，含運費及埋設</t>
  </si>
  <si>
    <t>026100F001
#</t>
  </si>
  <si>
    <t>玻璃纖維管(FRP管)套管接頭，D=800mm，含運費及埋設</t>
  </si>
  <si>
    <t xml:space="preserve">026108B03H
</t>
  </si>
  <si>
    <t>排水管涵，D=1000mm，玻璃纖維管(FRP管)，含運費及埋設</t>
  </si>
  <si>
    <t>026100H001
#</t>
  </si>
  <si>
    <t>玻璃纖維管(FRP管)套管接頭，D=1000mm，含運費及埋設</t>
  </si>
  <si>
    <t xml:space="preserve">026108D03H
</t>
  </si>
  <si>
    <t>排水管涵，D=1200mm，玻璃纖維管(FRP管)，含運費及埋設</t>
  </si>
  <si>
    <t>026100L001
#</t>
  </si>
  <si>
    <t>玻璃纖維管(FRP管)套管接頭，D=1200mm，含運費及埋設</t>
  </si>
  <si>
    <t xml:space="preserve">026108F03H
</t>
  </si>
  <si>
    <t xml:space="preserve">026102D321
分析表157_x000D_
</t>
  </si>
  <si>
    <t xml:space="preserve">026102F321
分析表158_x000D_
</t>
  </si>
  <si>
    <t xml:space="preserve">026102H321
分析表159_x000D_
</t>
  </si>
  <si>
    <t xml:space="preserve">026102L321
分析表160_x000D_
</t>
  </si>
  <si>
    <t xml:space="preserve">026102M321
分析表161_x000D_
</t>
  </si>
  <si>
    <t xml:space="preserve">026102N321
分析表162_x000D_
</t>
  </si>
  <si>
    <t xml:space="preserve">026102P321
分析表163_x000D_
</t>
  </si>
  <si>
    <t xml:space="preserve">026102Q321
分析表164_x000D_
</t>
  </si>
  <si>
    <t xml:space="preserve">026102R321
分析表165_x000D_
</t>
  </si>
  <si>
    <t xml:space="preserve">026100B90H
分析表166_x000D_
</t>
  </si>
  <si>
    <t xml:space="preserve">026100BB0H
分析表167_x000D_
</t>
  </si>
  <si>
    <t xml:space="preserve">026100BD0H
分析表168_x000D_
</t>
  </si>
  <si>
    <t xml:space="preserve">026100BF0H
分析表169_x000D_
</t>
  </si>
  <si>
    <t xml:space="preserve">026100BG0H
分析表170_x000D_
</t>
  </si>
  <si>
    <t xml:space="preserve">026100BH0H
分析表171_x000D_
</t>
  </si>
  <si>
    <t xml:space="preserve">026100BJ0H
分析表172_x000D_
</t>
  </si>
  <si>
    <t xml:space="preserve">026100BL0H
分析表173_x000D_
</t>
  </si>
  <si>
    <t>擠壓式彈性填縫帶，(寬55mm，厚20mm)，600～1000mm鋼筋混凝土管排水用</t>
  </si>
  <si>
    <t xml:space="preserve">02610PWD0A331
</t>
  </si>
  <si>
    <t>擠壓式彈性填縫帶，(寬68mm，厚22mm)，1100～1650mm鋼筋混凝土管排水用</t>
  </si>
  <si>
    <t xml:space="preserve">02610PWD0A441
</t>
  </si>
  <si>
    <t>擠壓式彈性填縫帶，(寬80mm，厚28mm)，1800～2400mm鋼筋混凝土管排水用</t>
  </si>
  <si>
    <t xml:space="preserve">02610PWD0A551
</t>
  </si>
  <si>
    <t>混凝土附屬品，止水帶，聚氯乙烯，A型，220×9mm</t>
  </si>
  <si>
    <t xml:space="preserve">03150231C1
</t>
  </si>
  <si>
    <t xml:space="preserve">034006100A
分析表174_x000D_
</t>
  </si>
  <si>
    <t xml:space="preserve">034006300A
分析表175_x000D_
</t>
  </si>
  <si>
    <t xml:space="preserve">034006500A
分析表176_x000D_
</t>
  </si>
  <si>
    <t xml:space="preserve">034006700A
分析表177_x000D_
</t>
  </si>
  <si>
    <t xml:space="preserve">034006800A
分析表178_x000D_
</t>
  </si>
  <si>
    <t xml:space="preserve">034007200A
分析表179_x000D_
</t>
  </si>
  <si>
    <t xml:space="preserve">034007400A
分析表180_x000D_
</t>
  </si>
  <si>
    <t xml:space="preserve">034007600A
分析表181_x000D_
</t>
  </si>
  <si>
    <t xml:space="preserve">034007800A
分析表182_x000D_
</t>
  </si>
  <si>
    <t xml:space="preserve">034003112A
分析表183_x000D_
</t>
  </si>
  <si>
    <t xml:space="preserve">034003212A
分析表184_x000D_
</t>
  </si>
  <si>
    <t xml:space="preserve">034003312A
分析表185_x000D_
</t>
  </si>
  <si>
    <t xml:space="preserve">034003122A
分析表186_x000D_
</t>
  </si>
  <si>
    <t xml:space="preserve">034003222A
分析表187_x000D_
</t>
  </si>
  <si>
    <t xml:space="preserve">034003322A
分析表188_x000D_
</t>
  </si>
  <si>
    <t xml:space="preserve">034004112A
分析表189_x000D_
</t>
  </si>
  <si>
    <t xml:space="preserve">034004212A
分析表190_x000D_
</t>
  </si>
  <si>
    <t xml:space="preserve">034004312A
分析表191_x000D_
</t>
  </si>
  <si>
    <t xml:space="preserve">034004122A
分析表192_x000D_
</t>
  </si>
  <si>
    <t xml:space="preserve">034004222A
分析表193_x000D_
</t>
  </si>
  <si>
    <t xml:space="preserve">034004322A
分析表194_x000D_
</t>
  </si>
  <si>
    <t xml:space="preserve">0553082008
分析表195_x000D_
</t>
  </si>
  <si>
    <t xml:space="preserve">0553083008
分析表196_x000D_
</t>
  </si>
  <si>
    <t xml:space="preserve">0553072008
分析表197_x000D_
</t>
  </si>
  <si>
    <t xml:space="preserve">0553073008
分析表198_x000D_
</t>
  </si>
  <si>
    <t xml:space="preserve">0553074008
分析表199_x000D_
</t>
  </si>
  <si>
    <t xml:space="preserve">0553070009
分析表200_x000D_
</t>
  </si>
  <si>
    <t xml:space="preserve">0553062008
分析表201_x000D_
</t>
  </si>
  <si>
    <t xml:space="preserve">0553063008
分析表202_x000D_
</t>
  </si>
  <si>
    <t xml:space="preserve">0553064008
分析表203_x000D_
</t>
  </si>
  <si>
    <t xml:space="preserve">03400K102A
分析表204_x000D_
</t>
  </si>
  <si>
    <t xml:space="preserve">03400M102A
分析表205_x000D_
</t>
  </si>
  <si>
    <t xml:space="preserve">02631P110C
分析表206_x000D_
</t>
  </si>
  <si>
    <t xml:space="preserve">02631P212C
分析表207_x000D_
</t>
  </si>
  <si>
    <t xml:space="preserve">02631P211C
分析表208_x000D_
</t>
  </si>
  <si>
    <t xml:space="preserve">055626021C
分析表209_x000D_
</t>
  </si>
  <si>
    <t xml:space="preserve">055626011C
分析表210_x000D_
</t>
  </si>
  <si>
    <t xml:space="preserve">02631T210C
分析表211_x000D_
</t>
  </si>
  <si>
    <t xml:space="preserve">02631T220C
分析表212_x000D_
</t>
  </si>
  <si>
    <t xml:space="preserve">02631T110C
分析表213_x000D_
</t>
  </si>
  <si>
    <t xml:space="preserve">02631S000C
分析表214_x000D_
</t>
  </si>
  <si>
    <t xml:space="preserve">0277850021
分析表215_x000D_
</t>
  </si>
  <si>
    <t>產品，石材地坪，花崗石，厚度6cm，光面或細鑿面</t>
  </si>
  <si>
    <t>M0963710902
#</t>
  </si>
  <si>
    <t>地工織物，工程用非織物(不織布)，CNS第2類，舖設施工</t>
  </si>
  <si>
    <t xml:space="preserve">0234210212
</t>
  </si>
  <si>
    <t>06100M0002
分析表216_x000D_
# T=4cm W=14cm</t>
  </si>
  <si>
    <t>06100M000B
分析表217_x000D_
# T=4cm W=14cm</t>
  </si>
  <si>
    <t>0991002002
分析表218_x000D_
#</t>
  </si>
  <si>
    <t>產品，高密度聚乙烯仿木</t>
  </si>
  <si>
    <t xml:space="preserve">M06060B00SB
</t>
  </si>
  <si>
    <t xml:space="preserve">0315030001
分析表219_x000D_
</t>
  </si>
  <si>
    <t xml:space="preserve">0978000002
分析表220_x000D_
</t>
  </si>
  <si>
    <t xml:space="preserve">0978100002
分析表221_x000D_
</t>
  </si>
  <si>
    <t xml:space="preserve">0978200002
分析表222_x000D_
</t>
  </si>
  <si>
    <t xml:space="preserve">02631N201B
分析表223_x000D_
</t>
  </si>
  <si>
    <t xml:space="preserve">02631N202B
分析表224_x000D_
</t>
  </si>
  <si>
    <t xml:space="preserve">02631N101B
分析表225_x000D_
</t>
  </si>
  <si>
    <t xml:space="preserve">02631N102B
分析表226_x000D_
</t>
  </si>
  <si>
    <t xml:space="preserve">02631N301B
分析表227_x000D_
</t>
  </si>
  <si>
    <t xml:space="preserve">02631N302B
分析表228_x000D_
</t>
  </si>
  <si>
    <t xml:space="preserve">02610ZT002
分析表229_x000D_
</t>
  </si>
  <si>
    <t xml:space="preserve">028432A001
分析表230_x000D_
</t>
  </si>
  <si>
    <t xml:space="preserve">028432B001
分析表231_x000D_
</t>
  </si>
  <si>
    <t xml:space="preserve">028432C001
分析表232_x000D_
</t>
  </si>
  <si>
    <t xml:space="preserve">028432D001
分析表233_x000D_
</t>
  </si>
  <si>
    <t>導線管，硬質聚氯乙烯塑膠管，標稱41mm，接線及安裝，含尼龍繩</t>
  </si>
  <si>
    <t>161323006041
1</t>
  </si>
  <si>
    <t>161323007041
1</t>
  </si>
  <si>
    <t>導線管，硬質聚氯乙烯塑膠管，標稱80mm，接線及安裝，含尼龍繩</t>
  </si>
  <si>
    <t>161323009041
1</t>
  </si>
  <si>
    <t>導線管，硬質聚氯乙烯塑膠管，標稱100mm，接線及安裝，含尼龍繩</t>
  </si>
  <si>
    <t>16132300A041
1</t>
  </si>
  <si>
    <t>導線管，硬質聚氯乙烯塑膠管，標稱125mm，接線及安裝，含尼龍繩</t>
  </si>
  <si>
    <t>16132300B041
1</t>
  </si>
  <si>
    <t>導線管，硬質聚氯乙烯塑膠管，標稱150mm，接線及安裝，含尼龍繩</t>
  </si>
  <si>
    <t>16132300C041
1</t>
  </si>
  <si>
    <t>硬質聚氯乙烯塑膠管(B管厚管)，標稱150mm，厚9.0mm，含管配件</t>
  </si>
  <si>
    <t xml:space="preserve">151072DF0011
</t>
  </si>
  <si>
    <t>硬質聚氯乙烯塑膠管(B管厚管)，標稱200mm，厚10.5mm，含管配件</t>
  </si>
  <si>
    <t xml:space="preserve">151072EH0011
</t>
  </si>
  <si>
    <t>硬質聚氯乙烯塑膠管(B管厚管)，標稱250m，厚13.0mm，含管配件</t>
  </si>
  <si>
    <t xml:space="preserve">151072FK0011
</t>
  </si>
  <si>
    <t>硬質聚氯乙烯塑膠管(B管厚管)，標稱300mm，厚15.5mm，含管配件</t>
  </si>
  <si>
    <t xml:space="preserve">151072GN0011
</t>
  </si>
  <si>
    <t>硬質聚氯乙烯塑膠管(B管厚管)，標稱400mm，厚20.5mm，含管配件</t>
  </si>
  <si>
    <t xml:space="preserve">151072JR0011
</t>
  </si>
  <si>
    <t xml:space="preserve">0154011102
分析表234_x000D_
</t>
  </si>
  <si>
    <t>0154011202
分析表235_x000D_
需符合中華民國國家標準4750</t>
  </si>
  <si>
    <t xml:space="preserve">0153210012
分析表236_x000D_
</t>
  </si>
  <si>
    <t xml:space="preserve">01532AB002
分析表237_x000D_
</t>
  </si>
  <si>
    <t xml:space="preserve">01532C0002
分析表238_x000D_
</t>
  </si>
  <si>
    <t xml:space="preserve">15110X150R08
分析表239_x000D_
</t>
  </si>
  <si>
    <t xml:space="preserve">05500h0R0A
分析表240_x000D_
</t>
  </si>
  <si>
    <t xml:space="preserve">05500f4R0A
分析表241_x000D_
</t>
  </si>
  <si>
    <t xml:space="preserve">05500FAA14
分析表242_x000D_
</t>
  </si>
  <si>
    <t>05500FAB14
分析表243_x000D_
每M3.3支踏步計</t>
  </si>
  <si>
    <t xml:space="preserve">05500FAC18
分析表244_x000D_
</t>
  </si>
  <si>
    <t>02900B100C
分析表245_x000D_
穴孔：D=20CM， H=20CM</t>
  </si>
  <si>
    <t xml:space="preserve">0292012C02
分析表246_x000D_
</t>
  </si>
  <si>
    <t xml:space="preserve">0292000U02
分析表247_x000D_
</t>
  </si>
  <si>
    <t xml:space="preserve">0422200002
分析表248_x000D_
</t>
  </si>
  <si>
    <t>草本類植栽，10≦寬度＜20cm，容器直徑＜10cm盆苗</t>
  </si>
  <si>
    <t xml:space="preserve">02922000211
</t>
  </si>
  <si>
    <t xml:space="preserve">02233A0002
分析表249_x000D_
</t>
  </si>
  <si>
    <t xml:space="preserve">0223102002
分析表250_x000D_
</t>
  </si>
  <si>
    <t xml:space="preserve">0223109002
分析表251_x000D_
</t>
  </si>
  <si>
    <t xml:space="preserve">02234A0001
分析表252_x000D_
</t>
  </si>
  <si>
    <t>029351C32A
分析表253_x000D_
樹高8-10公尺，修剪前樹寬3-5公尺</t>
  </si>
  <si>
    <t xml:space="preserve">02234A0002
分析表254_x000D_
</t>
  </si>
  <si>
    <t xml:space="preserve">02234A0003
分析表255_x000D_
</t>
  </si>
  <si>
    <t xml:space="preserve">02240B100D
分析表256_x000D_
</t>
  </si>
  <si>
    <t xml:space="preserve">02240B200D
分析表257_x000D_
</t>
  </si>
  <si>
    <t xml:space="preserve">01271AB101
分析表258_x000D_
</t>
  </si>
  <si>
    <t xml:space="preserve">01271AB201
分析表259_x000D_
</t>
  </si>
  <si>
    <t>01510522BD
分析表260_x000D_
(含油料及運費)</t>
  </si>
  <si>
    <t>01510533BD
分析表261_x000D_
(含油料及運費)</t>
  </si>
  <si>
    <t>01510532BD
分析表262_x000D_
(含油料及運費)</t>
  </si>
  <si>
    <t>01572D0007
分析表263_x000D_
廢方另計</t>
  </si>
  <si>
    <t xml:space="preserve">0226210003
分析表264_x000D_
</t>
  </si>
  <si>
    <t>金屬接合，螺栓及螺帽，安裝，20φ</t>
  </si>
  <si>
    <t xml:space="preserve">050900GGCA
</t>
  </si>
  <si>
    <t>機械切割，瀝青混凝土，圓形切割(外框110cm)，含設備及鋼片損耗</t>
  </si>
  <si>
    <t xml:space="preserve">02220301BE
</t>
  </si>
  <si>
    <t>產品，鑄鐵件，蓋板，球狀石磨</t>
  </si>
  <si>
    <t>M0556210008
# 過溝鑄鐵蓋板</t>
  </si>
  <si>
    <t>產品，金屬接合，不銹鋼膨脹螺栓，Φ5/8"，16cm，SUS304</t>
  </si>
  <si>
    <t>M050900M80A
#</t>
  </si>
  <si>
    <t>平面式塑膠警示帶，聚氯乙烯(PVC)，埋設，帶料</t>
  </si>
  <si>
    <t xml:space="preserve">0250611011
</t>
  </si>
  <si>
    <t>A、B、C型手孔(含鑄鐵蓋板、支鐵配件與接地設施)</t>
  </si>
  <si>
    <t xml:space="preserve">03400B0007
</t>
  </si>
  <si>
    <t>D型手孔(含鑄鐵蓋板、支鐵配件與接地設施)</t>
  </si>
  <si>
    <t xml:space="preserve">03400R0007
</t>
  </si>
  <si>
    <t>混凝土管墊(4"×2孔雙槽)</t>
  </si>
  <si>
    <t xml:space="preserve">03400X000A
</t>
  </si>
  <si>
    <t>混凝土管墊(4"×2孔單槽)</t>
  </si>
  <si>
    <t xml:space="preserve">03400Y000A
</t>
  </si>
  <si>
    <t>4"PVC 管中管(含∮34mm子管4D)</t>
  </si>
  <si>
    <t xml:space="preserve">151070000001
</t>
  </si>
  <si>
    <t xml:space="preserve">022180A005
分析表265_x000D_
</t>
  </si>
  <si>
    <t xml:space="preserve">012714000A
</t>
  </si>
  <si>
    <t>搬運費，施工障礙(車輛移置費用)</t>
  </si>
  <si>
    <t xml:space="preserve">012714100A
</t>
  </si>
  <si>
    <t>02742B0H03
分析表266_x000D_
#</t>
  </si>
  <si>
    <t xml:space="preserve">0151111021
分析表267_x000D_
</t>
  </si>
  <si>
    <t xml:space="preserve">0151112021
分析表268_x000D_
</t>
  </si>
  <si>
    <t xml:space="preserve">0151111221
分析表269_x000D_
</t>
  </si>
  <si>
    <t xml:space="preserve">0151112221
分析表270_x000D_
</t>
  </si>
  <si>
    <t>01510CC11G
未達8小時適用</t>
  </si>
  <si>
    <t>臨時設施，雜項工程，工地處理，施工動復員，大型機具</t>
  </si>
  <si>
    <t>01510CC12G
未達8小時適用</t>
  </si>
  <si>
    <t xml:space="preserve">0221071026
分析表271_x000D_
</t>
  </si>
  <si>
    <t xml:space="preserve">0221071123
分析表272_x000D_
</t>
  </si>
  <si>
    <t xml:space="preserve">0221072026
分析表273_x000D_
</t>
  </si>
  <si>
    <t xml:space="preserve">0221072123
分析表274_x000D_
</t>
  </si>
  <si>
    <t>地下調查，人孔，金屬探測器，尋獲</t>
  </si>
  <si>
    <t xml:space="preserve">0221092102
</t>
  </si>
  <si>
    <t>地下調查，人孔，金屬探測器，未尋獲</t>
  </si>
  <si>
    <t xml:space="preserve">0221092202
</t>
  </si>
  <si>
    <t xml:space="preserve">0151113021
分析表275_x000D_
</t>
  </si>
  <si>
    <t xml:space="preserve">0151113221
分析表276_x000D_
</t>
  </si>
  <si>
    <t xml:space="preserve">02742000S3
分析表277_x000D_
</t>
  </si>
  <si>
    <t xml:space="preserve">0274200BS3
分析表278_x000D_
</t>
  </si>
  <si>
    <t xml:space="preserve">0274200NS3
分析表279_x000D_
</t>
  </si>
  <si>
    <t xml:space="preserve">027420BNS3
分析表280_x000D_
</t>
  </si>
  <si>
    <t xml:space="preserve">02742040B3
分析表281_x000D_
</t>
  </si>
  <si>
    <t xml:space="preserve">02742050B3
分析表282_x000D_
</t>
  </si>
  <si>
    <t xml:space="preserve">02742D3003
分析表283_x000D_
</t>
  </si>
  <si>
    <t xml:space="preserve">02742D5003
分析表284_x000D_
</t>
  </si>
  <si>
    <t xml:space="preserve">0274293G03
分析表285_x000D_
</t>
  </si>
  <si>
    <t xml:space="preserve">0296150001
分析表286_x000D_
</t>
  </si>
  <si>
    <t xml:space="preserve">0296150N01
分析表287_x000D_
</t>
  </si>
  <si>
    <t xml:space="preserve">0250111111
分析表288_x000D_
</t>
  </si>
  <si>
    <t xml:space="preserve">0250111121
分析表289_x000D_
</t>
  </si>
  <si>
    <t xml:space="preserve">0250111211
分析表290_x000D_
</t>
  </si>
  <si>
    <t xml:space="preserve">0250111221
分析表291_x000D_
</t>
  </si>
  <si>
    <t xml:space="preserve">0250111311
分析表292_x000D_
</t>
  </si>
  <si>
    <t xml:space="preserve">0250111321
分析表293_x000D_
</t>
  </si>
  <si>
    <t xml:space="preserve">0250112411
分析表294_x000D_
</t>
  </si>
  <si>
    <t xml:space="preserve">0250112421
分析表295_x000D_
</t>
  </si>
  <si>
    <t xml:space="preserve">0250112511
分析表296_x000D_
</t>
  </si>
  <si>
    <t xml:space="preserve">0250112521
分析表297_x000D_
</t>
  </si>
  <si>
    <t xml:space="preserve">0172521202
分析表298_x000D_
</t>
  </si>
  <si>
    <t>01725W0B5D
1.依雨水下水道設施完工資料測量工作規範辦理。
2.施作暗溝、埋管等工項(過路)，即進行測繪作業，其測繪內容則依規範辦理，單張通報單給付1次。</t>
  </si>
  <si>
    <t>013210000B
分析表299_x000D_
含路證申請、回報及配合道路挖掘之相關作業費用</t>
  </si>
  <si>
    <t>013210100b
分析表300_x000D_
含路證申請、回報及配合道路挖掘之相關作業費用</t>
  </si>
  <si>
    <t>01564L4001
分析表301_x000D_
高度2.4m</t>
  </si>
  <si>
    <t>01564C4001
分析表302_x000D_
高度2.4m</t>
  </si>
  <si>
    <t>施工圍籬，圍籬美化，掛防水帆布(含輸出、包繩及打洞)</t>
  </si>
  <si>
    <t>015640B002
需經審查後設置</t>
  </si>
  <si>
    <t>臨時設施，通風及安全設施，含防毒面具、機械通風設備、氣體檢知器、氧氣呼吸器等附屬設施及耗材</t>
  </si>
  <si>
    <t>01510B000G
# 使用10次,適用於從事缺氧危險之作業(例箱涵或密閉環境中作業)</t>
  </si>
  <si>
    <t>L015566G01001
[人力工項不打折]</t>
  </si>
  <si>
    <t>交通維持，道路管制人員，夜間(22-06時)，義交</t>
  </si>
  <si>
    <t>L015566G02001
[人力工項不打折]</t>
  </si>
  <si>
    <t>交通維持計畫書，交通維持計畫書編撰</t>
  </si>
  <si>
    <t xml:space="preserve">01556D300F
</t>
  </si>
  <si>
    <t>01556H1001
分析表303_x000D_
使用10次，以新製品或完整無缺(重新油漆或清理過後)之堪用品</t>
  </si>
  <si>
    <t>01556C00A1
分析表304_x000D_
使用10次</t>
  </si>
  <si>
    <t xml:space="preserve">0289190002
分析表305_x000D_
</t>
  </si>
  <si>
    <t xml:space="preserve">02891A5007
分析表306_x000D_
</t>
  </si>
  <si>
    <t xml:space="preserve">0289100202
分析表307_x000D_
</t>
  </si>
  <si>
    <t xml:space="preserve">05500p4008
分析表308_x000D_
</t>
  </si>
  <si>
    <t xml:space="preserve">05500S4601
分析表309_x000D_
</t>
  </si>
  <si>
    <t xml:space="preserve">028915WE13
分析表310_x000D_
</t>
  </si>
  <si>
    <t xml:space="preserve">0289821205
分析表311_x000D_
</t>
  </si>
  <si>
    <t>0289250007
分析表312_x000D_
#</t>
  </si>
  <si>
    <t>02899#B001
分析表313_x000D_
D=8cm ±5%，H=75cm ±5%</t>
  </si>
  <si>
    <t xml:space="preserve">01556M100A
分析表314_x000D_
</t>
  </si>
  <si>
    <t xml:space="preserve">01556M200A
分析表315_x000D_
</t>
  </si>
  <si>
    <t>0289205007
分析表316_x000D_
#</t>
  </si>
  <si>
    <t xml:space="preserve">0289821302
分析表317_x000D_
</t>
  </si>
  <si>
    <t xml:space="preserve">0289821312
分析表318_x000D_
</t>
  </si>
  <si>
    <t>工作船</t>
  </si>
  <si>
    <t>天</t>
  </si>
  <si>
    <t xml:space="preserve">E000009A00002
</t>
  </si>
  <si>
    <t>平板動力工作船(租用)</t>
  </si>
  <si>
    <t xml:space="preserve">E000009A00022
</t>
  </si>
  <si>
    <t>　二</t>
  </si>
  <si>
    <t>材料檢驗</t>
  </si>
  <si>
    <t>依實際檢驗項目支付</t>
  </si>
  <si>
    <t>品質管理，材料設備檢驗費，土木工程及建築類檢驗，A2006鋼筋混凝土用鋼筋</t>
  </si>
  <si>
    <t xml:space="preserve">01450D10A8
</t>
  </si>
  <si>
    <t>品質管理，品質管理費，土木工程及建築類檢驗，A3045混凝土圓柱試體抗壓強度之檢驗法</t>
  </si>
  <si>
    <t xml:space="preserve">01450B11U7
</t>
  </si>
  <si>
    <t>品質管理，材料設備檢驗費，土木工程及建築類檢驗，瀝青混凝土壓實度試驗及厚度檢驗</t>
  </si>
  <si>
    <t xml:space="preserve">01450D1CY8
</t>
  </si>
  <si>
    <t>品質管理，材料設備檢驗費，土木工程及建築類檢驗，瀝青混凝土逢機鑽心及取樣孔恢復</t>
  </si>
  <si>
    <t xml:space="preserve">01450D1CZ8
</t>
  </si>
  <si>
    <t>品質管理，材料設備檢驗費，土木工程及建築類檢驗，鋼鐵件檢驗【含降伏、拉伸、彎曲、化性】</t>
  </si>
  <si>
    <t xml:space="preserve">01450D1D38
</t>
  </si>
  <si>
    <t>品質管理，材料設備檢驗費，土木工程及建築類檢驗，標線抗滑試驗(現地試驗，半天，3個試驗點)</t>
  </si>
  <si>
    <t xml:space="preserve">01450D1008
</t>
  </si>
  <si>
    <t>品質管理，材料設備檢驗費，土木工程及建築類檢驗，標線抗滑試驗(現地試驗，1天，6個試驗點)</t>
  </si>
  <si>
    <t xml:space="preserve">01450D1Z18
</t>
  </si>
  <si>
    <t>品質管理，材料設備檢驗費，土木工程及建築類檢驗，標線抗滑試驗(增加試驗點位)</t>
  </si>
  <si>
    <t xml:space="preserve">01450D1Z2L
</t>
  </si>
  <si>
    <t>品質管制，材料設備檢驗費，土木工程及建築類檢驗，水泥砂漿膨脹率檢驗</t>
  </si>
  <si>
    <t xml:space="preserve">01450D11Y8
</t>
  </si>
  <si>
    <t>品質管制，材料設備檢驗費，土木工程及建築類檢驗，水泥砂漿收縮率檢驗</t>
  </si>
  <si>
    <t xml:space="preserve">01450D16Q8
</t>
  </si>
  <si>
    <t>品質管制，材料設備檢驗費，土木工程及建築類檢驗，水泥砂漿方塊試體抗壓強度檢驗</t>
  </si>
  <si>
    <t xml:space="preserve">01450DI258
</t>
  </si>
  <si>
    <t>品質管制，建築用磚，高壓鋪面磚、紅磚(包括抗壓強度、吸水率、外觀及耐磨性)</t>
  </si>
  <si>
    <t xml:space="preserve">0145000024
</t>
  </si>
  <si>
    <t>品質管理，材料設備檢驗費，土木工程及建築類檢驗，A3331塑膠包覆人孔踏步檢驗法</t>
  </si>
  <si>
    <t xml:space="preserve">01450D19T8
</t>
  </si>
  <si>
    <t>品質管理，材料設備檢驗費，土木工程及建築類檢驗，化學螺栓拉拔力測試</t>
  </si>
  <si>
    <t>隻</t>
  </si>
  <si>
    <t xml:space="preserve">01450D1D1R
</t>
  </si>
  <si>
    <t>品質管理，材料設備檢驗費，土木工程及建築類檢驗，瀝青混凝土平整度試驗</t>
  </si>
  <si>
    <t xml:space="preserve">01450D1C24
</t>
  </si>
  <si>
    <t>品質管制，鋼筋拉拔試驗費，#8(含)以上鋼筋</t>
  </si>
  <si>
    <t>01450A10E1
每組2支</t>
  </si>
  <si>
    <t>01450A10F1
超過1組檢驗數量另計</t>
  </si>
  <si>
    <t>品質管制，鋼筋拉拔試驗費，#8以下鋼筋</t>
  </si>
  <si>
    <t>01450A10G1
每組3支</t>
  </si>
  <si>
    <t>01450A10H1
超過1組檢驗數量另計</t>
  </si>
  <si>
    <t>品質管制，不銹鋼料檢驗</t>
  </si>
  <si>
    <t xml:space="preserve">01450A81AA
</t>
  </si>
  <si>
    <t>品質管制，鍍鋅格柵蓋板檢驗</t>
  </si>
  <si>
    <t xml:space="preserve">01450B91A8
</t>
  </si>
  <si>
    <t>品質管制，熱浸鍍鋅檢驗</t>
  </si>
  <si>
    <t xml:space="preserve">01450A1005
</t>
  </si>
  <si>
    <t>　三</t>
  </si>
  <si>
    <t>工地環保清潔</t>
  </si>
  <si>
    <t>依工程費×2.52%</t>
  </si>
  <si>
    <t xml:space="preserve">01572F000E
分析表319_x000D_
</t>
  </si>
  <si>
    <t xml:space="preserve">01572H100F
分析表320_x000D_
</t>
  </si>
  <si>
    <t>　四</t>
  </si>
  <si>
    <t>防範瓦斯管道破損駐場人員費</t>
  </si>
  <si>
    <t>需檢據核銷</t>
  </si>
  <si>
    <t>天然瓦斯系統及設備，監測，駐場人員，日間八小時</t>
  </si>
  <si>
    <t>人</t>
  </si>
  <si>
    <t>0225245113
[人力工項不打折]</t>
  </si>
  <si>
    <t>天然瓦斯系統及設備，監測，駐場人員，夜間八小時</t>
  </si>
  <si>
    <t>0225245123
[人力工項不打折]</t>
  </si>
  <si>
    <t>天然瓦斯系統及設備，監測，駐場人員，日間四小時</t>
  </si>
  <si>
    <t>0225245133
[人力工項不打折]</t>
  </si>
  <si>
    <t>　五</t>
  </si>
  <si>
    <t>安全設施及交通維護</t>
  </si>
  <si>
    <t>依工程費×4.97%,以新製品或完整無缺（重新油漆或清理過後）之堪用品進場。</t>
  </si>
  <si>
    <t>工程告示牌及工地標誌，移動式工程告示牌，鋁板陽極處理，A型或B型</t>
  </si>
  <si>
    <t>面</t>
  </si>
  <si>
    <t xml:space="preserve">01583A500A
</t>
  </si>
  <si>
    <t>工程告示牌及工地標誌，柔性告示牌</t>
  </si>
  <si>
    <t>01583B000A
創意柔性告示牌之圖案須依機關提供之電子檔依比例放大製作</t>
  </si>
  <si>
    <t>工程告示牌及工地標誌，工程告示牌，鋁質，長120x寬75cm</t>
  </si>
  <si>
    <t xml:space="preserve">015831110B
</t>
  </si>
  <si>
    <t>活動型拒馬，長1.2m</t>
  </si>
  <si>
    <t xml:space="preserve">0155630A0A
</t>
  </si>
  <si>
    <t>交通錐，高70cm</t>
  </si>
  <si>
    <t xml:space="preserve">0155642007
</t>
  </si>
  <si>
    <t>交通錐，高70cm，其他適當材料，PVC。2.5kg重</t>
  </si>
  <si>
    <t xml:space="preserve">0155642707
</t>
  </si>
  <si>
    <t>交通錐，連桿</t>
  </si>
  <si>
    <t xml:space="preserve">015564080E
</t>
  </si>
  <si>
    <t>施工標誌</t>
  </si>
  <si>
    <t xml:space="preserve">015566000A
</t>
  </si>
  <si>
    <t>施工標誌，菱形，標準型邊長70cm</t>
  </si>
  <si>
    <t xml:space="preserve">015566110A
</t>
  </si>
  <si>
    <t>施工標誌，警告告示牌，中型，150*60cm</t>
  </si>
  <si>
    <t xml:space="preserve">015566120A
</t>
  </si>
  <si>
    <t>施工標誌，警告告示牌，大型</t>
  </si>
  <si>
    <t xml:space="preserve">015566130A
</t>
  </si>
  <si>
    <t>施工警告燈號</t>
  </si>
  <si>
    <t xml:space="preserve">015568000A
</t>
  </si>
  <si>
    <t>臨時指揮設施</t>
  </si>
  <si>
    <t xml:space="preserve">0155690008
</t>
  </si>
  <si>
    <t>反光貼紙(800mm*150mm)</t>
  </si>
  <si>
    <t xml:space="preserve">02891A0003
</t>
  </si>
  <si>
    <t>反光貼紙(100mm*150mm)</t>
  </si>
  <si>
    <t xml:space="preserve">02891B0003
</t>
  </si>
  <si>
    <t>警示桶，H=106cm</t>
  </si>
  <si>
    <t xml:space="preserve">01556K1007
</t>
  </si>
  <si>
    <t>指示標誌</t>
  </si>
  <si>
    <t xml:space="preserve">01556L000A
</t>
  </si>
  <si>
    <t>　六</t>
  </si>
  <si>
    <t>職業安全衛生管理費</t>
  </si>
  <si>
    <t>依工程費×2.85%,以新製品或完整無缺（重新油漆或清理過後）之堪用品進場。（本項決標後依投標須知第八十四點規定，不隨底價折數調整，本欄所列百分比亦隨同調整）</t>
  </si>
  <si>
    <t>職業安全衛生，一般器材，安全告示牌，1.5mm厚P.V.C</t>
  </si>
  <si>
    <t>工程告示牌及工地標誌，工地標誌，進入工地戴安全帽，P.V.C45*60cm</t>
  </si>
  <si>
    <t>015832000A
#</t>
  </si>
  <si>
    <t>工程告示牌及工地標誌，工地標誌，危險請勿靠近，P.V.C45*60cm</t>
  </si>
  <si>
    <t>015832100A
#</t>
  </si>
  <si>
    <t>工程告示牌及工地標誌，工地標誌，操作半徑內禁止進入，P.V.C45*60cm</t>
  </si>
  <si>
    <t>015832200A
#</t>
  </si>
  <si>
    <t>職業安全衛生，保護器材，臨水作業救生設備，救生衣</t>
  </si>
  <si>
    <t xml:space="preserve">015742D108
</t>
  </si>
  <si>
    <t>職業安全衛生，保護器材，頭部，安全帽(加反光條)</t>
  </si>
  <si>
    <t>頂</t>
  </si>
  <si>
    <t xml:space="preserve">015742110L
</t>
  </si>
  <si>
    <t>職業安全衛生，保護器材，臉部，安全面罩</t>
  </si>
  <si>
    <t>具</t>
  </si>
  <si>
    <t xml:space="preserve">015742320C
</t>
  </si>
  <si>
    <t>職業安全衛生，保護器材，眼睛，護目鏡，遮光護目鏡</t>
  </si>
  <si>
    <t xml:space="preserve">0157424228
</t>
  </si>
  <si>
    <t>職業安全衛生，保護器材，手部，特殊手套，防酸鹼用</t>
  </si>
  <si>
    <t>雙</t>
  </si>
  <si>
    <t xml:space="preserve">015742672M
</t>
  </si>
  <si>
    <t>職業安全衛生，保護器材，足部，安全鞋</t>
  </si>
  <si>
    <t xml:space="preserve">015742710M
</t>
  </si>
  <si>
    <t>職業安全衛生，保護器材，身體，勞工衛生用防護衣</t>
  </si>
  <si>
    <t xml:space="preserve">015742870G
</t>
  </si>
  <si>
    <t>職業安全衛生，保護器材，高處作業，安全帶(含掛鉤等配件)</t>
  </si>
  <si>
    <t>0157429108
#</t>
  </si>
  <si>
    <t>職業安全衛生，保護器材，安全扶梯(2M高度以上，45cm寬)</t>
  </si>
  <si>
    <t xml:space="preserve">0157429517
</t>
  </si>
  <si>
    <t>職業安全衛生，保護器材，意外傷害救護設備，急救箱</t>
  </si>
  <si>
    <t xml:space="preserve">015742A107
</t>
  </si>
  <si>
    <t>職業安全衛生，保護器材，身體，反光背心(印有「水利工程處施工廠商人員」字樣)</t>
  </si>
  <si>
    <t xml:space="preserve">0157428A0G
</t>
  </si>
  <si>
    <t>職業安全衛生，保護器材，臨水作業救生設備，救生圈(含救生索)</t>
  </si>
  <si>
    <t xml:space="preserve">015742D408
</t>
  </si>
  <si>
    <t>施工中安全防護網，網孔2x2cm，聚丙烯</t>
  </si>
  <si>
    <t xml:space="preserve">0152101202
</t>
  </si>
  <si>
    <t>職安人員</t>
  </si>
  <si>
    <t>L000007000004
[人力工項不打折]</t>
  </si>
  <si>
    <t>職業安全衛生，教育訓練，職業災害急救人員(包括教育訓練及防災演練等費用)</t>
  </si>
  <si>
    <t>0157433004
#</t>
  </si>
  <si>
    <t>職業安全衛生，飲水及休息設備</t>
  </si>
  <si>
    <t>0157400004
#</t>
  </si>
  <si>
    <t>　七</t>
  </si>
  <si>
    <t>雜項工程</t>
  </si>
  <si>
    <t>依工程費×1.6%</t>
  </si>
  <si>
    <t>臨時設施，雜項工程，自來水用戶拆遷搶修</t>
  </si>
  <si>
    <t xml:space="preserve">01510C100F
</t>
  </si>
  <si>
    <t>臨時設施，雜項工程，用戶排水銜接</t>
  </si>
  <si>
    <t xml:space="preserve">01510C2004
</t>
  </si>
  <si>
    <t>臨時設施，雜項工程，工地材料搬運</t>
  </si>
  <si>
    <t xml:space="preserve">01510C6004
</t>
  </si>
  <si>
    <t>雜項工程，新舊工程銜接費</t>
  </si>
  <si>
    <t xml:space="preserve">01510C7004
</t>
  </si>
  <si>
    <t>臨時設施，雜項工程，地下管線臨時吊掛</t>
  </si>
  <si>
    <t>　八</t>
  </si>
  <si>
    <t>自主品管費</t>
  </si>
  <si>
    <t>依工程費×1.77%</t>
  </si>
  <si>
    <t>　九</t>
  </si>
  <si>
    <t>稅什費(含營繕工程綜合保險費)</t>
  </si>
  <si>
    <t>(壹.一~壹.八*)_x000D_
[約10.95000238%]</t>
  </si>
  <si>
    <t>　一０</t>
  </si>
  <si>
    <t>鄰房現況鑑定</t>
  </si>
  <si>
    <t>鄰房現況鑑定(含稅)</t>
  </si>
  <si>
    <t>0225305002
本項單價為固定值(56元/M2)，訂約時不隨折數調整，依實際鑑定戶數計架並檢據核銷(費用不另計稅什費)</t>
  </si>
  <si>
    <t>【發包工程費小計】</t>
  </si>
  <si>
    <t>總價(總計)</t>
  </si>
  <si>
    <t>註記:</t>
  </si>
  <si>
    <t xml:space="preserve">本工程包含有價廢料變賣項，係將本工程所產生之有價廢料變賣予廠商，該款項得標廠商得以現金方式繳納或由工程估驗款內扣抵，各項單價不得因決標金額所做比例調整而變動，預估數量計算所得總售價不列入標單暨發包契約總價，變賣項目及預估數量條列如後：_x000D_
  「瀝青混凝土刨除料變賣」，單價：575.00元/M3，預估數量：40.00M3，複價：23,000.00元。_x000D_
 預估變賣總價為：23,000.00元，惟發包後則由得標廠商依實做數量乘單價以結算總售價。 </t>
  </si>
  <si>
    <t>鋼製模板，U型溝用，W=40cm，L=120cm.</t>
    <phoneticPr fontId="3" type="noConversion"/>
  </si>
  <si>
    <t>鋼製模板，U型溝用，W=40cm，L=120cm，H&gt;80cm.</t>
    <phoneticPr fontId="3" type="noConversion"/>
  </si>
  <si>
    <t>鋼製模板，U型溝用，W=50cm，L=120cm，H&gt;80cm.</t>
    <phoneticPr fontId="3" type="noConversion"/>
  </si>
  <si>
    <t>鋼製模板，U型溝用，W=60cm，L=120cm.</t>
    <phoneticPr fontId="3" type="noConversion"/>
  </si>
  <si>
    <t>鋼製模板，U型溝用，W=60cm，L=120cm，H&gt;80cm.</t>
    <phoneticPr fontId="3" type="noConversion"/>
  </si>
  <si>
    <t>場鑄結構混凝土用模板，普通模板，乙種.</t>
    <phoneticPr fontId="3" type="noConversion"/>
  </si>
  <si>
    <t>場鑄結構混凝土用模板，清水模板，丙種.</t>
    <phoneticPr fontId="3" type="noConversion"/>
  </si>
  <si>
    <t>場鑄結構混凝土用模板，清水模板，甲種.</t>
    <phoneticPr fontId="3" type="noConversion"/>
  </si>
  <si>
    <t>構造物開挖，(人工挖，未含抽水)，未含運費(含裝車).</t>
    <phoneticPr fontId="3" type="noConversion"/>
  </si>
  <si>
    <t>基地及路幅開挖，硬岩，(機械挖，手提鑿岩機配合開挖機)，未含運費.</t>
    <phoneticPr fontId="3" type="noConversion"/>
  </si>
  <si>
    <t>基地及路幅開挖，軟岩，(機械挖，手提鑿岩機配合開挖機)，未含運費.</t>
    <phoneticPr fontId="3" type="noConversion"/>
  </si>
  <si>
    <t>鋼筋，SD280.</t>
    <phoneticPr fontId="3" type="noConversion"/>
  </si>
  <si>
    <t>鋼筋，SD420.</t>
    <phoneticPr fontId="3" type="noConversion"/>
  </si>
  <si>
    <t>瀝青混凝土舖面，粗粒料19.0mm，針入度60-70</t>
    <phoneticPr fontId="3" type="noConversion"/>
  </si>
  <si>
    <t>小型貨車，總重3-3.9t</t>
    <phoneticPr fontId="3" type="noConversion"/>
  </si>
  <si>
    <t>傾卸貨車，總重8-8.9t</t>
    <phoneticPr fontId="3" type="noConversion"/>
  </si>
  <si>
    <t>開挖機，0.70-0.79m3</t>
  </si>
  <si>
    <t>推土機，120-129KW</t>
    <phoneticPr fontId="3" type="noConversion"/>
  </si>
  <si>
    <t>人工拆除，鋼筋混凝土，含裝車未含運費.</t>
  </si>
  <si>
    <t>機械拆除，鋼筋混凝土，未含運費.</t>
  </si>
  <si>
    <t>構造物開挖，(人工挖，未含抽水)，未含運費(含裝車).</t>
  </si>
  <si>
    <t>瀝青混凝土舖面，粗粒料9.5mm，黏度AC(1)-20，零星工程用</t>
  </si>
  <si>
    <t>瀝青混凝土舖面，粗粒料19.0mm，黏度AC(1)-20，零星工程用</t>
  </si>
  <si>
    <t>人行道化妝蓋板及底座，(高壓磚舖面)</t>
  </si>
  <si>
    <t>伸縮縫，側溝工程用</t>
  </si>
  <si>
    <t xml:space="preserve">161323006041
</t>
  </si>
  <si>
    <t xml:space="preserve">161323007041
</t>
  </si>
  <si>
    <t xml:space="preserve">161323009041
</t>
  </si>
  <si>
    <t xml:space="preserve">16132300A041
</t>
  </si>
  <si>
    <t xml:space="preserve">16132300B041
</t>
  </si>
  <si>
    <t xml:space="preserve">16132300C041
</t>
  </si>
  <si>
    <t>臨時車行越溝鋼板(一般客車使用)</t>
  </si>
  <si>
    <t>臨時車行越溝鋼板(載重≦15t)</t>
  </si>
  <si>
    <t>臨時車行越溝鋼板(15t&lt;載重≦35t)</t>
  </si>
  <si>
    <t>臨時人行越溝鋼板L160cm×W120cm</t>
  </si>
  <si>
    <t>01532C1102
通行寬度90cm</t>
  </si>
  <si>
    <t>臨時人行越溝鋼板L160cm×W90cm</t>
  </si>
  <si>
    <t>防塵布，布料、帆布或塑膠布</t>
  </si>
  <si>
    <t xml:space="preserve">0280133302
</t>
  </si>
  <si>
    <t>臨時設施，照明設備(含安裝及拆除)</t>
  </si>
  <si>
    <t>盞</t>
  </si>
  <si>
    <t>彩色鋪面</t>
  </si>
  <si>
    <t>標線磨除(刨除)</t>
  </si>
  <si>
    <t xml:space="preserve">02898D0002
</t>
  </si>
  <si>
    <t>1.405</t>
  </si>
  <si>
    <t>1.406</t>
  </si>
  <si>
    <t>1.407</t>
  </si>
  <si>
    <t>1.408</t>
  </si>
  <si>
    <t>1.409</t>
  </si>
  <si>
    <t>1.410</t>
  </si>
  <si>
    <t>1.411</t>
  </si>
  <si>
    <t>2.24</t>
  </si>
  <si>
    <t>平均溝深=</t>
    <phoneticPr fontId="3" type="noConversion"/>
  </si>
  <si>
    <t>基地及路幅開挖，未含運費，(機械挖，0.7-0.79m3開挖機)</t>
    <phoneticPr fontId="3" type="noConversion"/>
  </si>
  <si>
    <t>新設</t>
  </si>
  <si>
    <t>案件類別:</t>
  </si>
  <si>
    <t>本案工期:</t>
  </si>
  <si>
    <t>施作長度:</t>
  </si>
  <si>
    <t>銑鋪面積(5cm):</t>
  </si>
  <si>
    <t>銑鋪面積(10cm):</t>
  </si>
  <si>
    <t>餘方自行處理(含水土保持)，總重15T以下傾卸貨車</t>
    <phoneticPr fontId="3" type="noConversion"/>
  </si>
  <si>
    <t>無</t>
  </si>
  <si>
    <t>場鑄</t>
  </si>
  <si>
    <t>既有型式=</t>
    <phoneticPr fontId="3" type="noConversion"/>
  </si>
  <si>
    <t>施作型式=</t>
    <phoneticPr fontId="3" type="noConversion"/>
  </si>
  <si>
    <t>伸縮縫</t>
    <phoneticPr fontId="3" type="noConversion"/>
  </si>
  <si>
    <t>側溝</t>
    <phoneticPr fontId="58" type="noConversion"/>
  </si>
  <si>
    <t>5cm 一般瀝青</t>
    <phoneticPr fontId="59" type="noConversion"/>
  </si>
  <si>
    <t>案件類型</t>
  </si>
  <si>
    <t>瀝青用料</t>
  </si>
  <si>
    <t>厚度</t>
  </si>
  <si>
    <t>面積公式</t>
  </si>
  <si>
    <t>一般</t>
    <phoneticPr fontId="58" type="noConversion"/>
  </si>
  <si>
    <t>搶修</t>
    <phoneticPr fontId="58" type="noConversion"/>
  </si>
  <si>
    <t>案件類型</t>
    <phoneticPr fontId="58" type="noConversion"/>
  </si>
  <si>
    <t>施工類型</t>
    <phoneticPr fontId="58" type="noConversion"/>
  </si>
  <si>
    <t>既有型式</t>
    <phoneticPr fontId="58" type="noConversion"/>
  </si>
  <si>
    <t>外模</t>
    <phoneticPr fontId="58" type="noConversion"/>
  </si>
  <si>
    <t>銑鋪面積</t>
    <phoneticPr fontId="58" type="noConversion"/>
  </si>
  <si>
    <t>溝深</t>
    <phoneticPr fontId="58" type="noConversion"/>
  </si>
  <si>
    <t>溝寬</t>
    <phoneticPr fontId="58" type="noConversion"/>
  </si>
  <si>
    <t>溝牆</t>
    <phoneticPr fontId="58" type="noConversion"/>
  </si>
  <si>
    <t>既有溝深</t>
    <phoneticPr fontId="58" type="noConversion"/>
  </si>
  <si>
    <t>既有溝寬</t>
    <phoneticPr fontId="58" type="noConversion"/>
  </si>
  <si>
    <t>既有溝牆</t>
    <phoneticPr fontId="58" type="noConversion"/>
  </si>
  <si>
    <t>側溝長</t>
    <phoneticPr fontId="58" type="noConversion"/>
  </si>
  <si>
    <t>側溝單價</t>
    <phoneticPr fontId="58" type="noConversion"/>
  </si>
  <si>
    <t>側溝造價</t>
    <phoneticPr fontId="58" type="noConversion"/>
  </si>
  <si>
    <t>一般(5cm)</t>
    <phoneticPr fontId="58" type="noConversion"/>
  </si>
  <si>
    <t>搶修(5cm)</t>
    <phoneticPr fontId="58" type="noConversion"/>
  </si>
  <si>
    <t>,</t>
    <phoneticPr fontId="58" type="noConversion"/>
  </si>
  <si>
    <t>總溝寬</t>
    <phoneticPr fontId="3" type="noConversion"/>
  </si>
  <si>
    <t>底深</t>
    <phoneticPr fontId="58" type="noConversion"/>
  </si>
  <si>
    <t>210底深</t>
    <phoneticPr fontId="58" type="noConversion"/>
  </si>
  <si>
    <t>扣除U型</t>
    <phoneticPr fontId="58" type="noConversion"/>
  </si>
  <si>
    <t>U型半徑</t>
    <phoneticPr fontId="58" type="noConversion"/>
  </si>
  <si>
    <t>鋼筋D10</t>
    <phoneticPr fontId="58" type="noConversion"/>
  </si>
  <si>
    <t>鋼筋D13</t>
    <phoneticPr fontId="58" type="noConversion"/>
  </si>
  <si>
    <t>溝深差</t>
    <phoneticPr fontId="58" type="noConversion"/>
  </si>
  <si>
    <t>瀝青混凝土舖面，粗粒料9.5mm，針入度60-70</t>
    <phoneticPr fontId="59" type="noConversion"/>
  </si>
  <si>
    <t>小計</t>
    <phoneticPr fontId="58" type="noConversion"/>
  </si>
  <si>
    <t>單位</t>
    <phoneticPr fontId="58" type="noConversion"/>
  </si>
  <si>
    <t>單價</t>
    <phoneticPr fontId="58" type="noConversion"/>
  </si>
  <si>
    <t>復價</t>
    <phoneticPr fontId="58" type="noConversion"/>
  </si>
  <si>
    <t>.</t>
    <phoneticPr fontId="58" type="noConversion"/>
  </si>
  <si>
    <t>10cm 一般瀝青</t>
    <phoneticPr fontId="59" type="noConversion"/>
  </si>
  <si>
    <t>一般(10cm)</t>
    <phoneticPr fontId="58" type="noConversion"/>
  </si>
  <si>
    <t>搶修(10cm)</t>
    <phoneticPr fontId="58" type="noConversion"/>
  </si>
  <si>
    <t>瀝青混凝土面層刨除，厚10cm，刨除機1.2m寬，未含運費</t>
    <phoneticPr fontId="58" type="noConversion"/>
  </si>
  <si>
    <t>集水井</t>
    <phoneticPr fontId="58" type="noConversion"/>
  </si>
  <si>
    <t>瀝青混凝土舖面，粗粒料19.0mm，針入度60-70</t>
    <phoneticPr fontId="59" type="noConversion"/>
  </si>
  <si>
    <t>5cm 再生瀝青</t>
    <phoneticPr fontId="59" type="noConversion"/>
  </si>
  <si>
    <t>結構用混凝土，預拌，210kgf/cm2</t>
    <phoneticPr fontId="58" type="noConversion"/>
  </si>
  <si>
    <t>瀝青混凝土面，再生粒料，粗粒料9.5mm，緊急搶修工程用，舖築及滾壓另計</t>
    <phoneticPr fontId="58" type="noConversion"/>
  </si>
  <si>
    <t>(免拆模板，鋼質)，厚3mm鋼模</t>
    <phoneticPr fontId="58" type="noConversion"/>
  </si>
  <si>
    <t>暗溝</t>
    <phoneticPr fontId="58" type="noConversion"/>
  </si>
  <si>
    <t>① D13@15cm</t>
    <phoneticPr fontId="58" type="noConversion"/>
  </si>
  <si>
    <t>② D13@15cm</t>
    <phoneticPr fontId="58" type="noConversion"/>
  </si>
  <si>
    <t>10cm 再生瀝青</t>
    <phoneticPr fontId="59" type="noConversion"/>
  </si>
  <si>
    <t>頂板寬</t>
    <phoneticPr fontId="58" type="noConversion"/>
  </si>
  <si>
    <t>頂板厚</t>
    <phoneticPr fontId="58" type="noConversion"/>
  </si>
  <si>
    <t>長度</t>
    <phoneticPr fontId="58" type="noConversion"/>
  </si>
  <si>
    <t>支數</t>
    <phoneticPr fontId="58" type="noConversion"/>
  </si>
  <si>
    <t>合計重量</t>
    <phoneticPr fontId="58" type="noConversion"/>
  </si>
  <si>
    <t>總重量</t>
    <phoneticPr fontId="58" type="noConversion"/>
  </si>
  <si>
    <t>瀝青混凝土面，再生粒料，粗粒料19.0mm，緊急搶修工程用，舖築及滾壓另計</t>
    <phoneticPr fontId="58" type="noConversion"/>
  </si>
  <si>
    <t>鋼筋，SD280W</t>
    <phoneticPr fontId="3" type="noConversion"/>
  </si>
  <si>
    <t>5cm 改質瀝青</t>
    <phoneticPr fontId="59" type="noConversion"/>
  </si>
  <si>
    <t>型式</t>
    <phoneticPr fontId="58" type="noConversion"/>
  </si>
  <si>
    <t>厚度</t>
    <phoneticPr fontId="58" type="noConversion"/>
  </si>
  <si>
    <t>拆除</t>
    <phoneticPr fontId="58" type="noConversion"/>
  </si>
  <si>
    <t xml:space="preserve"> 格柵</t>
    <phoneticPr fontId="58" type="noConversion"/>
  </si>
  <si>
    <t>標線</t>
    <phoneticPr fontId="58" type="noConversion"/>
  </si>
  <si>
    <t>瀝青混凝土面，密級配改質瀝青混凝土，粗粒料19mm，改質Ⅲ型，緊急搶修工程用，舖築及滾壓另計</t>
    <phoneticPr fontId="58" type="noConversion"/>
  </si>
  <si>
    <t>參數整理</t>
  </si>
  <si>
    <t>10cm 改質瀝青</t>
    <phoneticPr fontId="59" type="noConversion"/>
  </si>
  <si>
    <t>頂版型式</t>
    <phoneticPr fontId="3" type="noConversion"/>
  </si>
  <si>
    <t>AC厚度</t>
    <phoneticPr fontId="58" type="noConversion"/>
  </si>
  <si>
    <t>鋼筋D16</t>
  </si>
  <si>
    <t>鋼筋D13</t>
  </si>
  <si>
    <t>通報單資訊</t>
    <phoneticPr fontId="58" type="noConversion"/>
  </si>
  <si>
    <t>側溝頂版說明新增:
9.本工程側溝場鑄溝蓋板∅5cm(2")PVC管設置長度不得大於溝蓋板厚度2公分(溝蓋厚度15公分為17公分;13公分為15公分)，且完工後不得突出溝蓋板頂面。</t>
    <phoneticPr fontId="58" type="noConversion"/>
  </si>
  <si>
    <t>餘方處理</t>
    <phoneticPr fontId="58" type="noConversion"/>
  </si>
  <si>
    <t>總餘方量小餘4m3(總重8-8.9T傾卸貨車)</t>
  </si>
  <si>
    <t>側溝施作價格</t>
    <phoneticPr fontId="58" type="noConversion"/>
  </si>
  <si>
    <t>搶修案</t>
  </si>
  <si>
    <t>U型溝</t>
  </si>
  <si>
    <t>側溝施作長</t>
    <phoneticPr fontId="58" type="noConversion"/>
  </si>
  <si>
    <t>側溝每m造價</t>
    <phoneticPr fontId="58" type="noConversion"/>
  </si>
  <si>
    <t>② D10@25cm</t>
    <phoneticPr fontId="58" type="noConversion"/>
  </si>
  <si>
    <t>重量</t>
    <phoneticPr fontId="58" type="noConversion"/>
  </si>
  <si>
    <t>側溝全段造價</t>
    <phoneticPr fontId="58" type="noConversion"/>
  </si>
  <si>
    <t>集水井施作價格</t>
    <phoneticPr fontId="58" type="noConversion"/>
  </si>
  <si>
    <t>既有井</t>
  </si>
  <si>
    <t>集水井施作</t>
    <phoneticPr fontId="58" type="noConversion"/>
  </si>
  <si>
    <t>側溝每座造價</t>
    <phoneticPr fontId="58" type="noConversion"/>
  </si>
  <si>
    <t>③ D10@25cm</t>
    <phoneticPr fontId="58" type="noConversion"/>
  </si>
  <si>
    <t>側溝頂版</t>
    <phoneticPr fontId="58" type="noConversion"/>
  </si>
  <si>
    <t>S型</t>
  </si>
  <si>
    <t>13cm</t>
  </si>
  <si>
    <t>80cm</t>
  </si>
  <si>
    <t>40cm</t>
  </si>
  <si>
    <t>一般型</t>
  </si>
  <si>
    <t>無標線</t>
  </si>
  <si>
    <t>'</t>
  </si>
  <si>
    <t>暗溝頂版</t>
    <phoneticPr fontId="58" type="noConversion"/>
  </si>
  <si>
    <t>既有AC厚</t>
    <phoneticPr fontId="58" type="noConversion"/>
  </si>
  <si>
    <t>涵管</t>
    <phoneticPr fontId="58" type="noConversion"/>
  </si>
  <si>
    <t>道路復舊</t>
    <phoneticPr fontId="58" type="noConversion"/>
  </si>
  <si>
    <t>一般案</t>
  </si>
  <si>
    <t>U型暗溝</t>
  </si>
  <si>
    <t>無清掃孔</t>
  </si>
  <si>
    <t>銑鋪復舊</t>
  </si>
  <si>
    <t>管徑</t>
    <phoneticPr fontId="58" type="noConversion"/>
  </si>
  <si>
    <t>管壁厚</t>
    <phoneticPr fontId="58" type="noConversion"/>
  </si>
  <si>
    <t>開挖長</t>
    <phoneticPr fontId="58" type="noConversion"/>
  </si>
  <si>
    <t>開挖寬</t>
    <phoneticPr fontId="58" type="noConversion"/>
  </si>
  <si>
    <t>埋設深</t>
    <phoneticPr fontId="58" type="noConversion"/>
  </si>
  <si>
    <t>20cm</t>
  </si>
  <si>
    <t>5cm臨補</t>
  </si>
  <si>
    <t>RCP 600</t>
  </si>
  <si>
    <t>① D16@15cm</t>
    <phoneticPr fontId="58" type="noConversion"/>
  </si>
  <si>
    <t>暗溝頂板</t>
    <phoneticPr fontId="58" type="noConversion"/>
  </si>
  <si>
    <t>道路切割復舊</t>
    <phoneticPr fontId="58" type="noConversion"/>
  </si>
  <si>
    <t>復舊方式</t>
    <phoneticPr fontId="58" type="noConversion"/>
  </si>
  <si>
    <t>長度(m)</t>
    <phoneticPr fontId="58" type="noConversion"/>
  </si>
  <si>
    <t>切割深度</t>
    <phoneticPr fontId="58" type="noConversion"/>
  </si>
  <si>
    <t>道路銑鋪復舊</t>
    <phoneticPr fontId="58" type="noConversion"/>
  </si>
  <si>
    <t>瀝青用料</t>
    <phoneticPr fontId="58" type="noConversion"/>
  </si>
  <si>
    <t>銑鋪面積公式</t>
    <phoneticPr fontId="58" type="noConversion"/>
  </si>
  <si>
    <t>樹脂混凝土修復</t>
  </si>
  <si>
    <t>((4.8+7)*5*0.5)</t>
    <phoneticPr fontId="58" type="noConversion"/>
  </si>
  <si>
    <t>其他</t>
    <phoneticPr fontId="58" type="noConversion"/>
  </si>
  <si>
    <t>施作長度</t>
    <phoneticPr fontId="58" type="noConversion"/>
  </si>
  <si>
    <t>案件類型</t>
    <phoneticPr fontId="62" type="noConversion"/>
  </si>
  <si>
    <t>施工類型</t>
    <phoneticPr fontId="62" type="noConversion"/>
  </si>
  <si>
    <t>既有型式</t>
    <phoneticPr fontId="62" type="noConversion"/>
  </si>
  <si>
    <t>外模</t>
    <phoneticPr fontId="62" type="noConversion"/>
  </si>
  <si>
    <t>溝深</t>
    <phoneticPr fontId="62" type="noConversion"/>
  </si>
  <si>
    <t>溝寬</t>
    <phoneticPr fontId="62" type="noConversion"/>
  </si>
  <si>
    <t>溝牆</t>
    <phoneticPr fontId="62" type="noConversion"/>
  </si>
  <si>
    <t>既有溝深</t>
    <phoneticPr fontId="62" type="noConversion"/>
  </si>
  <si>
    <t>既有溝寬</t>
    <phoneticPr fontId="62" type="noConversion"/>
  </si>
  <si>
    <t>既有溝牆</t>
    <phoneticPr fontId="62" type="noConversion"/>
  </si>
  <si>
    <t>側溝長</t>
    <phoneticPr fontId="62" type="noConversion"/>
  </si>
  <si>
    <t>側溝單價</t>
    <phoneticPr fontId="62" type="noConversion"/>
  </si>
  <si>
    <t>側溝造價</t>
    <phoneticPr fontId="62" type="noConversion"/>
  </si>
  <si>
    <t>底深</t>
    <phoneticPr fontId="62" type="noConversion"/>
  </si>
  <si>
    <t>210底深</t>
    <phoneticPr fontId="62" type="noConversion"/>
  </si>
  <si>
    <t>扣除U型</t>
    <phoneticPr fontId="62" type="noConversion"/>
  </si>
  <si>
    <t>U型半徑</t>
    <phoneticPr fontId="62" type="noConversion"/>
  </si>
  <si>
    <t>鋼筋D10</t>
    <phoneticPr fontId="62" type="noConversion"/>
  </si>
  <si>
    <t>鋼筋D13</t>
    <phoneticPr fontId="62" type="noConversion"/>
  </si>
  <si>
    <t>溝深差</t>
    <phoneticPr fontId="62" type="noConversion"/>
  </si>
  <si>
    <t>小計</t>
    <phoneticPr fontId="62" type="noConversion"/>
  </si>
  <si>
    <t>單位</t>
    <phoneticPr fontId="62" type="noConversion"/>
  </si>
  <si>
    <t>單價</t>
    <phoneticPr fontId="62" type="noConversion"/>
  </si>
  <si>
    <t>復價</t>
    <phoneticPr fontId="62" type="noConversion"/>
  </si>
  <si>
    <t>瀝青混凝土面層刨除，厚10cm，刨除機1.2m寬，未含運費</t>
    <phoneticPr fontId="62" type="noConversion"/>
  </si>
  <si>
    <t>集水井</t>
    <phoneticPr fontId="62" type="noConversion"/>
  </si>
  <si>
    <t>溝長</t>
    <phoneticPr fontId="62" type="noConversion"/>
  </si>
  <si>
    <t>鋼筋1</t>
    <phoneticPr fontId="62" type="noConversion"/>
  </si>
  <si>
    <t>鋼筋2</t>
    <phoneticPr fontId="62" type="noConversion"/>
  </si>
  <si>
    <t>鋼筋3</t>
    <phoneticPr fontId="62" type="noConversion"/>
  </si>
  <si>
    <t>結構用混凝土，預拌，210kgf/cm2</t>
    <phoneticPr fontId="62" type="noConversion"/>
  </si>
  <si>
    <t>鋼筋，SD280W.</t>
    <phoneticPr fontId="62" type="noConversion"/>
  </si>
  <si>
    <t>鋼筋，SD280W</t>
    <phoneticPr fontId="62" type="noConversion"/>
  </si>
  <si>
    <t>(免拆模板，鋼質)，厚3mm鋼模</t>
    <phoneticPr fontId="62" type="noConversion"/>
  </si>
  <si>
    <t>暗溝</t>
    <phoneticPr fontId="62" type="noConversion"/>
  </si>
  <si>
    <t>鋼筋D16</t>
    <phoneticPr fontId="62" type="noConversion"/>
  </si>
  <si>
    <t>頂板寬</t>
    <phoneticPr fontId="62" type="noConversion"/>
  </si>
  <si>
    <t>頂板厚</t>
    <phoneticPr fontId="62" type="noConversion"/>
  </si>
  <si>
    <t>長度</t>
    <phoneticPr fontId="62" type="noConversion"/>
  </si>
  <si>
    <t>類型</t>
    <phoneticPr fontId="62" type="noConversion"/>
  </si>
  <si>
    <t>型式</t>
    <phoneticPr fontId="62" type="noConversion"/>
  </si>
  <si>
    <t>厚度</t>
    <phoneticPr fontId="62" type="noConversion"/>
  </si>
  <si>
    <t>拆除</t>
    <phoneticPr fontId="62" type="noConversion"/>
  </si>
  <si>
    <t xml:space="preserve"> 格柵</t>
    <phoneticPr fontId="62" type="noConversion"/>
  </si>
  <si>
    <t>施工方式</t>
    <phoneticPr fontId="62" type="noConversion"/>
  </si>
  <si>
    <t>標線</t>
    <phoneticPr fontId="62" type="noConversion"/>
  </si>
  <si>
    <t>隔柵</t>
    <phoneticPr fontId="62" type="noConversion"/>
  </si>
  <si>
    <t>模板</t>
    <phoneticPr fontId="62" type="noConversion"/>
  </si>
  <si>
    <t>D10</t>
    <phoneticPr fontId="62" type="noConversion"/>
  </si>
  <si>
    <t>D13</t>
    <phoneticPr fontId="62" type="noConversion"/>
  </si>
  <si>
    <t>總重</t>
    <phoneticPr fontId="62" type="noConversion"/>
  </si>
  <si>
    <t>f</t>
    <phoneticPr fontId="62" type="noConversion"/>
  </si>
  <si>
    <t>g</t>
    <phoneticPr fontId="62" type="noConversion"/>
  </si>
  <si>
    <t>S13</t>
    <phoneticPr fontId="62" type="noConversion"/>
  </si>
  <si>
    <t>S15</t>
    <phoneticPr fontId="62" type="noConversion"/>
  </si>
  <si>
    <t>L13</t>
    <phoneticPr fontId="62" type="noConversion"/>
  </si>
  <si>
    <t>L15</t>
    <phoneticPr fontId="62" type="noConversion"/>
  </si>
  <si>
    <t>格柵</t>
    <phoneticPr fontId="62" type="noConversion"/>
  </si>
  <si>
    <t>a</t>
    <phoneticPr fontId="62" type="noConversion"/>
  </si>
  <si>
    <t>b</t>
    <phoneticPr fontId="62" type="noConversion"/>
  </si>
  <si>
    <t>c</t>
    <phoneticPr fontId="62" type="noConversion"/>
  </si>
  <si>
    <t>d</t>
    <phoneticPr fontId="62" type="noConversion"/>
  </si>
  <si>
    <t>e</t>
    <phoneticPr fontId="62" type="noConversion"/>
  </si>
  <si>
    <t>h</t>
    <phoneticPr fontId="62" type="noConversion"/>
  </si>
  <si>
    <t>數量計算</t>
    <phoneticPr fontId="63" type="noConversion"/>
  </si>
  <si>
    <t>總溝深</t>
    <phoneticPr fontId="62" type="noConversion"/>
  </si>
  <si>
    <t>場鑄結構混凝土用模板，普通模板，丙種.</t>
    <phoneticPr fontId="62" type="noConversion"/>
  </si>
  <si>
    <t>格柵尺寸</t>
    <phoneticPr fontId="62" type="noConversion"/>
  </si>
  <si>
    <t>格柵開口</t>
    <phoneticPr fontId="62" type="noConversion"/>
  </si>
  <si>
    <t>格柵型式</t>
    <phoneticPr fontId="62" type="noConversion"/>
  </si>
  <si>
    <t>機械拆除，預鑄溝蓋板，未含運費</t>
    <phoneticPr fontId="62" type="noConversion"/>
  </si>
  <si>
    <t>1型鋼筋</t>
    <phoneticPr fontId="62" type="noConversion"/>
  </si>
  <si>
    <t>總和</t>
    <phoneticPr fontId="62" type="noConversion"/>
  </si>
  <si>
    <t>2型鋼筋</t>
    <phoneticPr fontId="62" type="noConversion"/>
  </si>
  <si>
    <t>樹脂混凝土修復</t>
    <phoneticPr fontId="62" type="noConversion"/>
  </si>
  <si>
    <t>一般單</t>
    <phoneticPr fontId="62" type="noConversion"/>
  </si>
  <si>
    <t>深度</t>
    <phoneticPr fontId="62" type="noConversion"/>
  </si>
  <si>
    <t>AC厚度</t>
    <phoneticPr fontId="62" type="noConversion"/>
  </si>
  <si>
    <t>餘方厚度</t>
    <phoneticPr fontId="62" type="noConversion"/>
  </si>
  <si>
    <t>工項數量統計</t>
    <phoneticPr fontId="62" type="noConversion"/>
  </si>
  <si>
    <t>分類</t>
    <phoneticPr fontId="62" type="noConversion"/>
  </si>
  <si>
    <t>常用工項</t>
    <phoneticPr fontId="62" type="noConversion"/>
  </si>
  <si>
    <t>數量</t>
    <phoneticPr fontId="62" type="noConversion"/>
  </si>
  <si>
    <t>工地處理，施工動復員，小型機具</t>
    <phoneticPr fontId="62" type="noConversion"/>
  </si>
  <si>
    <t>工地處理，緊急搶修，路面開挖</t>
    <phoneticPr fontId="62" type="noConversion"/>
  </si>
  <si>
    <t>餘方</t>
    <phoneticPr fontId="62" type="noConversion"/>
  </si>
  <si>
    <t>餘方自行處理(含水土保持)，總重3-3.9t貨車</t>
    <phoneticPr fontId="62" type="noConversion"/>
  </si>
  <si>
    <t>餘方自行處理(含水土保持)，總重8-8.9t傾卸貨車</t>
    <phoneticPr fontId="62" type="noConversion"/>
  </si>
  <si>
    <t>餘方自行處理(含水土保持)，總重15t傾卸貨車</t>
    <phoneticPr fontId="62" type="noConversion"/>
  </si>
  <si>
    <t>餘方自行處理(含水土保持)，總重35t傾卸貨車</t>
    <phoneticPr fontId="62" type="noConversion"/>
  </si>
  <si>
    <t>AC</t>
    <phoneticPr fontId="62" type="noConversion"/>
  </si>
  <si>
    <t>瀝青混凝土舖面，粗粒料9.5mm，針入度60～70</t>
    <phoneticPr fontId="62" type="noConversion"/>
  </si>
  <si>
    <t>瀝青混凝土舖面，粗粒料9.5mm，針入度60-70</t>
    <phoneticPr fontId="62" type="noConversion"/>
  </si>
  <si>
    <t>瀝青混凝土舖面，粗粒料19.0mm，針入度60～70</t>
    <phoneticPr fontId="62" type="noConversion"/>
  </si>
  <si>
    <t>瀝青混凝土舖面，粗粒料19.0mm，針入度60-70</t>
    <phoneticPr fontId="62" type="noConversion"/>
  </si>
  <si>
    <t>瀝青混凝土舖面，粗粒料9.5mm，針入度60～70，緊急搶修工程用，舖築及滾壓另計</t>
    <phoneticPr fontId="62" type="noConversion"/>
  </si>
  <si>
    <t>開挖處銑鋪復舊</t>
    <phoneticPr fontId="62" type="noConversion"/>
  </si>
  <si>
    <t>瀝青混凝土舖面，粗粒料9.5mm，針入度60-70，緊急搶修工程用，舖築及滾壓另計</t>
    <phoneticPr fontId="62" type="noConversion"/>
  </si>
  <si>
    <t>瀝青混凝土舖面，粗粒料19.0mm，針入度60～70，緊急搶修工程用，舖築及滾壓另計</t>
    <phoneticPr fontId="62" type="noConversion"/>
  </si>
  <si>
    <t>RC修復</t>
    <phoneticPr fontId="62" type="noConversion"/>
  </si>
  <si>
    <t>AC修復</t>
    <phoneticPr fontId="62" type="noConversion"/>
  </si>
  <si>
    <t>瀝青混凝土舖面，粗粒料19.0mm，針入度60-70，緊急搶修工程用，舖築及滾壓另計</t>
    <phoneticPr fontId="62" type="noConversion"/>
  </si>
  <si>
    <t xml:space="preserve"> </t>
    <phoneticPr fontId="63" type="noConversion"/>
  </si>
  <si>
    <t>開挖</t>
    <phoneticPr fontId="62" type="noConversion"/>
  </si>
  <si>
    <t>基地及路幅開挖，未含運費，(機械挖，0.7～0.79m3開挖機)</t>
    <phoneticPr fontId="62" type="noConversion"/>
  </si>
  <si>
    <t>餘方工項</t>
    <phoneticPr fontId="62" type="noConversion"/>
  </si>
  <si>
    <t>工項數量</t>
    <phoneticPr fontId="62" type="noConversion"/>
  </si>
  <si>
    <t>工項名稱</t>
    <phoneticPr fontId="62" type="noConversion"/>
  </si>
  <si>
    <t>總重3-3.9t貨車</t>
    <phoneticPr fontId="62" type="noConversion"/>
  </si>
  <si>
    <t>總重8-8.9t傾卸貨車</t>
    <phoneticPr fontId="62" type="noConversion"/>
  </si>
  <si>
    <t>總重15t傾卸貨車</t>
    <phoneticPr fontId="62" type="noConversion"/>
  </si>
  <si>
    <t>總重35t傾卸貨車</t>
    <phoneticPr fontId="62" type="noConversion"/>
  </si>
  <si>
    <t>試驗項目</t>
    <phoneticPr fontId="62" type="noConversion"/>
  </si>
  <si>
    <t>試驗次數</t>
    <phoneticPr fontId="62" type="noConversion"/>
  </si>
  <si>
    <t>試驗次數(工項)</t>
    <phoneticPr fontId="62" type="noConversion"/>
  </si>
  <si>
    <t>試驗工項</t>
    <phoneticPr fontId="62" type="noConversion"/>
  </si>
  <si>
    <t>A2006鋼筋混凝土用鋼筋</t>
    <phoneticPr fontId="63" type="noConversion"/>
  </si>
  <si>
    <t>鋼筋，SD420W</t>
    <phoneticPr fontId="62" type="noConversion"/>
  </si>
  <si>
    <t>結構用混凝土，預拌，140kgf/cm2</t>
    <phoneticPr fontId="62" type="noConversion"/>
  </si>
  <si>
    <t>結構用混凝土，預拌，280kgf/cm2</t>
    <phoneticPr fontId="62" type="noConversion"/>
  </si>
  <si>
    <t>瀝青混凝土壓實度試驗及厚度檢驗</t>
    <phoneticPr fontId="63" type="noConversion"/>
  </si>
  <si>
    <t>瀝青混凝土面層刨除，厚5cm，刨除機1.2m寬，未含運費</t>
    <phoneticPr fontId="62" type="noConversion"/>
  </si>
  <si>
    <t>瀝青混凝土逢機鑽心及取樣孔恢復</t>
    <phoneticPr fontId="63" type="noConversion"/>
  </si>
  <si>
    <t>鍍鋅格柵蓋板檢驗</t>
    <phoneticPr fontId="63" type="noConversion"/>
  </si>
  <si>
    <t>鍍鋅格柵板及框座，(框53.6cm，蓋45cm)</t>
    <phoneticPr fontId="62" type="noConversion"/>
  </si>
  <si>
    <t>鍍鋅格柵板及框座，(框63.6cm，蓋55cm)</t>
    <phoneticPr fontId="62" type="noConversion"/>
  </si>
  <si>
    <t>鍍鋅格柵板及框座，(框73.6cm，蓋65cm)</t>
    <phoneticPr fontId="62" type="noConversion"/>
  </si>
  <si>
    <t>高壓磚、紅磚(包括抗壓強度、吸水率、外觀及耐磨性)</t>
    <phoneticPr fontId="63" type="noConversion"/>
  </si>
  <si>
    <t>人行道面層，舖面磚(高壓)，未含伸縮縫</t>
    <phoneticPr fontId="62" type="noConversion"/>
  </si>
  <si>
    <t>1.既有連接管修復一處。
2.案址修復後，於開挖處進行道路銑鋪復舊，勿損及施工範圍外之路面，惟實際銑鋪範圍仍以道路挖掘許可證核發為準。
3.請依實際施作數量結算回報，並檢附施工前、中、後照片。
4.[交通維持，道路管制人員，日間(06-22時)，義交]請核實檢據核銷。
5.本案預算來源為108年度「雨水下水道」項下「零星排水改善工程款」支應。</t>
    <phoneticPr fontId="62" type="noConversion"/>
  </si>
  <si>
    <t>詳細表數據</t>
  </si>
  <si>
    <t>集水井更新 寬100cm*平均深70cm</t>
  </si>
  <si>
    <t>(*(+)*(+0)-(**))*0.8</t>
  </si>
  <si>
    <t>(*(+)*(+0)-(**))*0.2</t>
  </si>
  <si>
    <t>(*(+)*(+0)-(**))</t>
  </si>
  <si>
    <t>0.13</t>
  </si>
  <si>
    <t>0.8</t>
  </si>
  <si>
    <t>0.45</t>
  </si>
  <si>
    <t>0.4</t>
  </si>
  <si>
    <t>一般</t>
  </si>
  <si>
    <t>座</t>
    <phoneticPr fontId="14" type="noConversion"/>
  </si>
  <si>
    <t>井寬</t>
    <phoneticPr fontId="58" type="noConversion"/>
  </si>
  <si>
    <t>井深</t>
    <phoneticPr fontId="58" type="noConversion"/>
  </si>
  <si>
    <t>井牆</t>
    <phoneticPr fontId="58" type="noConversion"/>
  </si>
  <si>
    <t>既有井寬</t>
    <phoneticPr fontId="58" type="noConversion"/>
  </si>
  <si>
    <t>既有井深</t>
    <phoneticPr fontId="58" type="noConversion"/>
  </si>
  <si>
    <t>既有井牆</t>
    <phoneticPr fontId="58" type="noConversion"/>
  </si>
  <si>
    <t xml:space="preserve">5cm </t>
    <phoneticPr fontId="59" type="noConversion"/>
  </si>
  <si>
    <t>10cm</t>
    <phoneticPr fontId="59" type="noConversion"/>
  </si>
  <si>
    <t>分析單位=</t>
  </si>
  <si>
    <t>每</t>
  </si>
  <si>
    <t>m</t>
  </si>
  <si>
    <t>施作類型=</t>
  </si>
  <si>
    <t>01532AD002</t>
  </si>
  <si>
    <t>01532AQ002</t>
  </si>
  <si>
    <t>01532AT002</t>
  </si>
  <si>
    <t>通行寬度90cm</t>
  </si>
  <si>
    <t>01532C1002</t>
  </si>
  <si>
    <t>通行寬度60cm</t>
  </si>
  <si>
    <t>餘方自行處理(含水土保持)，總重15t以下傾卸貨車</t>
  </si>
  <si>
    <t>02898C2204</t>
  </si>
  <si>
    <t>015103100C</t>
  </si>
  <si>
    <t>02631J0000C</t>
  </si>
  <si>
    <t>02898D0002</t>
  </si>
  <si>
    <t>1.412</t>
  </si>
  <si>
    <t>1.413</t>
  </si>
  <si>
    <t>1.414</t>
  </si>
  <si>
    <t>瀝青混凝土路面，樹脂混凝土，路面修補</t>
    <phoneticPr fontId="62" type="noConversion"/>
  </si>
  <si>
    <t>AC修復(112)</t>
    <phoneticPr fontId="62" type="noConversion"/>
  </si>
  <si>
    <t>AC修復(111)</t>
    <phoneticPr fontId="62" type="noConversion"/>
  </si>
  <si>
    <t>5cm 一般瀝青(112)</t>
    <phoneticPr fontId="59" type="noConversion"/>
  </si>
  <si>
    <t>10cm 一般瀝青(112)</t>
    <phoneticPr fontId="59" type="noConversion"/>
  </si>
  <si>
    <t>目前合約</t>
    <phoneticPr fontId="58" type="noConversion"/>
  </si>
  <si>
    <t>施作項目</t>
    <phoneticPr fontId="58" type="noConversion"/>
  </si>
  <si>
    <t>選項表單</t>
    <phoneticPr fontId="58" type="noConversion"/>
  </si>
  <si>
    <t>輸入位置</t>
    <phoneticPr fontId="58" type="noConversion"/>
  </si>
  <si>
    <t>重點標記</t>
    <phoneticPr fontId="58" type="noConversion"/>
  </si>
  <si>
    <t>自動選項</t>
    <phoneticPr fontId="58" type="noConversion"/>
  </si>
  <si>
    <t>分項標題</t>
    <phoneticPr fontId="58" type="noConversion"/>
  </si>
  <si>
    <t>●</t>
    <phoneticPr fontId="58" type="noConversion"/>
  </si>
  <si>
    <t>顯示</t>
    <phoneticPr fontId="3" type="noConversion"/>
  </si>
  <si>
    <t>交維設施</t>
    <phoneticPr fontId="58" type="noConversion"/>
  </si>
  <si>
    <t>道路寬</t>
    <phoneticPr fontId="58" type="noConversion"/>
  </si>
  <si>
    <t>施作長度</t>
  </si>
  <si>
    <t>圍排水</t>
    <phoneticPr fontId="58" type="noConversion"/>
  </si>
  <si>
    <t>切割長度公式</t>
    <phoneticPr fontId="58" type="noConversion"/>
  </si>
  <si>
    <t>8m以上</t>
  </si>
  <si>
    <t>圍水，沙包</t>
    <phoneticPr fontId="58" type="noConversion"/>
  </si>
  <si>
    <t>工期</t>
    <phoneticPr fontId="58" type="noConversion"/>
  </si>
  <si>
    <t>開立</t>
  </si>
  <si>
    <t>施工費</t>
    <phoneticPr fontId="58" type="noConversion"/>
  </si>
  <si>
    <t>12.</t>
  </si>
  <si>
    <t>13.</t>
  </si>
  <si>
    <t>14.</t>
  </si>
  <si>
    <t>15.</t>
  </si>
  <si>
    <t>16.</t>
  </si>
  <si>
    <t>17.</t>
  </si>
  <si>
    <t>18.</t>
  </si>
  <si>
    <t>19.</t>
  </si>
  <si>
    <t>基地及路幅開挖，未含運費，(機械挖，0.7-0.79m3開挖機).</t>
  </si>
  <si>
    <t>基地及路幅開挖，未含運費，(機械挖，0.7-0.79m3開挖機).</t>
    <phoneticPr fontId="3" type="noConversion"/>
  </si>
  <si>
    <t>20.</t>
  </si>
  <si>
    <t>21.</t>
  </si>
  <si>
    <t xml:space="preserve">L000005000021
</t>
  </si>
  <si>
    <t xml:space="preserve">0232340003
</t>
  </si>
  <si>
    <t>傾卸貨車，總重小於15t</t>
  </si>
  <si>
    <t xml:space="preserve">E000003414001
</t>
  </si>
  <si>
    <t xml:space="preserve">0274205B03
</t>
  </si>
  <si>
    <t xml:space="preserve">0274203B03
</t>
  </si>
  <si>
    <t>0331027003
本項納入「水泥及其製品類」物價指數調整</t>
  </si>
  <si>
    <t>0321030009
本項納入「鋼筋」物價指數調整</t>
  </si>
  <si>
    <t xml:space="preserve">M0321060035
</t>
  </si>
  <si>
    <t>0321031009
經機關核定每日施工期間未達7小時適用，本項納入「鋼筋」物價指數調整</t>
  </si>
  <si>
    <t>產品，鍍鋅花紋蓋板及框座，溝寬40cm使用</t>
  </si>
  <si>
    <t xml:space="preserve">M055308000A1
</t>
  </si>
  <si>
    <t>產品，高壓混凝土地磚，長300*寬300mm，厚30mm</t>
  </si>
  <si>
    <t xml:space="preserve">M0277850202
</t>
  </si>
  <si>
    <t>人行道面層，高壓磚與鍍鋅底板黏結處理</t>
  </si>
  <si>
    <t xml:space="preserve">0277800054
</t>
  </si>
  <si>
    <t>安裝及搬運</t>
  </si>
  <si>
    <t xml:space="preserve">031503E001
</t>
  </si>
  <si>
    <t xml:space="preserve">01532AD002
</t>
  </si>
  <si>
    <t>產品，鋼板，15mm以上</t>
  </si>
  <si>
    <t>M05060C9X02
含加工及損耗，使用30次</t>
  </si>
  <si>
    <t>表面防滑處理</t>
  </si>
  <si>
    <t xml:space="preserve">01532Y0004
</t>
  </si>
  <si>
    <t xml:space="preserve">01532AQ002
</t>
  </si>
  <si>
    <t>產品，鋼板，18mm以上</t>
  </si>
  <si>
    <t>M05060C9Y02
含加工及損耗，使用30次</t>
  </si>
  <si>
    <t xml:space="preserve">01532AT002
</t>
  </si>
  <si>
    <t>產品，鋼板，25mm以上</t>
  </si>
  <si>
    <t>M05060C9Z02
含加工及損耗，使用30次</t>
  </si>
  <si>
    <t>01532C1012
通行寬度60cm</t>
  </si>
  <si>
    <t>01532Z0004
含施工中搬運</t>
  </si>
  <si>
    <t>操作手，開挖機，夜間</t>
  </si>
  <si>
    <t>駕駛，傾卸貨車，夜間</t>
  </si>
  <si>
    <t>瀝青混凝土舖面，粗粒料19.0mm，黏度AC(1)-20，夜間，零星工程用</t>
  </si>
  <si>
    <t>瀝青混凝土舖面，粗粒料9.5mm，黏度AC(1)-20，夜間，零星工程用</t>
  </si>
  <si>
    <t>戶外投射燈(70W以上)，含腳架3~4M、線路、用電及其他耗材(含折舊)</t>
  </si>
  <si>
    <t>技術士，水電，配電線路裝修</t>
  </si>
  <si>
    <t xml:space="preserve">02898C2204
</t>
  </si>
  <si>
    <t>產品，彩色鋪面材料</t>
  </si>
  <si>
    <t xml:space="preserve">M0289822004
</t>
  </si>
  <si>
    <t>產品，粘層劑</t>
  </si>
  <si>
    <t xml:space="preserve">M02898A00209
</t>
  </si>
  <si>
    <t>分析表321</t>
  </si>
  <si>
    <t>分析表322</t>
  </si>
  <si>
    <t>分析表323</t>
  </si>
  <si>
    <t>分析表324</t>
  </si>
  <si>
    <t>分析表325</t>
  </si>
  <si>
    <t>分析表326</t>
  </si>
  <si>
    <t>分析表327</t>
  </si>
  <si>
    <t>清運，工區內二次搬運，人工</t>
    <phoneticPr fontId="3" type="noConversion"/>
  </si>
  <si>
    <t>灑水車，8.0-8.9m3</t>
  </si>
  <si>
    <t>22.</t>
  </si>
  <si>
    <t>23.</t>
  </si>
  <si>
    <t>KeyPress "Enter", 1</t>
    <phoneticPr fontId="3" type="noConversion"/>
  </si>
  <si>
    <t>Delay 5000</t>
    <phoneticPr fontId="3" type="noConversion"/>
  </si>
  <si>
    <t>Delay 600</t>
    <phoneticPr fontId="3" type="noConversion"/>
  </si>
  <si>
    <r>
      <rPr>
        <sz val="12"/>
        <rFont val="標楷體"/>
        <family val="4"/>
        <charset val="136"/>
      </rPr>
      <t>工地處理，路口管涵開挖，路口＞</t>
    </r>
    <r>
      <rPr>
        <sz val="12"/>
        <rFont val="Times New Roman"/>
        <family val="1"/>
      </rPr>
      <t>8m</t>
    </r>
  </si>
  <si>
    <r>
      <rPr>
        <sz val="12"/>
        <rFont val="標楷體"/>
        <family val="4"/>
        <charset val="136"/>
      </rPr>
      <t>處</t>
    </r>
  </si>
  <si>
    <r>
      <rPr>
        <sz val="12"/>
        <rFont val="標楷體"/>
        <family val="4"/>
        <charset val="136"/>
      </rPr>
      <t>工地處理，路口管涵開挖，路口＞</t>
    </r>
    <r>
      <rPr>
        <sz val="12"/>
        <rFont val="Times New Roman"/>
        <family val="1"/>
      </rPr>
      <t>8m</t>
    </r>
    <r>
      <rPr>
        <sz val="12"/>
        <rFont val="標楷體"/>
        <family val="4"/>
        <charset val="136"/>
      </rPr>
      <t>，夜間施工</t>
    </r>
  </si>
  <si>
    <r>
      <rPr>
        <sz val="12"/>
        <rFont val="標楷體"/>
        <family val="4"/>
        <charset val="136"/>
      </rPr>
      <t>工地處理，路口管涵開挖，路口≦</t>
    </r>
    <r>
      <rPr>
        <sz val="12"/>
        <rFont val="Times New Roman"/>
        <family val="1"/>
      </rPr>
      <t>8m</t>
    </r>
  </si>
  <si>
    <r>
      <rPr>
        <sz val="12"/>
        <rFont val="標楷體"/>
        <family val="4"/>
        <charset val="136"/>
      </rPr>
      <t>工地處理，路口管涵開挖，路口≦</t>
    </r>
    <r>
      <rPr>
        <sz val="12"/>
        <rFont val="Times New Roman"/>
        <family val="1"/>
      </rPr>
      <t>8m</t>
    </r>
    <r>
      <rPr>
        <sz val="12"/>
        <rFont val="標楷體"/>
        <family val="4"/>
        <charset val="136"/>
      </rPr>
      <t>，夜間施工</t>
    </r>
  </si>
  <si>
    <r>
      <rPr>
        <sz val="11"/>
        <rFont val="標楷體"/>
        <family val="4"/>
        <charset val="136"/>
      </rPr>
      <t>工地處理，緊急搶修，路面開挖</t>
    </r>
  </si>
  <si>
    <r>
      <rPr>
        <sz val="10"/>
        <rFont val="標楷體"/>
        <family val="4"/>
        <charset val="136"/>
      </rPr>
      <t>處</t>
    </r>
  </si>
  <si>
    <r>
      <rPr>
        <sz val="11"/>
        <rFont val="標楷體"/>
        <family val="4"/>
        <charset val="136"/>
      </rPr>
      <t>工地處理，緊急搶修，路面開挖，夜間施工</t>
    </r>
  </si>
  <si>
    <r>
      <rPr>
        <b/>
        <sz val="12"/>
        <rFont val="標楷體"/>
        <family val="4"/>
        <charset val="136"/>
      </rPr>
      <t>處</t>
    </r>
  </si>
  <si>
    <r>
      <rPr>
        <sz val="12"/>
        <rFont val="標楷體"/>
        <family val="4"/>
        <charset val="136"/>
      </rPr>
      <t>搬運費，</t>
    </r>
    <r>
      <rPr>
        <sz val="12"/>
        <rFont val="Times New Roman"/>
        <family val="1"/>
      </rPr>
      <t>AC</t>
    </r>
    <r>
      <rPr>
        <sz val="12"/>
        <rFont val="標楷體"/>
        <family val="4"/>
        <charset val="136"/>
      </rPr>
      <t>施工機械</t>
    </r>
    <r>
      <rPr>
        <sz val="12"/>
        <rFont val="Times New Roman"/>
        <family val="1"/>
      </rPr>
      <t>(</t>
    </r>
    <r>
      <rPr>
        <sz val="12"/>
        <rFont val="標楷體"/>
        <family val="4"/>
        <charset val="136"/>
      </rPr>
      <t>面積</t>
    </r>
    <r>
      <rPr>
        <sz val="12"/>
        <rFont val="Times New Roman"/>
        <family val="1"/>
      </rPr>
      <t>2000m2</t>
    </r>
    <r>
      <rPr>
        <sz val="12"/>
        <rFont val="標楷體"/>
        <family val="4"/>
        <charset val="136"/>
      </rPr>
      <t>以下適用</t>
    </r>
    <r>
      <rPr>
        <sz val="12"/>
        <rFont val="Times New Roman"/>
        <family val="1"/>
      </rPr>
      <t>)</t>
    </r>
  </si>
  <si>
    <r>
      <rPr>
        <sz val="12"/>
        <rFont val="標楷體"/>
        <family val="4"/>
        <charset val="136"/>
      </rPr>
      <t>次</t>
    </r>
  </si>
  <si>
    <r>
      <rPr>
        <sz val="12"/>
        <rFont val="標楷體"/>
        <family val="4"/>
        <charset val="136"/>
      </rPr>
      <t>時</t>
    </r>
  </si>
  <si>
    <r>
      <rPr>
        <sz val="12"/>
        <rFont val="標楷體"/>
        <family val="4"/>
        <charset val="136"/>
      </rPr>
      <t>操作手，重機械</t>
    </r>
  </si>
  <si>
    <r>
      <rPr>
        <sz val="12"/>
        <rFont val="標楷體"/>
        <family val="4"/>
        <charset val="136"/>
      </rPr>
      <t>駕駛，小貨車</t>
    </r>
  </si>
  <si>
    <r>
      <rPr>
        <sz val="12"/>
        <rFont val="標楷體"/>
        <family val="4"/>
        <charset val="136"/>
      </rPr>
      <t>臨時設施，排水設備，引擎抽水機，</t>
    </r>
    <r>
      <rPr>
        <sz val="12"/>
        <rFont val="Times New Roman"/>
        <family val="1"/>
      </rPr>
      <t>D=10cm</t>
    </r>
    <r>
      <rPr>
        <sz val="12"/>
        <rFont val="標楷體"/>
        <family val="4"/>
        <charset val="136"/>
      </rPr>
      <t>，租金</t>
    </r>
  </si>
  <si>
    <r>
      <rPr>
        <sz val="12"/>
        <rFont val="標楷體"/>
        <family val="4"/>
        <charset val="136"/>
      </rPr>
      <t>臨時設施，排水設備，沉水式抽水機，</t>
    </r>
    <r>
      <rPr>
        <sz val="12"/>
        <rFont val="Times New Roman"/>
        <family val="1"/>
      </rPr>
      <t>D=15cm</t>
    </r>
    <r>
      <rPr>
        <sz val="12"/>
        <rFont val="標楷體"/>
        <family val="4"/>
        <charset val="136"/>
      </rPr>
      <t>，租金</t>
    </r>
  </si>
  <si>
    <r>
      <rPr>
        <b/>
        <sz val="12"/>
        <rFont val="標楷體"/>
        <family val="4"/>
        <charset val="136"/>
      </rPr>
      <t>時</t>
    </r>
  </si>
  <si>
    <r>
      <rPr>
        <sz val="12"/>
        <rFont val="標楷體"/>
        <family val="4"/>
        <charset val="136"/>
      </rPr>
      <t>圍水，砂包堆置</t>
    </r>
  </si>
  <si>
    <r>
      <rPr>
        <sz val="12"/>
        <rFont val="標楷體"/>
        <family val="4"/>
        <charset val="136"/>
      </rPr>
      <t>日</t>
    </r>
    <r>
      <rPr>
        <sz val="12"/>
        <rFont val="Times New Roman"/>
        <family val="1"/>
      </rPr>
      <t>/</t>
    </r>
    <r>
      <rPr>
        <sz val="12"/>
        <rFont val="標楷體"/>
        <family val="4"/>
        <charset val="136"/>
      </rPr>
      <t>台</t>
    </r>
  </si>
  <si>
    <r>
      <rPr>
        <sz val="12"/>
        <rFont val="標楷體"/>
        <family val="4"/>
        <charset val="136"/>
      </rPr>
      <t>交通維持用，槽鋼護欄，含警示燈</t>
    </r>
  </si>
  <si>
    <r>
      <rPr>
        <sz val="12"/>
        <rFont val="標楷體"/>
        <family val="4"/>
        <charset val="136"/>
      </rPr>
      <t>交通維持，道路管制人員，日間</t>
    </r>
    <r>
      <rPr>
        <sz val="12"/>
        <rFont val="Times New Roman"/>
        <family val="1"/>
      </rPr>
      <t>(06-22</t>
    </r>
    <r>
      <rPr>
        <sz val="12"/>
        <rFont val="標楷體"/>
        <family val="4"/>
        <charset val="136"/>
      </rPr>
      <t>時</t>
    </r>
    <r>
      <rPr>
        <sz val="12"/>
        <rFont val="Times New Roman"/>
        <family val="1"/>
      </rPr>
      <t>)</t>
    </r>
    <r>
      <rPr>
        <sz val="12"/>
        <rFont val="標楷體"/>
        <family val="4"/>
        <charset val="136"/>
      </rPr>
      <t>，義交</t>
    </r>
  </si>
  <si>
    <r>
      <rPr>
        <sz val="12"/>
        <rFont val="標楷體"/>
        <family val="4"/>
        <charset val="136"/>
      </rPr>
      <t>交通維持，道路管制人員，夜間</t>
    </r>
    <r>
      <rPr>
        <sz val="12"/>
        <rFont val="Times New Roman"/>
        <family val="1"/>
      </rPr>
      <t>(22-06</t>
    </r>
    <r>
      <rPr>
        <sz val="12"/>
        <rFont val="標楷體"/>
        <family val="4"/>
        <charset val="136"/>
      </rPr>
      <t>時</t>
    </r>
    <r>
      <rPr>
        <sz val="12"/>
        <rFont val="Times New Roman"/>
        <family val="1"/>
      </rPr>
      <t>)</t>
    </r>
    <r>
      <rPr>
        <sz val="12"/>
        <rFont val="標楷體"/>
        <family val="4"/>
        <charset val="136"/>
      </rPr>
      <t>，義交</t>
    </r>
  </si>
  <si>
    <r>
      <rPr>
        <sz val="12"/>
        <rFont val="標楷體"/>
        <family val="4"/>
        <charset val="136"/>
      </rPr>
      <t>臨時設施，雜項工程，工地處理，施工動復員，大型機具</t>
    </r>
  </si>
  <si>
    <r>
      <rPr>
        <sz val="30"/>
        <rFont val="標楷體"/>
        <family val="4"/>
        <charset val="136"/>
      </rPr>
      <t>雨水下水道預約維護工程</t>
    </r>
    <phoneticPr fontId="84" type="noConversion"/>
  </si>
  <si>
    <r>
      <t>112.04.21</t>
    </r>
    <r>
      <rPr>
        <sz val="12"/>
        <rFont val="標楷體"/>
        <family val="4"/>
        <charset val="136"/>
      </rPr>
      <t>修</t>
    </r>
    <phoneticPr fontId="84" type="noConversion"/>
  </si>
  <si>
    <r>
      <rPr>
        <sz val="14"/>
        <rFont val="標楷體"/>
        <family val="4"/>
        <charset val="136"/>
      </rPr>
      <t>編號</t>
    </r>
    <phoneticPr fontId="84" type="noConversion"/>
  </si>
  <si>
    <r>
      <rPr>
        <sz val="14"/>
        <rFont val="標楷體"/>
        <family val="4"/>
        <charset val="136"/>
      </rPr>
      <t>項目及說明</t>
    </r>
    <phoneticPr fontId="84" type="noConversion"/>
  </si>
  <si>
    <r>
      <rPr>
        <sz val="14"/>
        <rFont val="標楷體"/>
        <family val="4"/>
        <charset val="136"/>
      </rPr>
      <t>單價</t>
    </r>
    <phoneticPr fontId="84" type="noConversion"/>
  </si>
  <si>
    <r>
      <rPr>
        <sz val="14"/>
        <rFont val="標楷體"/>
        <family val="4"/>
        <charset val="136"/>
      </rPr>
      <t>單位</t>
    </r>
    <phoneticPr fontId="84" type="noConversion"/>
  </si>
  <si>
    <r>
      <rPr>
        <sz val="14"/>
        <rFont val="標楷體"/>
        <family val="4"/>
        <charset val="136"/>
      </rPr>
      <t>來源</t>
    </r>
    <phoneticPr fontId="84" type="noConversion"/>
  </si>
  <si>
    <r>
      <rPr>
        <sz val="14"/>
        <rFont val="標楷體"/>
        <family val="4"/>
        <charset val="136"/>
      </rPr>
      <t>開立說明</t>
    </r>
    <phoneticPr fontId="84" type="noConversion"/>
  </si>
  <si>
    <r>
      <rPr>
        <sz val="14"/>
        <rFont val="標楷體"/>
        <family val="4"/>
        <charset val="136"/>
      </rPr>
      <t xml:space="preserve">中松
</t>
    </r>
    <r>
      <rPr>
        <sz val="10"/>
        <rFont val="Times New Roman"/>
        <family val="1"/>
      </rPr>
      <t>111</t>
    </r>
    <r>
      <rPr>
        <sz val="10"/>
        <rFont val="標楷體"/>
        <family val="4"/>
        <charset val="136"/>
      </rPr>
      <t>年續約</t>
    </r>
    <phoneticPr fontId="84" type="noConversion"/>
  </si>
  <si>
    <r>
      <rPr>
        <sz val="14"/>
        <rFont val="標楷體"/>
        <family val="4"/>
        <charset val="136"/>
      </rPr>
      <t xml:space="preserve">士大
</t>
    </r>
    <r>
      <rPr>
        <sz val="10"/>
        <rFont val="Times New Roman"/>
        <family val="1"/>
      </rPr>
      <t>112</t>
    </r>
    <r>
      <rPr>
        <sz val="10"/>
        <rFont val="標楷體"/>
        <family val="4"/>
        <charset val="136"/>
      </rPr>
      <t>年工程</t>
    </r>
    <phoneticPr fontId="84" type="noConversion"/>
  </si>
  <si>
    <r>
      <rPr>
        <sz val="14"/>
        <rFont val="標楷體"/>
        <family val="4"/>
        <charset val="136"/>
      </rPr>
      <t xml:space="preserve">北投
</t>
    </r>
    <r>
      <rPr>
        <sz val="10"/>
        <rFont val="標楷體"/>
        <family val="4"/>
        <charset val="136"/>
      </rPr>
      <t>尚未決標</t>
    </r>
    <phoneticPr fontId="84" type="noConversion"/>
  </si>
  <si>
    <r>
      <rPr>
        <sz val="14"/>
        <rFont val="標楷體"/>
        <family val="4"/>
        <charset val="136"/>
      </rPr>
      <t xml:space="preserve">北搶
</t>
    </r>
    <r>
      <rPr>
        <sz val="10"/>
        <rFont val="Times New Roman"/>
        <family val="1"/>
      </rPr>
      <t>111</t>
    </r>
    <r>
      <rPr>
        <sz val="10"/>
        <rFont val="標楷體"/>
        <family val="4"/>
        <charset val="136"/>
      </rPr>
      <t>年續約</t>
    </r>
    <phoneticPr fontId="84" type="noConversion"/>
  </si>
  <si>
    <r>
      <rPr>
        <sz val="24"/>
        <rFont val="標楷體"/>
        <family val="4"/>
        <charset val="136"/>
      </rPr>
      <t>開挖</t>
    </r>
    <phoneticPr fontId="84" type="noConversion"/>
  </si>
  <si>
    <r>
      <t>112</t>
    </r>
    <r>
      <rPr>
        <sz val="12"/>
        <rFont val="標楷體"/>
        <family val="4"/>
        <charset val="136"/>
      </rPr>
      <t>年工程契約附件</t>
    </r>
    <phoneticPr fontId="84" type="noConversion"/>
  </si>
  <si>
    <r>
      <rPr>
        <b/>
        <sz val="12"/>
        <rFont val="標楷體"/>
        <family val="4"/>
        <charset val="136"/>
      </rPr>
      <t>一般工程用</t>
    </r>
    <r>
      <rPr>
        <sz val="12"/>
        <rFont val="Times New Roman"/>
        <family val="1"/>
      </rPr>
      <t xml:space="preserve">
(1)</t>
    </r>
    <r>
      <rPr>
        <sz val="12"/>
        <rFont val="標楷體"/>
        <family val="4"/>
        <charset val="136"/>
      </rPr>
      <t xml:space="preserve">距路口往外延伸約五公尺之範圍內，因埋設管涵等，遇地下管線須擴大開挖斷面或須管線吊掛，才能避
</t>
    </r>
    <r>
      <rPr>
        <sz val="12"/>
        <rFont val="Times New Roman"/>
        <family val="1"/>
      </rPr>
      <t xml:space="preserve">    </t>
    </r>
    <r>
      <rPr>
        <sz val="12"/>
        <rFont val="標楷體"/>
        <family val="4"/>
        <charset val="136"/>
      </rPr>
      <t xml:space="preserve">開既有管線障礙時，所增加機械、人工之施工工時，得開立本項次辦理。相關增加之金額已含於此費用
</t>
    </r>
    <r>
      <rPr>
        <sz val="12"/>
        <rFont val="Times New Roman"/>
        <family val="1"/>
      </rPr>
      <t xml:space="preserve">    </t>
    </r>
    <r>
      <rPr>
        <sz val="12"/>
        <rFont val="標楷體"/>
        <family val="4"/>
        <charset val="136"/>
      </rPr>
      <t xml:space="preserve">中，廠商不得任意要求加價。
</t>
    </r>
    <r>
      <rPr>
        <sz val="12"/>
        <rFont val="Times New Roman"/>
        <family val="1"/>
      </rPr>
      <t>(2)</t>
    </r>
    <r>
      <rPr>
        <sz val="12"/>
        <rFont val="標楷體"/>
        <family val="4"/>
        <charset val="136"/>
      </rPr>
      <t xml:space="preserve">單次通報單施作之相關工程，於同一路口往外延伸五公尺之範圍內，其機械及人工挖方費用應予扣除，
</t>
    </r>
    <r>
      <rPr>
        <sz val="12"/>
        <rFont val="Times New Roman"/>
        <family val="1"/>
      </rPr>
      <t xml:space="preserve">    </t>
    </r>
    <r>
      <rPr>
        <sz val="12"/>
        <rFont val="標楷體"/>
        <family val="4"/>
        <charset val="136"/>
      </rPr>
      <t>惟得由二者擇一較高者，作為計價依據。</t>
    </r>
    <phoneticPr fontId="84" type="noConversion"/>
  </si>
  <si>
    <r>
      <rPr>
        <b/>
        <sz val="12"/>
        <rFont val="標楷體"/>
        <family val="4"/>
        <charset val="136"/>
      </rPr>
      <t>搶修工程用</t>
    </r>
    <r>
      <rPr>
        <sz val="12"/>
        <rFont val="Times New Roman"/>
        <family val="1"/>
      </rPr>
      <t xml:space="preserve">
</t>
    </r>
    <r>
      <rPr>
        <sz val="12"/>
        <rFont val="標楷體"/>
        <family val="4"/>
        <charset val="136"/>
      </rPr>
      <t>因路面下陷等相關情形，須調派機具進行路面開挖先行恢復路況，動復員費可按規定另編列外，相關開挖之費用已含於此費用中，廠商不得任意要求加價。</t>
    </r>
    <phoneticPr fontId="84" type="noConversion"/>
  </si>
  <si>
    <t>1110830工作會議</t>
    <phoneticPr fontId="84" type="noConversion"/>
  </si>
  <si>
    <r>
      <t>開立時機：道路寬度介於4M到8M者
因應本案多屬市區內既有排水設施更新改善工程，同意依顧問公司建議</t>
    </r>
    <r>
      <rPr>
        <b/>
        <strike/>
        <u/>
        <sz val="12"/>
        <rFont val="新細明體"/>
        <family val="1"/>
        <charset val="136"/>
      </rPr>
      <t>市區道路改採8.8T傾卸貨車</t>
    </r>
    <r>
      <rPr>
        <strike/>
        <u/>
        <sz val="12"/>
        <rFont val="新細明體"/>
        <family val="1"/>
        <charset val="136"/>
      </rPr>
      <t>載運廢方</t>
    </r>
    <phoneticPr fontId="84" type="noConversion"/>
  </si>
  <si>
    <r>
      <rPr>
        <u/>
        <sz val="12"/>
        <rFont val="標楷體"/>
        <family val="4"/>
        <charset val="136"/>
      </rPr>
      <t>餘方自行處理</t>
    </r>
    <r>
      <rPr>
        <u/>
        <sz val="12"/>
        <rFont val="Times New Roman"/>
        <family val="1"/>
      </rPr>
      <t>(</t>
    </r>
    <r>
      <rPr>
        <u/>
        <sz val="12"/>
        <rFont val="標楷體"/>
        <family val="4"/>
        <charset val="136"/>
      </rPr>
      <t>含水土保持</t>
    </r>
    <r>
      <rPr>
        <u/>
        <sz val="12"/>
        <rFont val="Times New Roman"/>
        <family val="1"/>
      </rPr>
      <t>)</t>
    </r>
    <r>
      <rPr>
        <u/>
        <sz val="12"/>
        <rFont val="標楷體"/>
        <family val="4"/>
        <charset val="136"/>
      </rPr>
      <t>，總重</t>
    </r>
    <r>
      <rPr>
        <u/>
        <sz val="12"/>
        <rFont val="Times New Roman"/>
        <family val="1"/>
      </rPr>
      <t>3-3.9t</t>
    </r>
    <r>
      <rPr>
        <u/>
        <sz val="12"/>
        <rFont val="標楷體"/>
        <family val="4"/>
        <charset val="136"/>
      </rPr>
      <t>貨車</t>
    </r>
    <phoneticPr fontId="84" type="noConversion"/>
  </si>
  <si>
    <t>B.M3</t>
    <phoneticPr fontId="84" type="noConversion"/>
  </si>
  <si>
    <r>
      <t>1120110</t>
    </r>
    <r>
      <rPr>
        <u/>
        <sz val="12"/>
        <rFont val="標楷體"/>
        <family val="4"/>
        <charset val="136"/>
      </rPr>
      <t xml:space="preserve">工作會議
</t>
    </r>
    <r>
      <rPr>
        <u/>
        <sz val="12"/>
        <rFont val="Times New Roman"/>
        <family val="1"/>
      </rPr>
      <t>112</t>
    </r>
    <r>
      <rPr>
        <u/>
        <sz val="12"/>
        <rFont val="標楷體"/>
        <family val="4"/>
        <charset val="136"/>
      </rPr>
      <t>年工程契約附件</t>
    </r>
    <phoneticPr fontId="84" type="noConversion"/>
  </si>
  <si>
    <r>
      <t>111</t>
    </r>
    <r>
      <rPr>
        <u/>
        <sz val="12"/>
        <rFont val="標楷體"/>
        <family val="4"/>
        <charset val="136"/>
      </rPr>
      <t>年度預約</t>
    </r>
    <r>
      <rPr>
        <u/>
        <sz val="12"/>
        <rFont val="Times New Roman"/>
        <family val="1"/>
      </rPr>
      <t>(112</t>
    </r>
    <r>
      <rPr>
        <u/>
        <sz val="12"/>
        <rFont val="標楷體"/>
        <family val="4"/>
        <charset val="136"/>
      </rPr>
      <t>續約</t>
    </r>
    <r>
      <rPr>
        <u/>
        <sz val="12"/>
        <rFont val="Times New Roman"/>
        <family val="1"/>
      </rPr>
      <t>)</t>
    </r>
    <r>
      <rPr>
        <u/>
        <sz val="12"/>
        <rFont val="標楷體"/>
        <family val="4"/>
        <charset val="136"/>
      </rPr>
      <t>、</t>
    </r>
    <r>
      <rPr>
        <u/>
        <sz val="12"/>
        <rFont val="Times New Roman"/>
        <family val="1"/>
      </rPr>
      <t>112</t>
    </r>
    <r>
      <rPr>
        <u/>
        <sz val="12"/>
        <rFont val="標楷體"/>
        <family val="4"/>
        <charset val="136"/>
      </rPr>
      <t xml:space="preserve">年度預約工程：
</t>
    </r>
    <r>
      <rPr>
        <b/>
        <u/>
        <sz val="12"/>
        <rFont val="標楷體"/>
        <family val="4"/>
        <charset val="136"/>
      </rPr>
      <t>每日出土量小於</t>
    </r>
    <r>
      <rPr>
        <b/>
        <u/>
        <sz val="12"/>
        <rFont val="Times New Roman"/>
        <family val="1"/>
      </rPr>
      <t>2</t>
    </r>
    <r>
      <rPr>
        <b/>
        <u/>
        <sz val="12"/>
        <rFont val="標楷體"/>
        <family val="4"/>
        <charset val="136"/>
      </rPr>
      <t>立方公尺</t>
    </r>
    <r>
      <rPr>
        <u/>
        <sz val="12"/>
        <rFont val="標楷體"/>
        <family val="4"/>
        <charset val="136"/>
      </rPr>
      <t>得採用本項單價。</t>
    </r>
    <r>
      <rPr>
        <u/>
        <sz val="12"/>
        <rFont val="Times New Roman"/>
        <family val="1"/>
      </rPr>
      <t xml:space="preserve"> </t>
    </r>
    <r>
      <rPr>
        <sz val="12"/>
        <color indexed="30"/>
        <rFont val="標楷體"/>
        <family val="4"/>
        <charset val="136"/>
      </rPr>
      <t/>
    </r>
    <phoneticPr fontId="84" type="noConversion"/>
  </si>
  <si>
    <r>
      <rPr>
        <sz val="12"/>
        <rFont val="標楷體"/>
        <family val="4"/>
        <charset val="136"/>
      </rPr>
      <t>餘方自行處理</t>
    </r>
    <r>
      <rPr>
        <sz val="12"/>
        <rFont val="Times New Roman"/>
        <family val="1"/>
      </rPr>
      <t>(</t>
    </r>
    <r>
      <rPr>
        <sz val="12"/>
        <rFont val="標楷體"/>
        <family val="4"/>
        <charset val="136"/>
      </rPr>
      <t>含水土保持</t>
    </r>
    <r>
      <rPr>
        <sz val="12"/>
        <rFont val="Times New Roman"/>
        <family val="1"/>
      </rPr>
      <t>)</t>
    </r>
    <r>
      <rPr>
        <sz val="12"/>
        <rFont val="標楷體"/>
        <family val="4"/>
        <charset val="136"/>
      </rPr>
      <t>，總重</t>
    </r>
    <r>
      <rPr>
        <sz val="12"/>
        <rFont val="Times New Roman"/>
        <family val="1"/>
      </rPr>
      <t>15t</t>
    </r>
    <r>
      <rPr>
        <sz val="12"/>
        <rFont val="標楷體"/>
        <family val="4"/>
        <charset val="136"/>
      </rPr>
      <t>傾卸貨車</t>
    </r>
    <phoneticPr fontId="84" type="noConversion"/>
  </si>
  <si>
    <r>
      <rPr>
        <u/>
        <sz val="12"/>
        <rFont val="標楷體"/>
        <family val="4"/>
        <charset val="136"/>
      </rPr>
      <t>餘方自行處理</t>
    </r>
    <r>
      <rPr>
        <u/>
        <sz val="12"/>
        <rFont val="Times New Roman"/>
        <family val="1"/>
      </rPr>
      <t>(</t>
    </r>
    <r>
      <rPr>
        <u/>
        <sz val="12"/>
        <rFont val="標楷體"/>
        <family val="4"/>
        <charset val="136"/>
      </rPr>
      <t>含水土保持</t>
    </r>
    <r>
      <rPr>
        <u/>
        <sz val="12"/>
        <rFont val="Times New Roman"/>
        <family val="1"/>
      </rPr>
      <t>)</t>
    </r>
    <r>
      <rPr>
        <u/>
        <sz val="12"/>
        <rFont val="標楷體"/>
        <family val="4"/>
        <charset val="136"/>
      </rPr>
      <t>，總重</t>
    </r>
    <r>
      <rPr>
        <u/>
        <sz val="12"/>
        <rFont val="Times New Roman"/>
        <family val="1"/>
      </rPr>
      <t>15t</t>
    </r>
    <r>
      <rPr>
        <u/>
        <sz val="12"/>
        <rFont val="標楷體"/>
        <family val="4"/>
        <charset val="136"/>
      </rPr>
      <t>以下傾卸貨車</t>
    </r>
    <phoneticPr fontId="84" type="noConversion"/>
  </si>
  <si>
    <t>基本上開立此工項，除非遇到道路特別窄小或每日出土量較小</t>
    <phoneticPr fontId="84" type="noConversion"/>
  </si>
  <si>
    <r>
      <rPr>
        <sz val="24"/>
        <rFont val="標楷體"/>
        <family val="4"/>
        <charset val="136"/>
      </rPr>
      <t>施工</t>
    </r>
    <phoneticPr fontId="84" type="noConversion"/>
  </si>
  <si>
    <t>M3</t>
    <phoneticPr fontId="84" type="noConversion"/>
  </si>
  <si>
    <r>
      <t>1110304</t>
    </r>
    <r>
      <rPr>
        <sz val="12"/>
        <rFont val="標楷體"/>
        <family val="4"/>
        <charset val="136"/>
      </rPr>
      <t xml:space="preserve">工作會議
</t>
    </r>
    <r>
      <rPr>
        <sz val="12"/>
        <rFont val="Times New Roman"/>
        <family val="1"/>
      </rPr>
      <t>112</t>
    </r>
    <r>
      <rPr>
        <sz val="12"/>
        <rFont val="標楷體"/>
        <family val="4"/>
        <charset val="136"/>
      </rPr>
      <t>年工程契約附件</t>
    </r>
    <phoneticPr fontId="84" type="noConversion"/>
  </si>
  <si>
    <r>
      <rPr>
        <sz val="12"/>
        <rFont val="標楷體"/>
        <family val="4"/>
        <charset val="136"/>
      </rPr>
      <t>單次通報單同種配比混凝土數量</t>
    </r>
    <r>
      <rPr>
        <b/>
        <sz val="12"/>
        <rFont val="標楷體"/>
        <family val="4"/>
        <charset val="136"/>
      </rPr>
      <t>低於</t>
    </r>
    <r>
      <rPr>
        <b/>
        <sz val="12"/>
        <rFont val="Times New Roman"/>
        <family val="1"/>
      </rPr>
      <t>6M3</t>
    </r>
    <r>
      <rPr>
        <sz val="12"/>
        <rFont val="標楷體"/>
        <family val="4"/>
        <charset val="136"/>
      </rPr>
      <t>者，</t>
    </r>
    <r>
      <rPr>
        <b/>
        <sz val="12"/>
        <rFont val="標楷體"/>
        <family val="4"/>
        <charset val="136"/>
      </rPr>
      <t>得開立機伴混凝土工項</t>
    </r>
    <r>
      <rPr>
        <sz val="12"/>
        <rFont val="標楷體"/>
        <family val="4"/>
        <charset val="136"/>
      </rPr>
      <t>，惟須符合本府施工規範規定</t>
    </r>
    <r>
      <rPr>
        <sz val="12"/>
        <rFont val="Times New Roman"/>
        <family val="1"/>
      </rPr>
      <t>(</t>
    </r>
    <r>
      <rPr>
        <sz val="12"/>
        <rFont val="標楷體"/>
        <family val="4"/>
        <charset val="136"/>
      </rPr>
      <t>混凝土強度、配比、試驗等</t>
    </r>
    <r>
      <rPr>
        <sz val="12"/>
        <rFont val="Times New Roman"/>
        <family val="1"/>
      </rPr>
      <t>)</t>
    </r>
    <phoneticPr fontId="84" type="noConversion"/>
  </si>
  <si>
    <r>
      <rPr>
        <b/>
        <sz val="12"/>
        <rFont val="標楷體"/>
        <family val="4"/>
        <charset val="136"/>
      </rPr>
      <t>施工機械無法到達之施工現場</t>
    </r>
    <r>
      <rPr>
        <sz val="12"/>
        <rFont val="標楷體"/>
        <family val="4"/>
        <charset val="136"/>
      </rPr>
      <t>（含箱涵及人孔內等），需靠人力或手推車等搬運施工器具、材料或廢棄物等，應視實際需求量化編列二次搬運費用。</t>
    </r>
    <phoneticPr fontId="84" type="noConversion"/>
  </si>
  <si>
    <r>
      <rPr>
        <sz val="24"/>
        <rFont val="標楷體"/>
        <family val="4"/>
        <charset val="136"/>
      </rPr>
      <t>道路復舊工程</t>
    </r>
    <phoneticPr fontId="84" type="noConversion"/>
  </si>
  <si>
    <r>
      <rPr>
        <sz val="12"/>
        <rFont val="標楷體"/>
        <family val="4"/>
        <charset val="136"/>
      </rPr>
      <t>瀝青混凝土面層刨除，厚</t>
    </r>
    <r>
      <rPr>
        <b/>
        <sz val="12"/>
        <rFont val="Times New Roman"/>
        <family val="1"/>
      </rPr>
      <t>5cm</t>
    </r>
    <r>
      <rPr>
        <sz val="12"/>
        <rFont val="標楷體"/>
        <family val="4"/>
        <charset val="136"/>
      </rPr>
      <t>，刨除機</t>
    </r>
    <r>
      <rPr>
        <b/>
        <sz val="12"/>
        <rFont val="Times New Roman"/>
        <family val="1"/>
      </rPr>
      <t>1.2m</t>
    </r>
    <r>
      <rPr>
        <b/>
        <sz val="12"/>
        <rFont val="標楷體"/>
        <family val="4"/>
        <charset val="136"/>
      </rPr>
      <t>寬</t>
    </r>
    <r>
      <rPr>
        <sz val="12"/>
        <rFont val="標楷體"/>
        <family val="4"/>
        <charset val="136"/>
      </rPr>
      <t>，</t>
    </r>
    <r>
      <rPr>
        <b/>
        <sz val="12"/>
        <rFont val="標楷體"/>
        <family val="4"/>
        <charset val="136"/>
      </rPr>
      <t>未含運費</t>
    </r>
    <phoneticPr fontId="84" type="noConversion"/>
  </si>
  <si>
    <t>M2</t>
    <phoneticPr fontId="84" type="noConversion"/>
  </si>
  <si>
    <r>
      <rPr>
        <sz val="12"/>
        <rFont val="標楷體"/>
        <family val="4"/>
        <charset val="136"/>
      </rPr>
      <t>一般工程用：
刨除既有瀝青混凝土用，通常使用</t>
    </r>
    <r>
      <rPr>
        <sz val="12"/>
        <rFont val="Times New Roman"/>
        <family val="1"/>
      </rPr>
      <t>1.2M</t>
    </r>
    <r>
      <rPr>
        <sz val="12"/>
        <rFont val="標楷體"/>
        <family val="4"/>
        <charset val="136"/>
      </rPr>
      <t>寬之刨除機，本工項以</t>
    </r>
    <r>
      <rPr>
        <b/>
        <sz val="12"/>
        <rFont val="標楷體"/>
        <family val="4"/>
        <charset val="136"/>
      </rPr>
      <t>面積</t>
    </r>
    <r>
      <rPr>
        <sz val="12"/>
        <rFont val="標楷體"/>
        <family val="4"/>
        <charset val="136"/>
      </rPr>
      <t xml:space="preserve">計價。
</t>
    </r>
    <r>
      <rPr>
        <b/>
        <sz val="12"/>
        <rFont val="標楷體"/>
        <family val="4"/>
        <charset val="136"/>
      </rPr>
      <t>※未含刨除料運費。</t>
    </r>
    <phoneticPr fontId="84" type="noConversion"/>
  </si>
  <si>
    <r>
      <rPr>
        <sz val="12"/>
        <rFont val="標楷體"/>
        <family val="4"/>
        <charset val="136"/>
      </rPr>
      <t>瀝青混凝土面層刨除，厚</t>
    </r>
    <r>
      <rPr>
        <b/>
        <sz val="12"/>
        <rFont val="Times New Roman"/>
        <family val="1"/>
      </rPr>
      <t>5cm</t>
    </r>
    <r>
      <rPr>
        <sz val="12"/>
        <rFont val="標楷體"/>
        <family val="4"/>
        <charset val="136"/>
      </rPr>
      <t>，刨除機</t>
    </r>
    <r>
      <rPr>
        <b/>
        <sz val="12"/>
        <rFont val="Times New Roman"/>
        <family val="1"/>
      </rPr>
      <t>2.2m</t>
    </r>
    <r>
      <rPr>
        <b/>
        <sz val="12"/>
        <rFont val="標楷體"/>
        <family val="4"/>
        <charset val="136"/>
      </rPr>
      <t>寬</t>
    </r>
    <r>
      <rPr>
        <sz val="12"/>
        <rFont val="標楷體"/>
        <family val="4"/>
        <charset val="136"/>
      </rPr>
      <t>，</t>
    </r>
    <r>
      <rPr>
        <b/>
        <sz val="12"/>
        <rFont val="標楷體"/>
        <family val="4"/>
        <charset val="136"/>
      </rPr>
      <t>未含運費</t>
    </r>
    <phoneticPr fontId="84" type="noConversion"/>
  </si>
  <si>
    <r>
      <rPr>
        <sz val="12"/>
        <rFont val="標楷體"/>
        <family val="4"/>
        <charset val="136"/>
      </rPr>
      <t>瀝青混凝土面層刨除，厚</t>
    </r>
    <r>
      <rPr>
        <b/>
        <sz val="12"/>
        <rFont val="Times New Roman"/>
        <family val="1"/>
      </rPr>
      <t>10cm</t>
    </r>
    <r>
      <rPr>
        <sz val="12"/>
        <rFont val="標楷體"/>
        <family val="4"/>
        <charset val="136"/>
      </rPr>
      <t>，刨除機</t>
    </r>
    <r>
      <rPr>
        <b/>
        <sz val="12"/>
        <rFont val="Times New Roman"/>
        <family val="1"/>
      </rPr>
      <t>1.2m</t>
    </r>
    <r>
      <rPr>
        <b/>
        <sz val="12"/>
        <rFont val="標楷體"/>
        <family val="4"/>
        <charset val="136"/>
      </rPr>
      <t>寬</t>
    </r>
    <r>
      <rPr>
        <sz val="12"/>
        <rFont val="標楷體"/>
        <family val="4"/>
        <charset val="136"/>
      </rPr>
      <t>，</t>
    </r>
    <r>
      <rPr>
        <b/>
        <sz val="12"/>
        <rFont val="標楷體"/>
        <family val="4"/>
        <charset val="136"/>
      </rPr>
      <t>未含運費</t>
    </r>
    <phoneticPr fontId="84" type="noConversion"/>
  </si>
  <si>
    <r>
      <rPr>
        <sz val="12"/>
        <rFont val="標楷體"/>
        <family val="4"/>
        <charset val="136"/>
      </rPr>
      <t>瀝青混凝土面層刨除，厚</t>
    </r>
    <r>
      <rPr>
        <b/>
        <sz val="12"/>
        <rFont val="Times New Roman"/>
        <family val="1"/>
      </rPr>
      <t>10cm</t>
    </r>
    <r>
      <rPr>
        <sz val="12"/>
        <rFont val="標楷體"/>
        <family val="4"/>
        <charset val="136"/>
      </rPr>
      <t>，刨除機</t>
    </r>
    <r>
      <rPr>
        <b/>
        <sz val="12"/>
        <rFont val="Times New Roman"/>
        <family val="1"/>
      </rPr>
      <t>2.2m</t>
    </r>
    <r>
      <rPr>
        <b/>
        <sz val="12"/>
        <rFont val="標楷體"/>
        <family val="4"/>
        <charset val="136"/>
      </rPr>
      <t>寬</t>
    </r>
    <r>
      <rPr>
        <sz val="12"/>
        <rFont val="標楷體"/>
        <family val="4"/>
        <charset val="136"/>
      </rPr>
      <t>，</t>
    </r>
    <r>
      <rPr>
        <b/>
        <sz val="12"/>
        <rFont val="標楷體"/>
        <family val="4"/>
        <charset val="136"/>
      </rPr>
      <t>未含運費</t>
    </r>
    <phoneticPr fontId="84" type="noConversion"/>
  </si>
  <si>
    <r>
      <rPr>
        <sz val="12"/>
        <rFont val="標楷體"/>
        <family val="4"/>
        <charset val="136"/>
      </rPr>
      <t>瀝青混凝土面層刨除，刨除機</t>
    </r>
    <r>
      <rPr>
        <b/>
        <sz val="12"/>
        <rFont val="Times New Roman"/>
        <family val="1"/>
      </rPr>
      <t>1.2m</t>
    </r>
    <r>
      <rPr>
        <b/>
        <sz val="12"/>
        <rFont val="標楷體"/>
        <family val="4"/>
        <charset val="136"/>
      </rPr>
      <t>寬</t>
    </r>
    <r>
      <rPr>
        <sz val="12"/>
        <rFont val="標楷體"/>
        <family val="4"/>
        <charset val="136"/>
      </rPr>
      <t>，緊急搶修工程用，</t>
    </r>
    <r>
      <rPr>
        <b/>
        <sz val="12"/>
        <rFont val="標楷體"/>
        <family val="4"/>
        <charset val="136"/>
      </rPr>
      <t>未含刨除料運費</t>
    </r>
    <phoneticPr fontId="84" type="noConversion"/>
  </si>
  <si>
    <r>
      <rPr>
        <b/>
        <sz val="12"/>
        <rFont val="標楷體"/>
        <family val="4"/>
        <charset val="136"/>
      </rPr>
      <t>處</t>
    </r>
    <phoneticPr fontId="84" type="noConversion"/>
  </si>
  <si>
    <r>
      <t>112</t>
    </r>
    <r>
      <rPr>
        <sz val="12"/>
        <rFont val="標楷體"/>
        <family val="4"/>
        <charset val="136"/>
      </rPr>
      <t xml:space="preserve">年工程契約附件
</t>
    </r>
    <phoneticPr fontId="84" type="noConversion"/>
  </si>
  <si>
    <r>
      <rPr>
        <sz val="12"/>
        <rFont val="標楷體"/>
        <family val="4"/>
        <charset val="136"/>
      </rPr>
      <t>搶修工程用：
屬</t>
    </r>
    <r>
      <rPr>
        <b/>
        <sz val="12"/>
        <rFont val="標楷體"/>
        <family val="4"/>
        <charset val="136"/>
      </rPr>
      <t>緊急搶修</t>
    </r>
    <r>
      <rPr>
        <sz val="12"/>
        <rFont val="標楷體"/>
        <family val="4"/>
        <charset val="136"/>
      </rPr>
      <t>等相關案件，需進行</t>
    </r>
    <r>
      <rPr>
        <sz val="12"/>
        <rFont val="Times New Roman"/>
        <family val="1"/>
      </rPr>
      <t>AC</t>
    </r>
    <r>
      <rPr>
        <sz val="12"/>
        <rFont val="標楷體"/>
        <family val="4"/>
        <charset val="136"/>
      </rPr>
      <t>路面銑鉋工程時編列，本單價僅包含銑鉋施工之機具及人力，</t>
    </r>
    <r>
      <rPr>
        <b/>
        <sz val="12"/>
        <rFont val="標楷體"/>
        <family val="4"/>
        <charset val="136"/>
      </rPr>
      <t>刨除廢料運離工地之所需費用另計</t>
    </r>
    <r>
      <rPr>
        <sz val="12"/>
        <rFont val="標楷體"/>
        <family val="4"/>
        <charset val="136"/>
      </rPr>
      <t>。</t>
    </r>
    <phoneticPr fontId="84" type="noConversion"/>
  </si>
  <si>
    <r>
      <rPr>
        <sz val="12"/>
        <rFont val="標楷體"/>
        <family val="4"/>
        <charset val="136"/>
      </rPr>
      <t>瀝青混凝土面層刨除，刨除機</t>
    </r>
    <r>
      <rPr>
        <sz val="12"/>
        <rFont val="Times New Roman"/>
        <family val="1"/>
      </rPr>
      <t>1.2m</t>
    </r>
    <r>
      <rPr>
        <sz val="12"/>
        <rFont val="標楷體"/>
        <family val="4"/>
        <charset val="136"/>
      </rPr>
      <t>寬，緊急搶修工程用，</t>
    </r>
    <r>
      <rPr>
        <b/>
        <sz val="12"/>
        <rFont val="標楷體"/>
        <family val="4"/>
        <charset val="136"/>
      </rPr>
      <t>未含刨除料運費</t>
    </r>
    <r>
      <rPr>
        <sz val="12"/>
        <rFont val="標楷體"/>
        <family val="4"/>
        <charset val="136"/>
      </rPr>
      <t>，夜間施工</t>
    </r>
    <phoneticPr fontId="84" type="noConversion"/>
  </si>
  <si>
    <r>
      <rPr>
        <sz val="12"/>
        <rFont val="標楷體"/>
        <family val="4"/>
        <charset val="136"/>
      </rPr>
      <t>瀝青混凝土面層刨除，刨除料運費</t>
    </r>
    <r>
      <rPr>
        <sz val="12"/>
        <rFont val="Times New Roman"/>
        <family val="1"/>
      </rPr>
      <t xml:space="preserve">.
</t>
    </r>
    <r>
      <rPr>
        <sz val="10"/>
        <rFont val="Times New Roman"/>
        <family val="1"/>
      </rPr>
      <t>(</t>
    </r>
    <r>
      <rPr>
        <sz val="10"/>
        <rFont val="標楷體"/>
        <family val="4"/>
        <charset val="136"/>
      </rPr>
      <t>經機關核定每日施工期間未達</t>
    </r>
    <r>
      <rPr>
        <sz val="10"/>
        <rFont val="Times New Roman"/>
        <family val="1"/>
      </rPr>
      <t>7</t>
    </r>
    <r>
      <rPr>
        <sz val="10"/>
        <rFont val="標楷體"/>
        <family val="4"/>
        <charset val="136"/>
      </rPr>
      <t>小時適用</t>
    </r>
    <r>
      <rPr>
        <sz val="10"/>
        <rFont val="Times New Roman"/>
        <family val="1"/>
      </rPr>
      <t>)</t>
    </r>
    <phoneticPr fontId="84" type="noConversion"/>
  </si>
  <si>
    <r>
      <rPr>
        <sz val="12"/>
        <rFont val="標楷體"/>
        <family val="4"/>
        <charset val="136"/>
      </rPr>
      <t>與</t>
    </r>
    <r>
      <rPr>
        <b/>
        <sz val="12"/>
        <rFont val="標楷體"/>
        <family val="4"/>
        <charset val="136"/>
      </rPr>
      <t>未含運費</t>
    </r>
    <r>
      <rPr>
        <sz val="12"/>
        <rFont val="標楷體"/>
        <family val="4"/>
        <charset val="136"/>
      </rPr>
      <t>之瀝青混凝土刨除工項</t>
    </r>
    <r>
      <rPr>
        <b/>
        <sz val="12"/>
        <rFont val="標楷體"/>
        <family val="4"/>
        <charset val="136"/>
      </rPr>
      <t>搭配使用</t>
    </r>
    <r>
      <rPr>
        <sz val="12"/>
        <rFont val="標楷體"/>
        <family val="4"/>
        <charset val="136"/>
      </rPr>
      <t>。</t>
    </r>
    <phoneticPr fontId="84" type="noConversion"/>
  </si>
  <si>
    <r>
      <rPr>
        <sz val="12"/>
        <rFont val="標楷體"/>
        <family val="4"/>
        <charset val="136"/>
      </rPr>
      <t>瀝青混凝土舖面，粗粒料</t>
    </r>
    <r>
      <rPr>
        <b/>
        <sz val="12"/>
        <rFont val="Times New Roman"/>
        <family val="1"/>
      </rPr>
      <t>9.5mm</t>
    </r>
    <r>
      <rPr>
        <sz val="12"/>
        <rFont val="標楷體"/>
        <family val="4"/>
        <charset val="136"/>
      </rPr>
      <t>，黏度</t>
    </r>
    <r>
      <rPr>
        <sz val="12"/>
        <rFont val="Times New Roman"/>
        <family val="1"/>
      </rPr>
      <t>AC(1)-20</t>
    </r>
    <r>
      <rPr>
        <sz val="12"/>
        <rFont val="標楷體"/>
        <family val="4"/>
        <charset val="136"/>
      </rPr>
      <t>，</t>
    </r>
    <r>
      <rPr>
        <b/>
        <sz val="12"/>
        <rFont val="標楷體"/>
        <family val="4"/>
        <charset val="136"/>
      </rPr>
      <t xml:space="preserve">零星工程用
</t>
    </r>
    <r>
      <rPr>
        <sz val="10"/>
        <rFont val="Times New Roman"/>
        <family val="1"/>
      </rPr>
      <t>(</t>
    </r>
    <r>
      <rPr>
        <sz val="10"/>
        <rFont val="標楷體"/>
        <family val="4"/>
        <charset val="136"/>
      </rPr>
      <t>含舖築及滾壓</t>
    </r>
    <r>
      <rPr>
        <sz val="10"/>
        <rFont val="Times New Roman"/>
        <family val="1"/>
      </rPr>
      <t>)</t>
    </r>
    <phoneticPr fontId="84" type="noConversion"/>
  </si>
  <si>
    <r>
      <t>112</t>
    </r>
    <r>
      <rPr>
        <b/>
        <sz val="12"/>
        <rFont val="標楷體"/>
        <family val="4"/>
        <charset val="136"/>
      </rPr>
      <t xml:space="preserve">年工程契約附件
</t>
    </r>
    <r>
      <rPr>
        <b/>
        <sz val="10"/>
        <rFont val="Times New Roman"/>
        <family val="1"/>
      </rPr>
      <t>112</t>
    </r>
    <r>
      <rPr>
        <b/>
        <sz val="10"/>
        <rFont val="標楷體"/>
        <family val="4"/>
        <charset val="136"/>
      </rPr>
      <t>年度工程</t>
    </r>
    <phoneticPr fontId="84" type="noConversion"/>
  </si>
  <si>
    <r>
      <rPr>
        <sz val="12"/>
        <rFont val="標楷體"/>
        <family val="4"/>
        <charset val="136"/>
      </rPr>
      <t xml:space="preserve">一般工程用：
</t>
    </r>
    <r>
      <rPr>
        <sz val="12"/>
        <rFont val="Times New Roman"/>
        <family val="1"/>
      </rPr>
      <t>(1)</t>
    </r>
    <r>
      <rPr>
        <sz val="12"/>
        <rFont val="標楷體"/>
        <family val="4"/>
        <charset val="136"/>
      </rPr>
      <t>一般案件側溝工程施作依據道管中心規定</t>
    </r>
    <r>
      <rPr>
        <sz val="12"/>
        <rFont val="Times New Roman"/>
        <family val="1"/>
      </rPr>
      <t>(</t>
    </r>
    <r>
      <rPr>
        <sz val="12"/>
        <rFont val="標楷體"/>
        <family val="4"/>
        <charset val="136"/>
      </rPr>
      <t>一車道或全巷道</t>
    </r>
    <r>
      <rPr>
        <sz val="12"/>
        <rFont val="Times New Roman"/>
        <family val="1"/>
      </rPr>
      <t>)*</t>
    </r>
    <r>
      <rPr>
        <sz val="12"/>
        <rFont val="標楷體"/>
        <family val="4"/>
        <charset val="136"/>
      </rPr>
      <t xml:space="preserve">側溝長度。
</t>
    </r>
    <r>
      <rPr>
        <sz val="12"/>
        <rFont val="Times New Roman"/>
        <family val="1"/>
      </rPr>
      <t xml:space="preserve">(2) </t>
    </r>
    <r>
      <rPr>
        <sz val="12"/>
        <rFont val="標楷體"/>
        <family val="4"/>
        <charset val="136"/>
      </rPr>
      <t>路面復舊銑刨加鋪面積原則於</t>
    </r>
    <r>
      <rPr>
        <sz val="12"/>
        <rFont val="Times New Roman"/>
        <family val="1"/>
      </rPr>
      <t>5</t>
    </r>
    <r>
      <rPr>
        <sz val="12"/>
        <rFont val="標楷體"/>
        <family val="4"/>
        <charset val="136"/>
      </rPr>
      <t>平方公尺以下，可選用樹脂混凝土</t>
    </r>
    <r>
      <rPr>
        <sz val="12"/>
        <rFont val="Times New Roman"/>
        <family val="1"/>
      </rPr>
      <t>(</t>
    </r>
    <r>
      <rPr>
        <sz val="12"/>
        <rFont val="標楷體"/>
        <family val="4"/>
        <charset val="136"/>
      </rPr>
      <t>加色料</t>
    </r>
    <r>
      <rPr>
        <sz val="12"/>
        <rFont val="Times New Roman"/>
        <family val="1"/>
      </rPr>
      <t>)</t>
    </r>
    <r>
      <rPr>
        <sz val="12"/>
        <rFont val="標楷體"/>
        <family val="4"/>
        <charset val="136"/>
      </rPr>
      <t xml:space="preserve">辦理。
</t>
    </r>
    <r>
      <rPr>
        <sz val="12"/>
        <rFont val="Times New Roman"/>
        <family val="1"/>
      </rPr>
      <t>(3)</t>
    </r>
    <r>
      <rPr>
        <sz val="12"/>
        <rFont val="標楷體"/>
        <family val="4"/>
        <charset val="136"/>
      </rPr>
      <t>竣工時依據道管中心路證結案規定及實際鋪設範圍結算計價。
※計價單位以</t>
    </r>
    <r>
      <rPr>
        <b/>
        <sz val="12"/>
        <rFont val="標楷體"/>
        <family val="4"/>
        <charset val="136"/>
      </rPr>
      <t>體積</t>
    </r>
    <r>
      <rPr>
        <sz val="12"/>
        <rFont val="標楷體"/>
        <family val="4"/>
        <charset val="136"/>
      </rPr>
      <t>計</t>
    </r>
    <phoneticPr fontId="84" type="noConversion"/>
  </si>
  <si>
    <r>
      <rPr>
        <sz val="12"/>
        <rFont val="標楷體"/>
        <family val="4"/>
        <charset val="136"/>
      </rPr>
      <t>瀝青混凝土舖面，粗粒料</t>
    </r>
    <r>
      <rPr>
        <b/>
        <sz val="12"/>
        <rFont val="Times New Roman"/>
        <family val="1"/>
      </rPr>
      <t>19.0mm</t>
    </r>
    <r>
      <rPr>
        <sz val="12"/>
        <rFont val="標楷體"/>
        <family val="4"/>
        <charset val="136"/>
      </rPr>
      <t>，黏度</t>
    </r>
    <r>
      <rPr>
        <sz val="12"/>
        <rFont val="Times New Roman"/>
        <family val="1"/>
      </rPr>
      <t>AC(1)-20</t>
    </r>
    <r>
      <rPr>
        <sz val="12"/>
        <rFont val="標楷體"/>
        <family val="4"/>
        <charset val="136"/>
      </rPr>
      <t>，</t>
    </r>
    <r>
      <rPr>
        <b/>
        <sz val="12"/>
        <rFont val="標楷體"/>
        <family val="4"/>
        <charset val="136"/>
      </rPr>
      <t xml:space="preserve">零星工程用
</t>
    </r>
    <r>
      <rPr>
        <sz val="10"/>
        <rFont val="Times New Roman"/>
        <family val="1"/>
      </rPr>
      <t>(</t>
    </r>
    <r>
      <rPr>
        <sz val="10"/>
        <rFont val="標楷體"/>
        <family val="4"/>
        <charset val="136"/>
      </rPr>
      <t>含舖築及滾壓</t>
    </r>
    <r>
      <rPr>
        <sz val="10"/>
        <rFont val="Times New Roman"/>
        <family val="1"/>
      </rPr>
      <t>)</t>
    </r>
    <phoneticPr fontId="84" type="noConversion"/>
  </si>
  <si>
    <r>
      <rPr>
        <sz val="12"/>
        <rFont val="標楷體"/>
        <family val="4"/>
        <charset val="136"/>
      </rPr>
      <t>瀝青混凝土舖面，粗粒料</t>
    </r>
    <r>
      <rPr>
        <sz val="12"/>
        <rFont val="Times New Roman"/>
        <family val="1"/>
      </rPr>
      <t>9.5mm</t>
    </r>
    <r>
      <rPr>
        <sz val="12"/>
        <rFont val="標楷體"/>
        <family val="4"/>
        <charset val="136"/>
      </rPr>
      <t>，針入度</t>
    </r>
    <r>
      <rPr>
        <sz val="12"/>
        <rFont val="Times New Roman"/>
        <family val="1"/>
      </rPr>
      <t>60</t>
    </r>
    <r>
      <rPr>
        <sz val="12"/>
        <rFont val="標楷體"/>
        <family val="4"/>
        <charset val="136"/>
      </rPr>
      <t>～</t>
    </r>
    <r>
      <rPr>
        <sz val="12"/>
        <rFont val="Times New Roman"/>
        <family val="1"/>
      </rPr>
      <t>70</t>
    </r>
    <r>
      <rPr>
        <b/>
        <sz val="12"/>
        <rFont val="Times New Roman"/>
        <family val="1"/>
      </rPr>
      <t xml:space="preserve">
</t>
    </r>
    <r>
      <rPr>
        <sz val="10"/>
        <rFont val="Times New Roman"/>
        <family val="1"/>
      </rPr>
      <t>(</t>
    </r>
    <r>
      <rPr>
        <sz val="10"/>
        <rFont val="標楷體"/>
        <family val="4"/>
        <charset val="136"/>
      </rPr>
      <t>含舖築及滾壓</t>
    </r>
    <r>
      <rPr>
        <sz val="10"/>
        <rFont val="Times New Roman"/>
        <family val="1"/>
      </rPr>
      <t>)(</t>
    </r>
    <r>
      <rPr>
        <sz val="10"/>
        <rFont val="標楷體"/>
        <family val="4"/>
        <charset val="136"/>
      </rPr>
      <t>零星工程用</t>
    </r>
    <r>
      <rPr>
        <sz val="10"/>
        <rFont val="Times New Roman"/>
        <family val="1"/>
      </rPr>
      <t>)</t>
    </r>
    <phoneticPr fontId="84" type="noConversion"/>
  </si>
  <si>
    <r>
      <t>111</t>
    </r>
    <r>
      <rPr>
        <b/>
        <sz val="12"/>
        <rFont val="標楷體"/>
        <family val="4"/>
        <charset val="136"/>
      </rPr>
      <t xml:space="preserve">年工程契約附件
</t>
    </r>
    <r>
      <rPr>
        <b/>
        <sz val="10"/>
        <rFont val="Times New Roman"/>
        <family val="1"/>
      </rPr>
      <t>111</t>
    </r>
    <r>
      <rPr>
        <b/>
        <sz val="10"/>
        <rFont val="標楷體"/>
        <family val="4"/>
        <charset val="136"/>
      </rPr>
      <t>年度工程</t>
    </r>
    <phoneticPr fontId="84" type="noConversion"/>
  </si>
  <si>
    <r>
      <rPr>
        <sz val="12"/>
        <rFont val="標楷體"/>
        <family val="4"/>
        <charset val="136"/>
      </rPr>
      <t>瀝青混凝土舖面，粗粒料</t>
    </r>
    <r>
      <rPr>
        <sz val="12"/>
        <rFont val="Times New Roman"/>
        <family val="1"/>
      </rPr>
      <t>19.0mm</t>
    </r>
    <r>
      <rPr>
        <sz val="12"/>
        <rFont val="標楷體"/>
        <family val="4"/>
        <charset val="136"/>
      </rPr>
      <t>，針入度</t>
    </r>
    <r>
      <rPr>
        <sz val="12"/>
        <rFont val="Times New Roman"/>
        <family val="1"/>
      </rPr>
      <t>60</t>
    </r>
    <r>
      <rPr>
        <sz val="12"/>
        <rFont val="標楷體"/>
        <family val="4"/>
        <charset val="136"/>
      </rPr>
      <t>～</t>
    </r>
    <r>
      <rPr>
        <sz val="12"/>
        <rFont val="Times New Roman"/>
        <family val="1"/>
      </rPr>
      <t>70</t>
    </r>
    <r>
      <rPr>
        <b/>
        <sz val="12"/>
        <rFont val="Times New Roman"/>
        <family val="1"/>
      </rPr>
      <t xml:space="preserve">
</t>
    </r>
    <r>
      <rPr>
        <sz val="10"/>
        <rFont val="Times New Roman"/>
        <family val="1"/>
      </rPr>
      <t>(</t>
    </r>
    <r>
      <rPr>
        <sz val="10"/>
        <rFont val="標楷體"/>
        <family val="4"/>
        <charset val="136"/>
      </rPr>
      <t>含舖築及滾壓</t>
    </r>
    <r>
      <rPr>
        <sz val="10"/>
        <rFont val="Times New Roman"/>
        <family val="1"/>
      </rPr>
      <t>)(</t>
    </r>
    <r>
      <rPr>
        <sz val="10"/>
        <rFont val="標楷體"/>
        <family val="4"/>
        <charset val="136"/>
      </rPr>
      <t>零星工程用</t>
    </r>
    <r>
      <rPr>
        <sz val="10"/>
        <rFont val="Times New Roman"/>
        <family val="1"/>
      </rPr>
      <t>)</t>
    </r>
    <phoneticPr fontId="84" type="noConversion"/>
  </si>
  <si>
    <r>
      <rPr>
        <sz val="12"/>
        <rFont val="標楷體"/>
        <family val="4"/>
        <charset val="136"/>
      </rPr>
      <t>密級配改質瀝青混凝土，粗粒料</t>
    </r>
    <r>
      <rPr>
        <b/>
        <sz val="12"/>
        <rFont val="Times New Roman"/>
        <family val="1"/>
      </rPr>
      <t>19mm</t>
    </r>
    <r>
      <rPr>
        <sz val="12"/>
        <rFont val="標楷體"/>
        <family val="4"/>
        <charset val="136"/>
      </rPr>
      <t>，</t>
    </r>
    <r>
      <rPr>
        <b/>
        <sz val="12"/>
        <rFont val="標楷體"/>
        <family val="4"/>
        <charset val="136"/>
      </rPr>
      <t>改質Ⅲ型</t>
    </r>
    <r>
      <rPr>
        <sz val="12"/>
        <rFont val="標楷體"/>
        <family val="4"/>
        <charset val="136"/>
      </rPr>
      <t>，</t>
    </r>
    <r>
      <rPr>
        <b/>
        <sz val="12"/>
        <rFont val="標楷體"/>
        <family val="4"/>
        <charset val="136"/>
      </rPr>
      <t>零星工程用</t>
    </r>
    <r>
      <rPr>
        <sz val="12"/>
        <rFont val="Times New Roman"/>
        <family val="1"/>
      </rPr>
      <t xml:space="preserve">
</t>
    </r>
    <r>
      <rPr>
        <sz val="10"/>
        <rFont val="Times New Roman"/>
        <family val="1"/>
      </rPr>
      <t>(</t>
    </r>
    <r>
      <rPr>
        <sz val="10"/>
        <rFont val="標楷體"/>
        <family val="4"/>
        <charset val="136"/>
      </rPr>
      <t>含舖築及滾壓</t>
    </r>
    <r>
      <rPr>
        <sz val="10"/>
        <rFont val="Times New Roman"/>
        <family val="1"/>
      </rPr>
      <t>)</t>
    </r>
    <phoneticPr fontId="84" type="noConversion"/>
  </si>
  <si>
    <r>
      <rPr>
        <b/>
        <sz val="12"/>
        <rFont val="標楷體"/>
        <family val="4"/>
        <charset val="136"/>
      </rPr>
      <t>再生</t>
    </r>
    <r>
      <rPr>
        <sz val="12"/>
        <rFont val="標楷體"/>
        <family val="4"/>
        <charset val="136"/>
      </rPr>
      <t>瀝青混凝土鋪面，</t>
    </r>
    <r>
      <rPr>
        <sz val="12"/>
        <rFont val="Times New Roman"/>
        <family val="1"/>
      </rPr>
      <t>(</t>
    </r>
    <r>
      <rPr>
        <sz val="12"/>
        <rFont val="標楷體"/>
        <family val="4"/>
        <charset val="136"/>
      </rPr>
      <t>密級配，</t>
    </r>
    <r>
      <rPr>
        <sz val="12"/>
        <rFont val="Times New Roman"/>
        <family val="1"/>
      </rPr>
      <t>30%</t>
    </r>
    <r>
      <rPr>
        <sz val="12"/>
        <rFont val="標楷體"/>
        <family val="4"/>
        <charset val="136"/>
      </rPr>
      <t>回收料</t>
    </r>
    <r>
      <rPr>
        <sz val="12"/>
        <rFont val="Times New Roman"/>
        <family val="1"/>
      </rPr>
      <t>)</t>
    </r>
    <r>
      <rPr>
        <sz val="12"/>
        <rFont val="標楷體"/>
        <family val="4"/>
        <charset val="136"/>
      </rPr>
      <t>，粗粒料</t>
    </r>
    <r>
      <rPr>
        <b/>
        <sz val="12"/>
        <rFont val="Times New Roman"/>
        <family val="1"/>
      </rPr>
      <t>9.5mm</t>
    </r>
    <r>
      <rPr>
        <sz val="12"/>
        <rFont val="標楷體"/>
        <family val="4"/>
        <charset val="136"/>
      </rPr>
      <t>，</t>
    </r>
    <r>
      <rPr>
        <b/>
        <sz val="12"/>
        <rFont val="標楷體"/>
        <family val="4"/>
        <charset val="136"/>
      </rPr>
      <t xml:space="preserve">零星工程用
</t>
    </r>
    <r>
      <rPr>
        <sz val="10"/>
        <rFont val="Times New Roman"/>
        <family val="1"/>
      </rPr>
      <t>(</t>
    </r>
    <r>
      <rPr>
        <sz val="10"/>
        <rFont val="標楷體"/>
        <family val="4"/>
        <charset val="136"/>
      </rPr>
      <t>含鋪築及滾壓</t>
    </r>
    <r>
      <rPr>
        <sz val="10"/>
        <rFont val="Times New Roman"/>
        <family val="1"/>
      </rPr>
      <t>)</t>
    </r>
    <phoneticPr fontId="84" type="noConversion"/>
  </si>
  <si>
    <r>
      <rPr>
        <b/>
        <sz val="12"/>
        <rFont val="標楷體"/>
        <family val="4"/>
        <charset val="136"/>
      </rPr>
      <t>再生</t>
    </r>
    <r>
      <rPr>
        <sz val="12"/>
        <rFont val="標楷體"/>
        <family val="4"/>
        <charset val="136"/>
      </rPr>
      <t>瀝青混凝土鋪面，</t>
    </r>
    <r>
      <rPr>
        <sz val="12"/>
        <rFont val="Times New Roman"/>
        <family val="1"/>
      </rPr>
      <t>(</t>
    </r>
    <r>
      <rPr>
        <sz val="12"/>
        <rFont val="標楷體"/>
        <family val="4"/>
        <charset val="136"/>
      </rPr>
      <t>密級配，</t>
    </r>
    <r>
      <rPr>
        <sz val="12"/>
        <rFont val="Times New Roman"/>
        <family val="1"/>
      </rPr>
      <t>30%</t>
    </r>
    <r>
      <rPr>
        <sz val="12"/>
        <rFont val="標楷體"/>
        <family val="4"/>
        <charset val="136"/>
      </rPr>
      <t>回收料</t>
    </r>
    <r>
      <rPr>
        <sz val="12"/>
        <rFont val="Times New Roman"/>
        <family val="1"/>
      </rPr>
      <t>)</t>
    </r>
    <r>
      <rPr>
        <sz val="12"/>
        <rFont val="標楷體"/>
        <family val="4"/>
        <charset val="136"/>
      </rPr>
      <t>，粗粒料</t>
    </r>
    <r>
      <rPr>
        <b/>
        <sz val="12"/>
        <rFont val="Times New Roman"/>
        <family val="1"/>
      </rPr>
      <t>19.0mm</t>
    </r>
    <r>
      <rPr>
        <sz val="12"/>
        <rFont val="標楷體"/>
        <family val="4"/>
        <charset val="136"/>
      </rPr>
      <t>，</t>
    </r>
    <r>
      <rPr>
        <b/>
        <sz val="12"/>
        <rFont val="標楷體"/>
        <family val="4"/>
        <charset val="136"/>
      </rPr>
      <t xml:space="preserve">零星工程用
</t>
    </r>
    <r>
      <rPr>
        <sz val="10"/>
        <rFont val="Times New Roman"/>
        <family val="1"/>
      </rPr>
      <t>(</t>
    </r>
    <r>
      <rPr>
        <sz val="10"/>
        <rFont val="標楷體"/>
        <family val="4"/>
        <charset val="136"/>
      </rPr>
      <t>含鋪築及滾壓</t>
    </r>
    <r>
      <rPr>
        <sz val="10"/>
        <rFont val="Times New Roman"/>
        <family val="1"/>
      </rPr>
      <t>)</t>
    </r>
    <phoneticPr fontId="84" type="noConversion"/>
  </si>
  <si>
    <r>
      <rPr>
        <sz val="12"/>
        <rFont val="標楷體"/>
        <family val="4"/>
        <charset val="136"/>
      </rPr>
      <t>瀝青混凝土舖面，粗粒料</t>
    </r>
    <r>
      <rPr>
        <b/>
        <sz val="12"/>
        <rFont val="Times New Roman"/>
        <family val="1"/>
      </rPr>
      <t>9.5mm</t>
    </r>
    <r>
      <rPr>
        <sz val="12"/>
        <rFont val="標楷體"/>
        <family val="4"/>
        <charset val="136"/>
      </rPr>
      <t>，針入度</t>
    </r>
    <r>
      <rPr>
        <sz val="12"/>
        <rFont val="Times New Roman"/>
        <family val="1"/>
      </rPr>
      <t>60~70</t>
    </r>
    <r>
      <rPr>
        <sz val="12"/>
        <rFont val="標楷體"/>
        <family val="4"/>
        <charset val="136"/>
      </rPr>
      <t>，</t>
    </r>
    <r>
      <rPr>
        <b/>
        <sz val="12"/>
        <rFont val="標楷體"/>
        <family val="4"/>
        <charset val="136"/>
      </rPr>
      <t>緊急搶修工程用</t>
    </r>
    <r>
      <rPr>
        <sz val="12"/>
        <rFont val="標楷體"/>
        <family val="4"/>
        <charset val="136"/>
      </rPr>
      <t>，</t>
    </r>
    <r>
      <rPr>
        <b/>
        <sz val="12"/>
        <rFont val="標楷體"/>
        <family val="4"/>
        <charset val="136"/>
      </rPr>
      <t>舖築及滾壓另計</t>
    </r>
    <phoneticPr fontId="84" type="noConversion"/>
  </si>
  <si>
    <r>
      <rPr>
        <sz val="12"/>
        <rFont val="標楷體"/>
        <family val="4"/>
        <charset val="136"/>
      </rPr>
      <t xml:space="preserve">搶修工程用：
</t>
    </r>
    <r>
      <rPr>
        <sz val="12"/>
        <rFont val="Times New Roman"/>
        <family val="1"/>
      </rPr>
      <t>8M</t>
    </r>
    <r>
      <rPr>
        <sz val="12"/>
        <rFont val="標楷體"/>
        <family val="4"/>
        <charset val="136"/>
      </rPr>
      <t>以上以</t>
    </r>
    <r>
      <rPr>
        <sz val="12"/>
        <rFont val="Times New Roman"/>
        <family val="1"/>
      </rPr>
      <t>(</t>
    </r>
    <r>
      <rPr>
        <sz val="12"/>
        <rFont val="標楷體"/>
        <family val="4"/>
        <charset val="136"/>
      </rPr>
      <t>一車道寬</t>
    </r>
    <r>
      <rPr>
        <sz val="12"/>
        <rFont val="Times New Roman"/>
        <family val="1"/>
      </rPr>
      <t>*</t>
    </r>
    <r>
      <rPr>
        <sz val="12"/>
        <rFont val="標楷體"/>
        <family val="4"/>
        <charset val="136"/>
      </rPr>
      <t>開挖長度前後</t>
    </r>
    <r>
      <rPr>
        <sz val="12"/>
        <rFont val="Times New Roman"/>
        <family val="1"/>
      </rPr>
      <t>+1M)</t>
    </r>
    <r>
      <rPr>
        <sz val="12"/>
        <rFont val="標楷體"/>
        <family val="4"/>
        <charset val="136"/>
      </rPr>
      <t>銑鋪，</t>
    </r>
    <r>
      <rPr>
        <sz val="12"/>
        <rFont val="Times New Roman"/>
        <family val="1"/>
      </rPr>
      <t>8M</t>
    </r>
    <r>
      <rPr>
        <sz val="12"/>
        <rFont val="標楷體"/>
        <family val="4"/>
        <charset val="136"/>
      </rPr>
      <t>以下以</t>
    </r>
    <r>
      <rPr>
        <sz val="12"/>
        <rFont val="Times New Roman"/>
        <family val="1"/>
      </rPr>
      <t>(</t>
    </r>
    <r>
      <rPr>
        <sz val="12"/>
        <rFont val="標楷體"/>
        <family val="4"/>
        <charset val="136"/>
      </rPr>
      <t>全巷道</t>
    </r>
    <r>
      <rPr>
        <sz val="12"/>
        <rFont val="Times New Roman"/>
        <family val="1"/>
      </rPr>
      <t>*</t>
    </r>
    <r>
      <rPr>
        <sz val="12"/>
        <rFont val="標楷體"/>
        <family val="4"/>
        <charset val="136"/>
      </rPr>
      <t>開挖長度前後</t>
    </r>
    <r>
      <rPr>
        <sz val="12"/>
        <rFont val="Times New Roman"/>
        <family val="1"/>
      </rPr>
      <t>+1M)</t>
    </r>
    <r>
      <rPr>
        <sz val="12"/>
        <rFont val="標楷體"/>
        <family val="4"/>
        <charset val="136"/>
      </rPr>
      <t>銑鋪。
屬緊急搶修等相關案件，需進行</t>
    </r>
    <r>
      <rPr>
        <sz val="12"/>
        <rFont val="Times New Roman"/>
        <family val="1"/>
      </rPr>
      <t>AC</t>
    </r>
    <r>
      <rPr>
        <sz val="12"/>
        <rFont val="標楷體"/>
        <family val="4"/>
        <charset val="136"/>
      </rPr>
      <t>路面加鋪工程時編列，本單價僅包含「瀝青混凝土舖面粗粒料」產品部分，「</t>
    </r>
    <r>
      <rPr>
        <b/>
        <sz val="12"/>
        <rFont val="標楷體"/>
        <family val="4"/>
        <charset val="136"/>
      </rPr>
      <t>舖築及滾壓</t>
    </r>
    <r>
      <rPr>
        <sz val="12"/>
        <rFont val="標楷體"/>
        <family val="4"/>
        <charset val="136"/>
      </rPr>
      <t>」之施工機具及人工等所需費用</t>
    </r>
    <r>
      <rPr>
        <b/>
        <sz val="12"/>
        <rFont val="標楷體"/>
        <family val="4"/>
        <charset val="136"/>
      </rPr>
      <t>另計</t>
    </r>
    <r>
      <rPr>
        <sz val="12"/>
        <rFont val="標楷體"/>
        <family val="4"/>
        <charset val="136"/>
      </rPr>
      <t>。
※計價單位以</t>
    </r>
    <r>
      <rPr>
        <b/>
        <sz val="12"/>
        <rFont val="標楷體"/>
        <family val="4"/>
        <charset val="136"/>
      </rPr>
      <t>體積</t>
    </r>
    <r>
      <rPr>
        <sz val="12"/>
        <rFont val="標楷體"/>
        <family val="4"/>
        <charset val="136"/>
      </rPr>
      <t>計</t>
    </r>
    <phoneticPr fontId="84" type="noConversion"/>
  </si>
  <si>
    <r>
      <rPr>
        <sz val="12"/>
        <rFont val="標楷體"/>
        <family val="4"/>
        <charset val="136"/>
      </rPr>
      <t>瀝青混凝土舖面，粗粒料</t>
    </r>
    <r>
      <rPr>
        <b/>
        <sz val="12"/>
        <rFont val="Times New Roman"/>
        <family val="1"/>
      </rPr>
      <t>19.0mm</t>
    </r>
    <r>
      <rPr>
        <sz val="12"/>
        <rFont val="標楷體"/>
        <family val="4"/>
        <charset val="136"/>
      </rPr>
      <t>，針入度</t>
    </r>
    <r>
      <rPr>
        <sz val="12"/>
        <rFont val="Times New Roman"/>
        <family val="1"/>
      </rPr>
      <t>60~70</t>
    </r>
    <r>
      <rPr>
        <sz val="12"/>
        <rFont val="標楷體"/>
        <family val="4"/>
        <charset val="136"/>
      </rPr>
      <t>，</t>
    </r>
    <r>
      <rPr>
        <b/>
        <sz val="12"/>
        <rFont val="標楷體"/>
        <family val="4"/>
        <charset val="136"/>
      </rPr>
      <t>緊急搶修工程用</t>
    </r>
    <r>
      <rPr>
        <sz val="12"/>
        <rFont val="標楷體"/>
        <family val="4"/>
        <charset val="136"/>
      </rPr>
      <t>，</t>
    </r>
    <r>
      <rPr>
        <b/>
        <sz val="12"/>
        <rFont val="標楷體"/>
        <family val="4"/>
        <charset val="136"/>
      </rPr>
      <t>舖築及滾壓另計</t>
    </r>
    <phoneticPr fontId="84" type="noConversion"/>
  </si>
  <si>
    <r>
      <rPr>
        <sz val="12"/>
        <rFont val="標楷體"/>
        <family val="4"/>
        <charset val="136"/>
      </rPr>
      <t>瀝青混凝土面，</t>
    </r>
    <r>
      <rPr>
        <b/>
        <sz val="12"/>
        <rFont val="標楷體"/>
        <family val="4"/>
        <charset val="136"/>
      </rPr>
      <t>密級配改質</t>
    </r>
    <r>
      <rPr>
        <sz val="12"/>
        <rFont val="標楷體"/>
        <family val="4"/>
        <charset val="136"/>
      </rPr>
      <t>瀝青混凝土，粗粒料</t>
    </r>
    <r>
      <rPr>
        <b/>
        <sz val="12"/>
        <rFont val="Times New Roman"/>
        <family val="1"/>
      </rPr>
      <t>19mm</t>
    </r>
    <r>
      <rPr>
        <sz val="12"/>
        <rFont val="標楷體"/>
        <family val="4"/>
        <charset val="136"/>
      </rPr>
      <t>，</t>
    </r>
    <r>
      <rPr>
        <b/>
        <sz val="12"/>
        <rFont val="標楷體"/>
        <family val="4"/>
        <charset val="136"/>
      </rPr>
      <t>改質Ⅲ型</t>
    </r>
    <r>
      <rPr>
        <sz val="12"/>
        <rFont val="標楷體"/>
        <family val="4"/>
        <charset val="136"/>
      </rPr>
      <t>，</t>
    </r>
    <r>
      <rPr>
        <b/>
        <sz val="12"/>
        <rFont val="標楷體"/>
        <family val="4"/>
        <charset val="136"/>
      </rPr>
      <t>緊急搶修工程用</t>
    </r>
    <r>
      <rPr>
        <sz val="12"/>
        <rFont val="標楷體"/>
        <family val="4"/>
        <charset val="136"/>
      </rPr>
      <t>，</t>
    </r>
    <r>
      <rPr>
        <b/>
        <sz val="12"/>
        <rFont val="標楷體"/>
        <family val="4"/>
        <charset val="136"/>
      </rPr>
      <t>舖築及滾壓另計</t>
    </r>
    <phoneticPr fontId="84" type="noConversion"/>
  </si>
  <si>
    <r>
      <rPr>
        <sz val="12"/>
        <rFont val="標楷體"/>
        <family val="4"/>
        <charset val="136"/>
      </rPr>
      <t>瀝青混凝土面，</t>
    </r>
    <r>
      <rPr>
        <b/>
        <sz val="12"/>
        <rFont val="標楷體"/>
        <family val="4"/>
        <charset val="136"/>
      </rPr>
      <t>再生</t>
    </r>
    <r>
      <rPr>
        <sz val="12"/>
        <rFont val="標楷體"/>
        <family val="4"/>
        <charset val="136"/>
      </rPr>
      <t>粒料，粗粒料</t>
    </r>
    <r>
      <rPr>
        <b/>
        <sz val="12"/>
        <rFont val="Times New Roman"/>
        <family val="1"/>
      </rPr>
      <t>9.5mm</t>
    </r>
    <r>
      <rPr>
        <sz val="12"/>
        <rFont val="標楷體"/>
        <family val="4"/>
        <charset val="136"/>
      </rPr>
      <t>，</t>
    </r>
    <r>
      <rPr>
        <b/>
        <sz val="12"/>
        <rFont val="標楷體"/>
        <family val="4"/>
        <charset val="136"/>
      </rPr>
      <t>緊急搶修工程用</t>
    </r>
    <r>
      <rPr>
        <sz val="12"/>
        <rFont val="標楷體"/>
        <family val="4"/>
        <charset val="136"/>
      </rPr>
      <t>，</t>
    </r>
    <r>
      <rPr>
        <b/>
        <sz val="12"/>
        <rFont val="標楷體"/>
        <family val="4"/>
        <charset val="136"/>
      </rPr>
      <t>舖築及滾壓另計</t>
    </r>
    <phoneticPr fontId="84" type="noConversion"/>
  </si>
  <si>
    <r>
      <rPr>
        <sz val="12"/>
        <rFont val="標楷體"/>
        <family val="4"/>
        <charset val="136"/>
      </rPr>
      <t>瀝青混凝土面，</t>
    </r>
    <r>
      <rPr>
        <b/>
        <sz val="12"/>
        <rFont val="標楷體"/>
        <family val="4"/>
        <charset val="136"/>
      </rPr>
      <t>再生</t>
    </r>
    <r>
      <rPr>
        <sz val="12"/>
        <rFont val="標楷體"/>
        <family val="4"/>
        <charset val="136"/>
      </rPr>
      <t>粒料，粗粒料</t>
    </r>
    <r>
      <rPr>
        <b/>
        <sz val="12"/>
        <rFont val="Times New Roman"/>
        <family val="1"/>
      </rPr>
      <t>19.0mm</t>
    </r>
    <r>
      <rPr>
        <sz val="12"/>
        <rFont val="標楷體"/>
        <family val="4"/>
        <charset val="136"/>
      </rPr>
      <t>，</t>
    </r>
    <r>
      <rPr>
        <b/>
        <sz val="12"/>
        <rFont val="標楷體"/>
        <family val="4"/>
        <charset val="136"/>
      </rPr>
      <t>緊急搶修工程用</t>
    </r>
    <r>
      <rPr>
        <sz val="12"/>
        <rFont val="標楷體"/>
        <family val="4"/>
        <charset val="136"/>
      </rPr>
      <t>，</t>
    </r>
    <r>
      <rPr>
        <b/>
        <sz val="12"/>
        <rFont val="標楷體"/>
        <family val="4"/>
        <charset val="136"/>
      </rPr>
      <t>舖築及滾壓另計</t>
    </r>
    <phoneticPr fontId="84" type="noConversion"/>
  </si>
  <si>
    <r>
      <rPr>
        <sz val="12"/>
        <rFont val="標楷體"/>
        <family val="4"/>
        <charset val="136"/>
      </rPr>
      <t>瀝青混凝土舖面，</t>
    </r>
    <r>
      <rPr>
        <b/>
        <sz val="12"/>
        <rFont val="標楷體"/>
        <family val="4"/>
        <charset val="136"/>
      </rPr>
      <t>舖築及滾壓</t>
    </r>
    <r>
      <rPr>
        <sz val="12"/>
        <rFont val="標楷體"/>
        <family val="4"/>
        <charset val="136"/>
      </rPr>
      <t>，</t>
    </r>
    <r>
      <rPr>
        <b/>
        <sz val="12"/>
        <rFont val="標楷體"/>
        <family val="4"/>
        <charset val="136"/>
      </rPr>
      <t>緊急搶修工程用</t>
    </r>
    <r>
      <rPr>
        <sz val="12"/>
        <rFont val="標楷體"/>
        <family val="4"/>
        <charset val="136"/>
      </rPr>
      <t>，鋪設面積</t>
    </r>
    <r>
      <rPr>
        <b/>
        <sz val="12"/>
        <rFont val="標楷體"/>
        <family val="4"/>
        <charset val="136"/>
      </rPr>
      <t>≦</t>
    </r>
    <r>
      <rPr>
        <b/>
        <sz val="12"/>
        <rFont val="Times New Roman"/>
        <family val="1"/>
      </rPr>
      <t>50m2</t>
    </r>
    <r>
      <rPr>
        <sz val="12"/>
        <rFont val="標楷體"/>
        <family val="4"/>
        <charset val="136"/>
      </rPr>
      <t>適用</t>
    </r>
    <phoneticPr fontId="84" type="noConversion"/>
  </si>
  <si>
    <r>
      <rPr>
        <sz val="12"/>
        <rFont val="標楷體"/>
        <family val="4"/>
        <charset val="136"/>
      </rPr>
      <t>屬</t>
    </r>
    <r>
      <rPr>
        <b/>
        <sz val="12"/>
        <rFont val="標楷體"/>
        <family val="4"/>
        <charset val="136"/>
      </rPr>
      <t>緊急搶修</t>
    </r>
    <r>
      <rPr>
        <sz val="12"/>
        <rFont val="標楷體"/>
        <family val="4"/>
        <charset val="136"/>
      </rPr>
      <t>等相關案件，需進行</t>
    </r>
    <r>
      <rPr>
        <sz val="12"/>
        <rFont val="Times New Roman"/>
        <family val="1"/>
      </rPr>
      <t>AC</t>
    </r>
    <r>
      <rPr>
        <sz val="12"/>
        <rFont val="標楷體"/>
        <family val="4"/>
        <charset val="136"/>
      </rPr>
      <t>路面加鋪工程時編列，本單價僅包含「舖築及滾壓」之施工機具及人工部分，「瀝青混凝土舖面粗粒料」產品部分所需費用另計。</t>
    </r>
    <phoneticPr fontId="84" type="noConversion"/>
  </si>
  <si>
    <r>
      <rPr>
        <sz val="12"/>
        <rFont val="標楷體"/>
        <family val="4"/>
        <charset val="136"/>
      </rPr>
      <t>瀝青混凝土舖面，</t>
    </r>
    <r>
      <rPr>
        <b/>
        <sz val="12"/>
        <rFont val="標楷體"/>
        <family val="4"/>
        <charset val="136"/>
      </rPr>
      <t>舖築及滾壓</t>
    </r>
    <r>
      <rPr>
        <sz val="12"/>
        <rFont val="標楷體"/>
        <family val="4"/>
        <charset val="136"/>
      </rPr>
      <t>，</t>
    </r>
    <r>
      <rPr>
        <b/>
        <sz val="12"/>
        <rFont val="標楷體"/>
        <family val="4"/>
        <charset val="136"/>
      </rPr>
      <t>緊急搶修工程用</t>
    </r>
    <r>
      <rPr>
        <sz val="12"/>
        <rFont val="標楷體"/>
        <family val="4"/>
        <charset val="136"/>
      </rPr>
      <t>，鋪設面積</t>
    </r>
    <r>
      <rPr>
        <b/>
        <sz val="12"/>
        <rFont val="標楷體"/>
        <family val="4"/>
        <charset val="136"/>
      </rPr>
      <t>＞</t>
    </r>
    <r>
      <rPr>
        <b/>
        <sz val="12"/>
        <rFont val="Times New Roman"/>
        <family val="1"/>
      </rPr>
      <t>50m2</t>
    </r>
    <r>
      <rPr>
        <sz val="12"/>
        <rFont val="標楷體"/>
        <family val="4"/>
        <charset val="136"/>
      </rPr>
      <t>適用</t>
    </r>
    <phoneticPr fontId="84" type="noConversion"/>
  </si>
  <si>
    <r>
      <rPr>
        <sz val="12"/>
        <rFont val="標楷體"/>
        <family val="4"/>
        <charset val="136"/>
      </rPr>
      <t>瀝青混凝土舖面，</t>
    </r>
    <r>
      <rPr>
        <b/>
        <sz val="12"/>
        <rFont val="標楷體"/>
        <family val="4"/>
        <charset val="136"/>
      </rPr>
      <t>舖築及滾壓</t>
    </r>
    <r>
      <rPr>
        <sz val="12"/>
        <rFont val="標楷體"/>
        <family val="4"/>
        <charset val="136"/>
      </rPr>
      <t>，</t>
    </r>
    <r>
      <rPr>
        <b/>
        <sz val="12"/>
        <rFont val="標楷體"/>
        <family val="4"/>
        <charset val="136"/>
      </rPr>
      <t>緊急搶修工程用</t>
    </r>
    <r>
      <rPr>
        <sz val="12"/>
        <rFont val="標楷體"/>
        <family val="4"/>
        <charset val="136"/>
      </rPr>
      <t>，鋪設面積</t>
    </r>
    <r>
      <rPr>
        <b/>
        <sz val="12"/>
        <rFont val="標楷體"/>
        <family val="4"/>
        <charset val="136"/>
      </rPr>
      <t>≦</t>
    </r>
    <r>
      <rPr>
        <b/>
        <sz val="12"/>
        <rFont val="Times New Roman"/>
        <family val="1"/>
      </rPr>
      <t>50m2</t>
    </r>
    <r>
      <rPr>
        <sz val="12"/>
        <rFont val="標楷體"/>
        <family val="4"/>
        <charset val="136"/>
      </rPr>
      <t>適用，</t>
    </r>
    <r>
      <rPr>
        <b/>
        <sz val="12"/>
        <rFont val="標楷體"/>
        <family val="4"/>
        <charset val="136"/>
      </rPr>
      <t>夜間</t>
    </r>
    <phoneticPr fontId="84" type="noConversion"/>
  </si>
  <si>
    <r>
      <rPr>
        <sz val="12"/>
        <rFont val="標楷體"/>
        <family val="4"/>
        <charset val="136"/>
      </rPr>
      <t>瀝青混凝土舖面，</t>
    </r>
    <r>
      <rPr>
        <b/>
        <sz val="12"/>
        <rFont val="標楷體"/>
        <family val="4"/>
        <charset val="136"/>
      </rPr>
      <t>舖築及滾壓</t>
    </r>
    <r>
      <rPr>
        <sz val="12"/>
        <rFont val="標楷體"/>
        <family val="4"/>
        <charset val="136"/>
      </rPr>
      <t>，</t>
    </r>
    <r>
      <rPr>
        <b/>
        <sz val="12"/>
        <rFont val="標楷體"/>
        <family val="4"/>
        <charset val="136"/>
      </rPr>
      <t>緊急搶修工程用</t>
    </r>
    <r>
      <rPr>
        <sz val="12"/>
        <rFont val="標楷體"/>
        <family val="4"/>
        <charset val="136"/>
      </rPr>
      <t>，鋪設面積</t>
    </r>
    <r>
      <rPr>
        <b/>
        <sz val="12"/>
        <rFont val="標楷體"/>
        <family val="4"/>
        <charset val="136"/>
      </rPr>
      <t>＞</t>
    </r>
    <r>
      <rPr>
        <b/>
        <sz val="12"/>
        <rFont val="Times New Roman"/>
        <family val="1"/>
      </rPr>
      <t>50m2</t>
    </r>
    <r>
      <rPr>
        <sz val="12"/>
        <rFont val="標楷體"/>
        <family val="4"/>
        <charset val="136"/>
      </rPr>
      <t>適用，</t>
    </r>
    <r>
      <rPr>
        <b/>
        <sz val="12"/>
        <rFont val="標楷體"/>
        <family val="4"/>
        <charset val="136"/>
      </rPr>
      <t>夜間</t>
    </r>
    <phoneticPr fontId="84" type="noConversion"/>
  </si>
  <si>
    <r>
      <rPr>
        <sz val="12"/>
        <rFont val="標楷體"/>
        <family val="4"/>
        <charset val="136"/>
      </rPr>
      <t>於單張通報單各以</t>
    </r>
    <r>
      <rPr>
        <b/>
        <sz val="12"/>
        <rFont val="標楷體"/>
        <family val="4"/>
        <charset val="136"/>
      </rPr>
      <t>開立</t>
    </r>
    <r>
      <rPr>
        <b/>
        <sz val="12"/>
        <rFont val="Times New Roman"/>
        <family val="1"/>
      </rPr>
      <t>1</t>
    </r>
    <r>
      <rPr>
        <b/>
        <sz val="12"/>
        <rFont val="標楷體"/>
        <family val="4"/>
        <charset val="136"/>
      </rPr>
      <t>次</t>
    </r>
    <r>
      <rPr>
        <sz val="12"/>
        <rFont val="標楷體"/>
        <family val="4"/>
        <charset val="136"/>
      </rPr>
      <t>為原則，若因管線障礙等因素導致停工，得辦理現場會勘做成紀錄，則可於重新進場施工時，依實際施作狀況，加計開立次數。</t>
    </r>
    <phoneticPr fontId="84" type="noConversion"/>
  </si>
  <si>
    <r>
      <rPr>
        <sz val="12"/>
        <rFont val="標楷體"/>
        <family val="4"/>
        <charset val="136"/>
      </rPr>
      <t>開挖機，</t>
    </r>
    <r>
      <rPr>
        <sz val="12"/>
        <rFont val="Times New Roman"/>
        <family val="1"/>
      </rPr>
      <t>0.70~0.79m3</t>
    </r>
  </si>
  <si>
    <r>
      <t>112</t>
    </r>
    <r>
      <rPr>
        <sz val="12"/>
        <rFont val="標楷體"/>
        <family val="4"/>
        <charset val="136"/>
      </rPr>
      <t>年工程契約附件</t>
    </r>
    <r>
      <rPr>
        <sz val="12"/>
        <rFont val="Times New Roman"/>
        <family val="1"/>
      </rPr>
      <t/>
    </r>
    <phoneticPr fontId="84" type="noConversion"/>
  </si>
  <si>
    <r>
      <rPr>
        <sz val="12"/>
        <rFont val="標楷體"/>
        <family val="4"/>
        <charset val="136"/>
      </rPr>
      <t>路面復舊時，單張通報單銑刨</t>
    </r>
    <r>
      <rPr>
        <b/>
        <sz val="12"/>
        <rFont val="標楷體"/>
        <family val="4"/>
        <charset val="136"/>
      </rPr>
      <t>面積＜</t>
    </r>
    <r>
      <rPr>
        <b/>
        <sz val="12"/>
        <rFont val="Times New Roman"/>
        <family val="1"/>
      </rPr>
      <t>200m2</t>
    </r>
    <r>
      <rPr>
        <sz val="12"/>
        <rFont val="標楷體"/>
        <family val="4"/>
        <charset val="136"/>
      </rPr>
      <t>時得開立開挖機及操作手</t>
    </r>
    <r>
      <rPr>
        <sz val="12"/>
        <rFont val="Times New Roman"/>
        <family val="1"/>
      </rPr>
      <t>1</t>
    </r>
    <r>
      <rPr>
        <sz val="12"/>
        <rFont val="標楷體"/>
        <family val="4"/>
        <charset val="136"/>
      </rPr>
      <t>小時，超過</t>
    </r>
    <r>
      <rPr>
        <sz val="12"/>
        <rFont val="Times New Roman"/>
        <family val="1"/>
      </rPr>
      <t>200m2</t>
    </r>
    <r>
      <rPr>
        <sz val="12"/>
        <rFont val="標楷體"/>
        <family val="4"/>
        <charset val="136"/>
      </rPr>
      <t>以上，每</t>
    </r>
    <r>
      <rPr>
        <sz val="12"/>
        <rFont val="Times New Roman"/>
        <family val="1"/>
      </rPr>
      <t>200M2</t>
    </r>
    <r>
      <rPr>
        <sz val="12"/>
        <rFont val="標楷體"/>
        <family val="4"/>
        <charset val="136"/>
      </rPr>
      <t>加計</t>
    </r>
    <r>
      <rPr>
        <sz val="12"/>
        <rFont val="Times New Roman"/>
        <family val="1"/>
      </rPr>
      <t>1</t>
    </r>
    <r>
      <rPr>
        <sz val="12"/>
        <rFont val="標楷體"/>
        <family val="4"/>
        <charset val="136"/>
      </rPr>
      <t>小時，以配合銑刨機施作修邊作業</t>
    </r>
    <phoneticPr fontId="84" type="noConversion"/>
  </si>
  <si>
    <r>
      <rPr>
        <sz val="24"/>
        <rFont val="標楷體"/>
        <family val="4"/>
        <charset val="136"/>
      </rPr>
      <t>其他</t>
    </r>
    <r>
      <rPr>
        <sz val="24"/>
        <rFont val="Times New Roman"/>
        <family val="1"/>
      </rPr>
      <t>(</t>
    </r>
    <r>
      <rPr>
        <sz val="24"/>
        <rFont val="標楷體"/>
        <family val="4"/>
        <charset val="136"/>
      </rPr>
      <t>含假設工程</t>
    </r>
    <r>
      <rPr>
        <sz val="24"/>
        <rFont val="Times New Roman"/>
        <family val="1"/>
      </rPr>
      <t>)</t>
    </r>
    <phoneticPr fontId="84" type="noConversion"/>
  </si>
  <si>
    <r>
      <rPr>
        <sz val="12"/>
        <rFont val="標楷體"/>
        <family val="4"/>
        <charset val="136"/>
      </rPr>
      <t>吊卡車，</t>
    </r>
    <r>
      <rPr>
        <sz val="12"/>
        <rFont val="Times New Roman"/>
        <family val="1"/>
      </rPr>
      <t>15</t>
    </r>
    <r>
      <rPr>
        <sz val="12"/>
        <rFont val="標楷體"/>
        <family val="4"/>
        <charset val="136"/>
      </rPr>
      <t>米</t>
    </r>
    <r>
      <rPr>
        <sz val="12"/>
        <rFont val="Times New Roman"/>
        <family val="1"/>
      </rPr>
      <t>-</t>
    </r>
    <r>
      <rPr>
        <sz val="12"/>
        <rFont val="標楷體"/>
        <family val="4"/>
        <charset val="136"/>
      </rPr>
      <t>噸</t>
    </r>
  </si>
  <si>
    <r>
      <rPr>
        <b/>
        <sz val="12"/>
        <rFont val="標楷體"/>
        <family val="4"/>
        <charset val="136"/>
      </rPr>
      <t>一般工程</t>
    </r>
    <r>
      <rPr>
        <sz val="12"/>
        <rFont val="Times New Roman"/>
        <family val="1"/>
      </rPr>
      <t xml:space="preserve">
</t>
    </r>
    <r>
      <rPr>
        <sz val="12"/>
        <rFont val="標楷體"/>
        <family val="4"/>
        <charset val="136"/>
      </rPr>
      <t>工區內欲</t>
    </r>
    <r>
      <rPr>
        <b/>
        <sz val="12"/>
        <rFont val="標楷體"/>
        <family val="4"/>
        <charset val="136"/>
      </rPr>
      <t>停車場出入口需鋪設鋼板</t>
    </r>
    <r>
      <rPr>
        <sz val="12"/>
        <rFont val="標楷體"/>
        <family val="4"/>
        <charset val="136"/>
      </rPr>
      <t>供車輛通行或需進行</t>
    </r>
    <r>
      <rPr>
        <b/>
        <sz val="12"/>
        <rFont val="標楷體"/>
        <family val="4"/>
        <charset val="136"/>
      </rPr>
      <t>型鋼護欄</t>
    </r>
    <r>
      <rPr>
        <sz val="12"/>
        <rFont val="標楷體"/>
        <family val="4"/>
        <charset val="136"/>
      </rPr>
      <t xml:space="preserve">等大型重量材料移置，開立吊卡車移置之費用：
</t>
    </r>
    <r>
      <rPr>
        <sz val="12"/>
        <rFont val="Times New Roman"/>
        <family val="1"/>
      </rPr>
      <t>(1)</t>
    </r>
    <r>
      <rPr>
        <sz val="12"/>
        <rFont val="標楷體"/>
        <family val="4"/>
        <charset val="136"/>
      </rPr>
      <t>側溝工程施作</t>
    </r>
    <r>
      <rPr>
        <b/>
        <sz val="12"/>
        <rFont val="Times New Roman"/>
        <family val="1"/>
      </rPr>
      <t>50M(</t>
    </r>
    <r>
      <rPr>
        <b/>
        <sz val="12"/>
        <rFont val="標楷體"/>
        <family val="4"/>
        <charset val="136"/>
      </rPr>
      <t>含</t>
    </r>
    <r>
      <rPr>
        <b/>
        <sz val="12"/>
        <rFont val="Times New Roman"/>
        <family val="1"/>
      </rPr>
      <t>50M</t>
    </r>
    <r>
      <rPr>
        <b/>
        <sz val="12"/>
        <rFont val="標楷體"/>
        <family val="4"/>
        <charset val="136"/>
      </rPr>
      <t>以下</t>
    </r>
    <r>
      <rPr>
        <b/>
        <sz val="12"/>
        <rFont val="Times New Roman"/>
        <family val="1"/>
      </rPr>
      <t>)</t>
    </r>
    <r>
      <rPr>
        <sz val="12"/>
        <rFont val="標楷體"/>
        <family val="4"/>
        <charset val="136"/>
      </rPr>
      <t>，得開立吊卡車</t>
    </r>
    <r>
      <rPr>
        <b/>
        <sz val="12"/>
        <rFont val="Times New Roman"/>
        <family val="1"/>
      </rPr>
      <t>12</t>
    </r>
    <r>
      <rPr>
        <b/>
        <sz val="12"/>
        <rFont val="標楷體"/>
        <family val="4"/>
        <charset val="136"/>
      </rPr>
      <t>小時</t>
    </r>
    <r>
      <rPr>
        <sz val="12"/>
        <rFont val="標楷體"/>
        <family val="4"/>
        <charset val="136"/>
      </rPr>
      <t>費用，</t>
    </r>
    <r>
      <rPr>
        <b/>
        <sz val="12"/>
        <rFont val="標楷體"/>
        <family val="4"/>
        <charset val="136"/>
      </rPr>
      <t>超過</t>
    </r>
    <r>
      <rPr>
        <b/>
        <sz val="12"/>
        <rFont val="Times New Roman"/>
        <family val="1"/>
      </rPr>
      <t>50M</t>
    </r>
    <r>
      <rPr>
        <sz val="12"/>
        <rFont val="標楷體"/>
        <family val="4"/>
        <charset val="136"/>
      </rPr>
      <t>施作長度，</t>
    </r>
    <r>
      <rPr>
        <b/>
        <sz val="12"/>
        <rFont val="標楷體"/>
        <family val="4"/>
        <charset val="136"/>
      </rPr>
      <t>依比例給付</t>
    </r>
    <r>
      <rPr>
        <sz val="12"/>
        <rFont val="標楷體"/>
        <family val="4"/>
        <charset val="136"/>
      </rPr>
      <t xml:space="preserve">。
</t>
    </r>
    <r>
      <rPr>
        <sz val="12"/>
        <rFont val="Times New Roman"/>
        <family val="1"/>
      </rPr>
      <t>(2)</t>
    </r>
    <r>
      <rPr>
        <sz val="12"/>
        <rFont val="標楷體"/>
        <family val="4"/>
        <charset val="136"/>
      </rPr>
      <t>竣工時由監造單位</t>
    </r>
    <r>
      <rPr>
        <sz val="12"/>
        <rFont val="Times New Roman"/>
        <family val="1"/>
      </rPr>
      <t>(</t>
    </r>
    <r>
      <rPr>
        <sz val="12"/>
        <rFont val="標楷體"/>
        <family val="4"/>
        <charset val="136"/>
      </rPr>
      <t>工務所</t>
    </r>
    <r>
      <rPr>
        <sz val="12"/>
        <rFont val="Times New Roman"/>
        <family val="1"/>
      </rPr>
      <t>)</t>
    </r>
    <r>
      <rPr>
        <sz val="12"/>
        <rFont val="標楷體"/>
        <family val="4"/>
        <charset val="136"/>
      </rPr>
      <t xml:space="preserve">確認現場使用情況結算。
</t>
    </r>
    <r>
      <rPr>
        <b/>
        <sz val="12"/>
        <rFont val="標楷體"/>
        <family val="4"/>
        <charset val="136"/>
      </rPr>
      <t>搶修工程</t>
    </r>
    <r>
      <rPr>
        <sz val="12"/>
        <rFont val="Times New Roman"/>
        <family val="1"/>
      </rPr>
      <t xml:space="preserve">
</t>
    </r>
    <r>
      <rPr>
        <sz val="12"/>
        <rFont val="標楷體"/>
        <family val="4"/>
        <charset val="136"/>
      </rPr>
      <t>工區內</t>
    </r>
    <r>
      <rPr>
        <b/>
        <sz val="12"/>
        <rFont val="標楷體"/>
        <family val="4"/>
        <charset val="136"/>
      </rPr>
      <t>型鋼護欄</t>
    </r>
    <r>
      <rPr>
        <sz val="12"/>
        <rFont val="標楷體"/>
        <family val="4"/>
        <charset val="136"/>
      </rPr>
      <t>或</t>
    </r>
    <r>
      <rPr>
        <b/>
        <sz val="12"/>
        <rFont val="標楷體"/>
        <family val="4"/>
        <charset val="136"/>
      </rPr>
      <t>鋼板</t>
    </r>
    <r>
      <rPr>
        <sz val="12"/>
        <rFont val="標楷體"/>
        <family val="4"/>
        <charset val="136"/>
      </rPr>
      <t xml:space="preserve">等大型重量材料移置之用。
</t>
    </r>
    <r>
      <rPr>
        <sz val="12"/>
        <rFont val="Times New Roman"/>
        <family val="1"/>
      </rPr>
      <t>(1)</t>
    </r>
    <r>
      <rPr>
        <sz val="12"/>
        <rFont val="標楷體"/>
        <family val="4"/>
        <charset val="136"/>
      </rPr>
      <t>單張通報單</t>
    </r>
    <r>
      <rPr>
        <b/>
        <sz val="12"/>
        <rFont val="標楷體"/>
        <family val="4"/>
        <charset val="136"/>
      </rPr>
      <t>側溝工程</t>
    </r>
    <r>
      <rPr>
        <b/>
        <sz val="12"/>
        <rFont val="Times New Roman"/>
        <family val="1"/>
      </rPr>
      <t>10M</t>
    </r>
    <r>
      <rPr>
        <b/>
        <sz val="12"/>
        <rFont val="標楷體"/>
        <family val="4"/>
        <charset val="136"/>
      </rPr>
      <t>以內</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，開立吊</t>
    </r>
    <r>
      <rPr>
        <sz val="12"/>
        <rFont val="Times New Roman"/>
        <family val="1"/>
      </rPr>
      <t>(</t>
    </r>
    <r>
      <rPr>
        <sz val="12"/>
        <rFont val="標楷體"/>
        <family val="4"/>
        <charset val="136"/>
      </rPr>
      <t>卡</t>
    </r>
    <r>
      <rPr>
        <sz val="12"/>
        <rFont val="Times New Roman"/>
        <family val="1"/>
      </rPr>
      <t>)</t>
    </r>
    <r>
      <rPr>
        <sz val="12"/>
        <rFont val="標楷體"/>
        <family val="4"/>
        <charset val="136"/>
      </rPr>
      <t>車</t>
    </r>
    <r>
      <rPr>
        <b/>
        <sz val="12"/>
        <rFont val="Times New Roman"/>
        <family val="1"/>
      </rPr>
      <t>4</t>
    </r>
    <r>
      <rPr>
        <b/>
        <sz val="12"/>
        <rFont val="標楷體"/>
        <family val="4"/>
        <charset val="136"/>
      </rPr>
      <t>小時</t>
    </r>
    <r>
      <rPr>
        <sz val="12"/>
        <rFont val="標楷體"/>
        <family val="4"/>
        <charset val="136"/>
      </rPr>
      <t xml:space="preserve">費用。
</t>
    </r>
    <r>
      <rPr>
        <sz val="12"/>
        <rFont val="Times New Roman"/>
        <family val="1"/>
      </rPr>
      <t>(2)</t>
    </r>
    <r>
      <rPr>
        <sz val="12"/>
        <rFont val="標楷體"/>
        <family val="4"/>
        <charset val="136"/>
      </rPr>
      <t>單張通報單</t>
    </r>
    <r>
      <rPr>
        <b/>
        <sz val="12"/>
        <rFont val="標楷體"/>
        <family val="4"/>
        <charset val="136"/>
      </rPr>
      <t>側溝工程超過</t>
    </r>
    <r>
      <rPr>
        <b/>
        <sz val="12"/>
        <rFont val="Times New Roman"/>
        <family val="1"/>
      </rPr>
      <t>10M</t>
    </r>
    <r>
      <rPr>
        <b/>
        <sz val="12"/>
        <rFont val="標楷體"/>
        <family val="4"/>
        <charset val="136"/>
      </rPr>
      <t>以上</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開立吊</t>
    </r>
    <r>
      <rPr>
        <sz val="12"/>
        <rFont val="Times New Roman"/>
        <family val="1"/>
      </rPr>
      <t>(</t>
    </r>
    <r>
      <rPr>
        <sz val="12"/>
        <rFont val="標楷體"/>
        <family val="4"/>
        <charset val="136"/>
      </rPr>
      <t>卡</t>
    </r>
    <r>
      <rPr>
        <sz val="12"/>
        <rFont val="Times New Roman"/>
        <family val="1"/>
      </rPr>
      <t>)</t>
    </r>
    <r>
      <rPr>
        <sz val="12"/>
        <rFont val="標楷體"/>
        <family val="4"/>
        <charset val="136"/>
      </rPr>
      <t>車</t>
    </r>
    <r>
      <rPr>
        <b/>
        <sz val="12"/>
        <rFont val="Times New Roman"/>
        <family val="1"/>
      </rPr>
      <t>12</t>
    </r>
    <r>
      <rPr>
        <b/>
        <sz val="12"/>
        <rFont val="標楷體"/>
        <family val="4"/>
        <charset val="136"/>
      </rPr>
      <t>小時</t>
    </r>
    <r>
      <rPr>
        <sz val="12"/>
        <rFont val="標楷體"/>
        <family val="4"/>
        <charset val="136"/>
      </rPr>
      <t xml:space="preserve">費用
</t>
    </r>
    <r>
      <rPr>
        <sz val="12"/>
        <rFont val="Times New Roman"/>
        <family val="1"/>
      </rPr>
      <t>(3)</t>
    </r>
    <r>
      <rPr>
        <sz val="12"/>
        <rFont val="標楷體"/>
        <family val="4"/>
        <charset val="136"/>
      </rPr>
      <t>竣工時由監造單位</t>
    </r>
    <r>
      <rPr>
        <sz val="12"/>
        <rFont val="Times New Roman"/>
        <family val="1"/>
      </rPr>
      <t>(</t>
    </r>
    <r>
      <rPr>
        <sz val="12"/>
        <rFont val="標楷體"/>
        <family val="4"/>
        <charset val="136"/>
      </rPr>
      <t>工務所</t>
    </r>
    <r>
      <rPr>
        <sz val="12"/>
        <rFont val="Times New Roman"/>
        <family val="1"/>
      </rPr>
      <t>)</t>
    </r>
    <r>
      <rPr>
        <sz val="12"/>
        <rFont val="標楷體"/>
        <family val="4"/>
        <charset val="136"/>
      </rPr>
      <t>依實作數量結算。</t>
    </r>
    <phoneticPr fontId="84" type="noConversion"/>
  </si>
  <si>
    <r>
      <rPr>
        <sz val="12"/>
        <rFont val="標楷體"/>
        <family val="4"/>
        <charset val="136"/>
      </rPr>
      <t>輪式鏟裝車</t>
    </r>
  </si>
  <si>
    <r>
      <rPr>
        <b/>
        <sz val="12"/>
        <rFont val="標楷體"/>
        <family val="4"/>
        <charset val="136"/>
      </rPr>
      <t>一般工程</t>
    </r>
    <r>
      <rPr>
        <sz val="12"/>
        <rFont val="Times New Roman"/>
        <family val="1"/>
      </rPr>
      <t xml:space="preserve">
</t>
    </r>
    <r>
      <rPr>
        <sz val="12"/>
        <rFont val="標楷體"/>
        <family val="4"/>
        <charset val="136"/>
      </rPr>
      <t>側溝工程施作</t>
    </r>
    <r>
      <rPr>
        <b/>
        <sz val="12"/>
        <rFont val="Times New Roman"/>
        <family val="1"/>
      </rPr>
      <t>50m(</t>
    </r>
    <r>
      <rPr>
        <b/>
        <sz val="12"/>
        <rFont val="標楷體"/>
        <family val="4"/>
        <charset val="136"/>
      </rPr>
      <t>含</t>
    </r>
    <r>
      <rPr>
        <b/>
        <sz val="12"/>
        <rFont val="Times New Roman"/>
        <family val="1"/>
      </rPr>
      <t>50m</t>
    </r>
    <r>
      <rPr>
        <b/>
        <sz val="12"/>
        <rFont val="標楷體"/>
        <family val="4"/>
        <charset val="136"/>
      </rPr>
      <t>以下</t>
    </r>
    <r>
      <rPr>
        <b/>
        <sz val="12"/>
        <rFont val="Times New Roman"/>
        <family val="1"/>
      </rPr>
      <t>)</t>
    </r>
    <r>
      <rPr>
        <sz val="12"/>
        <rFont val="標楷體"/>
        <family val="4"/>
        <charset val="136"/>
      </rPr>
      <t>，得開立</t>
    </r>
    <r>
      <rPr>
        <b/>
        <sz val="12"/>
        <rFont val="Times New Roman"/>
        <family val="1"/>
      </rPr>
      <t>12</t>
    </r>
    <r>
      <rPr>
        <b/>
        <sz val="12"/>
        <rFont val="標楷體"/>
        <family val="4"/>
        <charset val="136"/>
      </rPr>
      <t>小時</t>
    </r>
    <r>
      <rPr>
        <sz val="12"/>
        <rFont val="標楷體"/>
        <family val="4"/>
        <charset val="136"/>
      </rPr>
      <t>費用，</t>
    </r>
    <r>
      <rPr>
        <b/>
        <sz val="12"/>
        <rFont val="標楷體"/>
        <family val="4"/>
        <charset val="136"/>
      </rPr>
      <t>超過</t>
    </r>
    <r>
      <rPr>
        <b/>
        <sz val="12"/>
        <rFont val="Times New Roman"/>
        <family val="1"/>
      </rPr>
      <t>50m</t>
    </r>
    <r>
      <rPr>
        <sz val="12"/>
        <rFont val="標楷體"/>
        <family val="4"/>
        <charset val="136"/>
      </rPr>
      <t>施作長度，</t>
    </r>
    <r>
      <rPr>
        <b/>
        <sz val="12"/>
        <rFont val="標楷體"/>
        <family val="4"/>
        <charset val="136"/>
      </rPr>
      <t>依比例給付</t>
    </r>
    <r>
      <rPr>
        <sz val="12"/>
        <rFont val="標楷體"/>
        <family val="4"/>
        <charset val="136"/>
      </rPr>
      <t xml:space="preserve">。
</t>
    </r>
    <r>
      <rPr>
        <b/>
        <sz val="12"/>
        <rFont val="標楷體"/>
        <family val="4"/>
        <charset val="136"/>
      </rPr>
      <t>搶修工程</t>
    </r>
    <r>
      <rPr>
        <sz val="12"/>
        <rFont val="Times New Roman"/>
        <family val="1"/>
      </rPr>
      <t xml:space="preserve">
(1)</t>
    </r>
    <r>
      <rPr>
        <sz val="12"/>
        <rFont val="標楷體"/>
        <family val="4"/>
        <charset val="136"/>
      </rPr>
      <t>單張通報單</t>
    </r>
    <r>
      <rPr>
        <b/>
        <sz val="12"/>
        <rFont val="標楷體"/>
        <family val="4"/>
        <charset val="136"/>
      </rPr>
      <t>側溝工程</t>
    </r>
    <r>
      <rPr>
        <b/>
        <sz val="12"/>
        <rFont val="Times New Roman"/>
        <family val="1"/>
      </rPr>
      <t>10m</t>
    </r>
    <r>
      <rPr>
        <b/>
        <sz val="12"/>
        <rFont val="標楷體"/>
        <family val="4"/>
        <charset val="136"/>
      </rPr>
      <t>以內</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，開立輪式鏟裝車</t>
    </r>
    <r>
      <rPr>
        <b/>
        <sz val="12"/>
        <rFont val="Times New Roman"/>
        <family val="1"/>
      </rPr>
      <t>4</t>
    </r>
    <r>
      <rPr>
        <b/>
        <sz val="12"/>
        <rFont val="標楷體"/>
        <family val="4"/>
        <charset val="136"/>
      </rPr>
      <t>小時</t>
    </r>
    <r>
      <rPr>
        <sz val="12"/>
        <rFont val="標楷體"/>
        <family val="4"/>
        <charset val="136"/>
      </rPr>
      <t xml:space="preserve">費用。
</t>
    </r>
    <r>
      <rPr>
        <sz val="12"/>
        <rFont val="Times New Roman"/>
        <family val="1"/>
      </rPr>
      <t>(2)</t>
    </r>
    <r>
      <rPr>
        <sz val="12"/>
        <rFont val="標楷體"/>
        <family val="4"/>
        <charset val="136"/>
      </rPr>
      <t>單張通報單</t>
    </r>
    <r>
      <rPr>
        <b/>
        <sz val="12"/>
        <rFont val="標楷體"/>
        <family val="4"/>
        <charset val="136"/>
      </rPr>
      <t>側溝工程超過</t>
    </r>
    <r>
      <rPr>
        <b/>
        <sz val="12"/>
        <rFont val="Times New Roman"/>
        <family val="1"/>
      </rPr>
      <t>10m</t>
    </r>
    <r>
      <rPr>
        <b/>
        <sz val="12"/>
        <rFont val="標楷體"/>
        <family val="4"/>
        <charset val="136"/>
      </rPr>
      <t>以上</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開立輪式鏟裝車</t>
    </r>
    <r>
      <rPr>
        <b/>
        <sz val="12"/>
        <rFont val="Times New Roman"/>
        <family val="1"/>
      </rPr>
      <t>12</t>
    </r>
    <r>
      <rPr>
        <b/>
        <sz val="12"/>
        <rFont val="標楷體"/>
        <family val="4"/>
        <charset val="136"/>
      </rPr>
      <t>小時</t>
    </r>
    <r>
      <rPr>
        <sz val="12"/>
        <rFont val="標楷體"/>
        <family val="4"/>
        <charset val="136"/>
      </rPr>
      <t>費用。</t>
    </r>
    <phoneticPr fontId="84" type="noConversion"/>
  </si>
  <si>
    <r>
      <rPr>
        <sz val="12"/>
        <rFont val="標楷體"/>
        <family val="4"/>
        <charset val="136"/>
      </rPr>
      <t>灑水車，</t>
    </r>
    <r>
      <rPr>
        <sz val="12"/>
        <rFont val="Times New Roman"/>
        <family val="1"/>
      </rPr>
      <t>8.0~8.9m3</t>
    </r>
  </si>
  <si>
    <r>
      <rPr>
        <b/>
        <sz val="12"/>
        <rFont val="標楷體"/>
        <family val="4"/>
        <charset val="136"/>
      </rPr>
      <t>一般工程</t>
    </r>
    <r>
      <rPr>
        <sz val="12"/>
        <rFont val="Times New Roman"/>
        <family val="1"/>
      </rPr>
      <t xml:space="preserve">
</t>
    </r>
    <r>
      <rPr>
        <sz val="12"/>
        <rFont val="標楷體"/>
        <family val="4"/>
        <charset val="136"/>
      </rPr>
      <t>側溝工程施作</t>
    </r>
    <r>
      <rPr>
        <b/>
        <sz val="12"/>
        <rFont val="Times New Roman"/>
        <family val="1"/>
      </rPr>
      <t>50M(</t>
    </r>
    <r>
      <rPr>
        <b/>
        <sz val="12"/>
        <rFont val="標楷體"/>
        <family val="4"/>
        <charset val="136"/>
      </rPr>
      <t>含</t>
    </r>
    <r>
      <rPr>
        <b/>
        <sz val="12"/>
        <rFont val="Times New Roman"/>
        <family val="1"/>
      </rPr>
      <t>50M</t>
    </r>
    <r>
      <rPr>
        <b/>
        <sz val="12"/>
        <rFont val="標楷體"/>
        <family val="4"/>
        <charset val="136"/>
      </rPr>
      <t>以下</t>
    </r>
    <r>
      <rPr>
        <b/>
        <sz val="12"/>
        <rFont val="Times New Roman"/>
        <family val="1"/>
      </rPr>
      <t>)</t>
    </r>
    <r>
      <rPr>
        <sz val="12"/>
        <rFont val="標楷體"/>
        <family val="4"/>
        <charset val="136"/>
      </rPr>
      <t>，得開立</t>
    </r>
    <r>
      <rPr>
        <b/>
        <sz val="12"/>
        <rFont val="Times New Roman"/>
        <family val="1"/>
      </rPr>
      <t>8</t>
    </r>
    <r>
      <rPr>
        <b/>
        <sz val="12"/>
        <rFont val="標楷體"/>
        <family val="4"/>
        <charset val="136"/>
      </rPr>
      <t>小時</t>
    </r>
    <r>
      <rPr>
        <sz val="12"/>
        <rFont val="標楷體"/>
        <family val="4"/>
        <charset val="136"/>
      </rPr>
      <t>費用，</t>
    </r>
    <r>
      <rPr>
        <b/>
        <sz val="12"/>
        <rFont val="標楷體"/>
        <family val="4"/>
        <charset val="136"/>
      </rPr>
      <t>超過</t>
    </r>
    <r>
      <rPr>
        <b/>
        <sz val="12"/>
        <rFont val="Times New Roman"/>
        <family val="1"/>
      </rPr>
      <t>50M</t>
    </r>
    <r>
      <rPr>
        <sz val="12"/>
        <rFont val="標楷體"/>
        <family val="4"/>
        <charset val="136"/>
      </rPr>
      <t>施作長度，</t>
    </r>
    <r>
      <rPr>
        <b/>
        <sz val="12"/>
        <rFont val="標楷體"/>
        <family val="4"/>
        <charset val="136"/>
      </rPr>
      <t>依比例給付。</t>
    </r>
    <r>
      <rPr>
        <sz val="12"/>
        <rFont val="Times New Roman"/>
        <family val="1"/>
      </rPr>
      <t xml:space="preserve">
</t>
    </r>
    <r>
      <rPr>
        <b/>
        <sz val="12"/>
        <rFont val="標楷體"/>
        <family val="4"/>
        <charset val="136"/>
      </rPr>
      <t>搶修工程</t>
    </r>
    <r>
      <rPr>
        <sz val="12"/>
        <rFont val="Times New Roman"/>
        <family val="1"/>
      </rPr>
      <t xml:space="preserve">
(1)</t>
    </r>
    <r>
      <rPr>
        <sz val="12"/>
        <rFont val="標楷體"/>
        <family val="4"/>
        <charset val="136"/>
      </rPr>
      <t>單張通報單側溝工程</t>
    </r>
    <r>
      <rPr>
        <b/>
        <sz val="12"/>
        <rFont val="Times New Roman"/>
        <family val="1"/>
      </rPr>
      <t>10M</t>
    </r>
    <r>
      <rPr>
        <b/>
        <sz val="12"/>
        <rFont val="標楷體"/>
        <family val="4"/>
        <charset val="136"/>
      </rPr>
      <t>以內</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，開立灑水車</t>
    </r>
    <r>
      <rPr>
        <b/>
        <sz val="12"/>
        <rFont val="Times New Roman"/>
        <family val="1"/>
      </rPr>
      <t>4</t>
    </r>
    <r>
      <rPr>
        <b/>
        <sz val="12"/>
        <rFont val="標楷體"/>
        <family val="4"/>
        <charset val="136"/>
      </rPr>
      <t>小時</t>
    </r>
    <r>
      <rPr>
        <sz val="12"/>
        <rFont val="標楷體"/>
        <family val="4"/>
        <charset val="136"/>
      </rPr>
      <t xml:space="preserve">費用。
</t>
    </r>
    <r>
      <rPr>
        <sz val="12"/>
        <rFont val="Times New Roman"/>
        <family val="1"/>
      </rPr>
      <t>(2)</t>
    </r>
    <r>
      <rPr>
        <sz val="12"/>
        <rFont val="標楷體"/>
        <family val="4"/>
        <charset val="136"/>
      </rPr>
      <t>單張通報單側溝工程超過</t>
    </r>
    <r>
      <rPr>
        <b/>
        <sz val="12"/>
        <rFont val="Times New Roman"/>
        <family val="1"/>
      </rPr>
      <t>10M</t>
    </r>
    <r>
      <rPr>
        <b/>
        <sz val="12"/>
        <rFont val="標楷體"/>
        <family val="4"/>
        <charset val="136"/>
      </rPr>
      <t>以上</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開立灑水車</t>
    </r>
    <r>
      <rPr>
        <b/>
        <sz val="12"/>
        <rFont val="Times New Roman"/>
        <family val="1"/>
      </rPr>
      <t>8</t>
    </r>
    <r>
      <rPr>
        <b/>
        <sz val="12"/>
        <rFont val="標楷體"/>
        <family val="4"/>
        <charset val="136"/>
      </rPr>
      <t>小時</t>
    </r>
    <r>
      <rPr>
        <sz val="12"/>
        <rFont val="標楷體"/>
        <family val="4"/>
        <charset val="136"/>
      </rPr>
      <t>費用。</t>
    </r>
    <phoneticPr fontId="84" type="noConversion"/>
  </si>
  <si>
    <r>
      <rPr>
        <sz val="12"/>
        <rFont val="標楷體"/>
        <family val="4"/>
        <charset val="136"/>
      </rPr>
      <t>施作側溝更新工程時，以</t>
    </r>
    <r>
      <rPr>
        <b/>
        <sz val="12"/>
        <rFont val="Times New Roman"/>
        <family val="1"/>
      </rPr>
      <t>2</t>
    </r>
    <r>
      <rPr>
        <b/>
        <sz val="12"/>
        <rFont val="標楷體"/>
        <family val="4"/>
        <charset val="136"/>
      </rPr>
      <t>小時</t>
    </r>
    <r>
      <rPr>
        <b/>
        <sz val="12"/>
        <rFont val="Times New Roman"/>
        <family val="1"/>
      </rPr>
      <t>/</t>
    </r>
    <r>
      <rPr>
        <b/>
        <sz val="12"/>
        <rFont val="標楷體"/>
        <family val="4"/>
        <charset val="136"/>
      </rPr>
      <t>日</t>
    </r>
    <r>
      <rPr>
        <b/>
        <sz val="12"/>
        <rFont val="Times New Roman"/>
        <family val="1"/>
      </rPr>
      <t>*</t>
    </r>
    <r>
      <rPr>
        <b/>
        <sz val="12"/>
        <rFont val="標楷體"/>
        <family val="4"/>
        <charset val="136"/>
      </rPr>
      <t>工期</t>
    </r>
    <r>
      <rPr>
        <b/>
        <sz val="12"/>
        <rFont val="Times New Roman"/>
        <family val="1"/>
      </rPr>
      <t>/2</t>
    </r>
    <r>
      <rPr>
        <sz val="12"/>
        <rFont val="標楷體"/>
        <family val="4"/>
        <charset val="136"/>
      </rPr>
      <t>為開立原則，結算時以實際施工時數及現場使用情況結算。
※預約工程多以項次</t>
    </r>
    <r>
      <rPr>
        <sz val="12"/>
        <rFont val="Times New Roman"/>
        <family val="1"/>
      </rPr>
      <t>1.325</t>
    </r>
    <r>
      <rPr>
        <sz val="12"/>
        <rFont val="標楷體"/>
        <family val="4"/>
        <charset val="136"/>
      </rPr>
      <t>：「</t>
    </r>
    <r>
      <rPr>
        <b/>
        <sz val="12"/>
        <rFont val="標楷體"/>
        <family val="4"/>
        <charset val="136"/>
      </rPr>
      <t>臨時設施，排水設備，沉水式抽水機，</t>
    </r>
    <r>
      <rPr>
        <b/>
        <sz val="12"/>
        <rFont val="Times New Roman"/>
        <family val="1"/>
      </rPr>
      <t>D=10cm</t>
    </r>
    <r>
      <rPr>
        <b/>
        <sz val="12"/>
        <rFont val="標楷體"/>
        <family val="4"/>
        <charset val="136"/>
      </rPr>
      <t>，租金</t>
    </r>
    <r>
      <rPr>
        <sz val="12"/>
        <rFont val="標楷體"/>
        <family val="4"/>
        <charset val="136"/>
      </rPr>
      <t>」計價</t>
    </r>
    <phoneticPr fontId="84" type="noConversion"/>
  </si>
  <si>
    <r>
      <rPr>
        <b/>
        <sz val="12"/>
        <rFont val="標楷體"/>
        <family val="4"/>
        <charset val="136"/>
      </rPr>
      <t>臨時設施，排水設備，沉水式抽水機，</t>
    </r>
    <r>
      <rPr>
        <b/>
        <sz val="12"/>
        <rFont val="Times New Roman"/>
        <family val="1"/>
      </rPr>
      <t>D=10cm</t>
    </r>
    <r>
      <rPr>
        <b/>
        <sz val="12"/>
        <rFont val="標楷體"/>
        <family val="4"/>
        <charset val="136"/>
      </rPr>
      <t>，租金</t>
    </r>
    <phoneticPr fontId="84" type="noConversion"/>
  </si>
  <si>
    <r>
      <t>1110304</t>
    </r>
    <r>
      <rPr>
        <sz val="12"/>
        <rFont val="細明體"/>
        <family val="3"/>
        <charset val="136"/>
      </rPr>
      <t>工作會議</t>
    </r>
    <r>
      <rPr>
        <sz val="12"/>
        <rFont val="Times New Roman"/>
        <family val="1"/>
      </rPr>
      <t/>
    </r>
    <phoneticPr fontId="84" type="noConversion"/>
  </si>
  <si>
    <r>
      <rPr>
        <sz val="12"/>
        <rFont val="標楷體"/>
        <family val="4"/>
        <charset val="136"/>
      </rPr>
      <t>施作側溝更新工程時開立，開立數量每處為</t>
    </r>
    <r>
      <rPr>
        <b/>
        <sz val="12"/>
        <rFont val="標楷體"/>
        <family val="4"/>
        <charset val="136"/>
      </rPr>
      <t>溝寬</t>
    </r>
    <r>
      <rPr>
        <b/>
        <sz val="12"/>
        <rFont val="Times New Roman"/>
        <family val="1"/>
      </rPr>
      <t>*</t>
    </r>
    <r>
      <rPr>
        <b/>
        <sz val="12"/>
        <rFont val="標楷體"/>
        <family val="4"/>
        <charset val="136"/>
      </rPr>
      <t>溝深</t>
    </r>
    <r>
      <rPr>
        <b/>
        <sz val="12"/>
        <rFont val="Times New Roman"/>
        <family val="1"/>
      </rPr>
      <t>*</t>
    </r>
    <r>
      <rPr>
        <b/>
        <sz val="12"/>
        <color indexed="10"/>
        <rFont val="Times New Roman"/>
        <family val="1"/>
      </rPr>
      <t>0.4</t>
    </r>
    <phoneticPr fontId="84" type="noConversion"/>
  </si>
  <si>
    <r>
      <rPr>
        <sz val="12"/>
        <rFont val="標楷體"/>
        <family val="4"/>
        <charset val="136"/>
      </rPr>
      <t>施工照相及攝</t>
    </r>
    <r>
      <rPr>
        <sz val="12"/>
        <rFont val="Times New Roman"/>
        <family val="1"/>
      </rPr>
      <t>(</t>
    </r>
    <r>
      <rPr>
        <sz val="12"/>
        <rFont val="標楷體"/>
        <family val="4"/>
        <charset val="136"/>
      </rPr>
      <t>錄</t>
    </r>
    <r>
      <rPr>
        <sz val="12"/>
        <rFont val="Times New Roman"/>
        <family val="1"/>
      </rPr>
      <t>)</t>
    </r>
    <r>
      <rPr>
        <sz val="12"/>
        <rFont val="標楷體"/>
        <family val="4"/>
        <charset val="136"/>
      </rPr>
      <t>影，施工動態即時影像傳輸費，機關提供攝影機</t>
    </r>
    <phoneticPr fontId="84" type="noConversion"/>
  </si>
  <si>
    <r>
      <t>1120110</t>
    </r>
    <r>
      <rPr>
        <sz val="12"/>
        <rFont val="標楷體"/>
        <family val="4"/>
        <charset val="136"/>
      </rPr>
      <t xml:space="preserve">工作會議
</t>
    </r>
    <r>
      <rPr>
        <sz val="12"/>
        <rFont val="Times New Roman"/>
        <family val="1"/>
      </rPr>
      <t>112</t>
    </r>
    <r>
      <rPr>
        <sz val="12"/>
        <rFont val="標楷體"/>
        <family val="4"/>
        <charset val="136"/>
      </rPr>
      <t>年工程契約附件</t>
    </r>
    <phoneticPr fontId="84" type="noConversion"/>
  </si>
  <si>
    <r>
      <rPr>
        <sz val="12"/>
        <rFont val="標楷體"/>
        <family val="4"/>
        <charset val="136"/>
      </rPr>
      <t>一般側溝、集水井或溝牆破損之搶修案件，本工項以實際工期開立，但</t>
    </r>
    <r>
      <rPr>
        <b/>
        <sz val="12"/>
        <rFont val="標楷體"/>
        <family val="4"/>
        <charset val="136"/>
      </rPr>
      <t>以不超過</t>
    </r>
    <r>
      <rPr>
        <b/>
        <sz val="12"/>
        <rFont val="Times New Roman"/>
        <family val="1"/>
      </rPr>
      <t>14</t>
    </r>
    <r>
      <rPr>
        <b/>
        <sz val="12"/>
        <rFont val="標楷體"/>
        <family val="4"/>
        <charset val="136"/>
      </rPr>
      <t>日為原則</t>
    </r>
    <r>
      <rPr>
        <sz val="12"/>
        <rFont val="標楷體"/>
        <family val="4"/>
        <charset val="136"/>
      </rPr>
      <t>，惟若遇路口坍塌、涵管破裂或箱涵頂板破損等特殊情形，應於施工前會勘記錄載名該通報單工期大於</t>
    </r>
    <r>
      <rPr>
        <sz val="12"/>
        <rFont val="Times New Roman"/>
        <family val="1"/>
      </rPr>
      <t>14</t>
    </r>
    <r>
      <rPr>
        <sz val="12"/>
        <rFont val="標楷體"/>
        <family val="4"/>
        <charset val="136"/>
      </rPr>
      <t>日之原因及所需工期，並核實給付。
開立通報單時以預估工期編列，竣工時依據道路挖掘規定申請核發之路證登錄施工期間回報。
※預約工程多以項次</t>
    </r>
    <r>
      <rPr>
        <sz val="12"/>
        <rFont val="Times New Roman"/>
        <family val="1"/>
      </rPr>
      <t>1.380</t>
    </r>
    <r>
      <rPr>
        <sz val="12"/>
        <rFont val="標楷體"/>
        <family val="4"/>
        <charset val="136"/>
      </rPr>
      <t>「</t>
    </r>
    <r>
      <rPr>
        <b/>
        <sz val="12"/>
        <rFont val="標楷體"/>
        <family val="4"/>
        <charset val="136"/>
      </rPr>
      <t>施工照相及攝</t>
    </r>
    <r>
      <rPr>
        <b/>
        <sz val="12"/>
        <rFont val="Times New Roman"/>
        <family val="1"/>
      </rPr>
      <t>(</t>
    </r>
    <r>
      <rPr>
        <b/>
        <sz val="12"/>
        <rFont val="標楷體"/>
        <family val="4"/>
        <charset val="136"/>
      </rPr>
      <t>錄</t>
    </r>
    <r>
      <rPr>
        <b/>
        <sz val="12"/>
        <rFont val="Times New Roman"/>
        <family val="1"/>
      </rPr>
      <t>)</t>
    </r>
    <r>
      <rPr>
        <b/>
        <sz val="12"/>
        <rFont val="標楷體"/>
        <family val="4"/>
        <charset val="136"/>
      </rPr>
      <t>影，施工動態即時影像傳輸費，機關提供攝影機</t>
    </r>
    <r>
      <rPr>
        <sz val="12"/>
        <rFont val="標楷體"/>
        <family val="4"/>
        <charset val="136"/>
      </rPr>
      <t>」</t>
    </r>
    <phoneticPr fontId="84" type="noConversion"/>
  </si>
  <si>
    <r>
      <rPr>
        <sz val="12"/>
        <rFont val="標楷體"/>
        <family val="4"/>
        <charset val="136"/>
      </rPr>
      <t>施工照相及攝</t>
    </r>
    <r>
      <rPr>
        <sz val="12"/>
        <rFont val="Times New Roman"/>
        <family val="1"/>
      </rPr>
      <t>(</t>
    </r>
    <r>
      <rPr>
        <sz val="12"/>
        <rFont val="標楷體"/>
        <family val="4"/>
        <charset val="136"/>
      </rPr>
      <t>錄</t>
    </r>
    <r>
      <rPr>
        <sz val="12"/>
        <rFont val="Times New Roman"/>
        <family val="1"/>
      </rPr>
      <t>)</t>
    </r>
    <r>
      <rPr>
        <sz val="12"/>
        <rFont val="標楷體"/>
        <family val="4"/>
        <charset val="136"/>
      </rPr>
      <t>影，</t>
    </r>
    <r>
      <rPr>
        <sz val="12"/>
        <rFont val="Times New Roman"/>
        <family val="1"/>
      </rPr>
      <t>(4G</t>
    </r>
    <r>
      <rPr>
        <sz val="12"/>
        <rFont val="標楷體"/>
        <family val="4"/>
        <charset val="136"/>
      </rPr>
      <t>行動門號，即時攝影無線傳輸</t>
    </r>
    <r>
      <rPr>
        <sz val="12"/>
        <rFont val="Times New Roman"/>
        <family val="1"/>
      </rPr>
      <t>)</t>
    </r>
    <r>
      <rPr>
        <sz val="12"/>
        <rFont val="標楷體"/>
        <family val="4"/>
        <charset val="136"/>
      </rPr>
      <t>，施工動態即時影像傳輸費</t>
    </r>
    <phoneticPr fontId="84" type="noConversion"/>
  </si>
  <si>
    <r>
      <rPr>
        <sz val="12"/>
        <rFont val="標楷體"/>
        <family val="4"/>
        <charset val="136"/>
      </rPr>
      <t>型鋼護欄，含警示燈</t>
    </r>
    <phoneticPr fontId="84" type="noConversion"/>
  </si>
  <si>
    <r>
      <rPr>
        <b/>
        <sz val="12"/>
        <rFont val="標楷體"/>
        <family val="4"/>
        <charset val="136"/>
      </rPr>
      <t>超過</t>
    </r>
    <r>
      <rPr>
        <b/>
        <sz val="12"/>
        <rFont val="Times New Roman"/>
        <family val="1"/>
      </rPr>
      <t>8</t>
    </r>
    <r>
      <rPr>
        <b/>
        <sz val="12"/>
        <rFont val="標楷體"/>
        <family val="4"/>
        <charset val="136"/>
      </rPr>
      <t>公尺</t>
    </r>
    <r>
      <rPr>
        <sz val="12"/>
        <rFont val="標楷體"/>
        <family val="4"/>
        <charset val="136"/>
      </rPr>
      <t>之道路或巷道側溝更新工程，使用型鋼護欄圍設工區。</t>
    </r>
    <phoneticPr fontId="84" type="noConversion"/>
  </si>
  <si>
    <r>
      <rPr>
        <b/>
        <sz val="12"/>
        <rFont val="Times New Roman"/>
        <family val="1"/>
      </rPr>
      <t>8</t>
    </r>
    <r>
      <rPr>
        <b/>
        <sz val="12"/>
        <rFont val="標楷體"/>
        <family val="4"/>
        <charset val="136"/>
      </rPr>
      <t>公尺以下</t>
    </r>
    <r>
      <rPr>
        <b/>
        <sz val="12"/>
        <rFont val="Times New Roman"/>
        <family val="1"/>
      </rPr>
      <t>(</t>
    </r>
    <r>
      <rPr>
        <b/>
        <sz val="12"/>
        <rFont val="標楷體"/>
        <family val="4"/>
        <charset val="136"/>
      </rPr>
      <t>含</t>
    </r>
    <r>
      <rPr>
        <b/>
        <sz val="12"/>
        <rFont val="Times New Roman"/>
        <family val="1"/>
      </rPr>
      <t>)</t>
    </r>
    <r>
      <rPr>
        <sz val="12"/>
        <rFont val="標楷體"/>
        <family val="4"/>
        <charset val="136"/>
      </rPr>
      <t>巷道側溝更新工程，得使用槽鋼護欄圍設工區。</t>
    </r>
    <phoneticPr fontId="84" type="noConversion"/>
  </si>
  <si>
    <r>
      <t>(1)</t>
    </r>
    <r>
      <rPr>
        <b/>
        <sz val="12"/>
        <rFont val="標楷體"/>
        <family val="4"/>
        <charset val="136"/>
      </rPr>
      <t>一般案件</t>
    </r>
    <r>
      <rPr>
        <sz val="12"/>
        <rFont val="標楷體"/>
        <family val="4"/>
        <charset val="136"/>
      </rPr>
      <t>依據</t>
    </r>
    <r>
      <rPr>
        <b/>
        <sz val="12"/>
        <rFont val="Times New Roman"/>
        <family val="1"/>
      </rPr>
      <t>(8</t>
    </r>
    <r>
      <rPr>
        <b/>
        <sz val="12"/>
        <rFont val="標楷體"/>
        <family val="4"/>
        <charset val="136"/>
      </rPr>
      <t>小時</t>
    </r>
    <r>
      <rPr>
        <b/>
        <sz val="12"/>
        <rFont val="Times New Roman"/>
        <family val="1"/>
      </rPr>
      <t>/</t>
    </r>
    <r>
      <rPr>
        <b/>
        <sz val="12"/>
        <rFont val="標楷體"/>
        <family val="4"/>
        <charset val="136"/>
      </rPr>
      <t>日</t>
    </r>
    <r>
      <rPr>
        <b/>
        <sz val="12"/>
        <rFont val="Times New Roman"/>
        <family val="1"/>
      </rPr>
      <t>*</t>
    </r>
    <r>
      <rPr>
        <b/>
        <sz val="12"/>
        <rFont val="標楷體"/>
        <family val="4"/>
        <charset val="136"/>
      </rPr>
      <t>工期</t>
    </r>
    <r>
      <rPr>
        <b/>
        <sz val="12"/>
        <rFont val="Times New Roman"/>
        <family val="1"/>
      </rPr>
      <t>/2)</t>
    </r>
    <r>
      <rPr>
        <sz val="12"/>
        <rFont val="標楷體"/>
        <family val="4"/>
        <charset val="136"/>
      </rPr>
      <t xml:space="preserve">小時，開立義交項目，竣工時依據義交單據檢據核銷。
</t>
    </r>
    <r>
      <rPr>
        <sz val="12"/>
        <rFont val="Times New Roman"/>
        <family val="1"/>
      </rPr>
      <t>(2)</t>
    </r>
    <r>
      <rPr>
        <sz val="12"/>
        <rFont val="標楷體"/>
        <family val="4"/>
        <charset val="136"/>
      </rPr>
      <t>因</t>
    </r>
    <r>
      <rPr>
        <b/>
        <sz val="12"/>
        <rFont val="標楷體"/>
        <family val="4"/>
        <charset val="136"/>
      </rPr>
      <t>緊急搶修案件</t>
    </r>
    <r>
      <rPr>
        <sz val="12"/>
        <rFont val="標楷體"/>
        <family val="4"/>
        <charset val="136"/>
      </rPr>
      <t>無法臨時調派義交，得先以項次</t>
    </r>
    <r>
      <rPr>
        <sz val="12"/>
        <rFont val="Times New Roman"/>
        <family val="1"/>
      </rPr>
      <t>1.4</t>
    </r>
    <r>
      <rPr>
        <sz val="12"/>
        <rFont val="標楷體"/>
        <family val="4"/>
        <charset val="136"/>
      </rPr>
      <t>「</t>
    </r>
    <r>
      <rPr>
        <b/>
        <sz val="12"/>
        <rFont val="標楷體"/>
        <family val="4"/>
        <charset val="136"/>
      </rPr>
      <t>配合技術工之勞工</t>
    </r>
    <r>
      <rPr>
        <sz val="12"/>
        <rFont val="標楷體"/>
        <family val="4"/>
        <charset val="136"/>
      </rPr>
      <t>」之工項，</t>
    </r>
    <r>
      <rPr>
        <b/>
        <sz val="12"/>
        <rFont val="標楷體"/>
        <family val="4"/>
        <charset val="136"/>
      </rPr>
      <t>開立前</t>
    </r>
    <r>
      <rPr>
        <b/>
        <sz val="12"/>
        <rFont val="Times New Roman"/>
        <family val="1"/>
      </rPr>
      <t>3</t>
    </r>
    <r>
      <rPr>
        <b/>
        <sz val="12"/>
        <rFont val="標楷體"/>
        <family val="4"/>
        <charset val="136"/>
      </rPr>
      <t>天共計</t>
    </r>
    <r>
      <rPr>
        <b/>
        <sz val="12"/>
        <rFont val="Times New Roman"/>
        <family val="1"/>
      </rPr>
      <t xml:space="preserve">24
    </t>
    </r>
    <r>
      <rPr>
        <b/>
        <sz val="12"/>
        <rFont val="標楷體"/>
        <family val="4"/>
        <charset val="136"/>
      </rPr>
      <t>小時費用</t>
    </r>
    <r>
      <rPr>
        <sz val="12"/>
        <rFont val="標楷體"/>
        <family val="4"/>
        <charset val="136"/>
      </rPr>
      <t>，後續需派義交協助現場指揮交通秩序，竣工時由監造單位</t>
    </r>
    <r>
      <rPr>
        <sz val="12"/>
        <rFont val="Times New Roman"/>
        <family val="1"/>
      </rPr>
      <t>(</t>
    </r>
    <r>
      <rPr>
        <sz val="12"/>
        <rFont val="標楷體"/>
        <family val="4"/>
        <charset val="136"/>
      </rPr>
      <t>工務所</t>
    </r>
    <r>
      <rPr>
        <sz val="12"/>
        <rFont val="Times New Roman"/>
        <family val="1"/>
      </rPr>
      <t>)</t>
    </r>
    <r>
      <rPr>
        <sz val="12"/>
        <rFont val="標楷體"/>
        <family val="4"/>
        <charset val="136"/>
      </rPr>
      <t xml:space="preserve">確認現場使用情況結算。
</t>
    </r>
    <r>
      <rPr>
        <sz val="12"/>
        <rFont val="Times New Roman"/>
        <family val="1"/>
      </rPr>
      <t>(3)</t>
    </r>
    <r>
      <rPr>
        <b/>
        <sz val="12"/>
        <rFont val="Times New Roman"/>
        <family val="1"/>
      </rPr>
      <t>8m</t>
    </r>
    <r>
      <rPr>
        <b/>
        <sz val="12"/>
        <rFont val="標楷體"/>
        <family val="4"/>
        <charset val="136"/>
      </rPr>
      <t>以下</t>
    </r>
    <r>
      <rPr>
        <sz val="12"/>
        <rFont val="標楷體"/>
        <family val="4"/>
        <charset val="136"/>
      </rPr>
      <t>如須封路施作，開立之</t>
    </r>
    <r>
      <rPr>
        <b/>
        <sz val="12"/>
        <rFont val="標楷體"/>
        <family val="4"/>
        <charset val="136"/>
      </rPr>
      <t>交維人員需</t>
    </r>
    <r>
      <rPr>
        <b/>
        <sz val="12"/>
        <rFont val="Times New Roman"/>
        <family val="1"/>
      </rPr>
      <t>*2</t>
    </r>
    <r>
      <rPr>
        <sz val="12"/>
        <rFont val="Times New Roman"/>
        <family val="1"/>
      </rPr>
      <t>(</t>
    </r>
    <r>
      <rPr>
        <sz val="12"/>
        <rFont val="標楷體"/>
        <family val="4"/>
        <charset val="136"/>
      </rPr>
      <t>道路兩側皆須人員管制交通</t>
    </r>
    <r>
      <rPr>
        <sz val="12"/>
        <rFont val="Times New Roman"/>
        <family val="1"/>
      </rPr>
      <t>)</t>
    </r>
    <r>
      <rPr>
        <sz val="12"/>
        <rFont val="標楷體"/>
        <family val="4"/>
        <charset val="136"/>
      </rPr>
      <t>。</t>
    </r>
    <phoneticPr fontId="84" type="noConversion"/>
  </si>
  <si>
    <r>
      <rPr>
        <sz val="12"/>
        <rFont val="標楷體"/>
        <family val="4"/>
        <charset val="136"/>
      </rPr>
      <t>配合技術工之勞工</t>
    </r>
    <phoneticPr fontId="84" type="noConversion"/>
  </si>
  <si>
    <r>
      <rPr>
        <sz val="12"/>
        <rFont val="標楷體"/>
        <family val="4"/>
        <charset val="136"/>
      </rPr>
      <t>臨時設施，雜項工程，工地處理，施工動復員，小型機具</t>
    </r>
    <phoneticPr fontId="84" type="noConversion"/>
  </si>
  <si>
    <r>
      <rPr>
        <sz val="12"/>
        <rFont val="標楷體"/>
        <family val="4"/>
        <charset val="136"/>
      </rPr>
      <t>次</t>
    </r>
    <phoneticPr fontId="84" type="noConversion"/>
  </si>
  <si>
    <r>
      <t>(1)</t>
    </r>
    <r>
      <rPr>
        <sz val="12"/>
        <rFont val="標楷體"/>
        <family val="4"/>
        <charset val="136"/>
      </rPr>
      <t>對工程金額</t>
    </r>
    <r>
      <rPr>
        <sz val="12"/>
        <rFont val="Times New Roman"/>
        <family val="1"/>
      </rPr>
      <t>(</t>
    </r>
    <r>
      <rPr>
        <sz val="12"/>
        <rFont val="標楷體"/>
        <family val="4"/>
        <charset val="136"/>
      </rPr>
      <t>施工費</t>
    </r>
    <r>
      <rPr>
        <sz val="12"/>
        <rFont val="Times New Roman"/>
        <family val="1"/>
      </rPr>
      <t>)</t>
    </r>
    <r>
      <rPr>
        <sz val="12"/>
        <rFont val="標楷體"/>
        <family val="4"/>
        <charset val="136"/>
      </rPr>
      <t>在</t>
    </r>
    <r>
      <rPr>
        <b/>
        <sz val="12"/>
        <rFont val="Times New Roman"/>
        <family val="1"/>
      </rPr>
      <t>25</t>
    </r>
    <r>
      <rPr>
        <b/>
        <sz val="12"/>
        <rFont val="標楷體"/>
        <family val="4"/>
        <charset val="136"/>
      </rPr>
      <t>萬元</t>
    </r>
    <r>
      <rPr>
        <sz val="12"/>
        <rFont val="標楷體"/>
        <family val="4"/>
        <charset val="136"/>
      </rPr>
      <t>以下</t>
    </r>
    <r>
      <rPr>
        <sz val="12"/>
        <rFont val="Times New Roman"/>
        <family val="1"/>
      </rPr>
      <t>(</t>
    </r>
    <r>
      <rPr>
        <sz val="12"/>
        <rFont val="標楷體"/>
        <family val="4"/>
        <charset val="136"/>
      </rPr>
      <t>不含施工動復員費</t>
    </r>
    <r>
      <rPr>
        <sz val="12"/>
        <rFont val="Times New Roman"/>
        <family val="1"/>
      </rPr>
      <t>)</t>
    </r>
    <r>
      <rPr>
        <sz val="12"/>
        <rFont val="標楷體"/>
        <family val="4"/>
        <charset val="136"/>
      </rPr>
      <t xml:space="preserve">，且有急迫性之單次通報單，因通報內容各單價
</t>
    </r>
    <r>
      <rPr>
        <sz val="12"/>
        <rFont val="Times New Roman"/>
        <family val="1"/>
      </rPr>
      <t xml:space="preserve">    </t>
    </r>
    <r>
      <rPr>
        <sz val="12"/>
        <rFont val="標楷體"/>
        <family val="4"/>
        <charset val="136"/>
      </rPr>
      <t xml:space="preserve">項目之施工機械及作業手費用加總後之總金額，仍無法符合實際市面上按日計價之單次施工機械及作業
</t>
    </r>
    <r>
      <rPr>
        <sz val="12"/>
        <rFont val="Times New Roman"/>
        <family val="1"/>
      </rPr>
      <t xml:space="preserve">  </t>
    </r>
    <r>
      <rPr>
        <sz val="12"/>
        <rFont val="標楷體"/>
        <family val="4"/>
        <charset val="136"/>
      </rPr>
      <t>手所需之費用時，得以「</t>
    </r>
    <r>
      <rPr>
        <b/>
        <sz val="12"/>
        <rFont val="標楷體"/>
        <family val="4"/>
        <charset val="136"/>
      </rPr>
      <t>工地處理，施工動復員，大型機具</t>
    </r>
    <r>
      <rPr>
        <sz val="12"/>
        <rFont val="標楷體"/>
        <family val="4"/>
        <charset val="136"/>
      </rPr>
      <t>」或「</t>
    </r>
    <r>
      <rPr>
        <b/>
        <sz val="12"/>
        <rFont val="標楷體"/>
        <family val="4"/>
        <charset val="136"/>
      </rPr>
      <t xml:space="preserve">工地處理，施工動復員，小型機
</t>
    </r>
    <r>
      <rPr>
        <b/>
        <sz val="12"/>
        <rFont val="Times New Roman"/>
        <family val="1"/>
      </rPr>
      <t xml:space="preserve">  </t>
    </r>
    <r>
      <rPr>
        <b/>
        <sz val="12"/>
        <rFont val="標楷體"/>
        <family val="4"/>
        <charset val="136"/>
      </rPr>
      <t>具</t>
    </r>
    <r>
      <rPr>
        <sz val="12"/>
        <rFont val="標楷體"/>
        <family val="4"/>
        <charset val="136"/>
      </rPr>
      <t xml:space="preserve">」計價。
</t>
    </r>
    <r>
      <rPr>
        <sz val="12"/>
        <rFont val="Times New Roman"/>
        <family val="1"/>
      </rPr>
      <t>(2)</t>
    </r>
    <r>
      <rPr>
        <sz val="12"/>
        <rFont val="標楷體"/>
        <family val="4"/>
        <charset val="136"/>
      </rPr>
      <t>「工地處理，施工動復員」</t>
    </r>
    <r>
      <rPr>
        <b/>
        <sz val="12"/>
        <rFont val="標楷體"/>
        <family val="4"/>
        <charset val="136"/>
      </rPr>
      <t>依使用時機計價</t>
    </r>
    <r>
      <rPr>
        <sz val="12"/>
        <rFont val="標楷體"/>
        <family val="4"/>
        <charset val="136"/>
      </rPr>
      <t xml:space="preserve">，若施工僅使用手持小型機具或使用之機具於單價分析表
</t>
    </r>
    <r>
      <rPr>
        <sz val="12"/>
        <rFont val="Times New Roman"/>
        <family val="1"/>
      </rPr>
      <t xml:space="preserve">     </t>
    </r>
    <r>
      <rPr>
        <sz val="12"/>
        <rFont val="標楷體"/>
        <family val="4"/>
        <charset val="136"/>
      </rPr>
      <t>中</t>
    </r>
    <r>
      <rPr>
        <b/>
        <sz val="12"/>
        <rFont val="標楷體"/>
        <family val="4"/>
        <charset val="136"/>
      </rPr>
      <t>無明顯可認定者</t>
    </r>
    <r>
      <rPr>
        <sz val="12"/>
        <rFont val="標楷體"/>
        <family val="4"/>
        <charset val="136"/>
      </rPr>
      <t>，以編列「</t>
    </r>
    <r>
      <rPr>
        <b/>
        <sz val="12"/>
        <rFont val="標楷體"/>
        <family val="4"/>
        <charset val="136"/>
      </rPr>
      <t>工地處理，施工動復員，小型機具</t>
    </r>
    <r>
      <rPr>
        <sz val="12"/>
        <rFont val="標楷體"/>
        <family val="4"/>
        <charset val="136"/>
      </rPr>
      <t xml:space="preserve">」計價。
</t>
    </r>
    <r>
      <rPr>
        <sz val="12"/>
        <rFont val="Times New Roman"/>
        <family val="1"/>
      </rPr>
      <t>(3)</t>
    </r>
    <r>
      <rPr>
        <sz val="12"/>
        <rFont val="標楷體"/>
        <family val="4"/>
        <charset val="136"/>
      </rPr>
      <t>「工地處理，施工動復員」於單張通報單中以</t>
    </r>
    <r>
      <rPr>
        <b/>
        <sz val="12"/>
        <rFont val="標楷體"/>
        <family val="4"/>
        <charset val="136"/>
      </rPr>
      <t>開立</t>
    </r>
    <r>
      <rPr>
        <b/>
        <sz val="12"/>
        <rFont val="Times New Roman"/>
        <family val="1"/>
      </rPr>
      <t>1</t>
    </r>
    <r>
      <rPr>
        <b/>
        <sz val="12"/>
        <rFont val="標楷體"/>
        <family val="4"/>
        <charset val="136"/>
      </rPr>
      <t>次</t>
    </r>
    <r>
      <rPr>
        <sz val="12"/>
        <rFont val="標楷體"/>
        <family val="4"/>
        <charset val="136"/>
      </rPr>
      <t xml:space="preserve">為原則，若因管線障礙等因素導致停工，得辦理
</t>
    </r>
    <r>
      <rPr>
        <sz val="12"/>
        <rFont val="Times New Roman"/>
        <family val="1"/>
      </rPr>
      <t xml:space="preserve">     </t>
    </r>
    <r>
      <rPr>
        <sz val="12"/>
        <rFont val="標楷體"/>
        <family val="4"/>
        <charset val="136"/>
      </rPr>
      <t xml:space="preserve">現場會勘做成紀錄，則可於重新進場施工時，依實際施作狀況，加計開立次數。
</t>
    </r>
    <r>
      <rPr>
        <b/>
        <sz val="12"/>
        <rFont val="標楷體"/>
        <family val="4"/>
        <charset val="136"/>
      </rPr>
      <t>大型機具</t>
    </r>
    <r>
      <rPr>
        <sz val="12"/>
        <rFont val="標楷體"/>
        <family val="4"/>
        <charset val="136"/>
      </rPr>
      <t>：</t>
    </r>
    <r>
      <rPr>
        <sz val="12"/>
        <rFont val="Times New Roman"/>
        <family val="1"/>
      </rPr>
      <t>(1)</t>
    </r>
    <r>
      <rPr>
        <sz val="12"/>
        <rFont val="標楷體"/>
        <family val="4"/>
        <charset val="136"/>
      </rPr>
      <t>新築或埋設管徑超過</t>
    </r>
    <r>
      <rPr>
        <sz val="12"/>
        <rFont val="Times New Roman"/>
        <family val="1"/>
      </rPr>
      <t>1000mmRC</t>
    </r>
    <r>
      <rPr>
        <sz val="12"/>
        <rFont val="標楷體"/>
        <family val="4"/>
        <charset val="136"/>
      </rPr>
      <t>管、人孔、箱涵、修補機械清掃孔</t>
    </r>
    <r>
      <rPr>
        <sz val="12"/>
        <rFont val="Times New Roman"/>
        <family val="1"/>
      </rPr>
      <t>(</t>
    </r>
    <r>
      <rPr>
        <sz val="12"/>
        <rFont val="標楷體"/>
        <family val="4"/>
        <charset val="136"/>
      </rPr>
      <t>需吊開機械孔蓋</t>
    </r>
    <r>
      <rPr>
        <sz val="12"/>
        <rFont val="Times New Roman"/>
        <family val="1"/>
      </rPr>
      <t>)</t>
    </r>
    <r>
      <rPr>
        <sz val="12"/>
        <rFont val="標楷體"/>
        <family val="4"/>
        <charset val="136"/>
      </rPr>
      <t xml:space="preserve">。
</t>
    </r>
    <r>
      <rPr>
        <sz val="12"/>
        <rFont val="Times New Roman"/>
        <family val="1"/>
      </rPr>
      <t xml:space="preserve">                     (2)</t>
    </r>
    <r>
      <rPr>
        <sz val="12"/>
        <rFont val="標楷體"/>
        <family val="4"/>
        <charset val="136"/>
      </rPr>
      <t>挖斗</t>
    </r>
    <r>
      <rPr>
        <sz val="12"/>
        <rFont val="Times New Roman"/>
        <family val="1"/>
      </rPr>
      <t>1</t>
    </r>
    <r>
      <rPr>
        <sz val="12"/>
        <rFont val="標楷體"/>
        <family val="4"/>
        <charset val="136"/>
      </rPr>
      <t>方以上之挖土機，</t>
    </r>
    <r>
      <rPr>
        <sz val="12"/>
        <rFont val="Times New Roman"/>
        <family val="1"/>
      </rPr>
      <t>D7H(215HP)</t>
    </r>
    <r>
      <rPr>
        <sz val="12"/>
        <rFont val="標楷體"/>
        <family val="4"/>
        <charset val="136"/>
      </rPr>
      <t xml:space="preserve">以上之推土機、開挖機、破碎機、吊車等同級機具。
</t>
    </r>
    <r>
      <rPr>
        <b/>
        <sz val="12"/>
        <rFont val="標楷體"/>
        <family val="4"/>
        <charset val="136"/>
      </rPr>
      <t>小型機具</t>
    </r>
    <r>
      <rPr>
        <sz val="12"/>
        <rFont val="標楷體"/>
        <family val="4"/>
        <charset val="136"/>
      </rPr>
      <t>：</t>
    </r>
    <r>
      <rPr>
        <sz val="12"/>
        <rFont val="Times New Roman"/>
        <family val="1"/>
      </rPr>
      <t>(1)</t>
    </r>
    <r>
      <rPr>
        <sz val="12"/>
        <rFont val="標楷體"/>
        <family val="4"/>
        <charset val="136"/>
      </rPr>
      <t>新築或改善</t>
    </r>
    <r>
      <rPr>
        <sz val="12"/>
        <rFont val="Times New Roman"/>
        <family val="1"/>
      </rPr>
      <t>U</t>
    </r>
    <r>
      <rPr>
        <sz val="12"/>
        <rFont val="標楷體"/>
        <family val="4"/>
        <charset val="136"/>
      </rPr>
      <t>型溝、側溝式箱涵、埋設管徑</t>
    </r>
    <r>
      <rPr>
        <sz val="12"/>
        <rFont val="Times New Roman"/>
        <family val="1"/>
      </rPr>
      <t>1000mm</t>
    </r>
    <r>
      <rPr>
        <sz val="12"/>
        <rFont val="標楷體"/>
        <family val="4"/>
        <charset val="136"/>
      </rPr>
      <t>以下之</t>
    </r>
    <r>
      <rPr>
        <sz val="12"/>
        <rFont val="Times New Roman"/>
        <family val="1"/>
      </rPr>
      <t>RC</t>
    </r>
    <r>
      <rPr>
        <sz val="12"/>
        <rFont val="標楷體"/>
        <family val="4"/>
        <charset val="136"/>
      </rPr>
      <t xml:space="preserve">管，且使用施工機械進行開
</t>
    </r>
    <r>
      <rPr>
        <sz val="12"/>
        <rFont val="Times New Roman"/>
        <family val="1"/>
      </rPr>
      <t xml:space="preserve">             </t>
    </r>
    <r>
      <rPr>
        <sz val="12"/>
        <rFont val="標楷體"/>
        <family val="4"/>
        <charset val="136"/>
      </rPr>
      <t xml:space="preserve">挖、回填、載運等工項等。
</t>
    </r>
    <r>
      <rPr>
        <sz val="12"/>
        <rFont val="Times New Roman"/>
        <family val="1"/>
      </rPr>
      <t xml:space="preserve">                     (2)</t>
    </r>
    <r>
      <rPr>
        <sz val="12"/>
        <rFont val="標楷體"/>
        <family val="4"/>
        <charset val="136"/>
      </rPr>
      <t>使用挖斗</t>
    </r>
    <r>
      <rPr>
        <sz val="12"/>
        <rFont val="Times New Roman"/>
        <family val="1"/>
      </rPr>
      <t>0.7</t>
    </r>
    <r>
      <rPr>
        <sz val="12"/>
        <rFont val="標楷體"/>
        <family val="4"/>
        <charset val="136"/>
      </rPr>
      <t>方以下之挖土機、</t>
    </r>
    <r>
      <rPr>
        <sz val="12"/>
        <rFont val="Times New Roman"/>
        <family val="1"/>
      </rPr>
      <t>D6H(165HP)</t>
    </r>
    <r>
      <rPr>
        <sz val="12"/>
        <rFont val="標楷體"/>
        <family val="4"/>
        <charset val="136"/>
      </rPr>
      <t>以下之推土機等同級機具。</t>
    </r>
    <phoneticPr fontId="84" type="noConversion"/>
  </si>
  <si>
    <r>
      <rPr>
        <sz val="12"/>
        <rFont val="標楷體"/>
        <family val="4"/>
        <charset val="136"/>
      </rPr>
      <t>伸縮縫，側溝工程用
伸縮縫</t>
    </r>
    <r>
      <rPr>
        <b/>
        <sz val="12"/>
        <color indexed="10"/>
        <rFont val="Times New Roman"/>
        <family val="1"/>
      </rPr>
      <t>(</t>
    </r>
    <r>
      <rPr>
        <b/>
        <sz val="12"/>
        <color indexed="10"/>
        <rFont val="標楷體"/>
        <family val="4"/>
        <charset val="136"/>
      </rPr>
      <t>緊急搶修工程僅有此工項</t>
    </r>
    <r>
      <rPr>
        <b/>
        <sz val="12"/>
        <color indexed="10"/>
        <rFont val="Times New Roman"/>
        <family val="1"/>
      </rPr>
      <t>)</t>
    </r>
    <phoneticPr fontId="84" type="noConversion"/>
  </si>
  <si>
    <t>M</t>
    <phoneticPr fontId="84" type="noConversion"/>
  </si>
  <si>
    <r>
      <rPr>
        <sz val="12"/>
        <rFont val="標楷體"/>
        <family val="4"/>
        <charset val="136"/>
      </rPr>
      <t>連續側溝長</t>
    </r>
    <r>
      <rPr>
        <sz val="12"/>
        <rFont val="Times New Roman"/>
        <family val="1"/>
      </rPr>
      <t>10M</t>
    </r>
    <r>
      <rPr>
        <sz val="12"/>
        <rFont val="標楷體"/>
        <family val="4"/>
        <charset val="136"/>
      </rPr>
      <t xml:space="preserve">以上需開立伸縮縫
</t>
    </r>
    <r>
      <rPr>
        <sz val="12"/>
        <rFont val="Times New Roman"/>
        <family val="1"/>
      </rPr>
      <t>INT(</t>
    </r>
    <r>
      <rPr>
        <sz val="12"/>
        <rFont val="標楷體"/>
        <family val="4"/>
        <charset val="136"/>
      </rPr>
      <t>側溝長度</t>
    </r>
    <r>
      <rPr>
        <sz val="12"/>
        <rFont val="Times New Roman"/>
        <family val="1"/>
      </rPr>
      <t>/10)*</t>
    </r>
    <r>
      <rPr>
        <sz val="12"/>
        <rFont val="標楷體"/>
        <family val="4"/>
        <charset val="136"/>
      </rPr>
      <t>側溝總寬
※</t>
    </r>
    <r>
      <rPr>
        <sz val="12"/>
        <rFont val="Times New Roman"/>
        <family val="1"/>
      </rPr>
      <t>111</t>
    </r>
    <r>
      <rPr>
        <sz val="12"/>
        <rFont val="標楷體"/>
        <family val="4"/>
        <charset val="136"/>
      </rPr>
      <t>年度預約</t>
    </r>
    <r>
      <rPr>
        <sz val="12"/>
        <rFont val="Times New Roman"/>
        <family val="1"/>
      </rPr>
      <t>(112</t>
    </r>
    <r>
      <rPr>
        <sz val="12"/>
        <rFont val="標楷體"/>
        <family val="4"/>
        <charset val="136"/>
      </rPr>
      <t>續約</t>
    </r>
    <r>
      <rPr>
        <sz val="12"/>
        <rFont val="Times New Roman"/>
        <family val="1"/>
      </rPr>
      <t>)</t>
    </r>
    <r>
      <rPr>
        <sz val="12"/>
        <rFont val="標楷體"/>
        <family val="4"/>
        <charset val="136"/>
      </rPr>
      <t>已變更</t>
    </r>
    <phoneticPr fontId="84" type="noConversion"/>
  </si>
  <si>
    <r>
      <rPr>
        <sz val="12"/>
        <rFont val="標楷體"/>
        <family val="4"/>
        <charset val="136"/>
      </rPr>
      <t>切割瀝青混凝土或無筋混凝土，</t>
    </r>
    <r>
      <rPr>
        <sz val="12"/>
        <rFont val="Times New Roman"/>
        <family val="1"/>
      </rPr>
      <t>10cm</t>
    </r>
    <r>
      <rPr>
        <sz val="12"/>
        <rFont val="標楷體"/>
        <family val="4"/>
        <charset val="136"/>
      </rPr>
      <t>≦切割深度</t>
    </r>
    <phoneticPr fontId="84" type="noConversion"/>
  </si>
  <si>
    <r>
      <rPr>
        <sz val="12"/>
        <rFont val="標楷體"/>
        <family val="4"/>
        <charset val="136"/>
      </rPr>
      <t>統一選用此工項
切割施作側溝前後側溝寬度</t>
    </r>
    <r>
      <rPr>
        <sz val="12"/>
        <rFont val="Times New Roman"/>
        <family val="1"/>
      </rPr>
      <t>+</t>
    </r>
    <r>
      <rPr>
        <sz val="12"/>
        <rFont val="標楷體"/>
        <family val="4"/>
        <charset val="136"/>
      </rPr>
      <t>銑鋪復舊範圍前後</t>
    </r>
    <r>
      <rPr>
        <sz val="12"/>
        <rFont val="Times New Roman"/>
        <family val="1"/>
      </rPr>
      <t>(</t>
    </r>
    <r>
      <rPr>
        <sz val="12"/>
        <rFont val="標楷體"/>
        <family val="4"/>
        <charset val="136"/>
      </rPr>
      <t>鄰側溝邊不計</t>
    </r>
    <r>
      <rPr>
        <sz val="12"/>
        <rFont val="Times New Roman"/>
        <family val="1"/>
      </rPr>
      <t>)</t>
    </r>
    <phoneticPr fontId="84" type="noConversion"/>
  </si>
  <si>
    <r>
      <rPr>
        <sz val="12"/>
        <rFont val="標楷體"/>
        <family val="4"/>
        <charset val="136"/>
      </rPr>
      <t>臨時人行越溝鋼板</t>
    </r>
    <r>
      <rPr>
        <sz val="12"/>
        <rFont val="Times New Roman"/>
        <family val="1"/>
      </rPr>
      <t xml:space="preserve">L160cm×W120cm
</t>
    </r>
    <r>
      <rPr>
        <sz val="12"/>
        <rFont val="標楷體"/>
        <family val="4"/>
        <charset val="136"/>
      </rPr>
      <t>※通行寬度</t>
    </r>
    <r>
      <rPr>
        <sz val="12"/>
        <rFont val="Times New Roman"/>
        <family val="1"/>
      </rPr>
      <t>90cm</t>
    </r>
    <phoneticPr fontId="84" type="noConversion"/>
  </si>
  <si>
    <r>
      <rPr>
        <sz val="12"/>
        <rFont val="標楷體"/>
        <family val="4"/>
        <charset val="136"/>
      </rPr>
      <t>組</t>
    </r>
    <phoneticPr fontId="84" type="noConversion"/>
  </si>
  <si>
    <r>
      <rPr>
        <sz val="12"/>
        <rFont val="標楷體"/>
        <family val="4"/>
        <charset val="136"/>
      </rPr>
      <t>變更設計</t>
    </r>
    <phoneticPr fontId="84" type="noConversion"/>
  </si>
  <si>
    <r>
      <rPr>
        <sz val="12"/>
        <rFont val="標楷體"/>
        <family val="4"/>
        <charset val="136"/>
      </rPr>
      <t>施作範圍涉及人行路線</t>
    </r>
    <r>
      <rPr>
        <sz val="12"/>
        <rFont val="Times New Roman"/>
        <family val="1"/>
      </rPr>
      <t>(</t>
    </r>
    <r>
      <rPr>
        <sz val="12"/>
        <rFont val="標楷體"/>
        <family val="4"/>
        <charset val="136"/>
      </rPr>
      <t>人行道全圍設、住家出入口處</t>
    </r>
    <r>
      <rPr>
        <sz val="12"/>
        <rFont val="Times New Roman"/>
        <family val="1"/>
      </rPr>
      <t>)</t>
    </r>
    <r>
      <rPr>
        <sz val="12"/>
        <rFont val="標楷體"/>
        <family val="4"/>
        <charset val="136"/>
      </rPr>
      <t>，每一出入口開立</t>
    </r>
    <r>
      <rPr>
        <sz val="12"/>
        <rFont val="Times New Roman"/>
        <family val="1"/>
      </rPr>
      <t>1</t>
    </r>
    <r>
      <rPr>
        <sz val="12"/>
        <rFont val="標楷體"/>
        <family val="4"/>
        <charset val="136"/>
      </rPr>
      <t>組
道路寬超過</t>
    </r>
    <r>
      <rPr>
        <sz val="12"/>
        <rFont val="Times New Roman"/>
        <family val="1"/>
      </rPr>
      <t>8M</t>
    </r>
    <phoneticPr fontId="84" type="noConversion"/>
  </si>
  <si>
    <r>
      <rPr>
        <sz val="12"/>
        <rFont val="標楷體"/>
        <family val="4"/>
        <charset val="136"/>
      </rPr>
      <t>臨時人行越溝鋼板</t>
    </r>
    <r>
      <rPr>
        <sz val="12"/>
        <rFont val="Times New Roman"/>
        <family val="1"/>
      </rPr>
      <t xml:space="preserve">L160cm×W90cm
</t>
    </r>
    <r>
      <rPr>
        <sz val="12"/>
        <rFont val="標楷體"/>
        <family val="4"/>
        <charset val="136"/>
      </rPr>
      <t>※通行寬度</t>
    </r>
    <r>
      <rPr>
        <sz val="12"/>
        <rFont val="Times New Roman"/>
        <family val="1"/>
      </rPr>
      <t>60cm</t>
    </r>
    <phoneticPr fontId="84" type="noConversion"/>
  </si>
  <si>
    <r>
      <rPr>
        <sz val="12"/>
        <rFont val="標楷體"/>
        <family val="4"/>
        <charset val="136"/>
      </rPr>
      <t>施作範圍涉及人行路線</t>
    </r>
    <r>
      <rPr>
        <sz val="12"/>
        <rFont val="Times New Roman"/>
        <family val="1"/>
      </rPr>
      <t>(</t>
    </r>
    <r>
      <rPr>
        <sz val="12"/>
        <rFont val="標楷體"/>
        <family val="4"/>
        <charset val="136"/>
      </rPr>
      <t>人行道全圍設、住家出入口處</t>
    </r>
    <r>
      <rPr>
        <sz val="12"/>
        <rFont val="Times New Roman"/>
        <family val="1"/>
      </rPr>
      <t>)</t>
    </r>
    <r>
      <rPr>
        <sz val="12"/>
        <rFont val="標楷體"/>
        <family val="4"/>
        <charset val="136"/>
      </rPr>
      <t>，每一出入口開立</t>
    </r>
    <r>
      <rPr>
        <sz val="12"/>
        <rFont val="Times New Roman"/>
        <family val="1"/>
      </rPr>
      <t>1</t>
    </r>
    <r>
      <rPr>
        <sz val="12"/>
        <rFont val="標楷體"/>
        <family val="4"/>
        <charset val="136"/>
      </rPr>
      <t>組
道路寬</t>
    </r>
    <r>
      <rPr>
        <sz val="12"/>
        <rFont val="Times New Roman"/>
        <family val="1"/>
      </rPr>
      <t>8M</t>
    </r>
    <r>
      <rPr>
        <sz val="12"/>
        <rFont val="標楷體"/>
        <family val="4"/>
        <charset val="136"/>
      </rPr>
      <t>以下</t>
    </r>
    <phoneticPr fontId="84" type="noConversion"/>
  </si>
  <si>
    <t>工項名稱</t>
    <phoneticPr fontId="3" type="noConversion"/>
  </si>
  <si>
    <t>工項來源</t>
    <phoneticPr fontId="3" type="noConversion"/>
  </si>
  <si>
    <t>開立原則</t>
    <phoneticPr fontId="3" type="noConversion"/>
  </si>
  <si>
    <t>工項數量</t>
    <phoneticPr fontId="3" type="noConversion"/>
  </si>
  <si>
    <r>
      <rPr>
        <sz val="12"/>
        <rFont val="標楷體"/>
        <family val="4"/>
        <charset val="136"/>
      </rPr>
      <t>側溝工程施作無編列外模，因混凝土灌注會有滲入土壤縫隙之損耗，故增加開立</t>
    </r>
    <r>
      <rPr>
        <b/>
        <sz val="12"/>
        <rFont val="Times New Roman"/>
        <family val="1"/>
      </rPr>
      <t>5%</t>
    </r>
    <r>
      <rPr>
        <sz val="12"/>
        <rFont val="標楷體"/>
        <family val="4"/>
        <charset val="136"/>
      </rPr>
      <t>混凝土數量作為損耗</t>
    </r>
    <r>
      <rPr>
        <sz val="12"/>
        <rFont val="Times New Roman"/>
        <family val="1"/>
      </rPr>
      <t xml:space="preserve">
</t>
    </r>
    <r>
      <rPr>
        <sz val="12"/>
        <rFont val="微軟正黑體"/>
        <family val="2"/>
        <charset val="136"/>
      </rPr>
      <t>單次通報單同種配比混凝土數量低於</t>
    </r>
    <r>
      <rPr>
        <sz val="12"/>
        <rFont val="Times New Roman"/>
        <family val="1"/>
      </rPr>
      <t>6M3</t>
    </r>
    <r>
      <rPr>
        <sz val="12"/>
        <rFont val="微軟正黑體"/>
        <family val="2"/>
        <charset val="136"/>
      </rPr>
      <t>者，得開立機伴混凝土工項，惟須符合本府施工規範規定</t>
    </r>
    <r>
      <rPr>
        <sz val="12"/>
        <rFont val="Times New Roman"/>
        <family val="1"/>
      </rPr>
      <t>(</t>
    </r>
    <r>
      <rPr>
        <sz val="12"/>
        <rFont val="微軟正黑體"/>
        <family val="2"/>
        <charset val="136"/>
      </rPr>
      <t>混凝土強度、配比、試驗等</t>
    </r>
    <r>
      <rPr>
        <sz val="12"/>
        <rFont val="Times New Roman"/>
        <family val="1"/>
      </rPr>
      <t>)</t>
    </r>
    <phoneticPr fontId="84" type="noConversion"/>
  </si>
  <si>
    <t>道路復舊</t>
    <phoneticPr fontId="3" type="noConversion"/>
  </si>
  <si>
    <t>臨時人行越溝鋼板L160cm×W120cm
※通行寬度90cm</t>
  </si>
  <si>
    <t>臨時人行越溝鋼板L160cm×W90cm
※通行寬度60cm</t>
  </si>
  <si>
    <t>開立時機：道路寬度介於4M到8M者
因應本案多屬市區內既有排水設施更新改善工程，同意依顧問公司建議市區道路改採8.8T傾卸貨車載運廢方</t>
    <phoneticPr fontId="3" type="noConversion"/>
  </si>
  <si>
    <t xml:space="preserve">111年度預約(112續約)、112年度預約工程：
每日出土量小於2立方公尺得採用本項單價。 </t>
    <phoneticPr fontId="3" type="noConversion"/>
  </si>
  <si>
    <t>基本上開立此工項，除非遇到道路特別窄小或每日出土量較小</t>
    <phoneticPr fontId="3" type="noConversion"/>
  </si>
  <si>
    <t>側溝工程施作無編列外模，因混凝土灌注會有滲入土壤縫隙之損耗，故增加開立5%混凝土數量作為損耗
單次通報單同種配比混凝土數量低於6M3者，得開立機伴混凝土工項，惟須符合本府施工規範規定(混凝土強度、配比、試驗等)</t>
    <phoneticPr fontId="3" type="noConversion"/>
  </si>
  <si>
    <t>施工機械無法到達之施工現場（含箱涵及人孔內等），需靠人力或手推車等搬運施工器具、材料或廢棄物等，應視實際需求量化編列二次搬運費用。</t>
    <phoneticPr fontId="3" type="noConversion"/>
  </si>
  <si>
    <t>與未含運費之瀝青混凝土刨除工項搭配使用。</t>
    <phoneticPr fontId="3" type="noConversion"/>
  </si>
  <si>
    <t>112年工程契約附件</t>
    <phoneticPr fontId="3" type="noConversion"/>
  </si>
  <si>
    <t>1110304工作會議
112年工程契約附件</t>
    <phoneticPr fontId="3" type="noConversion"/>
  </si>
  <si>
    <t xml:space="preserve">112年工程契約附件
</t>
    <phoneticPr fontId="3" type="noConversion"/>
  </si>
  <si>
    <t>112年工程契約附件
112年度工程</t>
    <phoneticPr fontId="3" type="noConversion"/>
  </si>
  <si>
    <t>111年工程契約附件
111年度工程</t>
    <phoneticPr fontId="3" type="noConversion"/>
  </si>
  <si>
    <t>路面復舊時，單張通報單銑刨面積＜200m2時得開立開挖機及操作手1小時，超過200m2以上，每200M2加計1小時，以配合銑刨機施作修邊作業</t>
    <phoneticPr fontId="3" type="noConversion"/>
  </si>
  <si>
    <t>施作側溝更新工程時，以2小時/日*工期/2為開立原則，結算時以實際施工時數及現場使用情況結算。
※預約工程多以項次1.325：「臨時設施，排水設備，沉水式抽水機，D=10cm，租金」計價</t>
    <phoneticPr fontId="3" type="noConversion"/>
  </si>
  <si>
    <t>一般側溝、集水井或溝牆破損之搶修案件，本工項以實際工期開立，但以不超過14日為原則，惟若遇路口坍塌、涵管破裂或箱涵頂板破損等特殊情形，應於施工前會勘記錄載名該通報單工期大於14日之原因及所需工期，並核實給付。
開立通報單時以預估工期編列，竣工時依據道路挖掘規定申請核發之路證登錄施工期間回報。
※預約工程多以項次1.380「施工照相及攝(錄)影，施工動態即時影像傳輸費，機關提供攝影機」</t>
    <phoneticPr fontId="3" type="noConversion"/>
  </si>
  <si>
    <t>超過8公尺之道路或巷道側溝更新工程，使用型鋼護欄圍設工區。</t>
    <phoneticPr fontId="3" type="noConversion"/>
  </si>
  <si>
    <t>8公尺以下(含)巷道側溝更新工程，得使用槽鋼護欄圍設工區。</t>
    <phoneticPr fontId="3" type="noConversion"/>
  </si>
  <si>
    <t>連續側溝長10M以上需開立伸縮縫
INT(側溝長度/10)*側溝總寬
※111年度預約(112續約)已變更</t>
    <phoneticPr fontId="3" type="noConversion"/>
  </si>
  <si>
    <t>統一選用此工項
切割施作側溝前後側溝寬度+銑鋪復舊範圍前後(鄰側溝邊不計)</t>
    <phoneticPr fontId="3" type="noConversion"/>
  </si>
  <si>
    <t>施作範圍涉及人行路線(人行道全圍設、住家出入口處)，每一出入口開立1組
道路寬超過8M</t>
    <phoneticPr fontId="3" type="noConversion"/>
  </si>
  <si>
    <t>施作範圍涉及人行路線(人行道全圍設、住家出入口處)，每一出入口開立1組
道路寬8M以下</t>
    <phoneticPr fontId="3" type="noConversion"/>
  </si>
  <si>
    <t>施作側溝更新工程時，以2小時/日*工期/2為開立原則，結算時以實際施工時數及現場使用情況結算。
※預約工程多以項次1.325：「臨時設施，排水設備，沉水式抽水機，D=10cm，租金」計價</t>
  </si>
  <si>
    <t>一般側溝、集水井或溝牆破損之搶修案件，本工項以實際工期開立，但以不超過14日為原則，惟若遇路口坍塌、涵管破裂或箱涵頂板破損等特殊情形，應於施工前會勘記錄載名該通報單工期大於14日之原因及所需工期，並核實給付。
開立通報單時以預估工期編列，竣工時依據道路挖掘規定申請核發之路證登錄施工期間回報。
※預約工程多以項次1.380「施工照相及攝(錄)影，施工動態即時影像傳輸費，機關提供攝影機」</t>
  </si>
  <si>
    <t>112年工程契約附件</t>
  </si>
  <si>
    <t>1120110工作會議
112年工程契約附件</t>
  </si>
  <si>
    <t xml:space="preserve">112年工程契約附件
</t>
  </si>
  <si>
    <t>112年工程契約附件
112年度工程</t>
  </si>
  <si>
    <t>111年工程契約附件
111年度工程</t>
  </si>
  <si>
    <t>1110304工作會議</t>
  </si>
  <si>
    <t>變更設計</t>
  </si>
  <si>
    <t>「開挖機，0.70~0.79m3」+「吊卡車，15米-噸」+「輪式鏟裝車」</t>
    <phoneticPr fontId="3" type="noConversion"/>
  </si>
  <si>
    <t>再生瀝青混凝土鋪面，(密級配，30%回收料)，粗粒料19.0mm，零星工程用</t>
    <phoneticPr fontId="3" type="noConversion"/>
  </si>
  <si>
    <t>再生瀝青混凝土鋪面，(密級配，30%回收料)，粗粒料9.5mm，零星工程用</t>
    <phoneticPr fontId="3" type="noConversion"/>
  </si>
  <si>
    <t>密級配改質瀝青混凝土，粗粒料19mm，改質Ⅲ型，零星工程用</t>
    <phoneticPr fontId="3" type="noConversion"/>
  </si>
  <si>
    <t>瀝青混凝土舖面，粗粒料19.0mm，黏度AC(1)-20，零星工程用</t>
    <phoneticPr fontId="3" type="noConversion"/>
  </si>
  <si>
    <t>瀝青混凝土舖面，粗粒料9.5mm，黏度AC(1)-20，零星工程用</t>
    <phoneticPr fontId="3" type="noConversion"/>
  </si>
  <si>
    <t>伸縮縫，側溝工程用</t>
    <phoneticPr fontId="3" type="noConversion"/>
  </si>
  <si>
    <t>(1)對工程金額(施工費)在25萬元以下(不含施工動復員費)，且有急迫性之單次通報單，因通報內容各單價項目之施工機械及作業手費用加總後之總金額，仍無法符合實際市面上按日計價之單次施工機械及作業手所需之費用時，得以「工地處理，施工動復員，大型機具」或「工地處理，施工動復員，小型機 具」計價。
(2)「工地處理，施工動復員」依使用時機計價，若施工僅使用手持小型機具或使用之機具於單價分析表中無明顯可認定者，以編列「工地處理，施工動復員，小型機具」計價。
(3)「工地處理，施工動復員」於單張通報單中以開立1次為原則，若因管線障礙等因素導致停工，得辦理現場會勘做成紀錄，則可於重新進場施工時，依實際施作狀況，加計開立次數。
大型機具：
(1)新築或埋設管徑超過1000mmRC管、人孔、箱涵、修補機械清掃孔(需吊開機械孔蓋)。
(2)挖斗1方以上之挖土機，D7H(215HP)以上之推土機、開挖機、破碎機、吊車等同級機具。
小型機具：
(1)新築或改善U型溝、側溝式箱涵、埋設管徑1000mm以下之RC管，且使用施工機械進行開挖、回填、載運等工項等。
(2)使用挖斗0.7方以下之挖土機、D6H(165HP)以下之推土機等同級機具。</t>
    <phoneticPr fontId="3" type="noConversion"/>
  </si>
  <si>
    <t>「一般工程用」
(1)距路口往外延伸約五公尺之範圍內，因埋設管涵等，遇地下管線須擴大開挖斷面或須管線吊掛，才能避開既有管線障礙時，所增加機械、人工之施工工時，得開立本項次辦理。相關增加之金額已含於此費用中，廠商不得任意要求加價。
(2)單次通報單施作之相關工程，於同一路口往外延伸五公尺之範圍內，其機械及人工挖方費用應予扣除，惟得由二者擇一較高者，作為計價依據。</t>
    <phoneticPr fontId="3" type="noConversion"/>
  </si>
  <si>
    <t>「搶修工程用」
因路面下陷等相關情形，須調派機具進行路面開挖先行恢復路況，動復員費可按規定另編列外，相關開挖之費用已含於此費用中，廠商不得任意要求加價。</t>
    <phoneticPr fontId="3" type="noConversion"/>
  </si>
  <si>
    <t>「一般工程用」
刨除既有瀝青混凝土用，通常使用1.2M寬之刨除機，本工項以面積計價。
※未含刨除料運費。</t>
    <phoneticPr fontId="3" type="noConversion"/>
  </si>
  <si>
    <t>「搶修工程用」
屬緊急搶修等相關案件，需進行AC路面銑鉋工程時編列，本單價僅包含銑鉋施工之機具及人力，刨除廢料運離工地之所需費用另計。</t>
    <phoneticPr fontId="3" type="noConversion"/>
  </si>
  <si>
    <t>「一般工程用」
(1)一般案件側溝工程施作依據道管中心規定(一車道或全巷道)*側溝長度。
(2) 路面復舊銑刨加鋪面積原則於5平方公尺以下，可選用樹脂混凝土(加色料)辦理。
(3)竣工時依據道管中心路證結案規定及實際鋪設範圍結算計價。
※計價單位以體積計</t>
    <phoneticPr fontId="3" type="noConversion"/>
  </si>
  <si>
    <t>「搶修工程用」
8M以上以(一車道寬*開挖長度前後+1M)銑鋪，8M以下以(全巷道*開挖長度前後+1M)銑鋪。
屬緊急搶修等相關案件，需進行AC路面加鋪工程時編列，本單價僅包含「瀝青混凝土舖面粗粒料」產品部分，「舖築及滾壓」之施工機具及人工等所需費用另計。
※計價單位以體積計</t>
    <phoneticPr fontId="3" type="noConversion"/>
  </si>
  <si>
    <t>屬「緊急搶修」等相關案件，需進行AC路面加鋪工程時編列，本單價僅包含「舖築及滾壓」之施工機具及人工部分，「瀝青混凝土舖面粗粒料」產品部分所需費用另計。</t>
    <phoneticPr fontId="3" type="noConversion"/>
  </si>
  <si>
    <t>於單張通報單各以「開立1次為原則」，若因管線障礙等因素導致停工，得辦理現場會勘做成紀錄，則可於重新進場施工時，依實際施作狀況，加計開立次數。</t>
    <phoneticPr fontId="3" type="noConversion"/>
  </si>
  <si>
    <t>「一般工程」
工區內欲停車場出入口需鋪設鋼板供車輛通行或需進行型鋼護欄等大型重量材料移置，開立吊卡車移置之費用：
(1)側溝工程施作50M(含50M以下)，得開立吊卡車12小時費用，超過50M施作長度，依比例給付。
(2)竣工時由監造單位(工務所)確認現場使用情況結算。
「搶修工程」
工區內型鋼護欄或鋼板等大型重量材料移置之用。
(1)單張通報單側溝工程10M以內(含箱涵、連接管破損修復)，開立吊(卡)車4小時費用。
(2)單張通報單側溝工程超過10M以上(含箱涵、連接管破損修復)開立吊(卡)車12小時費用
(3)竣工時由監造單位(工務所)依實作數量結算。</t>
    <phoneticPr fontId="3" type="noConversion"/>
  </si>
  <si>
    <t>「一般工程」
側溝工程施作50m(含50m以下)，得開立12小時費用，超過50m施作長度，依比例給付。
「搶修工程」
(1)單張通報單側溝工程10m以內(含箱涵、連接管破損修復)，開立輪式鏟裝車4小時費用。
(2)單張通報單側溝工程超過10m以上(含箱涵、連接管破損修復)開立輪式鏟裝車12小時費用。</t>
    <phoneticPr fontId="3" type="noConversion"/>
  </si>
  <si>
    <t>「一般工程」
側溝工程施作50M(含50M以下)，得開立8小時費用，超過50M施作長度，依比例給付。
「搶修工程」
(1)單張通報單側溝工程10M以內(含箱涵、連接管破損修復)，開立灑水車4小時費用。
(2)單張通報單側溝工程超過10M以上(含箱涵、連接管破損修復)開立灑水車8小時費用。</t>
    <phoneticPr fontId="3" type="noConversion"/>
  </si>
  <si>
    <t>(1)「一般案件」依據(8小時/日*工期/2)小時，開立義交項目，竣工時依據義交單據檢據核銷。
(2)因「緊急搶修」案件無法臨時調派義交，得先以項次1.4「配合技術工之勞工」之工項，開立前3天共計24小時費用，後續需派義交協助現場指揮交通秩序，竣工時由監造單位(工務所)確認現場使用情況結算。
(3)8m以下如須封路施作，開立之交維人員需*2(道路兩側皆須人員管制交通)。</t>
    <phoneticPr fontId="3" type="noConversion"/>
  </si>
  <si>
    <t>(1)對工程金額(施工費)在「25萬元以下」(不含施工動復員費)，且有急迫性之單次通報單，因通報內容各單價項目之施工機械及作業手費用加總後之總金額，仍無法符合實際市面上按日計價之單次施工機械及作業手所需之費用時，得以「工地處理，施工動復員，大型機具」或「工地處理，施工動復員，小型機 具」計價。
(2)「工地處理，施工動復員」依使用時機計價，若施工僅使用手持小型機具或使用之機具於單價分析表中無明顯可認定者，以編列「工地處理，施工動復員，小型機具」計價。
(3)「工地處理，施工動復員」於單張通報單中以開立1次為原則，若因管線障礙等因素導致停工，得辦理現場會勘做成紀錄，則可於重新進場施工時，依實際施作狀況，加計開立次數。
大型機具：
(1)新築或埋設管徑超過1000mmRC管、人孔、箱涵、修補機械清掃孔(需吊開機械孔蓋)。
(2)挖斗1方以上之挖土機，D7H(215HP)以上之推土機、開挖機、破碎機、吊車等同級機具。
小型機具：
(1)新築或改善U型溝、側溝式箱涵、埋設管徑1000mm以下之RC管，且使用施工機械進行開挖、回填、載運等工項等。
(2)使用挖斗0.7方以下之挖土機、D6H(165HP)以下之推土機等同級機具。</t>
    <phoneticPr fontId="3" type="noConversion"/>
  </si>
  <si>
    <t>1110830工作會議</t>
  </si>
  <si>
    <t>混凝土澆置</t>
    <phoneticPr fontId="84" type="noConversion"/>
  </si>
  <si>
    <t>工項單位</t>
    <phoneticPr fontId="3" type="noConversion"/>
  </si>
  <si>
    <t>施作</t>
    <phoneticPr fontId="3" type="noConversion"/>
  </si>
  <si>
    <t>路面復舊時，單張通報單銑刨面積＜200m2時得開立開挖機及操作手1小時，超過200m2以上，每200M2加計1小時，以配合銑刨機施作修邊作業</t>
  </si>
  <si>
    <t>m2</t>
    <phoneticPr fontId="3" type="noConversion"/>
  </si>
  <si>
    <t>單位</t>
    <phoneticPr fontId="3" type="noConversion"/>
  </si>
  <si>
    <t>道
路
復
舊</t>
    <phoneticPr fontId="3" type="noConversion"/>
  </si>
  <si>
    <t>假
設
工
程</t>
    <phoneticPr fontId="3" type="noConversion"/>
  </si>
  <si>
    <t>標線</t>
    <phoneticPr fontId="3" type="noConversion"/>
  </si>
  <si>
    <t>標
線</t>
    <phoneticPr fontId="3" type="noConversion"/>
  </si>
  <si>
    <t>施
作</t>
    <phoneticPr fontId="3" type="noConversion"/>
  </si>
  <si>
    <t>開
挖</t>
    <phoneticPr fontId="3" type="noConversion"/>
  </si>
  <si>
    <t>復舊</t>
    <phoneticPr fontId="3" type="noConversion"/>
  </si>
  <si>
    <t>假設</t>
    <phoneticPr fontId="3" type="noConversion"/>
  </si>
  <si>
    <t>交維</t>
    <phoneticPr fontId="3" type="noConversion"/>
  </si>
  <si>
    <t>其他</t>
    <phoneticPr fontId="3" type="noConversion"/>
  </si>
  <si>
    <t>工項名稱</t>
    <phoneticPr fontId="28" type="noConversion"/>
  </si>
  <si>
    <t>類型</t>
    <phoneticPr fontId="28" type="noConversion"/>
  </si>
  <si>
    <t>開立數量</t>
    <phoneticPr fontId="3" type="noConversion"/>
  </si>
  <si>
    <t>備註</t>
    <phoneticPr fontId="3" type="noConversion"/>
  </si>
  <si>
    <t>開挖機所需之操作手累加至其他操作手工項</t>
    <phoneticPr fontId="3" type="noConversion"/>
  </si>
  <si>
    <t>其他</t>
    <phoneticPr fontId="14" type="noConversion"/>
  </si>
  <si>
    <t>再生瀝青混凝土鋪面，(密級配，30%回收料)，粗粒料9.5mm，零星工程用</t>
    <phoneticPr fontId="59" type="noConversion"/>
  </si>
  <si>
    <t>再生瀝青混凝土鋪面，(密級配，30%回收料)，粗粒料19.0mm，零星工程用</t>
    <phoneticPr fontId="59" type="noConversion"/>
  </si>
  <si>
    <t>密級配改質瀝青混凝土，粗粒料19 mm，改質Ⅲ型，零星工程用</t>
    <phoneticPr fontId="59" type="noConversion"/>
  </si>
  <si>
    <t>挖方總和=</t>
    <phoneticPr fontId="3" type="noConversion"/>
  </si>
  <si>
    <t>餘方總和=</t>
    <phoneticPr fontId="3" type="noConversion"/>
  </si>
  <si>
    <t>鋼筋</t>
    <phoneticPr fontId="28" type="noConversion"/>
  </si>
  <si>
    <t>混凝土</t>
    <phoneticPr fontId="28" type="noConversion"/>
  </si>
  <si>
    <t>瀝青</t>
    <phoneticPr fontId="28" type="noConversion"/>
  </si>
  <si>
    <t>格柵</t>
    <phoneticPr fontId="28" type="noConversion"/>
  </si>
  <si>
    <t>高壓磚</t>
    <phoneticPr fontId="28" type="noConversion"/>
  </si>
  <si>
    <t>鋼料</t>
    <phoneticPr fontId="28" type="noConversion"/>
  </si>
  <si>
    <t>不銹鋼</t>
    <phoneticPr fontId="28" type="noConversion"/>
  </si>
  <si>
    <t>踏步</t>
    <phoneticPr fontId="28" type="noConversion"/>
  </si>
  <si>
    <t>植筋</t>
    <phoneticPr fontId="28" type="noConversion"/>
  </si>
  <si>
    <t>工程金額(施工費)在「25萬元以下」開立</t>
    <phoneticPr fontId="3" type="noConversion"/>
  </si>
  <si>
    <t>緊急搶修開立前3天共計24小時</t>
    <phoneticPr fontId="3" type="noConversion"/>
  </si>
  <si>
    <t>(8小時/日*工期/2)</t>
    <phoneticPr fontId="3" type="noConversion"/>
  </si>
  <si>
    <t>超過8m以上道路</t>
    <phoneticPr fontId="3" type="noConversion"/>
  </si>
  <si>
    <t>8m以下道路</t>
    <phoneticPr fontId="3" type="noConversion"/>
  </si>
  <si>
    <t>施作側溝更新工程時開立，開立數量每處為溝寬*溝深*0.2</t>
    <phoneticPr fontId="3" type="noConversion"/>
  </si>
  <si>
    <t>溝寬*溝深*0.2</t>
    <phoneticPr fontId="3" type="noConversion"/>
  </si>
  <si>
    <t>2小時/日*工期/2</t>
    <phoneticPr fontId="3" type="noConversion"/>
  </si>
  <si>
    <t>人行步道</t>
    <phoneticPr fontId="3" type="noConversion"/>
  </si>
  <si>
    <t>kg</t>
    <phoneticPr fontId="3" type="noConversion"/>
  </si>
  <si>
    <t>數據轉換</t>
  </si>
  <si>
    <t>□符合
□不適用</t>
    <phoneticPr fontId="3" type="noConversion"/>
  </si>
  <si>
    <t>銑鋪體積(5cm):</t>
    <phoneticPr fontId="3" type="noConversion"/>
  </si>
  <si>
    <t>銑鋪體積(10cm):</t>
    <phoneticPr fontId="3" type="noConversion"/>
  </si>
  <si>
    <t>曳引鏟土機，1.2m3，車輪式</t>
    <phoneticPr fontId="3" type="noConversion"/>
  </si>
  <si>
    <t>工程名稱：</t>
    <phoneticPr fontId="3" type="noConversion"/>
  </si>
  <si>
    <t>施工地點：</t>
    <phoneticPr fontId="3" type="noConversion"/>
  </si>
  <si>
    <t>單價</t>
  </si>
  <si>
    <t>複價</t>
  </si>
  <si>
    <t>鋼筋，SD280W.</t>
    <phoneticPr fontId="58" type="noConversion"/>
  </si>
  <si>
    <t>案件類型</t>
    <phoneticPr fontId="3" type="noConversion"/>
  </si>
  <si>
    <t>通報單封面</t>
    <phoneticPr fontId="3" type="noConversion"/>
  </si>
  <si>
    <t>復舊單位:</t>
    <phoneticPr fontId="3" type="noConversion"/>
  </si>
  <si>
    <t>使用合約:</t>
    <phoneticPr fontId="28" type="noConversion"/>
  </si>
  <si>
    <t>復舊方式(5cm):</t>
    <phoneticPr fontId="28" type="noConversion"/>
  </si>
  <si>
    <t>復舊方式(10cm):</t>
    <phoneticPr fontId="28" type="noConversion"/>
  </si>
  <si>
    <t>施作位置:</t>
    <phoneticPr fontId="3" type="noConversion"/>
  </si>
  <si>
    <t>施作工項:</t>
    <phoneticPr fontId="3" type="noConversion"/>
  </si>
  <si>
    <t>工程費</t>
    <phoneticPr fontId="28" type="noConversion"/>
  </si>
  <si>
    <t>復舊方式(切割):</t>
    <phoneticPr fontId="28" type="noConversion"/>
  </si>
  <si>
    <t>開工日期</t>
    <phoneticPr fontId="3" type="noConversion"/>
  </si>
  <si>
    <t>計價狀況</t>
    <phoneticPr fontId="3" type="noConversion"/>
  </si>
  <si>
    <t>依雨水下水道預約維護工程給付項目適用時機規定附表所列項目均須有照片佐證，並依實際狀況計價。</t>
    <phoneticPr fontId="3" type="noConversion"/>
  </si>
  <si>
    <t>通報單封面內容</t>
    <phoneticPr fontId="3" type="noConversion"/>
  </si>
  <si>
    <t>銜接注意</t>
    <phoneticPr fontId="3" type="noConversion"/>
  </si>
  <si>
    <t>施作時上下游請銜接平順</t>
    <phoneticPr fontId="3" type="noConversion"/>
  </si>
  <si>
    <t>2015/11/2</t>
    <phoneticPr fontId="3" type="noConversion"/>
  </si>
  <si>
    <t>預定開工日期</t>
    <phoneticPr fontId="3" type="noConversion"/>
  </si>
  <si>
    <t>承辦人</t>
    <phoneticPr fontId="3" type="noConversion"/>
  </si>
  <si>
    <t>2015/10/7</t>
    <phoneticPr fontId="3" type="noConversion"/>
  </si>
  <si>
    <t>現場會勘日期</t>
  </si>
  <si>
    <t>H-104-04-104041</t>
    <phoneticPr fontId="3" type="noConversion"/>
  </si>
  <si>
    <t>合約編號</t>
    <phoneticPr fontId="3" type="noConversion"/>
  </si>
  <si>
    <t>111年度雨水下水道預約維護工程(中山、松山區)</t>
    <phoneticPr fontId="3" type="noConversion"/>
  </si>
  <si>
    <t>開口合約</t>
    <phoneticPr fontId="3" type="noConversion"/>
  </si>
  <si>
    <t>施工地點</t>
    <phoneticPr fontId="3" type="noConversion"/>
  </si>
  <si>
    <t>28</t>
    <phoneticPr fontId="3" type="noConversion"/>
  </si>
  <si>
    <t>工期</t>
    <phoneticPr fontId="3" type="noConversion"/>
  </si>
  <si>
    <t>工程名稱</t>
  </si>
  <si>
    <t>總價</t>
  </si>
  <si>
    <t>1.</t>
  </si>
  <si>
    <t>=</t>
  </si>
  <si>
    <t>(3)</t>
  </si>
  <si>
    <t>其他</t>
  </si>
  <si>
    <t>(1)</t>
  </si>
  <si>
    <t>(2)</t>
  </si>
  <si>
    <t>工料名稱</t>
  </si>
  <si>
    <t>工項名稱</t>
  </si>
  <si>
    <t>.</t>
  </si>
  <si>
    <t>契約項次</t>
  </si>
  <si>
    <t>項目</t>
    <phoneticPr fontId="8" type="noConversion"/>
  </si>
  <si>
    <t>編號</t>
    <phoneticPr fontId="8" type="noConversion"/>
  </si>
  <si>
    <t>單價</t>
    <phoneticPr fontId="8" type="noConversion"/>
  </si>
  <si>
    <t>復價</t>
    <phoneticPr fontId="8" type="noConversion"/>
  </si>
  <si>
    <t>注:1.數據修正及工項變動請複製於「數量計算表」後再進行。
   2.既有型式選擇「無既有溝」則既有溝深、溝寬及牆厚不顯示。
   3.複製計算式時，標題部分請用「普通貼上」，其餘項目數量及計算式
     請使用「值與來源格式貼上」。</t>
    <phoneticPr fontId="58" type="noConversion"/>
  </si>
  <si>
    <t>一般瀝青</t>
    <phoneticPr fontId="3" type="noConversion"/>
  </si>
  <si>
    <t>再生瀝青</t>
    <phoneticPr fontId="3" type="noConversion"/>
  </si>
  <si>
    <t>改值瀝青</t>
    <phoneticPr fontId="3" type="noConversion"/>
  </si>
  <si>
    <t>開挖臨補</t>
    <phoneticPr fontId="3" type="noConversion"/>
  </si>
  <si>
    <t>*點擊工項名稱可查看開立原則
*請確認工項是否開立「未滿七小時」
*銑鋪之原則數量不包含暗溝臨補之數量
*原則數量為估算及參考</t>
    <phoneticPr fontId="3" type="noConversion"/>
  </si>
  <si>
    <t>=</t>
    <phoneticPr fontId="3" type="noConversion"/>
  </si>
  <si>
    <t>(112)餘方自行處理(含水土保持)，總重15t以下傾卸貨車</t>
  </si>
  <si>
    <t>[人力工項不打折]</t>
  </si>
  <si>
    <t>經機關核定每日施工期間未達7小時適用</t>
  </si>
  <si>
    <t>每日產出餘土量≤2M3使用</t>
  </si>
  <si>
    <t>無棄土費用</t>
  </si>
  <si>
    <t>本項納入「水泥及其製品類」物價指數調整</t>
  </si>
  <si>
    <t>本項零星工料包含鋼筋混凝土所需之墊塊費用</t>
  </si>
  <si>
    <t>橋面</t>
  </si>
  <si>
    <t>場鑄結構混凝土用模板，(乙種，擋土牆，橋台，車行箱涵等)</t>
  </si>
  <si>
    <t>擋土牆，橋台，車行箱涵等</t>
  </si>
  <si>
    <t>U型構，集水井，排水箱涵等</t>
  </si>
  <si>
    <t>場鑄結構混凝土用模板，(乙種，擋土牆，橋台，車行箱涵等)，經機關核定每日施工期間未達7小時適用</t>
  </si>
  <si>
    <t>擋土牆，橋台，車行箱涵等，經機關核定每日施工期間未達7小時適用適用</t>
  </si>
  <si>
    <t>U型構，集水井，排水箱涵等，經機關核定每日施工期間未達7小時適用</t>
  </si>
  <si>
    <t>本項納入「鋼筋」物價指數調整</t>
  </si>
  <si>
    <t>經機關核定每日施工期間未達7小時適用，本項納入「鋼筋」物價指數調整</t>
  </si>
  <si>
    <t>#</t>
  </si>
  <si>
    <t>本項零星工料包含鋼筋籠外側所需之間隔片費用</t>
  </si>
  <si>
    <t>每M2.5片</t>
  </si>
  <si>
    <t>租用</t>
  </si>
  <si>
    <t>含運費</t>
  </si>
  <si>
    <t>(適用施作面積200M2以上)</t>
  </si>
  <si>
    <t># T=4cm W=14cm</t>
  </si>
  <si>
    <t>需符合中華民國國家標準4750</t>
  </si>
  <si>
    <t>每M3.3支踏步計</t>
  </si>
  <si>
    <t>穴孔：D=20CM， H=20CM</t>
  </si>
  <si>
    <t>樹高8-10公尺，修剪前樹寬3-5公尺</t>
  </si>
  <si>
    <t>臨時排水，箱涵用</t>
  </si>
  <si>
    <t>原名稱：袪水，臨時排水，箱涵用</t>
  </si>
  <si>
    <t>臨時排水，RCP用</t>
  </si>
  <si>
    <t>原名稱：袪水，臨時排水，RCP用</t>
  </si>
  <si>
    <t>(含油料及運費)</t>
  </si>
  <si>
    <t>日/輛</t>
  </si>
  <si>
    <t>廢方另計</t>
  </si>
  <si>
    <t># 過溝鑄鐵蓋板</t>
  </si>
  <si>
    <t>未達8小時適用</t>
  </si>
  <si>
    <t>含路證申請、回報及配合道路挖掘之相關作業費用</t>
  </si>
  <si>
    <t>高度2.4m</t>
  </si>
  <si>
    <t>需經審查後設置</t>
  </si>
  <si>
    <t># 使用10次,適用於從事缺氧危險之作業(例箱涵或密閉環境中作業)</t>
  </si>
  <si>
    <t>使用10次</t>
  </si>
  <si>
    <t>D=8cm ±5%，H=75cm ±5%</t>
  </si>
  <si>
    <t>本案無銑鋪(10cm)</t>
  </si>
  <si>
    <t>90cm</t>
  </si>
  <si>
    <t>k</t>
    <phoneticPr fontId="3" type="noConversion"/>
  </si>
  <si>
    <t>技術工，年資3年，夜間</t>
  </si>
  <si>
    <t>L000005020301
[人力工項不打折]</t>
  </si>
  <si>
    <t>操作手，重機械，夜間</t>
  </si>
  <si>
    <t>L0000051020Q1
[人力工項不打折]</t>
  </si>
  <si>
    <t>駕駛，小貨車，夜間</t>
  </si>
  <si>
    <t>L000005302061
[人力工項不打折]</t>
  </si>
  <si>
    <t>配合技術工之勞工，夜間</t>
  </si>
  <si>
    <t>L000006A02001
[人力工項不打折]</t>
  </si>
  <si>
    <t>機械拆除，鋼筋混凝土，未含運費，夜間</t>
  </si>
  <si>
    <t xml:space="preserve">0222010N23
分析表3_x000D_
</t>
  </si>
  <si>
    <t xml:space="preserve">0222020433
分析表4_x000D_
</t>
  </si>
  <si>
    <t>0222020403
分析表5_x000D_
經機關核定每日施工期間未達7小時適用</t>
  </si>
  <si>
    <t xml:space="preserve">0222020E33
分析表6_x000D_
</t>
  </si>
  <si>
    <t>0222020E03
分析表7_x000D_
經機關核定每日施工期間未達7小時適用</t>
  </si>
  <si>
    <t xml:space="preserve">02220212N3
分析表8_x000D_
</t>
  </si>
  <si>
    <t xml:space="preserve">023215F00A
分析表9_x000D_
</t>
  </si>
  <si>
    <t xml:space="preserve">023214D00A
分析表10_x000D_
</t>
  </si>
  <si>
    <t xml:space="preserve">02321PWD05AB1
分析表11_x000D_
</t>
  </si>
  <si>
    <t>023210E00A
分析表12_x000D_
經機關核定每日施工期間未達7小時適用</t>
  </si>
  <si>
    <t xml:space="preserve">0232105AN1
分析表13_x000D_
</t>
  </si>
  <si>
    <t xml:space="preserve">023215D00A
分析表14_x000D_
</t>
  </si>
  <si>
    <t xml:space="preserve">023214F00A
分析表15_x000D_
</t>
  </si>
  <si>
    <t xml:space="preserve">0231600Z6A
分析表16_x000D_
</t>
  </si>
  <si>
    <t xml:space="preserve">023160NZ61
分析表17_x000D_
</t>
  </si>
  <si>
    <t>0222010403
分析表18_x000D_
經機關核定每日施工期間未達7小時適用</t>
  </si>
  <si>
    <t>0222010E03
分析表19_x000D_
經機關核定每日施工期間未達7小時適用</t>
  </si>
  <si>
    <t>023214D10A
分析表20_x000D_
經機關核定每日施工期間未達7小時適用</t>
  </si>
  <si>
    <t>023214F01A
分析表21_x000D_
經機關核定每日施工期間未達7小時適用</t>
  </si>
  <si>
    <t>023215D10A
分析表22_x000D_
經機關核定每日施工期間未達7小時適用</t>
  </si>
  <si>
    <t>023215F01A
分析表23_x000D_
經機關核定每日施工期間未達7小時適用</t>
  </si>
  <si>
    <t>0231601Z6A
分析表24_x000D_
經機關核定每日施工期間未達7小時適用</t>
  </si>
  <si>
    <t xml:space="preserve">022201E201
分析表25_x000D_
</t>
  </si>
  <si>
    <t>0222010E01
分析表26_x000D_
經機關核定每日施工期間未達7小時適用</t>
  </si>
  <si>
    <t xml:space="preserve">0296103003
分析表27_x000D_
</t>
  </si>
  <si>
    <t>0296103023
分析表28_x000D_
經機關核定每日施工期間未達7小時適用</t>
  </si>
  <si>
    <t>瀝青混凝土面層刨除，刨除料運費，夜間</t>
  </si>
  <si>
    <t xml:space="preserve">02961030N3
分析表29_x000D_
</t>
  </si>
  <si>
    <t xml:space="preserve">02325C0001
分析表30_x000D_
</t>
  </si>
  <si>
    <t xml:space="preserve">023250A00A
分析表31_x000D_
</t>
  </si>
  <si>
    <t xml:space="preserve">023250500A
分析表32_x000D_
</t>
  </si>
  <si>
    <t xml:space="preserve">023250B001
分析表33_x000D_
</t>
  </si>
  <si>
    <t xml:space="preserve">02234W0002
分析表34_x000D_
</t>
  </si>
  <si>
    <t xml:space="preserve">02233A1003
分析表35_x000D_
</t>
  </si>
  <si>
    <t xml:space="preserve">023310000B
分析表36_x000D_
</t>
  </si>
  <si>
    <t xml:space="preserve">023174000A
分析表37_x000D_
</t>
  </si>
  <si>
    <t xml:space="preserve">02931BDD101
分析表38_x000D_
</t>
  </si>
  <si>
    <t>02323400003
分析表39_x000D_
每日產出餘土量≤2M3使用</t>
  </si>
  <si>
    <t xml:space="preserve">0232340003
分析表40_x000D_
</t>
  </si>
  <si>
    <t xml:space="preserve">023234004A
分析表41_x000D_
</t>
  </si>
  <si>
    <t xml:space="preserve">023234006A
分析表42_x000D_
</t>
  </si>
  <si>
    <t>023232000A
分析表43_x000D_
無棄土費用</t>
  </si>
  <si>
    <t xml:space="preserve">02323PWD0A001
分析表44_x000D_
</t>
  </si>
  <si>
    <t xml:space="preserve">02323H0003
分析表45_x000D_
</t>
  </si>
  <si>
    <t xml:space="preserve">0233600002
分析表46_x000D_
</t>
  </si>
  <si>
    <t xml:space="preserve">027261000B
分析表47_x000D_
</t>
  </si>
  <si>
    <t xml:space="preserve">02319130BA
分析表48_x000D_
</t>
  </si>
  <si>
    <t xml:space="preserve">02319140BA
分析表49_x000D_
</t>
  </si>
  <si>
    <t xml:space="preserve">0274512002
分析表50_x000D_
</t>
  </si>
  <si>
    <t xml:space="preserve">0274711002
分析表51_x000D_
</t>
  </si>
  <si>
    <t>瀝青黏層，快凝油溶瀝青，RC-70，夜間</t>
  </si>
  <si>
    <t xml:space="preserve">02747110N2
分析表52_x000D_
</t>
  </si>
  <si>
    <t xml:space="preserve">0274205303
分析表53_x000D_
</t>
  </si>
  <si>
    <t xml:space="preserve">0274205B03
分析表54_x000D_
</t>
  </si>
  <si>
    <t>0274205B53
分析表55_x000D_
零星工程用</t>
  </si>
  <si>
    <t xml:space="preserve">0274203303
分析表56_x000D_
</t>
  </si>
  <si>
    <t xml:space="preserve">0274203B03
分析表57_x000D_
</t>
  </si>
  <si>
    <t xml:space="preserve">0274203B53
分析表58_x000D_
</t>
  </si>
  <si>
    <t xml:space="preserve">0279605303
分析表59_x000D_
</t>
  </si>
  <si>
    <t xml:space="preserve">0279605313
分析表60_x000D_
</t>
  </si>
  <si>
    <t>密級配改質瀝青混凝土，粗粒料19mm，改質Ⅲ型，零星工程用，夜間</t>
  </si>
  <si>
    <t xml:space="preserve">02796053N3
分析表61_x000D_
</t>
  </si>
  <si>
    <t xml:space="preserve">0279800003
分析表62_x000D_
</t>
  </si>
  <si>
    <t xml:space="preserve">0296613003
分析表63_x000D_
</t>
  </si>
  <si>
    <t xml:space="preserve">02966130B3
分析表64_x000D_
</t>
  </si>
  <si>
    <t>再生瀝青混凝土鋪面，(密級配，30%回收料)，粗粒料9.5mm，零星工程用，夜間</t>
  </si>
  <si>
    <t xml:space="preserve">0296613NB3
分析表65_x000D_
</t>
  </si>
  <si>
    <t xml:space="preserve">0296615003
分析表66_x000D_
</t>
  </si>
  <si>
    <t xml:space="preserve">02966150B3
分析表67_x000D_
</t>
  </si>
  <si>
    <t>再生瀝青混凝土鋪面，(密級配，30%回收料)，粗粒料19.0mm，零星工程用，夜間</t>
  </si>
  <si>
    <t xml:space="preserve">0296615NB3
分析表68_x000D_
</t>
  </si>
  <si>
    <t xml:space="preserve">0295240003
分析表69_x000D_
</t>
  </si>
  <si>
    <t xml:space="preserve">0296140332
分析表70_x000D_
</t>
  </si>
  <si>
    <t>瀝青混凝土面層刨除，厚5cm，刨除機1.2m寬，未含運費，夜間</t>
  </si>
  <si>
    <t xml:space="preserve">02961403N2
分析表71_x000D_
</t>
  </si>
  <si>
    <t xml:space="preserve">0296140432
分析表72_x000D_
</t>
  </si>
  <si>
    <t xml:space="preserve">0296190332
分析表73_x000D_
</t>
  </si>
  <si>
    <t>瀝青混凝土面層刨除，厚10cm，刨除機1.2m寬，未含運費，夜間</t>
  </si>
  <si>
    <t xml:space="preserve">02961903N2
分析表74_x000D_
</t>
  </si>
  <si>
    <t xml:space="preserve">0296190432
分析表75_x000D_
</t>
  </si>
  <si>
    <t xml:space="preserve">02220PWD00021
分析表76_x000D_
</t>
  </si>
  <si>
    <t xml:space="preserve">02220PWD00031
分析表77_x000D_
</t>
  </si>
  <si>
    <t xml:space="preserve">02220#0041
分析表78_x000D_
</t>
  </si>
  <si>
    <t xml:space="preserve">0331023003
分析表79_x000D_
</t>
  </si>
  <si>
    <t>結構用混凝土，預拌，140kgf/cm2，夜間</t>
  </si>
  <si>
    <t xml:space="preserve">03310230N3
分析表80_x000D_
</t>
  </si>
  <si>
    <t xml:space="preserve">0331024003
分析表81_x000D_
</t>
  </si>
  <si>
    <t>0331025003
分析表82_x000D_
本項納入「水泥及其製品類」物價指數調整</t>
  </si>
  <si>
    <t>結構用混凝土，預拌，210kgf/cm2，夜間</t>
  </si>
  <si>
    <t>03310250N3
分析表83_x000D_
本項納入「水泥及其製品類」物價指數調整</t>
  </si>
  <si>
    <t xml:space="preserve">0331026003
分析表84_x000D_
</t>
  </si>
  <si>
    <t>0331027003
分析表85_x000D_
本項納入「水泥及其製品類」物價指數調整</t>
  </si>
  <si>
    <t>結構用混凝土，預拌，280kgf/cm2，夜間</t>
  </si>
  <si>
    <t>03310270N3
分析表86_x000D_
本項納入「水泥及其製品類」物價指數調整</t>
  </si>
  <si>
    <t xml:space="preserve">0331029003
分析表87_x000D_
</t>
  </si>
  <si>
    <t>0331013003
分析表88_x000D_
本項零星工料包含鋼筋混凝土所需之墊塊費用</t>
  </si>
  <si>
    <t>0331014003
分析表89_x000D_
本項零星工料包含鋼筋混凝土所需之墊塊費用</t>
  </si>
  <si>
    <t>0331015003
分析表90_x000D_
本項零星工料包含鋼筋混凝土所需之墊塊費用</t>
  </si>
  <si>
    <t>0331016003
分析表91_x000D_
本項零星工料包含鋼筋混凝土所需之墊塊費用</t>
  </si>
  <si>
    <t>033100E0B3
分析表92_x000D_
本項零星工料包含鋼筋混凝土所需之墊塊費用</t>
  </si>
  <si>
    <t>結構用混凝土，385kgf/cm2，含附屬品及早強劑，夜間</t>
  </si>
  <si>
    <t>033100E0N3
分析表93_x000D_
本項零星工料包含鋼筋混凝土所需之墊塊費用</t>
  </si>
  <si>
    <t>控制性低強度回填材料及澆置，再生粒料</t>
  </si>
  <si>
    <t>03377PWD00A03
分析表94_x000D_
原名稱「控制性低強度回填材料及澆置」</t>
  </si>
  <si>
    <t>控制性低強度回填材料及澆置，再生粒料，夜間</t>
  </si>
  <si>
    <t>03377PWD00An3
分析表95_x000D_
原名稱「控制性低強度回填材料及澆置」</t>
  </si>
  <si>
    <t xml:space="preserve">030521#231
分析表96_x000D_
</t>
  </si>
  <si>
    <t xml:space="preserve">0336020002
分析表97_x000D_
</t>
  </si>
  <si>
    <t>0311021102
分析表98_x000D_
橋面</t>
  </si>
  <si>
    <t>0311021112
分析表99_x000D_
經機關核定每日施工期間未達7小時適用</t>
  </si>
  <si>
    <t>0311021202
分析表100_x000D_
場鑄結構混凝土用模板，(乙種，擋土牆，橋台，車行箱涵等)</t>
  </si>
  <si>
    <t>0311021212
分析表101_x000D_
場鑄結構混凝土用模板，(乙種，擋土牆，橋台，車行箱涵等)，經機關核定每日施工期間未達7小時適用</t>
  </si>
  <si>
    <t xml:space="preserve">0311021302
分析表102_x000D_
</t>
  </si>
  <si>
    <t>0311021312
分析表103_x000D_
經機關核定每日施工期間未達7小時適用</t>
  </si>
  <si>
    <t>清水模板，丙種，夜間</t>
  </si>
  <si>
    <t xml:space="preserve">03110213N2
分析表104_x000D_
</t>
  </si>
  <si>
    <t>0311011202
分析表105_x000D_
擋土牆，橋台，車行箱涵等</t>
  </si>
  <si>
    <t>0311011212
分析表106_x000D_
擋土牆，橋台，車行箱涵等，經機關核定每日施工期間未達7小時適用適用</t>
  </si>
  <si>
    <t>0311011302
分析表107_x000D_
U型構，集水井，排水箱涵等</t>
  </si>
  <si>
    <t>0311011312
分析表108_x000D_
U型構，集水井，排水箱涵等，經機關核定每日施工期間未達7小時適用</t>
  </si>
  <si>
    <t>普通模板，丙種，夜間</t>
  </si>
  <si>
    <t>03110113N2
分析表109_x000D_
U型構，集水井，排水箱涵等</t>
  </si>
  <si>
    <t xml:space="preserve">03110960a1
分析表110_x000D_
</t>
  </si>
  <si>
    <t xml:space="preserve">03110960a2
分析表111_x000D_
</t>
  </si>
  <si>
    <t xml:space="preserve">03110960b1
分析表112_x000D_
</t>
  </si>
  <si>
    <t xml:space="preserve">03110960b2
分析表113_x000D_
</t>
  </si>
  <si>
    <t xml:space="preserve">03110960c1
分析表114_x000D_
</t>
  </si>
  <si>
    <t xml:space="preserve">03110960c2
分析表115_x000D_
</t>
  </si>
  <si>
    <t>03110900a1
分析表116_x000D_
經機關核定每日施工期間未達7小時適用</t>
  </si>
  <si>
    <t>03110900a2
分析表117_x000D_
經機關核定每日施工期間未達7小時適用</t>
  </si>
  <si>
    <t>03110900b1
分析表118_x000D_
經機關核定每日施工期間未達7小時適用</t>
  </si>
  <si>
    <t>03110900b2
分析表119_x000D_
經機關核定每日施工期間未達7小時適用</t>
  </si>
  <si>
    <t>03110900c1
分析表120_x000D_
經機關核定每日施工期間未達7小時適用</t>
  </si>
  <si>
    <t>03110900c2
分析表121_x000D_
經機關核定每日施工期間未達7小時適用</t>
  </si>
  <si>
    <t>鋼製模板，U型溝用，W=40cm，L=120cm，夜間</t>
  </si>
  <si>
    <t xml:space="preserve">0311096Na1
分析表122_x000D_
</t>
  </si>
  <si>
    <t>鋼製模板，U型溝用，W=40cm，L=120cm，H&gt;80cm，夜間</t>
  </si>
  <si>
    <t xml:space="preserve">0311096Na2
分析表123_x000D_
</t>
  </si>
  <si>
    <t>鋼製模板，U型溝用，W=50cm，L=120cm，夜間</t>
  </si>
  <si>
    <t xml:space="preserve">0311096Nb1
分析表124_x000D_
</t>
  </si>
  <si>
    <t>鋼製模板，U型溝用，W=50cm，L=120cm，H&gt;80cm，夜間</t>
  </si>
  <si>
    <t xml:space="preserve">0311096Nb2
分析表125_x000D_
</t>
  </si>
  <si>
    <t>鋼製模板，U型溝用，W=60cm，L=120cm，夜間</t>
  </si>
  <si>
    <t xml:space="preserve">0311096NC1
分析表126_x000D_
</t>
  </si>
  <si>
    <t>鋼製模板，U型溝用，W=60cm，L=120cm，H&gt;80cm，夜間</t>
  </si>
  <si>
    <t xml:space="preserve">0311096NC2
分析表127_x000D_
</t>
  </si>
  <si>
    <t>m2</t>
  </si>
  <si>
    <t xml:space="preserve">0311090012
分析表128_x000D_
</t>
  </si>
  <si>
    <t>鋼製模板，場鑄溝蓋板溝蓋立面開孔用，夜間</t>
  </si>
  <si>
    <t xml:space="preserve">0311090n12
分析表129_x000D_
</t>
  </si>
  <si>
    <t>0321040009
分析表130_x000D_
本項納入「鋼筋」物價指數調整</t>
  </si>
  <si>
    <t>0321030009
分析表131_x000D_
本項納入「鋼筋」物價指數調整</t>
  </si>
  <si>
    <t xml:space="preserve">0321050009
分析表132_x000D_
</t>
  </si>
  <si>
    <t xml:space="preserve">0321060009
分析表133_x000D_
</t>
  </si>
  <si>
    <t>0321031009
分析表134_x000D_
經機關核定每日施工期間未達7小時適用，本項納入「鋼筋」物價指數調整</t>
  </si>
  <si>
    <t>0321041009
分析表135_x000D_
經機關核定每日施工期間未達7小時適用，本項納入「鋼筋」物價指數調整</t>
  </si>
  <si>
    <t>0321051009
分析表136_x000D_
經機關核定每日施工期間未達7小時適用</t>
  </si>
  <si>
    <t>0321061009
分析表137_x000D_
經機關核定每日施工期間未達7小時適用</t>
  </si>
  <si>
    <t>鋼筋，SD280W，夜間</t>
  </si>
  <si>
    <t>03210400N9
分析表138_x000D_
本項納入「鋼筋」物價指數調整</t>
  </si>
  <si>
    <t>鋼筋，SD420W，夜間</t>
  </si>
  <si>
    <t xml:space="preserve">03210600N9
分析表139_x000D_
</t>
  </si>
  <si>
    <t xml:space="preserve">05500R1009
分析表140_x000D_
</t>
  </si>
  <si>
    <t xml:space="preserve">05500Pc009
分析表141_x000D_
</t>
  </si>
  <si>
    <t xml:space="preserve">05500Pd009
分析表142_x000D_
</t>
  </si>
  <si>
    <t xml:space="preserve">03110700h2
分析表143_x000D_
</t>
  </si>
  <si>
    <t xml:space="preserve">03110700J2
分析表144_x000D_
</t>
  </si>
  <si>
    <t>02472PWD02301
分析表145_x000D_
本項零星工料包含鋼筋籠外側所需之間隔片費用</t>
  </si>
  <si>
    <t>02472PWD03301
分析表146_x000D_
本項零星工料包含鋼筋籠外側所需之間隔片費用</t>
  </si>
  <si>
    <t>02472PWD04301
分析表147_x000D_
本項零星工料包含鋼筋籠外側所需之間隔片費用</t>
  </si>
  <si>
    <t xml:space="preserve">0225514811
分析表148_x000D_
</t>
  </si>
  <si>
    <t xml:space="preserve">0225513611
分析表149_x000D_
</t>
  </si>
  <si>
    <t xml:space="preserve">0225512711
分析表150_x000D_
</t>
  </si>
  <si>
    <t xml:space="preserve">0225630001
分析表151_x000D_
</t>
  </si>
  <si>
    <t xml:space="preserve">0225620022
分析表152_x000D_
</t>
  </si>
  <si>
    <t>0225540321
分析表153_x000D_
每M2.5片</t>
  </si>
  <si>
    <t>0225540121
分析表154_x000D_
每M2.5片</t>
  </si>
  <si>
    <t xml:space="preserve">0225540621
分析表155_x000D_
</t>
  </si>
  <si>
    <t xml:space="preserve">0225540921
分析表156_x000D_
</t>
  </si>
  <si>
    <t xml:space="preserve">0225540D21
分析表157_x000D_
</t>
  </si>
  <si>
    <t xml:space="preserve">0225540G21
分析表158_x000D_
</t>
  </si>
  <si>
    <t>0225520001
分析表159_x000D_
租用</t>
  </si>
  <si>
    <t>0225530001
分析表160_x000D_
租用</t>
  </si>
  <si>
    <t xml:space="preserve">02255200V1
分析表161_x000D_
</t>
  </si>
  <si>
    <t xml:space="preserve">02255300V1
分析表162_x000D_
</t>
  </si>
  <si>
    <t>0225540051
分析表163_x000D_
含運費</t>
  </si>
  <si>
    <t xml:space="preserve">02255400U1
分析表164_x000D_
</t>
  </si>
  <si>
    <t xml:space="preserve">0225520E31
分析表165_x000D_
</t>
  </si>
  <si>
    <t xml:space="preserve">0225530E31
分析表166_x000D_
</t>
  </si>
  <si>
    <t xml:space="preserve">0225540E31
分析表167_x000D_
</t>
  </si>
  <si>
    <t xml:space="preserve">02386PWDA1302
分析表168_x000D_
</t>
  </si>
  <si>
    <t xml:space="preserve">0922010012
分析表169_x000D_
</t>
  </si>
  <si>
    <t xml:space="preserve">0922020012
分析表170_x000D_
</t>
  </si>
  <si>
    <t>0922030042
分析表171_x000D_
(適用施作面積200M2以上)</t>
  </si>
  <si>
    <t xml:space="preserve">0406110003
分析表172_x000D_
</t>
  </si>
  <si>
    <t xml:space="preserve">0406120003
分析表173_x000D_
</t>
  </si>
  <si>
    <t xml:space="preserve">0406130003
分析表174_x000D_
</t>
  </si>
  <si>
    <t xml:space="preserve">0238630302
分析表175_x000D_
</t>
  </si>
  <si>
    <t xml:space="preserve">0238630402
分析表176_x000D_
</t>
  </si>
  <si>
    <t xml:space="preserve">0238630502
分析表177_x000D_
</t>
  </si>
  <si>
    <t xml:space="preserve">0922030012
分析表178_x000D_
</t>
  </si>
  <si>
    <t xml:space="preserve">02374CD008
分析表179_x000D_
</t>
  </si>
  <si>
    <t xml:space="preserve">0234420701
分析表180_x000D_
</t>
  </si>
  <si>
    <t xml:space="preserve">02381A010A
分析表181_x000D_
</t>
  </si>
  <si>
    <t xml:space="preserve">0337225002
分析表182_x000D_
</t>
  </si>
  <si>
    <t xml:space="preserve">0337201003
分析表183_x000D_
</t>
  </si>
  <si>
    <t xml:space="preserve">033722V022
分析表184_x000D_
</t>
  </si>
  <si>
    <t xml:space="preserve">03372PWDB0SAE
分析表185_x000D_
</t>
  </si>
  <si>
    <t xml:space="preserve">0335021002
分析表186_x000D_
</t>
  </si>
  <si>
    <t xml:space="preserve">026102D321
分析表187_x000D_
</t>
  </si>
  <si>
    <t xml:space="preserve">026102F321
分析表188_x000D_
</t>
  </si>
  <si>
    <t xml:space="preserve">026102H321
分析表189_x000D_
</t>
  </si>
  <si>
    <t xml:space="preserve">026102L321
分析表190_x000D_
</t>
  </si>
  <si>
    <t xml:space="preserve">026102M321
分析表191_x000D_
</t>
  </si>
  <si>
    <t xml:space="preserve">026102N321
分析表192_x000D_
</t>
  </si>
  <si>
    <t xml:space="preserve">026102P321
分析表193_x000D_
</t>
  </si>
  <si>
    <t xml:space="preserve">026102Q321
分析表194_x000D_
</t>
  </si>
  <si>
    <t xml:space="preserve">026102R321
分析表195_x000D_
</t>
  </si>
  <si>
    <t xml:space="preserve">026100B90H
分析表196_x000D_
</t>
  </si>
  <si>
    <t xml:space="preserve">026100BB0H
分析表197_x000D_
</t>
  </si>
  <si>
    <t xml:space="preserve">026100BD0H
分析表198_x000D_
</t>
  </si>
  <si>
    <t xml:space="preserve">026100BF0H
分析表199_x000D_
</t>
  </si>
  <si>
    <t xml:space="preserve">026100BG0H
分析表200_x000D_
</t>
  </si>
  <si>
    <t xml:space="preserve">026100BH0H
分析表201_x000D_
</t>
  </si>
  <si>
    <t xml:space="preserve">026100BJ0H
分析表202_x000D_
</t>
  </si>
  <si>
    <t xml:space="preserve">026100BL0H
分析表203_x000D_
</t>
  </si>
  <si>
    <t xml:space="preserve">034006100A
分析表204_x000D_
</t>
  </si>
  <si>
    <t xml:space="preserve">034006300A
分析表205_x000D_
</t>
  </si>
  <si>
    <t xml:space="preserve">034006500A
分析表206_x000D_
</t>
  </si>
  <si>
    <t xml:space="preserve">034006700A
分析表207_x000D_
</t>
  </si>
  <si>
    <t xml:space="preserve">034006800A
分析表208_x000D_
</t>
  </si>
  <si>
    <t xml:space="preserve">034007200A
分析表209_x000D_
</t>
  </si>
  <si>
    <t xml:space="preserve">034007400A
分析表210_x000D_
</t>
  </si>
  <si>
    <t xml:space="preserve">034007600A
分析表211_x000D_
</t>
  </si>
  <si>
    <t xml:space="preserve">034007800A
分析表212_x000D_
</t>
  </si>
  <si>
    <t xml:space="preserve">034003112A
分析表213_x000D_
</t>
  </si>
  <si>
    <t xml:space="preserve">034003212A
分析表214_x000D_
</t>
  </si>
  <si>
    <t xml:space="preserve">034003312A
分析表215_x000D_
</t>
  </si>
  <si>
    <t xml:space="preserve">034003122A
分析表216_x000D_
</t>
  </si>
  <si>
    <t xml:space="preserve">034003222A
分析表217_x000D_
</t>
  </si>
  <si>
    <t xml:space="preserve">034003322A
分析表218_x000D_
</t>
  </si>
  <si>
    <t xml:space="preserve">034004112A
分析表219_x000D_
</t>
  </si>
  <si>
    <t xml:space="preserve">034004212A
分析表220_x000D_
</t>
  </si>
  <si>
    <t xml:space="preserve">034004312A
分析表221_x000D_
</t>
  </si>
  <si>
    <t xml:space="preserve">034004122A
分析表222_x000D_
</t>
  </si>
  <si>
    <t xml:space="preserve">034004222A
分析表223_x000D_
</t>
  </si>
  <si>
    <t xml:space="preserve">034004322A
分析表224_x000D_
</t>
  </si>
  <si>
    <t>鍍鋅格柵板及框座，W=40cm，改良型重力式鍍鋅格柵蓋板，(框54cm，蓋45cm)</t>
  </si>
  <si>
    <t xml:space="preserve">055307B008
分析表225_x000D_
</t>
  </si>
  <si>
    <t>鍍鋅格柵板及框座，W=50cm，改良型重力式鍍鋅格柵蓋板，(框64cm，蓋55cm)</t>
  </si>
  <si>
    <t xml:space="preserve">055307c008
分析表226_x000D_
</t>
  </si>
  <si>
    <t>鍍鋅格柵板及框座，W=60cm，改良型重力式鍍鋅格柵蓋板，(框74cm，蓋65cm)</t>
  </si>
  <si>
    <t xml:space="preserve">055307D008
分析表227_x000D_
</t>
  </si>
  <si>
    <t xml:space="preserve">0553082008
分析表228_x000D_
</t>
  </si>
  <si>
    <t xml:space="preserve">0553083008
分析表229_x000D_
</t>
  </si>
  <si>
    <t xml:space="preserve">0553072008
分析表230_x000D_
</t>
  </si>
  <si>
    <t xml:space="preserve">0553073008
分析表231_x000D_
</t>
  </si>
  <si>
    <t xml:space="preserve">0553074008
分析表232_x000D_
</t>
  </si>
  <si>
    <t xml:space="preserve">0553070009
分析表233_x000D_
</t>
  </si>
  <si>
    <t xml:space="preserve">0553062008
分析表234_x000D_
</t>
  </si>
  <si>
    <t xml:space="preserve">0553063008
分析表235_x000D_
</t>
  </si>
  <si>
    <t xml:space="preserve">0553064008
分析表236_x000D_
</t>
  </si>
  <si>
    <t xml:space="preserve">03400K102A
分析表237_x000D_
</t>
  </si>
  <si>
    <t xml:space="preserve">03400M102A
分析表238_x000D_
</t>
  </si>
  <si>
    <t xml:space="preserve">02631P110C
分析表239_x000D_
</t>
  </si>
  <si>
    <t xml:space="preserve">02631P212C
分析表240_x000D_
</t>
  </si>
  <si>
    <t xml:space="preserve">02631P211C
分析表241_x000D_
</t>
  </si>
  <si>
    <t xml:space="preserve">055626021C
分析表242_x000D_
</t>
  </si>
  <si>
    <t xml:space="preserve">055626011C
分析表243_x000D_
</t>
  </si>
  <si>
    <t xml:space="preserve">02631T210C
分析表244_x000D_
</t>
  </si>
  <si>
    <t xml:space="preserve">02631T220C
分析表245_x000D_
</t>
  </si>
  <si>
    <t xml:space="preserve">02631T110C
分析表246_x000D_
</t>
  </si>
  <si>
    <t xml:space="preserve">02631S000C
分析表247_x000D_
</t>
  </si>
  <si>
    <t xml:space="preserve">0277850021
分析表248_x000D_
</t>
  </si>
  <si>
    <t xml:space="preserve">02631J0000C
分析表249_x000D_
</t>
  </si>
  <si>
    <t>06100M0002
分析表250_x000D_
# T=4cm W=14cm</t>
  </si>
  <si>
    <t>06100M000B
分析表251_x000D_
# T=4cm W=14cm</t>
  </si>
  <si>
    <t>0991002002
分析表252_x000D_
#</t>
  </si>
  <si>
    <t xml:space="preserve">0315030001
分析表253_x000D_
</t>
  </si>
  <si>
    <t xml:space="preserve">031503E001
分析表254_x000D_
</t>
  </si>
  <si>
    <t>伸縮縫，側溝工程用，夜間</t>
  </si>
  <si>
    <t xml:space="preserve">031503E0N1
分析表255_x000D_
</t>
  </si>
  <si>
    <t xml:space="preserve">0978000002
分析表256_x000D_
</t>
  </si>
  <si>
    <t xml:space="preserve">0978100002
分析表257_x000D_
</t>
  </si>
  <si>
    <t xml:space="preserve">0978200002
分析表258_x000D_
</t>
  </si>
  <si>
    <t xml:space="preserve">02631N201B
分析表259_x000D_
</t>
  </si>
  <si>
    <t xml:space="preserve">02631N202B
分析表260_x000D_
</t>
  </si>
  <si>
    <t xml:space="preserve">02631N101B
分析表261_x000D_
</t>
  </si>
  <si>
    <t xml:space="preserve">02631N102B
分析表262_x000D_
</t>
  </si>
  <si>
    <t xml:space="preserve">02631N301B
分析表263_x000D_
</t>
  </si>
  <si>
    <t xml:space="preserve">02631N302B
分析表264_x000D_
</t>
  </si>
  <si>
    <t xml:space="preserve">02610ZT002
分析表265_x000D_
</t>
  </si>
  <si>
    <t xml:space="preserve">028432A001
分析表266_x000D_
</t>
  </si>
  <si>
    <t xml:space="preserve">028432B001
分析表267_x000D_
</t>
  </si>
  <si>
    <t xml:space="preserve">028432C001
分析表268_x000D_
</t>
  </si>
  <si>
    <t xml:space="preserve">028432D001
分析表269_x000D_
</t>
  </si>
  <si>
    <t xml:space="preserve">0154011102
分析表270_x000D_
</t>
  </si>
  <si>
    <t>0154011202
分析表271_x000D_
需符合中華民國國家標準4750</t>
  </si>
  <si>
    <t xml:space="preserve">0153210012
分析表272_x000D_
</t>
  </si>
  <si>
    <t xml:space="preserve">01532AB002
分析表273_x000D_
</t>
  </si>
  <si>
    <t>01532C1012
分析表274_x000D_
通行寬度60cm</t>
  </si>
  <si>
    <t>01532C1102
分析表275_x000D_
通行寬度90cm</t>
  </si>
  <si>
    <t xml:space="preserve">01532AD002
分析表276_x000D_
</t>
  </si>
  <si>
    <t xml:space="preserve">01532AQ002
分析表277_x000D_
</t>
  </si>
  <si>
    <t xml:space="preserve">01532AT002
分析表278_x000D_
</t>
  </si>
  <si>
    <t xml:space="preserve">15110X150R08
分析表279_x000D_
</t>
  </si>
  <si>
    <t xml:space="preserve">05500h0R0A
分析表280_x000D_
</t>
  </si>
  <si>
    <t xml:space="preserve">05500f4R0A
分析表281_x000D_
</t>
  </si>
  <si>
    <t xml:space="preserve">05500FAA14
分析表282_x000D_
</t>
  </si>
  <si>
    <t>05500FAB14
分析表283_x000D_
每M3.3支踏步計</t>
  </si>
  <si>
    <t xml:space="preserve">05500FAC18
分析表284_x000D_
</t>
  </si>
  <si>
    <t>02900B100C
分析表285_x000D_
穴孔：D=20CM， H=20CM</t>
  </si>
  <si>
    <t xml:space="preserve">0292012C02
分析表286_x000D_
</t>
  </si>
  <si>
    <t xml:space="preserve">0292000U02
分析表287_x000D_
</t>
  </si>
  <si>
    <t xml:space="preserve">0422200002
分析表288_x000D_
</t>
  </si>
  <si>
    <t>產品，植栽，透氣管，HDPE</t>
  </si>
  <si>
    <t xml:space="preserve">M02900U105A0
</t>
  </si>
  <si>
    <t xml:space="preserve">02233A0002
分析表289_x000D_
</t>
  </si>
  <si>
    <t xml:space="preserve">0223102002
分析表290_x000D_
</t>
  </si>
  <si>
    <t xml:space="preserve">0223109002
分析表291_x000D_
</t>
  </si>
  <si>
    <t xml:space="preserve">02234A0001
分析表292_x000D_
</t>
  </si>
  <si>
    <t>029351C32A
分析表293_x000D_
樹高8-10公尺，修剪前樹寬3-5公尺</t>
  </si>
  <si>
    <t xml:space="preserve">02234A0002
分析表294_x000D_
</t>
  </si>
  <si>
    <t xml:space="preserve">02234A0003
分析表295_x000D_
</t>
  </si>
  <si>
    <t>02240B100D
分析表296_x000D_
原名稱：袪水，臨時排水，箱涵用</t>
  </si>
  <si>
    <t>02240B200D
分析表297_x000D_
原名稱：袪水，臨時排水，RCP用</t>
  </si>
  <si>
    <t xml:space="preserve">01271AB101
分析表298_x000D_
</t>
  </si>
  <si>
    <t xml:space="preserve">01271AB201
分析表299_x000D_
</t>
  </si>
  <si>
    <t>01510522BD
分析表300_x000D_
(含油料及運費)</t>
  </si>
  <si>
    <t>01510533BD
分析表301_x000D_
(含油料及運費)</t>
  </si>
  <si>
    <t>01510532BD
分析表302_x000D_
(含油料及運費)</t>
  </si>
  <si>
    <t>01572D0007
分析表303_x000D_
廢方另計</t>
  </si>
  <si>
    <t xml:space="preserve">0226210003
分析表304_x000D_
</t>
  </si>
  <si>
    <t xml:space="preserve">022180A005
分析表305_x000D_
</t>
  </si>
  <si>
    <t>02742B0H03
分析表306_x000D_
#</t>
  </si>
  <si>
    <t xml:space="preserve">0151111021
分析表307_x000D_
</t>
  </si>
  <si>
    <t xml:space="preserve">0151112021
分析表308_x000D_
</t>
  </si>
  <si>
    <t xml:space="preserve">0151111221
分析表309_x000D_
</t>
  </si>
  <si>
    <t xml:space="preserve">0151112221
分析表310_x000D_
</t>
  </si>
  <si>
    <t>工地處理，預拌混凝土緊急供料動員費</t>
  </si>
  <si>
    <t xml:space="preserve">0151132204
</t>
  </si>
  <si>
    <t>臨時設施，雜項工程，工地處理，施工動復員，重大緊急搶修案</t>
  </si>
  <si>
    <t>01510CC13G
未達8小時適用</t>
  </si>
  <si>
    <t xml:space="preserve">0221071026
分析表311_x000D_
</t>
  </si>
  <si>
    <t xml:space="preserve">0221071123
分析表312_x000D_
</t>
  </si>
  <si>
    <t xml:space="preserve">0221072026
分析表313_x000D_
</t>
  </si>
  <si>
    <t xml:space="preserve">0221072123
分析表314_x000D_
</t>
  </si>
  <si>
    <t xml:space="preserve">0151113021
分析表315_x000D_
</t>
  </si>
  <si>
    <t xml:space="preserve">0151113221
分析表316_x000D_
</t>
  </si>
  <si>
    <t xml:space="preserve">02742000S3
分析表317_x000D_
</t>
  </si>
  <si>
    <t xml:space="preserve">0274200BS3
分析表318_x000D_
</t>
  </si>
  <si>
    <t xml:space="preserve">0274200NS3
分析表319_x000D_
</t>
  </si>
  <si>
    <t xml:space="preserve">027420BNS3
分析表320_x000D_
</t>
  </si>
  <si>
    <t xml:space="preserve">02742040B3
分析表321_x000D_
</t>
  </si>
  <si>
    <t xml:space="preserve">02742050B3
分析表322_x000D_
</t>
  </si>
  <si>
    <t xml:space="preserve">02742D3003
分析表323_x000D_
</t>
  </si>
  <si>
    <t xml:space="preserve">02742D5003
分析表324_x000D_
</t>
  </si>
  <si>
    <t xml:space="preserve">0274293G03
分析表325_x000D_
</t>
  </si>
  <si>
    <t xml:space="preserve">0296150001
分析表326_x000D_
</t>
  </si>
  <si>
    <t xml:space="preserve">0296150N01
分析表327_x000D_
</t>
  </si>
  <si>
    <t xml:space="preserve">0250111111
分析表328_x000D_
</t>
  </si>
  <si>
    <t xml:space="preserve">0250111121
分析表329_x000D_
</t>
  </si>
  <si>
    <t xml:space="preserve">0250111211
分析表330_x000D_
</t>
  </si>
  <si>
    <t xml:space="preserve">0250111221
分析表331_x000D_
</t>
  </si>
  <si>
    <t xml:space="preserve">0250111311
分析表332_x000D_
</t>
  </si>
  <si>
    <t xml:space="preserve">0250111321
分析表333_x000D_
</t>
  </si>
  <si>
    <t>1.415</t>
  </si>
  <si>
    <t xml:space="preserve">0250112411
分析表334_x000D_
</t>
  </si>
  <si>
    <t>1.416</t>
  </si>
  <si>
    <t xml:space="preserve">0250112421
分析表335_x000D_
</t>
  </si>
  <si>
    <t>1.417</t>
  </si>
  <si>
    <t xml:space="preserve">0250112511
分析表336_x000D_
</t>
  </si>
  <si>
    <t>1.418</t>
  </si>
  <si>
    <t xml:space="preserve">0250112521
分析表337_x000D_
</t>
  </si>
  <si>
    <t>1.419</t>
  </si>
  <si>
    <t xml:space="preserve">0172521202
分析表338_x000D_
</t>
  </si>
  <si>
    <t>1.420</t>
  </si>
  <si>
    <t>1.421</t>
  </si>
  <si>
    <t>013210000B
分析表339_x000D_
含路證申請、回報及配合道路挖掘之相關作業費用</t>
  </si>
  <si>
    <t>1.422</t>
  </si>
  <si>
    <t>013210100b
分析表340_x000D_
含路證申請、回報及配合道路挖掘之相關作業費用</t>
  </si>
  <si>
    <t>1.423</t>
  </si>
  <si>
    <t>01564L4001
分析表341_x000D_
高度2.4m</t>
  </si>
  <si>
    <t>1.424</t>
  </si>
  <si>
    <t>01564C4001
分析表342_x000D_
高度2.4m</t>
  </si>
  <si>
    <t>1.425</t>
  </si>
  <si>
    <t>1.426</t>
  </si>
  <si>
    <t>1.427</t>
  </si>
  <si>
    <t>1.428</t>
  </si>
  <si>
    <t xml:space="preserve">015103100C
分析表343_x000D_
</t>
  </si>
  <si>
    <t>1.429</t>
  </si>
  <si>
    <t>1.430</t>
  </si>
  <si>
    <t>1.431</t>
  </si>
  <si>
    <t>1.432</t>
  </si>
  <si>
    <t xml:space="preserve">01556H1001
分析表344_x000D_
</t>
  </si>
  <si>
    <t>1.433</t>
  </si>
  <si>
    <t>01556C00A1
分析表345_x000D_
使用10次</t>
  </si>
  <si>
    <t>1.434</t>
  </si>
  <si>
    <t xml:space="preserve">0289190002
分析表346_x000D_
</t>
  </si>
  <si>
    <t>1.435</t>
  </si>
  <si>
    <t xml:space="preserve">02891A5007
分析表347_x000D_
</t>
  </si>
  <si>
    <t>1.436</t>
  </si>
  <si>
    <t xml:space="preserve">0289100202
分析表348_x000D_
</t>
  </si>
  <si>
    <t>1.437</t>
  </si>
  <si>
    <t xml:space="preserve">05500p4008
分析表349_x000D_
</t>
  </si>
  <si>
    <t>1.438</t>
  </si>
  <si>
    <t xml:space="preserve">05500S4601
分析表350_x000D_
</t>
  </si>
  <si>
    <t>1.439</t>
  </si>
  <si>
    <t xml:space="preserve">028915WE13
分析表351_x000D_
</t>
  </si>
  <si>
    <t>1.440</t>
  </si>
  <si>
    <t xml:space="preserve">0289821205
分析表352_x000D_
</t>
  </si>
  <si>
    <t>1.441</t>
  </si>
  <si>
    <t xml:space="preserve">02898C2204
分析表353_x000D_
</t>
  </si>
  <si>
    <t>1.442</t>
  </si>
  <si>
    <t>1.443</t>
  </si>
  <si>
    <t>0289250007
分析表354_x000D_
#</t>
  </si>
  <si>
    <t>1.444</t>
  </si>
  <si>
    <t>02899#B001
分析表355_x000D_
D=8cm ±5%，H=75cm ±5%</t>
  </si>
  <si>
    <t>1.445</t>
  </si>
  <si>
    <t xml:space="preserve">01556M100A
分析表356_x000D_
</t>
  </si>
  <si>
    <t>1.446</t>
  </si>
  <si>
    <t xml:space="preserve">01556M200A
分析表357_x000D_
</t>
  </si>
  <si>
    <t>1.447</t>
  </si>
  <si>
    <t>0289205007
分析表358_x000D_
#</t>
  </si>
  <si>
    <t>1.448</t>
  </si>
  <si>
    <t xml:space="preserve">0289821302
分析表359_x000D_
</t>
  </si>
  <si>
    <t>1.449</t>
  </si>
  <si>
    <t xml:space="preserve">0289821312
分析表360_x000D_
</t>
  </si>
  <si>
    <t>1.450</t>
  </si>
  <si>
    <t>1.451</t>
  </si>
  <si>
    <t>1.452</t>
  </si>
  <si>
    <t>品質管理，材料設備檢驗費，土木工程及建築類檢驗，標線鑽心及取樣孔恢復</t>
  </si>
  <si>
    <t xml:space="preserve">01450D1ZZ8
</t>
  </si>
  <si>
    <t>品質管理，材料設備檢驗費，土木工程及建築類檢驗，標線試驗(含厚度、玻璃珠含量及折射率，1組5個)</t>
  </si>
  <si>
    <t xml:space="preserve">01450D1Z48
</t>
  </si>
  <si>
    <t>品質管制，材料設備檢驗費，土木工程及建築類檢驗，CLSM試驗</t>
  </si>
  <si>
    <t xml:space="preserve">01450D1F18
</t>
  </si>
  <si>
    <t>品質管理，材料設備檢驗費，非鐵金屬冶煉類檢驗，鍍鋅格柵蓋板檢驗</t>
  </si>
  <si>
    <t xml:space="preserve">01450D9008
</t>
  </si>
  <si>
    <t>品質管理，材料設備檢驗費，非鐵金屬冶煉類檢驗，H2025熱浸鍍鋅檢驗法</t>
  </si>
  <si>
    <t xml:space="preserve">01450D91A8
</t>
  </si>
  <si>
    <t>品質管理，材料設備檢驗費，化學工業類檢驗，K6140聚氯乙烯塑膠硬管檢驗法</t>
  </si>
  <si>
    <t xml:space="preserve">01450DB6B8
</t>
  </si>
  <si>
    <t>2.25</t>
  </si>
  <si>
    <t>2.26</t>
  </si>
  <si>
    <t>2.27</t>
  </si>
  <si>
    <t xml:space="preserve">01572F000E
分析表361_x000D_
</t>
  </si>
  <si>
    <t xml:space="preserve">01572H100F
分析表362_x000D_
</t>
  </si>
  <si>
    <t>依工程費×2.86%,以新製品或完整無缺（重新油漆或清理過後）之堪用品進場。（本項決標後依投標須知第八十四點規定，依本機關原列預算單價以核定底價與預算總價之比例調整之，不隨得標廠商標價調整，本欄所列百分比亦隨同調整）</t>
  </si>
  <si>
    <t>依工程費×1.63%</t>
  </si>
  <si>
    <t>依工程費×1.96</t>
  </si>
  <si>
    <t xml:space="preserve">本工程包含有價廢料變賣項，係將本工程所產生之有價廢料變賣予廠商，該款項得標廠商得以現金方式繳納或由工程估驗款內扣抵，各項單價不得因決標金額所做比例調整而變動，預估數量計算所得總售價不列入標單暨發包契約總價，變賣項目及預估數量條列如後：
  「瀝青混凝土刨除料變賣」，單價：575.00元/M3，預估數量：60.00M3，複價：34,500.00元。
 預估變賣總價為：34,500.00元，惟發包後則由得標廠商依實做數量乘單價以結算總售價。 </t>
  </si>
  <si>
    <t>機具操作技術工，挖掘機</t>
  </si>
  <si>
    <t>L000005100011
原名稱：操作手，開挖機</t>
  </si>
  <si>
    <t>普通工</t>
  </si>
  <si>
    <t>L000006100001
原名稱：小工</t>
  </si>
  <si>
    <t xml:space="preserve">0222010N23
</t>
  </si>
  <si>
    <t>普通工，夜間</t>
  </si>
  <si>
    <t>L000006102001
原名稱：小工，夜間</t>
  </si>
  <si>
    <t xml:space="preserve">L000006000001
</t>
  </si>
  <si>
    <t>L000005300021
#</t>
  </si>
  <si>
    <t xml:space="preserve">02961030N3
</t>
  </si>
  <si>
    <t>駕駛，大貨車，夜間</t>
  </si>
  <si>
    <t>L000005302021
#</t>
  </si>
  <si>
    <t>機具操作技術工</t>
  </si>
  <si>
    <t>L000005100001
原名稱：操作手，重機械</t>
  </si>
  <si>
    <t>機具操作技術工，推土機</t>
  </si>
  <si>
    <t>L000005100021
原名稱：操作手，推土機</t>
  </si>
  <si>
    <t>機具操作技術工，壓路機</t>
  </si>
  <si>
    <t>L000005100071
原名稱：操作手，壓路機</t>
  </si>
  <si>
    <t>機具操作技術工，壓實機</t>
  </si>
  <si>
    <t>L0000051000N1
原名稱：操作手，壓實機</t>
  </si>
  <si>
    <t>機具操作技術工，機動平土機</t>
  </si>
  <si>
    <t>L000005100031
原名稱：操作手，機動平土機</t>
  </si>
  <si>
    <t>機具操作技術工，瀝青撒佈機</t>
  </si>
  <si>
    <t>L000005100091
原名稱：操作手，瀝青撒佈機</t>
  </si>
  <si>
    <t xml:space="preserve">02747110N2
</t>
  </si>
  <si>
    <t>機具操作技術工，瀝青撒佈機，夜間</t>
  </si>
  <si>
    <t>L000005100N91
原名稱：操作手，瀝青撒佈機</t>
  </si>
  <si>
    <t>瀝青混凝土舖面，鋪築及滾壓</t>
  </si>
  <si>
    <t>瀝青混凝土舖面，黏度AC(1)-20，舖築及滾壓</t>
  </si>
  <si>
    <t>瀝青混凝土舖面，黏度AC(1)-20，舖築及滾壓，夜間</t>
  </si>
  <si>
    <t>027420NBA3
零星工程用</t>
  </si>
  <si>
    <t xml:space="preserve">02796053N3
</t>
  </si>
  <si>
    <t xml:space="preserve">0296613NB3
</t>
  </si>
  <si>
    <t xml:space="preserve">0296615NB3
</t>
  </si>
  <si>
    <t xml:space="preserve">02961403N2
</t>
  </si>
  <si>
    <t>駕駛，清掃機，夜間</t>
  </si>
  <si>
    <t xml:space="preserve">L000005302041
</t>
  </si>
  <si>
    <t xml:space="preserve">02961903N2
</t>
  </si>
  <si>
    <t>機具操作技術工，切割機</t>
  </si>
  <si>
    <t>L0000051000D1
原名稱：操作手，切割機</t>
  </si>
  <si>
    <t>混凝土技術工</t>
  </si>
  <si>
    <t xml:space="preserve">L000005D00001
</t>
  </si>
  <si>
    <t xml:space="preserve">03310230N3
</t>
  </si>
  <si>
    <t>混凝土技術工，夜間</t>
  </si>
  <si>
    <t xml:space="preserve">L000005D00N01
</t>
  </si>
  <si>
    <t>03310250N3
本項納入「水泥及其製品類」物價指數調整</t>
  </si>
  <si>
    <t>M0305046103
本項納入「水泥及其製品類」物價指數調整</t>
  </si>
  <si>
    <t>03310270N3
本項納入「水泥及其製品類」物價指數調整</t>
  </si>
  <si>
    <t>033100E0N3
本項零星工料包含鋼筋混凝土所需之墊塊費用</t>
  </si>
  <si>
    <t>混凝土作業工，攪和，夜間</t>
  </si>
  <si>
    <t xml:space="preserve">L000006900N11
</t>
  </si>
  <si>
    <t>混凝土作業工，澆置，夜間</t>
  </si>
  <si>
    <t xml:space="preserve">L000006900N21
</t>
  </si>
  <si>
    <t>03377PWD00A03
原名稱「控制性低強度回填材料及澆置」</t>
  </si>
  <si>
    <t>產品，控制性低強度回填材料(CLSM)，含焚化底渣再生粒料</t>
  </si>
  <si>
    <t xml:space="preserve">M03377PWD00A03
</t>
  </si>
  <si>
    <t>03377PWD00An3
原名稱「控制性低強度回填材料及澆置」</t>
  </si>
  <si>
    <t>M0605021013
板材厚度為15mm</t>
  </si>
  <si>
    <t>模板技術工</t>
  </si>
  <si>
    <t>L000005P00001
原名稱：模板安裝工</t>
  </si>
  <si>
    <t xml:space="preserve">03110213N2
</t>
  </si>
  <si>
    <t>模板技術工，夜間</t>
  </si>
  <si>
    <t>L000005P00N01
原名稱：模板安裝工</t>
  </si>
  <si>
    <t>03110113N2
U型構，集水井，排水箱涵等</t>
  </si>
  <si>
    <t xml:space="preserve">0311096Na1
</t>
  </si>
  <si>
    <t xml:space="preserve">0311096Na2
</t>
  </si>
  <si>
    <t xml:space="preserve">0311096Nb1
</t>
  </si>
  <si>
    <t xml:space="preserve">0311096Nb2
</t>
  </si>
  <si>
    <t xml:space="preserve">0311096NC1
</t>
  </si>
  <si>
    <t xml:space="preserve">0311096NC2
</t>
  </si>
  <si>
    <t xml:space="preserve">0311090n12
</t>
  </si>
  <si>
    <t>鋼筋技術工，鋼筋剪裁</t>
  </si>
  <si>
    <t>L000005K00011
原名稱：鋼筋彎紮工，鋼筋剪裁</t>
  </si>
  <si>
    <t>鋼筋技術工</t>
  </si>
  <si>
    <t>L000005K00001
原名稱：鋼筋彎紮工</t>
  </si>
  <si>
    <t>M0321030005
本項納入「鋼筋」物價指數調整</t>
  </si>
  <si>
    <t>03210400N9
本項納入「鋼筋」物價指數調整</t>
  </si>
  <si>
    <t>鋼筋技術工，夜間</t>
  </si>
  <si>
    <t>L000005K00N01
原名稱：鋼筋彎紮工</t>
  </si>
  <si>
    <t>鋼筋技術工，鋼筋剪裁，夜間</t>
  </si>
  <si>
    <t>L000005K00N11
原名稱：鋼筋彎紮工，鋼筋剪裁</t>
  </si>
  <si>
    <t xml:space="preserve">03210600N9
</t>
  </si>
  <si>
    <t>02323H0003
分析表45</t>
  </si>
  <si>
    <t>0321040009
分析表130
本項納入「鋼筋」物價指數調整</t>
  </si>
  <si>
    <t>0321060009
分析表133</t>
  </si>
  <si>
    <t>0406130003
分析表174</t>
  </si>
  <si>
    <t>0406110003
分析表172</t>
  </si>
  <si>
    <t>0406120003
分析表173</t>
  </si>
  <si>
    <t>0331023003
分析表79</t>
  </si>
  <si>
    <t>02386PWDA1302
分析表168</t>
  </si>
  <si>
    <t>0337201003
分析表183</t>
  </si>
  <si>
    <t>033722V022
分析表184</t>
  </si>
  <si>
    <t>03372PWDB0SAE
分析表185</t>
  </si>
  <si>
    <t>裝設技術工，排水管道</t>
  </si>
  <si>
    <t>L000005n00051
原名稱：裝設工，排水管道</t>
  </si>
  <si>
    <t>機具操作技術工，吊放機具</t>
  </si>
  <si>
    <t>L0000051000P1
原名稱：操作手，吊放機具</t>
  </si>
  <si>
    <t xml:space="preserve">055307B008
</t>
  </si>
  <si>
    <t>產品，鍍鋅格柵板及框座，W=40cm，改良型重力式鍍鋅格柵蓋板</t>
  </si>
  <si>
    <t xml:space="preserve">M055307B00B
</t>
  </si>
  <si>
    <t xml:space="preserve">055307c008
</t>
  </si>
  <si>
    <t>產品，鍍鋅格柵板及框座，W=50cm，改良型重力式鍍鋅格柵蓋板</t>
  </si>
  <si>
    <t xml:space="preserve">M055307C00B
</t>
  </si>
  <si>
    <t xml:space="preserve">055307D008
</t>
  </si>
  <si>
    <t>產品，鍍鋅格柵板及框座，W=60cm，改良型重力式鍍鋅格柵蓋板</t>
  </si>
  <si>
    <t xml:space="preserve">M055307D00B
</t>
  </si>
  <si>
    <t>05500R1009
分析表140</t>
  </si>
  <si>
    <t xml:space="preserve">02631J0000C
</t>
  </si>
  <si>
    <t xml:space="preserve">W0127140006
</t>
  </si>
  <si>
    <t xml:space="preserve">031503E0N1
</t>
  </si>
  <si>
    <t>02220PWD00031
分析表77</t>
  </si>
  <si>
    <t>0231600Z6A
分析表16</t>
  </si>
  <si>
    <t>023234004A
分析表41</t>
  </si>
  <si>
    <t>023160NZ61
分析表17</t>
  </si>
  <si>
    <t>0222020E33
分析表6</t>
  </si>
  <si>
    <t>02220212N3
分析表8</t>
  </si>
  <si>
    <t>0331025003
分析表82
本項納入「水泥及其製品類」物價指數調整</t>
  </si>
  <si>
    <t>0922030012
分析表178</t>
  </si>
  <si>
    <t>產品，鋼板、扶手欄杆及角鐵</t>
  </si>
  <si>
    <t>M05060C0008
含加工、損耗及警示反光貼紙，使用30次</t>
  </si>
  <si>
    <t>臨時鋪面，裝拆及維護</t>
  </si>
  <si>
    <t>造園景觀技術工，挖掘植株</t>
  </si>
  <si>
    <t>L000005g00011
原名稱：植栽種植工</t>
  </si>
  <si>
    <t>造園景觀技術工，植草養護</t>
  </si>
  <si>
    <t>L000005g00071
原名稱：植栽養護工，植草養護，含澆水、施肥、病蟲害防治、修剪、保活等</t>
  </si>
  <si>
    <t>0292012C02
分析表286</t>
  </si>
  <si>
    <t>01271AB101
分析表298</t>
  </si>
  <si>
    <t>02240B100D
原名稱：袪水，臨時排水，箱涵用</t>
  </si>
  <si>
    <t>產品，臨時排水，箱涵用</t>
  </si>
  <si>
    <t>M02240B100D
原名稱：產品，袪水，臨時排水，箱涵用</t>
  </si>
  <si>
    <t>臨時排水，砂包</t>
  </si>
  <si>
    <t>02240B0014
原名稱：袪水，臨時排水，砂包</t>
  </si>
  <si>
    <t>02240B200D
原名稱：袪水，臨時排水，RCP用</t>
  </si>
  <si>
    <t>產品，臨時排水，RCP用</t>
  </si>
  <si>
    <t>M02240B200D
原名稱：產品，袪水，臨時排水，RCP用</t>
  </si>
  <si>
    <t>分析表328</t>
  </si>
  <si>
    <t>02321PWD05AB1
分析表11</t>
  </si>
  <si>
    <t>03377PWD00A03
分析表94
原名稱「控制性低強度回填材料及澆置」</t>
  </si>
  <si>
    <t>0274203B03
分析表57</t>
  </si>
  <si>
    <t>0274205B03
分析表54</t>
  </si>
  <si>
    <t>0274711002
分析表51</t>
  </si>
  <si>
    <t>0274512002
分析表50</t>
  </si>
  <si>
    <t>分析表329</t>
  </si>
  <si>
    <t>0232105AN1
分析表13</t>
  </si>
  <si>
    <t>0274203B53
分析表58</t>
  </si>
  <si>
    <t>0274205B53
分析表55
零星工程用</t>
  </si>
  <si>
    <t>分析表330</t>
  </si>
  <si>
    <t>分析表331</t>
  </si>
  <si>
    <t>分析表332</t>
  </si>
  <si>
    <t>分析表333</t>
  </si>
  <si>
    <t>分析表334</t>
  </si>
  <si>
    <t>分析表335</t>
  </si>
  <si>
    <t>分析表336</t>
  </si>
  <si>
    <t>分析表337</t>
  </si>
  <si>
    <t>分析表338</t>
  </si>
  <si>
    <t>分析表339</t>
  </si>
  <si>
    <t>普通工，影像傳輸設備操作</t>
  </si>
  <si>
    <t>普通工，(路證申請，回報及配合道路挖掘之相關作業)</t>
  </si>
  <si>
    <t>分析表340</t>
  </si>
  <si>
    <t>分析表341</t>
  </si>
  <si>
    <t>分析表342</t>
  </si>
  <si>
    <t>分析表343</t>
  </si>
  <si>
    <t xml:space="preserve">015103100C
</t>
  </si>
  <si>
    <t xml:space="preserve">015103000C
</t>
  </si>
  <si>
    <t xml:space="preserve">L000002B70071
</t>
  </si>
  <si>
    <t>分析表344</t>
  </si>
  <si>
    <t xml:space="preserve">01556H1001
</t>
  </si>
  <si>
    <t>分析表345</t>
  </si>
  <si>
    <t>分析表346</t>
  </si>
  <si>
    <t>分析表347</t>
  </si>
  <si>
    <t>分析表348</t>
  </si>
  <si>
    <t>分析表349</t>
  </si>
  <si>
    <t>產品，2"∮(或2.5"∮)A級管用夾具鐵材</t>
  </si>
  <si>
    <t>分析表350</t>
  </si>
  <si>
    <t>分析表351</t>
  </si>
  <si>
    <t>分析表352</t>
  </si>
  <si>
    <t>分析表353</t>
  </si>
  <si>
    <t>分析表354</t>
  </si>
  <si>
    <t>分析表355</t>
  </si>
  <si>
    <t>分析表356</t>
  </si>
  <si>
    <t>分析表357</t>
  </si>
  <si>
    <t>分析表358</t>
  </si>
  <si>
    <t>分析表359</t>
  </si>
  <si>
    <t>分析表360</t>
  </si>
  <si>
    <t>分析表361</t>
  </si>
  <si>
    <t>分析表362</t>
  </si>
  <si>
    <t>機具操作技術工，清洗機</t>
  </si>
  <si>
    <t>L0000051000E1
原名稱：操作手，清洗機</t>
  </si>
  <si>
    <t>施工地點：臺北市士林、大同區</t>
  </si>
  <si>
    <t>依工程費×2.85%,以新製品或完整無缺（重新油漆或清理過後）之堪用品進場。（本項決標後依投標須知第八十四點規定，依本機關原列預算單價以核定底價與預算總價之比例調整之，不隨得標廠商標價調整，本欄所列百分比亦隨同調整）</t>
  </si>
  <si>
    <t>依工程費×1.88</t>
  </si>
  <si>
    <t>工程名稱：113年度雨水下水道緊急搶修預約維護工程(北區)</t>
  </si>
  <si>
    <t>施工地點：中山、松山、士林、大同、北投區</t>
  </si>
  <si>
    <t xml:space="preserve">分析表1_x000D_
</t>
  </si>
  <si>
    <t xml:space="preserve">分析表2_x000D_
</t>
  </si>
  <si>
    <t xml:space="preserve">分析表3_x000D_
</t>
  </si>
  <si>
    <t xml:space="preserve">分析表4_x000D_
</t>
  </si>
  <si>
    <t>分析表5_x000D_
經機關核定每日施工期間未達7小時適用</t>
  </si>
  <si>
    <t xml:space="preserve">分析表6_x000D_
</t>
  </si>
  <si>
    <t>分析表7_x000D_
經機關核定每日施工期間未達7小時適用</t>
  </si>
  <si>
    <t xml:space="preserve">分析表8_x000D_
</t>
  </si>
  <si>
    <t xml:space="preserve">分析表9_x000D_
</t>
  </si>
  <si>
    <t xml:space="preserve">分析表10_x000D_
</t>
  </si>
  <si>
    <t xml:space="preserve">分析表11_x000D_
</t>
  </si>
  <si>
    <t>分析表12_x000D_
經機關核定每日施工期間未達7小時適用</t>
  </si>
  <si>
    <t xml:space="preserve">分析表13_x000D_
</t>
  </si>
  <si>
    <t xml:space="preserve">分析表14_x000D_
</t>
  </si>
  <si>
    <t xml:space="preserve">分析表15_x000D_
</t>
  </si>
  <si>
    <t xml:space="preserve">分析表16_x000D_
</t>
  </si>
  <si>
    <t xml:space="preserve">分析表17_x000D_
</t>
  </si>
  <si>
    <t>分析表18_x000D_
經機關核定每日施工期間未達7小時適用</t>
  </si>
  <si>
    <t>分析表19_x000D_
經機關核定每日施工期間未達7小時適用</t>
  </si>
  <si>
    <t>分析表20_x000D_
經機關核定每日施工期間未達7小時適用</t>
  </si>
  <si>
    <t>分析表21_x000D_
經機關核定每日施工期間未達7小時適用</t>
  </si>
  <si>
    <t>分析表22_x000D_
經機關核定每日施工期間未達7小時適用</t>
  </si>
  <si>
    <t>分析表23_x000D_
經機關核定每日施工期間未達7小時適用</t>
  </si>
  <si>
    <t>分析表24_x000D_
經機關核定每日施工期間未達7小時適用</t>
  </si>
  <si>
    <t xml:space="preserve">分析表25_x000D_
</t>
  </si>
  <si>
    <t>分析表26_x000D_
經機關核定每日施工期間未達7小時適用</t>
  </si>
  <si>
    <t xml:space="preserve">分析表27_x000D_
</t>
  </si>
  <si>
    <t>分析表28_x000D_
經機關核定每日施工期間未達7小時適用</t>
  </si>
  <si>
    <t xml:space="preserve">分析表29_x000D_
</t>
  </si>
  <si>
    <t xml:space="preserve">分析表30_x000D_
</t>
  </si>
  <si>
    <t xml:space="preserve">分析表31_x000D_
</t>
  </si>
  <si>
    <t xml:space="preserve">分析表32_x000D_
</t>
  </si>
  <si>
    <t xml:space="preserve">分析表33_x000D_
</t>
  </si>
  <si>
    <t xml:space="preserve">分析表34_x000D_
</t>
  </si>
  <si>
    <t xml:space="preserve">分析表35_x000D_
</t>
  </si>
  <si>
    <t xml:space="preserve">分析表36_x000D_
</t>
  </si>
  <si>
    <t xml:space="preserve">分析表37_x000D_
</t>
  </si>
  <si>
    <t xml:space="preserve">分析表38_x000D_
</t>
  </si>
  <si>
    <t>分析表39_x000D_
每日產出餘土量≤2M3使用</t>
  </si>
  <si>
    <t xml:space="preserve">分析表40_x000D_
</t>
  </si>
  <si>
    <t xml:space="preserve">分析表41_x000D_
</t>
  </si>
  <si>
    <t xml:space="preserve">分析表42_x000D_
</t>
  </si>
  <si>
    <t>分析表43_x000D_
無棄土費用</t>
  </si>
  <si>
    <t xml:space="preserve">分析表44_x000D_
</t>
  </si>
  <si>
    <t xml:space="preserve">分析表45_x000D_
</t>
  </si>
  <si>
    <t xml:space="preserve">分析表46_x000D_
</t>
  </si>
  <si>
    <t xml:space="preserve">分析表47_x000D_
</t>
  </si>
  <si>
    <t xml:space="preserve">分析表48_x000D_
</t>
  </si>
  <si>
    <t xml:space="preserve">分析表49_x000D_
</t>
  </si>
  <si>
    <t xml:space="preserve">分析表50_x000D_
</t>
  </si>
  <si>
    <t xml:space="preserve">分析表51_x000D_
</t>
  </si>
  <si>
    <t xml:space="preserve">分析表52_x000D_
</t>
  </si>
  <si>
    <t xml:space="preserve">分析表53_x000D_
</t>
  </si>
  <si>
    <t xml:space="preserve">分析表54_x000D_
</t>
  </si>
  <si>
    <t>分析表55_x000D_
零星工程用</t>
  </si>
  <si>
    <t xml:space="preserve">分析表56_x000D_
</t>
  </si>
  <si>
    <t xml:space="preserve">分析表57_x000D_
</t>
  </si>
  <si>
    <t xml:space="preserve">分析表58_x000D_
</t>
  </si>
  <si>
    <t xml:space="preserve">分析表59_x000D_
</t>
  </si>
  <si>
    <t xml:space="preserve">分析表60_x000D_
</t>
  </si>
  <si>
    <t xml:space="preserve">分析表61_x000D_
</t>
  </si>
  <si>
    <t xml:space="preserve">分析表62_x000D_
</t>
  </si>
  <si>
    <t xml:space="preserve">分析表63_x000D_
</t>
  </si>
  <si>
    <t xml:space="preserve">分析表64_x000D_
</t>
  </si>
  <si>
    <t xml:space="preserve">分析表65_x000D_
</t>
  </si>
  <si>
    <t xml:space="preserve">分析表66_x000D_
</t>
  </si>
  <si>
    <t xml:space="preserve">分析表67_x000D_
</t>
  </si>
  <si>
    <t xml:space="preserve">分析表68_x000D_
</t>
  </si>
  <si>
    <t xml:space="preserve">分析表69_x000D_
</t>
  </si>
  <si>
    <t xml:space="preserve">分析表70_x000D_
</t>
  </si>
  <si>
    <t xml:space="preserve">分析表71_x000D_
</t>
  </si>
  <si>
    <t xml:space="preserve">分析表72_x000D_
</t>
  </si>
  <si>
    <t xml:space="preserve">分析表73_x000D_
</t>
  </si>
  <si>
    <t xml:space="preserve">分析表74_x000D_
</t>
  </si>
  <si>
    <t xml:space="preserve">分析表75_x000D_
</t>
  </si>
  <si>
    <t xml:space="preserve">分析表76_x000D_
</t>
  </si>
  <si>
    <t xml:space="preserve">分析表77_x000D_
</t>
  </si>
  <si>
    <t xml:space="preserve">分析表78_x000D_
</t>
  </si>
  <si>
    <t xml:space="preserve">分析表79_x000D_
</t>
  </si>
  <si>
    <t xml:space="preserve">分析表80_x000D_
</t>
  </si>
  <si>
    <t xml:space="preserve">分析表81_x000D_
</t>
  </si>
  <si>
    <t>分析表82_x000D_
本項納入「水泥及其製品類」物價指數調整</t>
  </si>
  <si>
    <t>分析表83_x000D_
本項納入「水泥及其製品類」物價指數調整</t>
  </si>
  <si>
    <t xml:space="preserve">分析表84_x000D_
</t>
  </si>
  <si>
    <t>分析表85_x000D_
本項納入「水泥及其製品類」物價指數調整</t>
  </si>
  <si>
    <t>分析表86_x000D_
本項納入「水泥及其製品類」物價指數調整</t>
  </si>
  <si>
    <t xml:space="preserve">分析表87_x000D_
</t>
  </si>
  <si>
    <t>分析表88_x000D_
本項零星工料包含鋼筋混凝土所需之墊塊費用</t>
  </si>
  <si>
    <t>分析表89_x000D_
本項零星工料包含鋼筋混凝土所需之墊塊費用</t>
  </si>
  <si>
    <t>分析表90_x000D_
本項零星工料包含鋼筋混凝土所需之墊塊費用</t>
  </si>
  <si>
    <t>分析表91_x000D_
本項零星工料包含鋼筋混凝土所需之墊塊費用</t>
  </si>
  <si>
    <t>分析表92_x000D_
本項零星工料包含鋼筋混凝土所需之墊塊費用</t>
  </si>
  <si>
    <t>分析表93_x000D_
本項零星工料包含鋼筋混凝土所需之墊塊費用</t>
  </si>
  <si>
    <t>分析表94_x000D_
原名稱「控制性低強度回填材料及澆置」</t>
  </si>
  <si>
    <t>分析表95_x000D_
原名稱「控制性低強度回填材料及澆置」</t>
  </si>
  <si>
    <t xml:space="preserve">分析表96_x000D_
</t>
  </si>
  <si>
    <t xml:space="preserve">分析表97_x000D_
</t>
  </si>
  <si>
    <t>分析表98_x000D_
橋面</t>
  </si>
  <si>
    <t>分析表99_x000D_
經機關核定每日施工期間未達7小時適用</t>
  </si>
  <si>
    <t>分析表100_x000D_
場鑄結構混凝土用模板，(乙種，擋土牆，橋台，車行箱涵等)</t>
  </si>
  <si>
    <t>分析表101_x000D_
場鑄結構混凝土用模板，(乙種，擋土牆，橋台，車行箱涵等)，經機關核定每日施工期間未達7小時適用</t>
  </si>
  <si>
    <t xml:space="preserve">分析表102_x000D_
</t>
  </si>
  <si>
    <t>分析表103_x000D_
經機關核定每日施工期間未達7小時適用</t>
  </si>
  <si>
    <t xml:space="preserve">分析表104_x000D_
</t>
  </si>
  <si>
    <t>分析表105_x000D_
擋土牆，橋台，車行箱涵等</t>
  </si>
  <si>
    <t>分析表106_x000D_
擋土牆，橋台，車行箱涵等，經機關核定每日施工期間未達7小時適用適用</t>
  </si>
  <si>
    <t>分析表107_x000D_
U型構，集水井，排水箱涵等</t>
  </si>
  <si>
    <t>分析表108_x000D_
U型構，集水井，排水箱涵等，經機關核定每日施工期間未達7小時適用</t>
  </si>
  <si>
    <t>分析表109_x000D_
U型構，集水井，排水箱涵等</t>
  </si>
  <si>
    <t xml:space="preserve">分析表110_x000D_
</t>
  </si>
  <si>
    <t xml:space="preserve">分析表111_x000D_
</t>
  </si>
  <si>
    <t xml:space="preserve">分析表112_x000D_
</t>
  </si>
  <si>
    <t xml:space="preserve">分析表113_x000D_
</t>
  </si>
  <si>
    <t xml:space="preserve">分析表114_x000D_
</t>
  </si>
  <si>
    <t xml:space="preserve">分析表115_x000D_
</t>
  </si>
  <si>
    <t>分析表116_x000D_
經機關核定每日施工期間未達7小時適用</t>
  </si>
  <si>
    <t>分析表117_x000D_
經機關核定每日施工期間未達7小時適用</t>
  </si>
  <si>
    <t>分析表118_x000D_
經機關核定每日施工期間未達7小時適用</t>
  </si>
  <si>
    <t>分析表119_x000D_
經機關核定每日施工期間未達7小時適用</t>
  </si>
  <si>
    <t>分析表120_x000D_
經機關核定每日施工期間未達7小時適用</t>
  </si>
  <si>
    <t>分析表121_x000D_
經機關核定每日施工期間未達7小時適用</t>
  </si>
  <si>
    <t xml:space="preserve">分析表122_x000D_
</t>
  </si>
  <si>
    <t xml:space="preserve">分析表123_x000D_
</t>
  </si>
  <si>
    <t xml:space="preserve">分析表124_x000D_
</t>
  </si>
  <si>
    <t xml:space="preserve">分析表125_x000D_
</t>
  </si>
  <si>
    <t xml:space="preserve">分析表126_x000D_
</t>
  </si>
  <si>
    <t xml:space="preserve">分析表127_x000D_
</t>
  </si>
  <si>
    <t xml:space="preserve">分析表128_x000D_
</t>
  </si>
  <si>
    <t xml:space="preserve">分析表129_x000D_
</t>
  </si>
  <si>
    <t>分析表130_x000D_
本項納入「鋼筋」物價指數調整</t>
  </si>
  <si>
    <t>分析表131_x000D_
本項納入「鋼筋」物價指數調整</t>
  </si>
  <si>
    <t xml:space="preserve">分析表132_x000D_
</t>
  </si>
  <si>
    <t xml:space="preserve">分析表133_x000D_
</t>
  </si>
  <si>
    <t>分析表134_x000D_
經機關核定每日施工期間未達7小時適用，本項納入「鋼筋」物價指數調整</t>
  </si>
  <si>
    <t>分析表135_x000D_
經機關核定每日施工期間未達7小時適用，本項納入「鋼筋」物價指數調整</t>
  </si>
  <si>
    <t>分析表136_x000D_
經機關核定每日施工期間未達7小時適用</t>
  </si>
  <si>
    <t>分析表137_x000D_
經機關核定每日施工期間未達7小時適用</t>
  </si>
  <si>
    <t>分析表138_x000D_
本項納入「鋼筋」物價指數調整</t>
  </si>
  <si>
    <t xml:space="preserve">分析表139_x000D_
</t>
  </si>
  <si>
    <t xml:space="preserve">分析表140_x000D_
</t>
  </si>
  <si>
    <t xml:space="preserve">分析表141_x000D_
</t>
  </si>
  <si>
    <t xml:space="preserve">分析表142_x000D_
</t>
  </si>
  <si>
    <t xml:space="preserve">分析表143_x000D_
</t>
  </si>
  <si>
    <t xml:space="preserve">分析表144_x000D_
</t>
  </si>
  <si>
    <t>分析表145_x000D_
本項零星工料包含鋼筋籠外側所需之間隔片費用</t>
  </si>
  <si>
    <t>分析表146_x000D_
本項零星工料包含鋼筋籠外側所需之間隔片費用</t>
  </si>
  <si>
    <t>分析表147_x000D_
本項零星工料包含鋼筋籠外側所需之間隔片費用</t>
  </si>
  <si>
    <t xml:space="preserve">分析表148_x000D_
</t>
  </si>
  <si>
    <t xml:space="preserve">分析表149_x000D_
</t>
  </si>
  <si>
    <t xml:space="preserve">分析表150_x000D_
</t>
  </si>
  <si>
    <t xml:space="preserve">分析表151_x000D_
</t>
  </si>
  <si>
    <t xml:space="preserve">分析表152_x000D_
</t>
  </si>
  <si>
    <t>分析表153_x000D_
每M2.5片</t>
  </si>
  <si>
    <t>分析表154_x000D_
每M2.5片</t>
  </si>
  <si>
    <t xml:space="preserve">分析表155_x000D_
</t>
  </si>
  <si>
    <t xml:space="preserve">分析表156_x000D_
</t>
  </si>
  <si>
    <t xml:space="preserve">分析表157_x000D_
</t>
  </si>
  <si>
    <t xml:space="preserve">分析表158_x000D_
</t>
  </si>
  <si>
    <t>分析表159_x000D_
租用</t>
  </si>
  <si>
    <t>分析表160_x000D_
租用</t>
  </si>
  <si>
    <t xml:space="preserve">分析表161_x000D_
</t>
  </si>
  <si>
    <t xml:space="preserve">分析表162_x000D_
</t>
  </si>
  <si>
    <t>分析表163_x000D_
含運費</t>
  </si>
  <si>
    <t xml:space="preserve">分析表164_x000D_
</t>
  </si>
  <si>
    <t xml:space="preserve">分析表165_x000D_
</t>
  </si>
  <si>
    <t xml:space="preserve">分析表166_x000D_
</t>
  </si>
  <si>
    <t xml:space="preserve">分析表167_x000D_
</t>
  </si>
  <si>
    <t xml:space="preserve">分析表168_x000D_
</t>
  </si>
  <si>
    <t xml:space="preserve">分析表169_x000D_
</t>
  </si>
  <si>
    <t xml:space="preserve">分析表170_x000D_
</t>
  </si>
  <si>
    <t>分析表171_x000D_
(適用施作面積200M2以上)</t>
  </si>
  <si>
    <t xml:space="preserve">分析表172_x000D_
</t>
  </si>
  <si>
    <t xml:space="preserve">分析表173_x000D_
</t>
  </si>
  <si>
    <t xml:space="preserve">分析表174_x000D_
</t>
  </si>
  <si>
    <t xml:space="preserve">分析表175_x000D_
</t>
  </si>
  <si>
    <t xml:space="preserve">分析表176_x000D_
</t>
  </si>
  <si>
    <t xml:space="preserve">分析表177_x000D_
</t>
  </si>
  <si>
    <t xml:space="preserve">分析表178_x000D_
</t>
  </si>
  <si>
    <t xml:space="preserve">分析表179_x000D_
</t>
  </si>
  <si>
    <t xml:space="preserve">分析表180_x000D_
</t>
  </si>
  <si>
    <t xml:space="preserve">分析表181_x000D_
</t>
  </si>
  <si>
    <t xml:space="preserve">分析表182_x000D_
</t>
  </si>
  <si>
    <t xml:space="preserve">分析表183_x000D_
</t>
  </si>
  <si>
    <t xml:space="preserve">分析表184_x000D_
</t>
  </si>
  <si>
    <t xml:space="preserve">分析表185_x000D_
</t>
  </si>
  <si>
    <t xml:space="preserve">分析表186_x000D_
</t>
  </si>
  <si>
    <t xml:space="preserve">分析表187_x000D_
</t>
  </si>
  <si>
    <t xml:space="preserve">分析表188_x000D_
</t>
  </si>
  <si>
    <t xml:space="preserve">分析表189_x000D_
</t>
  </si>
  <si>
    <t xml:space="preserve">分析表190_x000D_
</t>
  </si>
  <si>
    <t xml:space="preserve">分析表191_x000D_
</t>
  </si>
  <si>
    <t xml:space="preserve">分析表192_x000D_
</t>
  </si>
  <si>
    <t xml:space="preserve">分析表193_x000D_
</t>
  </si>
  <si>
    <t xml:space="preserve">分析表194_x000D_
</t>
  </si>
  <si>
    <t xml:space="preserve">分析表195_x000D_
</t>
  </si>
  <si>
    <t xml:space="preserve">分析表196_x000D_
</t>
  </si>
  <si>
    <t xml:space="preserve">分析表197_x000D_
</t>
  </si>
  <si>
    <t xml:space="preserve">分析表198_x000D_
</t>
  </si>
  <si>
    <t xml:space="preserve">分析表199_x000D_
</t>
  </si>
  <si>
    <t xml:space="preserve">分析表200_x000D_
</t>
  </si>
  <si>
    <t xml:space="preserve">分析表201_x000D_
</t>
  </si>
  <si>
    <t xml:space="preserve">分析表202_x000D_
</t>
  </si>
  <si>
    <t xml:space="preserve">分析表203_x000D_
</t>
  </si>
  <si>
    <t xml:space="preserve">分析表204_x000D_
</t>
  </si>
  <si>
    <t xml:space="preserve">分析表205_x000D_
</t>
  </si>
  <si>
    <t xml:space="preserve">分析表206_x000D_
</t>
  </si>
  <si>
    <t xml:space="preserve">分析表207_x000D_
</t>
  </si>
  <si>
    <t xml:space="preserve">分析表208_x000D_
</t>
  </si>
  <si>
    <t xml:space="preserve">分析表209_x000D_
</t>
  </si>
  <si>
    <t xml:space="preserve">分析表210_x000D_
</t>
  </si>
  <si>
    <t xml:space="preserve">分析表211_x000D_
</t>
  </si>
  <si>
    <t xml:space="preserve">分析表212_x000D_
</t>
  </si>
  <si>
    <t xml:space="preserve">分析表213_x000D_
</t>
  </si>
  <si>
    <t xml:space="preserve">分析表214_x000D_
</t>
  </si>
  <si>
    <t xml:space="preserve">分析表215_x000D_
</t>
  </si>
  <si>
    <t xml:space="preserve">分析表216_x000D_
</t>
  </si>
  <si>
    <t xml:space="preserve">分析表217_x000D_
</t>
  </si>
  <si>
    <t xml:space="preserve">分析表218_x000D_
</t>
  </si>
  <si>
    <t xml:space="preserve">分析表219_x000D_
</t>
  </si>
  <si>
    <t xml:space="preserve">分析表220_x000D_
</t>
  </si>
  <si>
    <t xml:space="preserve">分析表221_x000D_
</t>
  </si>
  <si>
    <t xml:space="preserve">分析表222_x000D_
</t>
  </si>
  <si>
    <t xml:space="preserve">分析表223_x000D_
</t>
  </si>
  <si>
    <t xml:space="preserve">分析表224_x000D_
</t>
  </si>
  <si>
    <t xml:space="preserve">分析表225_x000D_
</t>
  </si>
  <si>
    <t xml:space="preserve">分析表226_x000D_
</t>
  </si>
  <si>
    <t xml:space="preserve">分析表227_x000D_
</t>
  </si>
  <si>
    <t xml:space="preserve">分析表228_x000D_
</t>
  </si>
  <si>
    <t xml:space="preserve">分析表229_x000D_
</t>
  </si>
  <si>
    <t xml:space="preserve">分析表230_x000D_
</t>
  </si>
  <si>
    <t xml:space="preserve">分析表231_x000D_
</t>
  </si>
  <si>
    <t xml:space="preserve">分析表232_x000D_
</t>
  </si>
  <si>
    <t xml:space="preserve">分析表233_x000D_
</t>
  </si>
  <si>
    <t xml:space="preserve">分析表234_x000D_
</t>
  </si>
  <si>
    <t xml:space="preserve">分析表235_x000D_
</t>
  </si>
  <si>
    <t xml:space="preserve">分析表236_x000D_
</t>
  </si>
  <si>
    <t xml:space="preserve">分析表237_x000D_
</t>
  </si>
  <si>
    <t xml:space="preserve">分析表238_x000D_
</t>
  </si>
  <si>
    <t xml:space="preserve">分析表239_x000D_
</t>
  </si>
  <si>
    <t xml:space="preserve">分析表240_x000D_
</t>
  </si>
  <si>
    <t xml:space="preserve">分析表241_x000D_
</t>
  </si>
  <si>
    <t xml:space="preserve">分析表242_x000D_
</t>
  </si>
  <si>
    <t xml:space="preserve">分析表243_x000D_
</t>
  </si>
  <si>
    <t xml:space="preserve">分析表244_x000D_
</t>
  </si>
  <si>
    <t xml:space="preserve">分析表245_x000D_
</t>
  </si>
  <si>
    <t xml:space="preserve">分析表246_x000D_
</t>
  </si>
  <si>
    <t xml:space="preserve">分析表247_x000D_
</t>
  </si>
  <si>
    <t xml:space="preserve">分析表248_x000D_
</t>
  </si>
  <si>
    <t xml:space="preserve">分析表249_x000D_
</t>
  </si>
  <si>
    <t>分析表250_x000D_
# T=4cm W=14cm</t>
  </si>
  <si>
    <t>分析表251_x000D_
# T=4cm W=14cm</t>
  </si>
  <si>
    <t>分析表252_x000D_
#</t>
  </si>
  <si>
    <t xml:space="preserve">分析表253_x000D_
</t>
  </si>
  <si>
    <t xml:space="preserve">分析表254_x000D_
</t>
  </si>
  <si>
    <t xml:space="preserve">分析表255_x000D_
</t>
  </si>
  <si>
    <t xml:space="preserve">分析表256_x000D_
</t>
  </si>
  <si>
    <t xml:space="preserve">分析表257_x000D_
</t>
  </si>
  <si>
    <t xml:space="preserve">分析表258_x000D_
</t>
  </si>
  <si>
    <t xml:space="preserve">分析表259_x000D_
</t>
  </si>
  <si>
    <t xml:space="preserve">分析表260_x000D_
</t>
  </si>
  <si>
    <t xml:space="preserve">分析表261_x000D_
</t>
  </si>
  <si>
    <t xml:space="preserve">分析表262_x000D_
</t>
  </si>
  <si>
    <t xml:space="preserve">分析表263_x000D_
</t>
  </si>
  <si>
    <t xml:space="preserve">分析表264_x000D_
</t>
  </si>
  <si>
    <t xml:space="preserve">分析表265_x000D_
</t>
  </si>
  <si>
    <t xml:space="preserve">分析表266_x000D_
</t>
  </si>
  <si>
    <t xml:space="preserve">分析表267_x000D_
</t>
  </si>
  <si>
    <t xml:space="preserve">分析表268_x000D_
</t>
  </si>
  <si>
    <t xml:space="preserve">分析表269_x000D_
</t>
  </si>
  <si>
    <t xml:space="preserve">分析表270_x000D_
</t>
  </si>
  <si>
    <t>分析表271_x000D_
需符合中華民國國家標準4750</t>
  </si>
  <si>
    <t xml:space="preserve">分析表272_x000D_
</t>
  </si>
  <si>
    <t xml:space="preserve">分析表273_x000D_
</t>
  </si>
  <si>
    <t>分析表274_x000D_
通行寬度60cm</t>
  </si>
  <si>
    <t>分析表275_x000D_
通行寬度90cm</t>
  </si>
  <si>
    <t xml:space="preserve">分析表276_x000D_
</t>
  </si>
  <si>
    <t xml:space="preserve">分析表277_x000D_
</t>
  </si>
  <si>
    <t xml:space="preserve">分析表278_x000D_
</t>
  </si>
  <si>
    <t xml:space="preserve">分析表279_x000D_
</t>
  </si>
  <si>
    <t xml:space="preserve">分析表280_x000D_
</t>
  </si>
  <si>
    <t xml:space="preserve">分析表281_x000D_
</t>
  </si>
  <si>
    <t xml:space="preserve">分析表282_x000D_
</t>
  </si>
  <si>
    <t>分析表283_x000D_
每M3.3支踏步計</t>
  </si>
  <si>
    <t xml:space="preserve">分析表284_x000D_
</t>
  </si>
  <si>
    <t>分析表285_x000D_
穴孔：D=20CM， H=20CM</t>
  </si>
  <si>
    <t xml:space="preserve">分析表286_x000D_
</t>
  </si>
  <si>
    <t xml:space="preserve">分析表287_x000D_
</t>
  </si>
  <si>
    <t xml:space="preserve">分析表288_x000D_
</t>
  </si>
  <si>
    <t xml:space="preserve">分析表289_x000D_
</t>
  </si>
  <si>
    <t xml:space="preserve">分析表290_x000D_
</t>
  </si>
  <si>
    <t xml:space="preserve">分析表291_x000D_
</t>
  </si>
  <si>
    <t xml:space="preserve">分析表292_x000D_
</t>
  </si>
  <si>
    <t>分析表293_x000D_
樹高8-10公尺，修剪前樹寬3-5公尺</t>
  </si>
  <si>
    <t xml:space="preserve">分析表294_x000D_
</t>
  </si>
  <si>
    <t xml:space="preserve">分析表295_x000D_
</t>
  </si>
  <si>
    <t>分析表296_x000D_
原名稱：袪水，臨時排水，箱涵用</t>
  </si>
  <si>
    <t>分析表297_x000D_
原名稱：袪水，臨時排水，RCP用</t>
  </si>
  <si>
    <t xml:space="preserve">分析表298_x000D_
</t>
  </si>
  <si>
    <t xml:space="preserve">分析表299_x000D_
</t>
  </si>
  <si>
    <t>分析表300_x000D_
(含油料及運費)</t>
  </si>
  <si>
    <t>分析表301_x000D_
(含油料及運費)</t>
  </si>
  <si>
    <t>分析表302_x000D_
(含油料及運費)</t>
  </si>
  <si>
    <t>分析表303_x000D_
廢方另計</t>
  </si>
  <si>
    <t xml:space="preserve">分析表304_x000D_
</t>
  </si>
  <si>
    <t xml:space="preserve">分析表305_x000D_
</t>
  </si>
  <si>
    <t>分析表306_x000D_
#</t>
  </si>
  <si>
    <t xml:space="preserve">分析表307_x000D_
</t>
  </si>
  <si>
    <t xml:space="preserve">分析表308_x000D_
</t>
  </si>
  <si>
    <t xml:space="preserve">分析表309_x000D_
</t>
  </si>
  <si>
    <t xml:space="preserve">分析表310_x000D_
</t>
  </si>
  <si>
    <t xml:space="preserve">分析表311_x000D_
</t>
  </si>
  <si>
    <t xml:space="preserve">分析表312_x000D_
</t>
  </si>
  <si>
    <t xml:space="preserve">分析表313_x000D_
</t>
  </si>
  <si>
    <t xml:space="preserve">分析表314_x000D_
</t>
  </si>
  <si>
    <t xml:space="preserve">分析表315_x000D_
</t>
  </si>
  <si>
    <t xml:space="preserve">分析表316_x000D_
</t>
  </si>
  <si>
    <t xml:space="preserve">分析表317_x000D_
</t>
  </si>
  <si>
    <t xml:space="preserve">分析表318_x000D_
</t>
  </si>
  <si>
    <t xml:space="preserve">分析表319_x000D_
</t>
  </si>
  <si>
    <t xml:space="preserve">分析表320_x000D_
</t>
  </si>
  <si>
    <t xml:space="preserve">分析表321_x000D_
</t>
  </si>
  <si>
    <t xml:space="preserve">分析表322_x000D_
</t>
  </si>
  <si>
    <t xml:space="preserve">分析表323_x000D_
</t>
  </si>
  <si>
    <t xml:space="preserve">分析表324_x000D_
</t>
  </si>
  <si>
    <t xml:space="preserve">分析表325_x000D_
</t>
  </si>
  <si>
    <t xml:space="preserve">分析表326_x000D_
</t>
  </si>
  <si>
    <t xml:space="preserve">分析表327_x000D_
</t>
  </si>
  <si>
    <t xml:space="preserve">分析表328_x000D_
</t>
  </si>
  <si>
    <t xml:space="preserve">分析表329_x000D_
</t>
  </si>
  <si>
    <t xml:space="preserve">分析表330_x000D_
</t>
  </si>
  <si>
    <t xml:space="preserve">分析表331_x000D_
</t>
  </si>
  <si>
    <t xml:space="preserve">分析表332_x000D_
</t>
  </si>
  <si>
    <t xml:space="preserve">分析表333_x000D_
</t>
  </si>
  <si>
    <t xml:space="preserve">分析表334_x000D_
</t>
  </si>
  <si>
    <t xml:space="preserve">分析表335_x000D_
</t>
  </si>
  <si>
    <t xml:space="preserve">分析表336_x000D_
</t>
  </si>
  <si>
    <t xml:space="preserve">分析表337_x000D_
</t>
  </si>
  <si>
    <t xml:space="preserve">分析表338_x000D_
</t>
  </si>
  <si>
    <t>1.依雨水下水道設施完工資料測量工作規範辦理。
2.施作暗溝、埋管等工項(過路)，即進行測繪作業，其測繪內容則依規範辦理，單張通報單給付1次。</t>
  </si>
  <si>
    <t>分析表339_x000D_
含路證申請、回報及配合道路挖掘之相關作業費用</t>
  </si>
  <si>
    <t>分析表340_x000D_
含路證申請、回報及配合道路挖掘之相關作業費用</t>
  </si>
  <si>
    <t>分析表341_x000D_
高度2.4m</t>
  </si>
  <si>
    <t>分析表342_x000D_
高度2.4m</t>
  </si>
  <si>
    <t xml:space="preserve">分析表343_x000D_
</t>
  </si>
  <si>
    <t xml:space="preserve">分析表344_x000D_
</t>
  </si>
  <si>
    <t>分析表345_x000D_
使用10次</t>
  </si>
  <si>
    <t xml:space="preserve">分析表346_x000D_
</t>
  </si>
  <si>
    <t xml:space="preserve">分析表347_x000D_
</t>
  </si>
  <si>
    <t xml:space="preserve">分析表348_x000D_
</t>
  </si>
  <si>
    <t xml:space="preserve">分析表349_x000D_
</t>
  </si>
  <si>
    <t xml:space="preserve">分析表350_x000D_
</t>
  </si>
  <si>
    <t xml:space="preserve">分析表351_x000D_
</t>
  </si>
  <si>
    <t xml:space="preserve">分析表352_x000D_
</t>
  </si>
  <si>
    <t xml:space="preserve">分析表353_x000D_
</t>
  </si>
  <si>
    <t>分析表354_x000D_
#</t>
  </si>
  <si>
    <t>分析表355_x000D_
D=8cm ±5%，H=75cm ±5%</t>
  </si>
  <si>
    <t xml:space="preserve">分析表356_x000D_
</t>
  </si>
  <si>
    <t xml:space="preserve">分析表357_x000D_
</t>
  </si>
  <si>
    <t>分析表358_x000D_
#</t>
  </si>
  <si>
    <t xml:space="preserve">分析表359_x000D_
</t>
  </si>
  <si>
    <t xml:space="preserve">分析表360_x000D_
</t>
  </si>
  <si>
    <t>每組2支</t>
  </si>
  <si>
    <t>超過1組檢驗數量另計</t>
  </si>
  <si>
    <t>每組3支</t>
  </si>
  <si>
    <t>L=2.4</t>
  </si>
  <si>
    <t>依工程費×2.51%</t>
  </si>
  <si>
    <t>依工程費×4.96%,以新製品或完整無缺（重新油漆或清理過後）之堪用品進場。</t>
  </si>
  <si>
    <t>創意柔性告示牌之圖案須依機關提供之電子檔依比例放大製作</t>
  </si>
  <si>
    <t>依工程費×3.07%,以新製品或完整無缺（重新油漆或清理過後）之堪用品進場。（本項決標後依投標須知第八十四點規定，依本機關原列預算單價以核定底價與預算總價之比例調整之，不隨得標廠商標價調整，本欄所列百分比亦隨同調整）</t>
  </si>
  <si>
    <t>依工程費×1.62%</t>
  </si>
  <si>
    <t>依工程費×1.73</t>
  </si>
  <si>
    <t>本項單價為固定值(56元/M2)，訂約時不隨折數調整，依實際鑑定戶數計架並檢據核銷(費用不另計稅什費)</t>
  </si>
  <si>
    <t>原名稱：操作手，開挖機</t>
  </si>
  <si>
    <t>原名稱：小工</t>
  </si>
  <si>
    <t>原名稱：小工，夜間</t>
  </si>
  <si>
    <t>原名稱：操作手，重機械</t>
  </si>
  <si>
    <t>原名稱：操作手，推土機</t>
  </si>
  <si>
    <t>原名稱：操作手，壓路機</t>
  </si>
  <si>
    <t>原名稱：操作手，壓實機</t>
  </si>
  <si>
    <t>原名稱：操作手，機動平土機</t>
  </si>
  <si>
    <t>原名稱：操作手，瀝青撒佈機</t>
  </si>
  <si>
    <t>零星工程用</t>
  </si>
  <si>
    <t>原名稱：操作手，切割機</t>
  </si>
  <si>
    <t>原名稱「控制性低強度回填材料及澆置」</t>
  </si>
  <si>
    <t>板材厚度為15mm</t>
  </si>
  <si>
    <t>原名稱：模板安裝工</t>
  </si>
  <si>
    <t>使用40次</t>
  </si>
  <si>
    <t>原名稱：鋼筋彎紮工，鋼筋剪裁</t>
  </si>
  <si>
    <t>原名稱：鋼筋彎紮工</t>
  </si>
  <si>
    <t>分析表130
本項納入「鋼筋」物價指數調整</t>
  </si>
  <si>
    <t>買斷，含運費</t>
  </si>
  <si>
    <t>原名稱：裝設工，排水管道</t>
  </si>
  <si>
    <t>原名稱：操作手，吊放機具</t>
  </si>
  <si>
    <t>含安裝</t>
  </si>
  <si>
    <t>含吊裝</t>
  </si>
  <si>
    <t>L=86cm</t>
  </si>
  <si>
    <t>分析表82
本項納入「水泥及其製品類」物價指數調整</t>
  </si>
  <si>
    <t>(含繫件，配件)</t>
  </si>
  <si>
    <t>租金</t>
  </si>
  <si>
    <t>含吊車</t>
  </si>
  <si>
    <t>含加工、損耗及警示反光貼紙，使用30次</t>
  </si>
  <si>
    <t>含施工中搬運</t>
  </si>
  <si>
    <t>含加工及損耗，使用30次</t>
  </si>
  <si>
    <t>狗牙根、地毯草及假儉草</t>
  </si>
  <si>
    <t>原名稱：植栽種植工</t>
  </si>
  <si>
    <t>原名稱：植栽養護工，植草養護，含澆水、施肥、病蟲害防治、修剪、保活等</t>
  </si>
  <si>
    <t>含損耗</t>
  </si>
  <si>
    <t>原名稱：產品，袪水，臨時排水，箱涵用</t>
  </si>
  <si>
    <t>原名稱：袪水，臨時排水，砂包</t>
  </si>
  <si>
    <t>原名稱：產品，袪水，臨時排水，RCP用</t>
  </si>
  <si>
    <t>分析表94
原名稱「控制性低強度回填材料及澆置」</t>
  </si>
  <si>
    <t>分析表55
零星工程用</t>
  </si>
  <si>
    <t>原名稱：操作手，清洗機</t>
  </si>
  <si>
    <t>小型貨車，總重3-3.9t</t>
  </si>
  <si>
    <t>推土機，120-129KW</t>
  </si>
  <si>
    <t>基地及路幅開挖，未含運費，(機械挖，0.7-0.79m3開挖機)</t>
  </si>
  <si>
    <t>基地及路幅開挖，未含運費，(機械挖，0.7-0.79m3開挖機)(夜間施工)</t>
  </si>
  <si>
    <t>擠壓式彈性填縫帶，(寬55mm，厚20mm)，600-1000mm鋼筋混凝土管排水用</t>
  </si>
  <si>
    <t>擠壓式彈性填縫帶，(寬68mm，厚22mm)，1100-1650mm鋼筋混凝土管排水用</t>
  </si>
  <si>
    <t>擠壓式彈性填縫帶，(寬80mm，厚28mm)，1800-2400mm鋼筋混凝土管排水用</t>
  </si>
  <si>
    <t>(壹.一-壹.八)*_x000D_
[約10.94603736%]</t>
  </si>
  <si>
    <t>(壹.一-壹.八)*_x000D_
[約10.94809484%]</t>
  </si>
  <si>
    <t>(壹.一-壹.八*)_x000D_
[約10.88660056%]</t>
  </si>
  <si>
    <t>鋼製模板，U型溝用，W=50cm，L=120cm.</t>
    <phoneticPr fontId="3" type="noConversion"/>
  </si>
  <si>
    <t>人工拆除，鋼筋混凝土，含裝車未含運費，夜間施工</t>
    <phoneticPr fontId="3" type="noConversion"/>
  </si>
  <si>
    <t>依施工費×2.85%</t>
    <phoneticPr fontId="3" type="noConversion"/>
  </si>
  <si>
    <t>依施工費×1.63%</t>
    <phoneticPr fontId="3" type="noConversion"/>
  </si>
  <si>
    <t>依施工費×1.88%</t>
    <phoneticPr fontId="3" type="noConversion"/>
  </si>
  <si>
    <t>(一~八)*
[約10.94809484%]</t>
    <phoneticPr fontId="3" type="noConversion"/>
  </si>
  <si>
    <t>工程名稱：114年度續約-113年度雨水下水道預約維護工程(中山、松山區)</t>
  </si>
  <si>
    <t>工程編號：114 070020302 037 05</t>
  </si>
  <si>
    <t>清水模板，乙種.</t>
    <phoneticPr fontId="3" type="noConversion"/>
  </si>
  <si>
    <t>場鑄結構混凝土用模板，普通模板，乙種.</t>
    <phoneticPr fontId="3" type="noConversion"/>
  </si>
  <si>
    <t>場鑄結構混凝土用模板，普通模板，丙種.</t>
    <phoneticPr fontId="3" type="noConversion"/>
  </si>
  <si>
    <t>基地及路幅開挖，未含運費，(機械挖，0.7-0.79m3開挖機)</t>
    <phoneticPr fontId="3" type="noConversion"/>
  </si>
  <si>
    <t>基地及路幅開挖，未含運費，(機械挖，0.7-0.79m3開挖機).</t>
    <phoneticPr fontId="3" type="noConversion"/>
  </si>
  <si>
    <t>開挖機，0.70~0.79m3</t>
    <phoneticPr fontId="3" type="noConversion"/>
  </si>
  <si>
    <t>開挖機，0.70-0.79m3</t>
    <phoneticPr fontId="3" type="noConversion"/>
  </si>
  <si>
    <t>開挖機，70-79KW，(作為破碎機用)</t>
    <phoneticPr fontId="3" type="noConversion"/>
  </si>
  <si>
    <t>機械拆除，無筋混凝土，未含運費.</t>
    <phoneticPr fontId="3" type="noConversion"/>
  </si>
  <si>
    <t>機械拆除，鋼筋混凝土，未含運費.</t>
    <phoneticPr fontId="3" type="noConversion"/>
  </si>
  <si>
    <t>基地及路幅開挖，軟岩，人工挖，含裝車未含運費.</t>
    <phoneticPr fontId="3" type="noConversion"/>
  </si>
  <si>
    <t>基地及路幅開挖，軟岩，(機械挖，手提鑿岩機配合開挖機)，未含運費.</t>
    <phoneticPr fontId="3" type="noConversion"/>
  </si>
  <si>
    <t>基地及路幅開挖，硬岩，人工挖，含裝車未含運費.</t>
    <phoneticPr fontId="3" type="noConversion"/>
  </si>
  <si>
    <t>基地及路幅開挖，硬岩，(機械挖，手提鑿岩機配合開挖機)，未含運費.</t>
    <phoneticPr fontId="3" type="noConversion"/>
  </si>
  <si>
    <t>構造物開挖，(人工挖，未含抽水)，未含運費(含裝車).</t>
    <phoneticPr fontId="3" type="noConversion"/>
  </si>
  <si>
    <t>機械拆除，預鑄溝蓋板，未含運費.</t>
    <phoneticPr fontId="3" type="noConversion"/>
  </si>
  <si>
    <t>瀝青混凝土面層刨除，刨除料運費.</t>
    <phoneticPr fontId="3" type="noConversion"/>
  </si>
  <si>
    <t>場鑄結構混凝土用模板，清水模板，甲種.</t>
    <phoneticPr fontId="3" type="noConversion"/>
  </si>
  <si>
    <t>場鑄結構混凝土用模板，清水模板，丙種.</t>
    <phoneticPr fontId="3" type="noConversion"/>
  </si>
  <si>
    <t>鋼製模板，U型溝用，W=40cm，L=120cm.</t>
    <phoneticPr fontId="3" type="noConversion"/>
  </si>
  <si>
    <t>鋼製模板，U型溝用，W=40cm，L=120cm，H&gt;80cm.</t>
    <phoneticPr fontId="3" type="noConversion"/>
  </si>
  <si>
    <t>鋼製模板，U型溝用，W=50cm，L=120cm.</t>
    <phoneticPr fontId="3" type="noConversion"/>
  </si>
  <si>
    <t>鋼製模板，U型溝用，W=50cm，L=120cm，H&gt;80cm.</t>
    <phoneticPr fontId="3" type="noConversion"/>
  </si>
  <si>
    <t>鋼製模板，U型溝用，W=60cm，L=120cm.</t>
    <phoneticPr fontId="3" type="noConversion"/>
  </si>
  <si>
    <t>鋼製模板，U型溝用，W=60cm，L=120cm，H&gt;80cm.</t>
    <phoneticPr fontId="3" type="noConversion"/>
  </si>
  <si>
    <t>鋼筋，SD280.</t>
    <phoneticPr fontId="3" type="noConversion"/>
  </si>
  <si>
    <t>鋼筋，SD280W.</t>
    <phoneticPr fontId="3" type="noConversion"/>
  </si>
  <si>
    <t>鋼筋，SD420.</t>
    <phoneticPr fontId="3" type="noConversion"/>
  </si>
  <si>
    <t>鋼筋，SD420W.</t>
    <phoneticPr fontId="3" type="noConversion"/>
  </si>
  <si>
    <t>工程名稱：114年度續約-113年度雨水下水道預約維護工程(士林、大同區)</t>
  </si>
  <si>
    <t>工程編號：114 070020302 037 07</t>
  </si>
  <si>
    <t>工程名稱：114年度續約-113年度雨水下水道預約維護工程(士林、大同區)</t>
    <phoneticPr fontId="3" type="noConversion"/>
  </si>
  <si>
    <t>114年度續約-113雨水(士大)</t>
    <phoneticPr fontId="3" type="noConversion"/>
  </si>
  <si>
    <t>114年度續約-113雨水(中松)</t>
    <phoneticPr fontId="3" type="noConversion"/>
  </si>
  <si>
    <t>施工地點：臺北市中山、松山、士林、大同、北投區</t>
  </si>
  <si>
    <t>工程編號：114 070020302 037 10</t>
  </si>
  <si>
    <t>工程名稱：114年度續約-113年度雨水下水道緊急搶修預約維護工程(北區)</t>
    <phoneticPr fontId="3" type="noConversion"/>
  </si>
  <si>
    <t>114年度續約-113雨水(搶修)</t>
    <phoneticPr fontId="3" type="noConversion"/>
  </si>
  <si>
    <t>1.453</t>
  </si>
  <si>
    <t xml:space="preserve">分析表361
</t>
  </si>
  <si>
    <t>1.454</t>
  </si>
  <si>
    <t>產品，太空包，聚丙烯袋</t>
  </si>
  <si>
    <t>1.455</t>
  </si>
  <si>
    <t>產品，止水帶，聚氯乙烯，A型，220×9mm</t>
  </si>
  <si>
    <t>1.456</t>
  </si>
  <si>
    <t>產品，混凝土附屬品，止水帶，複合式塑膠及水膨脹性橡膠，型1，寬度≧220mm</t>
  </si>
  <si>
    <t>1.457</t>
  </si>
  <si>
    <t>1.458</t>
  </si>
  <si>
    <t>水玻璃藥液</t>
  </si>
  <si>
    <t>1.459</t>
  </si>
  <si>
    <t>地盤改良灌漿(第二型)，施工費，不含水泥及水玻璃</t>
  </si>
  <si>
    <t xml:space="preserve">分析表362
</t>
  </si>
  <si>
    <t xml:space="preserve">分析表363
</t>
    <phoneticPr fontId="3" type="noConversion"/>
  </si>
  <si>
    <t xml:space="preserve">分析表364
</t>
    <phoneticPr fontId="3" type="noConversion"/>
  </si>
  <si>
    <t>鑽孔設備</t>
  </si>
  <si>
    <t>拌合及灌漿設備(含發電機)</t>
  </si>
  <si>
    <t>機具不分類，混凝土拌和用其他機電</t>
  </si>
  <si>
    <t>產品，25kg/包預拌無收縮水泥砂漿，抗壓強度350kgf/cm2</t>
  </si>
  <si>
    <t>分析表363</t>
    <phoneticPr fontId="3" type="noConversion"/>
  </si>
  <si>
    <t>分析表364</t>
    <phoneticPr fontId="3" type="noConversion"/>
  </si>
  <si>
    <t>工程名稱：114年度續約-113年度雨水下水道預約維護工程(北投區)</t>
  </si>
  <si>
    <t>施工地點：臺北市北投區</t>
  </si>
  <si>
    <t>工程編號：114 070020302 037 08</t>
  </si>
  <si>
    <t>114年度續約-113年度雨水(北投)</t>
    <phoneticPr fontId="3" type="noConversion"/>
  </si>
  <si>
    <t>015566110A</t>
  </si>
  <si>
    <t>015566120A</t>
  </si>
  <si>
    <t>015566130A</t>
  </si>
  <si>
    <t>015568000A</t>
  </si>
  <si>
    <t>0155690008</t>
  </si>
  <si>
    <t>02891A0003</t>
  </si>
  <si>
    <t>02891B0003</t>
  </si>
  <si>
    <t>01556K1007</t>
  </si>
  <si>
    <t>01556L000A</t>
  </si>
  <si>
    <t>015741010J</t>
  </si>
  <si>
    <t>015832000A</t>
  </si>
  <si>
    <t>015832100A</t>
  </si>
  <si>
    <t>015832200A</t>
  </si>
  <si>
    <t>015742D108</t>
  </si>
  <si>
    <t>015742110L</t>
  </si>
  <si>
    <t>015742320C</t>
  </si>
  <si>
    <t>0157424228</t>
  </si>
  <si>
    <t>015742672M</t>
  </si>
  <si>
    <t>015742710M</t>
  </si>
  <si>
    <t>015742870G</t>
  </si>
  <si>
    <t>0157429108</t>
  </si>
  <si>
    <t>0157429517</t>
  </si>
  <si>
    <t>015742A107</t>
  </si>
  <si>
    <t>0157428A0G</t>
  </si>
  <si>
    <t>015742D408</t>
  </si>
  <si>
    <t>0152101202</t>
  </si>
  <si>
    <t>L000007000004</t>
  </si>
  <si>
    <t>0157433004</t>
  </si>
  <si>
    <t>0157400004</t>
  </si>
  <si>
    <t>01510C100F</t>
  </si>
  <si>
    <t>01510C2004</t>
  </si>
  <si>
    <t>01510C6004</t>
  </si>
  <si>
    <t>01510C7004</t>
  </si>
  <si>
    <t>01510C8004</t>
  </si>
  <si>
    <t>0225305002</t>
  </si>
  <si>
    <t>(壹.一~壹.八*)_x000D_
[約10.94603736%]</t>
  </si>
  <si>
    <t>L0000051000Q1</t>
  </si>
  <si>
    <t>L000005301021</t>
  </si>
  <si>
    <t>L000005300061</t>
  </si>
  <si>
    <t>L000006A00001</t>
  </si>
  <si>
    <t>L000005000301</t>
  </si>
  <si>
    <t>E000002500BA1</t>
  </si>
  <si>
    <t>E000002880001</t>
  </si>
  <si>
    <t>E000003903001</t>
  </si>
  <si>
    <t>E000003400001</t>
  </si>
  <si>
    <t>E000003415001</t>
  </si>
  <si>
    <t>E000003435001</t>
  </si>
  <si>
    <t>E000003E10001</t>
  </si>
  <si>
    <t>E000004101201</t>
  </si>
  <si>
    <t>E000004407001</t>
  </si>
  <si>
    <t>E000002420001</t>
  </si>
  <si>
    <t>0222010E23</t>
  </si>
  <si>
    <t>0222010423</t>
  </si>
  <si>
    <t>023215F00A</t>
  </si>
  <si>
    <t>02321PWD05AB1</t>
  </si>
  <si>
    <t>0222020433</t>
  </si>
  <si>
    <t>023214D00A</t>
  </si>
  <si>
    <t>023214F00A</t>
  </si>
  <si>
    <t>023215D00A</t>
  </si>
  <si>
    <t>0231600Z6A</t>
  </si>
  <si>
    <t>0222020E03</t>
  </si>
  <si>
    <t>0222020403</t>
  </si>
  <si>
    <t>222010403</t>
  </si>
  <si>
    <t>0222010E03</t>
  </si>
  <si>
    <t>023214D10A</t>
  </si>
  <si>
    <t>023214F01A</t>
  </si>
  <si>
    <t>023215D10A</t>
  </si>
  <si>
    <t>023215F01A</t>
  </si>
  <si>
    <t>023210E00A</t>
  </si>
  <si>
    <t>0231601Z6A</t>
  </si>
  <si>
    <t>0222020E33</t>
  </si>
  <si>
    <t>022201E201</t>
  </si>
  <si>
    <t>0222010E01</t>
  </si>
  <si>
    <t>0296103003</t>
  </si>
  <si>
    <t>0296103023</t>
  </si>
  <si>
    <t>02325C0001</t>
  </si>
  <si>
    <t>023250A00A</t>
  </si>
  <si>
    <t>023250500A</t>
  </si>
  <si>
    <t>023250B001</t>
  </si>
  <si>
    <t>023250D00A</t>
  </si>
  <si>
    <t>02234W0002</t>
  </si>
  <si>
    <t>02233A1003</t>
  </si>
  <si>
    <t>023310000B</t>
  </si>
  <si>
    <t>023174000A</t>
  </si>
  <si>
    <t>02931BDD101</t>
  </si>
  <si>
    <t>02323400003</t>
  </si>
  <si>
    <t>02323PWD30B03</t>
  </si>
  <si>
    <t>023234004A</t>
  </si>
  <si>
    <t>023234006A</t>
  </si>
  <si>
    <t>023232000A</t>
  </si>
  <si>
    <t>02323PWD0A001</t>
  </si>
  <si>
    <t>02323H0003</t>
  </si>
  <si>
    <t>0233600002</t>
  </si>
  <si>
    <t>027261000B</t>
  </si>
  <si>
    <t>02319130BA</t>
  </si>
  <si>
    <t>02319140BA</t>
  </si>
  <si>
    <t>0274512002</t>
  </si>
  <si>
    <t>0274711002</t>
  </si>
  <si>
    <t>0274205303</t>
  </si>
  <si>
    <t>0274203303</t>
  </si>
  <si>
    <t>0274205B03</t>
  </si>
  <si>
    <t>0274203B03</t>
  </si>
  <si>
    <t>0279605303</t>
  </si>
  <si>
    <t>0279605313</t>
  </si>
  <si>
    <t>0279800003</t>
  </si>
  <si>
    <t>0296613003</t>
  </si>
  <si>
    <t>02966130B3</t>
  </si>
  <si>
    <t>0296615003</t>
  </si>
  <si>
    <t>02966150B3</t>
  </si>
  <si>
    <t>0295240003</t>
  </si>
  <si>
    <t>0296140332</t>
  </si>
  <si>
    <t>0296140432</t>
  </si>
  <si>
    <t>0296190332</t>
  </si>
  <si>
    <t>0296190432</t>
  </si>
  <si>
    <t>02220PWD00021</t>
  </si>
  <si>
    <t>02220PWD00031</t>
  </si>
  <si>
    <t>02220#0041</t>
  </si>
  <si>
    <t>0331023003</t>
  </si>
  <si>
    <t>0331024003</t>
  </si>
  <si>
    <t>0331025003</t>
  </si>
  <si>
    <t>0331026003</t>
  </si>
  <si>
    <t>0331027003</t>
  </si>
  <si>
    <t>0331029003</t>
  </si>
  <si>
    <t>0331013003</t>
  </si>
  <si>
    <t>0331014003</t>
  </si>
  <si>
    <t>0331015003</t>
  </si>
  <si>
    <t>0331016003</t>
  </si>
  <si>
    <t>033100E0B3</t>
  </si>
  <si>
    <t>030521#231</t>
  </si>
  <si>
    <t>0337700003</t>
  </si>
  <si>
    <t>03310000Z5</t>
  </si>
  <si>
    <t>0336020002</t>
  </si>
  <si>
    <t>0311021102</t>
  </si>
  <si>
    <t>0311021202</t>
  </si>
  <si>
    <t>0311021302</t>
  </si>
  <si>
    <t>0311011202</t>
  </si>
  <si>
    <t>0311011302</t>
  </si>
  <si>
    <t>03110960a1</t>
  </si>
  <si>
    <t>03110960a2</t>
  </si>
  <si>
    <t>03110960b1</t>
  </si>
  <si>
    <t>03110960b2</t>
  </si>
  <si>
    <t>03110960c1</t>
  </si>
  <si>
    <t>03110960c2</t>
  </si>
  <si>
    <t>0311021112</t>
  </si>
  <si>
    <t>0311021212</t>
  </si>
  <si>
    <t>0311021312</t>
  </si>
  <si>
    <t>0311011212</t>
  </si>
  <si>
    <t>0311011312</t>
  </si>
  <si>
    <t>03110900a1</t>
  </si>
  <si>
    <t>03110900a2</t>
  </si>
  <si>
    <t>03110900b1</t>
  </si>
  <si>
    <t>03110900b2</t>
  </si>
  <si>
    <t>03110900c1</t>
  </si>
  <si>
    <t>03110900c2</t>
  </si>
  <si>
    <t>0321040009</t>
  </si>
  <si>
    <t>0321030009</t>
  </si>
  <si>
    <t>0321050009</t>
  </si>
  <si>
    <t>0321060009</t>
  </si>
  <si>
    <t>0321031009</t>
  </si>
  <si>
    <t>0321041009</t>
  </si>
  <si>
    <t>0321051009</t>
  </si>
  <si>
    <t>0321061009</t>
  </si>
  <si>
    <t>05500R1009</t>
  </si>
  <si>
    <t>0550011009</t>
  </si>
  <si>
    <t>M0550010009</t>
  </si>
  <si>
    <t>05500Pc009</t>
  </si>
  <si>
    <t>05500Pd009</t>
  </si>
  <si>
    <t>06050100F1</t>
  </si>
  <si>
    <t>M0322004732</t>
  </si>
  <si>
    <t>03110700h2</t>
  </si>
  <si>
    <t>03110700J2</t>
  </si>
  <si>
    <t>0311090012</t>
  </si>
  <si>
    <t>032100E2GB</t>
  </si>
  <si>
    <t>032100E3GB</t>
  </si>
  <si>
    <t>032100E4GB</t>
  </si>
  <si>
    <t>032100E5GB</t>
  </si>
  <si>
    <t>032100E6GB</t>
  </si>
  <si>
    <t>032100E7GB</t>
  </si>
  <si>
    <t>02472PWD02301</t>
  </si>
  <si>
    <t>02472PWD03301</t>
  </si>
  <si>
    <t>02472PWD04301</t>
  </si>
  <si>
    <t>0225514811</t>
  </si>
  <si>
    <t>0225513611</t>
  </si>
  <si>
    <t>0225512711</t>
  </si>
  <si>
    <t>0225630001</t>
  </si>
  <si>
    <t>0225620022</t>
  </si>
  <si>
    <t xml:space="preserve">0225540321
</t>
  </si>
  <si>
    <t xml:space="preserve">0225540121
</t>
  </si>
  <si>
    <t>0225540621</t>
  </si>
  <si>
    <t>0225540921</t>
  </si>
  <si>
    <t>0225540D21</t>
  </si>
  <si>
    <t>0225540G21</t>
  </si>
  <si>
    <t>0225520001</t>
  </si>
  <si>
    <t>0225530001</t>
  </si>
  <si>
    <t>02255200V1</t>
  </si>
  <si>
    <t>02255300V1</t>
  </si>
  <si>
    <t>0225540051</t>
  </si>
  <si>
    <t>02255400U1</t>
  </si>
  <si>
    <t>0225520E31</t>
  </si>
  <si>
    <t>0225530E31</t>
  </si>
  <si>
    <t>0225540E31</t>
  </si>
  <si>
    <t>02386PWDA1302</t>
  </si>
  <si>
    <t>0922010012</t>
  </si>
  <si>
    <t>0922020012</t>
  </si>
  <si>
    <t>0922030042</t>
  </si>
  <si>
    <t>0406110003</t>
  </si>
  <si>
    <t>0406120003</t>
  </si>
  <si>
    <t>0406130003</t>
  </si>
  <si>
    <t>0238630302</t>
  </si>
  <si>
    <t>0238630402</t>
  </si>
  <si>
    <t>0238630502</t>
  </si>
  <si>
    <t>0922030012</t>
  </si>
  <si>
    <t>02374CD008</t>
  </si>
  <si>
    <t>0234420701</t>
  </si>
  <si>
    <t>02381A010A</t>
  </si>
  <si>
    <t>0337225002</t>
  </si>
  <si>
    <t>0337201003</t>
  </si>
  <si>
    <t>033722V022</t>
  </si>
  <si>
    <t>03372PWDB0SAE</t>
  </si>
  <si>
    <t>0393010009</t>
  </si>
  <si>
    <t>026100C001</t>
  </si>
  <si>
    <t>0335021002</t>
  </si>
  <si>
    <t>026108803H</t>
  </si>
  <si>
    <t>026100D001</t>
  </si>
  <si>
    <t>026108903H</t>
  </si>
  <si>
    <t>026100F001</t>
  </si>
  <si>
    <t>026108B03H</t>
  </si>
  <si>
    <t>026100H001</t>
  </si>
  <si>
    <t>026108D03H</t>
  </si>
  <si>
    <t>026100L001</t>
  </si>
  <si>
    <t>026108F03H</t>
  </si>
  <si>
    <t>026100N0Z1</t>
  </si>
  <si>
    <t>026108T03H</t>
  </si>
  <si>
    <t>026102D321</t>
  </si>
  <si>
    <t>026102F321</t>
  </si>
  <si>
    <t>026102H321</t>
  </si>
  <si>
    <t>026102L321</t>
  </si>
  <si>
    <t>026102M321</t>
  </si>
  <si>
    <t>026102N321</t>
  </si>
  <si>
    <t>026102P321</t>
  </si>
  <si>
    <t>026102Q321</t>
  </si>
  <si>
    <t>026102R321</t>
  </si>
  <si>
    <t>026100B90H</t>
  </si>
  <si>
    <t>026100BB0H</t>
  </si>
  <si>
    <t>026100BD0H</t>
  </si>
  <si>
    <t>026100BF0H</t>
  </si>
  <si>
    <t>026100BG0H</t>
  </si>
  <si>
    <t>026100BH0H</t>
  </si>
  <si>
    <t>026100BJ0H</t>
  </si>
  <si>
    <t>026100BL0H</t>
  </si>
  <si>
    <t>02610PWD0A331</t>
  </si>
  <si>
    <t>02610PWD0A441</t>
  </si>
  <si>
    <t>02610PWD0A551</t>
  </si>
  <si>
    <t>03150231C1</t>
  </si>
  <si>
    <t>034006100A</t>
  </si>
  <si>
    <t>034006300A</t>
  </si>
  <si>
    <t>034006500A</t>
  </si>
  <si>
    <t>034006700A</t>
  </si>
  <si>
    <t>034006800A</t>
  </si>
  <si>
    <t>034007200A</t>
  </si>
  <si>
    <t>034007400A</t>
  </si>
  <si>
    <t>034007600A</t>
  </si>
  <si>
    <t>034007800A</t>
  </si>
  <si>
    <t>034003112A</t>
  </si>
  <si>
    <t>034003212A</t>
  </si>
  <si>
    <t>034003312A</t>
  </si>
  <si>
    <t>034003122A</t>
  </si>
  <si>
    <t>034003222A</t>
  </si>
  <si>
    <t>034003322A</t>
  </si>
  <si>
    <t>034004112A</t>
  </si>
  <si>
    <t>034004212A</t>
  </si>
  <si>
    <t>034004312A</t>
  </si>
  <si>
    <t>034004122A</t>
  </si>
  <si>
    <t>034004322A</t>
  </si>
  <si>
    <t>0553082008</t>
  </si>
  <si>
    <t>0553083008</t>
  </si>
  <si>
    <t>0553072008</t>
  </si>
  <si>
    <t>0553073008</t>
  </si>
  <si>
    <t>0553074008</t>
  </si>
  <si>
    <t>0553070009</t>
  </si>
  <si>
    <t>0553062008</t>
  </si>
  <si>
    <t>0553063008</t>
  </si>
  <si>
    <t>0553064008</t>
  </si>
  <si>
    <t>03400K102A</t>
  </si>
  <si>
    <t>03400M102A</t>
  </si>
  <si>
    <t>02631P110C</t>
  </si>
  <si>
    <t>02631P212C</t>
  </si>
  <si>
    <t>02631P211C</t>
  </si>
  <si>
    <t>055626021C</t>
  </si>
  <si>
    <t>055626011C</t>
  </si>
  <si>
    <t>02631T210C</t>
  </si>
  <si>
    <t>02631T220C</t>
  </si>
  <si>
    <t>02631T110C</t>
  </si>
  <si>
    <t>02631S000C</t>
  </si>
  <si>
    <t>0277850021</t>
  </si>
  <si>
    <t>M0963710902</t>
  </si>
  <si>
    <t>0234210212</t>
  </si>
  <si>
    <t>06100M0002</t>
  </si>
  <si>
    <t>06100M000B</t>
  </si>
  <si>
    <t>M06060B00SB</t>
  </si>
  <si>
    <t>0315030001</t>
  </si>
  <si>
    <t>0978000002</t>
  </si>
  <si>
    <t>0978100002</t>
  </si>
  <si>
    <t>0978200002</t>
  </si>
  <si>
    <t>02631N201B</t>
  </si>
  <si>
    <t>02631N202B</t>
  </si>
  <si>
    <t>02631N101B</t>
  </si>
  <si>
    <t>02631N102B</t>
  </si>
  <si>
    <t>02631N301B</t>
  </si>
  <si>
    <t>02631N302B</t>
  </si>
  <si>
    <t>02610ZT002</t>
  </si>
  <si>
    <t>028432A001</t>
  </si>
  <si>
    <t>028432B001</t>
  </si>
  <si>
    <t>028432C001</t>
  </si>
  <si>
    <t>028432D001</t>
  </si>
  <si>
    <t>161323006041</t>
  </si>
  <si>
    <t>161323007041</t>
  </si>
  <si>
    <t>161323009041</t>
  </si>
  <si>
    <t>16132300A041</t>
  </si>
  <si>
    <t>16132300B041</t>
  </si>
  <si>
    <t>16132300C041</t>
  </si>
  <si>
    <t>151072DF0011</t>
  </si>
  <si>
    <t>151072EH0011</t>
  </si>
  <si>
    <t>151072FK0011</t>
  </si>
  <si>
    <t>151072GN0011</t>
  </si>
  <si>
    <t>151072JR0011</t>
  </si>
  <si>
    <t>0154011102</t>
  </si>
  <si>
    <t>0154011202</t>
  </si>
  <si>
    <t>0153210012</t>
  </si>
  <si>
    <t>01532AB002</t>
  </si>
  <si>
    <t>01532C0002</t>
  </si>
  <si>
    <t>15110X150R08</t>
  </si>
  <si>
    <t>05500h0R0A</t>
  </si>
  <si>
    <t>05500f4R0A</t>
  </si>
  <si>
    <t>05500FAA14</t>
  </si>
  <si>
    <t>05500FAB14</t>
  </si>
  <si>
    <t>05500FAC18</t>
  </si>
  <si>
    <t>02900B100C</t>
  </si>
  <si>
    <t>0292012C02</t>
  </si>
  <si>
    <t>0292000U02</t>
  </si>
  <si>
    <t>0422200002</t>
  </si>
  <si>
    <t>02922000211</t>
  </si>
  <si>
    <t>02233A0002</t>
  </si>
  <si>
    <t>0223102002</t>
  </si>
  <si>
    <t>0223109002</t>
  </si>
  <si>
    <t>02234A0001</t>
  </si>
  <si>
    <t>029351C32A</t>
  </si>
  <si>
    <t>02234A0002</t>
  </si>
  <si>
    <t>02234A0003</t>
  </si>
  <si>
    <t>02240B100D</t>
  </si>
  <si>
    <t>02240B200D</t>
  </si>
  <si>
    <t>01271AB101</t>
  </si>
  <si>
    <t>01271AB201</t>
  </si>
  <si>
    <t>01510522BD</t>
  </si>
  <si>
    <t>01510533BD</t>
  </si>
  <si>
    <t>01510532BD</t>
  </si>
  <si>
    <t>01572D0007</t>
  </si>
  <si>
    <t>0226210003</t>
  </si>
  <si>
    <t>050900GGCA</t>
  </si>
  <si>
    <t>050900MH0A</t>
  </si>
  <si>
    <t>02220301BE</t>
  </si>
  <si>
    <t>M0556210008</t>
  </si>
  <si>
    <t>M050900M80A</t>
  </si>
  <si>
    <t>0250611011</t>
  </si>
  <si>
    <t>03400B0007</t>
  </si>
  <si>
    <t>03400R0007</t>
  </si>
  <si>
    <t>03400X000A</t>
  </si>
  <si>
    <t>03400Y000A</t>
  </si>
  <si>
    <t>151070000001</t>
  </si>
  <si>
    <t>022180A005</t>
  </si>
  <si>
    <t>012714000A</t>
  </si>
  <si>
    <t>012714100A</t>
  </si>
  <si>
    <t>02742B0H03</t>
  </si>
  <si>
    <t>0151111021</t>
  </si>
  <si>
    <t>0151112021</t>
  </si>
  <si>
    <t>0151111221</t>
  </si>
  <si>
    <t>0151112221</t>
  </si>
  <si>
    <t>01510CC11G</t>
  </si>
  <si>
    <t>01510CC12G</t>
  </si>
  <si>
    <t>0221071026</t>
  </si>
  <si>
    <t>0221071123</t>
  </si>
  <si>
    <t>0221072026</t>
  </si>
  <si>
    <t>0221072123</t>
  </si>
  <si>
    <t>0221092102</t>
  </si>
  <si>
    <t>0221092202</t>
  </si>
  <si>
    <t>0151113021</t>
  </si>
  <si>
    <t>0151113221</t>
  </si>
  <si>
    <t>02742000S3</t>
  </si>
  <si>
    <t>0274200BS3</t>
  </si>
  <si>
    <t>0274200NS3</t>
  </si>
  <si>
    <t>027420BNS3</t>
  </si>
  <si>
    <t>02742040B3</t>
  </si>
  <si>
    <t>02742050B3</t>
  </si>
  <si>
    <t>02742D3003</t>
  </si>
  <si>
    <t>02742D5003</t>
  </si>
  <si>
    <t>0274293G03</t>
  </si>
  <si>
    <t>0296150001</t>
  </si>
  <si>
    <t>0296150N01</t>
  </si>
  <si>
    <t>0250111111</t>
  </si>
  <si>
    <t>0250111121</t>
  </si>
  <si>
    <t>0250111211</t>
  </si>
  <si>
    <t>0250111221</t>
  </si>
  <si>
    <t>0250111311</t>
  </si>
  <si>
    <t>0250111321</t>
  </si>
  <si>
    <t>0250112411</t>
  </si>
  <si>
    <t>0250112421</t>
  </si>
  <si>
    <t>0250112511</t>
  </si>
  <si>
    <t>0250112521</t>
  </si>
  <si>
    <t>0172521202</t>
  </si>
  <si>
    <t>01725W0B5D</t>
  </si>
  <si>
    <t>013210000B</t>
  </si>
  <si>
    <t>013210100b</t>
  </si>
  <si>
    <t>01564L4001</t>
  </si>
  <si>
    <t>01564C4001</t>
  </si>
  <si>
    <t>015640B002</t>
  </si>
  <si>
    <t>01510B000G</t>
  </si>
  <si>
    <t>L015566G01001</t>
  </si>
  <si>
    <t>L015566G02001</t>
  </si>
  <si>
    <t>01556D300F</t>
  </si>
  <si>
    <t>01556H1001</t>
  </si>
  <si>
    <t>01556C00A1</t>
  </si>
  <si>
    <t>0289190002</t>
  </si>
  <si>
    <t>02891A5007</t>
  </si>
  <si>
    <t>0289100202</t>
  </si>
  <si>
    <t>05500p4008</t>
  </si>
  <si>
    <t>05500S4601</t>
  </si>
  <si>
    <t>028915WE13</t>
  </si>
  <si>
    <t>0289821205</t>
  </si>
  <si>
    <t>0289250007</t>
  </si>
  <si>
    <t>02899#B001</t>
  </si>
  <si>
    <t>01556M100A</t>
  </si>
  <si>
    <t>01556M200A</t>
  </si>
  <si>
    <t>0289205007</t>
  </si>
  <si>
    <t>0289821302</t>
  </si>
  <si>
    <t>01450D10A8</t>
  </si>
  <si>
    <t>01450B11U7</t>
  </si>
  <si>
    <t>01450D1CY8</t>
  </si>
  <si>
    <t>01450D1CZ8</t>
  </si>
  <si>
    <t>01450D1D38</t>
  </si>
  <si>
    <t>01450D1008</t>
  </si>
  <si>
    <t>01450D1Z18</t>
  </si>
  <si>
    <t>01450D1Z2L</t>
  </si>
  <si>
    <t>01450D11Y8</t>
  </si>
  <si>
    <t>01450D16Q8</t>
  </si>
  <si>
    <t>01450DI258</t>
  </si>
  <si>
    <t>0145000024</t>
  </si>
  <si>
    <t>01450D19T8</t>
  </si>
  <si>
    <t>01450D1D1R</t>
  </si>
  <si>
    <t>01450D1C24</t>
  </si>
  <si>
    <t>01450A10E1</t>
  </si>
  <si>
    <t>01450A10F1</t>
  </si>
  <si>
    <t>01450A10G1</t>
  </si>
  <si>
    <t>01450A10H1</t>
  </si>
  <si>
    <t>01450A81AA</t>
  </si>
  <si>
    <t>01450B91A8</t>
  </si>
  <si>
    <t>01450A1005</t>
  </si>
  <si>
    <t>M026102D30A</t>
  </si>
  <si>
    <t>01572F000E</t>
  </si>
  <si>
    <t>01572H100F</t>
  </si>
  <si>
    <t>0225245113</t>
  </si>
  <si>
    <t>0225245123</t>
  </si>
  <si>
    <t>0225245133</t>
  </si>
  <si>
    <t>01583A500A</t>
  </si>
  <si>
    <t>01583B000A</t>
  </si>
  <si>
    <t>015831110B</t>
  </si>
  <si>
    <t>0155630A0A</t>
  </si>
  <si>
    <t>0155642007</t>
  </si>
  <si>
    <t>0155642707</t>
  </si>
  <si>
    <t>015564080E</t>
  </si>
  <si>
    <t>015566000A</t>
  </si>
  <si>
    <t>工程名稱：114年續約-113年度雨水下水道預約維護工程(北投區)</t>
    <phoneticPr fontId="3" type="noConversion"/>
  </si>
  <si>
    <t>1.</t>
    <phoneticPr fontId="14" type="noConversion"/>
  </si>
  <si>
    <t>平均溝深=</t>
  </si>
  <si>
    <t>溝寬=</t>
  </si>
  <si>
    <t>牆寬=</t>
  </si>
  <si>
    <t>鋼製模板，U型溝用，W=40cm，L=120cm.</t>
  </si>
  <si>
    <t>場鑄結構混凝土用模板，普通模板，丙種.</t>
  </si>
  <si>
    <t>(4)</t>
  </si>
  <si>
    <t>24.</t>
  </si>
  <si>
    <t>25.</t>
  </si>
  <si>
    <t>庭瑋</t>
  </si>
  <si>
    <t>(7*5.3)</t>
    <phoneticPr fontId="58" type="noConversion"/>
  </si>
  <si>
    <t>26.</t>
  </si>
  <si>
    <t>AC回填復舊</t>
  </si>
  <si>
    <t>本案無銑鋪(5cm)</t>
  </si>
  <si>
    <r>
      <t>1.案址位於士林區天母北路87巷13號前：
(1)既有側溝更新(寬0.40m</t>
    </r>
    <r>
      <rPr>
        <sz val="9"/>
        <color theme="1"/>
        <rFont val="Calibri"/>
        <family val="3"/>
      </rPr>
      <t>×</t>
    </r>
    <r>
      <rPr>
        <sz val="9"/>
        <color theme="1"/>
        <rFont val="華康中圓體"/>
        <family val="3"/>
        <charset val="136"/>
      </rPr>
      <t>平均深0.58m[57cm~59cm]，長度5m)。</t>
    </r>
    <phoneticPr fontId="3" type="noConversion"/>
  </si>
  <si>
    <t>側溝更新-溝寬0.4m*平均溝深0.58m 頂板另計</t>
  </si>
  <si>
    <t>既有溝深=</t>
  </si>
  <si>
    <t>既有溝寬=</t>
  </si>
  <si>
    <t>既有牆寬=</t>
  </si>
  <si>
    <t>(0.8*(0.58+0.25)-(0.38*0.4)-((0.2^2)*3.14*0.5))</t>
  </si>
  <si>
    <t>側溝</t>
  </si>
  <si>
    <t>15cm</t>
  </si>
  <si>
    <t>側溝頂板更新(S1)-頂板寬0.8m*頂板厚0.15m</t>
  </si>
  <si>
    <t>施作型式=</t>
  </si>
  <si>
    <t>S1</t>
  </si>
  <si>
    <t>頂板寬=</t>
  </si>
  <si>
    <t>頂板厚=</t>
  </si>
  <si>
    <t>既有型式=</t>
  </si>
  <si>
    <t>側溝頂板更新(S2)-頂板寬0.8m*頂板厚0.15m</t>
  </si>
  <si>
    <t xml:space="preserve">1.案址位於士林區天母北路87巷13號前：
(1)既有側溝更新(寬0.40m×平均深0.58m[57cm~59cm]，長度5m)。_x000D_
2.案址施作時，沿溝蓋板切割路面AC約10公分寬度，於場鑄溝蓋板施作完成後以AC回填復舊。_x000D_
3.施作時上下游請銜接平順_x000D_
4.本案係緊急搶修工程，請施工廠商依指定開工日期進場施作，通報單後補，隱蔽及回填部份請依實際施作數量結算回報。_x000D_
5.依雨水下水道預約維護工程給付項目適用時機規定附表所列項目均須有照片佐證，並依實際狀況計價。_x000D_
</t>
    <phoneticPr fontId="3" type="noConversion"/>
  </si>
  <si>
    <t>銑鋪用料=</t>
  </si>
  <si>
    <t>AC回填</t>
  </si>
  <si>
    <t>銑鋪厚度=</t>
  </si>
  <si>
    <t>採用路面切割10公分復舊-採用AC回填，復舊厚度為15cm</t>
  </si>
  <si>
    <t>採用路面切割10公分復舊-採用AC回填，復舊厚度為15cm</t>
    <phoneticPr fontId="3" type="noConversion"/>
  </si>
  <si>
    <t>AC回填復舊(112)</t>
  </si>
  <si>
    <t>27.</t>
  </si>
  <si>
    <t>28.</t>
  </si>
  <si>
    <t>29.</t>
  </si>
  <si>
    <t>無既有溝</t>
  </si>
  <si>
    <t>集水井新設-井寬0.5m*井深0.75m 頂板另計</t>
  </si>
  <si>
    <t>井深=</t>
  </si>
  <si>
    <t>井寬=</t>
  </si>
  <si>
    <t>6.</t>
    <phoneticPr fontId="3" type="noConversion"/>
  </si>
  <si>
    <t>7.</t>
    <phoneticPr fontId="14" type="noConversion"/>
  </si>
  <si>
    <t>(7)</t>
  </si>
  <si>
    <t>(6)</t>
  </si>
  <si>
    <t>30.</t>
  </si>
  <si>
    <t>暗溝新設-溝寬0.5m*溝深0.47m 頂板另計</t>
  </si>
  <si>
    <t>溝深=</t>
  </si>
  <si>
    <t>餘方自行處理(含水土保持)，總重15t以下傾卸貨車</t>
    <phoneticPr fontId="3" type="noConversion"/>
  </si>
  <si>
    <t>結構用混凝土，預拌，140kgf/cm2</t>
    <phoneticPr fontId="3" type="noConversion"/>
  </si>
  <si>
    <t>(0.4+0.2+0.20)*0.05</t>
    <phoneticPr fontId="3" type="noConversion"/>
  </si>
  <si>
    <t>結構用混凝土，預拌，210kgf/cm2</t>
    <phoneticPr fontId="3" type="noConversion"/>
  </si>
  <si>
    <t>鋼製模板，U型溝用，W=40cm，L=120cm.</t>
    <phoneticPr fontId="3" type="noConversion"/>
  </si>
  <si>
    <t>1</t>
    <phoneticPr fontId="3" type="noConversion"/>
  </si>
  <si>
    <t>鋼筋，SD280W.</t>
    <phoneticPr fontId="3" type="noConversion"/>
  </si>
  <si>
    <t>14.33+5.60</t>
    <phoneticPr fontId="3" type="noConversion"/>
  </si>
  <si>
    <t>(0.8*(0.58+0.25)-(0.38*0.4)-((0.2^2)*3.14*0.5))</t>
    <phoneticPr fontId="3" type="noConversion"/>
  </si>
  <si>
    <t>(0.8*(0.58+0.2)-(0.38*0.4)-((0.2^2)*3.14*0.5))*1.05</t>
    <phoneticPr fontId="3" type="noConversion"/>
  </si>
  <si>
    <t>暗溝頂板更新-頂板寬0.8m*頂板厚0.2m</t>
  </si>
  <si>
    <t>2.</t>
    <phoneticPr fontId="14" type="noConversion"/>
  </si>
  <si>
    <t>3.</t>
    <phoneticPr fontId="14" type="noConversion"/>
  </si>
  <si>
    <t>4.</t>
    <phoneticPr fontId="3" type="noConversion"/>
  </si>
  <si>
    <t>5.</t>
    <phoneticPr fontId="3" type="noConversion"/>
  </si>
  <si>
    <t>既有鋼筋混凝土管(Ø600)修復-脫管修復一處</t>
  </si>
  <si>
    <t>修復</t>
  </si>
  <si>
    <t>管徑(D)=</t>
  </si>
  <si>
    <t>管壁厚(T)=</t>
  </si>
  <si>
    <t>開挖長(L)=</t>
    <phoneticPr fontId="3" type="noConversion"/>
  </si>
  <si>
    <t>開挖寬(W)=</t>
    <phoneticPr fontId="3" type="noConversion"/>
  </si>
  <si>
    <t>開挖深=</t>
    <phoneticPr fontId="3" type="noConversion"/>
  </si>
  <si>
    <t xml:space="preserve">2.案址施作時，沿溝蓋板切割路面AC約10公分寬度，於場鑄溝蓋板施作完成後以AC回填復舊。_x000D_
3.施作時上下游請銜接平順_x000D_
4.本案係緊急搶修工程，請施工廠商依指定開工日期進場施作，通報單後補，隱蔽及回填部份請依實際施作數量結算回報。_x000D_
5.依雨水下水道預約維護工程給付項目適用時機規定附表所列項目均須有照片佐證，並依實際狀況計價。_x000D_
</t>
    <phoneticPr fontId="3" type="noConversion"/>
  </si>
  <si>
    <r>
      <t>詳</t>
    </r>
    <r>
      <rPr>
        <sz val="16"/>
        <rFont val="Arial"/>
        <family val="2"/>
      </rPr>
      <t xml:space="preserve"> </t>
    </r>
    <r>
      <rPr>
        <sz val="16"/>
        <rFont val="標楷體"/>
        <family val="4"/>
        <charset val="136"/>
      </rPr>
      <t>細</t>
    </r>
    <r>
      <rPr>
        <sz val="16"/>
        <rFont val="Arial"/>
        <family val="2"/>
      </rPr>
      <t xml:space="preserve"> </t>
    </r>
    <r>
      <rPr>
        <sz val="16"/>
        <rFont val="標楷體"/>
        <family val="4"/>
        <charset val="136"/>
      </rPr>
      <t>價</t>
    </r>
    <r>
      <rPr>
        <sz val="16"/>
        <rFont val="Arial"/>
        <family val="2"/>
      </rPr>
      <t xml:space="preserve"> </t>
    </r>
    <r>
      <rPr>
        <sz val="16"/>
        <rFont val="標楷體"/>
        <family val="4"/>
        <charset val="136"/>
      </rPr>
      <t>目</t>
    </r>
    <r>
      <rPr>
        <sz val="16"/>
        <rFont val="Arial"/>
        <family val="2"/>
      </rPr>
      <t xml:space="preserve"> </t>
    </r>
    <r>
      <rPr>
        <sz val="16"/>
        <rFont val="標楷體"/>
        <family val="4"/>
        <charset val="136"/>
      </rPr>
      <t>表</t>
    </r>
    <phoneticPr fontId="56" type="noConversion"/>
  </si>
  <si>
    <t>114雨水(士大)</t>
    <phoneticPr fontId="3" type="noConversion"/>
  </si>
  <si>
    <r>
      <t>項</t>
    </r>
    <r>
      <rPr>
        <sz val="12"/>
        <rFont val="Arial"/>
        <family val="2"/>
      </rPr>
      <t xml:space="preserve">  </t>
    </r>
    <r>
      <rPr>
        <sz val="12"/>
        <rFont val="標楷體"/>
        <family val="4"/>
        <charset val="136"/>
      </rPr>
      <t>目</t>
    </r>
    <r>
      <rPr>
        <sz val="12"/>
        <rFont val="Arial"/>
        <family val="2"/>
      </rPr>
      <t xml:space="preserve">  </t>
    </r>
    <r>
      <rPr>
        <sz val="12"/>
        <rFont val="標楷體"/>
        <family val="4"/>
        <charset val="136"/>
      </rPr>
      <t>及</t>
    </r>
    <r>
      <rPr>
        <sz val="12"/>
        <rFont val="Arial"/>
        <family val="2"/>
      </rPr>
      <t xml:space="preserve">  </t>
    </r>
    <r>
      <rPr>
        <sz val="12"/>
        <rFont val="標楷體"/>
        <family val="4"/>
        <charset val="136"/>
      </rPr>
      <t>說</t>
    </r>
    <r>
      <rPr>
        <sz val="12"/>
        <rFont val="Arial"/>
        <family val="2"/>
      </rPr>
      <t xml:space="preserve">  </t>
    </r>
    <r>
      <rPr>
        <sz val="12"/>
        <rFont val="標楷體"/>
        <family val="4"/>
        <charset val="136"/>
      </rPr>
      <t>明</t>
    </r>
    <phoneticPr fontId="56" type="noConversion"/>
  </si>
  <si>
    <r>
      <t>單</t>
    </r>
    <r>
      <rPr>
        <sz val="12"/>
        <rFont val="Arial"/>
        <family val="2"/>
      </rPr>
      <t xml:space="preserve">  </t>
    </r>
    <r>
      <rPr>
        <sz val="12"/>
        <rFont val="標楷體"/>
        <family val="4"/>
        <charset val="136"/>
      </rPr>
      <t>價</t>
    </r>
  </si>
  <si>
    <r>
      <t>複</t>
    </r>
    <r>
      <rPr>
        <sz val="12"/>
        <color indexed="9"/>
        <rFont val="Arial"/>
        <family val="2"/>
      </rPr>
      <t xml:space="preserve">  </t>
    </r>
    <r>
      <rPr>
        <sz val="12"/>
        <color indexed="9"/>
        <rFont val="標楷體"/>
        <family val="4"/>
        <charset val="136"/>
      </rPr>
      <t>價</t>
    </r>
  </si>
  <si>
    <r>
      <t>備</t>
    </r>
    <r>
      <rPr>
        <sz val="12"/>
        <rFont val="Arial"/>
        <family val="2"/>
      </rPr>
      <t xml:space="preserve">  </t>
    </r>
    <r>
      <rPr>
        <sz val="12"/>
        <rFont val="標楷體"/>
        <family val="4"/>
        <charset val="136"/>
      </rPr>
      <t>註</t>
    </r>
    <phoneticPr fontId="56" type="noConversion"/>
  </si>
  <si>
    <t>配合技術工之勞工</t>
    <phoneticPr fontId="3" type="noConversion"/>
  </si>
  <si>
    <t xml:space="preserve">0222010E23
分析表1
</t>
  </si>
  <si>
    <t xml:space="preserve">0222010423
分析表2
</t>
  </si>
  <si>
    <t xml:space="preserve">0222010N23
分析表3
</t>
  </si>
  <si>
    <t xml:space="preserve">0222020433
分析表4
</t>
  </si>
  <si>
    <t>0222020403
分析表5
經機關核定每日施工期間未達7小時適用</t>
  </si>
  <si>
    <t xml:space="preserve">0222020E33
分析表6
</t>
  </si>
  <si>
    <t>0222020E03
分析表7
經機關核定每日施工期間未達7小時適用</t>
  </si>
  <si>
    <t xml:space="preserve">02220212N3
分析表8
</t>
  </si>
  <si>
    <t xml:space="preserve">023215F00A
分析表9
</t>
  </si>
  <si>
    <t xml:space="preserve">023214D00A
分析表10
</t>
  </si>
  <si>
    <t xml:space="preserve">02321PWD05AB1
分析表11
</t>
  </si>
  <si>
    <t>023210E00A
分析表12
經機關核定每日施工期間未達7小時適用</t>
  </si>
  <si>
    <t xml:space="preserve">0232105AN1
分析表13
</t>
  </si>
  <si>
    <t xml:space="preserve">023215D00A
分析表14
</t>
  </si>
  <si>
    <t xml:space="preserve">023214F00A
分析表15
</t>
  </si>
  <si>
    <t xml:space="preserve">0231600Z6A
分析表16
</t>
  </si>
  <si>
    <t xml:space="preserve">023160NZ61
分析表17
</t>
  </si>
  <si>
    <t>0222010403
分析表18
經機關核定每日施工期間未達7小時適用</t>
  </si>
  <si>
    <t>0222010E03
分析表19
經機關核定每日施工期間未達7小時適用</t>
  </si>
  <si>
    <t>023214D10A
分析表20
經機關核定每日施工期間未達7小時適用</t>
  </si>
  <si>
    <t>023214F01A
分析表21
經機關核定每日施工期間未達7小時適用</t>
  </si>
  <si>
    <t>023215D10A
分析表22
經機關核定每日施工期間未達7小時適用</t>
  </si>
  <si>
    <t>023215F01A
分析表23
經機關核定每日施工期間未達7小時適用</t>
  </si>
  <si>
    <t>0231601Z6A
分析表24
經機關核定每日施工期間未達7小時適用</t>
  </si>
  <si>
    <t xml:space="preserve">022201E201
分析表25
</t>
  </si>
  <si>
    <t>0222010E01
分析表26
經機關核定每日施工期間未達7小時適用</t>
  </si>
  <si>
    <t xml:space="preserve">0296103003
分析表27
</t>
  </si>
  <si>
    <t>0296103023
分析表28
經機關核定每日施工期間未達7小時適用</t>
  </si>
  <si>
    <t xml:space="preserve">02961030N3
分析表29
</t>
  </si>
  <si>
    <t xml:space="preserve">02325C0001
分析表30
</t>
  </si>
  <si>
    <t xml:space="preserve">023250A00A
分析表31
</t>
  </si>
  <si>
    <t xml:space="preserve">023250500A
分析表32
</t>
  </si>
  <si>
    <t xml:space="preserve">023250B001
分析表33
</t>
  </si>
  <si>
    <t xml:space="preserve">02234W0002
分析表34
</t>
  </si>
  <si>
    <t xml:space="preserve">02233A1003
分析表35
</t>
  </si>
  <si>
    <t xml:space="preserve">023310000B
分析表36
</t>
  </si>
  <si>
    <t xml:space="preserve">023174000A
分析表37
</t>
  </si>
  <si>
    <t xml:space="preserve">02931BDD101
分析表38
</t>
  </si>
  <si>
    <t>02323400003
分析表39
每日產出餘土量≤2M3使用</t>
  </si>
  <si>
    <t xml:space="preserve">0232340003
分析表40
</t>
  </si>
  <si>
    <t xml:space="preserve">023234004A
分析表41
</t>
  </si>
  <si>
    <t xml:space="preserve">023234006A
分析表42
</t>
  </si>
  <si>
    <t>023232000A
分析表43
無棄土費用</t>
  </si>
  <si>
    <t xml:space="preserve">02323PWD0A001
分析表44
</t>
  </si>
  <si>
    <t xml:space="preserve">02323H0003
分析表45
</t>
  </si>
  <si>
    <t xml:space="preserve">0233600002
分析表46
</t>
  </si>
  <si>
    <t xml:space="preserve">027261000B
分析表47
</t>
  </si>
  <si>
    <t xml:space="preserve">02319130BA
分析表48
</t>
  </si>
  <si>
    <t xml:space="preserve">02319140BA
分析表49
</t>
  </si>
  <si>
    <t xml:space="preserve">0274512002
分析表50
</t>
  </si>
  <si>
    <t xml:space="preserve">0274711002
分析表51
</t>
  </si>
  <si>
    <t xml:space="preserve">02747110N2
分析表52
</t>
  </si>
  <si>
    <t xml:space="preserve">0274205303
分析表53
</t>
  </si>
  <si>
    <t xml:space="preserve">0274205B03
分析表54
</t>
  </si>
  <si>
    <t xml:space="preserve">0274203303
分析表56
</t>
  </si>
  <si>
    <t xml:space="preserve">0274203B03
分析表57
</t>
  </si>
  <si>
    <t xml:space="preserve">0274203B53
分析表58
</t>
  </si>
  <si>
    <t xml:space="preserve">0279605303
分析表59
</t>
  </si>
  <si>
    <t xml:space="preserve">0279605313
分析表60
</t>
  </si>
  <si>
    <t xml:space="preserve">02796053N3
分析表61
</t>
  </si>
  <si>
    <t xml:space="preserve">0279800003
分析表62
</t>
  </si>
  <si>
    <t xml:space="preserve">0296613003
分析表63
</t>
  </si>
  <si>
    <t xml:space="preserve">02966130B3
分析表64
</t>
  </si>
  <si>
    <t xml:space="preserve">0296613NB3
分析表65
</t>
  </si>
  <si>
    <t xml:space="preserve">0296615003
分析表66
</t>
  </si>
  <si>
    <t xml:space="preserve">02966150B3
分析表67
</t>
  </si>
  <si>
    <t xml:space="preserve">0296615NB3
分析表68
</t>
  </si>
  <si>
    <t xml:space="preserve">0295240003
分析表69
</t>
  </si>
  <si>
    <t xml:space="preserve">0296140332
分析表70
</t>
  </si>
  <si>
    <t xml:space="preserve">02961403N2
分析表71
</t>
  </si>
  <si>
    <t xml:space="preserve">0296140432
分析表72
</t>
  </si>
  <si>
    <t xml:space="preserve">0296190332
分析表73
</t>
  </si>
  <si>
    <t xml:space="preserve">02961903N2
分析表74
</t>
  </si>
  <si>
    <t xml:space="preserve">0296190432
分析表75
</t>
  </si>
  <si>
    <t xml:space="preserve">02220PWD00021
分析表76
</t>
  </si>
  <si>
    <t xml:space="preserve">02220PWD00031
分析表77
</t>
  </si>
  <si>
    <t xml:space="preserve">02220#0041
分析表78
</t>
  </si>
  <si>
    <t xml:space="preserve">0331023003
分析表79
</t>
  </si>
  <si>
    <t xml:space="preserve">03310230N3
分析表80
</t>
  </si>
  <si>
    <t xml:space="preserve">0331024003
分析表81
</t>
  </si>
  <si>
    <t>03310250N3
分析表83
本項納入「水泥及其製品類」物價指數調整</t>
  </si>
  <si>
    <t xml:space="preserve">0331026003
分析表84
</t>
  </si>
  <si>
    <t>0331027003
分析表85
本項納入「水泥及其製品類」物價指數調整</t>
  </si>
  <si>
    <t>03310270N3
分析表86
本項納入「水泥及其製品類」物價指數調整</t>
  </si>
  <si>
    <t xml:space="preserve">0331029003
分析表87
</t>
  </si>
  <si>
    <t>0331013003
分析表88
本項零星工料包含鋼筋混凝土所需之墊塊費用</t>
  </si>
  <si>
    <t>0331014003
分析表89
本項零星工料包含鋼筋混凝土所需之墊塊費用</t>
  </si>
  <si>
    <t>0331015003
分析表90
本項零星工料包含鋼筋混凝土所需之墊塊費用</t>
  </si>
  <si>
    <t>0331016003
分析表91
本項零星工料包含鋼筋混凝土所需之墊塊費用</t>
  </si>
  <si>
    <t>033100E0B3
分析表92
本項零星工料包含鋼筋混凝土所需之墊塊費用</t>
  </si>
  <si>
    <t>033100E0N3
分析表93
本項零星工料包含鋼筋混凝土所需之墊塊費用</t>
  </si>
  <si>
    <t>03377PWD00An3
分析表95
原名稱「控制性低強度回填材料及澆置」</t>
  </si>
  <si>
    <t xml:space="preserve">030521#231
分析表96
</t>
  </si>
  <si>
    <t xml:space="preserve">0336020002
分析表97
</t>
  </si>
  <si>
    <t>0311021102
分析表98
橋面</t>
  </si>
  <si>
    <t>0311021112
分析表99
經機關核定每日施工期間未達7小時適用</t>
  </si>
  <si>
    <t>0311021202
分析表100
場鑄結構混凝土用模板，(乙種，擋土牆，橋台，車行箱涵等)</t>
  </si>
  <si>
    <t>0311021212
分析表101
場鑄結構混凝土用模板，(乙種，擋土牆，橋台，車行箱涵等)，經機關核定每日施工期間未達7小時適用</t>
  </si>
  <si>
    <t xml:space="preserve">0311021302
分析表102
</t>
  </si>
  <si>
    <t>0311021312
分析表103
經機關核定每日施工期間未達7小時適用</t>
  </si>
  <si>
    <t xml:space="preserve">03110213N2
分析表104
</t>
  </si>
  <si>
    <t>0311011202
分析表105
擋土牆，橋台，車行箱涵等</t>
  </si>
  <si>
    <t>0311011212
分析表106
擋土牆，橋台，車行箱涵等，經機關核定每日施工期間未達7小時適用適用</t>
  </si>
  <si>
    <t>0311011302
分析表107
U型構，集水井，排水箱涵等</t>
  </si>
  <si>
    <t>0311011312
分析表108
U型構，集水井，排水箱涵等，經機關核定每日施工期間未達7小時適用</t>
  </si>
  <si>
    <t>03110113N2
分析表109
U型構，集水井，排水箱涵等</t>
  </si>
  <si>
    <t xml:space="preserve">03110960a1
分析表110
</t>
  </si>
  <si>
    <t xml:space="preserve">03110960a2
分析表111
</t>
  </si>
  <si>
    <t xml:space="preserve">03110960b1
分析表112
</t>
  </si>
  <si>
    <t xml:space="preserve">03110960b2
分析表113
</t>
  </si>
  <si>
    <t xml:space="preserve">03110960c1
分析表114
</t>
  </si>
  <si>
    <t xml:space="preserve">03110960c2
分析表115
</t>
  </si>
  <si>
    <t>03110900a1
分析表116
經機關核定每日施工期間未達7小時適用</t>
  </si>
  <si>
    <t>03110900a2
分析表117
經機關核定每日施工期間未達7小時適用</t>
  </si>
  <si>
    <t>03110900b1
分析表118
經機關核定每日施工期間未達7小時適用</t>
  </si>
  <si>
    <t>03110900b2
分析表119
經機關核定每日施工期間未達7小時適用</t>
  </si>
  <si>
    <t>03110900c1
分析表120
經機關核定每日施工期間未達7小時適用</t>
  </si>
  <si>
    <t>03110900c2
分析表121
經機關核定每日施工期間未達7小時適用</t>
  </si>
  <si>
    <t xml:space="preserve">0311096Na1
分析表122
</t>
  </si>
  <si>
    <t xml:space="preserve">0311096Na2
分析表123
</t>
  </si>
  <si>
    <t xml:space="preserve">0311096Nb1
分析表124
</t>
  </si>
  <si>
    <t xml:space="preserve">0311096Nb2
分析表125
</t>
  </si>
  <si>
    <t xml:space="preserve">0311096NC1
分析表126
</t>
  </si>
  <si>
    <t xml:space="preserve">0311096NC2
分析表127
</t>
  </si>
  <si>
    <t xml:space="preserve">0311090012
分析表128
</t>
  </si>
  <si>
    <t xml:space="preserve">0311090n12
分析表129
</t>
  </si>
  <si>
    <t>0321030009
分析表131
本項納入「鋼筋」物價指數調整</t>
  </si>
  <si>
    <t xml:space="preserve">0321050009
分析表132
</t>
  </si>
  <si>
    <t xml:space="preserve">0321060009
分析表133
</t>
  </si>
  <si>
    <t>0321031009
分析表134
經機關核定每日施工期間未達7小時適用，本項納入「鋼筋」物價指數調整</t>
  </si>
  <si>
    <t>0321041009
分析表135
經機關核定每日施工期間未達7小時適用，本項納入「鋼筋」物價指數調整</t>
  </si>
  <si>
    <t>0321051009
分析表136
經機關核定每日施工期間未達7小時適用</t>
  </si>
  <si>
    <t>0321061009
分析表137
經機關核定每日施工期間未達7小時適用</t>
  </si>
  <si>
    <t>03210400N9
分析表138
本項納入「鋼筋」物價指數調整</t>
  </si>
  <si>
    <t xml:space="preserve">03210600N9
分析表139
</t>
  </si>
  <si>
    <t xml:space="preserve">05500R1009
分析表140
</t>
  </si>
  <si>
    <t xml:space="preserve">05500Pc009
分析表141
</t>
  </si>
  <si>
    <t xml:space="preserve">05500Pd009
分析表142
</t>
  </si>
  <si>
    <t xml:space="preserve">03110700h2
分析表143
</t>
  </si>
  <si>
    <t xml:space="preserve">03110700J2
分析表144
</t>
  </si>
  <si>
    <t>02472PWD02301
分析表145
本項零星工料包含鋼筋籠外側所需之間隔片費用</t>
  </si>
  <si>
    <t>02472PWD03301
分析表146
本項零星工料包含鋼筋籠外側所需之間隔片費用</t>
  </si>
  <si>
    <t>02472PWD04301
分析表147
本項零星工料包含鋼筋籠外側所需之間隔片費用</t>
  </si>
  <si>
    <t xml:space="preserve">0225514811
分析表148
</t>
  </si>
  <si>
    <t xml:space="preserve">0225513611
分析表149
</t>
  </si>
  <si>
    <t xml:space="preserve">0225512711
分析表150
</t>
  </si>
  <si>
    <t xml:space="preserve">0225630001
分析表151
</t>
  </si>
  <si>
    <t xml:space="preserve">0225620022
分析表152
</t>
  </si>
  <si>
    <t>0225540321
分析表153
每M2.5片</t>
  </si>
  <si>
    <t>0225540121
分析表154
每M2.5片</t>
  </si>
  <si>
    <t xml:space="preserve">0225540621
分析表155
</t>
  </si>
  <si>
    <t xml:space="preserve">0225540921
分析表156
</t>
  </si>
  <si>
    <t xml:space="preserve">0225540D21
分析表157
</t>
  </si>
  <si>
    <t xml:space="preserve">0225540G21
分析表158
</t>
  </si>
  <si>
    <t>0225520001
分析表159
租用</t>
  </si>
  <si>
    <t>0225530001
分析表160
租用</t>
  </si>
  <si>
    <t xml:space="preserve">02255200V1
分析表161
</t>
  </si>
  <si>
    <t xml:space="preserve">02255300V1
分析表162
</t>
  </si>
  <si>
    <t>0225540051
分析表163
含運費</t>
  </si>
  <si>
    <t xml:space="preserve">02255400U1
分析表164
</t>
  </si>
  <si>
    <t xml:space="preserve">0225520E31
分析表165
</t>
  </si>
  <si>
    <t xml:space="preserve">0225530E31
分析表166
</t>
  </si>
  <si>
    <t xml:space="preserve">0225540E31
分析表167
</t>
  </si>
  <si>
    <t xml:space="preserve">02386PWDA1302
分析表168
</t>
  </si>
  <si>
    <t xml:space="preserve">0922010012
分析表169
</t>
  </si>
  <si>
    <t xml:space="preserve">0922020012
分析表170
</t>
  </si>
  <si>
    <t>0922030042
分析表171
(適用施作面積200M2以上)</t>
  </si>
  <si>
    <t xml:space="preserve">0406110003
分析表172
</t>
  </si>
  <si>
    <t xml:space="preserve">0406120003
分析表173
</t>
  </si>
  <si>
    <t xml:space="preserve">0406130003
分析表174
</t>
  </si>
  <si>
    <t xml:space="preserve">0238630302
分析表175
</t>
  </si>
  <si>
    <t xml:space="preserve">0238630402
分析表176
</t>
  </si>
  <si>
    <t xml:space="preserve">0238630502
分析表177
</t>
  </si>
  <si>
    <t xml:space="preserve">0922030012
分析表178
</t>
  </si>
  <si>
    <t xml:space="preserve">02374CD008
分析表179
</t>
  </si>
  <si>
    <t xml:space="preserve">0234420701
分析表180
</t>
  </si>
  <si>
    <t xml:space="preserve">02381A010A
分析表181
</t>
  </si>
  <si>
    <t xml:space="preserve">0337225002
分析表182
</t>
  </si>
  <si>
    <t xml:space="preserve">0337201003
分析表183
</t>
  </si>
  <si>
    <t xml:space="preserve">033722V022
分析表184
</t>
  </si>
  <si>
    <t xml:space="preserve">03372PWDB0SAE
分析表185
</t>
  </si>
  <si>
    <t xml:space="preserve">0335021002
分析表186
</t>
  </si>
  <si>
    <t xml:space="preserve">026102D321
分析表187
</t>
  </si>
  <si>
    <t xml:space="preserve">026102F321
分析表188
</t>
  </si>
  <si>
    <t xml:space="preserve">026102H321
分析表189
</t>
  </si>
  <si>
    <t xml:space="preserve">026102L321
分析表190
</t>
  </si>
  <si>
    <t xml:space="preserve">026102M321
分析表191
</t>
  </si>
  <si>
    <t xml:space="preserve">026102N321
分析表192
</t>
  </si>
  <si>
    <t xml:space="preserve">026102P321
分析表193
</t>
  </si>
  <si>
    <t xml:space="preserve">026102Q321
分析表194
</t>
  </si>
  <si>
    <t xml:space="preserve">026102R321
分析表195
</t>
  </si>
  <si>
    <t xml:space="preserve">026100B90H
分析表196
</t>
  </si>
  <si>
    <t xml:space="preserve">026100BB0H
分析表197
</t>
  </si>
  <si>
    <t xml:space="preserve">026100BD0H
分析表198
</t>
  </si>
  <si>
    <t xml:space="preserve">026100BF0H
分析表199
</t>
  </si>
  <si>
    <t xml:space="preserve">026100BG0H
分析表200
</t>
  </si>
  <si>
    <t xml:space="preserve">026100BH0H
分析表201
</t>
  </si>
  <si>
    <t xml:space="preserve">026100BJ0H
分析表202
</t>
  </si>
  <si>
    <t xml:space="preserve">026100BL0H
分析表203
</t>
  </si>
  <si>
    <t xml:space="preserve">034006100A
分析表204
</t>
  </si>
  <si>
    <t xml:space="preserve">034006300A
分析表205
</t>
  </si>
  <si>
    <t xml:space="preserve">034006500A
分析表206
</t>
  </si>
  <si>
    <t xml:space="preserve">034006700A
分析表207
</t>
  </si>
  <si>
    <t xml:space="preserve">034006800A
分析表208
</t>
  </si>
  <si>
    <t xml:space="preserve">034007200A
分析表209
</t>
  </si>
  <si>
    <t xml:space="preserve">034007400A
分析表210
</t>
  </si>
  <si>
    <t xml:space="preserve">034007600A
分析表211
</t>
  </si>
  <si>
    <t xml:space="preserve">034007800A
分析表212
</t>
  </si>
  <si>
    <t xml:space="preserve">034003112A
分析表213
</t>
  </si>
  <si>
    <t xml:space="preserve">034003212A
分析表214
</t>
  </si>
  <si>
    <t xml:space="preserve">034003312A
分析表215
</t>
  </si>
  <si>
    <t xml:space="preserve">034003122A
分析表216
</t>
  </si>
  <si>
    <t xml:space="preserve">034003222A
分析表217
</t>
  </si>
  <si>
    <t xml:space="preserve">034003322A
分析表218
</t>
  </si>
  <si>
    <t xml:space="preserve">034004112A
分析表219
</t>
  </si>
  <si>
    <t xml:space="preserve">034004212A
分析表220
</t>
  </si>
  <si>
    <t xml:space="preserve">034004312A
分析表221
</t>
  </si>
  <si>
    <t xml:space="preserve">034004122A
分析表222
</t>
  </si>
  <si>
    <t xml:space="preserve">034004222A
分析表223
</t>
  </si>
  <si>
    <t xml:space="preserve">034004322A
分析表224
</t>
  </si>
  <si>
    <t xml:space="preserve">055307B008
分析表225
</t>
  </si>
  <si>
    <t xml:space="preserve">055307c008
分析表226
</t>
  </si>
  <si>
    <t xml:space="preserve">055307D008
分析表227
</t>
  </si>
  <si>
    <t xml:space="preserve">0553082008
分析表228
</t>
  </si>
  <si>
    <t xml:space="preserve">0553083008
分析表229
</t>
  </si>
  <si>
    <t xml:space="preserve">0553072008
分析表230
</t>
  </si>
  <si>
    <t xml:space="preserve">0553073008
分析表231
</t>
  </si>
  <si>
    <t xml:space="preserve">0553074008
分析表232
</t>
  </si>
  <si>
    <t xml:space="preserve">0553070009
分析表233
</t>
  </si>
  <si>
    <t xml:space="preserve">0553062008
分析表234
</t>
  </si>
  <si>
    <t xml:space="preserve">0553063008
分析表235
</t>
  </si>
  <si>
    <t xml:space="preserve">0553064008
分析表236
</t>
  </si>
  <si>
    <t xml:space="preserve">03400K102A
分析表237
</t>
  </si>
  <si>
    <t xml:space="preserve">03400M102A
分析表238
</t>
  </si>
  <si>
    <t xml:space="preserve">02631P110C
分析表239
</t>
  </si>
  <si>
    <t xml:space="preserve">02631P212C
分析表240
</t>
  </si>
  <si>
    <t xml:space="preserve">02631P211C
分析表241
</t>
  </si>
  <si>
    <t xml:space="preserve">055626021C
分析表242
</t>
  </si>
  <si>
    <t xml:space="preserve">055626011C
分析表243
</t>
  </si>
  <si>
    <t xml:space="preserve">02631T210C
分析表244
</t>
  </si>
  <si>
    <t xml:space="preserve">02631T220C
分析表245
</t>
  </si>
  <si>
    <t xml:space="preserve">02631T110C
分析表246
</t>
  </si>
  <si>
    <t xml:space="preserve">02631S000C
分析表247
</t>
  </si>
  <si>
    <t xml:space="preserve">0277850021
分析表248
</t>
  </si>
  <si>
    <t xml:space="preserve">02631J0000C
分析表249
</t>
  </si>
  <si>
    <t>06100M0002
分析表250
# T=4cm W=14cm</t>
  </si>
  <si>
    <t>06100M000B
分析表251
# T=4cm W=14cm</t>
  </si>
  <si>
    <t>0991002002
分析表252
#</t>
  </si>
  <si>
    <t xml:space="preserve">0315030001
分析表253
</t>
  </si>
  <si>
    <t xml:space="preserve">031503E001
分析表254
</t>
  </si>
  <si>
    <t xml:space="preserve">031503E0N1
分析表255
</t>
  </si>
  <si>
    <t xml:space="preserve">0978000002
分析表256
</t>
  </si>
  <si>
    <t xml:space="preserve">0978100002
分析表257
</t>
  </si>
  <si>
    <t xml:space="preserve">0978200002
分析表258
</t>
  </si>
  <si>
    <t xml:space="preserve">02631N201B
分析表259
</t>
  </si>
  <si>
    <t xml:space="preserve">02631N202B
分析表260
</t>
  </si>
  <si>
    <t xml:space="preserve">02631N101B
分析表261
</t>
  </si>
  <si>
    <t xml:space="preserve">02631N102B
分析表262
</t>
  </si>
  <si>
    <t xml:space="preserve">02631N301B
分析表263
</t>
  </si>
  <si>
    <t xml:space="preserve">02631N302B
分析表264
</t>
  </si>
  <si>
    <t xml:space="preserve">02610ZT002
分析表265
</t>
  </si>
  <si>
    <t xml:space="preserve">028432A001
分析表266
</t>
  </si>
  <si>
    <t xml:space="preserve">028432B001
分析表267
</t>
  </si>
  <si>
    <t xml:space="preserve">028432C001
分析表268
</t>
  </si>
  <si>
    <t xml:space="preserve">028432D001
分析表269
</t>
  </si>
  <si>
    <t xml:space="preserve">0154011102
分析表270
</t>
  </si>
  <si>
    <t>0154011202
分析表271
需符合中華民國國家標準4750</t>
  </si>
  <si>
    <t xml:space="preserve">0153210012
分析表272
</t>
  </si>
  <si>
    <t>開挖臨時覆蓋板及其支撐，舖設鋼板臨時作為舖面用，厚15mm</t>
    <phoneticPr fontId="3" type="noConversion"/>
  </si>
  <si>
    <t xml:space="preserve">01532AB002
分析表273
</t>
  </si>
  <si>
    <t>01532C1012
分析表274
通行寬度60cm</t>
  </si>
  <si>
    <t>01532C1102
分析表275
通行寬度90cm</t>
  </si>
  <si>
    <t xml:space="preserve">01532AD002
分析表276
</t>
  </si>
  <si>
    <t xml:space="preserve">01532AQ002
分析表277
</t>
  </si>
  <si>
    <t xml:space="preserve">01532AT002
分析表278
</t>
  </si>
  <si>
    <t xml:space="preserve">15110X150R08
分析表279
</t>
  </si>
  <si>
    <t xml:space="preserve">05500h0R0A
分析表280
</t>
  </si>
  <si>
    <t xml:space="preserve">05500f4R0A
分析表281
</t>
  </si>
  <si>
    <t xml:space="preserve">05500FAA14
分析表282
</t>
  </si>
  <si>
    <t>05500FAB14
分析表283
每M3.3支踏步計</t>
  </si>
  <si>
    <t xml:space="preserve">05500FAC18
分析表284
</t>
  </si>
  <si>
    <t>02900B100C
分析表285
穴孔：D=20CM， H=20CM</t>
  </si>
  <si>
    <t xml:space="preserve">0292012C02
分析表286
</t>
  </si>
  <si>
    <t xml:space="preserve">0292000U02
分析表287
</t>
  </si>
  <si>
    <t xml:space="preserve">0422200002
分析表288
</t>
  </si>
  <si>
    <t xml:space="preserve">02233A0002
分析表289
</t>
  </si>
  <si>
    <t xml:space="preserve">0223102002
分析表290
</t>
  </si>
  <si>
    <t xml:space="preserve">0223109002
分析表291
</t>
  </si>
  <si>
    <t xml:space="preserve">02234A0001
分析表292
</t>
  </si>
  <si>
    <t>029351C32A
分析表293
樹高8-10公尺，修剪前樹寬3-5公尺</t>
  </si>
  <si>
    <t xml:space="preserve">02234A0002
分析表294
</t>
  </si>
  <si>
    <t xml:space="preserve">02234A0003
分析表295
</t>
  </si>
  <si>
    <t>02240B100D
分析表296
原名稱：袪水，臨時排水，箱涵用</t>
  </si>
  <si>
    <t>02240B200D
分析表297
原名稱：袪水，臨時排水，RCP用</t>
  </si>
  <si>
    <t xml:space="preserve">01271AB101
分析表298
</t>
  </si>
  <si>
    <t xml:space="preserve">01271AB201
分析表299
</t>
  </si>
  <si>
    <t>01510522BD
分析表300
(含油料及運費)</t>
  </si>
  <si>
    <t>01510533BD
分析表301
(含油料及運費)</t>
  </si>
  <si>
    <t>01510532BD
分析表302
(含油料及運費)</t>
  </si>
  <si>
    <t>01572D0007
分析表303
廢方另計</t>
  </si>
  <si>
    <t xml:space="preserve">0226210003
分析表304
</t>
  </si>
  <si>
    <t xml:space="preserve">022180A005
分析表305
</t>
  </si>
  <si>
    <t>02742B0H03
分析表306
#</t>
  </si>
  <si>
    <t xml:space="preserve">0151111021
分析表307
</t>
  </si>
  <si>
    <t xml:space="preserve">0151112021
分析表308
</t>
  </si>
  <si>
    <t xml:space="preserve">0151111221
分析表309
</t>
  </si>
  <si>
    <t xml:space="preserve">0151112221
分析表310
</t>
  </si>
  <si>
    <t>臨時設施，雜項工程，工地處理，施工動復員，小型機具.</t>
    <phoneticPr fontId="3" type="noConversion"/>
  </si>
  <si>
    <t xml:space="preserve">0221071026
分析表311
</t>
  </si>
  <si>
    <t xml:space="preserve">0221071123
分析表312
</t>
  </si>
  <si>
    <t xml:space="preserve">0221072026
分析表313
</t>
  </si>
  <si>
    <t xml:space="preserve">0221072123
分析表314
</t>
  </si>
  <si>
    <t xml:space="preserve">0151113021
分析表315
</t>
  </si>
  <si>
    <t xml:space="preserve">0151113221
分析表316
</t>
  </si>
  <si>
    <t xml:space="preserve">02742000S3
分析表317
</t>
  </si>
  <si>
    <t xml:space="preserve">0274200BS3
分析表318
</t>
  </si>
  <si>
    <t xml:space="preserve">0274200NS3
分析表319
</t>
  </si>
  <si>
    <t xml:space="preserve">027420BNS3
分析表320
</t>
  </si>
  <si>
    <t xml:space="preserve">02742040B3
分析表321
</t>
  </si>
  <si>
    <t xml:space="preserve">02742050B3
分析表322
</t>
  </si>
  <si>
    <t xml:space="preserve">02742D3003
分析表323
</t>
  </si>
  <si>
    <t xml:space="preserve">02742D5003
分析表324
</t>
  </si>
  <si>
    <t xml:space="preserve">0274293G03
分析表325
</t>
  </si>
  <si>
    <t xml:space="preserve">0296150001
分析表326
</t>
  </si>
  <si>
    <t xml:space="preserve">0296150N01
分析表327
</t>
  </si>
  <si>
    <t xml:space="preserve">0250111111
分析表328
</t>
  </si>
  <si>
    <t xml:space="preserve">0250111121
分析表329
</t>
  </si>
  <si>
    <t xml:space="preserve">0250111211
分析表330
</t>
  </si>
  <si>
    <t xml:space="preserve">0250111221
分析表331
</t>
  </si>
  <si>
    <t xml:space="preserve">0250111311
分析表332
</t>
  </si>
  <si>
    <t xml:space="preserve">0250111321
分析表333
</t>
  </si>
  <si>
    <t xml:space="preserve">0250112411
分析表334
</t>
  </si>
  <si>
    <t xml:space="preserve">0250112421
分析表335
</t>
  </si>
  <si>
    <t xml:space="preserve">0250112511
分析表336
</t>
  </si>
  <si>
    <t xml:space="preserve">0250112521
分析表337
</t>
  </si>
  <si>
    <t xml:space="preserve">0172521202
分析表338
</t>
  </si>
  <si>
    <t>013210000B
分析表339
含路證申請、回報及配合道路挖掘之相關作業費用</t>
  </si>
  <si>
    <t>013210100b
分析表340
含路證申請、回報及配合道路挖掘之相關作業費用</t>
  </si>
  <si>
    <t>01564L4001
分析表341
高度2.4m</t>
  </si>
  <si>
    <t>01564C4001
分析表342
高度2.4m</t>
  </si>
  <si>
    <t xml:space="preserve">015103100C
分析表343
</t>
  </si>
  <si>
    <t>型鋼護欄，含警示燈</t>
    <phoneticPr fontId="3" type="noConversion"/>
  </si>
  <si>
    <t xml:space="preserve">01556H1001
分析表344
</t>
  </si>
  <si>
    <t>交通維持用，槽鋼護欄，含警示燈</t>
    <phoneticPr fontId="3" type="noConversion"/>
  </si>
  <si>
    <t>01556C00A1
分析表345
使用10次</t>
  </si>
  <si>
    <t xml:space="preserve">0289190002
分析表346
</t>
  </si>
  <si>
    <t xml:space="preserve">02891A5007
分析表347
</t>
  </si>
  <si>
    <t xml:space="preserve">0289100202
分析表348
</t>
  </si>
  <si>
    <t xml:space="preserve">05500p4008
分析表349
</t>
  </si>
  <si>
    <t xml:space="preserve">05500S4601
分析表350
</t>
  </si>
  <si>
    <t xml:space="preserve">028915WE13
分析表351
</t>
  </si>
  <si>
    <t xml:space="preserve">0289821205
分析表352
</t>
  </si>
  <si>
    <t xml:space="preserve">02898C2204
分析表353
</t>
  </si>
  <si>
    <t>0289250007
分析表354
#</t>
  </si>
  <si>
    <t>02899#B001
分析表355
D=8cm ±5%，H=75cm ±5%</t>
  </si>
  <si>
    <t xml:space="preserve">01556M100A
分析表356
</t>
  </si>
  <si>
    <t xml:space="preserve">01556M200A
分析表357
</t>
  </si>
  <si>
    <t>0289205007
分析表358
#</t>
  </si>
  <si>
    <t xml:space="preserve">0289821302
分析表359
</t>
  </si>
  <si>
    <t xml:space="preserve">0289821312
分析表360
</t>
  </si>
  <si>
    <t xml:space="preserve">01572F000E
分析表361
</t>
  </si>
  <si>
    <t xml:space="preserve">01572H100F
分析表362
</t>
  </si>
  <si>
    <t>(壹.一~壹.八)*
[約10.94809484%]</t>
  </si>
  <si>
    <t xml:space="preserve">本工程包含有價廢料變賣項，係將本工程所產生之有價廢料變賣予廠商，該款項得標廠商得以現金方式繳納或由工程估驗款內扣抵，各項單價不得因決標金額所做比例調整而變動，預估數量計算所得總售價不列入標單暨發包契約總價，變賣項目及預估數量條列如後：
 「瀝青混凝土刨除料變賣」，單價：575.00元/M3，預估數量：60.00M3，複價：34,500.00元。
 預估變賣總價為：34,500.00元，惟發包後則由得標廠商依實做數量乘單價以結算總售價。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</si>
</sst>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 #,##0.00_-;_-* &quot;-&quot;??_-;_-@_-"/>
    <numFmt numFmtId="176" formatCode="0.00_ "/>
    <numFmt numFmtId="177" formatCode="0.000"/>
    <numFmt numFmtId="178" formatCode="#,##0.00_ "/>
    <numFmt numFmtId="179" formatCode="##&quot;日曆天&quot;"/>
    <numFmt numFmtId="180" formatCode="##&quot;m&quot;"/>
    <numFmt numFmtId="181" formatCode="[$-404]e/m/d;@"/>
    <numFmt numFmtId="182" formatCode="000"/>
    <numFmt numFmtId="183" formatCode="##&quot;cm&quot;"/>
    <numFmt numFmtId="184" formatCode="##&quot;座&quot;"/>
    <numFmt numFmtId="185" formatCode="##&quot;個&quot;"/>
    <numFmt numFmtId="186" formatCode="##.##&quot;m2&quot;"/>
    <numFmt numFmtId="187" formatCode="0.000_);[Red]\(0.000\)"/>
    <numFmt numFmtId="188" formatCode="##.##&quot;元&quot;"/>
    <numFmt numFmtId="189" formatCode="##.#&quot;m&quot;"/>
  </numFmts>
  <fonts count="179">
    <font>
      <sz val="12"/>
      <name val="新細明體"/>
      <family val="1"/>
      <charset val="136"/>
    </font>
    <font>
      <sz val="12"/>
      <name val="新細明體"/>
      <family val="1"/>
      <charset val="136"/>
    </font>
    <font>
      <u/>
      <sz val="12"/>
      <color indexed="12"/>
      <name val="新細明體"/>
      <family val="1"/>
      <charset val="136"/>
    </font>
    <font>
      <sz val="9"/>
      <name val="新細明體"/>
      <family val="1"/>
      <charset val="136"/>
    </font>
    <font>
      <b/>
      <sz val="12"/>
      <name val="新細明體"/>
      <family val="1"/>
      <charset val="136"/>
    </font>
    <font>
      <sz val="10"/>
      <name val="新細明體"/>
      <family val="1"/>
      <charset val="136"/>
    </font>
    <font>
      <b/>
      <sz val="12"/>
      <color indexed="8"/>
      <name val="Arial"/>
      <family val="2"/>
    </font>
    <font>
      <sz val="12"/>
      <name val="Times New Roman"/>
      <family val="1"/>
    </font>
    <font>
      <b/>
      <i/>
      <vertAlign val="superscript"/>
      <sz val="18"/>
      <name val="標楷體"/>
      <family val="4"/>
      <charset val="136"/>
    </font>
    <font>
      <sz val="13"/>
      <name val="標楷體"/>
      <family val="4"/>
      <charset val="136"/>
    </font>
    <font>
      <sz val="11"/>
      <color indexed="8"/>
      <name val="標楷體"/>
      <family val="4"/>
      <charset val="136"/>
    </font>
    <font>
      <sz val="10"/>
      <color indexed="8"/>
      <name val="標楷體"/>
      <family val="4"/>
      <charset val="136"/>
    </font>
    <font>
      <sz val="10"/>
      <color indexed="8"/>
      <name val="Arial"/>
      <family val="2"/>
    </font>
    <font>
      <b/>
      <sz val="12"/>
      <name val="Times New Roman"/>
      <family val="1"/>
    </font>
    <font>
      <sz val="9"/>
      <name val="細明體"/>
      <family val="3"/>
      <charset val="136"/>
    </font>
    <font>
      <sz val="12"/>
      <color indexed="10"/>
      <name val="細明體"/>
      <family val="3"/>
      <charset val="136"/>
    </font>
    <font>
      <sz val="12"/>
      <color indexed="8"/>
      <name val="標楷體"/>
      <family val="4"/>
      <charset val="136"/>
    </font>
    <font>
      <sz val="16"/>
      <color indexed="8"/>
      <name val="標楷體"/>
      <family val="4"/>
      <charset val="136"/>
    </font>
    <font>
      <sz val="16"/>
      <color indexed="8"/>
      <name val="Times New Roman"/>
      <family val="1"/>
    </font>
    <font>
      <sz val="10"/>
      <name val="Times New Roman"/>
      <family val="1"/>
    </font>
    <font>
      <sz val="14"/>
      <color indexed="8"/>
      <name val="Times New Roman"/>
      <family val="1"/>
    </font>
    <font>
      <sz val="11"/>
      <color indexed="8"/>
      <name val="Times New Roman"/>
      <family val="1"/>
    </font>
    <font>
      <sz val="13"/>
      <name val="Times New Roman"/>
      <family val="1"/>
    </font>
    <font>
      <sz val="12"/>
      <color indexed="8"/>
      <name val="Times New Roman"/>
      <family val="1"/>
    </font>
    <font>
      <sz val="10"/>
      <color indexed="8"/>
      <name val="Times New Roman"/>
      <family val="1"/>
    </font>
    <font>
      <sz val="9"/>
      <color indexed="8"/>
      <name val="Times New Roman"/>
      <family val="1"/>
    </font>
    <font>
      <sz val="11"/>
      <name val="華康中圓體"/>
      <family val="3"/>
      <charset val="136"/>
    </font>
    <font>
      <sz val="11"/>
      <name val="新細明體"/>
      <family val="1"/>
      <charset val="136"/>
    </font>
    <font>
      <sz val="9"/>
      <name val="Times New Roman"/>
      <family val="1"/>
    </font>
    <font>
      <sz val="12"/>
      <color indexed="8"/>
      <name val="新細明體"/>
      <family val="1"/>
      <charset val="136"/>
    </font>
    <font>
      <sz val="14"/>
      <color indexed="8"/>
      <name val="標楷體"/>
      <family val="4"/>
      <charset val="136"/>
    </font>
    <font>
      <sz val="13"/>
      <color indexed="8"/>
      <name val="標楷體"/>
      <family val="4"/>
      <charset val="136"/>
    </font>
    <font>
      <sz val="9"/>
      <color indexed="8"/>
      <name val="Arial"/>
      <family val="2"/>
    </font>
    <font>
      <sz val="12"/>
      <name val="華康中黑體(P)"/>
      <family val="2"/>
      <charset val="136"/>
    </font>
    <font>
      <sz val="8"/>
      <name val="新細明體"/>
      <family val="1"/>
      <charset val="136"/>
    </font>
    <font>
      <sz val="12"/>
      <color indexed="9"/>
      <name val="標楷體"/>
      <family val="4"/>
      <charset val="136"/>
    </font>
    <font>
      <sz val="12"/>
      <color indexed="9"/>
      <name val="Times New Roman"/>
      <family val="1"/>
    </font>
    <font>
      <sz val="10"/>
      <name val="標楷體"/>
      <family val="4"/>
      <charset val="136"/>
    </font>
    <font>
      <sz val="10"/>
      <name val="華康中黑體(P)"/>
      <family val="2"/>
      <charset val="136"/>
    </font>
    <font>
      <sz val="8"/>
      <name val="華康中黑體(P)"/>
      <family val="2"/>
      <charset val="136"/>
    </font>
    <font>
      <sz val="8"/>
      <name val="標楷體"/>
      <family val="4"/>
      <charset val="136"/>
    </font>
    <font>
      <sz val="8"/>
      <name val="華康中圓體"/>
      <family val="3"/>
      <charset val="136"/>
    </font>
    <font>
      <sz val="12"/>
      <name val="標楷體"/>
      <family val="4"/>
      <charset val="136"/>
    </font>
    <font>
      <sz val="11"/>
      <name val="Times New Roman"/>
      <family val="1"/>
    </font>
    <font>
      <b/>
      <sz val="12"/>
      <color indexed="21"/>
      <name val="Times New Roman"/>
      <family val="1"/>
    </font>
    <font>
      <b/>
      <sz val="12"/>
      <name val="標楷體"/>
      <family val="4"/>
      <charset val="136"/>
    </font>
    <font>
      <sz val="12"/>
      <color indexed="10"/>
      <name val="標楷體"/>
      <family val="4"/>
      <charset val="136"/>
    </font>
    <font>
      <b/>
      <sz val="12"/>
      <color indexed="8"/>
      <name val="標楷體"/>
      <family val="4"/>
      <charset val="136"/>
    </font>
    <font>
      <b/>
      <sz val="12"/>
      <color indexed="58"/>
      <name val="標楷體"/>
      <family val="4"/>
      <charset val="136"/>
    </font>
    <font>
      <sz val="10"/>
      <color indexed="48"/>
      <name val="標楷體"/>
      <family val="4"/>
      <charset val="136"/>
    </font>
    <font>
      <sz val="12"/>
      <color indexed="19"/>
      <name val="標楷體"/>
      <family val="4"/>
      <charset val="136"/>
    </font>
    <font>
      <b/>
      <sz val="12"/>
      <color indexed="21"/>
      <name val="標楷體"/>
      <family val="4"/>
      <charset val="136"/>
    </font>
    <font>
      <sz val="12"/>
      <color indexed="48"/>
      <name val="Times New Roman"/>
      <family val="1"/>
    </font>
    <font>
      <sz val="9"/>
      <name val="新細明體"/>
      <family val="1"/>
      <charset val="136"/>
    </font>
    <font>
      <b/>
      <sz val="11"/>
      <color indexed="21"/>
      <name val="標楷體"/>
      <family val="4"/>
      <charset val="136"/>
    </font>
    <font>
      <sz val="14"/>
      <color indexed="8"/>
      <name val="Arial"/>
      <family val="2"/>
    </font>
    <font>
      <sz val="11"/>
      <name val="標楷體"/>
      <family val="4"/>
      <charset val="136"/>
    </font>
    <font>
      <sz val="12"/>
      <color indexed="10"/>
      <name val="新細明體"/>
      <family val="1"/>
      <charset val="136"/>
    </font>
    <font>
      <sz val="9"/>
      <name val="新細明體"/>
      <family val="1"/>
      <charset val="136"/>
    </font>
    <font>
      <sz val="9"/>
      <name val="新細明體"/>
      <family val="1"/>
      <charset val="136"/>
    </font>
    <font>
      <sz val="12"/>
      <color indexed="10"/>
      <name val="華康中圓體"/>
      <family val="3"/>
      <charset val="136"/>
    </font>
    <font>
      <sz val="12"/>
      <color indexed="19"/>
      <name val="新細明體"/>
      <family val="1"/>
      <charset val="136"/>
    </font>
    <font>
      <sz val="9"/>
      <name val="新細明體"/>
      <family val="1"/>
      <charset val="136"/>
    </font>
    <font>
      <sz val="9"/>
      <name val="新細明體"/>
      <family val="1"/>
      <charset val="136"/>
    </font>
    <font>
      <sz val="12"/>
      <name val="華康中圓體"/>
      <family val="3"/>
      <charset val="136"/>
    </font>
    <font>
      <sz val="5"/>
      <name val="新細明體"/>
      <family val="1"/>
      <charset val="136"/>
    </font>
    <font>
      <sz val="12"/>
      <color indexed="58"/>
      <name val="標楷體"/>
      <family val="4"/>
      <charset val="136"/>
    </font>
    <font>
      <sz val="12"/>
      <name val="細明體"/>
      <family val="3"/>
      <charset val="136"/>
    </font>
    <font>
      <sz val="30"/>
      <name val="Times New Roman"/>
      <family val="1"/>
    </font>
    <font>
      <sz val="30"/>
      <name val="標楷體"/>
      <family val="4"/>
      <charset val="136"/>
    </font>
    <font>
      <sz val="24"/>
      <name val="Times New Roman"/>
      <family val="1"/>
    </font>
    <font>
      <sz val="14"/>
      <name val="Times New Roman"/>
      <family val="1"/>
    </font>
    <font>
      <sz val="14"/>
      <name val="標楷體"/>
      <family val="4"/>
      <charset val="136"/>
    </font>
    <font>
      <sz val="24"/>
      <name val="標楷體"/>
      <family val="4"/>
      <charset val="136"/>
    </font>
    <font>
      <strike/>
      <u/>
      <sz val="12"/>
      <name val="Times New Roman"/>
      <family val="1"/>
    </font>
    <font>
      <strike/>
      <u/>
      <sz val="12"/>
      <name val="新細明體"/>
      <family val="1"/>
      <charset val="136"/>
    </font>
    <font>
      <b/>
      <strike/>
      <u/>
      <sz val="12"/>
      <name val="新細明體"/>
      <family val="1"/>
      <charset val="136"/>
    </font>
    <font>
      <u/>
      <sz val="12"/>
      <name val="Times New Roman"/>
      <family val="1"/>
    </font>
    <font>
      <u/>
      <sz val="12"/>
      <name val="標楷體"/>
      <family val="4"/>
      <charset val="136"/>
    </font>
    <font>
      <b/>
      <u/>
      <sz val="12"/>
      <name val="標楷體"/>
      <family val="4"/>
      <charset val="136"/>
    </font>
    <font>
      <b/>
      <u/>
      <sz val="12"/>
      <name val="Times New Roman"/>
      <family val="1"/>
    </font>
    <font>
      <u/>
      <sz val="12"/>
      <name val="細明體"/>
      <family val="3"/>
      <charset val="136"/>
    </font>
    <font>
      <b/>
      <sz val="10"/>
      <name val="Times New Roman"/>
      <family val="1"/>
    </font>
    <font>
      <b/>
      <sz val="10"/>
      <name val="標楷體"/>
      <family val="4"/>
      <charset val="136"/>
    </font>
    <font>
      <sz val="9"/>
      <name val="新細明體"/>
      <family val="1"/>
      <charset val="136"/>
    </font>
    <font>
      <sz val="12"/>
      <color indexed="30"/>
      <name val="標楷體"/>
      <family val="4"/>
      <charset val="136"/>
    </font>
    <font>
      <b/>
      <sz val="12"/>
      <color indexed="10"/>
      <name val="Times New Roman"/>
      <family val="1"/>
    </font>
    <font>
      <b/>
      <sz val="12"/>
      <color indexed="10"/>
      <name val="標楷體"/>
      <family val="4"/>
      <charset val="136"/>
    </font>
    <font>
      <sz val="12"/>
      <name val="Times New Roman"/>
      <family val="1"/>
    </font>
    <font>
      <sz val="12"/>
      <name val="微軟正黑體"/>
      <family val="2"/>
      <charset val="136"/>
    </font>
    <font>
      <sz val="8"/>
      <name val="華康中特圓體"/>
      <family val="3"/>
      <charset val="136"/>
    </font>
    <font>
      <sz val="12"/>
      <name val="華康中特圓體"/>
      <family val="3"/>
      <charset val="136"/>
    </font>
    <font>
      <sz val="12"/>
      <color indexed="48"/>
      <name val="標楷體"/>
      <family val="4"/>
      <charset val="136"/>
    </font>
    <font>
      <sz val="10"/>
      <name val="華康中圓體"/>
      <family val="3"/>
      <charset val="136"/>
    </font>
    <font>
      <sz val="9"/>
      <name val="華康中圓體"/>
      <family val="3"/>
      <charset val="136"/>
    </font>
    <font>
      <sz val="10"/>
      <name val="細明體"/>
      <family val="3"/>
      <charset val="136"/>
    </font>
    <font>
      <b/>
      <sz val="12"/>
      <color indexed="8"/>
      <name val="Times New Roman"/>
      <family val="1"/>
    </font>
    <font>
      <b/>
      <sz val="12"/>
      <color indexed="48"/>
      <name val="Times New Roman"/>
      <family val="1"/>
    </font>
    <font>
      <sz val="12"/>
      <color indexed="21"/>
      <name val="Times New Roman"/>
      <family val="1"/>
    </font>
    <font>
      <sz val="12"/>
      <color indexed="54"/>
      <name val="標楷體"/>
      <family val="4"/>
      <charset val="136"/>
    </font>
    <font>
      <sz val="12"/>
      <color theme="1"/>
      <name val="新細明體"/>
      <family val="1"/>
      <charset val="136"/>
      <scheme val="minor"/>
    </font>
    <font>
      <sz val="12"/>
      <color theme="0"/>
      <name val="新細明體"/>
      <family val="1"/>
      <charset val="136"/>
      <scheme val="minor"/>
    </font>
    <font>
      <b/>
      <sz val="12"/>
      <color theme="1"/>
      <name val="新細明體"/>
      <family val="1"/>
      <charset val="136"/>
      <scheme val="minor"/>
    </font>
    <font>
      <b/>
      <sz val="12"/>
      <color theme="0"/>
      <name val="新細明體"/>
      <family val="1"/>
      <charset val="136"/>
      <scheme val="minor"/>
    </font>
    <font>
      <sz val="12"/>
      <color rgb="FFFF0000"/>
      <name val="新細明體"/>
      <family val="1"/>
      <charset val="136"/>
      <scheme val="minor"/>
    </font>
    <font>
      <sz val="10"/>
      <color theme="1"/>
      <name val="標楷體"/>
      <family val="4"/>
      <charset val="136"/>
    </font>
    <font>
      <sz val="12"/>
      <color rgb="FF1E1E1E"/>
      <name val="Segoe UI"/>
      <family val="2"/>
    </font>
    <font>
      <sz val="11"/>
      <color rgb="FF000000"/>
      <name val="標楷體"/>
      <family val="4"/>
      <charset val="136"/>
    </font>
    <font>
      <sz val="8"/>
      <color theme="1"/>
      <name val="標楷體"/>
      <family val="4"/>
      <charset val="136"/>
    </font>
    <font>
      <sz val="12"/>
      <color theme="0"/>
      <name val="標楷體"/>
      <family val="4"/>
      <charset val="136"/>
    </font>
    <font>
      <sz val="9"/>
      <color theme="0"/>
      <name val="Arial"/>
      <family val="2"/>
    </font>
    <font>
      <sz val="10"/>
      <color theme="0"/>
      <name val="Arial"/>
      <family val="2"/>
    </font>
    <font>
      <sz val="12"/>
      <color theme="0"/>
      <name val="新細明體"/>
      <family val="1"/>
      <charset val="136"/>
    </font>
    <font>
      <sz val="12"/>
      <color theme="1"/>
      <name val="華康中圓體"/>
      <family val="3"/>
      <charset val="136"/>
    </font>
    <font>
      <sz val="12"/>
      <color rgb="FFFF0000"/>
      <name val="華康中圓體"/>
      <family val="3"/>
      <charset val="136"/>
    </font>
    <font>
      <sz val="12"/>
      <color theme="1"/>
      <name val="新細明體"/>
      <family val="1"/>
      <charset val="136"/>
    </font>
    <font>
      <b/>
      <sz val="12"/>
      <color theme="1"/>
      <name val="華康中圓體"/>
      <family val="3"/>
      <charset val="136"/>
    </font>
    <font>
      <b/>
      <sz val="12"/>
      <color rgb="FF000000"/>
      <name val="華康中圓體"/>
      <family val="3"/>
      <charset val="136"/>
    </font>
    <font>
      <sz val="12"/>
      <color rgb="FF000000"/>
      <name val="華康中圓體"/>
      <family val="3"/>
      <charset val="136"/>
    </font>
    <font>
      <sz val="12"/>
      <color rgb="FF000000"/>
      <name val="新細明體"/>
      <family val="1"/>
      <charset val="136"/>
      <scheme val="minor"/>
    </font>
    <font>
      <sz val="12"/>
      <color rgb="FF808000"/>
      <name val="新細明體"/>
      <family val="1"/>
      <charset val="136"/>
      <scheme val="minor"/>
    </font>
    <font>
      <sz val="12"/>
      <color rgb="FFFF0000"/>
      <name val="新細明體"/>
      <family val="1"/>
      <charset val="136"/>
    </font>
    <font>
      <sz val="12"/>
      <color theme="1"/>
      <name val="Times New Roman"/>
      <family val="1"/>
    </font>
    <font>
      <sz val="12"/>
      <color rgb="FFFF0000"/>
      <name val="Times New Roman"/>
      <family val="1"/>
    </font>
    <font>
      <sz val="12"/>
      <color rgb="FF808000"/>
      <name val="華康中圓體"/>
      <family val="3"/>
      <charset val="136"/>
    </font>
    <font>
      <sz val="12"/>
      <color rgb="FF808000"/>
      <name val="新細明體"/>
      <family val="1"/>
      <charset val="136"/>
    </font>
    <font>
      <b/>
      <sz val="12"/>
      <color theme="0"/>
      <name val="華康中圓體"/>
      <family val="3"/>
      <charset val="136"/>
    </font>
    <font>
      <sz val="12"/>
      <color theme="0"/>
      <name val="華康中圓體"/>
      <family val="3"/>
      <charset val="136"/>
    </font>
    <font>
      <sz val="12"/>
      <color theme="6" tint="-0.249977111117893"/>
      <name val="華康中圓體"/>
      <family val="3"/>
      <charset val="136"/>
    </font>
    <font>
      <b/>
      <sz val="12"/>
      <color rgb="FF000000"/>
      <name val="標楷體"/>
      <family val="4"/>
      <charset val="136"/>
    </font>
    <font>
      <sz val="12"/>
      <color rgb="FF000000"/>
      <name val="標楷體"/>
      <family val="4"/>
      <charset val="136"/>
    </font>
    <font>
      <b/>
      <sz val="12"/>
      <color rgb="FFFF0000"/>
      <name val="華康中圓體"/>
      <family val="3"/>
      <charset val="136"/>
    </font>
    <font>
      <sz val="12"/>
      <color theme="9" tint="0.59999389629810485"/>
      <name val="新細明體"/>
      <family val="1"/>
      <charset val="136"/>
      <scheme val="minor"/>
    </font>
    <font>
      <sz val="12"/>
      <color theme="9" tint="0.59999389629810485"/>
      <name val="新細明體"/>
      <family val="1"/>
      <charset val="136"/>
    </font>
    <font>
      <sz val="12"/>
      <color theme="9" tint="0.59999389629810485"/>
      <name val="華康中圓體"/>
      <family val="3"/>
      <charset val="136"/>
    </font>
    <font>
      <sz val="11"/>
      <color theme="0"/>
      <name val="標楷體"/>
      <family val="4"/>
      <charset val="136"/>
    </font>
    <font>
      <sz val="11"/>
      <color theme="1"/>
      <name val="標楷體"/>
      <family val="4"/>
      <charset val="136"/>
    </font>
    <font>
      <sz val="9"/>
      <color theme="1"/>
      <name val="標楷體"/>
      <family val="4"/>
      <charset val="136"/>
    </font>
    <font>
      <sz val="10"/>
      <color rgb="FF000000"/>
      <name val="標楷體"/>
      <family val="4"/>
      <charset val="136"/>
    </font>
    <font>
      <sz val="12"/>
      <color theme="1"/>
      <name val="標楷體"/>
      <family val="4"/>
      <charset val="136"/>
    </font>
    <font>
      <sz val="12"/>
      <color theme="1"/>
      <name val="華康中特圓體"/>
      <family val="3"/>
      <charset val="136"/>
    </font>
    <font>
      <sz val="8"/>
      <color rgb="FF2E15C1"/>
      <name val="標楷體"/>
      <family val="4"/>
      <charset val="136"/>
    </font>
    <font>
      <sz val="7"/>
      <color theme="1"/>
      <name val="標楷體"/>
      <family val="4"/>
      <charset val="136"/>
    </font>
    <font>
      <b/>
      <sz val="11"/>
      <color rgb="FF000000"/>
      <name val="標楷體"/>
      <family val="4"/>
      <charset val="136"/>
    </font>
    <font>
      <sz val="10"/>
      <color theme="1"/>
      <name val="華康中圓體"/>
      <family val="3"/>
      <charset val="136"/>
    </font>
    <font>
      <sz val="8"/>
      <color theme="1"/>
      <name val="華康中圓體"/>
      <family val="3"/>
      <charset val="136"/>
    </font>
    <font>
      <sz val="12"/>
      <color rgb="FFFFFFFF"/>
      <name val="標楷體"/>
      <family val="4"/>
      <charset val="136"/>
    </font>
    <font>
      <sz val="9"/>
      <color theme="1"/>
      <name val="華康中圓體"/>
      <family val="3"/>
      <charset val="136"/>
    </font>
    <font>
      <sz val="11"/>
      <color rgb="FFFF0000"/>
      <name val="標楷體"/>
      <family val="4"/>
    </font>
    <font>
      <sz val="10"/>
      <color rgb="FFFF0000"/>
      <name val="標楷體"/>
      <family val="4"/>
    </font>
    <font>
      <sz val="9"/>
      <color rgb="FFFF0000"/>
      <name val="Arial"/>
      <family val="2"/>
    </font>
    <font>
      <sz val="12"/>
      <color rgb="FFFF0000"/>
      <name val="新細明體"/>
      <family val="1"/>
    </font>
    <font>
      <sz val="10"/>
      <name val="標楷體"/>
      <family val="4"/>
    </font>
    <font>
      <sz val="9"/>
      <name val="Arial"/>
      <family val="2"/>
    </font>
    <font>
      <sz val="11"/>
      <color rgb="FF000000"/>
      <name val="Times New Roman"/>
      <family val="1"/>
    </font>
    <font>
      <sz val="12"/>
      <name val="新細明體"/>
      <family val="1"/>
    </font>
    <font>
      <sz val="12"/>
      <name val="標楷體"/>
      <family val="4"/>
    </font>
    <font>
      <sz val="11"/>
      <name val="標楷體"/>
      <family val="4"/>
    </font>
    <font>
      <sz val="9"/>
      <color rgb="FFFFFFFF"/>
      <name val="Arial"/>
      <family val="2"/>
    </font>
    <font>
      <sz val="9"/>
      <color rgb="FF000000"/>
      <name val="Arial"/>
      <family val="2"/>
    </font>
    <font>
      <sz val="10"/>
      <color rgb="FF000000"/>
      <name val="Times New Roman"/>
      <family val="1"/>
    </font>
    <font>
      <sz val="12"/>
      <color rgb="FF000000"/>
      <name val="Times New Roman"/>
      <family val="1"/>
    </font>
    <font>
      <sz val="11"/>
      <color rgb="FFFFFFFF"/>
      <name val="標楷體"/>
      <family val="4"/>
      <charset val="136"/>
    </font>
    <font>
      <sz val="10"/>
      <color rgb="FF000000"/>
      <name val="Arial"/>
      <family val="2"/>
    </font>
    <font>
      <sz val="10"/>
      <color rgb="FFFFFFFF"/>
      <name val="Arial"/>
      <family val="2"/>
    </font>
    <font>
      <sz val="12"/>
      <color rgb="FFFFFFFF"/>
      <name val="新細明體"/>
      <family val="1"/>
      <charset val="136"/>
    </font>
    <font>
      <sz val="12"/>
      <color rgb="FF000000"/>
      <name val="新細明體"/>
      <family val="1"/>
      <charset val="136"/>
    </font>
    <font>
      <sz val="11"/>
      <name val="Arial"/>
      <family val="2"/>
    </font>
    <font>
      <sz val="9"/>
      <color theme="1"/>
      <name val="Calibri"/>
      <family val="3"/>
    </font>
    <font>
      <b/>
      <sz val="12"/>
      <color rgb="FF000000"/>
      <name val="Arial"/>
      <family val="2"/>
    </font>
    <font>
      <b/>
      <sz val="12"/>
      <color rgb="FF003300"/>
      <name val="標楷體"/>
      <family val="4"/>
      <charset val="136"/>
    </font>
    <font>
      <b/>
      <sz val="12"/>
      <color rgb="FF008080"/>
      <name val="Times New Roman"/>
      <family val="1"/>
    </font>
    <font>
      <b/>
      <sz val="12"/>
      <color rgb="FF008080"/>
      <name val="標楷體"/>
      <family val="4"/>
      <charset val="136"/>
    </font>
    <font>
      <sz val="16"/>
      <color indexed="8"/>
      <name val="Arial"/>
      <family val="2"/>
    </font>
    <font>
      <sz val="16"/>
      <name val="標楷體"/>
      <family val="4"/>
      <charset val="136"/>
    </font>
    <font>
      <sz val="16"/>
      <name val="Arial"/>
      <family val="2"/>
    </font>
    <font>
      <sz val="14"/>
      <name val="Arial"/>
      <family val="2"/>
    </font>
    <font>
      <sz val="12"/>
      <name val="Arial"/>
      <family val="2"/>
    </font>
    <font>
      <sz val="12"/>
      <color indexed="9"/>
      <name val="Arial"/>
      <family val="2"/>
    </font>
  </fonts>
  <fills count="22">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9"/>
        <bgColor indexed="64"/>
      </patternFill>
    </fill>
    <fill>
      <patternFill patternType="solid">
        <fgColor theme="2" tint="-0.249977111117893"/>
        <bgColor indexed="64"/>
      </patternFill>
    </fill>
    <fill>
      <patternFill patternType="solid">
        <fgColor rgb="FF00B0F0"/>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rgb="FF92D050"/>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rgb="FFCCFFCC"/>
        <bgColor rgb="FF000000"/>
      </patternFill>
    </fill>
  </fills>
  <borders count="96">
    <border>
      <left/>
      <right/>
      <top/>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8"/>
      </left>
      <right style="thin">
        <color indexed="8"/>
      </right>
      <top/>
      <bottom style="thin">
        <color indexed="8"/>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medium">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thin">
        <color indexed="8"/>
      </right>
      <top style="thin">
        <color indexed="8"/>
      </top>
      <bottom style="thin">
        <color indexed="8"/>
      </bottom>
      <diagonal/>
    </border>
    <border>
      <left/>
      <right style="thin">
        <color indexed="8"/>
      </right>
      <top style="thin">
        <color indexed="8"/>
      </top>
      <bottom/>
      <diagonal/>
    </border>
    <border>
      <left/>
      <right style="thin">
        <color indexed="8"/>
      </right>
      <top/>
      <bottom style="thin">
        <color indexed="8"/>
      </bottom>
      <diagonal/>
    </border>
    <border>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diagonalDown="1">
      <left style="thin">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thin">
        <color indexed="64"/>
      </right>
      <top style="medium">
        <color indexed="64"/>
      </top>
      <bottom/>
      <diagonal style="thin">
        <color indexed="64"/>
      </diagonal>
    </border>
    <border diagonalDown="1">
      <left style="thin">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indexed="64"/>
      </diagonal>
    </border>
    <border>
      <left style="thin">
        <color indexed="64"/>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10">
    <xf numFmtId="0" fontId="0" fillId="0" borderId="0">
      <alignment vertical="center"/>
    </xf>
    <xf numFmtId="0" fontId="1" fillId="0" borderId="0"/>
    <xf numFmtId="0" fontId="12" fillId="0" borderId="0"/>
    <xf numFmtId="0" fontId="7" fillId="0" borderId="0"/>
    <xf numFmtId="0" fontId="1" fillId="0" borderId="0"/>
    <xf numFmtId="43" fontId="1" fillId="0" borderId="0" applyFont="0" applyFill="0" applyBorder="0" applyAlignment="0" applyProtection="0">
      <alignment vertical="center"/>
    </xf>
    <xf numFmtId="43" fontId="1" fillId="0" borderId="0" applyFont="0" applyFill="0" applyBorder="0" applyAlignment="0" applyProtection="0"/>
    <xf numFmtId="0" fontId="2" fillId="0" borderId="0" applyNumberFormat="0" applyFill="0" applyBorder="0" applyAlignment="0" applyProtection="0">
      <alignment vertical="top"/>
      <protection locked="0"/>
    </xf>
    <xf numFmtId="0" fontId="155" fillId="0" borderId="0">
      <alignment vertical="center"/>
    </xf>
    <xf numFmtId="0" fontId="12" fillId="0" borderId="0"/>
  </cellStyleXfs>
  <cellXfs count="1761">
    <xf numFmtId="0" fontId="0" fillId="0" borderId="0" xfId="0">
      <alignment vertical="center"/>
    </xf>
    <xf numFmtId="0" fontId="1" fillId="0" borderId="0" xfId="4"/>
    <xf numFmtId="0" fontId="7" fillId="0" borderId="0" xfId="3" applyAlignment="1">
      <alignment vertical="center"/>
    </xf>
    <xf numFmtId="0" fontId="7" fillId="0" borderId="0" xfId="3"/>
    <xf numFmtId="0" fontId="0" fillId="0" borderId="0" xfId="0" applyAlignment="1">
      <alignment vertical="center"/>
    </xf>
    <xf numFmtId="0" fontId="9" fillId="0" borderId="0" xfId="0" applyFont="1" applyAlignment="1">
      <alignment horizontal="center" vertical="center"/>
    </xf>
    <xf numFmtId="0" fontId="0" fillId="0" borderId="0" xfId="0" applyAlignment="1"/>
    <xf numFmtId="0" fontId="0" fillId="0" borderId="0" xfId="0" applyBorder="1">
      <alignment vertical="center"/>
    </xf>
    <xf numFmtId="0" fontId="10" fillId="0" borderId="1" xfId="0" applyNumberFormat="1" applyFont="1" applyFill="1" applyBorder="1" applyAlignment="1" applyProtection="1">
      <alignment vertical="center" wrapText="1"/>
    </xf>
    <xf numFmtId="0" fontId="0" fillId="0" borderId="2" xfId="0" applyBorder="1">
      <alignment vertical="center"/>
    </xf>
    <xf numFmtId="0" fontId="1" fillId="0" borderId="0" xfId="4" applyFill="1"/>
    <xf numFmtId="0" fontId="7" fillId="0" borderId="0" xfId="0" applyFont="1" applyAlignment="1">
      <alignment vertical="center"/>
    </xf>
    <xf numFmtId="49" fontId="19" fillId="0" borderId="0" xfId="0" applyNumberFormat="1" applyFont="1" applyAlignment="1">
      <alignment horizontal="center" vertical="center"/>
    </xf>
    <xf numFmtId="0" fontId="22" fillId="0" borderId="0" xfId="0" applyFont="1" applyAlignment="1">
      <alignment horizontal="center" vertical="center"/>
    </xf>
    <xf numFmtId="0" fontId="23" fillId="0" borderId="1" xfId="0" applyNumberFormat="1" applyFont="1" applyFill="1" applyBorder="1" applyAlignment="1" applyProtection="1">
      <alignment horizontal="center" vertical="center"/>
    </xf>
    <xf numFmtId="0" fontId="23" fillId="0" borderId="1" xfId="0" applyNumberFormat="1" applyFont="1" applyFill="1" applyBorder="1" applyAlignment="1" applyProtection="1">
      <alignment horizontal="center" vertical="center" wrapText="1"/>
    </xf>
    <xf numFmtId="4" fontId="23" fillId="0" borderId="1" xfId="0" applyNumberFormat="1" applyFont="1" applyFill="1" applyBorder="1" applyAlignment="1" applyProtection="1">
      <alignment horizontal="center" vertical="center" wrapText="1"/>
    </xf>
    <xf numFmtId="0" fontId="21" fillId="0" borderId="1" xfId="0" applyNumberFormat="1" applyFont="1" applyFill="1" applyBorder="1" applyAlignment="1" applyProtection="1">
      <alignment vertical="center" shrinkToFit="1"/>
    </xf>
    <xf numFmtId="0" fontId="21" fillId="0" borderId="1" xfId="0" applyNumberFormat="1" applyFont="1" applyFill="1" applyBorder="1" applyAlignment="1" applyProtection="1">
      <alignment vertical="center" wrapText="1"/>
    </xf>
    <xf numFmtId="0" fontId="24" fillId="0" borderId="1" xfId="0" applyNumberFormat="1" applyFont="1" applyFill="1" applyBorder="1" applyAlignment="1" applyProtection="1">
      <alignment horizontal="center" vertical="center" wrapText="1" shrinkToFit="1"/>
    </xf>
    <xf numFmtId="178" fontId="25" fillId="0" borderId="1" xfId="0" applyNumberFormat="1" applyFont="1" applyFill="1" applyBorder="1" applyAlignment="1" applyProtection="1">
      <alignment horizontal="right" vertical="center" shrinkToFit="1"/>
    </xf>
    <xf numFmtId="0" fontId="24" fillId="0" borderId="1" xfId="0" applyNumberFormat="1" applyFont="1" applyFill="1" applyBorder="1" applyAlignment="1" applyProtection="1">
      <alignment vertical="center" wrapText="1"/>
    </xf>
    <xf numFmtId="0" fontId="21" fillId="0" borderId="1" xfId="0" applyNumberFormat="1" applyFont="1" applyFill="1" applyBorder="1" applyAlignment="1" applyProtection="1">
      <alignment horizontal="right" vertical="center" shrinkToFit="1"/>
    </xf>
    <xf numFmtId="0" fontId="7" fillId="0" borderId="0" xfId="0" applyFont="1">
      <alignment vertical="center"/>
    </xf>
    <xf numFmtId="49" fontId="19" fillId="0" borderId="4" xfId="0" applyNumberFormat="1" applyFont="1" applyBorder="1">
      <alignment vertical="center"/>
    </xf>
    <xf numFmtId="49" fontId="19" fillId="0" borderId="0" xfId="0" applyNumberFormat="1" applyFont="1">
      <alignment vertical="center"/>
    </xf>
    <xf numFmtId="0" fontId="24" fillId="0" borderId="0" xfId="0" applyNumberFormat="1" applyFont="1" applyFill="1" applyBorder="1" applyAlignment="1" applyProtection="1">
      <alignment vertical="center" wrapText="1"/>
    </xf>
    <xf numFmtId="0" fontId="23" fillId="0" borderId="0" xfId="0" applyNumberFormat="1" applyFont="1" applyFill="1" applyBorder="1" applyAlignment="1" applyProtection="1">
      <alignment vertical="center"/>
    </xf>
    <xf numFmtId="49" fontId="19" fillId="0" borderId="4" xfId="0" applyNumberFormat="1" applyFont="1" applyBorder="1" applyAlignment="1">
      <alignment vertical="center" wrapText="1"/>
    </xf>
    <xf numFmtId="0" fontId="26" fillId="0" borderId="0" xfId="0" applyFont="1">
      <alignment vertical="center"/>
    </xf>
    <xf numFmtId="0" fontId="27" fillId="0" borderId="0" xfId="0" applyFont="1">
      <alignment vertical="center"/>
    </xf>
    <xf numFmtId="0" fontId="29" fillId="0" borderId="0" xfId="2" applyNumberFormat="1" applyFont="1" applyFill="1" applyBorder="1" applyAlignment="1" applyProtection="1">
      <alignment vertical="center"/>
    </xf>
    <xf numFmtId="0" fontId="12" fillId="0" borderId="0" xfId="2"/>
    <xf numFmtId="0" fontId="31" fillId="0" borderId="0" xfId="2" applyNumberFormat="1" applyFont="1" applyFill="1" applyBorder="1" applyAlignment="1" applyProtection="1">
      <alignment horizontal="center" vertical="center"/>
    </xf>
    <xf numFmtId="0" fontId="29" fillId="0" borderId="0" xfId="2" applyNumberFormat="1" applyFont="1" applyFill="1" applyBorder="1" applyAlignment="1" applyProtection="1">
      <alignment vertical="center" wrapText="1"/>
    </xf>
    <xf numFmtId="0" fontId="27" fillId="0" borderId="0" xfId="0" applyFont="1" applyAlignment="1">
      <alignment horizontal="left" vertical="center"/>
    </xf>
    <xf numFmtId="0" fontId="26" fillId="0" borderId="0" xfId="0" applyFont="1" applyAlignment="1">
      <alignment horizontal="center" vertical="center"/>
    </xf>
    <xf numFmtId="0" fontId="33" fillId="0" borderId="0" xfId="0" applyFont="1">
      <alignment vertical="center"/>
    </xf>
    <xf numFmtId="0" fontId="33" fillId="0" borderId="0" xfId="0" applyFont="1" applyBorder="1">
      <alignment vertical="center"/>
    </xf>
    <xf numFmtId="43" fontId="33" fillId="0" borderId="0" xfId="0" applyNumberFormat="1" applyFont="1">
      <alignment vertical="center"/>
    </xf>
    <xf numFmtId="0" fontId="105" fillId="0" borderId="0" xfId="0" applyFont="1" applyAlignment="1">
      <alignment horizontal="right" vertical="center" wrapText="1"/>
    </xf>
    <xf numFmtId="178" fontId="33" fillId="0" borderId="0" xfId="0" applyNumberFormat="1" applyFont="1" applyBorder="1">
      <alignment vertical="center"/>
    </xf>
    <xf numFmtId="0" fontId="106" fillId="0" borderId="0" xfId="0" applyFont="1">
      <alignment vertical="center"/>
    </xf>
    <xf numFmtId="0" fontId="6" fillId="0" borderId="0" xfId="4" quotePrefix="1" applyNumberFormat="1" applyFont="1" applyFill="1" applyAlignment="1">
      <alignment horizontal="right"/>
    </xf>
    <xf numFmtId="0" fontId="21" fillId="0" borderId="6" xfId="0" applyNumberFormat="1" applyFont="1" applyFill="1" applyBorder="1" applyAlignment="1" applyProtection="1">
      <alignment vertical="center" shrinkToFit="1"/>
    </xf>
    <xf numFmtId="0" fontId="18" fillId="0" borderId="0" xfId="0" applyNumberFormat="1" applyFont="1" applyFill="1" applyBorder="1" applyAlignment="1" applyProtection="1">
      <alignment horizontal="center" vertical="center" wrapText="1"/>
    </xf>
    <xf numFmtId="0" fontId="20" fillId="0" borderId="0" xfId="0" applyNumberFormat="1" applyFont="1" applyFill="1" applyBorder="1" applyAlignment="1" applyProtection="1">
      <alignment horizontal="center" vertical="center" wrapText="1"/>
    </xf>
    <xf numFmtId="0" fontId="23" fillId="0" borderId="0" xfId="0" applyNumberFormat="1" applyFont="1" applyFill="1" applyBorder="1" applyAlignment="1" applyProtection="1">
      <alignment horizontal="center" vertical="center" wrapText="1"/>
    </xf>
    <xf numFmtId="0" fontId="21" fillId="0" borderId="0" xfId="0" applyNumberFormat="1" applyFont="1" applyFill="1" applyBorder="1" applyAlignment="1" applyProtection="1">
      <alignment horizontal="left" vertical="center" shrinkToFit="1"/>
    </xf>
    <xf numFmtId="0" fontId="105" fillId="0" borderId="0" xfId="0" applyFont="1" applyAlignment="1">
      <alignment horizontal="center" vertical="center" wrapText="1"/>
    </xf>
    <xf numFmtId="0" fontId="38" fillId="0" borderId="0" xfId="0" applyFont="1">
      <alignment vertical="center"/>
    </xf>
    <xf numFmtId="0" fontId="105" fillId="0" borderId="0" xfId="0" applyFont="1" applyAlignment="1">
      <alignment horizontal="center" vertical="center" shrinkToFit="1"/>
    </xf>
    <xf numFmtId="0" fontId="38" fillId="0" borderId="0" xfId="0" applyFont="1" applyAlignment="1">
      <alignment horizontal="left" vertical="center"/>
    </xf>
    <xf numFmtId="0" fontId="39" fillId="0" borderId="0" xfId="0" applyFont="1">
      <alignment vertical="center"/>
    </xf>
    <xf numFmtId="0" fontId="34" fillId="0" borderId="0" xfId="0" applyFont="1" applyAlignment="1">
      <alignment horizontal="left" vertical="center"/>
    </xf>
    <xf numFmtId="0" fontId="41" fillId="0" borderId="0" xfId="0" applyFont="1">
      <alignment vertical="center"/>
    </xf>
    <xf numFmtId="0" fontId="41" fillId="0" borderId="0" xfId="0" applyFont="1" applyAlignment="1">
      <alignment horizontal="center" vertical="center"/>
    </xf>
    <xf numFmtId="43" fontId="41" fillId="0" borderId="0" xfId="0" applyNumberFormat="1" applyFont="1" applyAlignment="1">
      <alignment horizontal="right" vertical="center"/>
    </xf>
    <xf numFmtId="43" fontId="41" fillId="0" borderId="0" xfId="0" applyNumberFormat="1" applyFont="1">
      <alignment vertical="center"/>
    </xf>
    <xf numFmtId="0" fontId="39" fillId="0" borderId="7" xfId="0" applyFont="1" applyBorder="1">
      <alignment vertical="center"/>
    </xf>
    <xf numFmtId="0" fontId="39" fillId="0" borderId="8" xfId="0" applyFont="1" applyBorder="1">
      <alignment vertical="center"/>
    </xf>
    <xf numFmtId="0" fontId="39" fillId="0" borderId="9" xfId="0" applyFont="1" applyBorder="1">
      <alignment vertical="center"/>
    </xf>
    <xf numFmtId="0" fontId="39" fillId="0" borderId="0" xfId="0" applyFont="1" applyBorder="1">
      <alignment vertical="center"/>
    </xf>
    <xf numFmtId="0" fontId="39" fillId="0" borderId="10" xfId="0" applyFont="1" applyBorder="1">
      <alignment vertical="center"/>
    </xf>
    <xf numFmtId="0" fontId="39" fillId="0" borderId="11" xfId="0" applyFont="1" applyBorder="1">
      <alignment vertical="center"/>
    </xf>
    <xf numFmtId="0" fontId="39" fillId="0" borderId="12" xfId="0" applyFont="1" applyBorder="1">
      <alignment vertical="center"/>
    </xf>
    <xf numFmtId="0" fontId="39" fillId="0" borderId="13" xfId="0" applyFont="1" applyBorder="1">
      <alignment vertical="center"/>
    </xf>
    <xf numFmtId="0" fontId="39" fillId="0" borderId="14" xfId="0" applyFont="1" applyBorder="1">
      <alignment vertical="center"/>
    </xf>
    <xf numFmtId="0" fontId="39" fillId="0" borderId="15" xfId="0" applyFont="1" applyBorder="1">
      <alignment vertical="center"/>
    </xf>
    <xf numFmtId="0" fontId="39" fillId="0" borderId="16" xfId="0" applyFont="1" applyBorder="1">
      <alignment vertical="center"/>
    </xf>
    <xf numFmtId="0" fontId="39" fillId="0" borderId="17" xfId="0" applyFont="1" applyBorder="1">
      <alignment vertical="center"/>
    </xf>
    <xf numFmtId="0" fontId="39" fillId="0" borderId="18" xfId="0" applyFont="1" applyBorder="1">
      <alignment vertical="center"/>
    </xf>
    <xf numFmtId="0" fontId="39" fillId="0" borderId="19" xfId="0" applyFont="1" applyBorder="1">
      <alignment vertical="center"/>
    </xf>
    <xf numFmtId="0" fontId="39" fillId="0" borderId="11" xfId="0" applyFont="1" applyBorder="1" applyAlignment="1">
      <alignment horizontal="right" vertical="center"/>
    </xf>
    <xf numFmtId="0" fontId="39" fillId="0" borderId="14" xfId="0" applyFont="1" applyBorder="1" applyAlignment="1">
      <alignment horizontal="right" vertical="center"/>
    </xf>
    <xf numFmtId="0" fontId="39" fillId="0" borderId="20" xfId="0" applyFont="1" applyBorder="1" applyAlignment="1">
      <alignment horizontal="left" vertical="center"/>
    </xf>
    <xf numFmtId="0" fontId="39" fillId="0" borderId="21" xfId="0" applyFont="1" applyBorder="1" applyAlignment="1">
      <alignment horizontal="left" vertical="center"/>
    </xf>
    <xf numFmtId="0" fontId="39" fillId="0" borderId="21" xfId="0" applyFont="1" applyBorder="1">
      <alignment vertical="center"/>
    </xf>
    <xf numFmtId="0" fontId="39" fillId="0" borderId="22" xfId="0" applyFont="1" applyBorder="1">
      <alignment vertical="center"/>
    </xf>
    <xf numFmtId="0" fontId="38" fillId="0" borderId="23" xfId="0" applyFont="1" applyBorder="1">
      <alignment vertical="center"/>
    </xf>
    <xf numFmtId="0" fontId="39" fillId="0" borderId="22" xfId="0" applyFont="1" applyBorder="1" applyAlignment="1">
      <alignment horizontal="left" vertical="center"/>
    </xf>
    <xf numFmtId="0" fontId="39" fillId="0" borderId="24" xfId="0" applyFont="1" applyBorder="1">
      <alignment vertical="center"/>
    </xf>
    <xf numFmtId="0" fontId="38" fillId="0" borderId="15" xfId="0" applyFont="1" applyBorder="1">
      <alignment vertical="center"/>
    </xf>
    <xf numFmtId="0" fontId="39" fillId="0" borderId="4" xfId="0" applyFont="1" applyBorder="1">
      <alignment vertical="center"/>
    </xf>
    <xf numFmtId="0" fontId="38" fillId="0" borderId="4" xfId="0" applyFont="1" applyBorder="1">
      <alignment vertical="center"/>
    </xf>
    <xf numFmtId="0" fontId="39" fillId="0" borderId="25" xfId="0" applyFont="1" applyBorder="1">
      <alignment vertical="center"/>
    </xf>
    <xf numFmtId="0" fontId="39" fillId="0" borderId="26" xfId="0" applyFont="1" applyBorder="1">
      <alignment vertical="center"/>
    </xf>
    <xf numFmtId="0" fontId="38" fillId="0" borderId="26" xfId="0" applyFont="1" applyBorder="1">
      <alignment vertical="center"/>
    </xf>
    <xf numFmtId="0" fontId="39" fillId="0" borderId="27" xfId="0" applyFont="1" applyBorder="1">
      <alignment vertical="center"/>
    </xf>
    <xf numFmtId="0" fontId="39" fillId="0" borderId="28" xfId="0" applyFont="1" applyBorder="1">
      <alignment vertical="center"/>
    </xf>
    <xf numFmtId="0" fontId="39" fillId="0" borderId="29" xfId="0" applyFont="1" applyBorder="1">
      <alignment vertical="center"/>
    </xf>
    <xf numFmtId="0" fontId="38" fillId="0" borderId="28" xfId="0" applyFont="1" applyBorder="1">
      <alignment vertical="center"/>
    </xf>
    <xf numFmtId="0" fontId="38" fillId="0" borderId="30" xfId="0" applyFont="1" applyBorder="1">
      <alignment vertical="center"/>
    </xf>
    <xf numFmtId="0" fontId="38" fillId="0" borderId="31" xfId="0" applyFont="1" applyBorder="1">
      <alignment vertical="center"/>
    </xf>
    <xf numFmtId="0" fontId="39" fillId="0" borderId="31" xfId="0" applyFont="1" applyBorder="1">
      <alignment vertical="center"/>
    </xf>
    <xf numFmtId="0" fontId="39" fillId="0" borderId="32" xfId="0" applyFont="1" applyBorder="1">
      <alignment vertical="center"/>
    </xf>
    <xf numFmtId="0" fontId="39" fillId="0" borderId="26" xfId="0" applyFont="1" applyBorder="1" applyAlignment="1">
      <alignment vertical="center"/>
    </xf>
    <xf numFmtId="0" fontId="39" fillId="0" borderId="4" xfId="0" applyFont="1" applyBorder="1" applyAlignment="1">
      <alignment vertical="center"/>
    </xf>
    <xf numFmtId="49" fontId="24" fillId="0" borderId="1" xfId="0" quotePrefix="1" applyNumberFormat="1" applyFont="1" applyBorder="1" applyAlignment="1">
      <alignment vertical="center" wrapText="1"/>
    </xf>
    <xf numFmtId="49" fontId="24" fillId="0" borderId="33" xfId="0" applyNumberFormat="1" applyFont="1" applyBorder="1" applyAlignment="1">
      <alignment vertical="center" wrapText="1"/>
    </xf>
    <xf numFmtId="49" fontId="24" fillId="0" borderId="1" xfId="0" applyNumberFormat="1" applyFont="1" applyBorder="1" applyAlignment="1">
      <alignment vertical="center" wrapText="1"/>
    </xf>
    <xf numFmtId="49" fontId="24" fillId="0" borderId="5" xfId="0" applyNumberFormat="1" applyFont="1" applyBorder="1" applyAlignment="1">
      <alignment vertical="center" wrapText="1"/>
    </xf>
    <xf numFmtId="49" fontId="24" fillId="0" borderId="5" xfId="0" quotePrefix="1" applyNumberFormat="1" applyFont="1" applyBorder="1" applyAlignment="1">
      <alignment vertical="center" wrapText="1"/>
    </xf>
    <xf numFmtId="49" fontId="10" fillId="0" borderId="4" xfId="0" quotePrefix="1" applyNumberFormat="1" applyFont="1" applyFill="1" applyBorder="1" applyAlignment="1">
      <alignment horizontal="left" vertical="center" wrapText="1"/>
    </xf>
    <xf numFmtId="0" fontId="107" fillId="0" borderId="4" xfId="0" applyFont="1" applyFill="1" applyBorder="1" applyAlignment="1">
      <alignment horizontal="left" vertical="center"/>
    </xf>
    <xf numFmtId="0" fontId="107" fillId="0" borderId="4" xfId="0" applyFont="1" applyFill="1" applyBorder="1" applyAlignment="1">
      <alignment horizontal="left" vertical="center" wrapText="1"/>
    </xf>
    <xf numFmtId="0" fontId="39" fillId="0" borderId="34" xfId="0" applyFont="1" applyBorder="1">
      <alignment vertical="center"/>
    </xf>
    <xf numFmtId="0" fontId="3" fillId="0" borderId="0" xfId="0" applyFont="1">
      <alignment vertical="center"/>
    </xf>
    <xf numFmtId="0" fontId="42" fillId="0" borderId="0" xfId="0" applyFont="1">
      <alignment vertical="center"/>
    </xf>
    <xf numFmtId="0" fontId="45" fillId="0" borderId="0" xfId="0" applyFont="1">
      <alignment vertical="center"/>
    </xf>
    <xf numFmtId="0" fontId="47" fillId="0" borderId="0" xfId="4" applyNumberFormat="1" applyFont="1" applyFill="1" applyAlignment="1">
      <alignment horizontal="right"/>
    </xf>
    <xf numFmtId="0" fontId="47" fillId="0" borderId="0" xfId="4" quotePrefix="1" applyNumberFormat="1" applyFont="1" applyFill="1" applyBorder="1" applyAlignment="1">
      <alignment horizontal="right"/>
    </xf>
    <xf numFmtId="0" fontId="47" fillId="0" borderId="0" xfId="4" applyNumberFormat="1" applyFont="1" applyFill="1" applyBorder="1" applyAlignment="1">
      <alignment horizontal="right"/>
    </xf>
    <xf numFmtId="0" fontId="46" fillId="0" borderId="0" xfId="4" applyNumberFormat="1" applyFont="1" applyAlignment="1">
      <alignment horizontal="left"/>
    </xf>
    <xf numFmtId="0" fontId="42" fillId="0" borderId="0" xfId="4" applyFont="1"/>
    <xf numFmtId="0" fontId="46" fillId="0" borderId="0" xfId="4" applyNumberFormat="1" applyFont="1" applyFill="1" applyBorder="1" applyAlignment="1">
      <alignment horizontal="left"/>
    </xf>
    <xf numFmtId="0" fontId="42" fillId="0" borderId="0" xfId="4" applyFont="1" applyFill="1"/>
    <xf numFmtId="0" fontId="7" fillId="0" borderId="0" xfId="4" applyFont="1"/>
    <xf numFmtId="0" fontId="45" fillId="0" borderId="0" xfId="0" applyFont="1" applyFill="1" applyBorder="1">
      <alignment vertical="center"/>
    </xf>
    <xf numFmtId="0" fontId="42" fillId="0" borderId="0" xfId="0" applyFont="1" applyAlignment="1">
      <alignment horizontal="center"/>
    </xf>
    <xf numFmtId="0" fontId="42" fillId="0" borderId="0" xfId="0" applyFont="1" applyFill="1" applyBorder="1">
      <alignment vertical="center"/>
    </xf>
    <xf numFmtId="0" fontId="45" fillId="2" borderId="0" xfId="0" applyFont="1" applyFill="1">
      <alignment vertical="center"/>
    </xf>
    <xf numFmtId="0" fontId="44" fillId="2" borderId="0" xfId="0" applyFont="1" applyFill="1">
      <alignment vertical="center"/>
    </xf>
    <xf numFmtId="0" fontId="19" fillId="0" borderId="0" xfId="3" applyFont="1"/>
    <xf numFmtId="0" fontId="0" fillId="0" borderId="26" xfId="0" applyBorder="1" applyAlignment="1"/>
    <xf numFmtId="0" fontId="0" fillId="0" borderId="9" xfId="0" applyBorder="1" applyAlignment="1"/>
    <xf numFmtId="0" fontId="0" fillId="0" borderId="8" xfId="0" applyBorder="1" applyAlignment="1"/>
    <xf numFmtId="0" fontId="0" fillId="0" borderId="34" xfId="0" applyBorder="1" applyAlignment="1"/>
    <xf numFmtId="0" fontId="0" fillId="0" borderId="31" xfId="0" applyBorder="1" applyAlignment="1"/>
    <xf numFmtId="0" fontId="0" fillId="0" borderId="32" xfId="0" applyBorder="1" applyAlignment="1"/>
    <xf numFmtId="0" fontId="0" fillId="0" borderId="12" xfId="0" applyBorder="1" applyAlignment="1"/>
    <xf numFmtId="0" fontId="0" fillId="0" borderId="11" xfId="0" applyBorder="1" applyAlignment="1"/>
    <xf numFmtId="0" fontId="0" fillId="0" borderId="4" xfId="0" applyBorder="1" applyAlignment="1"/>
    <xf numFmtId="0" fontId="102" fillId="0" borderId="28" xfId="0" applyFont="1" applyBorder="1" applyAlignment="1"/>
    <xf numFmtId="43" fontId="0" fillId="0" borderId="29" xfId="0" applyNumberFormat="1" applyBorder="1" applyAlignment="1"/>
    <xf numFmtId="0" fontId="0" fillId="0" borderId="25" xfId="0" applyBorder="1">
      <alignment vertical="center"/>
    </xf>
    <xf numFmtId="0" fontId="0" fillId="0" borderId="27" xfId="0" applyBorder="1">
      <alignment vertical="center"/>
    </xf>
    <xf numFmtId="0" fontId="0" fillId="0" borderId="30" xfId="0" applyBorder="1">
      <alignment vertical="center"/>
    </xf>
    <xf numFmtId="0" fontId="0" fillId="0" borderId="0" xfId="0" applyBorder="1" applyAlignment="1"/>
    <xf numFmtId="0" fontId="0" fillId="0" borderId="15" xfId="0" applyBorder="1" applyAlignment="1"/>
    <xf numFmtId="0" fontId="0" fillId="0" borderId="14" xfId="0" applyBorder="1" applyAlignment="1"/>
    <xf numFmtId="0" fontId="0" fillId="0" borderId="23" xfId="0" applyBorder="1" applyAlignment="1"/>
    <xf numFmtId="0" fontId="0" fillId="0" borderId="35" xfId="0" applyBorder="1" applyAlignment="1"/>
    <xf numFmtId="0" fontId="0" fillId="0" borderId="36" xfId="0" applyBorder="1" applyAlignment="1"/>
    <xf numFmtId="0" fontId="0" fillId="0" borderId="37" xfId="0" applyBorder="1" applyAlignment="1"/>
    <xf numFmtId="0" fontId="0" fillId="0" borderId="38" xfId="0" applyBorder="1" applyAlignment="1"/>
    <xf numFmtId="0" fontId="108" fillId="0" borderId="4" xfId="0" applyFont="1" applyBorder="1" applyAlignment="1">
      <alignment horizontal="right" vertical="center" wrapText="1"/>
    </xf>
    <xf numFmtId="0" fontId="108" fillId="0" borderId="4" xfId="0" applyFont="1" applyBorder="1" applyAlignment="1">
      <alignment horizontal="center" vertical="center" wrapText="1"/>
    </xf>
    <xf numFmtId="0" fontId="108" fillId="0" borderId="4" xfId="0" applyFont="1" applyBorder="1" applyAlignment="1">
      <alignment vertical="center" wrapText="1"/>
    </xf>
    <xf numFmtId="43" fontId="19" fillId="0" borderId="4" xfId="6" applyFont="1" applyBorder="1" applyAlignment="1">
      <alignment vertical="center"/>
    </xf>
    <xf numFmtId="0" fontId="47" fillId="0" borderId="0" xfId="4" applyNumberFormat="1" applyFont="1" applyAlignment="1">
      <alignment horizontal="right"/>
    </xf>
    <xf numFmtId="0" fontId="16" fillId="0" borderId="1" xfId="0" applyNumberFormat="1" applyFont="1" applyFill="1" applyBorder="1" applyAlignment="1" applyProtection="1">
      <alignment horizontal="center" vertical="center"/>
    </xf>
    <xf numFmtId="0" fontId="16" fillId="0" borderId="1" xfId="0" applyNumberFormat="1" applyFont="1" applyFill="1" applyBorder="1" applyAlignment="1" applyProtection="1">
      <alignment horizontal="center" vertical="center" wrapText="1"/>
    </xf>
    <xf numFmtId="0" fontId="109" fillId="0" borderId="1" xfId="0" applyNumberFormat="1" applyFont="1" applyFill="1" applyBorder="1" applyAlignment="1" applyProtection="1">
      <alignment horizontal="center" vertical="center" wrapText="1"/>
    </xf>
    <xf numFmtId="4" fontId="16" fillId="0" borderId="1" xfId="0" applyNumberFormat="1" applyFont="1" applyFill="1" applyBorder="1" applyAlignment="1" applyProtection="1">
      <alignment horizontal="center" vertical="center" wrapText="1"/>
    </xf>
    <xf numFmtId="4" fontId="109" fillId="0" borderId="1" xfId="0" applyNumberFormat="1" applyFont="1" applyFill="1" applyBorder="1" applyAlignment="1" applyProtection="1">
      <alignment horizontal="center" vertical="center" wrapText="1"/>
    </xf>
    <xf numFmtId="0" fontId="10" fillId="0" borderId="1" xfId="0" applyNumberFormat="1" applyFont="1" applyFill="1" applyBorder="1" applyAlignment="1" applyProtection="1">
      <alignment vertical="center" shrinkToFit="1"/>
    </xf>
    <xf numFmtId="0" fontId="11" fillId="0" borderId="1" xfId="0" applyNumberFormat="1" applyFont="1" applyFill="1" applyBorder="1" applyAlignment="1" applyProtection="1">
      <alignment horizontal="center" vertical="center" wrapText="1" shrinkToFit="1"/>
    </xf>
    <xf numFmtId="178" fontId="110" fillId="0" borderId="1" xfId="0" applyNumberFormat="1" applyFont="1" applyFill="1" applyBorder="1" applyAlignment="1" applyProtection="1">
      <alignment horizontal="right" vertical="center" shrinkToFit="1"/>
    </xf>
    <xf numFmtId="178" fontId="32" fillId="0" borderId="1" xfId="0" applyNumberFormat="1" applyFont="1" applyFill="1" applyBorder="1" applyAlignment="1" applyProtection="1">
      <alignment horizontal="right" vertical="center" shrinkToFit="1"/>
    </xf>
    <xf numFmtId="0" fontId="11" fillId="0" borderId="1" xfId="0" applyNumberFormat="1" applyFont="1" applyFill="1" applyBorder="1" applyAlignment="1" applyProtection="1">
      <alignment vertical="center" wrapText="1"/>
    </xf>
    <xf numFmtId="0" fontId="10" fillId="0" borderId="1" xfId="0" applyNumberFormat="1" applyFont="1" applyFill="1" applyBorder="1" applyAlignment="1" applyProtection="1">
      <alignment horizontal="right" vertical="center" shrinkToFit="1"/>
    </xf>
    <xf numFmtId="0" fontId="12" fillId="0" borderId="0" xfId="0" applyNumberFormat="1" applyFont="1" applyFill="1" applyBorder="1" applyAlignment="1" applyProtection="1">
      <alignment vertical="center" wrapText="1"/>
    </xf>
    <xf numFmtId="0" fontId="111" fillId="0" borderId="0" xfId="0" applyNumberFormat="1" applyFont="1" applyFill="1" applyBorder="1" applyAlignment="1" applyProtection="1">
      <alignment vertical="center" wrapText="1"/>
    </xf>
    <xf numFmtId="0" fontId="112" fillId="0" borderId="0" xfId="0" applyNumberFormat="1" applyFont="1" applyFill="1" applyBorder="1" applyAlignment="1" applyProtection="1">
      <alignment vertical="center"/>
    </xf>
    <xf numFmtId="0" fontId="29" fillId="0" borderId="0" xfId="0" applyNumberFormat="1" applyFont="1" applyFill="1" applyBorder="1" applyAlignment="1" applyProtection="1">
      <alignment vertical="center"/>
    </xf>
    <xf numFmtId="0" fontId="18" fillId="0" borderId="0" xfId="0" applyNumberFormat="1" applyFont="1" applyFill="1" applyBorder="1" applyAlignment="1" applyProtection="1">
      <alignment horizontal="left" vertical="center" wrapText="1"/>
    </xf>
    <xf numFmtId="0" fontId="20" fillId="0" borderId="0" xfId="0" applyNumberFormat="1" applyFont="1" applyFill="1" applyBorder="1" applyAlignment="1" applyProtection="1">
      <alignment horizontal="left" vertical="center" wrapText="1"/>
    </xf>
    <xf numFmtId="0" fontId="23" fillId="0" borderId="0" xfId="0" applyNumberFormat="1" applyFont="1" applyFill="1" applyBorder="1" applyAlignment="1" applyProtection="1">
      <alignment horizontal="left" vertical="center" wrapText="1"/>
    </xf>
    <xf numFmtId="0" fontId="24" fillId="0" borderId="0" xfId="0" applyNumberFormat="1" applyFont="1" applyFill="1" applyBorder="1" applyAlignment="1" applyProtection="1">
      <alignment horizontal="left" vertical="center" wrapText="1"/>
    </xf>
    <xf numFmtId="0" fontId="23" fillId="0" borderId="0" xfId="0" applyNumberFormat="1" applyFont="1" applyFill="1" applyBorder="1" applyAlignment="1" applyProtection="1">
      <alignment horizontal="left" vertical="center"/>
    </xf>
    <xf numFmtId="0" fontId="39" fillId="0" borderId="10" xfId="0" applyFont="1" applyBorder="1" applyAlignment="1">
      <alignment horizontal="right" vertical="center"/>
    </xf>
    <xf numFmtId="0" fontId="39" fillId="0" borderId="13" xfId="0" applyFont="1" applyBorder="1" applyAlignment="1">
      <alignment horizontal="right" vertical="center"/>
    </xf>
    <xf numFmtId="0" fontId="1" fillId="0" borderId="0" xfId="4" applyBorder="1"/>
    <xf numFmtId="0" fontId="45" fillId="0" borderId="0" xfId="0" applyFont="1" applyBorder="1" applyAlignment="1">
      <alignment horizontal="right"/>
    </xf>
    <xf numFmtId="0" fontId="0" fillId="0" borderId="0" xfId="0" applyFill="1" applyAlignment="1"/>
    <xf numFmtId="0" fontId="40" fillId="0" borderId="0" xfId="3" applyFont="1" applyAlignment="1">
      <alignment horizontal="left"/>
    </xf>
    <xf numFmtId="0" fontId="37" fillId="0" borderId="4" xfId="3" applyFont="1" applyBorder="1" applyAlignment="1">
      <alignment vertical="center" shrinkToFit="1"/>
    </xf>
    <xf numFmtId="0" fontId="37" fillId="0" borderId="4" xfId="3" quotePrefix="1" applyFont="1" applyBorder="1" applyAlignment="1">
      <alignment horizontal="left" vertical="center" shrinkToFit="1"/>
    </xf>
    <xf numFmtId="0" fontId="37" fillId="0" borderId="0" xfId="3" applyFont="1"/>
    <xf numFmtId="0" fontId="37" fillId="0" borderId="4" xfId="3" applyFont="1" applyBorder="1" applyAlignment="1">
      <alignment horizontal="center" vertical="center"/>
    </xf>
    <xf numFmtId="0" fontId="0" fillId="0" borderId="18" xfId="0" applyBorder="1" applyAlignment="1"/>
    <xf numFmtId="0" fontId="0" fillId="0" borderId="19" xfId="0" applyBorder="1" applyAlignment="1"/>
    <xf numFmtId="0" fontId="0" fillId="0" borderId="17" xfId="0" applyBorder="1" applyAlignment="1"/>
    <xf numFmtId="0" fontId="0" fillId="3" borderId="0" xfId="0" applyFill="1" applyAlignment="1"/>
    <xf numFmtId="0" fontId="0" fillId="4" borderId="0" xfId="0" applyFill="1" applyAlignment="1"/>
    <xf numFmtId="0" fontId="0" fillId="4" borderId="4" xfId="0" applyFill="1" applyBorder="1" applyAlignment="1"/>
    <xf numFmtId="0" fontId="0" fillId="4" borderId="0" xfId="0" quotePrefix="1" applyFill="1" applyAlignment="1"/>
    <xf numFmtId="0" fontId="113" fillId="0" borderId="0" xfId="0" applyFont="1" applyAlignment="1">
      <alignment horizontal="center"/>
    </xf>
    <xf numFmtId="0" fontId="114" fillId="3" borderId="12" xfId="0" applyFont="1" applyFill="1" applyBorder="1" applyAlignment="1"/>
    <xf numFmtId="0" fontId="114" fillId="3" borderId="0" xfId="0" applyFont="1" applyFill="1" applyAlignment="1"/>
    <xf numFmtId="0" fontId="115" fillId="4" borderId="4" xfId="4" applyFont="1" applyFill="1" applyBorder="1" applyAlignment="1">
      <alignment horizontal="left"/>
    </xf>
    <xf numFmtId="0" fontId="0" fillId="0" borderId="0" xfId="0" applyAlignment="1">
      <alignment vertical="top" wrapText="1"/>
    </xf>
    <xf numFmtId="0" fontId="0" fillId="4" borderId="16" xfId="0" applyFill="1" applyBorder="1" applyAlignment="1"/>
    <xf numFmtId="182" fontId="0" fillId="4" borderId="7" xfId="0" applyNumberFormat="1" applyFill="1" applyBorder="1" applyAlignment="1">
      <alignment horizontal="center" vertical="center"/>
    </xf>
    <xf numFmtId="0" fontId="0" fillId="4" borderId="19" xfId="0" applyFill="1" applyBorder="1" applyAlignment="1"/>
    <xf numFmtId="0" fontId="0" fillId="4" borderId="17" xfId="0" applyFill="1" applyBorder="1" applyAlignment="1"/>
    <xf numFmtId="0" fontId="0" fillId="4" borderId="9" xfId="0" applyFill="1" applyBorder="1" applyAlignment="1"/>
    <xf numFmtId="0" fontId="0" fillId="4" borderId="34" xfId="0" applyFill="1" applyBorder="1" applyAlignment="1"/>
    <xf numFmtId="0" fontId="0" fillId="4" borderId="10" xfId="0" applyFill="1" applyBorder="1" applyAlignment="1"/>
    <xf numFmtId="0" fontId="0" fillId="4" borderId="7" xfId="0" applyFill="1" applyBorder="1" applyAlignment="1"/>
    <xf numFmtId="0" fontId="0" fillId="4" borderId="7" xfId="0" applyFill="1" applyBorder="1" applyAlignment="1">
      <alignment horizontal="right"/>
    </xf>
    <xf numFmtId="0" fontId="0" fillId="4" borderId="11" xfId="0" applyFill="1" applyBorder="1" applyAlignment="1"/>
    <xf numFmtId="0" fontId="57" fillId="4" borderId="12" xfId="4" applyFont="1" applyFill="1" applyBorder="1" applyAlignment="1">
      <alignment horizontal="left"/>
    </xf>
    <xf numFmtId="0" fontId="57" fillId="4" borderId="9" xfId="4" applyFont="1" applyFill="1" applyBorder="1" applyAlignment="1">
      <alignment horizontal="left"/>
    </xf>
    <xf numFmtId="0" fontId="113" fillId="4" borderId="34" xfId="0" applyFont="1" applyFill="1" applyBorder="1" applyAlignment="1">
      <alignment vertical="top" wrapText="1"/>
    </xf>
    <xf numFmtId="0" fontId="113" fillId="4" borderId="8" xfId="0" applyFont="1" applyFill="1" applyBorder="1" applyAlignment="1">
      <alignment vertical="top" wrapText="1"/>
    </xf>
    <xf numFmtId="0" fontId="0" fillId="4" borderId="12" xfId="0" applyFill="1" applyBorder="1" applyAlignment="1"/>
    <xf numFmtId="0" fontId="0" fillId="4" borderId="10" xfId="0" applyFill="1" applyBorder="1" applyAlignment="1">
      <alignment horizontal="right"/>
    </xf>
    <xf numFmtId="0" fontId="113" fillId="4" borderId="0" xfId="0" applyFont="1" applyFill="1" applyAlignment="1">
      <alignment vertical="top" wrapText="1"/>
    </xf>
    <xf numFmtId="0" fontId="113" fillId="4" borderId="11" xfId="0" applyFont="1" applyFill="1" applyBorder="1" applyAlignment="1">
      <alignment vertical="top" wrapText="1"/>
    </xf>
    <xf numFmtId="0" fontId="101" fillId="4" borderId="0" xfId="0" applyFont="1" applyFill="1" applyAlignment="1"/>
    <xf numFmtId="0" fontId="101" fillId="0" borderId="0" xfId="0" applyFont="1" applyAlignment="1"/>
    <xf numFmtId="0" fontId="0" fillId="0" borderId="27" xfId="0" applyBorder="1" applyAlignment="1"/>
    <xf numFmtId="0" fontId="0" fillId="0" borderId="25" xfId="0" applyBorder="1" applyAlignment="1"/>
    <xf numFmtId="0" fontId="0" fillId="0" borderId="29" xfId="0" applyBorder="1" applyAlignment="1"/>
    <xf numFmtId="0" fontId="0" fillId="0" borderId="30" xfId="0" applyBorder="1" applyAlignment="1"/>
    <xf numFmtId="0" fontId="113" fillId="4" borderId="10" xfId="0" applyFont="1" applyFill="1" applyBorder="1" applyAlignment="1">
      <alignment vertical="top" wrapText="1"/>
    </xf>
    <xf numFmtId="0" fontId="0" fillId="0" borderId="28" xfId="0" applyBorder="1" applyAlignment="1"/>
    <xf numFmtId="0" fontId="101" fillId="4" borderId="0" xfId="0" quotePrefix="1" applyFont="1" applyFill="1" applyAlignment="1"/>
    <xf numFmtId="0" fontId="0" fillId="4" borderId="12" xfId="0" applyFill="1" applyBorder="1" applyAlignment="1">
      <alignment horizontal="left"/>
    </xf>
    <xf numFmtId="0" fontId="113" fillId="4" borderId="12" xfId="0" applyFont="1" applyFill="1" applyBorder="1" applyAlignment="1">
      <alignment vertical="top" wrapText="1"/>
    </xf>
    <xf numFmtId="0" fontId="113" fillId="4" borderId="12" xfId="0" applyFont="1" applyFill="1" applyBorder="1" applyAlignment="1">
      <alignment horizontal="center"/>
    </xf>
    <xf numFmtId="0" fontId="113" fillId="4" borderId="0" xfId="0" applyFont="1" applyFill="1" applyAlignment="1">
      <alignment horizontal="center"/>
    </xf>
    <xf numFmtId="0" fontId="113" fillId="4" borderId="11" xfId="0" applyFont="1" applyFill="1" applyBorder="1" applyAlignment="1">
      <alignment horizontal="center"/>
    </xf>
    <xf numFmtId="0" fontId="0" fillId="4" borderId="15" xfId="0" applyFill="1" applyBorder="1" applyAlignment="1"/>
    <xf numFmtId="0" fontId="0" fillId="4" borderId="23" xfId="0" applyFill="1" applyBorder="1" applyAlignment="1"/>
    <xf numFmtId="0" fontId="0" fillId="4" borderId="13" xfId="0" applyFill="1" applyBorder="1" applyAlignment="1"/>
    <xf numFmtId="0" fontId="113" fillId="4" borderId="13" xfId="0" applyFont="1" applyFill="1" applyBorder="1" applyAlignment="1">
      <alignment vertical="top" wrapText="1"/>
    </xf>
    <xf numFmtId="0" fontId="0" fillId="4" borderId="13" xfId="0" applyFill="1" applyBorder="1" applyAlignment="1">
      <alignment horizontal="right"/>
    </xf>
    <xf numFmtId="0" fontId="0" fillId="4" borderId="14" xfId="0" applyFill="1" applyBorder="1" applyAlignment="1"/>
    <xf numFmtId="0" fontId="113" fillId="4" borderId="15" xfId="0" applyFont="1" applyFill="1" applyBorder="1" applyAlignment="1">
      <alignment vertical="top" wrapText="1"/>
    </xf>
    <xf numFmtId="0" fontId="113" fillId="4" borderId="23" xfId="0" applyFont="1" applyFill="1" applyBorder="1" applyAlignment="1">
      <alignment vertical="top" wrapText="1"/>
    </xf>
    <xf numFmtId="0" fontId="113" fillId="4" borderId="14" xfId="0" applyFont="1" applyFill="1" applyBorder="1" applyAlignment="1">
      <alignment vertical="top" wrapText="1"/>
    </xf>
    <xf numFmtId="0" fontId="0" fillId="4" borderId="0" xfId="0" applyFill="1" applyAlignment="1">
      <alignment horizontal="center"/>
    </xf>
    <xf numFmtId="0" fontId="0" fillId="5" borderId="0" xfId="0" applyFill="1" applyAlignment="1"/>
    <xf numFmtId="0" fontId="102" fillId="0" borderId="0" xfId="0" applyFont="1" applyAlignment="1">
      <alignment horizontal="center" vertical="center"/>
    </xf>
    <xf numFmtId="0" fontId="115" fillId="0" borderId="0" xfId="4" applyFont="1" applyAlignment="1">
      <alignment horizontal="left"/>
    </xf>
    <xf numFmtId="0" fontId="57" fillId="0" borderId="0" xfId="4" applyFont="1" applyAlignment="1">
      <alignment horizontal="left"/>
    </xf>
    <xf numFmtId="0" fontId="113" fillId="0" borderId="0" xfId="0" applyFont="1" applyAlignment="1"/>
    <xf numFmtId="0" fontId="115" fillId="0" borderId="0" xfId="0" quotePrefix="1" applyFont="1" applyAlignment="1">
      <alignment vertical="center"/>
    </xf>
    <xf numFmtId="0" fontId="114" fillId="3" borderId="0" xfId="0" quotePrefix="1" applyFont="1" applyFill="1" applyAlignment="1"/>
    <xf numFmtId="176" fontId="116" fillId="0" borderId="0" xfId="0" applyNumberFormat="1" applyFont="1" applyAlignment="1"/>
    <xf numFmtId="0" fontId="0" fillId="5" borderId="9" xfId="0" applyFill="1" applyBorder="1" applyAlignment="1"/>
    <xf numFmtId="0" fontId="0" fillId="5" borderId="34" xfId="0" applyFill="1" applyBorder="1" applyAlignment="1"/>
    <xf numFmtId="0" fontId="57" fillId="5" borderId="12" xfId="4" applyFont="1" applyFill="1" applyBorder="1" applyAlignment="1">
      <alignment horizontal="left"/>
    </xf>
    <xf numFmtId="0" fontId="57" fillId="5" borderId="9" xfId="4" applyFont="1" applyFill="1" applyBorder="1" applyAlignment="1">
      <alignment horizontal="left"/>
    </xf>
    <xf numFmtId="0" fontId="113" fillId="5" borderId="34" xfId="0" applyFont="1" applyFill="1" applyBorder="1" applyAlignment="1">
      <alignment vertical="top" wrapText="1"/>
    </xf>
    <xf numFmtId="0" fontId="113" fillId="5" borderId="8" xfId="0" applyFont="1" applyFill="1" applyBorder="1" applyAlignment="1">
      <alignment vertical="top" wrapText="1"/>
    </xf>
    <xf numFmtId="0" fontId="0" fillId="5" borderId="12" xfId="0" applyFill="1" applyBorder="1" applyAlignment="1"/>
    <xf numFmtId="0" fontId="113" fillId="5" borderId="0" xfId="0" applyFont="1" applyFill="1" applyAlignment="1">
      <alignment vertical="top" wrapText="1"/>
    </xf>
    <xf numFmtId="0" fontId="113" fillId="5" borderId="11" xfId="0" applyFont="1" applyFill="1" applyBorder="1" applyAlignment="1">
      <alignment vertical="top" wrapText="1"/>
    </xf>
    <xf numFmtId="0" fontId="0" fillId="5" borderId="12" xfId="0" applyFill="1" applyBorder="1" applyAlignment="1">
      <alignment horizontal="left"/>
    </xf>
    <xf numFmtId="0" fontId="0" fillId="5" borderId="11" xfId="0" applyFill="1" applyBorder="1" applyAlignment="1"/>
    <xf numFmtId="0" fontId="116" fillId="0" borderId="0" xfId="0" applyFont="1" applyAlignment="1"/>
    <xf numFmtId="0" fontId="0" fillId="0" borderId="0" xfId="0" applyAlignment="1">
      <alignment horizontal="center"/>
    </xf>
    <xf numFmtId="0" fontId="117" fillId="0" borderId="0" xfId="0" applyFont="1" applyAlignment="1"/>
    <xf numFmtId="0" fontId="104" fillId="0" borderId="0" xfId="0" applyFont="1" applyAlignment="1">
      <alignment horizontal="left"/>
    </xf>
    <xf numFmtId="0" fontId="113" fillId="5" borderId="12" xfId="0" applyFont="1" applyFill="1" applyBorder="1" applyAlignment="1">
      <alignment vertical="top" wrapText="1"/>
    </xf>
    <xf numFmtId="0" fontId="113" fillId="5" borderId="12" xfId="0" applyFont="1" applyFill="1" applyBorder="1" applyAlignment="1">
      <alignment horizontal="center"/>
    </xf>
    <xf numFmtId="0" fontId="113" fillId="5" borderId="0" xfId="0" applyFont="1" applyFill="1" applyAlignment="1">
      <alignment horizontal="center"/>
    </xf>
    <xf numFmtId="0" fontId="113" fillId="5" borderId="11" xfId="0" applyFont="1" applyFill="1" applyBorder="1" applyAlignment="1">
      <alignment horizontal="center"/>
    </xf>
    <xf numFmtId="0" fontId="0" fillId="5" borderId="15" xfId="0" applyFill="1" applyBorder="1" applyAlignment="1"/>
    <xf numFmtId="0" fontId="0" fillId="5" borderId="23" xfId="0" applyFill="1" applyBorder="1" applyAlignment="1"/>
    <xf numFmtId="0" fontId="113" fillId="5" borderId="15" xfId="0" applyFont="1" applyFill="1" applyBorder="1" applyAlignment="1">
      <alignment vertical="top" wrapText="1"/>
    </xf>
    <xf numFmtId="0" fontId="113" fillId="5" borderId="23" xfId="0" applyFont="1" applyFill="1" applyBorder="1" applyAlignment="1">
      <alignment vertical="top" wrapText="1"/>
    </xf>
    <xf numFmtId="0" fontId="113" fillId="5" borderId="14" xfId="0" applyFont="1" applyFill="1" applyBorder="1" applyAlignment="1">
      <alignment vertical="top" wrapText="1"/>
    </xf>
    <xf numFmtId="0" fontId="0" fillId="0" borderId="0" xfId="0" quotePrefix="1" applyAlignment="1"/>
    <xf numFmtId="0" fontId="118" fillId="0" borderId="0" xfId="0" applyFont="1" applyAlignment="1"/>
    <xf numFmtId="0" fontId="119" fillId="0" borderId="0" xfId="0" applyFont="1" applyAlignment="1"/>
    <xf numFmtId="0" fontId="120" fillId="0" borderId="0" xfId="0" applyFont="1" applyAlignment="1">
      <alignment horizontal="left"/>
    </xf>
    <xf numFmtId="0" fontId="104" fillId="0" borderId="0" xfId="0" applyFont="1" applyAlignment="1"/>
    <xf numFmtId="0" fontId="0" fillId="0" borderId="4" xfId="0" applyBorder="1" applyAlignment="1">
      <alignment horizontal="right"/>
    </xf>
    <xf numFmtId="0" fontId="113" fillId="0" borderId="4" xfId="0" applyFont="1" applyBorder="1" applyAlignment="1">
      <alignment vertical="top" wrapText="1"/>
    </xf>
    <xf numFmtId="0" fontId="0" fillId="5" borderId="8" xfId="0" applyFill="1" applyBorder="1" applyAlignment="1"/>
    <xf numFmtId="0" fontId="113" fillId="5" borderId="0" xfId="0" quotePrefix="1" applyFont="1" applyFill="1" applyAlignment="1">
      <alignment vertical="top" wrapText="1"/>
    </xf>
    <xf numFmtId="0" fontId="0" fillId="5" borderId="15" xfId="0" applyFill="1" applyBorder="1" applyAlignment="1">
      <alignment horizontal="left"/>
    </xf>
    <xf numFmtId="0" fontId="0" fillId="0" borderId="0" xfId="0" applyAlignment="1">
      <alignment wrapText="1"/>
    </xf>
    <xf numFmtId="0" fontId="113" fillId="6" borderId="25" xfId="0" applyFont="1" applyFill="1" applyBorder="1" applyAlignment="1">
      <alignment horizontal="left" vertical="center"/>
    </xf>
    <xf numFmtId="0" fontId="113" fillId="6" borderId="26" xfId="0" applyFont="1" applyFill="1" applyBorder="1" applyAlignment="1">
      <alignment horizontal="left" vertical="center"/>
    </xf>
    <xf numFmtId="0" fontId="113" fillId="6" borderId="26" xfId="0" applyFont="1" applyFill="1" applyBorder="1" applyAlignment="1"/>
    <xf numFmtId="0" fontId="113" fillId="6" borderId="27" xfId="0" applyFont="1" applyFill="1" applyBorder="1" applyAlignment="1">
      <alignment horizontal="left" vertical="center"/>
    </xf>
    <xf numFmtId="0" fontId="113" fillId="6" borderId="0" xfId="0" applyFont="1" applyFill="1" applyAlignment="1"/>
    <xf numFmtId="0" fontId="113" fillId="6" borderId="0" xfId="0" quotePrefix="1" applyFont="1" applyFill="1" applyAlignment="1"/>
    <xf numFmtId="0" fontId="113" fillId="6" borderId="0" xfId="0" applyFont="1" applyFill="1" applyAlignment="1">
      <alignment horizontal="center"/>
    </xf>
    <xf numFmtId="0" fontId="113" fillId="6" borderId="18" xfId="0" applyFont="1" applyFill="1" applyBorder="1" applyAlignment="1">
      <alignment horizontal="left"/>
    </xf>
    <xf numFmtId="0" fontId="113" fillId="6" borderId="19" xfId="0" applyFont="1" applyFill="1" applyBorder="1" applyAlignment="1"/>
    <xf numFmtId="0" fontId="0" fillId="6" borderId="19" xfId="0" applyFill="1" applyBorder="1" applyAlignment="1"/>
    <xf numFmtId="0" fontId="0" fillId="6" borderId="17" xfId="0" applyFill="1" applyBorder="1" applyAlignment="1"/>
    <xf numFmtId="0" fontId="0" fillId="6" borderId="7" xfId="0" applyFill="1" applyBorder="1" applyAlignment="1"/>
    <xf numFmtId="182" fontId="0" fillId="6" borderId="7" xfId="0" applyNumberFormat="1" applyFill="1" applyBorder="1" applyAlignment="1">
      <alignment horizontal="center" vertical="center"/>
    </xf>
    <xf numFmtId="0" fontId="0" fillId="6" borderId="34" xfId="0" applyFill="1" applyBorder="1" applyAlignment="1"/>
    <xf numFmtId="0" fontId="0" fillId="6" borderId="8" xfId="0" applyFill="1" applyBorder="1" applyAlignment="1"/>
    <xf numFmtId="0" fontId="0" fillId="6" borderId="0" xfId="0" applyFill="1" applyAlignment="1"/>
    <xf numFmtId="0" fontId="113" fillId="6" borderId="9" xfId="0" applyFont="1" applyFill="1" applyBorder="1" applyAlignment="1">
      <alignment horizontal="left"/>
    </xf>
    <xf numFmtId="0" fontId="113" fillId="6" borderId="34" xfId="0" applyFont="1" applyFill="1" applyBorder="1" applyAlignment="1">
      <alignment horizontal="left"/>
    </xf>
    <xf numFmtId="0" fontId="0" fillId="6" borderId="34" xfId="0" applyFill="1" applyBorder="1" applyAlignment="1">
      <alignment horizontal="right"/>
    </xf>
    <xf numFmtId="0" fontId="113" fillId="6" borderId="12" xfId="0" applyFont="1" applyFill="1" applyBorder="1" applyAlignment="1">
      <alignment horizontal="left"/>
    </xf>
    <xf numFmtId="0" fontId="113" fillId="6" borderId="0" xfId="0" applyFont="1" applyFill="1" applyBorder="1" applyAlignment="1">
      <alignment horizontal="left"/>
    </xf>
    <xf numFmtId="0" fontId="0" fillId="6" borderId="0" xfId="0" applyFill="1" applyBorder="1" applyAlignment="1"/>
    <xf numFmtId="0" fontId="0" fillId="6" borderId="0" xfId="0" applyFill="1" applyBorder="1" applyAlignment="1">
      <alignment horizontal="right"/>
    </xf>
    <xf numFmtId="0" fontId="0" fillId="6" borderId="11" xfId="0" applyFill="1" applyBorder="1" applyAlignment="1"/>
    <xf numFmtId="0" fontId="116" fillId="6" borderId="0" xfId="0" applyFont="1" applyFill="1" applyAlignment="1"/>
    <xf numFmtId="176" fontId="116" fillId="6" borderId="0" xfId="0" applyNumberFormat="1" applyFont="1" applyFill="1" applyAlignment="1"/>
    <xf numFmtId="0" fontId="113" fillId="0" borderId="0" xfId="0" applyFont="1" applyAlignment="1">
      <alignment horizontal="left"/>
    </xf>
    <xf numFmtId="176" fontId="0" fillId="6" borderId="0" xfId="0" applyNumberFormat="1" applyFill="1" applyAlignment="1"/>
    <xf numFmtId="0" fontId="113" fillId="6" borderId="0" xfId="0" applyFont="1" applyFill="1" applyBorder="1" applyAlignment="1">
      <alignment vertical="top" wrapText="1"/>
    </xf>
    <xf numFmtId="0" fontId="116" fillId="6" borderId="0" xfId="0" applyFont="1" applyFill="1" applyAlignment="1">
      <alignment horizontal="right"/>
    </xf>
    <xf numFmtId="176" fontId="116" fillId="6" borderId="0" xfId="0" applyNumberFormat="1" applyFont="1" applyFill="1" applyAlignment="1">
      <alignment horizontal="right"/>
    </xf>
    <xf numFmtId="0" fontId="115" fillId="0" borderId="25" xfId="4" applyFont="1" applyBorder="1" applyAlignment="1">
      <alignment horizontal="left"/>
    </xf>
    <xf numFmtId="0" fontId="57" fillId="0" borderId="34" xfId="4" applyFont="1" applyBorder="1" applyAlignment="1">
      <alignment horizontal="left"/>
    </xf>
    <xf numFmtId="0" fontId="115" fillId="0" borderId="12" xfId="0" quotePrefix="1" applyFont="1" applyBorder="1" applyAlignment="1">
      <alignment vertical="center"/>
    </xf>
    <xf numFmtId="0" fontId="113" fillId="6" borderId="17" xfId="0" applyFont="1" applyFill="1" applyBorder="1" applyAlignment="1"/>
    <xf numFmtId="0" fontId="113" fillId="6" borderId="19" xfId="0" applyFont="1" applyFill="1" applyBorder="1" applyAlignment="1">
      <alignment horizontal="left"/>
    </xf>
    <xf numFmtId="0" fontId="121" fillId="0" borderId="12" xfId="4" applyFont="1" applyBorder="1" applyAlignment="1">
      <alignment horizontal="left"/>
    </xf>
    <xf numFmtId="0" fontId="113" fillId="6" borderId="0" xfId="0" applyFont="1" applyFill="1" applyAlignment="1">
      <alignment horizontal="left"/>
    </xf>
    <xf numFmtId="0" fontId="113" fillId="6" borderId="11" xfId="0" applyFont="1" applyFill="1" applyBorder="1" applyAlignment="1">
      <alignment horizontal="left"/>
    </xf>
    <xf numFmtId="0" fontId="113" fillId="6" borderId="15" xfId="0" applyFont="1" applyFill="1" applyBorder="1" applyAlignment="1">
      <alignment horizontal="left"/>
    </xf>
    <xf numFmtId="0" fontId="113" fillId="6" borderId="23" xfId="0" applyFont="1" applyFill="1" applyBorder="1" applyAlignment="1">
      <alignment horizontal="left"/>
    </xf>
    <xf numFmtId="0" fontId="0" fillId="6" borderId="23" xfId="0" applyFill="1" applyBorder="1" applyAlignment="1"/>
    <xf numFmtId="0" fontId="0" fillId="6" borderId="14" xfId="0" applyFill="1" applyBorder="1" applyAlignment="1"/>
    <xf numFmtId="0" fontId="115" fillId="0" borderId="12" xfId="0" applyFont="1" applyBorder="1" applyAlignment="1">
      <alignment vertical="center"/>
    </xf>
    <xf numFmtId="0" fontId="113" fillId="6" borderId="34" xfId="0" applyFont="1" applyFill="1" applyBorder="1" applyAlignment="1"/>
    <xf numFmtId="0" fontId="115" fillId="0" borderId="15" xfId="0" applyFont="1" applyBorder="1" applyAlignment="1">
      <alignment vertical="center"/>
    </xf>
    <xf numFmtId="0" fontId="0" fillId="6" borderId="0" xfId="0" applyFill="1" applyAlignment="1">
      <alignment horizontal="right"/>
    </xf>
    <xf numFmtId="0" fontId="113" fillId="6" borderId="0" xfId="0" applyFont="1" applyFill="1" applyAlignment="1">
      <alignment vertical="top" wrapText="1"/>
    </xf>
    <xf numFmtId="0" fontId="0" fillId="0" borderId="27" xfId="0" applyBorder="1" applyAlignment="1">
      <alignment horizontal="right"/>
    </xf>
    <xf numFmtId="0" fontId="113" fillId="6" borderId="12" xfId="0" applyFont="1" applyFill="1" applyBorder="1" applyAlignment="1"/>
    <xf numFmtId="0" fontId="113" fillId="6" borderId="11" xfId="0" applyFont="1" applyFill="1" applyBorder="1" applyAlignment="1"/>
    <xf numFmtId="0" fontId="113" fillId="6" borderId="15" xfId="0" applyFont="1" applyFill="1" applyBorder="1" applyAlignment="1"/>
    <xf numFmtId="0" fontId="113" fillId="6" borderId="23" xfId="0" applyFont="1" applyFill="1" applyBorder="1" applyAlignment="1"/>
    <xf numFmtId="0" fontId="113" fillId="6" borderId="14" xfId="0" applyFont="1" applyFill="1" applyBorder="1" applyAlignment="1"/>
    <xf numFmtId="0" fontId="121" fillId="0" borderId="0" xfId="4" applyFont="1" applyAlignment="1">
      <alignment horizontal="left"/>
    </xf>
    <xf numFmtId="0" fontId="113" fillId="6" borderId="8" xfId="0" applyFont="1" applyFill="1" applyBorder="1" applyAlignment="1"/>
    <xf numFmtId="0" fontId="118" fillId="6" borderId="0" xfId="0" applyFont="1" applyFill="1" applyAlignment="1">
      <alignment horizontal="left"/>
    </xf>
    <xf numFmtId="0" fontId="118" fillId="6" borderId="0" xfId="0" applyFont="1" applyFill="1" applyAlignment="1"/>
    <xf numFmtId="0" fontId="113" fillId="6" borderId="8" xfId="0" applyFont="1" applyFill="1" applyBorder="1" applyAlignment="1">
      <alignment horizontal="left"/>
    </xf>
    <xf numFmtId="0" fontId="115" fillId="0" borderId="0" xfId="0" applyFont="1" applyAlignment="1">
      <alignment vertical="center"/>
    </xf>
    <xf numFmtId="0" fontId="113" fillId="6" borderId="11" xfId="0" applyFont="1" applyFill="1" applyBorder="1" applyAlignment="1">
      <alignment horizontal="center"/>
    </xf>
    <xf numFmtId="0" fontId="0" fillId="0" borderId="0" xfId="0" applyAlignment="1">
      <alignment horizontal="left"/>
    </xf>
    <xf numFmtId="0" fontId="115" fillId="0" borderId="0" xfId="0" applyFont="1" applyAlignment="1"/>
    <xf numFmtId="0" fontId="0" fillId="0" borderId="0" xfId="0" applyAlignment="1">
      <alignment horizontal="left" vertical="top"/>
    </xf>
    <xf numFmtId="0" fontId="118" fillId="6" borderId="23" xfId="0" applyFont="1" applyFill="1" applyBorder="1" applyAlignment="1">
      <alignment horizontal="left"/>
    </xf>
    <xf numFmtId="0" fontId="113" fillId="6" borderId="14" xfId="0" applyFont="1" applyFill="1" applyBorder="1" applyAlignment="1">
      <alignment horizontal="left"/>
    </xf>
    <xf numFmtId="0" fontId="118" fillId="6" borderId="23" xfId="0" applyFont="1" applyFill="1" applyBorder="1" applyAlignment="1"/>
    <xf numFmtId="0" fontId="118" fillId="6" borderId="14" xfId="0" applyFont="1" applyFill="1" applyBorder="1" applyAlignment="1"/>
    <xf numFmtId="0" fontId="113" fillId="0" borderId="25" xfId="0" applyFont="1" applyBorder="1" applyAlignment="1"/>
    <xf numFmtId="0" fontId="113" fillId="0" borderId="26" xfId="0" applyFont="1" applyBorder="1" applyAlignment="1"/>
    <xf numFmtId="0" fontId="113" fillId="0" borderId="28" xfId="0" applyFont="1" applyBorder="1" applyAlignment="1"/>
    <xf numFmtId="0" fontId="113" fillId="0" borderId="4" xfId="0" applyFont="1" applyBorder="1" applyAlignment="1"/>
    <xf numFmtId="0" fontId="0" fillId="7" borderId="27" xfId="0" applyFill="1" applyBorder="1" applyAlignment="1"/>
    <xf numFmtId="0" fontId="0" fillId="0" borderId="11" xfId="0" applyBorder="1" applyAlignment="1">
      <alignment horizontal="right"/>
    </xf>
    <xf numFmtId="0" fontId="0" fillId="0" borderId="39" xfId="0" applyBorder="1" applyAlignment="1"/>
    <xf numFmtId="0" fontId="0" fillId="7" borderId="25" xfId="0" applyFill="1" applyBorder="1" applyAlignment="1"/>
    <xf numFmtId="0" fontId="57" fillId="0" borderId="12" xfId="4" applyFont="1" applyBorder="1" applyAlignment="1">
      <alignment horizontal="left"/>
    </xf>
    <xf numFmtId="0" fontId="61" fillId="0" borderId="12" xfId="0" quotePrefix="1" applyFont="1" applyBorder="1" applyAlignment="1">
      <alignment vertical="center"/>
    </xf>
    <xf numFmtId="0" fontId="104" fillId="0" borderId="11" xfId="0" applyFont="1" applyBorder="1" applyAlignment="1"/>
    <xf numFmtId="0" fontId="121" fillId="0" borderId="12" xfId="0" applyFont="1" applyBorder="1" applyAlignment="1">
      <alignment horizontal="left"/>
    </xf>
    <xf numFmtId="0" fontId="0" fillId="0" borderId="12" xfId="0" quotePrefix="1" applyBorder="1" applyAlignment="1"/>
    <xf numFmtId="0" fontId="0" fillId="0" borderId="15" xfId="0" quotePrefix="1" applyBorder="1" applyAlignment="1"/>
    <xf numFmtId="0" fontId="113" fillId="0" borderId="25" xfId="0" applyFont="1" applyBorder="1" applyAlignment="1">
      <alignment horizontal="left" vertical="center"/>
    </xf>
    <xf numFmtId="0" fontId="113" fillId="0" borderId="26" xfId="0" applyFont="1" applyBorder="1" applyAlignment="1">
      <alignment horizontal="left" vertical="center"/>
    </xf>
    <xf numFmtId="0" fontId="0" fillId="0" borderId="40" xfId="0" applyBorder="1" applyAlignment="1"/>
    <xf numFmtId="0" fontId="61" fillId="0" borderId="0" xfId="0" quotePrefix="1" applyFont="1" applyAlignment="1">
      <alignment vertical="center"/>
    </xf>
    <xf numFmtId="0" fontId="0" fillId="0" borderId="23" xfId="0" quotePrefix="1" applyBorder="1" applyAlignment="1"/>
    <xf numFmtId="0" fontId="113" fillId="0" borderId="27" xfId="0" applyFont="1" applyBorder="1" applyAlignment="1"/>
    <xf numFmtId="0" fontId="113" fillId="0" borderId="31" xfId="0" applyFont="1" applyBorder="1" applyAlignment="1"/>
    <xf numFmtId="0" fontId="122" fillId="0" borderId="0" xfId="0" applyFont="1" applyAlignment="1">
      <alignment vertical="center"/>
    </xf>
    <xf numFmtId="0" fontId="123" fillId="0" borderId="0" xfId="0" applyFont="1" applyAlignment="1">
      <alignment vertical="center"/>
    </xf>
    <xf numFmtId="0" fontId="122" fillId="0" borderId="0" xfId="0" applyFont="1" applyAlignment="1"/>
    <xf numFmtId="0" fontId="116" fillId="0" borderId="0" xfId="0" applyFont="1" applyAlignment="1">
      <alignment horizontal="left" vertical="center"/>
    </xf>
    <xf numFmtId="0" fontId="113" fillId="0" borderId="0" xfId="0" applyFont="1" applyAlignment="1">
      <alignment horizontal="left" vertical="center"/>
    </xf>
    <xf numFmtId="0" fontId="113" fillId="0" borderId="0" xfId="0" quotePrefix="1" applyFont="1" applyAlignment="1"/>
    <xf numFmtId="0" fontId="113" fillId="8" borderId="26" xfId="0" applyFont="1" applyFill="1" applyBorder="1" applyAlignment="1">
      <alignment horizontal="center"/>
    </xf>
    <xf numFmtId="0" fontId="113" fillId="0" borderId="41" xfId="0" applyFont="1" applyBorder="1" applyAlignment="1"/>
    <xf numFmtId="0" fontId="113" fillId="9" borderId="4" xfId="0" applyFont="1" applyFill="1" applyBorder="1" applyAlignment="1">
      <alignment horizontal="center" vertical="center"/>
    </xf>
    <xf numFmtId="0" fontId="113" fillId="0" borderId="42" xfId="0" applyFont="1" applyBorder="1" applyAlignment="1"/>
    <xf numFmtId="0" fontId="113" fillId="8" borderId="28" xfId="0" applyFont="1" applyFill="1" applyBorder="1" applyAlignment="1">
      <alignment horizontal="center" vertical="center"/>
    </xf>
    <xf numFmtId="0" fontId="113" fillId="8" borderId="4" xfId="0" applyFont="1" applyFill="1" applyBorder="1" applyAlignment="1">
      <alignment horizontal="center" vertical="center"/>
    </xf>
    <xf numFmtId="183" fontId="113" fillId="10" borderId="30" xfId="0" applyNumberFormat="1" applyFont="1" applyFill="1" applyBorder="1" applyAlignment="1">
      <alignment horizontal="center" vertical="center"/>
    </xf>
    <xf numFmtId="183" fontId="113" fillId="10" borderId="31" xfId="0" applyNumberFormat="1" applyFont="1" applyFill="1" applyBorder="1" applyAlignment="1">
      <alignment horizontal="center" vertical="center"/>
    </xf>
    <xf numFmtId="0" fontId="116" fillId="11" borderId="40" xfId="0" applyFont="1" applyFill="1" applyBorder="1" applyAlignment="1"/>
    <xf numFmtId="0" fontId="113" fillId="0" borderId="9" xfId="0" applyFont="1" applyBorder="1" applyAlignment="1"/>
    <xf numFmtId="0" fontId="113" fillId="0" borderId="34" xfId="0" applyFont="1" applyBorder="1" applyAlignment="1"/>
    <xf numFmtId="0" fontId="116" fillId="0" borderId="34" xfId="0" applyFont="1" applyBorder="1" applyAlignment="1"/>
    <xf numFmtId="0" fontId="113" fillId="0" borderId="12" xfId="0" applyFont="1" applyBorder="1" applyAlignment="1"/>
    <xf numFmtId="0" fontId="113" fillId="0" borderId="11" xfId="0" applyFont="1" applyBorder="1" applyAlignment="1"/>
    <xf numFmtId="0" fontId="116" fillId="0" borderId="12" xfId="0" applyFont="1" applyBorder="1" applyAlignment="1"/>
    <xf numFmtId="0" fontId="116" fillId="0" borderId="11" xfId="0" applyFont="1" applyBorder="1" applyAlignment="1"/>
    <xf numFmtId="0" fontId="60" fillId="0" borderId="0" xfId="4" applyFont="1" applyAlignment="1">
      <alignment horizontal="left"/>
    </xf>
    <xf numFmtId="0" fontId="124" fillId="0" borderId="0" xfId="4" applyFont="1" applyAlignment="1">
      <alignment horizontal="left"/>
    </xf>
    <xf numFmtId="0" fontId="125" fillId="0" borderId="0" xfId="0" quotePrefix="1" applyFont="1" applyAlignment="1">
      <alignment horizontal="left" vertical="center"/>
    </xf>
    <xf numFmtId="176" fontId="0" fillId="0" borderId="0" xfId="0" applyNumberFormat="1" applyAlignment="1"/>
    <xf numFmtId="0" fontId="113" fillId="0" borderId="12" xfId="0" applyFont="1" applyBorder="1" applyAlignment="1">
      <alignment horizontal="center"/>
    </xf>
    <xf numFmtId="0" fontId="116" fillId="0" borderId="0" xfId="0" applyFont="1" applyAlignment="1">
      <alignment horizontal="center"/>
    </xf>
    <xf numFmtId="0" fontId="102" fillId="0" borderId="12" xfId="0" applyFont="1" applyBorder="1" applyAlignment="1">
      <alignment horizontal="center"/>
    </xf>
    <xf numFmtId="0" fontId="102" fillId="0" borderId="0" xfId="0" applyFont="1" applyAlignment="1">
      <alignment horizontal="center"/>
    </xf>
    <xf numFmtId="0" fontId="102" fillId="0" borderId="11" xfId="0" applyFont="1" applyBorder="1" applyAlignment="1">
      <alignment horizontal="center"/>
    </xf>
    <xf numFmtId="0" fontId="61" fillId="0" borderId="0" xfId="0" quotePrefix="1" applyFont="1" applyAlignment="1">
      <alignment horizontal="left" vertical="center"/>
    </xf>
    <xf numFmtId="0" fontId="61" fillId="0" borderId="0" xfId="0" applyFont="1" applyAlignment="1">
      <alignment vertical="center"/>
    </xf>
    <xf numFmtId="0" fontId="125" fillId="0" borderId="0" xfId="0" applyFont="1" applyAlignment="1">
      <alignment vertical="center"/>
    </xf>
    <xf numFmtId="0" fontId="125" fillId="0" borderId="0" xfId="0" applyFont="1" applyAlignment="1">
      <alignment horizontal="left" vertical="center"/>
    </xf>
    <xf numFmtId="0" fontId="113" fillId="0" borderId="15" xfId="0" applyFont="1" applyBorder="1" applyAlignment="1"/>
    <xf numFmtId="0" fontId="113" fillId="0" borderId="23" xfId="0" applyFont="1" applyBorder="1" applyAlignment="1"/>
    <xf numFmtId="0" fontId="116" fillId="0" borderId="23" xfId="0" applyFont="1" applyBorder="1" applyAlignment="1"/>
    <xf numFmtId="0" fontId="116" fillId="0" borderId="15" xfId="0" applyFont="1" applyBorder="1" applyAlignment="1"/>
    <xf numFmtId="0" fontId="116" fillId="0" borderId="14" xfId="0" applyFont="1" applyBorder="1" applyAlignment="1"/>
    <xf numFmtId="0" fontId="124" fillId="0" borderId="0" xfId="0" applyFont="1" applyAlignment="1"/>
    <xf numFmtId="0" fontId="113" fillId="0" borderId="26" xfId="0" applyFont="1" applyBorder="1" applyAlignment="1">
      <alignment horizontal="center" vertical="center"/>
    </xf>
    <xf numFmtId="0" fontId="126" fillId="0" borderId="26" xfId="0" applyFont="1" applyBorder="1" applyAlignment="1">
      <alignment horizontal="center" vertical="center"/>
    </xf>
    <xf numFmtId="0" fontId="113" fillId="0" borderId="27" xfId="0" applyFont="1" applyBorder="1" applyAlignment="1">
      <alignment horizontal="center" vertical="center"/>
    </xf>
    <xf numFmtId="183" fontId="113" fillId="0" borderId="4" xfId="0" applyNumberFormat="1" applyFont="1" applyBorder="1" applyAlignment="1">
      <alignment horizontal="center" vertical="center"/>
    </xf>
    <xf numFmtId="0" fontId="113" fillId="0" borderId="4" xfId="0" applyFont="1" applyBorder="1" applyAlignment="1">
      <alignment horizontal="center" vertical="center"/>
    </xf>
    <xf numFmtId="0" fontId="113" fillId="0" borderId="29" xfId="0" applyFont="1" applyBorder="1" applyAlignment="1">
      <alignment horizontal="center" vertical="center"/>
    </xf>
    <xf numFmtId="0" fontId="113" fillId="0" borderId="31" xfId="0" applyFont="1" applyBorder="1" applyAlignment="1">
      <alignment horizontal="center" vertical="center"/>
    </xf>
    <xf numFmtId="0" fontId="113" fillId="0" borderId="32" xfId="0" applyFont="1" applyBorder="1" applyAlignment="1">
      <alignment horizontal="center" vertical="center"/>
    </xf>
    <xf numFmtId="0" fontId="113" fillId="0" borderId="13" xfId="0" applyFont="1" applyBorder="1" applyAlignment="1"/>
    <xf numFmtId="0" fontId="113" fillId="0" borderId="43" xfId="0" applyFont="1" applyBorder="1" applyAlignment="1"/>
    <xf numFmtId="0" fontId="113" fillId="0" borderId="44" xfId="0" applyFont="1" applyBorder="1" applyAlignment="1"/>
    <xf numFmtId="0" fontId="113" fillId="0" borderId="30" xfId="0" applyFont="1" applyBorder="1" applyAlignment="1"/>
    <xf numFmtId="0" fontId="116" fillId="11" borderId="45" xfId="0" applyFont="1" applyFill="1" applyBorder="1" applyAlignment="1"/>
    <xf numFmtId="0" fontId="116" fillId="11" borderId="32" xfId="0" applyFont="1" applyFill="1" applyBorder="1" applyAlignment="1"/>
    <xf numFmtId="0" fontId="113" fillId="0" borderId="46" xfId="0" applyFont="1" applyBorder="1" applyAlignment="1"/>
    <xf numFmtId="0" fontId="116" fillId="11" borderId="47" xfId="0" applyFont="1" applyFill="1" applyBorder="1" applyAlignment="1"/>
    <xf numFmtId="0" fontId="113" fillId="0" borderId="12" xfId="0" quotePrefix="1" applyFont="1" applyBorder="1" applyAlignment="1"/>
    <xf numFmtId="0" fontId="113" fillId="0" borderId="8" xfId="0" applyFont="1" applyBorder="1" applyAlignment="1"/>
    <xf numFmtId="0" fontId="116" fillId="0" borderId="0" xfId="0" applyFont="1" applyAlignment="1">
      <alignment horizontal="left"/>
    </xf>
    <xf numFmtId="0" fontId="114" fillId="0" borderId="0" xfId="0" applyFont="1" applyAlignment="1">
      <alignment horizontal="left"/>
    </xf>
    <xf numFmtId="0" fontId="124" fillId="0" borderId="0" xfId="0" applyFont="1" applyAlignment="1">
      <alignment horizontal="left"/>
    </xf>
    <xf numFmtId="0" fontId="114" fillId="0" borderId="0" xfId="0" applyFont="1" applyAlignment="1"/>
    <xf numFmtId="0" fontId="113" fillId="0" borderId="15" xfId="0" quotePrefix="1" applyFont="1" applyBorder="1" applyAlignment="1"/>
    <xf numFmtId="0" fontId="60" fillId="0" borderId="23" xfId="4" applyFont="1" applyBorder="1" applyAlignment="1">
      <alignment horizontal="left"/>
    </xf>
    <xf numFmtId="0" fontId="124" fillId="0" borderId="23" xfId="0" applyFont="1" applyBorder="1" applyAlignment="1"/>
    <xf numFmtId="0" fontId="120" fillId="0" borderId="0" xfId="0" applyFont="1" applyAlignment="1"/>
    <xf numFmtId="0" fontId="113" fillId="8" borderId="25" xfId="0" applyFont="1" applyFill="1" applyBorder="1" applyAlignment="1">
      <alignment horizontal="center"/>
    </xf>
    <xf numFmtId="0" fontId="113" fillId="8" borderId="26" xfId="0" applyFont="1" applyFill="1" applyBorder="1" applyAlignment="1">
      <alignment horizontal="center" vertical="center"/>
    </xf>
    <xf numFmtId="0" fontId="113" fillId="8" borderId="27" xfId="0" applyFont="1" applyFill="1" applyBorder="1" applyAlignment="1">
      <alignment horizontal="center" vertical="center"/>
    </xf>
    <xf numFmtId="0" fontId="116" fillId="0" borderId="34" xfId="0" applyFont="1" applyBorder="1" applyAlignment="1">
      <alignment horizontal="left" vertical="center"/>
    </xf>
    <xf numFmtId="0" fontId="124" fillId="0" borderId="34" xfId="0" applyFont="1" applyBorder="1" applyAlignment="1"/>
    <xf numFmtId="0" fontId="113" fillId="9" borderId="30" xfId="0" applyFont="1" applyFill="1" applyBorder="1" applyAlignment="1">
      <alignment horizontal="center" vertical="center"/>
    </xf>
    <xf numFmtId="0" fontId="113" fillId="9" borderId="31" xfId="0" applyFont="1" applyFill="1" applyBorder="1" applyAlignment="1">
      <alignment horizontal="center"/>
    </xf>
    <xf numFmtId="0" fontId="113" fillId="9" borderId="31" xfId="0" applyFont="1" applyFill="1" applyBorder="1" applyAlignment="1">
      <alignment horizontal="center" vertical="center"/>
    </xf>
    <xf numFmtId="0" fontId="113" fillId="9" borderId="32" xfId="0" applyFont="1" applyFill="1" applyBorder="1" applyAlignment="1">
      <alignment horizontal="center" vertical="center"/>
    </xf>
    <xf numFmtId="0" fontId="116" fillId="0" borderId="26" xfId="0" applyFont="1" applyBorder="1" applyAlignment="1">
      <alignment horizontal="center" vertical="center"/>
    </xf>
    <xf numFmtId="0" fontId="116" fillId="0" borderId="48" xfId="0" applyFont="1" applyBorder="1" applyAlignment="1">
      <alignment horizontal="center" vertical="center"/>
    </xf>
    <xf numFmtId="0" fontId="116" fillId="0" borderId="27" xfId="0" applyFont="1" applyBorder="1" applyAlignment="1">
      <alignment horizontal="center" vertical="center"/>
    </xf>
    <xf numFmtId="0" fontId="127" fillId="0" borderId="0" xfId="0" applyFont="1" applyAlignment="1"/>
    <xf numFmtId="0" fontId="116" fillId="0" borderId="39" xfId="0" applyFont="1" applyBorder="1" applyAlignment="1">
      <alignment horizontal="center" vertical="center"/>
    </xf>
    <xf numFmtId="0" fontId="116" fillId="11" borderId="40" xfId="0" applyFont="1" applyFill="1" applyBorder="1" applyAlignment="1">
      <alignment horizontal="center" vertical="center"/>
    </xf>
    <xf numFmtId="0" fontId="116" fillId="0" borderId="31" xfId="0" applyFont="1" applyBorder="1" applyAlignment="1">
      <alignment horizontal="center" vertical="center"/>
    </xf>
    <xf numFmtId="0" fontId="116" fillId="11" borderId="32" xfId="0" applyFont="1" applyFill="1" applyBorder="1" applyAlignment="1">
      <alignment horizontal="center" vertical="center"/>
    </xf>
    <xf numFmtId="176" fontId="113" fillId="0" borderId="0" xfId="0" applyNumberFormat="1" applyFont="1" applyAlignment="1">
      <alignment horizontal="left"/>
    </xf>
    <xf numFmtId="0" fontId="124" fillId="0" borderId="11" xfId="0" applyFont="1" applyBorder="1" applyAlignment="1"/>
    <xf numFmtId="0" fontId="127" fillId="0" borderId="11" xfId="0" applyFont="1" applyBorder="1" applyAlignment="1"/>
    <xf numFmtId="0" fontId="127" fillId="0" borderId="12" xfId="0" applyFont="1" applyBorder="1" applyAlignment="1"/>
    <xf numFmtId="0" fontId="103" fillId="0" borderId="12" xfId="0" applyFont="1" applyBorder="1" applyAlignment="1">
      <alignment horizontal="center"/>
    </xf>
    <xf numFmtId="0" fontId="127" fillId="0" borderId="14" xfId="0" applyFont="1" applyBorder="1" applyAlignment="1"/>
    <xf numFmtId="0" fontId="113" fillId="0" borderId="23" xfId="0" applyFont="1" applyBorder="1" applyAlignment="1">
      <alignment horizontal="left"/>
    </xf>
    <xf numFmtId="176" fontId="113" fillId="0" borderId="23" xfId="0" applyNumberFormat="1" applyFont="1" applyBorder="1" applyAlignment="1">
      <alignment horizontal="left"/>
    </xf>
    <xf numFmtId="0" fontId="113" fillId="0" borderId="14" xfId="0" applyFont="1" applyBorder="1" applyAlignment="1"/>
    <xf numFmtId="0" fontId="113" fillId="8" borderId="43" xfId="0" applyFont="1" applyFill="1" applyBorder="1" applyAlignment="1">
      <alignment horizontal="center"/>
    </xf>
    <xf numFmtId="0" fontId="113" fillId="12" borderId="41" xfId="0" applyFont="1" applyFill="1" applyBorder="1" applyAlignment="1"/>
    <xf numFmtId="0" fontId="113" fillId="12" borderId="27" xfId="0" applyFont="1" applyFill="1" applyBorder="1" applyAlignment="1"/>
    <xf numFmtId="0" fontId="113" fillId="9" borderId="6" xfId="0" applyFont="1" applyFill="1" applyBorder="1" applyAlignment="1">
      <alignment horizontal="center" vertical="center"/>
    </xf>
    <xf numFmtId="0" fontId="113" fillId="12" borderId="42" xfId="0" applyFont="1" applyFill="1" applyBorder="1" applyAlignment="1"/>
    <xf numFmtId="0" fontId="113" fillId="9" borderId="39" xfId="0" applyFont="1" applyFill="1" applyBorder="1" applyAlignment="1">
      <alignment horizontal="center" vertical="center"/>
    </xf>
    <xf numFmtId="0" fontId="113" fillId="12" borderId="29" xfId="0" applyFont="1" applyFill="1" applyBorder="1" applyAlignment="1"/>
    <xf numFmtId="0" fontId="113" fillId="8" borderId="49" xfId="0" applyFont="1" applyFill="1" applyBorder="1" applyAlignment="1">
      <alignment horizontal="center" vertical="center"/>
    </xf>
    <xf numFmtId="0" fontId="113" fillId="8" borderId="48" xfId="0" applyFont="1" applyFill="1" applyBorder="1" applyAlignment="1">
      <alignment horizontal="center" vertical="center"/>
    </xf>
    <xf numFmtId="0" fontId="113" fillId="8" borderId="49" xfId="0" applyFont="1" applyFill="1" applyBorder="1" applyAlignment="1">
      <alignment horizontal="center"/>
    </xf>
    <xf numFmtId="0" fontId="113" fillId="8" borderId="48" xfId="0" applyFont="1" applyFill="1" applyBorder="1" applyAlignment="1">
      <alignment horizontal="center"/>
    </xf>
    <xf numFmtId="0" fontId="113" fillId="8" borderId="4" xfId="0" applyFont="1" applyFill="1" applyBorder="1" applyAlignment="1">
      <alignment horizontal="center"/>
    </xf>
    <xf numFmtId="0" fontId="113" fillId="8" borderId="49" xfId="0" applyFont="1" applyFill="1" applyBorder="1" applyAlignment="1"/>
    <xf numFmtId="0" fontId="113" fillId="8" borderId="48" xfId="0" applyFont="1" applyFill="1" applyBorder="1" applyAlignment="1"/>
    <xf numFmtId="0" fontId="113" fillId="8" borderId="4" xfId="0" applyFont="1" applyFill="1" applyBorder="1" applyAlignment="1"/>
    <xf numFmtId="0" fontId="113" fillId="0" borderId="45" xfId="0" applyFont="1" applyBorder="1" applyAlignment="1"/>
    <xf numFmtId="0" fontId="113" fillId="10" borderId="30" xfId="0" applyFont="1" applyFill="1" applyBorder="1" applyAlignment="1"/>
    <xf numFmtId="0" fontId="113" fillId="10" borderId="31" xfId="0" quotePrefix="1" applyFont="1" applyFill="1" applyBorder="1" applyAlignment="1"/>
    <xf numFmtId="0" fontId="113" fillId="10" borderId="31" xfId="0" applyFont="1" applyFill="1" applyBorder="1" applyAlignment="1"/>
    <xf numFmtId="0" fontId="113" fillId="0" borderId="49" xfId="0" applyFont="1" applyBorder="1" applyAlignment="1"/>
    <xf numFmtId="0" fontId="113" fillId="0" borderId="48" xfId="0" applyFont="1" applyBorder="1" applyAlignment="1"/>
    <xf numFmtId="0" fontId="113" fillId="0" borderId="50" xfId="0" applyFont="1" applyBorder="1" applyAlignment="1"/>
    <xf numFmtId="0" fontId="113" fillId="0" borderId="4" xfId="0" applyFont="1" applyBorder="1" applyAlignment="1">
      <alignment horizontal="left"/>
    </xf>
    <xf numFmtId="0" fontId="113" fillId="0" borderId="29" xfId="0" applyFont="1" applyBorder="1" applyAlignment="1"/>
    <xf numFmtId="176" fontId="116" fillId="11" borderId="32" xfId="0" applyNumberFormat="1" applyFont="1" applyFill="1" applyBorder="1" applyAlignment="1"/>
    <xf numFmtId="0" fontId="113" fillId="0" borderId="31" xfId="0" applyFont="1" applyBorder="1" applyAlignment="1">
      <alignment horizontal="right"/>
    </xf>
    <xf numFmtId="0" fontId="113" fillId="0" borderId="31" xfId="0" applyFont="1" applyBorder="1" applyAlignment="1">
      <alignment horizontal="left"/>
    </xf>
    <xf numFmtId="0" fontId="113" fillId="0" borderId="32" xfId="0" applyFont="1" applyBorder="1" applyAlignment="1"/>
    <xf numFmtId="176" fontId="116" fillId="0" borderId="34" xfId="0" applyNumberFormat="1" applyFont="1" applyBorder="1" applyAlignment="1"/>
    <xf numFmtId="0" fontId="116" fillId="0" borderId="8" xfId="0" applyFont="1" applyBorder="1" applyAlignment="1"/>
    <xf numFmtId="0" fontId="113" fillId="0" borderId="0" xfId="0" quotePrefix="1" applyFont="1" applyAlignment="1">
      <alignment horizontal="left" vertical="center"/>
    </xf>
    <xf numFmtId="0" fontId="114" fillId="0" borderId="0" xfId="4" applyFont="1" applyAlignment="1">
      <alignment horizontal="left"/>
    </xf>
    <xf numFmtId="0" fontId="124" fillId="0" borderId="0" xfId="0" quotePrefix="1" applyFont="1" applyAlignment="1">
      <alignment vertical="center"/>
    </xf>
    <xf numFmtId="0" fontId="124" fillId="0" borderId="0" xfId="0" applyFont="1" applyAlignment="1">
      <alignment vertical="center"/>
    </xf>
    <xf numFmtId="0" fontId="124" fillId="0" borderId="0" xfId="0" applyFont="1" applyAlignment="1">
      <alignment horizontal="left" vertical="center"/>
    </xf>
    <xf numFmtId="0" fontId="128" fillId="0" borderId="0" xfId="4" applyFont="1" applyAlignment="1">
      <alignment horizontal="left"/>
    </xf>
    <xf numFmtId="0" fontId="113" fillId="0" borderId="0" xfId="0" quotePrefix="1" applyFont="1" applyAlignment="1">
      <alignment horizontal="center"/>
    </xf>
    <xf numFmtId="0" fontId="113" fillId="8" borderId="25" xfId="0" applyFont="1" applyFill="1" applyBorder="1" applyAlignment="1">
      <alignment horizontal="center" vertical="center"/>
    </xf>
    <xf numFmtId="0" fontId="113" fillId="8" borderId="20" xfId="0" applyFont="1" applyFill="1" applyBorder="1" applyAlignment="1">
      <alignment horizontal="center"/>
    </xf>
    <xf numFmtId="180" fontId="113" fillId="10" borderId="31" xfId="0" applyNumberFormat="1" applyFont="1" applyFill="1" applyBorder="1" applyAlignment="1">
      <alignment horizontal="center" vertical="center"/>
    </xf>
    <xf numFmtId="0" fontId="113" fillId="0" borderId="13" xfId="0" applyFont="1" applyBorder="1" applyAlignment="1">
      <alignment horizontal="center"/>
    </xf>
    <xf numFmtId="0" fontId="113" fillId="0" borderId="12" xfId="0" quotePrefix="1" applyFont="1" applyBorder="1" applyAlignment="1">
      <alignment horizontal="left" vertical="center"/>
    </xf>
    <xf numFmtId="0" fontId="124" fillId="0" borderId="12" xfId="0" applyFont="1" applyBorder="1" applyAlignment="1"/>
    <xf numFmtId="0" fontId="113" fillId="0" borderId="12" xfId="0" applyFont="1" applyBorder="1" applyAlignment="1">
      <alignment horizontal="left" vertical="center"/>
    </xf>
    <xf numFmtId="0" fontId="113" fillId="0" borderId="11" xfId="0" applyFont="1" applyBorder="1" applyAlignment="1">
      <alignment horizontal="left" vertical="center"/>
    </xf>
    <xf numFmtId="180" fontId="113" fillId="0" borderId="12" xfId="0" applyNumberFormat="1" applyFont="1" applyBorder="1" applyAlignment="1"/>
    <xf numFmtId="180" fontId="113" fillId="0" borderId="0" xfId="0" applyNumberFormat="1" applyFont="1" applyAlignment="1"/>
    <xf numFmtId="185" fontId="113" fillId="0" borderId="0" xfId="0" applyNumberFormat="1" applyFont="1" applyAlignment="1"/>
    <xf numFmtId="185" fontId="113" fillId="0" borderId="11" xfId="0" applyNumberFormat="1" applyFont="1" applyBorder="1" applyAlignment="1"/>
    <xf numFmtId="0" fontId="113" fillId="0" borderId="12" xfId="0" quotePrefix="1" applyFont="1" applyBorder="1" applyAlignment="1">
      <alignment horizontal="center"/>
    </xf>
    <xf numFmtId="0" fontId="113" fillId="0" borderId="0" xfId="0" applyFont="1" applyAlignment="1">
      <alignment horizontal="center" vertical="center"/>
    </xf>
    <xf numFmtId="0" fontId="125" fillId="0" borderId="0" xfId="0" quotePrefix="1" applyFont="1" applyAlignment="1">
      <alignment vertical="center"/>
    </xf>
    <xf numFmtId="0" fontId="0" fillId="0" borderId="0" xfId="0" applyAlignment="1">
      <alignment horizontal="right"/>
    </xf>
    <xf numFmtId="0" fontId="113" fillId="0" borderId="51" xfId="0" applyFont="1" applyBorder="1" applyAlignment="1"/>
    <xf numFmtId="0" fontId="113" fillId="0" borderId="0" xfId="0" applyFont="1" applyBorder="1" applyAlignment="1"/>
    <xf numFmtId="0" fontId="113" fillId="0" borderId="0" xfId="0" applyFont="1" applyAlignment="1">
      <alignment vertical="top" wrapText="1"/>
    </xf>
    <xf numFmtId="0" fontId="113" fillId="0" borderId="0" xfId="0" applyFont="1" applyAlignment="1">
      <alignment horizontal="left" vertical="center" wrapText="1"/>
    </xf>
    <xf numFmtId="0" fontId="113" fillId="0" borderId="25" xfId="0" applyFont="1" applyBorder="1" applyAlignment="1"/>
    <xf numFmtId="0" fontId="113" fillId="0" borderId="26" xfId="0" applyFont="1" applyBorder="1" applyAlignment="1"/>
    <xf numFmtId="0" fontId="113" fillId="0" borderId="27" xfId="0" applyFont="1" applyBorder="1" applyAlignment="1"/>
    <xf numFmtId="0" fontId="101" fillId="0" borderId="0" xfId="0" applyFont="1" applyAlignment="1"/>
    <xf numFmtId="0" fontId="0" fillId="4" borderId="4" xfId="0" applyFill="1" applyBorder="1" applyAlignment="1"/>
    <xf numFmtId="0" fontId="0" fillId="5" borderId="4" xfId="0" applyFill="1" applyBorder="1" applyAlignment="1"/>
    <xf numFmtId="0" fontId="115" fillId="5" borderId="4" xfId="4" applyFont="1" applyFill="1" applyBorder="1" applyAlignment="1">
      <alignment horizontal="left"/>
    </xf>
    <xf numFmtId="0" fontId="0" fillId="5" borderId="4" xfId="0" applyFill="1" applyBorder="1" applyAlignment="1">
      <alignment horizontal="right"/>
    </xf>
    <xf numFmtId="0" fontId="101" fillId="5" borderId="0" xfId="0" applyFont="1" applyFill="1" applyAlignment="1"/>
    <xf numFmtId="0" fontId="101" fillId="5" borderId="0" xfId="0" quotePrefix="1" applyFont="1" applyFill="1" applyAlignment="1"/>
    <xf numFmtId="0" fontId="120" fillId="0" borderId="0" xfId="0" applyFont="1" applyAlignment="1">
      <alignment horizontal="left"/>
    </xf>
    <xf numFmtId="0" fontId="113" fillId="6" borderId="4" xfId="0" applyFont="1" applyFill="1" applyBorder="1" applyAlignment="1">
      <alignment horizontal="center" vertical="center"/>
    </xf>
    <xf numFmtId="0" fontId="113" fillId="6" borderId="4" xfId="0" applyFont="1" applyFill="1" applyBorder="1" applyAlignment="1">
      <alignment horizontal="center"/>
    </xf>
    <xf numFmtId="0" fontId="116" fillId="6" borderId="4" xfId="0" applyFont="1" applyFill="1" applyBorder="1" applyAlignment="1">
      <alignment horizontal="center"/>
    </xf>
    <xf numFmtId="176" fontId="116" fillId="6" borderId="4" xfId="0" applyNumberFormat="1" applyFont="1" applyFill="1" applyBorder="1" applyAlignment="1">
      <alignment horizontal="center"/>
    </xf>
    <xf numFmtId="0" fontId="113" fillId="6" borderId="30" xfId="0" applyFont="1" applyFill="1" applyBorder="1" applyAlignment="1">
      <alignment horizontal="left" vertical="center"/>
    </xf>
    <xf numFmtId="0" fontId="113" fillId="6" borderId="31" xfId="0" applyFont="1" applyFill="1" applyBorder="1" applyAlignment="1">
      <alignment horizontal="left" vertical="center"/>
    </xf>
    <xf numFmtId="0" fontId="113" fillId="6" borderId="31" xfId="0" applyFont="1" applyFill="1" applyBorder="1" applyAlignment="1"/>
    <xf numFmtId="0" fontId="113" fillId="6" borderId="32" xfId="0" applyFont="1" applyFill="1" applyBorder="1" applyAlignment="1"/>
    <xf numFmtId="0" fontId="116" fillId="6" borderId="4" xfId="0" applyFont="1" applyFill="1" applyBorder="1" applyAlignment="1"/>
    <xf numFmtId="0" fontId="116" fillId="6" borderId="4" xfId="0" applyFont="1" applyFill="1" applyBorder="1" applyAlignment="1">
      <alignment horizontal="right"/>
    </xf>
    <xf numFmtId="176" fontId="116" fillId="6" borderId="4" xfId="0" applyNumberFormat="1" applyFont="1" applyFill="1" applyBorder="1" applyAlignment="1">
      <alignment horizontal="right"/>
    </xf>
    <xf numFmtId="176" fontId="113" fillId="6" borderId="4" xfId="0" applyNumberFormat="1" applyFont="1" applyFill="1" applyBorder="1" applyAlignment="1">
      <alignment horizontal="right"/>
    </xf>
    <xf numFmtId="176" fontId="116" fillId="6" borderId="4" xfId="0" applyNumberFormat="1" applyFont="1" applyFill="1" applyBorder="1" applyAlignment="1"/>
    <xf numFmtId="0" fontId="0" fillId="0" borderId="29" xfId="0" applyBorder="1" applyAlignment="1">
      <alignment horizontal="right"/>
    </xf>
    <xf numFmtId="0" fontId="0" fillId="0" borderId="28" xfId="0" applyBorder="1" applyAlignment="1">
      <alignment horizontal="right"/>
    </xf>
    <xf numFmtId="0" fontId="0" fillId="0" borderId="30" xfId="0" applyBorder="1" applyAlignment="1">
      <alignment horizontal="right"/>
    </xf>
    <xf numFmtId="0" fontId="113" fillId="0" borderId="28" xfId="0" applyFont="1" applyBorder="1" applyAlignment="1"/>
    <xf numFmtId="0" fontId="113" fillId="0" borderId="4" xfId="0" applyFont="1" applyBorder="1" applyAlignment="1"/>
    <xf numFmtId="0" fontId="113" fillId="0" borderId="4" xfId="0" applyFont="1" applyBorder="1" applyAlignment="1">
      <alignment horizontal="right"/>
    </xf>
    <xf numFmtId="0" fontId="113" fillId="0" borderId="52" xfId="0" applyFont="1" applyBorder="1" applyAlignment="1"/>
    <xf numFmtId="0" fontId="113" fillId="0" borderId="39" xfId="0" applyFont="1" applyBorder="1" applyAlignment="1"/>
    <xf numFmtId="0" fontId="113" fillId="0" borderId="39" xfId="0" applyFont="1" applyBorder="1" applyAlignment="1">
      <alignment horizontal="right"/>
    </xf>
    <xf numFmtId="0" fontId="0" fillId="0" borderId="39" xfId="0" applyBorder="1" applyAlignment="1">
      <alignment horizontal="right"/>
    </xf>
    <xf numFmtId="0" fontId="0" fillId="0" borderId="40" xfId="0" applyBorder="1" applyAlignment="1">
      <alignment horizontal="right"/>
    </xf>
    <xf numFmtId="0" fontId="116" fillId="0" borderId="29" xfId="0" applyFont="1" applyBorder="1" applyAlignment="1"/>
    <xf numFmtId="0" fontId="113" fillId="0" borderId="31" xfId="0" applyFont="1" applyBorder="1" applyAlignment="1"/>
    <xf numFmtId="0" fontId="116" fillId="0" borderId="0" xfId="0" applyFont="1" applyBorder="1" applyAlignment="1"/>
    <xf numFmtId="0" fontId="113" fillId="0" borderId="0" xfId="0" applyFont="1" applyBorder="1" applyAlignment="1">
      <alignment horizontal="left"/>
    </xf>
    <xf numFmtId="0" fontId="113" fillId="9" borderId="4" xfId="0" applyFont="1" applyFill="1" applyBorder="1" applyAlignment="1">
      <alignment horizontal="center" vertical="center"/>
    </xf>
    <xf numFmtId="0" fontId="113" fillId="0" borderId="4" xfId="0" applyFont="1" applyBorder="1" applyAlignment="1">
      <alignment horizontal="center" vertical="center"/>
    </xf>
    <xf numFmtId="0" fontId="113" fillId="0" borderId="29" xfId="0" applyFont="1" applyBorder="1" applyAlignment="1">
      <alignment horizontal="center" vertical="center"/>
    </xf>
    <xf numFmtId="0" fontId="113" fillId="8" borderId="28" xfId="0" applyFont="1" applyFill="1" applyBorder="1" applyAlignment="1">
      <alignment horizontal="center" vertical="center"/>
    </xf>
    <xf numFmtId="0" fontId="113" fillId="8" borderId="4" xfId="0" applyFont="1" applyFill="1" applyBorder="1" applyAlignment="1">
      <alignment horizontal="center" vertical="center"/>
    </xf>
    <xf numFmtId="183" fontId="113" fillId="10" borderId="30" xfId="0" applyNumberFormat="1" applyFont="1" applyFill="1" applyBorder="1" applyAlignment="1">
      <alignment horizontal="center" vertical="center"/>
    </xf>
    <xf numFmtId="183" fontId="113" fillId="10" borderId="31" xfId="0" applyNumberFormat="1" applyFont="1" applyFill="1" applyBorder="1" applyAlignment="1">
      <alignment horizontal="center" vertical="center"/>
    </xf>
    <xf numFmtId="0" fontId="113" fillId="0" borderId="31" xfId="0" applyFont="1" applyBorder="1" applyAlignment="1">
      <alignment horizontal="center" vertical="center"/>
    </xf>
    <xf numFmtId="0" fontId="113" fillId="0" borderId="32" xfId="0" applyFont="1" applyBorder="1" applyAlignment="1">
      <alignment horizontal="center" vertical="center"/>
    </xf>
    <xf numFmtId="0" fontId="113" fillId="0" borderId="44" xfId="0" applyFont="1" applyBorder="1" applyAlignment="1"/>
    <xf numFmtId="0" fontId="116" fillId="11" borderId="32" xfId="0" applyFont="1" applyFill="1" applyBorder="1" applyAlignment="1"/>
    <xf numFmtId="0" fontId="116" fillId="11" borderId="47" xfId="0" applyFont="1" applyFill="1" applyBorder="1" applyAlignment="1"/>
    <xf numFmtId="0" fontId="44" fillId="2" borderId="0" xfId="0" applyNumberFormat="1" applyFont="1" applyFill="1" applyAlignment="1">
      <alignment horizontal="right"/>
    </xf>
    <xf numFmtId="0" fontId="124" fillId="0" borderId="0" xfId="0" applyFont="1" applyBorder="1" applyAlignment="1"/>
    <xf numFmtId="0" fontId="127" fillId="0" borderId="0" xfId="0" applyFont="1" applyBorder="1" applyAlignment="1"/>
    <xf numFmtId="176" fontId="113" fillId="0" borderId="0" xfId="0" applyNumberFormat="1" applyFont="1" applyBorder="1" applyAlignment="1">
      <alignment horizontal="left"/>
    </xf>
    <xf numFmtId="0" fontId="113" fillId="8" borderId="0" xfId="0" applyFont="1" applyFill="1" applyBorder="1" applyAlignment="1">
      <alignment horizontal="center" vertical="center"/>
    </xf>
    <xf numFmtId="0" fontId="116" fillId="0" borderId="0" xfId="0" applyFont="1" applyBorder="1" applyAlignment="1">
      <alignment horizontal="left" vertical="center"/>
    </xf>
    <xf numFmtId="0" fontId="113" fillId="0" borderId="0" xfId="0" applyFont="1" applyBorder="1" applyAlignment="1">
      <alignment horizontal="left" vertical="center"/>
    </xf>
    <xf numFmtId="0" fontId="102" fillId="0" borderId="0" xfId="0" applyFont="1" applyBorder="1" applyAlignment="1">
      <alignment horizontal="center"/>
    </xf>
    <xf numFmtId="0" fontId="46" fillId="0" borderId="0" xfId="4" applyNumberFormat="1" applyFont="1" applyBorder="1" applyAlignment="1">
      <alignment horizontal="left"/>
    </xf>
    <xf numFmtId="0" fontId="42" fillId="0" borderId="0" xfId="0" applyFont="1" applyBorder="1" applyAlignment="1"/>
    <xf numFmtId="0" fontId="42" fillId="0" borderId="0" xfId="0" applyFont="1" applyBorder="1">
      <alignment vertical="center"/>
    </xf>
    <xf numFmtId="0" fontId="42" fillId="0" borderId="0" xfId="0" applyFont="1" applyBorder="1" applyAlignment="1">
      <alignment horizontal="center"/>
    </xf>
    <xf numFmtId="0" fontId="42" fillId="0" borderId="0" xfId="4" applyFont="1" applyBorder="1"/>
    <xf numFmtId="0" fontId="113" fillId="0" borderId="0" xfId="0" applyFont="1" applyBorder="1" applyAlignment="1">
      <alignment horizontal="center"/>
    </xf>
    <xf numFmtId="0" fontId="1" fillId="0" borderId="29" xfId="4" applyBorder="1"/>
    <xf numFmtId="0" fontId="1" fillId="0" borderId="32" xfId="4" applyBorder="1"/>
    <xf numFmtId="0" fontId="113" fillId="8" borderId="25" xfId="0" applyFont="1" applyFill="1" applyBorder="1" applyAlignment="1">
      <alignment horizontal="center" vertical="center"/>
    </xf>
    <xf numFmtId="0" fontId="116" fillId="0" borderId="0" xfId="0" applyFont="1" applyBorder="1" applyAlignment="1">
      <alignment horizontal="center"/>
    </xf>
    <xf numFmtId="0" fontId="113" fillId="8" borderId="27" xfId="0" applyFont="1" applyFill="1" applyBorder="1" applyAlignment="1">
      <alignment horizontal="center"/>
    </xf>
    <xf numFmtId="0" fontId="113" fillId="9" borderId="29" xfId="0" applyFont="1" applyFill="1" applyBorder="1" applyAlignment="1">
      <alignment horizontal="center" vertical="center"/>
    </xf>
    <xf numFmtId="0" fontId="51" fillId="2" borderId="0" xfId="0" applyNumberFormat="1" applyFont="1" applyFill="1" applyAlignment="1"/>
    <xf numFmtId="0" fontId="6" fillId="0" borderId="0" xfId="4" quotePrefix="1" applyNumberFormat="1" applyFont="1" applyFill="1" applyBorder="1" applyAlignment="1">
      <alignment horizontal="right"/>
    </xf>
    <xf numFmtId="0" fontId="48" fillId="2" borderId="0" xfId="0" applyFont="1" applyFill="1" applyBorder="1" applyAlignment="1"/>
    <xf numFmtId="0" fontId="42" fillId="2" borderId="0" xfId="0" applyFont="1" applyFill="1" applyBorder="1" applyAlignment="1"/>
    <xf numFmtId="0" fontId="45" fillId="0" borderId="0" xfId="0" applyFont="1" applyBorder="1" applyAlignment="1">
      <alignment horizontal="center"/>
    </xf>
    <xf numFmtId="0" fontId="45" fillId="0" borderId="0" xfId="0" applyFont="1" applyBorder="1">
      <alignment vertical="center"/>
    </xf>
    <xf numFmtId="0" fontId="47" fillId="0" borderId="0" xfId="4" applyNumberFormat="1" applyFont="1" applyBorder="1" applyAlignment="1">
      <alignment horizontal="right"/>
    </xf>
    <xf numFmtId="0" fontId="129" fillId="0" borderId="0" xfId="0" applyFont="1" applyFill="1" applyBorder="1" applyAlignment="1"/>
    <xf numFmtId="0" fontId="130" fillId="0" borderId="0" xfId="0" applyFont="1" applyFill="1" applyBorder="1" applyAlignment="1"/>
    <xf numFmtId="0" fontId="129" fillId="0" borderId="0" xfId="0" applyFont="1" applyFill="1" applyBorder="1" applyAlignment="1">
      <alignment horizontal="right"/>
    </xf>
    <xf numFmtId="0" fontId="129" fillId="0" borderId="0" xfId="0" applyFont="1" applyFill="1" applyBorder="1" applyAlignment="1">
      <alignment horizontal="center"/>
    </xf>
    <xf numFmtId="0" fontId="129" fillId="0" borderId="0" xfId="0" applyFont="1" applyFill="1" applyBorder="1">
      <alignment vertical="center"/>
    </xf>
    <xf numFmtId="0" fontId="130" fillId="0" borderId="0" xfId="0" applyFont="1" applyFill="1" applyBorder="1">
      <alignment vertical="center"/>
    </xf>
    <xf numFmtId="0" fontId="130" fillId="0" borderId="0" xfId="4" applyNumberFormat="1" applyFont="1" applyFill="1" applyBorder="1" applyAlignment="1">
      <alignment horizontal="left"/>
    </xf>
    <xf numFmtId="0" fontId="130" fillId="0" borderId="0" xfId="0" applyFont="1" applyFill="1" applyBorder="1" applyAlignment="1">
      <alignment horizontal="center"/>
    </xf>
    <xf numFmtId="0" fontId="130" fillId="0" borderId="0" xfId="0" quotePrefix="1" applyFont="1" applyFill="1" applyBorder="1">
      <alignment vertical="center"/>
    </xf>
    <xf numFmtId="0" fontId="130" fillId="0" borderId="0" xfId="4" applyFont="1" applyFill="1" applyBorder="1"/>
    <xf numFmtId="0" fontId="130" fillId="0" borderId="0" xfId="0" quotePrefix="1" applyFont="1" applyFill="1" applyBorder="1" applyAlignment="1">
      <alignment horizontal="left" vertical="center"/>
    </xf>
    <xf numFmtId="0" fontId="129" fillId="0" borderId="0" xfId="0" applyNumberFormat="1" applyFont="1" applyFill="1" applyBorder="1" applyAlignment="1"/>
    <xf numFmtId="0" fontId="130" fillId="0" borderId="0" xfId="0" applyNumberFormat="1" applyFont="1" applyFill="1" applyBorder="1" applyAlignment="1">
      <alignment vertical="center"/>
    </xf>
    <xf numFmtId="0" fontId="130" fillId="0" borderId="0" xfId="0" quotePrefix="1" applyFont="1" applyFill="1" applyBorder="1" applyAlignment="1">
      <alignment vertical="center"/>
    </xf>
    <xf numFmtId="0" fontId="130" fillId="0" borderId="0" xfId="0" applyFont="1" applyFill="1" applyBorder="1" applyAlignment="1">
      <alignment vertical="center"/>
    </xf>
    <xf numFmtId="0" fontId="113" fillId="0" borderId="0" xfId="0" applyFont="1" applyFill="1" applyAlignment="1"/>
    <xf numFmtId="0" fontId="121" fillId="3" borderId="0" xfId="0" applyFont="1" applyFill="1" applyAlignment="1"/>
    <xf numFmtId="0" fontId="114" fillId="3" borderId="28" xfId="0" applyFont="1" applyFill="1" applyBorder="1" applyAlignment="1"/>
    <xf numFmtId="0" fontId="114" fillId="3" borderId="42" xfId="0" applyFont="1" applyFill="1" applyBorder="1" applyAlignment="1"/>
    <xf numFmtId="0" fontId="114" fillId="3" borderId="25" xfId="0" applyFont="1" applyFill="1" applyBorder="1" applyAlignment="1"/>
    <xf numFmtId="0" fontId="114" fillId="3" borderId="15" xfId="0" applyFont="1" applyFill="1" applyBorder="1" applyAlignment="1"/>
    <xf numFmtId="0" fontId="114" fillId="3" borderId="23" xfId="0" applyFont="1" applyFill="1" applyBorder="1" applyAlignment="1"/>
    <xf numFmtId="0" fontId="114" fillId="3" borderId="31" xfId="0" applyFont="1" applyFill="1" applyBorder="1" applyAlignment="1"/>
    <xf numFmtId="0" fontId="114" fillId="3" borderId="32" xfId="0" applyFont="1" applyFill="1" applyBorder="1" applyAlignment="1"/>
    <xf numFmtId="0" fontId="114" fillId="3" borderId="11" xfId="0" applyFont="1" applyFill="1" applyBorder="1" applyAlignment="1"/>
    <xf numFmtId="0" fontId="114" fillId="3" borderId="14" xfId="0" applyFont="1" applyFill="1" applyBorder="1" applyAlignment="1"/>
    <xf numFmtId="0" fontId="114" fillId="3" borderId="26" xfId="0" applyFont="1" applyFill="1" applyBorder="1" applyAlignment="1"/>
    <xf numFmtId="0" fontId="114" fillId="3" borderId="41" xfId="0" applyFont="1" applyFill="1" applyBorder="1" applyAlignment="1"/>
    <xf numFmtId="0" fontId="114" fillId="3" borderId="25" xfId="0" applyFont="1" applyFill="1" applyBorder="1" applyAlignment="1">
      <alignment horizontal="left" vertical="center"/>
    </xf>
    <xf numFmtId="0" fontId="114" fillId="3" borderId="26" xfId="0" applyFont="1" applyFill="1" applyBorder="1" applyAlignment="1">
      <alignment horizontal="left" vertical="center"/>
    </xf>
    <xf numFmtId="0" fontId="114" fillId="3" borderId="27" xfId="0" applyFont="1" applyFill="1" applyBorder="1" applyAlignment="1"/>
    <xf numFmtId="0" fontId="114" fillId="3" borderId="4" xfId="0" applyFont="1" applyFill="1" applyBorder="1" applyAlignment="1"/>
    <xf numFmtId="0" fontId="114" fillId="3" borderId="29" xfId="0" applyFont="1" applyFill="1" applyBorder="1" applyAlignment="1"/>
    <xf numFmtId="0" fontId="114" fillId="3" borderId="52" xfId="0" applyFont="1" applyFill="1" applyBorder="1" applyAlignment="1"/>
    <xf numFmtId="0" fontId="114" fillId="3" borderId="39" xfId="0" applyFont="1" applyFill="1" applyBorder="1" applyAlignment="1"/>
    <xf numFmtId="0" fontId="114" fillId="3" borderId="53" xfId="0" applyFont="1" applyFill="1" applyBorder="1" applyAlignment="1"/>
    <xf numFmtId="0" fontId="114" fillId="3" borderId="40" xfId="0" applyFont="1" applyFill="1" applyBorder="1" applyAlignment="1"/>
    <xf numFmtId="0" fontId="114" fillId="3" borderId="9" xfId="0" applyFont="1" applyFill="1" applyBorder="1" applyAlignment="1"/>
    <xf numFmtId="0" fontId="114" fillId="3" borderId="34" xfId="0" applyFont="1" applyFill="1" applyBorder="1" applyAlignment="1"/>
    <xf numFmtId="0" fontId="114" fillId="3" borderId="8" xfId="0" applyFont="1" applyFill="1" applyBorder="1" applyAlignment="1"/>
    <xf numFmtId="0" fontId="114" fillId="3" borderId="12" xfId="0" applyFont="1" applyFill="1" applyBorder="1" applyAlignment="1">
      <alignment horizontal="left"/>
    </xf>
    <xf numFmtId="0" fontId="114" fillId="3" borderId="12" xfId="0" quotePrefix="1" applyFont="1" applyFill="1" applyBorder="1" applyAlignment="1"/>
    <xf numFmtId="0" fontId="114" fillId="3" borderId="23" xfId="0" quotePrefix="1" applyFont="1" applyFill="1" applyBorder="1" applyAlignment="1"/>
    <xf numFmtId="0" fontId="114" fillId="3" borderId="15" xfId="0" quotePrefix="1" applyFont="1" applyFill="1" applyBorder="1" applyAlignment="1"/>
    <xf numFmtId="0" fontId="131" fillId="3" borderId="0" xfId="0" applyFont="1" applyFill="1" applyAlignment="1"/>
    <xf numFmtId="0" fontId="114" fillId="3" borderId="0" xfId="0" applyFont="1" applyFill="1" applyAlignment="1">
      <alignment horizontal="left"/>
    </xf>
    <xf numFmtId="0" fontId="114" fillId="3" borderId="0" xfId="4" applyFont="1" applyFill="1" applyAlignment="1">
      <alignment horizontal="left"/>
    </xf>
    <xf numFmtId="0" fontId="114" fillId="3" borderId="0" xfId="0" applyFont="1" applyFill="1" applyAlignment="1">
      <alignment horizontal="center"/>
    </xf>
    <xf numFmtId="0" fontId="131" fillId="3" borderId="0" xfId="0" applyFont="1" applyFill="1" applyAlignment="1">
      <alignment horizontal="center"/>
    </xf>
    <xf numFmtId="0" fontId="104" fillId="3" borderId="0" xfId="0" applyFont="1" applyFill="1" applyAlignment="1"/>
    <xf numFmtId="0" fontId="101" fillId="0" borderId="0" xfId="0" applyFont="1" applyFill="1" applyAlignment="1"/>
    <xf numFmtId="0" fontId="112" fillId="0" borderId="0" xfId="0" applyFont="1" applyFill="1" applyAlignment="1"/>
    <xf numFmtId="0" fontId="132" fillId="3" borderId="0" xfId="0" applyFont="1" applyFill="1" applyAlignment="1"/>
    <xf numFmtId="0" fontId="133" fillId="3" borderId="0" xfId="0" applyFont="1" applyFill="1" applyAlignment="1"/>
    <xf numFmtId="0" fontId="134" fillId="3" borderId="0" xfId="0" applyFont="1" applyFill="1" applyAlignment="1"/>
    <xf numFmtId="0" fontId="114" fillId="3" borderId="0" xfId="0" applyFont="1" applyFill="1" applyBorder="1" applyAlignment="1"/>
    <xf numFmtId="176" fontId="46" fillId="0" borderId="0" xfId="4" applyNumberFormat="1" applyFont="1" applyBorder="1" applyAlignment="1">
      <alignment horizontal="left"/>
    </xf>
    <xf numFmtId="49" fontId="114" fillId="3" borderId="12" xfId="0" applyNumberFormat="1" applyFont="1" applyFill="1" applyBorder="1" applyAlignment="1">
      <alignment horizontal="left" vertical="center"/>
    </xf>
    <xf numFmtId="49" fontId="114" fillId="3" borderId="15" xfId="0" applyNumberFormat="1" applyFont="1" applyFill="1" applyBorder="1" applyAlignment="1">
      <alignment horizontal="left" vertical="center"/>
    </xf>
    <xf numFmtId="176" fontId="50" fillId="0" borderId="0" xfId="0" quotePrefix="1" applyNumberFormat="1" applyFont="1" applyBorder="1" applyAlignment="1">
      <alignment horizontal="left" vertical="center"/>
    </xf>
    <xf numFmtId="0" fontId="10" fillId="0" borderId="4" xfId="0" applyNumberFormat="1" applyFont="1" applyFill="1" applyBorder="1" applyAlignment="1" applyProtection="1">
      <alignment horizontal="left" vertical="center" wrapText="1"/>
    </xf>
    <xf numFmtId="0" fontId="10" fillId="0" borderId="4" xfId="0" applyNumberFormat="1" applyFont="1" applyFill="1" applyBorder="1" applyAlignment="1" applyProtection="1">
      <alignment horizontal="left" vertical="center" shrinkToFit="1"/>
    </xf>
    <xf numFmtId="0" fontId="10" fillId="0" borderId="4" xfId="0" applyNumberFormat="1" applyFont="1" applyFill="1" applyBorder="1" applyAlignment="1" applyProtection="1">
      <alignment vertical="center" shrinkToFit="1"/>
    </xf>
    <xf numFmtId="0" fontId="10" fillId="0" borderId="4" xfId="0" applyNumberFormat="1" applyFont="1" applyFill="1" applyBorder="1" applyAlignment="1" applyProtection="1">
      <alignment vertical="center" wrapText="1"/>
    </xf>
    <xf numFmtId="0" fontId="11" fillId="0" borderId="4" xfId="0" applyNumberFormat="1" applyFont="1" applyFill="1" applyBorder="1" applyAlignment="1" applyProtection="1">
      <alignment horizontal="center" vertical="center" wrapText="1" shrinkToFit="1"/>
    </xf>
    <xf numFmtId="0" fontId="11" fillId="0" borderId="4" xfId="0" applyNumberFormat="1" applyFont="1" applyFill="1" applyBorder="1" applyAlignment="1" applyProtection="1">
      <alignment vertical="center" wrapText="1"/>
    </xf>
    <xf numFmtId="0" fontId="10" fillId="0" borderId="4" xfId="0" applyNumberFormat="1" applyFont="1" applyFill="1" applyBorder="1" applyAlignment="1" applyProtection="1">
      <alignment horizontal="right" vertical="center" shrinkToFit="1"/>
    </xf>
    <xf numFmtId="0" fontId="135" fillId="0" borderId="4" xfId="0" applyNumberFormat="1" applyFont="1" applyFill="1" applyBorder="1" applyAlignment="1" applyProtection="1">
      <alignment vertical="center" wrapText="1"/>
    </xf>
    <xf numFmtId="178" fontId="10" fillId="0" borderId="4" xfId="0" applyNumberFormat="1" applyFont="1" applyFill="1" applyBorder="1" applyAlignment="1" applyProtection="1">
      <alignment horizontal="right" vertical="center" shrinkToFit="1"/>
    </xf>
    <xf numFmtId="0" fontId="56" fillId="0" borderId="4" xfId="0" applyFont="1" applyBorder="1" applyAlignment="1">
      <alignment horizontal="left" vertical="center"/>
    </xf>
    <xf numFmtId="0" fontId="10" fillId="0" borderId="4" xfId="0" applyNumberFormat="1" applyFont="1" applyFill="1" applyBorder="1" applyAlignment="1" applyProtection="1">
      <alignment horizontal="left" vertical="center" wrapText="1" shrinkToFit="1"/>
    </xf>
    <xf numFmtId="178" fontId="135" fillId="0" borderId="4" xfId="0" applyNumberFormat="1" applyFont="1" applyFill="1" applyBorder="1" applyAlignment="1" applyProtection="1">
      <alignment horizontal="left" vertical="center" shrinkToFit="1"/>
    </xf>
    <xf numFmtId="0" fontId="10" fillId="0" borderId="4" xfId="0" applyFont="1" applyBorder="1" applyAlignment="1">
      <alignment horizontal="left" vertical="center" shrinkToFit="1"/>
    </xf>
    <xf numFmtId="0" fontId="56" fillId="0" borderId="4" xfId="0" applyFont="1" applyBorder="1" applyAlignment="1">
      <alignment vertical="center"/>
    </xf>
    <xf numFmtId="0" fontId="22" fillId="0" borderId="0" xfId="0" applyFont="1" applyAlignment="1">
      <alignment vertical="center"/>
    </xf>
    <xf numFmtId="0" fontId="21" fillId="0" borderId="1" xfId="0" applyFont="1" applyBorder="1" applyAlignment="1">
      <alignment vertical="center" shrinkToFit="1"/>
    </xf>
    <xf numFmtId="0" fontId="136" fillId="0" borderId="4" xfId="0" applyNumberFormat="1" applyFont="1" applyFill="1" applyBorder="1" applyAlignment="1" applyProtection="1">
      <alignment horizontal="left" vertical="center" wrapText="1" shrinkToFit="1"/>
    </xf>
    <xf numFmtId="0" fontId="10" fillId="0" borderId="5" xfId="0" applyNumberFormat="1" applyFont="1" applyFill="1" applyBorder="1" applyAlignment="1" applyProtection="1">
      <alignment horizontal="right" vertical="center" shrinkToFit="1"/>
    </xf>
    <xf numFmtId="0" fontId="10" fillId="0" borderId="5" xfId="0" applyNumberFormat="1" applyFont="1" applyFill="1" applyBorder="1" applyAlignment="1" applyProtection="1">
      <alignment vertical="center" wrapText="1"/>
    </xf>
    <xf numFmtId="0" fontId="11" fillId="0" borderId="5" xfId="0" applyNumberFormat="1" applyFont="1" applyFill="1" applyBorder="1" applyAlignment="1" applyProtection="1">
      <alignment horizontal="center" vertical="center" wrapText="1" shrinkToFit="1"/>
    </xf>
    <xf numFmtId="178" fontId="110" fillId="0" borderId="5" xfId="0" applyNumberFormat="1" applyFont="1" applyFill="1" applyBorder="1" applyAlignment="1" applyProtection="1">
      <alignment horizontal="right" vertical="center" shrinkToFit="1"/>
    </xf>
    <xf numFmtId="178" fontId="32" fillId="0" borderId="5" xfId="0" applyNumberFormat="1" applyFont="1" applyFill="1" applyBorder="1" applyAlignment="1" applyProtection="1">
      <alignment horizontal="right" vertical="center" shrinkToFit="1"/>
    </xf>
    <xf numFmtId="0" fontId="11" fillId="0" borderId="5" xfId="0" applyNumberFormat="1" applyFont="1" applyFill="1" applyBorder="1" applyAlignment="1" applyProtection="1">
      <alignment vertical="center" wrapText="1"/>
    </xf>
    <xf numFmtId="178" fontId="110" fillId="0" borderId="4" xfId="0" applyNumberFormat="1" applyFont="1" applyFill="1" applyBorder="1" applyAlignment="1" applyProtection="1">
      <alignment horizontal="right" vertical="center" shrinkToFit="1"/>
    </xf>
    <xf numFmtId="178" fontId="32" fillId="0" borderId="4" xfId="0" applyNumberFormat="1" applyFont="1" applyFill="1" applyBorder="1" applyAlignment="1" applyProtection="1">
      <alignment horizontal="right" vertical="center" shrinkToFit="1"/>
    </xf>
    <xf numFmtId="49" fontId="24" fillId="0" borderId="4" xfId="0" quotePrefix="1" applyNumberFormat="1" applyFont="1" applyBorder="1" applyAlignment="1">
      <alignment vertical="center" wrapText="1"/>
    </xf>
    <xf numFmtId="0" fontId="137" fillId="0" borderId="4" xfId="0" applyFont="1" applyFill="1" applyBorder="1">
      <alignment vertical="center"/>
    </xf>
    <xf numFmtId="0" fontId="137" fillId="0" borderId="4" xfId="0" applyFont="1" applyFill="1" applyBorder="1" applyAlignment="1">
      <alignment horizontal="left" vertical="center" wrapText="1"/>
    </xf>
    <xf numFmtId="49" fontId="24" fillId="0" borderId="4" xfId="0" applyNumberFormat="1" applyFont="1" applyBorder="1" applyAlignment="1">
      <alignment vertical="center" wrapText="1"/>
    </xf>
    <xf numFmtId="0" fontId="21" fillId="0" borderId="54" xfId="0" applyFont="1" applyBorder="1" applyAlignment="1">
      <alignment vertical="center" shrinkToFit="1"/>
    </xf>
    <xf numFmtId="0" fontId="21" fillId="0" borderId="55" xfId="0" applyFont="1" applyBorder="1" applyAlignment="1">
      <alignment vertical="center" shrinkToFit="1"/>
    </xf>
    <xf numFmtId="0" fontId="21" fillId="0" borderId="56" xfId="0" applyFont="1" applyBorder="1" applyAlignment="1">
      <alignment vertical="center" shrinkToFit="1"/>
    </xf>
    <xf numFmtId="0" fontId="21" fillId="0" borderId="6" xfId="0" applyFont="1" applyFill="1" applyBorder="1" applyAlignment="1">
      <alignment vertical="center" shrinkToFit="1"/>
    </xf>
    <xf numFmtId="0" fontId="0" fillId="0" borderId="0" xfId="4" applyFont="1"/>
    <xf numFmtId="0" fontId="112" fillId="0" borderId="0" xfId="0" applyFont="1" applyAlignment="1"/>
    <xf numFmtId="0" fontId="114" fillId="3" borderId="12" xfId="0" applyNumberFormat="1" applyFont="1" applyFill="1" applyBorder="1" applyAlignment="1">
      <alignment horizontal="left" vertical="center"/>
    </xf>
    <xf numFmtId="0" fontId="114" fillId="3" borderId="15" xfId="0" applyNumberFormat="1" applyFont="1" applyFill="1" applyBorder="1" applyAlignment="1">
      <alignment horizontal="left" vertical="center"/>
    </xf>
    <xf numFmtId="0" fontId="114" fillId="3" borderId="12" xfId="0" quotePrefix="1" applyFont="1" applyFill="1" applyBorder="1" applyAlignment="1">
      <alignment horizontal="left"/>
    </xf>
    <xf numFmtId="0" fontId="113" fillId="0" borderId="32" xfId="0" applyFont="1" applyBorder="1" applyAlignment="1">
      <alignment horizontal="center"/>
    </xf>
    <xf numFmtId="0" fontId="113" fillId="8" borderId="29" xfId="0" applyFont="1" applyFill="1" applyBorder="1" applyAlignment="1">
      <alignment horizontal="center" vertical="center"/>
    </xf>
    <xf numFmtId="0" fontId="50" fillId="0" borderId="0" xfId="0" quotePrefix="1" applyNumberFormat="1" applyFont="1" applyBorder="1" applyAlignment="1">
      <alignment horizontal="left" vertical="center"/>
    </xf>
    <xf numFmtId="0" fontId="113" fillId="9" borderId="28" xfId="0" applyFont="1" applyFill="1" applyBorder="1" applyAlignment="1">
      <alignment horizontal="center" vertical="center"/>
    </xf>
    <xf numFmtId="0" fontId="7" fillId="0" borderId="28" xfId="4" applyFont="1" applyBorder="1"/>
    <xf numFmtId="0" fontId="7" fillId="0" borderId="30" xfId="4" applyFont="1" applyBorder="1"/>
    <xf numFmtId="0" fontId="54" fillId="2" borderId="0" xfId="0" applyNumberFormat="1" applyFont="1" applyFill="1" applyBorder="1" applyAlignment="1">
      <alignment horizontal="right" vertical="center" shrinkToFit="1"/>
    </xf>
    <xf numFmtId="0" fontId="104" fillId="0" borderId="0" xfId="0" applyFont="1" applyBorder="1" applyAlignment="1"/>
    <xf numFmtId="0" fontId="42" fillId="0" borderId="0" xfId="0" applyFont="1" applyFill="1" applyBorder="1" applyAlignment="1">
      <alignment horizontal="left"/>
    </xf>
    <xf numFmtId="0" fontId="42" fillId="0" borderId="0" xfId="0" applyFont="1" applyFill="1" applyBorder="1" applyAlignment="1">
      <alignment horizontal="left" vertical="center"/>
    </xf>
    <xf numFmtId="0" fontId="0" fillId="0" borderId="0" xfId="0" applyFont="1">
      <alignment vertical="center"/>
    </xf>
    <xf numFmtId="0" fontId="64" fillId="0" borderId="0" xfId="4" applyFont="1" applyFill="1" applyBorder="1"/>
    <xf numFmtId="0" fontId="113" fillId="0" borderId="25" xfId="0" applyFont="1" applyBorder="1" applyAlignment="1"/>
    <xf numFmtId="0" fontId="113" fillId="0" borderId="26" xfId="0" applyFont="1" applyBorder="1" applyAlignment="1"/>
    <xf numFmtId="0" fontId="113" fillId="0" borderId="27" xfId="0" applyFont="1" applyBorder="1" applyAlignment="1"/>
    <xf numFmtId="0" fontId="113" fillId="0" borderId="9" xfId="0" applyFont="1" applyBorder="1" applyAlignment="1"/>
    <xf numFmtId="180" fontId="113" fillId="10" borderId="32" xfId="0" applyNumberFormat="1" applyFont="1" applyFill="1" applyBorder="1" applyAlignment="1">
      <alignment horizontal="center" vertical="center"/>
    </xf>
    <xf numFmtId="0" fontId="116" fillId="11" borderId="57" xfId="0" applyFont="1" applyFill="1" applyBorder="1" applyAlignment="1"/>
    <xf numFmtId="0" fontId="60" fillId="0" borderId="0" xfId="4" applyFont="1" applyBorder="1" applyAlignment="1">
      <alignment horizontal="left"/>
    </xf>
    <xf numFmtId="0" fontId="124" fillId="0" borderId="0" xfId="4" applyFont="1" applyBorder="1" applyAlignment="1">
      <alignment horizontal="left"/>
    </xf>
    <xf numFmtId="0" fontId="113" fillId="0" borderId="11" xfId="0" applyFont="1" applyBorder="1" applyAlignment="1">
      <alignment horizontal="center"/>
    </xf>
    <xf numFmtId="0" fontId="0" fillId="0" borderId="28" xfId="0" applyBorder="1">
      <alignment vertical="center"/>
    </xf>
    <xf numFmtId="0" fontId="0" fillId="0" borderId="29" xfId="0" applyBorder="1">
      <alignment vertical="center"/>
    </xf>
    <xf numFmtId="0" fontId="113" fillId="8" borderId="0" xfId="0" applyFont="1" applyFill="1" applyBorder="1" applyAlignment="1">
      <alignment horizontal="center"/>
    </xf>
    <xf numFmtId="0" fontId="113" fillId="9" borderId="0" xfId="0" applyFont="1" applyFill="1" applyBorder="1" applyAlignment="1">
      <alignment horizontal="center" vertical="center"/>
    </xf>
    <xf numFmtId="0" fontId="0" fillId="0" borderId="0" xfId="4" applyFont="1" applyBorder="1"/>
    <xf numFmtId="0" fontId="42" fillId="0" borderId="0" xfId="4" applyFont="1" applyFill="1" applyBorder="1"/>
    <xf numFmtId="0" fontId="1" fillId="0" borderId="0" xfId="4" applyFill="1" applyBorder="1"/>
    <xf numFmtId="0" fontId="139" fillId="0" borderId="0" xfId="0" applyFont="1" applyBorder="1" applyAlignment="1"/>
    <xf numFmtId="0" fontId="0" fillId="0" borderId="45" xfId="0" applyBorder="1" applyAlignment="1"/>
    <xf numFmtId="0" fontId="140" fillId="0" borderId="0" xfId="0" applyFont="1" applyBorder="1" applyAlignment="1"/>
    <xf numFmtId="43" fontId="0" fillId="0" borderId="0" xfId="0" applyNumberFormat="1" applyBorder="1" applyAlignment="1"/>
    <xf numFmtId="0" fontId="0" fillId="0" borderId="41" xfId="0" applyBorder="1">
      <alignment vertical="center"/>
    </xf>
    <xf numFmtId="0" fontId="140" fillId="0" borderId="25" xfId="0" applyFont="1" applyBorder="1" applyAlignment="1"/>
    <xf numFmtId="0" fontId="140" fillId="0" borderId="27" xfId="0" applyFont="1" applyBorder="1" applyAlignment="1"/>
    <xf numFmtId="0" fontId="102" fillId="0" borderId="0" xfId="0" applyFont="1" applyBorder="1" applyAlignment="1"/>
    <xf numFmtId="0" fontId="0" fillId="0" borderId="34" xfId="0" applyNumberFormat="1" applyBorder="1" applyAlignment="1"/>
    <xf numFmtId="0" fontId="0" fillId="0" borderId="0" xfId="0" applyNumberFormat="1" applyBorder="1" applyAlignment="1"/>
    <xf numFmtId="0" fontId="0" fillId="0" borderId="0" xfId="0" applyNumberFormat="1">
      <alignment vertical="center"/>
    </xf>
    <xf numFmtId="0" fontId="141" fillId="0" borderId="4" xfId="0" applyFont="1" applyBorder="1" applyAlignment="1">
      <alignment horizontal="left" vertical="center" wrapText="1" shrinkToFit="1"/>
    </xf>
    <xf numFmtId="0" fontId="7" fillId="0" borderId="0" xfId="0" applyFont="1" applyBorder="1" applyAlignment="1">
      <alignment horizontal="center" vertical="center" wrapText="1"/>
    </xf>
    <xf numFmtId="49" fontId="7" fillId="13" borderId="25" xfId="0" applyNumberFormat="1" applyFont="1" applyFill="1" applyBorder="1" applyAlignment="1">
      <alignment horizontal="center" vertical="center" wrapText="1"/>
    </xf>
    <xf numFmtId="0" fontId="7" fillId="13" borderId="26" xfId="0" applyFont="1" applyFill="1" applyBorder="1" applyAlignment="1">
      <alignment horizontal="left" vertical="center" wrapText="1"/>
    </xf>
    <xf numFmtId="178" fontId="7" fillId="13" borderId="26" xfId="0" applyNumberFormat="1" applyFont="1" applyFill="1" applyBorder="1" applyAlignment="1">
      <alignment horizontal="right" vertical="center" wrapText="1"/>
    </xf>
    <xf numFmtId="49" fontId="7" fillId="13" borderId="28" xfId="0" applyNumberFormat="1" applyFont="1" applyFill="1" applyBorder="1" applyAlignment="1">
      <alignment horizontal="center" vertical="center" wrapText="1"/>
    </xf>
    <xf numFmtId="0" fontId="7" fillId="13" borderId="4" xfId="0" applyFont="1" applyFill="1" applyBorder="1" applyAlignment="1">
      <alignment horizontal="left" vertical="center" wrapText="1"/>
    </xf>
    <xf numFmtId="178" fontId="7" fillId="13" borderId="4" xfId="0" applyNumberFormat="1" applyFont="1" applyFill="1" applyBorder="1" applyAlignment="1">
      <alignment horizontal="right" vertical="center" wrapText="1"/>
    </xf>
    <xf numFmtId="49" fontId="7" fillId="13" borderId="30" xfId="0" applyNumberFormat="1" applyFont="1" applyFill="1" applyBorder="1" applyAlignment="1">
      <alignment horizontal="center" vertical="center" wrapText="1"/>
    </xf>
    <xf numFmtId="0" fontId="7" fillId="13" borderId="31" xfId="0" applyFont="1" applyFill="1" applyBorder="1" applyAlignment="1">
      <alignment horizontal="left" vertical="center" wrapText="1"/>
    </xf>
    <xf numFmtId="178" fontId="7" fillId="13" borderId="31" xfId="0" applyNumberFormat="1" applyFont="1" applyFill="1" applyBorder="1" applyAlignment="1">
      <alignment horizontal="right" vertical="center" wrapText="1"/>
    </xf>
    <xf numFmtId="0" fontId="43" fillId="13" borderId="25" xfId="0" applyNumberFormat="1" applyFont="1" applyFill="1" applyBorder="1" applyAlignment="1" applyProtection="1">
      <alignment horizontal="center" vertical="center" wrapText="1" shrinkToFit="1"/>
    </xf>
    <xf numFmtId="0" fontId="43" fillId="13" borderId="26" xfId="0" applyNumberFormat="1" applyFont="1" applyFill="1" applyBorder="1" applyAlignment="1" applyProtection="1">
      <alignment vertical="center" wrapText="1"/>
    </xf>
    <xf numFmtId="178" fontId="43" fillId="13" borderId="26" xfId="0" applyNumberFormat="1" applyFont="1" applyFill="1" applyBorder="1" applyAlignment="1" applyProtection="1">
      <alignment horizontal="right" vertical="center" wrapText="1" shrinkToFit="1"/>
    </xf>
    <xf numFmtId="0" fontId="19" fillId="13" borderId="26" xfId="0" applyNumberFormat="1" applyFont="1" applyFill="1" applyBorder="1" applyAlignment="1" applyProtection="1">
      <alignment horizontal="center" vertical="center" wrapText="1" shrinkToFit="1"/>
    </xf>
    <xf numFmtId="0" fontId="43" fillId="13" borderId="30" xfId="0" applyNumberFormat="1" applyFont="1" applyFill="1" applyBorder="1" applyAlignment="1" applyProtection="1">
      <alignment horizontal="center" vertical="center" wrapText="1" shrinkToFit="1"/>
    </xf>
    <xf numFmtId="0" fontId="43" fillId="13" borderId="31" xfId="0" applyNumberFormat="1" applyFont="1" applyFill="1" applyBorder="1" applyAlignment="1" applyProtection="1">
      <alignment vertical="center" wrapText="1"/>
    </xf>
    <xf numFmtId="178" fontId="43" fillId="13" borderId="31" xfId="0" applyNumberFormat="1" applyFont="1" applyFill="1" applyBorder="1" applyAlignment="1" applyProtection="1">
      <alignment horizontal="right" vertical="center" wrapText="1" shrinkToFit="1"/>
    </xf>
    <xf numFmtId="0" fontId="19" fillId="13" borderId="31" xfId="0" applyNumberFormat="1" applyFont="1" applyFill="1" applyBorder="1" applyAlignment="1" applyProtection="1">
      <alignment horizontal="center" vertical="center" wrapText="1" shrinkToFit="1"/>
    </xf>
    <xf numFmtId="0" fontId="74" fillId="11" borderId="58" xfId="0" applyFont="1" applyFill="1" applyBorder="1" applyAlignment="1">
      <alignment horizontal="center" vertical="center" wrapText="1"/>
    </xf>
    <xf numFmtId="0" fontId="75" fillId="11" borderId="59" xfId="0" applyFont="1" applyFill="1" applyBorder="1" applyAlignment="1">
      <alignment horizontal="left" vertical="center" wrapText="1"/>
    </xf>
    <xf numFmtId="178" fontId="75" fillId="11" borderId="59" xfId="0" applyNumberFormat="1" applyFont="1" applyFill="1" applyBorder="1" applyAlignment="1">
      <alignment horizontal="right" vertical="center" wrapText="1"/>
    </xf>
    <xf numFmtId="0" fontId="75" fillId="11" borderId="59" xfId="0" applyFont="1" applyFill="1" applyBorder="1" applyAlignment="1">
      <alignment horizontal="center" vertical="center" wrapText="1"/>
    </xf>
    <xf numFmtId="0" fontId="75" fillId="11" borderId="60" xfId="0" applyFont="1" applyFill="1" applyBorder="1" applyAlignment="1">
      <alignment horizontal="left" vertical="center" wrapText="1"/>
    </xf>
    <xf numFmtId="0" fontId="77" fillId="11" borderId="58" xfId="0" applyFont="1" applyFill="1" applyBorder="1" applyAlignment="1">
      <alignment horizontal="center" vertical="center" wrapText="1"/>
    </xf>
    <xf numFmtId="178" fontId="77" fillId="11" borderId="59" xfId="0" applyNumberFormat="1" applyFont="1" applyFill="1" applyBorder="1" applyAlignment="1">
      <alignment horizontal="right" vertical="center" wrapText="1"/>
    </xf>
    <xf numFmtId="0" fontId="77" fillId="11" borderId="59" xfId="0" applyFont="1" applyFill="1" applyBorder="1" applyAlignment="1">
      <alignment horizontal="center" vertical="center" wrapText="1"/>
    </xf>
    <xf numFmtId="0" fontId="77" fillId="11" borderId="60" xfId="0" applyFont="1" applyFill="1" applyBorder="1" applyAlignment="1">
      <alignment horizontal="left" vertical="center" wrapText="1"/>
    </xf>
    <xf numFmtId="0" fontId="7" fillId="11" borderId="61" xfId="0" applyFont="1" applyFill="1" applyBorder="1" applyAlignment="1">
      <alignment horizontal="center" vertical="center" wrapText="1"/>
    </xf>
    <xf numFmtId="178" fontId="7" fillId="11" borderId="62" xfId="0" applyNumberFormat="1" applyFont="1" applyFill="1" applyBorder="1" applyAlignment="1">
      <alignment horizontal="right" vertical="center" wrapText="1"/>
    </xf>
    <xf numFmtId="0" fontId="7" fillId="11" borderId="62" xfId="0" applyFont="1" applyFill="1" applyBorder="1" applyAlignment="1">
      <alignment horizontal="center" vertical="center" wrapText="1"/>
    </xf>
    <xf numFmtId="0" fontId="81" fillId="11" borderId="60" xfId="0" applyFont="1" applyFill="1" applyBorder="1" applyAlignment="1">
      <alignment horizontal="left" vertical="center" wrapText="1"/>
    </xf>
    <xf numFmtId="0" fontId="7" fillId="14" borderId="58" xfId="0" applyFont="1" applyFill="1" applyBorder="1" applyAlignment="1">
      <alignment horizontal="center" vertical="center" wrapText="1"/>
    </xf>
    <xf numFmtId="0" fontId="7" fillId="14" borderId="59" xfId="0" applyFont="1" applyFill="1" applyBorder="1" applyAlignment="1">
      <alignment horizontal="left" vertical="center" wrapText="1"/>
    </xf>
    <xf numFmtId="178" fontId="7" fillId="14" borderId="59" xfId="0" applyNumberFormat="1" applyFont="1" applyFill="1" applyBorder="1" applyAlignment="1">
      <alignment horizontal="right" vertical="center" wrapText="1"/>
    </xf>
    <xf numFmtId="0" fontId="7" fillId="14" borderId="59" xfId="0" applyFont="1" applyFill="1" applyBorder="1" applyAlignment="1">
      <alignment horizontal="center" vertical="center" wrapText="1"/>
    </xf>
    <xf numFmtId="0" fontId="7" fillId="14" borderId="60" xfId="0" applyFont="1" applyFill="1" applyBorder="1" applyAlignment="1">
      <alignment horizontal="left" vertical="center" wrapText="1"/>
    </xf>
    <xf numFmtId="0" fontId="7" fillId="13" borderId="25" xfId="0" applyFont="1" applyFill="1" applyBorder="1" applyAlignment="1">
      <alignment horizontal="center" vertical="center" wrapText="1"/>
    </xf>
    <xf numFmtId="0" fontId="7" fillId="13" borderId="28" xfId="0" applyFont="1" applyFill="1" applyBorder="1" applyAlignment="1">
      <alignment horizontal="center" vertical="center" wrapText="1"/>
    </xf>
    <xf numFmtId="0" fontId="7" fillId="13" borderId="30" xfId="0" applyFont="1" applyFill="1" applyBorder="1" applyAlignment="1">
      <alignment horizontal="center" vertical="center" wrapText="1"/>
    </xf>
    <xf numFmtId="0" fontId="13" fillId="13" borderId="31" xfId="0" applyFont="1" applyFill="1" applyBorder="1" applyAlignment="1">
      <alignment horizontal="center" vertical="center" wrapText="1"/>
    </xf>
    <xf numFmtId="0" fontId="13" fillId="13" borderId="26" xfId="0" applyFont="1" applyFill="1" applyBorder="1" applyAlignment="1">
      <alignment horizontal="center" vertical="center" wrapText="1"/>
    </xf>
    <xf numFmtId="0" fontId="13" fillId="13" borderId="4" xfId="0" applyFont="1" applyFill="1" applyBorder="1" applyAlignment="1">
      <alignment horizontal="center" vertical="center" wrapText="1"/>
    </xf>
    <xf numFmtId="178" fontId="7" fillId="14" borderId="26" xfId="0" applyNumberFormat="1" applyFont="1" applyFill="1" applyBorder="1" applyAlignment="1">
      <alignment horizontal="right" vertical="center" wrapText="1"/>
    </xf>
    <xf numFmtId="178" fontId="7" fillId="14" borderId="31" xfId="0" applyNumberFormat="1" applyFont="1" applyFill="1" applyBorder="1" applyAlignment="1">
      <alignment horizontal="right" vertical="center" wrapText="1"/>
    </xf>
    <xf numFmtId="0" fontId="7" fillId="14" borderId="28" xfId="0" applyFont="1" applyFill="1" applyBorder="1" applyAlignment="1">
      <alignment horizontal="center" vertical="center" wrapText="1"/>
    </xf>
    <xf numFmtId="178" fontId="7" fillId="14" borderId="4" xfId="0" applyNumberFormat="1" applyFont="1" applyFill="1" applyBorder="1" applyAlignment="1">
      <alignment horizontal="right" vertical="center" wrapText="1"/>
    </xf>
    <xf numFmtId="0" fontId="13" fillId="14" borderId="31" xfId="0" applyFont="1" applyFill="1" applyBorder="1" applyAlignment="1">
      <alignment horizontal="left" vertical="center" wrapText="1"/>
    </xf>
    <xf numFmtId="178" fontId="13" fillId="14" borderId="31" xfId="0" applyNumberFormat="1" applyFont="1" applyFill="1" applyBorder="1" applyAlignment="1">
      <alignment horizontal="right" vertical="center" wrapText="1"/>
    </xf>
    <xf numFmtId="0" fontId="13" fillId="14" borderId="31" xfId="0" applyFont="1" applyFill="1" applyBorder="1" applyAlignment="1">
      <alignment horizontal="center" vertical="center" wrapText="1"/>
    </xf>
    <xf numFmtId="0" fontId="7" fillId="14" borderId="52" xfId="0" applyFont="1" applyFill="1" applyBorder="1" applyAlignment="1">
      <alignment horizontal="center" vertical="center" wrapText="1"/>
    </xf>
    <xf numFmtId="0" fontId="7" fillId="14" borderId="39" xfId="0" applyFont="1" applyFill="1" applyBorder="1" applyAlignment="1">
      <alignment horizontal="left" vertical="center" wrapText="1"/>
    </xf>
    <xf numFmtId="178" fontId="7" fillId="14" borderId="39" xfId="0" applyNumberFormat="1" applyFont="1" applyFill="1" applyBorder="1" applyAlignment="1">
      <alignment horizontal="right" vertical="center" wrapText="1"/>
    </xf>
    <xf numFmtId="0" fontId="7" fillId="14" borderId="39" xfId="0" applyFont="1" applyFill="1" applyBorder="1" applyAlignment="1">
      <alignment horizontal="center" vertical="center" wrapText="1"/>
    </xf>
    <xf numFmtId="0" fontId="7" fillId="14" borderId="4" xfId="0" applyFont="1" applyFill="1" applyBorder="1" applyAlignment="1">
      <alignment horizontal="left" vertical="center" wrapText="1"/>
    </xf>
    <xf numFmtId="0" fontId="7" fillId="15" borderId="58" xfId="0" applyFont="1" applyFill="1" applyBorder="1" applyAlignment="1">
      <alignment horizontal="center" vertical="center" wrapText="1"/>
    </xf>
    <xf numFmtId="0" fontId="7" fillId="15" borderId="59" xfId="0" applyFont="1" applyFill="1" applyBorder="1" applyAlignment="1">
      <alignment horizontal="left" vertical="center" wrapText="1"/>
    </xf>
    <xf numFmtId="178" fontId="7" fillId="15" borderId="59" xfId="0" applyNumberFormat="1" applyFont="1" applyFill="1" applyBorder="1" applyAlignment="1">
      <alignment horizontal="right" vertical="center" wrapText="1"/>
    </xf>
    <xf numFmtId="0" fontId="7" fillId="15" borderId="59" xfId="0" applyFont="1" applyFill="1" applyBorder="1" applyAlignment="1">
      <alignment horizontal="center" vertical="center" wrapText="1"/>
    </xf>
    <xf numFmtId="0" fontId="7" fillId="15" borderId="60" xfId="0" applyFont="1" applyFill="1" applyBorder="1" applyAlignment="1">
      <alignment horizontal="left" vertical="center" wrapText="1"/>
    </xf>
    <xf numFmtId="0" fontId="7" fillId="8" borderId="61" xfId="0" applyFont="1" applyFill="1" applyBorder="1" applyAlignment="1">
      <alignment horizontal="center" vertical="center" wrapText="1"/>
    </xf>
    <xf numFmtId="0" fontId="7" fillId="8" borderId="62" xfId="0" applyFont="1" applyFill="1" applyBorder="1" applyAlignment="1">
      <alignment horizontal="left" vertical="center" wrapText="1"/>
    </xf>
    <xf numFmtId="178" fontId="7" fillId="8" borderId="62" xfId="0" applyNumberFormat="1" applyFont="1" applyFill="1" applyBorder="1" applyAlignment="1">
      <alignment horizontal="right" vertical="center" wrapText="1"/>
    </xf>
    <xf numFmtId="0" fontId="7" fillId="8" borderId="62" xfId="0" applyFont="1" applyFill="1" applyBorder="1" applyAlignment="1">
      <alignment horizontal="center" vertical="center" wrapText="1"/>
    </xf>
    <xf numFmtId="0" fontId="7" fillId="8" borderId="0" xfId="0" applyFont="1" applyFill="1" applyBorder="1" applyAlignment="1">
      <alignment horizontal="left" vertical="center" wrapText="1"/>
    </xf>
    <xf numFmtId="0" fontId="7" fillId="16" borderId="25" xfId="0" applyFont="1" applyFill="1" applyBorder="1" applyAlignment="1">
      <alignment horizontal="center" vertical="center" wrapText="1"/>
    </xf>
    <xf numFmtId="0" fontId="7" fillId="16" borderId="26" xfId="0" applyFont="1" applyFill="1" applyBorder="1" applyAlignment="1">
      <alignment horizontal="left" vertical="center" wrapText="1"/>
    </xf>
    <xf numFmtId="178" fontId="7" fillId="16" borderId="26" xfId="0" applyNumberFormat="1" applyFont="1" applyFill="1" applyBorder="1" applyAlignment="1">
      <alignment horizontal="right" vertical="center" wrapText="1"/>
    </xf>
    <xf numFmtId="0" fontId="7" fillId="16" borderId="26" xfId="0" applyFont="1" applyFill="1" applyBorder="1" applyAlignment="1">
      <alignment horizontal="center" vertical="center" wrapText="1"/>
    </xf>
    <xf numFmtId="0" fontId="7" fillId="16" borderId="27" xfId="0" applyFont="1" applyFill="1" applyBorder="1" applyAlignment="1">
      <alignment horizontal="left" vertical="center" wrapText="1"/>
    </xf>
    <xf numFmtId="0" fontId="7" fillId="16" borderId="30" xfId="0" applyFont="1" applyFill="1" applyBorder="1" applyAlignment="1">
      <alignment horizontal="center" vertical="center" wrapText="1"/>
    </xf>
    <xf numFmtId="0" fontId="7" fillId="16" borderId="31" xfId="0" applyFont="1" applyFill="1" applyBorder="1" applyAlignment="1">
      <alignment horizontal="left" vertical="center" wrapText="1"/>
    </xf>
    <xf numFmtId="178" fontId="7" fillId="16" borderId="31" xfId="0" applyNumberFormat="1" applyFont="1" applyFill="1" applyBorder="1" applyAlignment="1">
      <alignment horizontal="right" vertical="center" wrapText="1"/>
    </xf>
    <xf numFmtId="0" fontId="7" fillId="16" borderId="31" xfId="0" applyFont="1" applyFill="1" applyBorder="1" applyAlignment="1">
      <alignment horizontal="center" vertical="center" wrapText="1"/>
    </xf>
    <xf numFmtId="0" fontId="7" fillId="16" borderId="32" xfId="0" applyFont="1" applyFill="1" applyBorder="1" applyAlignment="1">
      <alignment horizontal="left" vertical="center" wrapText="1"/>
    </xf>
    <xf numFmtId="0" fontId="7" fillId="0" borderId="0" xfId="0" applyFont="1" applyBorder="1" applyAlignment="1">
      <alignment horizontal="left" vertical="center" wrapText="1"/>
    </xf>
    <xf numFmtId="49" fontId="7" fillId="0" borderId="0" xfId="0" applyNumberFormat="1" applyFont="1" applyBorder="1" applyAlignment="1">
      <alignment horizontal="left" vertical="center" wrapText="1"/>
    </xf>
    <xf numFmtId="0" fontId="7" fillId="14" borderId="4" xfId="0" applyFont="1" applyFill="1" applyBorder="1" applyAlignment="1">
      <alignment horizontal="center" vertical="center" wrapText="1"/>
    </xf>
    <xf numFmtId="0" fontId="7" fillId="14" borderId="31" xfId="0" applyFont="1" applyFill="1" applyBorder="1" applyAlignment="1">
      <alignment horizontal="center" vertical="center" wrapText="1"/>
    </xf>
    <xf numFmtId="0" fontId="7" fillId="14" borderId="31" xfId="0" applyFont="1" applyFill="1" applyBorder="1" applyAlignment="1">
      <alignment horizontal="left" vertical="center" wrapText="1"/>
    </xf>
    <xf numFmtId="0" fontId="7" fillId="14" borderId="26" xfId="0" applyFont="1" applyFill="1" applyBorder="1" applyAlignment="1">
      <alignment horizontal="center" vertical="center" wrapText="1"/>
    </xf>
    <xf numFmtId="0" fontId="7" fillId="14" borderId="27" xfId="0" applyFont="1" applyFill="1" applyBorder="1" applyAlignment="1">
      <alignment horizontal="left" vertical="center" wrapText="1"/>
    </xf>
    <xf numFmtId="0" fontId="7" fillId="14" borderId="32" xfId="0" applyFont="1" applyFill="1" applyBorder="1" applyAlignment="1">
      <alignment horizontal="left" vertical="center" wrapText="1"/>
    </xf>
    <xf numFmtId="0" fontId="7" fillId="13" borderId="26" xfId="0" applyFont="1" applyFill="1" applyBorder="1" applyAlignment="1">
      <alignment horizontal="center" vertical="center" wrapText="1"/>
    </xf>
    <xf numFmtId="0" fontId="7" fillId="13" borderId="4" xfId="0" applyFont="1" applyFill="1" applyBorder="1" applyAlignment="1">
      <alignment horizontal="center" vertical="center" wrapText="1"/>
    </xf>
    <xf numFmtId="0" fontId="7" fillId="13" borderId="31" xfId="0" applyFont="1" applyFill="1" applyBorder="1" applyAlignment="1">
      <alignment horizontal="center" vertical="center" wrapText="1"/>
    </xf>
    <xf numFmtId="0" fontId="7" fillId="14" borderId="25" xfId="0" applyFont="1" applyFill="1" applyBorder="1" applyAlignment="1">
      <alignment horizontal="center" vertical="center" wrapText="1"/>
    </xf>
    <xf numFmtId="0" fontId="7" fillId="14" borderId="30" xfId="0" applyFont="1" applyFill="1" applyBorder="1" applyAlignment="1">
      <alignment horizontal="center" vertical="center" wrapText="1"/>
    </xf>
    <xf numFmtId="0" fontId="7" fillId="14" borderId="26" xfId="0" applyFont="1" applyFill="1" applyBorder="1" applyAlignment="1">
      <alignment horizontal="left" vertical="center" wrapText="1"/>
    </xf>
    <xf numFmtId="49" fontId="71" fillId="0" borderId="31" xfId="0" applyNumberFormat="1" applyFont="1" applyBorder="1" applyAlignment="1">
      <alignment horizontal="center" vertical="center" wrapText="1"/>
    </xf>
    <xf numFmtId="0" fontId="77" fillId="11" borderId="59" xfId="0" applyFont="1" applyFill="1" applyBorder="1" applyAlignment="1">
      <alignment horizontal="left" vertical="center" wrapText="1"/>
    </xf>
    <xf numFmtId="0" fontId="7" fillId="11" borderId="62" xfId="0" applyFont="1" applyFill="1" applyBorder="1" applyAlignment="1">
      <alignment horizontal="left" vertical="center" wrapText="1"/>
    </xf>
    <xf numFmtId="0" fontId="7" fillId="11" borderId="63" xfId="0" applyFont="1" applyFill="1" applyBorder="1" applyAlignment="1">
      <alignment horizontal="left" vertical="center" wrapText="1"/>
    </xf>
    <xf numFmtId="0" fontId="7" fillId="13" borderId="58" xfId="0" applyFont="1" applyFill="1" applyBorder="1" applyAlignment="1">
      <alignment horizontal="center" vertical="center" wrapText="1"/>
    </xf>
    <xf numFmtId="0" fontId="7" fillId="13" borderId="59" xfId="0" applyFont="1" applyFill="1" applyBorder="1" applyAlignment="1">
      <alignment horizontal="left" vertical="center" wrapText="1"/>
    </xf>
    <xf numFmtId="178" fontId="7" fillId="13" borderId="59" xfId="0" applyNumberFormat="1" applyFont="1" applyFill="1" applyBorder="1" applyAlignment="1">
      <alignment horizontal="right" vertical="center" wrapText="1"/>
    </xf>
    <xf numFmtId="0" fontId="13" fillId="13" borderId="59" xfId="0" applyFont="1" applyFill="1" applyBorder="1" applyAlignment="1">
      <alignment horizontal="center" vertical="center" wrapText="1"/>
    </xf>
    <xf numFmtId="0" fontId="7" fillId="13" borderId="59" xfId="0" applyFont="1" applyFill="1" applyBorder="1" applyAlignment="1">
      <alignment horizontal="center" vertical="center" wrapText="1"/>
    </xf>
    <xf numFmtId="0" fontId="7" fillId="13" borderId="60" xfId="0" applyFont="1" applyFill="1" applyBorder="1" applyAlignment="1">
      <alignment horizontal="left" vertical="center" wrapText="1"/>
    </xf>
    <xf numFmtId="0" fontId="41" fillId="0" borderId="4" xfId="0" applyFont="1" applyBorder="1">
      <alignment vertical="center"/>
    </xf>
    <xf numFmtId="43" fontId="41" fillId="0" borderId="4" xfId="0" applyNumberFormat="1" applyFont="1" applyBorder="1">
      <alignment vertical="center"/>
    </xf>
    <xf numFmtId="0" fontId="26" fillId="0" borderId="4" xfId="0" applyFont="1" applyBorder="1">
      <alignment vertical="center"/>
    </xf>
    <xf numFmtId="0" fontId="27" fillId="0" borderId="4" xfId="0" applyFont="1" applyBorder="1">
      <alignment vertical="center"/>
    </xf>
    <xf numFmtId="0" fontId="26" fillId="0" borderId="4" xfId="0" applyFont="1" applyBorder="1" applyAlignment="1">
      <alignment horizontal="center" vertical="center"/>
    </xf>
    <xf numFmtId="0" fontId="34" fillId="0" borderId="25" xfId="0" applyFont="1" applyBorder="1" applyAlignment="1">
      <alignment horizontal="left" vertical="center"/>
    </xf>
    <xf numFmtId="0" fontId="34" fillId="0" borderId="26" xfId="0" applyFont="1" applyBorder="1">
      <alignment vertical="center"/>
    </xf>
    <xf numFmtId="0" fontId="41" fillId="0" borderId="26" xfId="0" applyFont="1" applyBorder="1">
      <alignment vertical="center"/>
    </xf>
    <xf numFmtId="0" fontId="41" fillId="0" borderId="26" xfId="0" applyFont="1" applyBorder="1" applyAlignment="1">
      <alignment horizontal="center" vertical="center"/>
    </xf>
    <xf numFmtId="43" fontId="41" fillId="0" borderId="27" xfId="0" applyNumberFormat="1" applyFont="1" applyBorder="1" applyAlignment="1">
      <alignment horizontal="right" vertical="center"/>
    </xf>
    <xf numFmtId="0" fontId="34" fillId="0" borderId="28" xfId="0" quotePrefix="1" applyFont="1" applyBorder="1" applyAlignment="1">
      <alignment horizontal="left" vertical="center"/>
    </xf>
    <xf numFmtId="43" fontId="41" fillId="0" borderId="29" xfId="0" applyNumberFormat="1" applyFont="1" applyBorder="1">
      <alignment vertical="center"/>
    </xf>
    <xf numFmtId="0" fontId="41" fillId="0" borderId="29" xfId="0" applyFont="1" applyBorder="1">
      <alignment vertical="center"/>
    </xf>
    <xf numFmtId="0" fontId="27" fillId="0" borderId="28" xfId="0" quotePrefix="1" applyFont="1" applyBorder="1" applyAlignment="1">
      <alignment horizontal="left" vertical="center"/>
    </xf>
    <xf numFmtId="0" fontId="26" fillId="0" borderId="29" xfId="0" applyFont="1" applyBorder="1">
      <alignment vertical="center"/>
    </xf>
    <xf numFmtId="0" fontId="27" fillId="0" borderId="28" xfId="0" applyFont="1" applyBorder="1" applyAlignment="1">
      <alignment horizontal="left" vertical="center"/>
    </xf>
    <xf numFmtId="0" fontId="26" fillId="0" borderId="29" xfId="0" applyFont="1" applyBorder="1" applyAlignment="1">
      <alignment horizontal="center" vertical="center"/>
    </xf>
    <xf numFmtId="0" fontId="27" fillId="0" borderId="30" xfId="0" applyFont="1" applyBorder="1" applyAlignment="1">
      <alignment horizontal="left" vertical="center"/>
    </xf>
    <xf numFmtId="0" fontId="27" fillId="0" borderId="31" xfId="0" applyFont="1" applyBorder="1">
      <alignment vertical="center"/>
    </xf>
    <xf numFmtId="0" fontId="26" fillId="0" borderId="31" xfId="0" applyFont="1" applyBorder="1">
      <alignment vertical="center"/>
    </xf>
    <xf numFmtId="0" fontId="26" fillId="0" borderId="31" xfId="0" applyFont="1" applyBorder="1" applyAlignment="1">
      <alignment horizontal="center" vertical="center"/>
    </xf>
    <xf numFmtId="0" fontId="26" fillId="0" borderId="32" xfId="0" applyFont="1" applyBorder="1" applyAlignment="1">
      <alignment horizontal="center" vertical="center"/>
    </xf>
    <xf numFmtId="0" fontId="88" fillId="14" borderId="32" xfId="0" applyFont="1" applyFill="1" applyBorder="1" applyAlignment="1">
      <alignment horizontal="left" vertical="center" wrapText="1"/>
    </xf>
    <xf numFmtId="0" fontId="88" fillId="14" borderId="27" xfId="0" applyFont="1" applyFill="1" applyBorder="1" applyAlignment="1">
      <alignment horizontal="left" vertical="center" wrapText="1"/>
    </xf>
    <xf numFmtId="0" fontId="7" fillId="14" borderId="26" xfId="0" applyFont="1" applyFill="1" applyBorder="1" applyAlignment="1">
      <alignment horizontal="center" vertical="center" wrapText="1"/>
    </xf>
    <xf numFmtId="0" fontId="7" fillId="13" borderId="26" xfId="0" applyFont="1" applyFill="1" applyBorder="1" applyAlignment="1">
      <alignment horizontal="center" vertical="center" wrapText="1"/>
    </xf>
    <xf numFmtId="0" fontId="7" fillId="13" borderId="4" xfId="0" applyFont="1" applyFill="1" applyBorder="1" applyAlignment="1">
      <alignment horizontal="center" vertical="center" wrapText="1"/>
    </xf>
    <xf numFmtId="0" fontId="13" fillId="13" borderId="26" xfId="0" applyFont="1" applyFill="1" applyBorder="1" applyAlignment="1">
      <alignment horizontal="center" vertical="center" wrapText="1"/>
    </xf>
    <xf numFmtId="0" fontId="13" fillId="13" borderId="4" xfId="0" applyFont="1" applyFill="1" applyBorder="1" applyAlignment="1">
      <alignment horizontal="center" vertical="center" wrapText="1"/>
    </xf>
    <xf numFmtId="43" fontId="41" fillId="0" borderId="4" xfId="0" applyNumberFormat="1" applyFont="1" applyBorder="1" applyAlignment="1">
      <alignment horizontal="center" vertical="center"/>
    </xf>
    <xf numFmtId="0" fontId="41" fillId="0" borderId="4" xfId="0" applyFont="1" applyBorder="1" applyAlignment="1">
      <alignment horizontal="center" vertical="center"/>
    </xf>
    <xf numFmtId="49" fontId="41" fillId="0" borderId="4" xfId="0" applyNumberFormat="1" applyFont="1" applyBorder="1" applyAlignment="1">
      <alignment vertical="center" wrapText="1" shrinkToFit="1"/>
    </xf>
    <xf numFmtId="49" fontId="41" fillId="0" borderId="4" xfId="0" applyNumberFormat="1" applyFont="1" applyBorder="1" applyAlignment="1">
      <alignment horizontal="left" vertical="center" wrapText="1" shrinkToFit="1"/>
    </xf>
    <xf numFmtId="0" fontId="27" fillId="0" borderId="0" xfId="0" applyFont="1" applyBorder="1" applyAlignment="1">
      <alignment horizontal="left" vertical="center"/>
    </xf>
    <xf numFmtId="0" fontId="27" fillId="0" borderId="0" xfId="0" applyFont="1" applyBorder="1">
      <alignment vertical="center"/>
    </xf>
    <xf numFmtId="0" fontId="26" fillId="0" borderId="0" xfId="0" applyFont="1" applyBorder="1">
      <alignment vertical="center"/>
    </xf>
    <xf numFmtId="0" fontId="26" fillId="0" borderId="0" xfId="0" applyFont="1" applyBorder="1" applyAlignment="1">
      <alignment horizontal="center" vertical="center"/>
    </xf>
    <xf numFmtId="49" fontId="41" fillId="0" borderId="4" xfId="0" applyNumberFormat="1" applyFont="1" applyBorder="1" applyAlignment="1">
      <alignment horizontal="left" vertical="center" wrapText="1"/>
    </xf>
    <xf numFmtId="0" fontId="42" fillId="14" borderId="59" xfId="0" applyFont="1" applyFill="1" applyBorder="1" applyAlignment="1">
      <alignment horizontal="left" vertical="center" wrapText="1"/>
    </xf>
    <xf numFmtId="49" fontId="41" fillId="0" borderId="4" xfId="0" applyNumberFormat="1" applyFont="1" applyBorder="1" applyAlignment="1">
      <alignment vertical="center" wrapText="1"/>
    </xf>
    <xf numFmtId="43" fontId="41" fillId="0" borderId="4" xfId="0" applyNumberFormat="1" applyFont="1" applyBorder="1" applyAlignment="1">
      <alignment horizontal="right" vertical="center"/>
    </xf>
    <xf numFmtId="49" fontId="41" fillId="0" borderId="4" xfId="0" applyNumberFormat="1" applyFont="1" applyBorder="1" applyAlignment="1">
      <alignment horizontal="center" vertical="center"/>
    </xf>
    <xf numFmtId="0" fontId="0" fillId="0" borderId="4" xfId="0" applyBorder="1" applyAlignment="1">
      <alignment vertical="center"/>
    </xf>
    <xf numFmtId="43" fontId="41" fillId="17" borderId="4" xfId="0" applyNumberFormat="1" applyFont="1" applyFill="1" applyBorder="1">
      <alignment vertical="center"/>
    </xf>
    <xf numFmtId="0" fontId="41" fillId="17" borderId="4" xfId="0" applyFont="1" applyFill="1" applyBorder="1" applyAlignment="1">
      <alignment vertical="center" wrapText="1"/>
    </xf>
    <xf numFmtId="0" fontId="26" fillId="17" borderId="4" xfId="0" applyFont="1" applyFill="1" applyBorder="1" applyAlignment="1">
      <alignment horizontal="center" vertical="center"/>
    </xf>
    <xf numFmtId="49" fontId="41" fillId="17" borderId="4" xfId="0" applyNumberFormat="1" applyFont="1" applyFill="1" applyBorder="1" applyAlignment="1">
      <alignment horizontal="left" vertical="center" wrapText="1"/>
    </xf>
    <xf numFmtId="43" fontId="41" fillId="17" borderId="4" xfId="0" applyNumberFormat="1" applyFont="1" applyFill="1" applyBorder="1" applyAlignment="1">
      <alignment horizontal="center" vertical="center"/>
    </xf>
    <xf numFmtId="49" fontId="41" fillId="17" borderId="4" xfId="0" applyNumberFormat="1" applyFont="1" applyFill="1" applyBorder="1" applyAlignment="1">
      <alignment vertical="center" wrapText="1"/>
    </xf>
    <xf numFmtId="43" fontId="41" fillId="17" borderId="4" xfId="0" applyNumberFormat="1" applyFont="1" applyFill="1" applyBorder="1" applyAlignment="1">
      <alignment horizontal="center" vertical="center" wrapText="1"/>
    </xf>
    <xf numFmtId="49" fontId="41" fillId="17" borderId="4" xfId="0" applyNumberFormat="1" applyFont="1" applyFill="1" applyBorder="1" applyAlignment="1">
      <alignment vertical="center" wrapText="1" shrinkToFit="1"/>
    </xf>
    <xf numFmtId="43" fontId="41" fillId="18" borderId="4" xfId="0" applyNumberFormat="1" applyFont="1" applyFill="1" applyBorder="1">
      <alignment vertical="center"/>
    </xf>
    <xf numFmtId="49" fontId="41" fillId="18" borderId="4" xfId="0" applyNumberFormat="1" applyFont="1" applyFill="1" applyBorder="1" applyAlignment="1">
      <alignment horizontal="left" vertical="center" wrapText="1"/>
    </xf>
    <xf numFmtId="43" fontId="41" fillId="18" borderId="4" xfId="0" applyNumberFormat="1" applyFont="1" applyFill="1" applyBorder="1" applyAlignment="1">
      <alignment horizontal="center" vertical="center"/>
    </xf>
    <xf numFmtId="49" fontId="41" fillId="18" borderId="4" xfId="0" applyNumberFormat="1" applyFont="1" applyFill="1" applyBorder="1" applyAlignment="1">
      <alignment vertical="center" wrapText="1"/>
    </xf>
    <xf numFmtId="43" fontId="41" fillId="18" borderId="4" xfId="0" applyNumberFormat="1" applyFont="1" applyFill="1" applyBorder="1" applyAlignment="1">
      <alignment horizontal="center" vertical="center" wrapText="1"/>
    </xf>
    <xf numFmtId="43" fontId="41" fillId="19" borderId="4" xfId="0" applyNumberFormat="1" applyFont="1" applyFill="1" applyBorder="1">
      <alignment vertical="center"/>
    </xf>
    <xf numFmtId="49" fontId="41" fillId="19" borderId="4" xfId="0" applyNumberFormat="1" applyFont="1" applyFill="1" applyBorder="1" applyAlignment="1">
      <alignment horizontal="left" vertical="center" wrapText="1"/>
    </xf>
    <xf numFmtId="43" fontId="41" fillId="19" borderId="4" xfId="0" applyNumberFormat="1" applyFont="1" applyFill="1" applyBorder="1" applyAlignment="1">
      <alignment horizontal="center" vertical="center" wrapText="1"/>
    </xf>
    <xf numFmtId="43" fontId="41" fillId="19" borderId="4" xfId="0" applyNumberFormat="1" applyFont="1" applyFill="1" applyBorder="1" applyAlignment="1">
      <alignment horizontal="center" vertical="center"/>
    </xf>
    <xf numFmtId="43" fontId="41" fillId="19" borderId="4" xfId="0" applyNumberFormat="1" applyFont="1" applyFill="1" applyBorder="1" applyAlignment="1">
      <alignment vertical="center"/>
    </xf>
    <xf numFmtId="0" fontId="26" fillId="19" borderId="4" xfId="0" applyFont="1" applyFill="1" applyBorder="1" applyAlignment="1">
      <alignment horizontal="center" vertical="center"/>
    </xf>
    <xf numFmtId="0" fontId="41" fillId="19" borderId="4" xfId="0" applyFont="1" applyFill="1" applyBorder="1" applyAlignment="1">
      <alignment horizontal="center" vertical="center"/>
    </xf>
    <xf numFmtId="0" fontId="0" fillId="19" borderId="4" xfId="0" applyFill="1" applyBorder="1" applyAlignment="1">
      <alignment vertical="center"/>
    </xf>
    <xf numFmtId="43" fontId="41" fillId="17" borderId="4" xfId="0" applyNumberFormat="1" applyFont="1" applyFill="1" applyBorder="1" applyAlignment="1">
      <alignment vertical="center"/>
    </xf>
    <xf numFmtId="0" fontId="41" fillId="17" borderId="4" xfId="0" applyFont="1" applyFill="1" applyBorder="1" applyAlignment="1">
      <alignment horizontal="center" vertical="center"/>
    </xf>
    <xf numFmtId="0" fontId="0" fillId="17" borderId="4" xfId="0" applyFill="1" applyBorder="1" applyAlignment="1">
      <alignment vertical="center"/>
    </xf>
    <xf numFmtId="0" fontId="41" fillId="19" borderId="4" xfId="0" applyFont="1" applyFill="1" applyBorder="1">
      <alignment vertical="center"/>
    </xf>
    <xf numFmtId="0" fontId="41" fillId="19" borderId="4" xfId="0" applyFont="1" applyFill="1" applyBorder="1" applyAlignment="1">
      <alignment horizontal="center" vertical="center" wrapText="1"/>
    </xf>
    <xf numFmtId="0" fontId="26" fillId="19" borderId="4" xfId="0" applyFont="1" applyFill="1" applyBorder="1">
      <alignment vertical="center"/>
    </xf>
    <xf numFmtId="49" fontId="41" fillId="19" borderId="4" xfId="0" applyNumberFormat="1" applyFont="1" applyFill="1" applyBorder="1" applyAlignment="1">
      <alignment horizontal="left" vertical="center" wrapText="1" shrinkToFit="1"/>
    </xf>
    <xf numFmtId="0" fontId="0" fillId="18" borderId="48" xfId="0" applyFill="1" applyBorder="1" applyAlignment="1">
      <alignment vertical="center"/>
    </xf>
    <xf numFmtId="0" fontId="0" fillId="17" borderId="48" xfId="0" applyFill="1" applyBorder="1" applyAlignment="1">
      <alignment vertical="center"/>
    </xf>
    <xf numFmtId="0" fontId="0" fillId="0" borderId="48" xfId="0" applyFill="1" applyBorder="1" applyAlignment="1">
      <alignment vertical="center"/>
    </xf>
    <xf numFmtId="43" fontId="41" fillId="0" borderId="4" xfId="0" applyNumberFormat="1" applyFont="1" applyFill="1" applyBorder="1">
      <alignment vertical="center"/>
    </xf>
    <xf numFmtId="49" fontId="41" fillId="0" borderId="4" xfId="0" applyNumberFormat="1" applyFont="1" applyFill="1" applyBorder="1" applyAlignment="1">
      <alignment vertical="center" wrapText="1"/>
    </xf>
    <xf numFmtId="43" fontId="41" fillId="0" borderId="4" xfId="0" applyNumberFormat="1" applyFont="1" applyFill="1" applyBorder="1" applyAlignment="1">
      <alignment horizontal="center" vertical="center"/>
    </xf>
    <xf numFmtId="49" fontId="41" fillId="0" borderId="4" xfId="0" applyNumberFormat="1" applyFont="1" applyFill="1" applyBorder="1" applyAlignment="1">
      <alignment horizontal="left" vertical="center" wrapText="1"/>
    </xf>
    <xf numFmtId="0" fontId="0" fillId="19" borderId="48" xfId="0" applyFill="1" applyBorder="1" applyAlignment="1">
      <alignment vertical="center"/>
    </xf>
    <xf numFmtId="49" fontId="41" fillId="19" borderId="4" xfId="0" applyNumberFormat="1" applyFont="1" applyFill="1" applyBorder="1" applyAlignment="1">
      <alignment vertical="center" wrapText="1"/>
    </xf>
    <xf numFmtId="0" fontId="39" fillId="0" borderId="8" xfId="0" applyFont="1" applyBorder="1" applyAlignment="1">
      <alignment horizontal="left" vertical="center"/>
    </xf>
    <xf numFmtId="0" fontId="39" fillId="0" borderId="11" xfId="0" applyFont="1" applyBorder="1" applyAlignment="1">
      <alignment horizontal="left" vertical="center"/>
    </xf>
    <xf numFmtId="0" fontId="39" fillId="0" borderId="41" xfId="0" applyFont="1" applyBorder="1">
      <alignment vertical="center"/>
    </xf>
    <xf numFmtId="0" fontId="39" fillId="0" borderId="42" xfId="0" applyFont="1" applyBorder="1">
      <alignment vertical="center"/>
    </xf>
    <xf numFmtId="0" fontId="39" fillId="0" borderId="53" xfId="0" applyFont="1" applyBorder="1">
      <alignment vertical="center"/>
    </xf>
    <xf numFmtId="0" fontId="39" fillId="0" borderId="45" xfId="0" applyFont="1" applyBorder="1">
      <alignment vertical="center"/>
    </xf>
    <xf numFmtId="0" fontId="0" fillId="0" borderId="0" xfId="0" applyAlignment="1">
      <alignment vertical="center" wrapText="1" shrinkToFit="1"/>
    </xf>
    <xf numFmtId="0" fontId="3" fillId="0" borderId="0" xfId="0" applyFont="1" applyAlignment="1">
      <alignment vertical="center" wrapText="1" shrinkToFit="1"/>
    </xf>
    <xf numFmtId="0" fontId="108" fillId="0" borderId="4" xfId="0" applyFont="1" applyBorder="1" applyAlignment="1">
      <alignment horizontal="right" vertical="center" wrapText="1" shrinkToFit="1"/>
    </xf>
    <xf numFmtId="0" fontId="108" fillId="0" borderId="4" xfId="0" applyFont="1" applyFill="1" applyBorder="1" applyAlignment="1">
      <alignment horizontal="right" vertical="center" wrapText="1" shrinkToFit="1"/>
    </xf>
    <xf numFmtId="0" fontId="39" fillId="0" borderId="48" xfId="0" applyFont="1" applyBorder="1">
      <alignment vertical="center"/>
    </xf>
    <xf numFmtId="0" fontId="39" fillId="0" borderId="39" xfId="0" applyFont="1" applyBorder="1">
      <alignment vertical="center"/>
    </xf>
    <xf numFmtId="0" fontId="39" fillId="0" borderId="2" xfId="0" applyFont="1" applyBorder="1">
      <alignment vertical="center"/>
    </xf>
    <xf numFmtId="0" fontId="39" fillId="0" borderId="64" xfId="0" applyFont="1" applyBorder="1">
      <alignment vertical="center"/>
    </xf>
    <xf numFmtId="0" fontId="39" fillId="0" borderId="65" xfId="0" applyFont="1" applyBorder="1">
      <alignment vertical="center"/>
    </xf>
    <xf numFmtId="0" fontId="38" fillId="0" borderId="0" xfId="0" applyFont="1" applyBorder="1">
      <alignment vertical="center"/>
    </xf>
    <xf numFmtId="49" fontId="39" fillId="0" borderId="4" xfId="0" applyNumberFormat="1" applyFont="1" applyBorder="1">
      <alignment vertical="center"/>
    </xf>
    <xf numFmtId="49" fontId="41" fillId="17" borderId="4" xfId="0" applyNumberFormat="1" applyFont="1" applyFill="1" applyBorder="1" applyAlignment="1">
      <alignment horizontal="left" vertical="center" wrapText="1" shrinkToFit="1"/>
    </xf>
    <xf numFmtId="0" fontId="26" fillId="17" borderId="4" xfId="0" applyFont="1" applyFill="1" applyBorder="1" applyAlignment="1">
      <alignment vertical="center" wrapText="1"/>
    </xf>
    <xf numFmtId="49" fontId="41" fillId="18" borderId="4" xfId="0" applyNumberFormat="1" applyFont="1" applyFill="1" applyBorder="1" applyAlignment="1">
      <alignment horizontal="left" vertical="center" wrapText="1" shrinkToFit="1"/>
    </xf>
    <xf numFmtId="49" fontId="41" fillId="18" borderId="4" xfId="0" applyNumberFormat="1" applyFont="1" applyFill="1" applyBorder="1" applyAlignment="1">
      <alignment vertical="center" wrapText="1" shrinkToFit="1"/>
    </xf>
    <xf numFmtId="49" fontId="41" fillId="0" borderId="4" xfId="0" applyNumberFormat="1" applyFont="1" applyFill="1" applyBorder="1" applyAlignment="1">
      <alignment vertical="center" wrapText="1" shrinkToFit="1"/>
    </xf>
    <xf numFmtId="49" fontId="41" fillId="19" borderId="4" xfId="0" applyNumberFormat="1" applyFont="1" applyFill="1" applyBorder="1" applyAlignment="1">
      <alignment vertical="center" wrapText="1" shrinkToFit="1"/>
    </xf>
    <xf numFmtId="0" fontId="41" fillId="17" borderId="4" xfId="0" applyNumberFormat="1" applyFont="1" applyFill="1" applyBorder="1" applyAlignment="1">
      <alignment horizontal="left" vertical="center"/>
    </xf>
    <xf numFmtId="0" fontId="41" fillId="0" borderId="4" xfId="0" applyNumberFormat="1" applyFont="1" applyBorder="1" applyAlignment="1">
      <alignment horizontal="left" vertical="center"/>
    </xf>
    <xf numFmtId="0" fontId="41" fillId="18" borderId="4" xfId="0" applyNumberFormat="1" applyFont="1" applyFill="1" applyBorder="1" applyAlignment="1">
      <alignment horizontal="left" vertical="center"/>
    </xf>
    <xf numFmtId="0" fontId="41" fillId="19" borderId="4" xfId="0" applyNumberFormat="1" applyFont="1" applyFill="1" applyBorder="1" applyAlignment="1">
      <alignment horizontal="left" vertical="center"/>
    </xf>
    <xf numFmtId="0" fontId="41" fillId="17" borderId="4" xfId="0" applyNumberFormat="1" applyFont="1" applyFill="1" applyBorder="1">
      <alignment vertical="center"/>
    </xf>
    <xf numFmtId="0" fontId="41" fillId="0" borderId="4" xfId="0" applyNumberFormat="1" applyFont="1" applyBorder="1">
      <alignment vertical="center"/>
    </xf>
    <xf numFmtId="0" fontId="41" fillId="18" borderId="4" xfId="0" applyNumberFormat="1" applyFont="1" applyFill="1" applyBorder="1">
      <alignment vertical="center"/>
    </xf>
    <xf numFmtId="0" fontId="41" fillId="0" borderId="4" xfId="0" applyNumberFormat="1" applyFont="1" applyFill="1" applyBorder="1">
      <alignment vertical="center"/>
    </xf>
    <xf numFmtId="0" fontId="41" fillId="19" borderId="4" xfId="0" applyNumberFormat="1" applyFont="1" applyFill="1" applyBorder="1">
      <alignment vertical="center"/>
    </xf>
    <xf numFmtId="187" fontId="13" fillId="0" borderId="0" xfId="0" applyNumberFormat="1" applyFont="1">
      <alignment vertical="center"/>
    </xf>
    <xf numFmtId="187" fontId="7" fillId="0" borderId="0" xfId="4" applyNumberFormat="1" applyFont="1"/>
    <xf numFmtId="187" fontId="52" fillId="0" borderId="0" xfId="0" applyNumberFormat="1" applyFont="1">
      <alignment vertical="center"/>
    </xf>
    <xf numFmtId="187" fontId="7" fillId="0" borderId="0" xfId="0" applyNumberFormat="1" applyFont="1">
      <alignment vertical="center"/>
    </xf>
    <xf numFmtId="187" fontId="42" fillId="0" borderId="0" xfId="4" applyNumberFormat="1" applyFont="1"/>
    <xf numFmtId="187" fontId="42" fillId="0" borderId="0" xfId="0" applyNumberFormat="1" applyFont="1">
      <alignment vertical="center"/>
    </xf>
    <xf numFmtId="187" fontId="130" fillId="0" borderId="0" xfId="4" applyNumberFormat="1" applyFont="1" applyFill="1" applyBorder="1"/>
    <xf numFmtId="187" fontId="130" fillId="0" borderId="0" xfId="0" applyNumberFormat="1" applyFont="1" applyFill="1" applyBorder="1">
      <alignment vertical="center"/>
    </xf>
    <xf numFmtId="187" fontId="129" fillId="0" borderId="0" xfId="0" applyNumberFormat="1" applyFont="1" applyFill="1" applyBorder="1">
      <alignment vertical="center"/>
    </xf>
    <xf numFmtId="187" fontId="52" fillId="0" borderId="0" xfId="0" applyNumberFormat="1" applyFont="1" applyFill="1" applyBorder="1">
      <alignment vertical="center"/>
    </xf>
    <xf numFmtId="187" fontId="1" fillId="0" borderId="0" xfId="4" applyNumberFormat="1" applyFill="1"/>
    <xf numFmtId="187" fontId="44" fillId="0" borderId="0" xfId="0" applyNumberFormat="1" applyFont="1" applyFill="1" applyBorder="1">
      <alignment vertical="center"/>
    </xf>
    <xf numFmtId="187" fontId="7" fillId="0" borderId="0" xfId="0" applyNumberFormat="1" applyFont="1" applyFill="1" applyBorder="1">
      <alignment vertical="center"/>
    </xf>
    <xf numFmtId="187" fontId="7" fillId="0" borderId="0" xfId="4" applyNumberFormat="1" applyFont="1" applyFill="1"/>
    <xf numFmtId="187" fontId="42" fillId="0" borderId="0" xfId="0" applyNumberFormat="1" applyFont="1" applyFill="1">
      <alignment vertical="center"/>
    </xf>
    <xf numFmtId="187" fontId="13" fillId="0" borderId="0" xfId="0" applyNumberFormat="1" applyFont="1" applyFill="1">
      <alignment vertical="center"/>
    </xf>
    <xf numFmtId="187" fontId="113" fillId="0" borderId="0" xfId="0" applyNumberFormat="1" applyFont="1" applyAlignment="1"/>
    <xf numFmtId="187" fontId="113" fillId="0" borderId="0" xfId="0" applyNumberFormat="1" applyFont="1" applyBorder="1" applyAlignment="1"/>
    <xf numFmtId="187" fontId="65" fillId="0" borderId="0" xfId="4" applyNumberFormat="1" applyFont="1" applyAlignment="1">
      <alignment horizontal="right"/>
    </xf>
    <xf numFmtId="0" fontId="24" fillId="0" borderId="3" xfId="0" quotePrefix="1" applyNumberFormat="1" applyFont="1" applyFill="1" applyBorder="1" applyAlignment="1" applyProtection="1">
      <alignment horizontal="left" vertical="center" wrapText="1"/>
    </xf>
    <xf numFmtId="0" fontId="10" fillId="0" borderId="0" xfId="0" applyNumberFormat="1" applyFont="1" applyFill="1" applyBorder="1" applyAlignment="1" applyProtection="1">
      <alignment horizontal="left" vertical="center"/>
    </xf>
    <xf numFmtId="0" fontId="105" fillId="16" borderId="4" xfId="0" applyFont="1" applyFill="1" applyBorder="1" applyAlignment="1">
      <alignment horizontal="center" vertical="center" wrapText="1"/>
    </xf>
    <xf numFmtId="0" fontId="105" fillId="16" borderId="4" xfId="0" applyFont="1" applyFill="1" applyBorder="1" applyAlignment="1">
      <alignment horizontal="center" vertical="center" shrinkToFit="1"/>
    </xf>
    <xf numFmtId="0" fontId="140" fillId="0" borderId="43" xfId="0" applyFont="1" applyBorder="1" applyAlignment="1"/>
    <xf numFmtId="0" fontId="108" fillId="0" borderId="4" xfId="0" applyFont="1" applyBorder="1" applyAlignment="1">
      <alignment horizontal="left" vertical="center" wrapText="1"/>
    </xf>
    <xf numFmtId="0" fontId="40" fillId="0" borderId="4" xfId="0" applyFont="1" applyBorder="1" applyAlignment="1">
      <alignment horizontal="left" vertical="center" wrapText="1"/>
    </xf>
    <xf numFmtId="0" fontId="39" fillId="0" borderId="6" xfId="0" applyFont="1" applyBorder="1">
      <alignment vertical="center"/>
    </xf>
    <xf numFmtId="43" fontId="39" fillId="0" borderId="4" xfId="0" applyNumberFormat="1" applyFont="1" applyBorder="1">
      <alignment vertical="center"/>
    </xf>
    <xf numFmtId="0" fontId="137" fillId="16" borderId="4" xfId="0" applyFont="1" applyFill="1" applyBorder="1" applyAlignment="1">
      <alignment horizontal="center" vertical="center" wrapText="1"/>
    </xf>
    <xf numFmtId="0" fontId="142" fillId="0" borderId="4" xfId="0" applyNumberFormat="1" applyFont="1" applyBorder="1" applyAlignment="1">
      <alignment horizontal="left" vertical="top" wrapText="1" shrinkToFit="1"/>
    </xf>
    <xf numFmtId="0" fontId="51" fillId="2" borderId="0" xfId="0" applyFont="1" applyFill="1">
      <alignment vertical="center"/>
    </xf>
    <xf numFmtId="187" fontId="92" fillId="0" borderId="0" xfId="0" applyNumberFormat="1" applyFont="1">
      <alignment vertical="center"/>
    </xf>
    <xf numFmtId="0" fontId="139" fillId="0" borderId="0" xfId="0" applyFont="1" applyBorder="1" applyAlignment="1">
      <alignment horizontal="center"/>
    </xf>
    <xf numFmtId="0" fontId="51" fillId="2" borderId="0" xfId="0" applyNumberFormat="1" applyFont="1" applyFill="1" applyAlignment="1">
      <alignment horizontal="right"/>
    </xf>
    <xf numFmtId="0" fontId="129" fillId="0" borderId="0" xfId="0" applyNumberFormat="1" applyFont="1" applyFill="1" applyBorder="1" applyAlignment="1">
      <alignment horizontal="right"/>
    </xf>
    <xf numFmtId="0" fontId="130" fillId="0" borderId="0" xfId="0" applyFont="1" applyFill="1" applyBorder="1" applyAlignment="1">
      <alignment horizontal="left"/>
    </xf>
    <xf numFmtId="176" fontId="130" fillId="0" borderId="0" xfId="0" applyNumberFormat="1" applyFont="1" applyFill="1" applyBorder="1" applyAlignment="1">
      <alignment horizontal="left"/>
    </xf>
    <xf numFmtId="187" fontId="130" fillId="0" borderId="0" xfId="0" applyNumberFormat="1" applyFont="1" applyFill="1" applyBorder="1" applyAlignment="1">
      <alignment vertical="center"/>
    </xf>
    <xf numFmtId="0" fontId="141" fillId="18" borderId="4" xfId="0" applyFont="1" applyFill="1" applyBorder="1" applyAlignment="1">
      <alignment horizontal="left" vertical="center" wrapText="1" shrinkToFit="1"/>
    </xf>
    <xf numFmtId="0" fontId="141" fillId="0" borderId="4" xfId="0" applyFont="1" applyFill="1" applyBorder="1" applyAlignment="1">
      <alignment horizontal="left" vertical="center" wrapText="1" shrinkToFit="1"/>
    </xf>
    <xf numFmtId="0" fontId="108" fillId="18" borderId="4" xfId="0" applyFont="1" applyFill="1" applyBorder="1" applyAlignment="1">
      <alignment horizontal="right" vertical="center" wrapText="1" shrinkToFit="1"/>
    </xf>
    <xf numFmtId="0" fontId="142" fillId="18" borderId="4" xfId="0" applyNumberFormat="1" applyFont="1" applyFill="1" applyBorder="1" applyAlignment="1">
      <alignment horizontal="left" vertical="top" wrapText="1" shrinkToFit="1"/>
    </xf>
    <xf numFmtId="0" fontId="45" fillId="0" borderId="0" xfId="4" applyNumberFormat="1" applyFont="1" applyFill="1" applyAlignment="1">
      <alignment horizontal="right"/>
    </xf>
    <xf numFmtId="0" fontId="42" fillId="0" borderId="0" xfId="4" applyNumberFormat="1" applyFont="1"/>
    <xf numFmtId="0" fontId="7" fillId="0" borderId="0" xfId="4" applyNumberFormat="1" applyFont="1"/>
    <xf numFmtId="0" fontId="1" fillId="0" borderId="0" xfId="4" applyNumberFormat="1" applyFont="1"/>
    <xf numFmtId="0" fontId="113" fillId="8" borderId="4" xfId="0" applyNumberFormat="1" applyFont="1" applyFill="1" applyBorder="1" applyAlignment="1">
      <alignment horizontal="center" vertical="center"/>
    </xf>
    <xf numFmtId="0" fontId="113" fillId="0" borderId="0" xfId="0" applyNumberFormat="1" applyFont="1" applyAlignment="1"/>
    <xf numFmtId="0" fontId="113" fillId="8" borderId="26" xfId="0" applyNumberFormat="1" applyFont="1" applyFill="1" applyBorder="1" applyAlignment="1">
      <alignment horizontal="center" vertical="center"/>
    </xf>
    <xf numFmtId="0" fontId="113" fillId="8" borderId="43" xfId="0" applyNumberFormat="1" applyFont="1" applyFill="1" applyBorder="1" applyAlignment="1">
      <alignment horizontal="center"/>
    </xf>
    <xf numFmtId="0" fontId="113" fillId="8" borderId="26" xfId="0" applyNumberFormat="1" applyFont="1" applyFill="1" applyBorder="1" applyAlignment="1">
      <alignment horizontal="center"/>
    </xf>
    <xf numFmtId="0" fontId="113" fillId="8" borderId="27" xfId="0" applyNumberFormat="1" applyFont="1" applyFill="1" applyBorder="1" applyAlignment="1">
      <alignment horizontal="center"/>
    </xf>
    <xf numFmtId="0" fontId="113" fillId="10" borderId="4" xfId="0" applyNumberFormat="1" applyFont="1" applyFill="1" applyBorder="1" applyAlignment="1">
      <alignment horizontal="center" vertical="center"/>
    </xf>
    <xf numFmtId="0" fontId="113" fillId="20" borderId="6" xfId="0" applyNumberFormat="1" applyFont="1" applyFill="1" applyBorder="1" applyAlignment="1">
      <alignment horizontal="center" vertical="center"/>
    </xf>
    <xf numFmtId="0" fontId="113" fillId="9" borderId="4" xfId="0" applyNumberFormat="1" applyFont="1" applyFill="1" applyBorder="1" applyAlignment="1">
      <alignment horizontal="center" vertical="center"/>
    </xf>
    <xf numFmtId="0" fontId="113" fillId="9" borderId="29" xfId="0" applyNumberFormat="1" applyFont="1" applyFill="1" applyBorder="1" applyAlignment="1">
      <alignment horizontal="center" vertical="center"/>
    </xf>
    <xf numFmtId="0" fontId="113" fillId="8" borderId="28" xfId="0" applyNumberFormat="1" applyFont="1" applyFill="1" applyBorder="1" applyAlignment="1">
      <alignment horizontal="center" vertical="center"/>
    </xf>
    <xf numFmtId="0" fontId="113" fillId="8" borderId="48" xfId="0" applyNumberFormat="1" applyFont="1" applyFill="1" applyBorder="1" applyAlignment="1">
      <alignment horizontal="center" vertical="center"/>
    </xf>
    <xf numFmtId="0" fontId="42" fillId="0" borderId="11" xfId="4" applyNumberFormat="1" applyFont="1" applyBorder="1"/>
    <xf numFmtId="0" fontId="113" fillId="10" borderId="30" xfId="0" applyNumberFormat="1" applyFont="1" applyFill="1" applyBorder="1" applyAlignment="1">
      <alignment horizontal="center" vertical="center"/>
    </xf>
    <xf numFmtId="0" fontId="113" fillId="10" borderId="31" xfId="0" applyNumberFormat="1" applyFont="1" applyFill="1" applyBorder="1" applyAlignment="1">
      <alignment horizontal="center" vertical="center"/>
    </xf>
    <xf numFmtId="0" fontId="42" fillId="0" borderId="14" xfId="4" applyNumberFormat="1" applyFont="1" applyBorder="1"/>
    <xf numFmtId="0" fontId="113" fillId="0" borderId="11" xfId="0" applyNumberFormat="1" applyFont="1" applyBorder="1" applyAlignment="1"/>
    <xf numFmtId="0" fontId="113" fillId="0" borderId="25" xfId="0" applyNumberFormat="1" applyFont="1" applyBorder="1" applyAlignment="1"/>
    <xf numFmtId="0" fontId="113" fillId="0" borderId="26" xfId="0" applyNumberFormat="1" applyFont="1" applyBorder="1" applyAlignment="1"/>
    <xf numFmtId="0" fontId="113" fillId="0" borderId="27" xfId="0" applyNumberFormat="1" applyFont="1" applyBorder="1" applyAlignment="1"/>
    <xf numFmtId="0" fontId="113" fillId="0" borderId="51" xfId="0" applyNumberFormat="1" applyFont="1" applyBorder="1" applyAlignment="1"/>
    <xf numFmtId="0" fontId="113" fillId="0" borderId="30" xfId="0" applyNumberFormat="1" applyFont="1" applyBorder="1" applyAlignment="1"/>
    <xf numFmtId="0" fontId="113" fillId="0" borderId="31" xfId="0" applyNumberFormat="1" applyFont="1" applyBorder="1" applyAlignment="1"/>
    <xf numFmtId="0" fontId="116" fillId="11" borderId="32" xfId="0" applyNumberFormat="1" applyFont="1" applyFill="1" applyBorder="1" applyAlignment="1"/>
    <xf numFmtId="0" fontId="116" fillId="11" borderId="47" xfId="0" applyNumberFormat="1" applyFont="1" applyFill="1" applyBorder="1" applyAlignment="1"/>
    <xf numFmtId="0" fontId="48" fillId="2" borderId="0" xfId="0" applyNumberFormat="1" applyFont="1" applyFill="1" applyAlignment="1"/>
    <xf numFmtId="0" fontId="7" fillId="2" borderId="0" xfId="0" applyNumberFormat="1" applyFont="1" applyFill="1" applyAlignment="1"/>
    <xf numFmtId="0" fontId="42" fillId="2" borderId="0" xfId="0" applyNumberFormat="1" applyFont="1" applyFill="1" applyAlignment="1"/>
    <xf numFmtId="0" fontId="0" fillId="2" borderId="0" xfId="0" applyNumberFormat="1" applyFill="1" applyAlignment="1"/>
    <xf numFmtId="0" fontId="45" fillId="0" borderId="0" xfId="0" applyNumberFormat="1" applyFont="1" applyAlignment="1">
      <alignment horizontal="right"/>
    </xf>
    <xf numFmtId="0" fontId="45" fillId="0" borderId="0" xfId="0" applyNumberFormat="1" applyFont="1" applyAlignment="1">
      <alignment horizontal="center"/>
    </xf>
    <xf numFmtId="0" fontId="42" fillId="0" borderId="0" xfId="0" applyNumberFormat="1" applyFont="1" applyAlignment="1"/>
    <xf numFmtId="0" fontId="45" fillId="0" borderId="0" xfId="0" applyNumberFormat="1" applyFont="1">
      <alignment vertical="center"/>
    </xf>
    <xf numFmtId="0" fontId="0" fillId="0" borderId="0" xfId="0" applyNumberFormat="1" applyAlignment="1"/>
    <xf numFmtId="0" fontId="51" fillId="0" borderId="0" xfId="0" applyNumberFormat="1" applyFont="1" applyFill="1" applyAlignment="1"/>
    <xf numFmtId="0" fontId="42" fillId="0" borderId="0" xfId="0" applyNumberFormat="1" applyFont="1">
      <alignment vertical="center"/>
    </xf>
    <xf numFmtId="0" fontId="44" fillId="0" borderId="0" xfId="0" applyNumberFormat="1" applyFont="1" applyFill="1" applyAlignment="1">
      <alignment horizontal="right"/>
    </xf>
    <xf numFmtId="0" fontId="49" fillId="0" borderId="0" xfId="0" quotePrefix="1" applyNumberFormat="1" applyFont="1" applyAlignment="1">
      <alignment horizontal="right"/>
    </xf>
    <xf numFmtId="0" fontId="7" fillId="0" borderId="0" xfId="0" applyNumberFormat="1" applyFont="1" applyAlignment="1"/>
    <xf numFmtId="0" fontId="15" fillId="0" borderId="0" xfId="0" applyNumberFormat="1" applyFont="1" applyAlignment="1">
      <alignment horizontal="left"/>
    </xf>
    <xf numFmtId="0" fontId="42" fillId="0" borderId="0" xfId="0" applyNumberFormat="1" applyFont="1" applyAlignment="1">
      <alignment horizontal="center"/>
    </xf>
    <xf numFmtId="0" fontId="50" fillId="0" borderId="0" xfId="0" quotePrefix="1" applyNumberFormat="1" applyFont="1">
      <alignment vertical="center"/>
    </xf>
    <xf numFmtId="0" fontId="50" fillId="0" borderId="0" xfId="0" applyNumberFormat="1" applyFont="1">
      <alignment vertical="center"/>
    </xf>
    <xf numFmtId="0" fontId="67" fillId="0" borderId="0" xfId="0" applyNumberFormat="1" applyFont="1" applyAlignment="1">
      <alignment horizontal="left"/>
    </xf>
    <xf numFmtId="0" fontId="0" fillId="0" borderId="0" xfId="4" applyNumberFormat="1" applyFont="1"/>
    <xf numFmtId="0" fontId="1" fillId="0" borderId="0" xfId="4" applyNumberFormat="1"/>
    <xf numFmtId="0" fontId="126" fillId="0" borderId="26" xfId="0" applyNumberFormat="1" applyFont="1" applyBorder="1" applyAlignment="1">
      <alignment horizontal="center" vertical="center"/>
    </xf>
    <xf numFmtId="0" fontId="113" fillId="0" borderId="4" xfId="0" applyNumberFormat="1" applyFont="1" applyBorder="1" applyAlignment="1">
      <alignment horizontal="center" vertical="center"/>
    </xf>
    <xf numFmtId="0" fontId="42" fillId="0" borderId="4" xfId="4" applyNumberFormat="1" applyFont="1" applyBorder="1"/>
    <xf numFmtId="0" fontId="42" fillId="0" borderId="31" xfId="4" applyNumberFormat="1" applyFont="1" applyBorder="1"/>
    <xf numFmtId="0" fontId="113" fillId="0" borderId="31" xfId="0" applyNumberFormat="1" applyFont="1" applyBorder="1" applyAlignment="1">
      <alignment horizontal="center" vertical="center"/>
    </xf>
    <xf numFmtId="0" fontId="113" fillId="0" borderId="13" xfId="0" applyNumberFormat="1" applyFont="1" applyBorder="1" applyAlignment="1"/>
    <xf numFmtId="0" fontId="113" fillId="0" borderId="41" xfId="0" applyNumberFormat="1" applyFont="1" applyBorder="1" applyAlignment="1"/>
    <xf numFmtId="0" fontId="113" fillId="0" borderId="43" xfId="0" applyNumberFormat="1" applyFont="1" applyBorder="1" applyAlignment="1"/>
    <xf numFmtId="0" fontId="113" fillId="0" borderId="44" xfId="0" applyNumberFormat="1" applyFont="1" applyBorder="1" applyAlignment="1"/>
    <xf numFmtId="0" fontId="116" fillId="11" borderId="45" xfId="0" applyNumberFormat="1" applyFont="1" applyFill="1" applyBorder="1" applyAlignment="1"/>
    <xf numFmtId="0" fontId="113" fillId="0" borderId="46" xfId="0" applyNumberFormat="1" applyFont="1" applyBorder="1" applyAlignment="1"/>
    <xf numFmtId="0" fontId="113" fillId="0" borderId="0" xfId="0" quotePrefix="1" applyNumberFormat="1" applyFont="1" applyBorder="1" applyAlignment="1"/>
    <xf numFmtId="0" fontId="113" fillId="0" borderId="0" xfId="0" applyNumberFormat="1" applyFont="1" applyBorder="1" applyAlignment="1"/>
    <xf numFmtId="0" fontId="4" fillId="0" borderId="0" xfId="0" applyNumberFormat="1" applyFont="1" applyFill="1" applyAlignment="1">
      <alignment horizontal="right"/>
    </xf>
    <xf numFmtId="0" fontId="113" fillId="8" borderId="43" xfId="0" applyNumberFormat="1" applyFont="1" applyFill="1" applyBorder="1" applyAlignment="1">
      <alignment horizontal="center" vertical="center"/>
    </xf>
    <xf numFmtId="0" fontId="113" fillId="8" borderId="41" xfId="0" applyNumberFormat="1" applyFont="1" applyFill="1" applyBorder="1" applyAlignment="1">
      <alignment horizontal="center" vertical="center"/>
    </xf>
    <xf numFmtId="0" fontId="113" fillId="8" borderId="27" xfId="0" applyNumberFormat="1" applyFont="1" applyFill="1" applyBorder="1" applyAlignment="1">
      <alignment horizontal="center" vertical="center"/>
    </xf>
    <xf numFmtId="0" fontId="113" fillId="10" borderId="66" xfId="0" applyNumberFormat="1" applyFont="1" applyFill="1" applyBorder="1" applyAlignment="1">
      <alignment horizontal="center" vertical="center"/>
    </xf>
    <xf numFmtId="0" fontId="113" fillId="10" borderId="39" xfId="0" applyNumberFormat="1" applyFont="1" applyFill="1" applyBorder="1" applyAlignment="1">
      <alignment horizontal="center" vertical="center"/>
    </xf>
    <xf numFmtId="0" fontId="113" fillId="20" borderId="39" xfId="0" applyNumberFormat="1" applyFont="1" applyFill="1" applyBorder="1" applyAlignment="1">
      <alignment horizontal="center" vertical="center"/>
    </xf>
    <xf numFmtId="0" fontId="113" fillId="9" borderId="39" xfId="0" applyNumberFormat="1" applyFont="1" applyFill="1" applyBorder="1" applyAlignment="1">
      <alignment horizontal="center"/>
    </xf>
    <xf numFmtId="0" fontId="113" fillId="9" borderId="53" xfId="0" applyNumberFormat="1" applyFont="1" applyFill="1" applyBorder="1" applyAlignment="1">
      <alignment horizontal="center" vertical="center"/>
    </xf>
    <xf numFmtId="0" fontId="113" fillId="9" borderId="39" xfId="0" applyNumberFormat="1" applyFont="1" applyFill="1" applyBorder="1" applyAlignment="1">
      <alignment horizontal="center" vertical="center"/>
    </xf>
    <xf numFmtId="0" fontId="116" fillId="0" borderId="43" xfId="0" applyNumberFormat="1" applyFont="1" applyBorder="1" applyAlignment="1">
      <alignment horizontal="center" vertical="center"/>
    </xf>
    <xf numFmtId="0" fontId="116" fillId="0" borderId="26" xfId="0" applyNumberFormat="1" applyFont="1" applyBorder="1" applyAlignment="1">
      <alignment horizontal="center" vertical="center"/>
    </xf>
    <xf numFmtId="0" fontId="116" fillId="0" borderId="27" xfId="0" applyNumberFormat="1" applyFont="1" applyBorder="1" applyAlignment="1">
      <alignment horizontal="center" vertical="center"/>
    </xf>
    <xf numFmtId="0" fontId="116" fillId="0" borderId="46" xfId="0" applyNumberFormat="1" applyFont="1" applyBorder="1" applyAlignment="1">
      <alignment horizontal="center" vertical="center"/>
    </xf>
    <xf numFmtId="0" fontId="116" fillId="0" borderId="31" xfId="0" applyNumberFormat="1" applyFont="1" applyBorder="1" applyAlignment="1">
      <alignment horizontal="center" vertical="center"/>
    </xf>
    <xf numFmtId="0" fontId="116" fillId="11" borderId="32" xfId="0" applyNumberFormat="1" applyFont="1" applyFill="1" applyBorder="1" applyAlignment="1">
      <alignment horizontal="center" vertical="center"/>
    </xf>
    <xf numFmtId="0" fontId="1" fillId="0" borderId="41" xfId="4" applyNumberFormat="1" applyBorder="1"/>
    <xf numFmtId="0" fontId="116" fillId="0" borderId="6" xfId="0" applyNumberFormat="1" applyFont="1" applyBorder="1" applyAlignment="1">
      <alignment horizontal="center" vertical="center"/>
    </xf>
    <xf numFmtId="0" fontId="116" fillId="0" borderId="4" xfId="0" applyNumberFormat="1" applyFont="1" applyBorder="1" applyAlignment="1">
      <alignment horizontal="center" vertical="center"/>
    </xf>
    <xf numFmtId="0" fontId="1" fillId="0" borderId="42" xfId="4" applyNumberFormat="1" applyBorder="1"/>
    <xf numFmtId="0" fontId="116" fillId="0" borderId="42" xfId="0" applyNumberFormat="1" applyFont="1" applyBorder="1" applyAlignment="1">
      <alignment horizontal="center" vertical="center"/>
    </xf>
    <xf numFmtId="0" fontId="116" fillId="0" borderId="45" xfId="0" applyNumberFormat="1" applyFont="1" applyBorder="1" applyAlignment="1">
      <alignment horizontal="center" vertical="center"/>
    </xf>
    <xf numFmtId="0" fontId="116" fillId="0" borderId="0" xfId="0" applyNumberFormat="1" applyFont="1" applyBorder="1" applyAlignment="1"/>
    <xf numFmtId="0" fontId="44" fillId="2" borderId="0" xfId="0" applyNumberFormat="1" applyFont="1" applyFill="1" applyAlignment="1"/>
    <xf numFmtId="0" fontId="45" fillId="0" borderId="0" xfId="0" applyNumberFormat="1" applyFont="1" applyBorder="1" applyAlignment="1">
      <alignment horizontal="right"/>
    </xf>
    <xf numFmtId="0" fontId="51" fillId="2" borderId="0" xfId="0" applyNumberFormat="1" applyFont="1" applyFill="1" applyBorder="1" applyAlignment="1">
      <alignment horizontal="right"/>
    </xf>
    <xf numFmtId="0" fontId="7" fillId="0" borderId="0" xfId="0" applyNumberFormat="1" applyFont="1" applyBorder="1" applyAlignment="1"/>
    <xf numFmtId="0" fontId="42" fillId="0" borderId="0" xfId="0" applyNumberFormat="1" applyFont="1" applyBorder="1" applyAlignment="1"/>
    <xf numFmtId="0" fontId="15" fillId="0" borderId="0" xfId="0" applyNumberFormat="1" applyFont="1" applyBorder="1" applyAlignment="1">
      <alignment horizontal="left"/>
    </xf>
    <xf numFmtId="0" fontId="42" fillId="0" borderId="0" xfId="0" applyNumberFormat="1" applyFont="1" applyBorder="1">
      <alignment vertical="center"/>
    </xf>
    <xf numFmtId="0" fontId="50" fillId="0" borderId="0" xfId="0" applyNumberFormat="1" applyFont="1" applyBorder="1">
      <alignment vertical="center"/>
    </xf>
    <xf numFmtId="0" fontId="1" fillId="0" borderId="0" xfId="4" applyNumberFormat="1" applyFont="1" applyBorder="1"/>
    <xf numFmtId="0" fontId="7" fillId="0" borderId="0" xfId="4" applyNumberFormat="1" applyFont="1" applyBorder="1"/>
    <xf numFmtId="0" fontId="42" fillId="0" borderId="0" xfId="4" applyNumberFormat="1" applyFont="1" applyBorder="1"/>
    <xf numFmtId="0" fontId="50" fillId="0" borderId="0" xfId="0" quotePrefix="1" applyNumberFormat="1" applyFont="1" applyBorder="1">
      <alignment vertical="center"/>
    </xf>
    <xf numFmtId="0" fontId="124" fillId="0" borderId="0" xfId="0" applyNumberFormat="1" applyFont="1" applyBorder="1" applyAlignment="1"/>
    <xf numFmtId="0" fontId="127" fillId="0" borderId="0" xfId="0" applyNumberFormat="1" applyFont="1" applyBorder="1" applyAlignment="1"/>
    <xf numFmtId="0" fontId="113" fillId="0" borderId="0" xfId="0" applyNumberFormat="1" applyFont="1" applyBorder="1" applyAlignment="1">
      <alignment horizontal="center"/>
    </xf>
    <xf numFmtId="0" fontId="113" fillId="0" borderId="0" xfId="0" applyNumberFormat="1" applyFont="1" applyBorder="1" applyAlignment="1">
      <alignment horizontal="left"/>
    </xf>
    <xf numFmtId="0" fontId="113" fillId="8" borderId="49" xfId="0" applyNumberFormat="1" applyFont="1" applyFill="1" applyBorder="1" applyAlignment="1">
      <alignment horizontal="center" vertical="center"/>
    </xf>
    <xf numFmtId="0" fontId="113" fillId="0" borderId="29" xfId="0" applyNumberFormat="1" applyFont="1" applyBorder="1" applyAlignment="1"/>
    <xf numFmtId="0" fontId="113" fillId="0" borderId="32" xfId="0" applyNumberFormat="1" applyFont="1" applyBorder="1" applyAlignment="1"/>
    <xf numFmtId="0" fontId="116" fillId="0" borderId="0" xfId="0" applyNumberFormat="1" applyFont="1" applyBorder="1" applyAlignment="1">
      <alignment horizontal="center"/>
    </xf>
    <xf numFmtId="0" fontId="113" fillId="8" borderId="49" xfId="0" applyNumberFormat="1" applyFont="1" applyFill="1" applyBorder="1" applyAlignment="1">
      <alignment horizontal="center"/>
    </xf>
    <xf numFmtId="0" fontId="113" fillId="8" borderId="48" xfId="0" applyNumberFormat="1" applyFont="1" applyFill="1" applyBorder="1" applyAlignment="1">
      <alignment horizontal="center"/>
    </xf>
    <xf numFmtId="0" fontId="113" fillId="8" borderId="4" xfId="0" applyNumberFormat="1" applyFont="1" applyFill="1" applyBorder="1" applyAlignment="1">
      <alignment horizontal="center"/>
    </xf>
    <xf numFmtId="0" fontId="113" fillId="0" borderId="4" xfId="0" applyNumberFormat="1" applyFont="1" applyBorder="1" applyAlignment="1"/>
    <xf numFmtId="0" fontId="113" fillId="9" borderId="30" xfId="0" applyNumberFormat="1" applyFont="1" applyFill="1" applyBorder="1" applyAlignment="1">
      <alignment horizontal="center" vertical="center"/>
    </xf>
    <xf numFmtId="0" fontId="113" fillId="9" borderId="31" xfId="0" applyNumberFormat="1" applyFont="1" applyFill="1" applyBorder="1" applyAlignment="1">
      <alignment horizontal="center" vertical="center"/>
    </xf>
    <xf numFmtId="0" fontId="113" fillId="0" borderId="31" xfId="0" applyNumberFormat="1" applyFont="1" applyBorder="1" applyAlignment="1">
      <alignment horizontal="right"/>
    </xf>
    <xf numFmtId="0" fontId="45" fillId="0" borderId="0" xfId="0" applyNumberFormat="1" applyFont="1" applyFill="1" applyAlignment="1">
      <alignment horizontal="right"/>
    </xf>
    <xf numFmtId="0" fontId="45" fillId="0" borderId="0" xfId="0" applyNumberFormat="1" applyFont="1" applyFill="1" applyAlignment="1">
      <alignment horizontal="center"/>
    </xf>
    <xf numFmtId="0" fontId="45" fillId="0" borderId="0" xfId="0" applyNumberFormat="1" applyFont="1" applyFill="1">
      <alignment vertical="center"/>
    </xf>
    <xf numFmtId="0" fontId="42" fillId="0" borderId="0" xfId="0" applyNumberFormat="1" applyFont="1" applyFill="1" applyAlignment="1"/>
    <xf numFmtId="0" fontId="42" fillId="0" borderId="0" xfId="0" applyNumberFormat="1" applyFont="1" applyFill="1">
      <alignment vertical="center"/>
    </xf>
    <xf numFmtId="0" fontId="42" fillId="0" borderId="0" xfId="0" applyNumberFormat="1" applyFont="1" applyFill="1" applyAlignment="1">
      <alignment horizontal="center"/>
    </xf>
    <xf numFmtId="0" fontId="0" fillId="0" borderId="0" xfId="0" applyNumberFormat="1" applyFill="1" applyAlignment="1"/>
    <xf numFmtId="0" fontId="116" fillId="0" borderId="0" xfId="0" applyNumberFormat="1" applyFont="1" applyAlignment="1"/>
    <xf numFmtId="0" fontId="113" fillId="0" borderId="0" xfId="0" quotePrefix="1" applyNumberFormat="1" applyFont="1" applyAlignment="1"/>
    <xf numFmtId="0" fontId="113" fillId="20" borderId="46" xfId="0" applyNumberFormat="1" applyFont="1" applyFill="1" applyBorder="1" applyAlignment="1">
      <alignment horizontal="center" vertical="center"/>
    </xf>
    <xf numFmtId="0" fontId="113" fillId="9" borderId="32" xfId="0" applyNumberFormat="1" applyFont="1" applyFill="1" applyBorder="1" applyAlignment="1">
      <alignment horizontal="center" vertical="center"/>
    </xf>
    <xf numFmtId="0" fontId="54" fillId="2" borderId="0" xfId="0" applyNumberFormat="1" applyFont="1" applyFill="1" applyAlignment="1">
      <alignment horizontal="right" vertical="center" shrinkToFit="1"/>
    </xf>
    <xf numFmtId="0" fontId="48" fillId="2" borderId="0" xfId="0" applyNumberFormat="1" applyFont="1" applyFill="1" applyBorder="1" applyAlignment="1"/>
    <xf numFmtId="0" fontId="7" fillId="2" borderId="0" xfId="0" applyNumberFormat="1" applyFont="1" applyFill="1" applyBorder="1" applyAlignment="1"/>
    <xf numFmtId="0" fontId="42" fillId="2" borderId="0" xfId="0" applyNumberFormat="1" applyFont="1" applyFill="1" applyBorder="1" applyAlignment="1"/>
    <xf numFmtId="0" fontId="0" fillId="2" borderId="0" xfId="0" applyNumberFormat="1" applyFill="1" applyBorder="1" applyAlignment="1"/>
    <xf numFmtId="0" fontId="45" fillId="0" borderId="0" xfId="0" applyNumberFormat="1" applyFont="1" applyBorder="1" applyAlignment="1">
      <alignment horizontal="center"/>
    </xf>
    <xf numFmtId="0" fontId="44" fillId="2" borderId="0" xfId="0" applyNumberFormat="1" applyFont="1" applyFill="1" applyBorder="1" applyAlignment="1"/>
    <xf numFmtId="0" fontId="45" fillId="0" borderId="0" xfId="0" applyNumberFormat="1" applyFont="1" applyBorder="1">
      <alignment vertical="center"/>
    </xf>
    <xf numFmtId="0" fontId="42" fillId="0" borderId="0" xfId="0" applyNumberFormat="1" applyFont="1" applyBorder="1" applyAlignment="1">
      <alignment horizontal="center"/>
    </xf>
    <xf numFmtId="0" fontId="51" fillId="0" borderId="0" xfId="0" applyNumberFormat="1" applyFont="1" applyFill="1" applyBorder="1" applyAlignment="1"/>
    <xf numFmtId="0" fontId="113" fillId="8" borderId="67" xfId="0" applyNumberFormat="1" applyFont="1" applyFill="1" applyBorder="1" applyAlignment="1">
      <alignment horizontal="center" vertical="center"/>
    </xf>
    <xf numFmtId="0" fontId="113" fillId="20" borderId="68" xfId="0" applyNumberFormat="1" applyFont="1" applyFill="1" applyBorder="1" applyAlignment="1">
      <alignment horizontal="center" vertical="center"/>
    </xf>
    <xf numFmtId="0" fontId="113" fillId="10" borderId="46" xfId="0" applyNumberFormat="1" applyFont="1" applyFill="1" applyBorder="1" applyAlignment="1">
      <alignment horizontal="center" vertical="center"/>
    </xf>
    <xf numFmtId="0" fontId="113" fillId="9" borderId="30" xfId="0" applyNumberFormat="1" applyFont="1" applyFill="1" applyBorder="1" applyAlignment="1">
      <alignment horizontal="center" vertical="center" shrinkToFit="1"/>
    </xf>
    <xf numFmtId="0" fontId="7" fillId="0" borderId="0" xfId="0" applyNumberFormat="1" applyFont="1" applyFill="1" applyBorder="1" applyAlignment="1"/>
    <xf numFmtId="0" fontId="42" fillId="0" borderId="0" xfId="0" applyNumberFormat="1" applyFont="1" applyFill="1" applyBorder="1" applyAlignment="1"/>
    <xf numFmtId="0" fontId="15" fillId="0" borderId="0" xfId="0" applyNumberFormat="1" applyFont="1" applyFill="1" applyBorder="1" applyAlignment="1">
      <alignment horizontal="left"/>
    </xf>
    <xf numFmtId="0" fontId="42" fillId="0" borderId="0" xfId="0" applyNumberFormat="1" applyFont="1" applyFill="1" applyBorder="1">
      <alignment vertical="center"/>
    </xf>
    <xf numFmtId="0" fontId="45" fillId="0" borderId="0" xfId="4" applyNumberFormat="1" applyFont="1" applyFill="1" applyBorder="1" applyAlignment="1">
      <alignment horizontal="right"/>
    </xf>
    <xf numFmtId="0" fontId="49" fillId="0" borderId="0" xfId="0" quotePrefix="1" applyNumberFormat="1" applyFont="1" applyFill="1" applyBorder="1" applyAlignment="1">
      <alignment horizontal="right"/>
    </xf>
    <xf numFmtId="0" fontId="50" fillId="0" borderId="0" xfId="0" quotePrefix="1" applyNumberFormat="1" applyFont="1" applyFill="1" applyBorder="1" applyAlignment="1">
      <alignment horizontal="left" vertical="center"/>
    </xf>
    <xf numFmtId="0" fontId="50" fillId="0" borderId="0" xfId="0" applyNumberFormat="1" applyFont="1" applyFill="1" applyBorder="1">
      <alignment vertical="center"/>
    </xf>
    <xf numFmtId="0" fontId="42" fillId="0" borderId="0" xfId="0" applyNumberFormat="1" applyFont="1" applyFill="1" applyBorder="1" applyAlignment="1">
      <alignment horizontal="center"/>
    </xf>
    <xf numFmtId="0" fontId="66" fillId="0" borderId="0" xfId="0" applyNumberFormat="1" applyFont="1" applyFill="1" applyBorder="1" applyAlignment="1"/>
    <xf numFmtId="0" fontId="0" fillId="0" borderId="0" xfId="0" applyNumberFormat="1" applyFont="1" applyFill="1" applyBorder="1" applyAlignment="1"/>
    <xf numFmtId="0" fontId="1" fillId="0" borderId="0" xfId="4" applyNumberFormat="1" applyFill="1"/>
    <xf numFmtId="0" fontId="45" fillId="0" borderId="0" xfId="0" applyNumberFormat="1" applyFont="1" applyFill="1" applyBorder="1" applyAlignment="1">
      <alignment horizontal="right"/>
    </xf>
    <xf numFmtId="0" fontId="44" fillId="0" borderId="0" xfId="0" applyNumberFormat="1" applyFont="1" applyFill="1" applyBorder="1" applyAlignment="1"/>
    <xf numFmtId="0" fontId="45" fillId="0" borderId="0" xfId="0" applyNumberFormat="1" applyFont="1" applyFill="1" applyBorder="1">
      <alignment vertical="center"/>
    </xf>
    <xf numFmtId="0" fontId="0" fillId="0" borderId="0" xfId="0" applyNumberFormat="1" applyFill="1" applyBorder="1" applyAlignment="1"/>
    <xf numFmtId="0" fontId="48" fillId="0" borderId="0" xfId="0" applyNumberFormat="1" applyFont="1" applyFill="1" applyBorder="1" applyAlignment="1"/>
    <xf numFmtId="0" fontId="45" fillId="0" borderId="0" xfId="0" applyNumberFormat="1" applyFont="1" applyFill="1" applyBorder="1" applyAlignment="1">
      <alignment horizontal="center"/>
    </xf>
    <xf numFmtId="0" fontId="15" fillId="0" borderId="0" xfId="0" applyNumberFormat="1" applyFont="1" applyFill="1" applyBorder="1" applyAlignment="1">
      <alignment horizontal="center"/>
    </xf>
    <xf numFmtId="0" fontId="42" fillId="0" borderId="0" xfId="4" applyNumberFormat="1" applyFont="1" applyFill="1"/>
    <xf numFmtId="0" fontId="7" fillId="0" borderId="0" xfId="4" applyNumberFormat="1" applyFont="1" applyFill="1"/>
    <xf numFmtId="0" fontId="1" fillId="0" borderId="0" xfId="4" applyNumberFormat="1" applyFont="1" applyFill="1"/>
    <xf numFmtId="0" fontId="139" fillId="0" borderId="0" xfId="0" applyNumberFormat="1" applyFont="1" applyBorder="1" applyAlignment="1"/>
    <xf numFmtId="0" fontId="139" fillId="0" borderId="0" xfId="0" applyNumberFormat="1" applyFont="1" applyBorder="1" applyAlignment="1">
      <alignment horizontal="center"/>
    </xf>
    <xf numFmtId="0" fontId="51" fillId="2" borderId="0" xfId="0" applyNumberFormat="1" applyFont="1" applyFill="1" applyBorder="1" applyAlignment="1"/>
    <xf numFmtId="0" fontId="130" fillId="0" borderId="0" xfId="0" applyNumberFormat="1" applyFont="1" applyFill="1" applyBorder="1" applyAlignment="1"/>
    <xf numFmtId="0" fontId="130" fillId="0" borderId="0" xfId="4" applyNumberFormat="1" applyFont="1" applyFill="1" applyBorder="1"/>
    <xf numFmtId="0" fontId="130" fillId="0" borderId="0" xfId="0" applyNumberFormat="1" applyFont="1" applyFill="1" applyBorder="1" applyAlignment="1">
      <alignment horizontal="center"/>
    </xf>
    <xf numFmtId="0" fontId="130" fillId="0" borderId="0" xfId="0" applyNumberFormat="1" applyFont="1" applyFill="1" applyBorder="1" applyAlignment="1">
      <alignment horizontal="left"/>
    </xf>
    <xf numFmtId="0" fontId="143" fillId="0" borderId="0" xfId="0" applyNumberFormat="1" applyFont="1" applyFill="1" applyBorder="1" applyAlignment="1">
      <alignment horizontal="right" vertical="center" shrinkToFit="1"/>
    </xf>
    <xf numFmtId="0" fontId="4" fillId="0" borderId="0" xfId="0" applyNumberFormat="1" applyFont="1" applyAlignment="1">
      <alignment vertical="top"/>
    </xf>
    <xf numFmtId="0" fontId="113" fillId="8" borderId="26" xfId="0" applyNumberFormat="1" applyFont="1" applyFill="1" applyBorder="1" applyAlignment="1">
      <alignment horizontal="center" vertical="center"/>
    </xf>
    <xf numFmtId="0" fontId="116" fillId="8" borderId="28" xfId="0" applyNumberFormat="1" applyFont="1" applyFill="1" applyBorder="1" applyAlignment="1">
      <alignment vertical="center"/>
    </xf>
    <xf numFmtId="0" fontId="116" fillId="8" borderId="30" xfId="0" applyNumberFormat="1" applyFont="1" applyFill="1" applyBorder="1" applyAlignment="1">
      <alignment vertical="center"/>
    </xf>
    <xf numFmtId="0" fontId="64" fillId="16" borderId="4" xfId="4" applyFont="1" applyFill="1" applyBorder="1" applyAlignment="1">
      <alignment horizontal="center"/>
    </xf>
    <xf numFmtId="0" fontId="64" fillId="20" borderId="4" xfId="4" applyFont="1" applyFill="1" applyBorder="1" applyAlignment="1">
      <alignment horizontal="center"/>
    </xf>
    <xf numFmtId="0" fontId="64" fillId="11" borderId="4" xfId="4" applyFont="1" applyFill="1" applyBorder="1" applyAlignment="1">
      <alignment horizontal="center"/>
    </xf>
    <xf numFmtId="0" fontId="64" fillId="9" borderId="4" xfId="4" applyFont="1" applyFill="1" applyBorder="1" applyAlignment="1">
      <alignment horizontal="center"/>
    </xf>
    <xf numFmtId="0" fontId="64" fillId="10" borderId="4" xfId="4" applyFont="1" applyFill="1" applyBorder="1" applyAlignment="1">
      <alignment horizontal="center"/>
    </xf>
    <xf numFmtId="0" fontId="64" fillId="0" borderId="0" xfId="4" applyNumberFormat="1" applyFont="1" applyFill="1" applyBorder="1"/>
    <xf numFmtId="0" fontId="144" fillId="8" borderId="4" xfId="0" applyFont="1" applyFill="1" applyBorder="1" applyAlignment="1">
      <alignment horizontal="left" vertical="center"/>
    </xf>
    <xf numFmtId="0" fontId="144" fillId="8" borderId="4" xfId="0" applyNumberFormat="1" applyFont="1" applyFill="1" applyBorder="1" applyAlignment="1"/>
    <xf numFmtId="0" fontId="144" fillId="9" borderId="4" xfId="0" applyNumberFormat="1" applyFont="1" applyFill="1" applyBorder="1" applyAlignment="1">
      <alignment horizontal="left"/>
    </xf>
    <xf numFmtId="0" fontId="144" fillId="20" borderId="4" xfId="0" applyFont="1" applyFill="1" applyBorder="1" applyAlignment="1">
      <alignment horizontal="left" vertical="center"/>
    </xf>
    <xf numFmtId="0" fontId="144" fillId="9" borderId="4" xfId="0" applyFont="1" applyFill="1" applyBorder="1" applyAlignment="1">
      <alignment horizontal="left" vertical="center" wrapText="1"/>
    </xf>
    <xf numFmtId="181" fontId="144" fillId="20" borderId="4" xfId="0" applyNumberFormat="1" applyFont="1" applyFill="1" applyBorder="1" applyAlignment="1">
      <alignment horizontal="left" vertical="center" wrapText="1"/>
    </xf>
    <xf numFmtId="0" fontId="144" fillId="8" borderId="4" xfId="0" applyFont="1" applyFill="1" applyBorder="1" applyAlignment="1">
      <alignment horizontal="left" vertical="center" shrinkToFit="1"/>
    </xf>
    <xf numFmtId="179" fontId="144" fillId="10" borderId="4" xfId="0" applyNumberFormat="1" applyFont="1" applyFill="1" applyBorder="1" applyAlignment="1">
      <alignment horizontal="left" vertical="center" wrapText="1"/>
    </xf>
    <xf numFmtId="186" fontId="144" fillId="10" borderId="4" xfId="0" applyNumberFormat="1" applyFont="1" applyFill="1" applyBorder="1" applyAlignment="1">
      <alignment horizontal="left" vertical="center"/>
    </xf>
    <xf numFmtId="0" fontId="144" fillId="10" borderId="4" xfId="0" applyFont="1" applyFill="1" applyBorder="1" applyAlignment="1">
      <alignment horizontal="left" vertical="center"/>
    </xf>
    <xf numFmtId="0" fontId="144" fillId="8" borderId="4" xfId="0" applyFont="1" applyFill="1" applyBorder="1" applyAlignment="1">
      <alignment horizontal="left" vertical="center" wrapText="1"/>
    </xf>
    <xf numFmtId="188" fontId="144" fillId="20" borderId="4" xfId="0" applyNumberFormat="1" applyFont="1" applyFill="1" applyBorder="1" applyAlignment="1">
      <alignment horizontal="left" vertical="center"/>
    </xf>
    <xf numFmtId="0" fontId="145" fillId="9" borderId="4" xfId="0" applyFont="1" applyFill="1" applyBorder="1" applyAlignment="1">
      <alignment horizontal="left" vertical="center"/>
    </xf>
    <xf numFmtId="0" fontId="93" fillId="0" borderId="0" xfId="0" applyFont="1">
      <alignment vertical="center"/>
    </xf>
    <xf numFmtId="0" fontId="93" fillId="0" borderId="0" xfId="0" applyFont="1" applyAlignment="1"/>
    <xf numFmtId="0" fontId="144" fillId="10" borderId="4" xfId="0" applyFont="1" applyFill="1" applyBorder="1" applyAlignment="1">
      <alignment horizontal="left" vertical="center"/>
    </xf>
    <xf numFmtId="0" fontId="144" fillId="8" borderId="4" xfId="0" applyNumberFormat="1" applyFont="1" applyFill="1" applyBorder="1" applyAlignment="1">
      <alignment horizontal="left" vertical="center"/>
    </xf>
    <xf numFmtId="0" fontId="93" fillId="0" borderId="0" xfId="0" applyFont="1" applyBorder="1" applyAlignment="1"/>
    <xf numFmtId="0" fontId="93" fillId="0" borderId="0" xfId="0" applyFont="1" applyBorder="1" applyAlignment="1">
      <alignment horizontal="center"/>
    </xf>
    <xf numFmtId="0" fontId="93" fillId="0" borderId="0" xfId="0" applyFont="1" applyBorder="1" applyAlignment="1">
      <alignment vertical="top"/>
    </xf>
    <xf numFmtId="0" fontId="38" fillId="0" borderId="0" xfId="0" applyFont="1" applyBorder="1" applyAlignment="1">
      <alignment vertical="center"/>
    </xf>
    <xf numFmtId="0" fontId="0" fillId="0" borderId="0" xfId="0" applyBorder="1" applyAlignment="1">
      <alignment vertical="center"/>
    </xf>
    <xf numFmtId="179" fontId="94" fillId="0" borderId="0" xfId="0" applyNumberFormat="1" applyFont="1" applyFill="1" applyBorder="1" applyAlignment="1">
      <alignment horizontal="left" vertical="top"/>
    </xf>
    <xf numFmtId="0" fontId="94" fillId="0" borderId="0" xfId="0" applyFont="1" applyFill="1" applyBorder="1" applyAlignment="1">
      <alignment vertical="center"/>
    </xf>
    <xf numFmtId="0" fontId="93" fillId="0" borderId="0" xfId="0" applyFont="1" applyFill="1" applyBorder="1" applyAlignment="1">
      <alignment horizontal="center" vertical="center" wrapText="1"/>
    </xf>
    <xf numFmtId="0" fontId="144" fillId="10" borderId="4" xfId="0" applyNumberFormat="1" applyFont="1" applyFill="1" applyBorder="1" applyAlignment="1">
      <alignment horizontal="left"/>
    </xf>
    <xf numFmtId="0" fontId="145" fillId="8" borderId="4" xfId="0" applyFont="1" applyFill="1" applyBorder="1" applyAlignment="1">
      <alignment horizontal="left" vertical="center" shrinkToFit="1"/>
    </xf>
    <xf numFmtId="0" fontId="93" fillId="9" borderId="4" xfId="0" applyFont="1" applyFill="1" applyBorder="1" applyAlignment="1">
      <alignment horizontal="left" vertical="center"/>
    </xf>
    <xf numFmtId="0" fontId="5" fillId="0" borderId="0" xfId="4" applyFont="1"/>
    <xf numFmtId="0" fontId="1" fillId="0" borderId="0" xfId="4" applyAlignment="1">
      <alignment horizontal="center"/>
    </xf>
    <xf numFmtId="0" fontId="5" fillId="2" borderId="0" xfId="4" applyNumberFormat="1" applyFont="1" applyFill="1"/>
    <xf numFmtId="0" fontId="5" fillId="0" borderId="0" xfId="4" applyFont="1" applyAlignment="1">
      <alignment horizontal="center"/>
    </xf>
    <xf numFmtId="0" fontId="5" fillId="2" borderId="0" xfId="4" applyFont="1" applyFill="1"/>
    <xf numFmtId="0" fontId="95" fillId="2" borderId="0" xfId="4" applyFont="1" applyFill="1"/>
    <xf numFmtId="0" fontId="144" fillId="9" borderId="4" xfId="0" applyNumberFormat="1" applyFont="1" applyFill="1" applyBorder="1" applyAlignment="1">
      <alignment horizontal="left" vertical="center"/>
    </xf>
    <xf numFmtId="0" fontId="0" fillId="0" borderId="0" xfId="0" applyAlignment="1">
      <alignment horizontal="center" vertical="center"/>
    </xf>
    <xf numFmtId="189" fontId="144" fillId="10" borderId="4" xfId="0" applyNumberFormat="1" applyFont="1" applyFill="1" applyBorder="1" applyAlignment="1">
      <alignment horizontal="left" vertical="center"/>
    </xf>
    <xf numFmtId="0" fontId="37" fillId="0" borderId="0" xfId="0" applyFont="1">
      <alignment vertical="center"/>
    </xf>
    <xf numFmtId="0" fontId="37" fillId="0" borderId="65" xfId="0" applyFont="1" applyBorder="1">
      <alignment vertical="center"/>
    </xf>
    <xf numFmtId="0" fontId="4" fillId="0" borderId="65" xfId="0" applyFont="1" applyBorder="1" applyAlignment="1">
      <alignment horizontal="center" vertical="center"/>
    </xf>
    <xf numFmtId="0" fontId="96" fillId="0" borderId="0" xfId="0" quotePrefix="1" applyFont="1">
      <alignment vertical="center"/>
    </xf>
    <xf numFmtId="0" fontId="97" fillId="0" borderId="0" xfId="0" quotePrefix="1" applyFont="1">
      <alignment vertical="center"/>
    </xf>
    <xf numFmtId="0" fontId="98" fillId="0" borderId="0" xfId="0" quotePrefix="1" applyFont="1">
      <alignment vertical="center"/>
    </xf>
    <xf numFmtId="0" fontId="7" fillId="0" borderId="65" xfId="0" applyFont="1" applyBorder="1">
      <alignment vertical="center"/>
    </xf>
    <xf numFmtId="43" fontId="7" fillId="0" borderId="0" xfId="5" applyFont="1">
      <alignment vertical="center"/>
    </xf>
    <xf numFmtId="43" fontId="13" fillId="0" borderId="65" xfId="5" applyFont="1" applyBorder="1">
      <alignment vertical="center"/>
    </xf>
    <xf numFmtId="0" fontId="99" fillId="0" borderId="0" xfId="0" applyFont="1">
      <alignment vertical="center"/>
    </xf>
    <xf numFmtId="0" fontId="42" fillId="0" borderId="65" xfId="0" applyFont="1" applyBorder="1">
      <alignment vertical="center"/>
    </xf>
    <xf numFmtId="0" fontId="46" fillId="0" borderId="0" xfId="0" applyFont="1">
      <alignment vertical="center"/>
    </xf>
    <xf numFmtId="0" fontId="45" fillId="0" borderId="65" xfId="0" applyFont="1" applyBorder="1" applyAlignment="1">
      <alignment horizontal="right" vertical="center"/>
    </xf>
    <xf numFmtId="0" fontId="45" fillId="0" borderId="65" xfId="0" applyFont="1" applyBorder="1">
      <alignment vertical="center"/>
    </xf>
    <xf numFmtId="0" fontId="56" fillId="0" borderId="0" xfId="0" applyFont="1">
      <alignment vertical="center"/>
    </xf>
    <xf numFmtId="43" fontId="56" fillId="0" borderId="0" xfId="0" applyNumberFormat="1" applyFont="1">
      <alignment vertical="center"/>
    </xf>
    <xf numFmtId="0" fontId="43" fillId="0" borderId="0" xfId="0" applyFont="1">
      <alignment vertical="center"/>
    </xf>
    <xf numFmtId="0" fontId="43" fillId="0" borderId="0" xfId="0" quotePrefix="1" applyFont="1">
      <alignment vertical="center"/>
    </xf>
    <xf numFmtId="0" fontId="42" fillId="0" borderId="2" xfId="0" applyFont="1" applyBorder="1" applyAlignment="1">
      <alignment horizontal="center" vertical="center"/>
    </xf>
    <xf numFmtId="0" fontId="146" fillId="0" borderId="0" xfId="0" applyFont="1">
      <alignment vertical="center"/>
    </xf>
    <xf numFmtId="0" fontId="56" fillId="2" borderId="4" xfId="3" applyFont="1" applyFill="1" applyBorder="1" applyAlignment="1">
      <alignment horizontal="center" vertical="center"/>
    </xf>
    <xf numFmtId="0" fontId="56" fillId="2" borderId="4" xfId="3" quotePrefix="1" applyFont="1" applyFill="1" applyBorder="1" applyAlignment="1">
      <alignment horizontal="center" vertical="center"/>
    </xf>
    <xf numFmtId="0" fontId="56" fillId="0" borderId="28" xfId="3" quotePrefix="1" applyFont="1" applyBorder="1" applyAlignment="1">
      <alignment vertical="center"/>
    </xf>
    <xf numFmtId="0" fontId="37" fillId="0" borderId="48" xfId="3" applyFont="1" applyBorder="1" applyAlignment="1">
      <alignment vertical="center" shrinkToFit="1"/>
    </xf>
    <xf numFmtId="0" fontId="19" fillId="0" borderId="48" xfId="3" applyFont="1" applyBorder="1" applyAlignment="1">
      <alignment vertical="center" shrinkToFit="1"/>
    </xf>
    <xf numFmtId="0" fontId="37" fillId="0" borderId="48" xfId="3" applyFont="1" applyBorder="1" applyAlignment="1">
      <alignment horizontal="center" vertical="center"/>
    </xf>
    <xf numFmtId="43" fontId="19" fillId="0" borderId="48" xfId="6" applyFont="1" applyBorder="1" applyAlignment="1">
      <alignment vertical="center"/>
    </xf>
    <xf numFmtId="0" fontId="40" fillId="0" borderId="29" xfId="3" applyFont="1" applyBorder="1" applyAlignment="1">
      <alignment horizontal="left" vertical="center" wrapText="1"/>
    </xf>
    <xf numFmtId="0" fontId="19" fillId="0" borderId="28" xfId="3" quotePrefix="1" applyFont="1" applyBorder="1" applyAlignment="1">
      <alignment horizontal="center" vertical="center"/>
    </xf>
    <xf numFmtId="0" fontId="37" fillId="0" borderId="48" xfId="3" applyFont="1" applyBorder="1" applyAlignment="1">
      <alignment vertical="center" wrapText="1"/>
    </xf>
    <xf numFmtId="0" fontId="19" fillId="0" borderId="28" xfId="3" applyFont="1" applyBorder="1" applyAlignment="1">
      <alignment horizontal="center" vertical="center"/>
    </xf>
    <xf numFmtId="0" fontId="19" fillId="0" borderId="4" xfId="3" applyFont="1" applyBorder="1" applyAlignment="1">
      <alignment vertical="center"/>
    </xf>
    <xf numFmtId="0" fontId="40" fillId="0" borderId="29" xfId="3" applyFont="1" applyBorder="1" applyAlignment="1">
      <alignment horizontal="left" vertical="center"/>
    </xf>
    <xf numFmtId="0" fontId="19" fillId="0" borderId="28" xfId="3" applyFont="1" applyBorder="1" applyAlignment="1">
      <alignment horizontal="left" vertical="center"/>
    </xf>
    <xf numFmtId="0" fontId="19" fillId="0" borderId="49" xfId="3" quotePrefix="1" applyFont="1" applyBorder="1" applyAlignment="1">
      <alignment horizontal="left" vertical="center"/>
    </xf>
    <xf numFmtId="0" fontId="19" fillId="0" borderId="49" xfId="3" applyFont="1" applyBorder="1" applyAlignment="1">
      <alignment vertical="center"/>
    </xf>
    <xf numFmtId="0" fontId="40" fillId="0" borderId="50" xfId="3" applyFont="1" applyBorder="1" applyAlignment="1">
      <alignment horizontal="left" vertical="center"/>
    </xf>
    <xf numFmtId="0" fontId="19" fillId="0" borderId="28" xfId="3" applyFont="1" applyBorder="1" applyAlignment="1">
      <alignment vertical="center"/>
    </xf>
    <xf numFmtId="0" fontId="37" fillId="0" borderId="48" xfId="3" quotePrefix="1" applyFont="1" applyBorder="1" applyAlignment="1">
      <alignment horizontal="left" vertical="center" shrinkToFit="1"/>
    </xf>
    <xf numFmtId="0" fontId="19" fillId="0" borderId="48" xfId="3" applyFont="1" applyBorder="1" applyAlignment="1">
      <alignment vertical="center"/>
    </xf>
    <xf numFmtId="0" fontId="19" fillId="0" borderId="4" xfId="3" applyFont="1" applyBorder="1" applyAlignment="1">
      <alignment horizontal="left" vertical="center"/>
    </xf>
    <xf numFmtId="0" fontId="19" fillId="0" borderId="48" xfId="3" applyFont="1" applyBorder="1" applyAlignment="1">
      <alignment horizontal="left" vertical="center"/>
    </xf>
    <xf numFmtId="0" fontId="3" fillId="0" borderId="0" xfId="0" applyFont="1" applyAlignment="1">
      <alignment horizontal="center" vertical="center"/>
    </xf>
    <xf numFmtId="0" fontId="138" fillId="0" borderId="0" xfId="0" quotePrefix="1" applyNumberFormat="1" applyFont="1" applyFill="1" applyBorder="1" applyAlignment="1">
      <alignment horizontal="right"/>
    </xf>
    <xf numFmtId="0" fontId="1" fillId="0" borderId="0" xfId="4" applyBorder="1" applyAlignment="1">
      <alignment horizontal="right"/>
    </xf>
    <xf numFmtId="177" fontId="37" fillId="0" borderId="0" xfId="4" applyNumberFormat="1" applyFont="1" applyBorder="1" applyAlignment="1">
      <alignment horizontal="right" vertical="center"/>
    </xf>
    <xf numFmtId="2" fontId="37" fillId="0" borderId="0" xfId="4" applyNumberFormat="1" applyFont="1" applyBorder="1" applyAlignment="1">
      <alignment horizontal="right" vertical="center"/>
    </xf>
    <xf numFmtId="177" fontId="37" fillId="0" borderId="0" xfId="0" applyNumberFormat="1" applyFont="1" applyBorder="1" applyAlignment="1">
      <alignment horizontal="right" vertical="center"/>
    </xf>
    <xf numFmtId="0" fontId="42" fillId="0" borderId="0" xfId="4" applyFont="1" applyBorder="1" applyAlignment="1">
      <alignment horizontal="right"/>
    </xf>
    <xf numFmtId="177" fontId="37" fillId="0" borderId="0" xfId="4" applyNumberFormat="1" applyFont="1" applyBorder="1" applyAlignment="1">
      <alignment horizontal="right"/>
    </xf>
    <xf numFmtId="2" fontId="37" fillId="0" borderId="0" xfId="4" applyNumberFormat="1" applyFont="1" applyBorder="1" applyAlignment="1">
      <alignment horizontal="right"/>
    </xf>
    <xf numFmtId="177" fontId="105" fillId="0" borderId="0" xfId="4" applyNumberFormat="1" applyFont="1" applyBorder="1" applyAlignment="1">
      <alignment horizontal="right" vertical="center"/>
    </xf>
    <xf numFmtId="2" fontId="105" fillId="0" borderId="0" xfId="4" applyNumberFormat="1" applyFont="1" applyBorder="1" applyAlignment="1">
      <alignment horizontal="right" vertical="center"/>
    </xf>
    <xf numFmtId="0" fontId="115" fillId="0" borderId="0" xfId="4" applyFont="1" applyBorder="1" applyAlignment="1">
      <alignment horizontal="right"/>
    </xf>
    <xf numFmtId="177" fontId="105" fillId="0" borderId="0" xfId="4" applyNumberFormat="1" applyFont="1" applyFill="1" applyBorder="1" applyAlignment="1">
      <alignment horizontal="right" vertical="center"/>
    </xf>
    <xf numFmtId="2" fontId="105" fillId="0" borderId="0" xfId="4" applyNumberFormat="1" applyFont="1" applyFill="1" applyBorder="1" applyAlignment="1">
      <alignment horizontal="right" vertical="center"/>
    </xf>
    <xf numFmtId="0" fontId="115" fillId="0" borderId="0" xfId="4" applyFont="1" applyFill="1" applyBorder="1" applyAlignment="1">
      <alignment horizontal="right"/>
    </xf>
    <xf numFmtId="0" fontId="1" fillId="0" borderId="0" xfId="4" applyFill="1" applyBorder="1" applyAlignment="1">
      <alignment horizontal="right"/>
    </xf>
    <xf numFmtId="177" fontId="37" fillId="0" borderId="64" xfId="4" applyNumberFormat="1" applyFont="1" applyBorder="1" applyAlignment="1">
      <alignment horizontal="center" vertical="center"/>
    </xf>
    <xf numFmtId="2" fontId="37" fillId="0" borderId="64" xfId="4" applyNumberFormat="1" applyFont="1" applyBorder="1" applyAlignment="1">
      <alignment horizontal="center" vertical="center"/>
    </xf>
    <xf numFmtId="0" fontId="129" fillId="0" borderId="0" xfId="4" applyNumberFormat="1" applyFont="1" applyFill="1" applyBorder="1" applyAlignment="1">
      <alignment horizontal="right"/>
    </xf>
    <xf numFmtId="0" fontId="129" fillId="0" borderId="0" xfId="4" quotePrefix="1" applyNumberFormat="1" applyFont="1" applyFill="1" applyBorder="1" applyAlignment="1">
      <alignment horizontal="right"/>
    </xf>
    <xf numFmtId="0" fontId="129" fillId="0" borderId="0" xfId="4" applyFont="1" applyFill="1" applyBorder="1" applyAlignment="1">
      <alignment horizontal="right"/>
    </xf>
    <xf numFmtId="49" fontId="129" fillId="0" borderId="0" xfId="4" applyNumberFormat="1" applyFont="1" applyFill="1" applyBorder="1" applyAlignment="1">
      <alignment horizontal="right"/>
    </xf>
    <xf numFmtId="0" fontId="45" fillId="0" borderId="0" xfId="4" applyFont="1" applyFill="1" applyAlignment="1">
      <alignment horizontal="right"/>
    </xf>
    <xf numFmtId="0" fontId="10" fillId="0" borderId="1" xfId="0" applyNumberFormat="1" applyFont="1" applyFill="1" applyBorder="1" applyAlignment="1" applyProtection="1">
      <alignment horizontal="center" vertical="center" shrinkToFit="1"/>
    </xf>
    <xf numFmtId="0" fontId="135" fillId="0" borderId="1" xfId="0" applyNumberFormat="1" applyFont="1" applyFill="1" applyBorder="1" applyAlignment="1" applyProtection="1">
      <alignment vertical="center" wrapText="1"/>
    </xf>
    <xf numFmtId="0" fontId="19" fillId="0" borderId="0" xfId="0" applyNumberFormat="1" applyFont="1">
      <alignment vertical="center"/>
    </xf>
    <xf numFmtId="0" fontId="19" fillId="0" borderId="0" xfId="0" applyNumberFormat="1" applyFont="1" applyAlignment="1">
      <alignment horizontal="center" vertical="center"/>
    </xf>
    <xf numFmtId="0" fontId="24" fillId="0" borderId="1" xfId="0" quotePrefix="1" applyNumberFormat="1" applyFont="1" applyBorder="1" applyAlignment="1">
      <alignment vertical="center" wrapText="1"/>
    </xf>
    <xf numFmtId="0" fontId="12" fillId="0" borderId="0" xfId="0" applyNumberFormat="1" applyFont="1" applyFill="1" applyBorder="1" applyAlignment="1" applyProtection="1">
      <alignment horizontal="center" vertical="center" wrapText="1"/>
    </xf>
    <xf numFmtId="0" fontId="56" fillId="0" borderId="4" xfId="0" applyNumberFormat="1" applyFont="1" applyBorder="1" applyAlignment="1">
      <alignment vertical="center"/>
    </xf>
    <xf numFmtId="0" fontId="10" fillId="0" borderId="4" xfId="0" quotePrefix="1" applyNumberFormat="1" applyFont="1" applyBorder="1" applyAlignment="1">
      <alignment vertical="center" wrapText="1"/>
    </xf>
    <xf numFmtId="0" fontId="56" fillId="0" borderId="48" xfId="0" applyNumberFormat="1" applyFont="1" applyBorder="1" applyAlignment="1">
      <alignment vertical="center"/>
    </xf>
    <xf numFmtId="0" fontId="56" fillId="0" borderId="48" xfId="0" applyFont="1" applyBorder="1" applyAlignment="1">
      <alignment horizontal="left" vertical="center"/>
    </xf>
    <xf numFmtId="0" fontId="56" fillId="0" borderId="0" xfId="0" applyNumberFormat="1" applyFont="1" applyBorder="1" applyAlignment="1">
      <alignment vertical="center"/>
    </xf>
    <xf numFmtId="0" fontId="56" fillId="0" borderId="0" xfId="0" applyFont="1" applyBorder="1" applyAlignment="1">
      <alignment horizontal="left" vertical="center"/>
    </xf>
    <xf numFmtId="0" fontId="56" fillId="0" borderId="2" xfId="0" applyNumberFormat="1" applyFont="1" applyBorder="1" applyAlignment="1">
      <alignment vertical="center"/>
    </xf>
    <xf numFmtId="0" fontId="56" fillId="0" borderId="2" xfId="0" applyFont="1" applyBorder="1" applyAlignment="1">
      <alignment horizontal="left" vertical="center"/>
    </xf>
    <xf numFmtId="0" fontId="148" fillId="0" borderId="4" xfId="0" applyNumberFormat="1" applyFont="1" applyFill="1" applyBorder="1" applyAlignment="1" applyProtection="1">
      <alignment horizontal="right" vertical="center" shrinkToFit="1"/>
    </xf>
    <xf numFmtId="0" fontId="148" fillId="0" borderId="4" xfId="0" applyNumberFormat="1" applyFont="1" applyFill="1" applyBorder="1" applyAlignment="1" applyProtection="1">
      <alignment vertical="center" wrapText="1"/>
    </xf>
    <xf numFmtId="0" fontId="149" fillId="0" borderId="4" xfId="0" applyNumberFormat="1" applyFont="1" applyFill="1" applyBorder="1" applyAlignment="1" applyProtection="1">
      <alignment horizontal="center" vertical="center" wrapText="1" shrinkToFit="1"/>
    </xf>
    <xf numFmtId="178" fontId="150" fillId="0" borderId="4" xfId="0" applyNumberFormat="1" applyFont="1" applyFill="1" applyBorder="1" applyAlignment="1" applyProtection="1">
      <alignment horizontal="right" vertical="center" shrinkToFit="1"/>
    </xf>
    <xf numFmtId="0" fontId="149" fillId="0" borderId="4" xfId="0" applyNumberFormat="1" applyFont="1" applyFill="1" applyBorder="1" applyAlignment="1" applyProtection="1">
      <alignment vertical="center" wrapText="1" readingOrder="1"/>
    </xf>
    <xf numFmtId="0" fontId="151" fillId="0" borderId="0" xfId="0" applyNumberFormat="1" applyFont="1" applyFill="1" applyBorder="1" applyAlignment="1" applyProtection="1">
      <alignment vertical="center"/>
    </xf>
    <xf numFmtId="0" fontId="0" fillId="0" borderId="0" xfId="0" applyNumberFormat="1" applyFont="1" applyFill="1" applyBorder="1" applyAlignment="1" applyProtection="1">
      <alignment vertical="center"/>
    </xf>
    <xf numFmtId="0" fontId="152" fillId="0" borderId="4" xfId="0" applyNumberFormat="1" applyFont="1" applyFill="1" applyBorder="1" applyAlignment="1" applyProtection="1">
      <alignment vertical="center" wrapText="1" readingOrder="1"/>
    </xf>
    <xf numFmtId="178" fontId="153" fillId="0" borderId="4" xfId="0" applyNumberFormat="1" applyFont="1" applyFill="1" applyBorder="1" applyAlignment="1" applyProtection="1">
      <alignment horizontal="right" vertical="center" shrinkToFit="1"/>
    </xf>
    <xf numFmtId="0" fontId="152" fillId="0" borderId="4" xfId="0" applyNumberFormat="1" applyFont="1" applyFill="1" applyBorder="1" applyAlignment="1" applyProtection="1">
      <alignment horizontal="center" vertical="center" wrapText="1" shrinkToFit="1"/>
    </xf>
    <xf numFmtId="0" fontId="152" fillId="0" borderId="4" xfId="0" applyNumberFormat="1" applyFont="1" applyFill="1" applyBorder="1" applyAlignment="1" applyProtection="1">
      <alignment vertical="center" wrapText="1"/>
    </xf>
    <xf numFmtId="0" fontId="107" fillId="0" borderId="91" xfId="0" applyNumberFormat="1" applyFont="1" applyFill="1" applyBorder="1" applyAlignment="1" applyProtection="1">
      <alignment horizontal="center" vertical="center" shrinkToFit="1"/>
    </xf>
    <xf numFmtId="0" fontId="107" fillId="0" borderId="91" xfId="0" applyNumberFormat="1" applyFont="1" applyFill="1" applyBorder="1" applyAlignment="1" applyProtection="1">
      <alignment vertical="center" wrapText="1"/>
    </xf>
    <xf numFmtId="0" fontId="138" fillId="0" borderId="91" xfId="0" applyNumberFormat="1" applyFont="1" applyFill="1" applyBorder="1" applyAlignment="1" applyProtection="1">
      <alignment horizontal="center" vertical="center" wrapText="1" shrinkToFit="1"/>
    </xf>
    <xf numFmtId="178" fontId="158" fillId="0" borderId="91" xfId="0" applyNumberFormat="1" applyFont="1" applyFill="1" applyBorder="1" applyAlignment="1" applyProtection="1">
      <alignment horizontal="right" vertical="center" shrinkToFit="1"/>
    </xf>
    <xf numFmtId="178" fontId="159" fillId="0" borderId="91" xfId="0" applyNumberFormat="1" applyFont="1" applyFill="1" applyBorder="1" applyAlignment="1" applyProtection="1">
      <alignment horizontal="right" vertical="center" shrinkToFit="1"/>
    </xf>
    <xf numFmtId="0" fontId="138" fillId="0" borderId="91" xfId="0" applyNumberFormat="1" applyFont="1" applyFill="1" applyBorder="1" applyAlignment="1" applyProtection="1">
      <alignment vertical="center" wrapText="1"/>
    </xf>
    <xf numFmtId="0" fontId="160" fillId="0" borderId="92" xfId="0" applyNumberFormat="1" applyFont="1" applyFill="1" applyBorder="1" applyAlignment="1" applyProtection="1">
      <alignment vertical="center" wrapText="1"/>
    </xf>
    <xf numFmtId="0" fontId="154" fillId="0" borderId="91" xfId="0" applyNumberFormat="1" applyFont="1" applyFill="1" applyBorder="1" applyAlignment="1" applyProtection="1">
      <alignment horizontal="right" vertical="center" shrinkToFit="1"/>
    </xf>
    <xf numFmtId="0" fontId="7" fillId="0" borderId="0" xfId="0" applyFont="1" applyFill="1" applyBorder="1" applyAlignment="1">
      <alignment vertical="center"/>
    </xf>
    <xf numFmtId="0" fontId="138" fillId="0" borderId="92" xfId="0" applyNumberFormat="1" applyFont="1" applyFill="1" applyBorder="1" applyAlignment="1" applyProtection="1">
      <alignment vertical="center" wrapText="1"/>
    </xf>
    <xf numFmtId="0" fontId="160" fillId="0" borderId="91" xfId="0" applyNumberFormat="1" applyFont="1" applyFill="1" applyBorder="1" applyAlignment="1" applyProtection="1">
      <alignment vertical="center" wrapText="1"/>
    </xf>
    <xf numFmtId="0" fontId="7" fillId="0" borderId="0" xfId="0" applyFont="1" applyFill="1" applyBorder="1">
      <alignment vertical="center"/>
    </xf>
    <xf numFmtId="0" fontId="160" fillId="0" borderId="93" xfId="0" applyNumberFormat="1" applyFont="1" applyFill="1" applyBorder="1" applyAlignment="1" applyProtection="1">
      <alignment vertical="center" wrapText="1"/>
    </xf>
    <xf numFmtId="0" fontId="160" fillId="0" borderId="4" xfId="0" applyNumberFormat="1" applyFont="1" applyFill="1" applyBorder="1" applyAlignment="1" applyProtection="1">
      <alignment vertical="center" wrapText="1"/>
    </xf>
    <xf numFmtId="0" fontId="154" fillId="0" borderId="6" xfId="0" applyNumberFormat="1" applyFont="1" applyFill="1" applyBorder="1" applyAlignment="1" applyProtection="1">
      <alignment vertical="center" shrinkToFit="1"/>
    </xf>
    <xf numFmtId="0" fontId="154" fillId="0" borderId="6" xfId="0" applyNumberFormat="1" applyFont="1" applyFill="1" applyBorder="1" applyAlignment="1" applyProtection="1">
      <alignment horizontal="left" vertical="top" wrapText="1" shrinkToFit="1"/>
      <protection locked="0"/>
    </xf>
    <xf numFmtId="0" fontId="161" fillId="0" borderId="0" xfId="0" applyNumberFormat="1" applyFont="1" applyFill="1" applyBorder="1" applyAlignment="1" applyProtection="1">
      <alignment vertical="center"/>
    </xf>
    <xf numFmtId="0" fontId="162" fillId="0" borderId="91" xfId="0" applyNumberFormat="1" applyFont="1" applyFill="1" applyBorder="1" applyAlignment="1" applyProtection="1">
      <alignment vertical="center" wrapText="1"/>
    </xf>
    <xf numFmtId="0" fontId="163" fillId="0" borderId="0" xfId="0" applyNumberFormat="1" applyFont="1" applyFill="1" applyBorder="1" applyAlignment="1" applyProtection="1">
      <alignment horizontal="center" vertical="center" wrapText="1"/>
    </xf>
    <xf numFmtId="0" fontId="163" fillId="0" borderId="0" xfId="0" applyNumberFormat="1" applyFont="1" applyFill="1" applyBorder="1" applyAlignment="1" applyProtection="1">
      <alignment vertical="center" wrapText="1"/>
    </xf>
    <xf numFmtId="0" fontId="164" fillId="0" borderId="0" xfId="0" applyNumberFormat="1" applyFont="1" applyFill="1" applyBorder="1" applyAlignment="1" applyProtection="1">
      <alignment vertical="center" wrapText="1"/>
    </xf>
    <xf numFmtId="0" fontId="165" fillId="0" borderId="0" xfId="0" applyNumberFormat="1" applyFont="1" applyFill="1" applyBorder="1" applyAlignment="1" applyProtection="1">
      <alignment vertical="center"/>
    </xf>
    <xf numFmtId="0" fontId="166" fillId="0" borderId="0" xfId="0" applyNumberFormat="1" applyFont="1" applyFill="1" applyBorder="1" applyAlignment="1" applyProtection="1">
      <alignment vertical="center"/>
    </xf>
    <xf numFmtId="0" fontId="169" fillId="0" borderId="0" xfId="4" quotePrefix="1" applyNumberFormat="1" applyFont="1" applyFill="1" applyBorder="1" applyAlignment="1">
      <alignment horizontal="right"/>
    </xf>
    <xf numFmtId="0" fontId="46" fillId="0" borderId="0" xfId="4" applyFont="1" applyBorder="1" applyAlignment="1">
      <alignment horizontal="left"/>
    </xf>
    <xf numFmtId="0" fontId="50" fillId="0" borderId="0" xfId="0" quotePrefix="1" applyFont="1" applyBorder="1">
      <alignment vertical="center"/>
    </xf>
    <xf numFmtId="0" fontId="0" fillId="0" borderId="0" xfId="0" applyAlignment="1">
      <alignment horizontal="center" vertical="center"/>
    </xf>
    <xf numFmtId="0" fontId="170" fillId="21" borderId="0" xfId="0" applyFont="1" applyFill="1" applyBorder="1" applyAlignment="1"/>
    <xf numFmtId="0" fontId="7" fillId="21" borderId="0" xfId="0" applyFont="1" applyFill="1" applyBorder="1" applyAlignment="1"/>
    <xf numFmtId="0" fontId="42" fillId="21" borderId="0" xfId="0" applyFont="1" applyFill="1" applyBorder="1" applyAlignment="1"/>
    <xf numFmtId="0" fontId="0" fillId="21" borderId="0" xfId="0" applyFont="1" applyFill="1" applyBorder="1" applyAlignment="1"/>
    <xf numFmtId="0" fontId="45" fillId="0" borderId="0" xfId="0" applyFont="1" applyFill="1" applyBorder="1" applyAlignment="1">
      <alignment horizontal="right"/>
    </xf>
    <xf numFmtId="0" fontId="45" fillId="0" borderId="0" xfId="0" applyFont="1" applyFill="1" applyBorder="1" applyAlignment="1">
      <alignment horizontal="center"/>
    </xf>
    <xf numFmtId="0" fontId="171" fillId="21" borderId="0" xfId="0" applyFont="1" applyFill="1" applyBorder="1">
      <alignment vertical="center"/>
    </xf>
    <xf numFmtId="0" fontId="45" fillId="21" borderId="0" xfId="0" applyFont="1" applyFill="1" applyBorder="1">
      <alignment vertical="center"/>
    </xf>
    <xf numFmtId="0" fontId="171" fillId="21" borderId="0" xfId="0" applyNumberFormat="1" applyFont="1" applyFill="1" applyBorder="1" applyAlignment="1"/>
    <xf numFmtId="187" fontId="42" fillId="0" borderId="0" xfId="0" applyNumberFormat="1" applyFont="1" applyFill="1" applyBorder="1">
      <alignment vertical="center"/>
    </xf>
    <xf numFmtId="0" fontId="172" fillId="21" borderId="0" xfId="0" applyNumberFormat="1" applyFont="1" applyFill="1" applyBorder="1" applyAlignment="1">
      <alignment horizontal="right"/>
    </xf>
    <xf numFmtId="0" fontId="172" fillId="0" borderId="0" xfId="0" applyNumberFormat="1" applyFont="1" applyFill="1" applyBorder="1" applyAlignment="1"/>
    <xf numFmtId="187" fontId="13" fillId="0" borderId="0" xfId="0" applyNumberFormat="1" applyFont="1" applyFill="1" applyBorder="1">
      <alignment vertical="center"/>
    </xf>
    <xf numFmtId="0" fontId="171" fillId="21" borderId="0" xfId="0" applyFont="1" applyFill="1" applyBorder="1" applyAlignment="1">
      <alignment horizontal="right"/>
    </xf>
    <xf numFmtId="0" fontId="144" fillId="8" borderId="4" xfId="0" applyNumberFormat="1" applyFont="1" applyFill="1" applyBorder="1" applyAlignment="1">
      <alignment horizontal="left" vertical="center"/>
    </xf>
    <xf numFmtId="0" fontId="0" fillId="0" borderId="4" xfId="0" applyBorder="1" applyAlignment="1">
      <alignment horizontal="left" vertical="center"/>
    </xf>
    <xf numFmtId="0" fontId="0" fillId="0" borderId="4" xfId="0" applyBorder="1" applyAlignment="1">
      <alignment vertical="center"/>
    </xf>
    <xf numFmtId="0" fontId="147" fillId="10" borderId="53" xfId="0" applyFont="1" applyFill="1" applyBorder="1" applyAlignment="1">
      <alignment horizontal="left" vertical="top" wrapText="1"/>
    </xf>
    <xf numFmtId="0" fontId="147" fillId="10" borderId="65" xfId="0" applyFont="1" applyFill="1" applyBorder="1" applyAlignment="1">
      <alignment horizontal="left" vertical="top" wrapText="1"/>
    </xf>
    <xf numFmtId="0" fontId="147" fillId="10" borderId="66" xfId="0" applyFont="1" applyFill="1" applyBorder="1" applyAlignment="1">
      <alignment horizontal="left" vertical="top" wrapText="1"/>
    </xf>
    <xf numFmtId="0" fontId="147" fillId="10" borderId="69" xfId="0" applyFont="1" applyFill="1" applyBorder="1" applyAlignment="1">
      <alignment horizontal="left" vertical="top" wrapText="1"/>
    </xf>
    <xf numFmtId="0" fontId="147" fillId="10" borderId="0" xfId="0" applyFont="1" applyFill="1" applyBorder="1" applyAlignment="1">
      <alignment horizontal="left" vertical="top" wrapText="1"/>
    </xf>
    <xf numFmtId="0" fontId="147" fillId="10" borderId="70" xfId="0" applyFont="1" applyFill="1" applyBorder="1" applyAlignment="1">
      <alignment horizontal="left" vertical="top" wrapText="1"/>
    </xf>
    <xf numFmtId="0" fontId="0" fillId="0" borderId="71" xfId="0" applyBorder="1" applyAlignment="1">
      <alignment horizontal="left" vertical="center"/>
    </xf>
    <xf numFmtId="0" fontId="0" fillId="0" borderId="2" xfId="0" applyBorder="1" applyAlignment="1">
      <alignment horizontal="left" vertical="center"/>
    </xf>
    <xf numFmtId="0" fontId="0" fillId="0" borderId="72" xfId="0" applyBorder="1" applyAlignment="1">
      <alignment horizontal="left" vertical="center"/>
    </xf>
    <xf numFmtId="0" fontId="108" fillId="8" borderId="39" xfId="0" applyFont="1" applyFill="1" applyBorder="1" applyAlignment="1">
      <alignment horizontal="center" vertical="center" wrapText="1" shrinkToFit="1"/>
    </xf>
    <xf numFmtId="0" fontId="40" fillId="8" borderId="62" xfId="0" applyFont="1" applyFill="1" applyBorder="1" applyAlignment="1">
      <alignment horizontal="center" vertical="center" wrapText="1" shrinkToFit="1"/>
    </xf>
    <xf numFmtId="0" fontId="40" fillId="8" borderId="48" xfId="0" applyFont="1" applyFill="1" applyBorder="1" applyAlignment="1">
      <alignment horizontal="center" vertical="center" wrapText="1" shrinkToFit="1"/>
    </xf>
    <xf numFmtId="0" fontId="40" fillId="8" borderId="39" xfId="0" applyFont="1" applyFill="1" applyBorder="1" applyAlignment="1">
      <alignment horizontal="center" vertical="center" wrapText="1" shrinkToFit="1"/>
    </xf>
    <xf numFmtId="0" fontId="40" fillId="6" borderId="62" xfId="0" applyFont="1" applyFill="1" applyBorder="1" applyAlignment="1">
      <alignment vertical="top" wrapText="1" shrinkToFit="1"/>
    </xf>
    <xf numFmtId="0" fontId="40" fillId="6" borderId="48" xfId="0" applyFont="1" applyFill="1" applyBorder="1" applyAlignment="1">
      <alignment vertical="top" wrapText="1" shrinkToFit="1"/>
    </xf>
    <xf numFmtId="0" fontId="108" fillId="6" borderId="39" xfId="0" applyFont="1" applyFill="1" applyBorder="1" applyAlignment="1">
      <alignment vertical="top" wrapText="1" shrinkToFit="1"/>
    </xf>
    <xf numFmtId="0" fontId="108" fillId="6" borderId="62" xfId="0" applyFont="1" applyFill="1" applyBorder="1" applyAlignment="1">
      <alignment vertical="top" wrapText="1" shrinkToFit="1"/>
    </xf>
    <xf numFmtId="0" fontId="40" fillId="6" borderId="62" xfId="0" applyFont="1" applyFill="1" applyBorder="1" applyAlignment="1">
      <alignment horizontal="left" vertical="top" wrapText="1" shrinkToFit="1"/>
    </xf>
    <xf numFmtId="0" fontId="40" fillId="6" borderId="48" xfId="0" applyFont="1" applyFill="1" applyBorder="1" applyAlignment="1">
      <alignment horizontal="left" vertical="top" wrapText="1" shrinkToFit="1"/>
    </xf>
    <xf numFmtId="0" fontId="144" fillId="16" borderId="4" xfId="0" applyFont="1" applyFill="1" applyBorder="1" applyAlignment="1">
      <alignment horizontal="center" vertical="center"/>
    </xf>
    <xf numFmtId="0" fontId="93" fillId="16" borderId="4" xfId="0" applyFont="1" applyFill="1" applyBorder="1" applyAlignment="1">
      <alignment horizontal="center" vertical="center"/>
    </xf>
    <xf numFmtId="0" fontId="0" fillId="0" borderId="62" xfId="0" applyBorder="1" applyAlignment="1">
      <alignment horizontal="center" vertical="center" wrapText="1" shrinkToFit="1"/>
    </xf>
    <xf numFmtId="0" fontId="0" fillId="0" borderId="48" xfId="0" applyBorder="1" applyAlignment="1">
      <alignment horizontal="center" vertical="center" wrapText="1" shrinkToFit="1"/>
    </xf>
    <xf numFmtId="179" fontId="94" fillId="0" borderId="4" xfId="0" applyNumberFormat="1" applyFont="1" applyBorder="1" applyAlignment="1">
      <alignment horizontal="left" vertical="top" wrapText="1"/>
    </xf>
    <xf numFmtId="0" fontId="94" fillId="0" borderId="4" xfId="0" applyFont="1" applyBorder="1" applyAlignment="1">
      <alignment vertical="center"/>
    </xf>
    <xf numFmtId="49" fontId="94" fillId="0" borderId="53" xfId="4" quotePrefix="1" applyNumberFormat="1" applyFont="1" applyBorder="1" applyAlignment="1">
      <alignment vertical="top" wrapText="1"/>
    </xf>
    <xf numFmtId="49" fontId="94" fillId="0" borderId="65" xfId="4" applyNumberFormat="1" applyFont="1" applyBorder="1" applyAlignment="1">
      <alignment vertical="top" wrapText="1"/>
    </xf>
    <xf numFmtId="49" fontId="94" fillId="0" borderId="66" xfId="4" applyNumberFormat="1" applyFont="1" applyBorder="1" applyAlignment="1">
      <alignment vertical="top" wrapText="1"/>
    </xf>
    <xf numFmtId="49" fontId="94" fillId="0" borderId="69" xfId="4" applyNumberFormat="1" applyFont="1" applyBorder="1" applyAlignment="1">
      <alignment vertical="top" wrapText="1"/>
    </xf>
    <xf numFmtId="49" fontId="94" fillId="0" borderId="0" xfId="4" applyNumberFormat="1" applyFont="1" applyBorder="1" applyAlignment="1">
      <alignment vertical="top" wrapText="1"/>
    </xf>
    <xf numFmtId="49" fontId="94" fillId="0" borderId="70" xfId="4" applyNumberFormat="1" applyFont="1" applyBorder="1" applyAlignment="1">
      <alignment vertical="top" wrapText="1"/>
    </xf>
    <xf numFmtId="49" fontId="94" fillId="0" borderId="71" xfId="4" applyNumberFormat="1" applyFont="1" applyBorder="1" applyAlignment="1">
      <alignment vertical="top" wrapText="1"/>
    </xf>
    <xf numFmtId="49" fontId="94" fillId="0" borderId="2" xfId="4" applyNumberFormat="1" applyFont="1" applyBorder="1" applyAlignment="1">
      <alignment vertical="top" wrapText="1"/>
    </xf>
    <xf numFmtId="49" fontId="94" fillId="0" borderId="72" xfId="4" applyNumberFormat="1" applyFont="1" applyBorder="1" applyAlignment="1">
      <alignment vertical="top" wrapText="1"/>
    </xf>
    <xf numFmtId="0" fontId="144" fillId="16" borderId="42" xfId="0" applyFont="1" applyFill="1" applyBorder="1" applyAlignment="1">
      <alignment horizontal="left" vertical="center"/>
    </xf>
    <xf numFmtId="0" fontId="0" fillId="0" borderId="64" xfId="0" applyFont="1" applyBorder="1" applyAlignment="1">
      <alignment horizontal="left" vertical="center"/>
    </xf>
    <xf numFmtId="0" fontId="0" fillId="0" borderId="64" xfId="0" applyBorder="1" applyAlignment="1">
      <alignment vertical="center"/>
    </xf>
    <xf numFmtId="0" fontId="0" fillId="0" borderId="6" xfId="0" applyBorder="1" applyAlignment="1">
      <alignment vertical="center"/>
    </xf>
    <xf numFmtId="0" fontId="108" fillId="6" borderId="62" xfId="0" applyNumberFormat="1" applyFont="1" applyFill="1" applyBorder="1" applyAlignment="1">
      <alignment horizontal="left" vertical="top" wrapText="1" shrinkToFit="1"/>
    </xf>
    <xf numFmtId="0" fontId="108" fillId="6" borderId="48" xfId="0" applyNumberFormat="1" applyFont="1" applyFill="1" applyBorder="1" applyAlignment="1">
      <alignment horizontal="left" vertical="top" wrapText="1" shrinkToFit="1"/>
    </xf>
    <xf numFmtId="0" fontId="34" fillId="8" borderId="62" xfId="0" applyFont="1" applyFill="1" applyBorder="1" applyAlignment="1">
      <alignment horizontal="center" vertical="center" wrapText="1" shrinkToFit="1"/>
    </xf>
    <xf numFmtId="0" fontId="34" fillId="8" borderId="48" xfId="0" applyFont="1" applyFill="1" applyBorder="1" applyAlignment="1">
      <alignment horizontal="center" vertical="center" wrapText="1" shrinkToFit="1"/>
    </xf>
    <xf numFmtId="0" fontId="108" fillId="6" borderId="48" xfId="0" applyFont="1" applyFill="1" applyBorder="1" applyAlignment="1">
      <alignment vertical="top" wrapText="1" shrinkToFit="1"/>
    </xf>
    <xf numFmtId="0" fontId="108" fillId="0" borderId="4" xfId="0" applyFont="1" applyBorder="1" applyAlignment="1">
      <alignment horizontal="left" vertical="center" wrapText="1"/>
    </xf>
    <xf numFmtId="0" fontId="40" fillId="0" borderId="4" xfId="0" applyFont="1" applyBorder="1" applyAlignment="1">
      <alignment horizontal="left" vertical="center" wrapText="1"/>
    </xf>
    <xf numFmtId="0" fontId="108" fillId="8" borderId="4" xfId="0" applyFont="1" applyFill="1" applyBorder="1" applyAlignment="1">
      <alignment horizontal="center" vertical="center" wrapText="1"/>
    </xf>
    <xf numFmtId="0" fontId="40" fillId="8" borderId="4" xfId="0" applyFont="1" applyFill="1" applyBorder="1" applyAlignment="1">
      <alignment horizontal="center" vertical="center" wrapText="1"/>
    </xf>
    <xf numFmtId="0" fontId="0" fillId="8" borderId="4" xfId="0" applyFill="1" applyBorder="1" applyAlignment="1">
      <alignment horizontal="center" vertical="center" wrapText="1"/>
    </xf>
    <xf numFmtId="0" fontId="137" fillId="16" borderId="4" xfId="0" applyFont="1" applyFill="1" applyBorder="1" applyAlignment="1">
      <alignment horizontal="center" vertical="center" shrinkToFit="1"/>
    </xf>
    <xf numFmtId="0" fontId="116" fillId="0" borderId="73" xfId="0" applyFont="1" applyBorder="1" applyAlignment="1">
      <alignment horizontal="center"/>
    </xf>
    <xf numFmtId="0" fontId="116" fillId="0" borderId="74" xfId="0" applyFont="1" applyBorder="1" applyAlignment="1">
      <alignment horizontal="center"/>
    </xf>
    <xf numFmtId="0" fontId="113" fillId="0" borderId="74" xfId="0" applyFont="1" applyBorder="1" applyAlignment="1"/>
    <xf numFmtId="0" fontId="113" fillId="0" borderId="75" xfId="0" applyFont="1" applyBorder="1" applyAlignment="1"/>
    <xf numFmtId="0" fontId="113" fillId="0" borderId="9" xfId="0" applyFont="1" applyBorder="1" applyAlignment="1">
      <alignment vertical="top" wrapText="1"/>
    </xf>
    <xf numFmtId="0" fontId="113" fillId="0" borderId="34" xfId="0" applyFont="1" applyBorder="1" applyAlignment="1">
      <alignment vertical="top" wrapText="1"/>
    </xf>
    <xf numFmtId="0" fontId="113" fillId="0" borderId="8" xfId="0" applyFont="1" applyBorder="1" applyAlignment="1">
      <alignment vertical="top" wrapText="1"/>
    </xf>
    <xf numFmtId="0" fontId="113" fillId="0" borderId="12" xfId="0" applyFont="1" applyBorder="1" applyAlignment="1">
      <alignment vertical="top" wrapText="1"/>
    </xf>
    <xf numFmtId="0" fontId="113" fillId="0" borderId="0" xfId="0" applyFont="1" applyAlignment="1">
      <alignment vertical="top" wrapText="1"/>
    </xf>
    <xf numFmtId="0" fontId="113" fillId="0" borderId="11" xfId="0" applyFont="1" applyBorder="1" applyAlignment="1">
      <alignment vertical="top" wrapText="1"/>
    </xf>
    <xf numFmtId="0" fontId="113" fillId="0" borderId="15" xfId="0" applyFont="1" applyBorder="1" applyAlignment="1">
      <alignment vertical="top" wrapText="1"/>
    </xf>
    <xf numFmtId="0" fontId="113" fillId="0" borderId="23" xfId="0" applyFont="1" applyBorder="1" applyAlignment="1">
      <alignment vertical="top" wrapText="1"/>
    </xf>
    <xf numFmtId="0" fontId="113" fillId="0" borderId="14" xfId="0" applyFont="1" applyBorder="1" applyAlignment="1">
      <alignment vertical="top" wrapText="1"/>
    </xf>
    <xf numFmtId="0" fontId="116" fillId="0" borderId="58" xfId="0" applyFont="1" applyBorder="1" applyAlignment="1">
      <alignment horizontal="left" vertical="center"/>
    </xf>
    <xf numFmtId="0" fontId="113" fillId="0" borderId="60" xfId="0" applyFont="1" applyBorder="1" applyAlignment="1">
      <alignment horizontal="left" vertical="center"/>
    </xf>
    <xf numFmtId="0" fontId="113" fillId="9" borderId="58" xfId="0" applyFont="1" applyFill="1" applyBorder="1" applyAlignment="1">
      <alignment horizontal="left" vertical="center"/>
    </xf>
    <xf numFmtId="0" fontId="113" fillId="9" borderId="59" xfId="0" applyFont="1" applyFill="1" applyBorder="1" applyAlignment="1">
      <alignment horizontal="left" vertical="center"/>
    </xf>
    <xf numFmtId="0" fontId="116" fillId="16" borderId="25" xfId="0" applyFont="1" applyFill="1" applyBorder="1" applyAlignment="1">
      <alignment horizontal="center" vertical="center"/>
    </xf>
    <xf numFmtId="0" fontId="113" fillId="16" borderId="26" xfId="0" applyFont="1" applyFill="1" applyBorder="1" applyAlignment="1">
      <alignment horizontal="center" vertical="center"/>
    </xf>
    <xf numFmtId="0" fontId="0" fillId="0" borderId="28" xfId="0" applyBorder="1" applyAlignment="1">
      <alignment horizontal="center" vertical="center"/>
    </xf>
    <xf numFmtId="0" fontId="0" fillId="0" borderId="4" xfId="0" applyBorder="1" applyAlignment="1">
      <alignment horizontal="center" vertical="center"/>
    </xf>
    <xf numFmtId="0" fontId="102" fillId="16" borderId="26" xfId="0" applyFont="1" applyFill="1" applyBorder="1" applyAlignment="1">
      <alignment horizontal="center" vertical="center"/>
    </xf>
    <xf numFmtId="0" fontId="0" fillId="0" borderId="27" xfId="0" applyBorder="1" applyAlignment="1"/>
    <xf numFmtId="0" fontId="113" fillId="6" borderId="28" xfId="0" applyFont="1" applyFill="1" applyBorder="1" applyAlignment="1">
      <alignment horizontal="center" vertical="center"/>
    </xf>
    <xf numFmtId="0" fontId="0" fillId="6" borderId="4" xfId="0" applyFill="1" applyBorder="1" applyAlignment="1">
      <alignment horizontal="center" vertical="center"/>
    </xf>
    <xf numFmtId="0" fontId="0" fillId="6" borderId="28" xfId="0" applyFill="1" applyBorder="1" applyAlignment="1">
      <alignment horizontal="center" vertical="center"/>
    </xf>
    <xf numFmtId="180" fontId="116" fillId="12" borderId="4" xfId="0" applyNumberFormat="1" applyFont="1" applyFill="1" applyBorder="1" applyAlignment="1">
      <alignment horizontal="center" vertical="center"/>
    </xf>
    <xf numFmtId="0" fontId="102" fillId="12" borderId="29" xfId="0" applyFont="1" applyFill="1" applyBorder="1" applyAlignment="1"/>
    <xf numFmtId="180" fontId="102" fillId="12" borderId="4" xfId="0" applyNumberFormat="1" applyFont="1" applyFill="1" applyBorder="1" applyAlignment="1">
      <alignment horizontal="center" vertical="center"/>
    </xf>
    <xf numFmtId="0" fontId="116" fillId="11" borderId="4" xfId="0" applyFont="1" applyFill="1" applyBorder="1" applyAlignment="1">
      <alignment horizontal="center" vertical="center"/>
    </xf>
    <xf numFmtId="0" fontId="102" fillId="0" borderId="29" xfId="0" applyFont="1" applyBorder="1" applyAlignment="1"/>
    <xf numFmtId="0" fontId="102" fillId="11" borderId="4" xfId="0" applyFont="1" applyFill="1" applyBorder="1" applyAlignment="1">
      <alignment horizontal="center" vertical="center"/>
    </xf>
    <xf numFmtId="0" fontId="116" fillId="0" borderId="15" xfId="0" applyFont="1" applyBorder="1" applyAlignment="1">
      <alignment horizontal="center"/>
    </xf>
    <xf numFmtId="0" fontId="116" fillId="0" borderId="23" xfId="0" applyFont="1" applyBorder="1" applyAlignment="1">
      <alignment horizontal="center"/>
    </xf>
    <xf numFmtId="0" fontId="116" fillId="0" borderId="14" xfId="0" applyFont="1" applyBorder="1" applyAlignment="1">
      <alignment horizontal="center"/>
    </xf>
    <xf numFmtId="0" fontId="0" fillId="6" borderId="30" xfId="0" applyFill="1" applyBorder="1" applyAlignment="1">
      <alignment horizontal="center" vertical="center"/>
    </xf>
    <xf numFmtId="0" fontId="0" fillId="6" borderId="31" xfId="0" applyFill="1" applyBorder="1" applyAlignment="1">
      <alignment horizontal="center" vertical="center"/>
    </xf>
    <xf numFmtId="0" fontId="102" fillId="11" borderId="31" xfId="0" applyFont="1" applyFill="1" applyBorder="1" applyAlignment="1">
      <alignment horizontal="center" vertical="center"/>
    </xf>
    <xf numFmtId="0" fontId="102" fillId="0" borderId="32" xfId="0" applyFont="1" applyBorder="1" applyAlignment="1"/>
    <xf numFmtId="0" fontId="113" fillId="6" borderId="76" xfId="0" applyFont="1" applyFill="1" applyBorder="1" applyAlignment="1">
      <alignment horizontal="center" vertical="center"/>
    </xf>
    <xf numFmtId="0" fontId="113" fillId="6" borderId="66" xfId="0" applyFont="1" applyFill="1" applyBorder="1" applyAlignment="1">
      <alignment horizontal="center" vertical="center"/>
    </xf>
    <xf numFmtId="0" fontId="113" fillId="6" borderId="38" xfId="0" applyFont="1" applyFill="1" applyBorder="1" applyAlignment="1">
      <alignment horizontal="center" vertical="center"/>
    </xf>
    <xf numFmtId="0" fontId="113" fillId="6" borderId="72" xfId="0" applyFont="1" applyFill="1" applyBorder="1" applyAlignment="1">
      <alignment horizontal="center" vertical="center"/>
    </xf>
    <xf numFmtId="184" fontId="116" fillId="12" borderId="53" xfId="0" applyNumberFormat="1" applyFont="1" applyFill="1" applyBorder="1" applyAlignment="1">
      <alignment horizontal="center" vertical="center"/>
    </xf>
    <xf numFmtId="184" fontId="116" fillId="12" borderId="57" xfId="0" applyNumberFormat="1" applyFont="1" applyFill="1" applyBorder="1" applyAlignment="1">
      <alignment horizontal="center" vertical="center"/>
    </xf>
    <xf numFmtId="184" fontId="116" fillId="12" borderId="71" xfId="0" applyNumberFormat="1" applyFont="1" applyFill="1" applyBorder="1" applyAlignment="1">
      <alignment horizontal="center" vertical="center"/>
    </xf>
    <xf numFmtId="184" fontId="116" fillId="12" borderId="44" xfId="0" applyNumberFormat="1" applyFont="1" applyFill="1" applyBorder="1" applyAlignment="1">
      <alignment horizontal="center" vertical="center"/>
    </xf>
    <xf numFmtId="0" fontId="0" fillId="6" borderId="52" xfId="0" applyFill="1" applyBorder="1" applyAlignment="1">
      <alignment horizontal="center" vertical="center"/>
    </xf>
    <xf numFmtId="0" fontId="0" fillId="6" borderId="39" xfId="0" applyFill="1" applyBorder="1" applyAlignment="1">
      <alignment horizontal="center" vertical="center"/>
    </xf>
    <xf numFmtId="0" fontId="102" fillId="11" borderId="39" xfId="0" applyFont="1" applyFill="1" applyBorder="1" applyAlignment="1">
      <alignment horizontal="center" vertical="center"/>
    </xf>
    <xf numFmtId="0" fontId="102" fillId="0" borderId="40" xfId="0" applyFont="1" applyBorder="1" applyAlignment="1"/>
    <xf numFmtId="0" fontId="116" fillId="16" borderId="9" xfId="0" applyFont="1" applyFill="1" applyBorder="1" applyAlignment="1">
      <alignment horizontal="center" vertical="center"/>
    </xf>
    <xf numFmtId="0" fontId="0" fillId="0" borderId="34" xfId="0" applyBorder="1" applyAlignment="1">
      <alignment horizontal="center" vertical="center"/>
    </xf>
    <xf numFmtId="0" fontId="0" fillId="0" borderId="12" xfId="0" applyBorder="1" applyAlignment="1">
      <alignment horizontal="center" vertical="center"/>
    </xf>
    <xf numFmtId="0" fontId="0" fillId="0" borderId="0" xfId="0" applyAlignment="1">
      <alignment horizontal="center" vertical="center"/>
    </xf>
    <xf numFmtId="0" fontId="113" fillId="8" borderId="25" xfId="0" applyFont="1" applyFill="1" applyBorder="1" applyAlignment="1">
      <alignment horizontal="center" vertical="center" wrapText="1"/>
    </xf>
    <xf numFmtId="0" fontId="113" fillId="8" borderId="52" xfId="0" applyFont="1" applyFill="1" applyBorder="1" applyAlignment="1">
      <alignment horizontal="center" vertical="center" wrapText="1"/>
    </xf>
    <xf numFmtId="0" fontId="113" fillId="8" borderId="30" xfId="0" applyFont="1" applyFill="1" applyBorder="1" applyAlignment="1">
      <alignment horizontal="center" vertical="center" wrapText="1"/>
    </xf>
    <xf numFmtId="0" fontId="0" fillId="0" borderId="8"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27" xfId="0" applyBorder="1" applyAlignment="1">
      <alignment horizontal="center" vertical="center"/>
    </xf>
    <xf numFmtId="0" fontId="0" fillId="0" borderId="30"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113" fillId="8" borderId="25" xfId="0" applyFont="1" applyFill="1" applyBorder="1" applyAlignment="1">
      <alignment horizontal="center" vertical="center"/>
    </xf>
    <xf numFmtId="0" fontId="0" fillId="8" borderId="26" xfId="0" applyFill="1" applyBorder="1" applyAlignment="1">
      <alignment horizontal="center" vertical="center"/>
    </xf>
    <xf numFmtId="0" fontId="0" fillId="0" borderId="41" xfId="0" applyBorder="1" applyAlignment="1">
      <alignment horizontal="center" vertical="center"/>
    </xf>
    <xf numFmtId="0" fontId="0" fillId="0" borderId="45" xfId="0" applyBorder="1" applyAlignment="1">
      <alignment horizontal="center" vertical="center"/>
    </xf>
    <xf numFmtId="0" fontId="113" fillId="8" borderId="41" xfId="0" applyFont="1" applyFill="1" applyBorder="1" applyAlignment="1">
      <alignment horizontal="center" vertical="center"/>
    </xf>
    <xf numFmtId="0" fontId="0" fillId="0" borderId="43" xfId="0" applyBorder="1" applyAlignment="1">
      <alignment horizontal="center" vertical="center"/>
    </xf>
    <xf numFmtId="0" fontId="113" fillId="9" borderId="30" xfId="0" applyFont="1" applyFill="1" applyBorder="1" applyAlignment="1">
      <alignment horizontal="center" vertical="center"/>
    </xf>
    <xf numFmtId="0" fontId="0" fillId="0" borderId="31" xfId="0" applyBorder="1" applyAlignment="1">
      <alignment horizontal="center" vertical="center"/>
    </xf>
    <xf numFmtId="0" fontId="113" fillId="16" borderId="27" xfId="0" applyFont="1" applyFill="1" applyBorder="1" applyAlignment="1">
      <alignment horizontal="center" vertical="center"/>
    </xf>
    <xf numFmtId="0" fontId="113" fillId="10" borderId="45" xfId="0" quotePrefix="1" applyFont="1" applyFill="1" applyBorder="1" applyAlignment="1">
      <alignment horizontal="center" vertical="center"/>
    </xf>
    <xf numFmtId="0" fontId="0" fillId="0" borderId="46" xfId="0" applyBorder="1" applyAlignment="1">
      <alignment horizontal="center" vertical="center"/>
    </xf>
    <xf numFmtId="0" fontId="116" fillId="16" borderId="25" xfId="0" applyNumberFormat="1" applyFont="1" applyFill="1" applyBorder="1" applyAlignment="1">
      <alignment horizontal="center" vertical="center"/>
    </xf>
    <xf numFmtId="0" fontId="0" fillId="0" borderId="27" xfId="0" applyNumberFormat="1" applyBorder="1" applyAlignment="1">
      <alignment horizontal="center" vertical="center"/>
    </xf>
    <xf numFmtId="0" fontId="0" fillId="0" borderId="30" xfId="0" applyNumberFormat="1" applyBorder="1" applyAlignment="1">
      <alignment horizontal="center" vertical="center"/>
    </xf>
    <xf numFmtId="0" fontId="0" fillId="0" borderId="32" xfId="0" applyNumberFormat="1" applyBorder="1" applyAlignment="1">
      <alignment horizontal="center" vertical="center"/>
    </xf>
    <xf numFmtId="0" fontId="113" fillId="8" borderId="26" xfId="0" applyNumberFormat="1" applyFont="1" applyFill="1" applyBorder="1" applyAlignment="1">
      <alignment horizontal="center" vertical="center"/>
    </xf>
    <xf numFmtId="0" fontId="0" fillId="0" borderId="26" xfId="0" applyNumberFormat="1" applyBorder="1" applyAlignment="1">
      <alignment horizontal="center" vertical="center"/>
    </xf>
    <xf numFmtId="0" fontId="113" fillId="10" borderId="31" xfId="0" quotePrefix="1" applyNumberFormat="1" applyFont="1" applyFill="1" applyBorder="1" applyAlignment="1">
      <alignment horizontal="center" vertical="center"/>
    </xf>
    <xf numFmtId="0" fontId="0" fillId="0" borderId="31" xfId="0" applyNumberFormat="1" applyBorder="1" applyAlignment="1">
      <alignment horizontal="center" vertical="center"/>
    </xf>
    <xf numFmtId="0" fontId="113" fillId="8" borderId="25" xfId="0" applyNumberFormat="1" applyFont="1" applyFill="1" applyBorder="1" applyAlignment="1">
      <alignment horizontal="center" vertical="center"/>
    </xf>
    <xf numFmtId="0" fontId="0" fillId="0" borderId="27" xfId="0" applyNumberFormat="1" applyBorder="1" applyAlignment="1">
      <alignment vertical="center"/>
    </xf>
    <xf numFmtId="0" fontId="113" fillId="20" borderId="30" xfId="0" applyNumberFormat="1" applyFont="1" applyFill="1" applyBorder="1" applyAlignment="1">
      <alignment horizontal="center" vertical="center"/>
    </xf>
    <xf numFmtId="0" fontId="0" fillId="8" borderId="26" xfId="0" applyNumberFormat="1" applyFill="1" applyBorder="1" applyAlignment="1">
      <alignment horizontal="center" vertical="center"/>
    </xf>
    <xf numFmtId="0" fontId="0" fillId="0" borderId="52" xfId="0" applyNumberFormat="1" applyBorder="1" applyAlignment="1">
      <alignment horizontal="center" vertical="center"/>
    </xf>
    <xf numFmtId="0" fontId="0" fillId="0" borderId="40" xfId="0" applyNumberFormat="1" applyBorder="1" applyAlignment="1">
      <alignment horizontal="center" vertical="center"/>
    </xf>
    <xf numFmtId="0" fontId="116" fillId="0" borderId="15" xfId="0" applyNumberFormat="1" applyFont="1" applyBorder="1" applyAlignment="1">
      <alignment horizontal="center"/>
    </xf>
    <xf numFmtId="0" fontId="116" fillId="0" borderId="23" xfId="0" applyNumberFormat="1" applyFont="1" applyBorder="1" applyAlignment="1">
      <alignment horizontal="center"/>
    </xf>
    <xf numFmtId="0" fontId="116" fillId="0" borderId="14" xfId="0" applyNumberFormat="1" applyFont="1" applyBorder="1" applyAlignment="1">
      <alignment horizontal="center"/>
    </xf>
    <xf numFmtId="0" fontId="116" fillId="0" borderId="18" xfId="0" applyNumberFormat="1" applyFont="1" applyBorder="1" applyAlignment="1">
      <alignment horizontal="center"/>
    </xf>
    <xf numFmtId="0" fontId="116" fillId="0" borderId="19" xfId="0" applyNumberFormat="1" applyFont="1" applyBorder="1" applyAlignment="1">
      <alignment horizontal="center"/>
    </xf>
    <xf numFmtId="0" fontId="116" fillId="0" borderId="17" xfId="0" applyNumberFormat="1" applyFont="1" applyBorder="1" applyAlignment="1">
      <alignment horizontal="center"/>
    </xf>
    <xf numFmtId="0" fontId="113" fillId="8" borderId="20" xfId="0" applyNumberFormat="1" applyFont="1" applyFill="1" applyBorder="1" applyAlignment="1">
      <alignment horizontal="center" vertical="center" wrapText="1"/>
    </xf>
    <xf numFmtId="0" fontId="113" fillId="8" borderId="77" xfId="0" applyNumberFormat="1" applyFont="1" applyFill="1" applyBorder="1" applyAlignment="1">
      <alignment horizontal="center" vertical="center" wrapText="1"/>
    </xf>
    <xf numFmtId="0" fontId="113" fillId="16" borderId="27" xfId="0" applyNumberFormat="1" applyFont="1" applyFill="1" applyBorder="1" applyAlignment="1">
      <alignment horizontal="center" vertical="center"/>
    </xf>
    <xf numFmtId="0" fontId="113" fillId="9" borderId="31" xfId="0" applyNumberFormat="1" applyFont="1" applyFill="1" applyBorder="1" applyAlignment="1">
      <alignment horizontal="center" vertical="center"/>
    </xf>
    <xf numFmtId="0" fontId="0" fillId="0" borderId="31" xfId="0" applyNumberFormat="1" applyBorder="1" applyAlignment="1">
      <alignment vertical="center"/>
    </xf>
    <xf numFmtId="0" fontId="113" fillId="9" borderId="46" xfId="0" applyNumberFormat="1" applyFont="1" applyFill="1" applyBorder="1" applyAlignment="1">
      <alignment horizontal="center" vertical="center"/>
    </xf>
    <xf numFmtId="0" fontId="0" fillId="0" borderId="26" xfId="0" applyNumberFormat="1" applyBorder="1" applyAlignment="1">
      <alignment vertical="center"/>
    </xf>
    <xf numFmtId="0" fontId="116" fillId="16" borderId="9" xfId="0" applyNumberFormat="1" applyFont="1" applyFill="1" applyBorder="1" applyAlignment="1">
      <alignment horizontal="center" vertical="center"/>
    </xf>
    <xf numFmtId="0" fontId="0" fillId="0" borderId="8" xfId="0" applyNumberFormat="1" applyBorder="1" applyAlignment="1">
      <alignment horizontal="center" vertical="center"/>
    </xf>
    <xf numFmtId="0" fontId="0" fillId="0" borderId="15" xfId="0" applyNumberFormat="1" applyBorder="1" applyAlignment="1">
      <alignment horizontal="center" vertical="center"/>
    </xf>
    <xf numFmtId="0" fontId="0" fillId="0" borderId="14" xfId="0" applyNumberFormat="1" applyBorder="1" applyAlignment="1">
      <alignment horizontal="center" vertical="center"/>
    </xf>
    <xf numFmtId="0" fontId="144" fillId="9" borderId="4" xfId="0" applyNumberFormat="1" applyFont="1" applyFill="1" applyBorder="1" applyAlignment="1">
      <alignment horizontal="left" vertical="center" shrinkToFit="1"/>
    </xf>
    <xf numFmtId="0" fontId="144" fillId="0" borderId="4" xfId="0" applyNumberFormat="1" applyFont="1" applyBorder="1" applyAlignment="1">
      <alignment horizontal="left" vertical="center" shrinkToFit="1"/>
    </xf>
    <xf numFmtId="0" fontId="5" fillId="0" borderId="4" xfId="0" applyNumberFormat="1" applyFont="1" applyBorder="1" applyAlignment="1">
      <alignment vertical="center"/>
    </xf>
    <xf numFmtId="0" fontId="5" fillId="0" borderId="29" xfId="0" applyFont="1" applyBorder="1" applyAlignment="1">
      <alignment vertical="center"/>
    </xf>
    <xf numFmtId="0" fontId="144" fillId="20" borderId="31" xfId="0" applyNumberFormat="1" applyFont="1" applyFill="1" applyBorder="1" applyAlignment="1">
      <alignment horizontal="left" vertical="center" shrinkToFit="1"/>
    </xf>
    <xf numFmtId="0" fontId="5" fillId="20" borderId="31" xfId="0" applyNumberFormat="1" applyFont="1" applyFill="1" applyBorder="1" applyAlignment="1">
      <alignment vertical="center" shrinkToFit="1"/>
    </xf>
    <xf numFmtId="0" fontId="5" fillId="0" borderId="32" xfId="0" applyFont="1" applyBorder="1" applyAlignment="1">
      <alignment vertical="center"/>
    </xf>
    <xf numFmtId="0" fontId="113" fillId="8" borderId="21" xfId="0" applyNumberFormat="1" applyFont="1" applyFill="1" applyBorder="1" applyAlignment="1">
      <alignment horizontal="center" vertical="center" wrapText="1"/>
    </xf>
    <xf numFmtId="0" fontId="116" fillId="0" borderId="0" xfId="0" applyNumberFormat="1" applyFont="1" applyAlignment="1">
      <alignment vertical="top" wrapText="1"/>
    </xf>
    <xf numFmtId="0" fontId="4" fillId="0" borderId="0" xfId="0" applyNumberFormat="1" applyFont="1" applyAlignment="1">
      <alignment vertical="top"/>
    </xf>
    <xf numFmtId="0" fontId="0" fillId="0" borderId="0" xfId="0" applyAlignment="1">
      <alignment vertical="top"/>
    </xf>
    <xf numFmtId="0" fontId="116" fillId="16" borderId="78" xfId="0" applyNumberFormat="1" applyFont="1" applyFill="1" applyBorder="1" applyAlignment="1">
      <alignment horizontal="center" vertical="center"/>
    </xf>
    <xf numFmtId="0" fontId="116" fillId="16" borderId="38" xfId="0" applyNumberFormat="1" applyFont="1" applyFill="1" applyBorder="1" applyAlignment="1">
      <alignment horizontal="center" vertical="center"/>
    </xf>
    <xf numFmtId="0" fontId="116" fillId="16" borderId="72" xfId="0" applyNumberFormat="1" applyFont="1" applyFill="1" applyBorder="1" applyAlignment="1">
      <alignment horizontal="center" vertical="center"/>
    </xf>
    <xf numFmtId="0" fontId="113" fillId="16" borderId="26" xfId="0" applyNumberFormat="1" applyFont="1" applyFill="1" applyBorder="1" applyAlignment="1">
      <alignment horizontal="center" vertical="center"/>
    </xf>
    <xf numFmtId="0" fontId="0" fillId="0" borderId="28" xfId="0" applyNumberFormat="1" applyBorder="1" applyAlignment="1">
      <alignment horizontal="center" vertical="center"/>
    </xf>
    <xf numFmtId="0" fontId="0" fillId="0" borderId="4" xfId="0" applyNumberFormat="1" applyBorder="1" applyAlignment="1">
      <alignment horizontal="center" vertical="center"/>
    </xf>
    <xf numFmtId="0" fontId="0" fillId="0" borderId="0" xfId="0" applyAlignment="1">
      <alignment vertical="top" wrapText="1"/>
    </xf>
    <xf numFmtId="0" fontId="113" fillId="8" borderId="41" xfId="0" applyNumberFormat="1" applyFont="1" applyFill="1" applyBorder="1" applyAlignment="1">
      <alignment horizontal="center" vertical="center"/>
    </xf>
    <xf numFmtId="0" fontId="0" fillId="0" borderId="43" xfId="0" applyNumberFormat="1" applyBorder="1" applyAlignment="1">
      <alignment horizontal="center" vertical="center"/>
    </xf>
    <xf numFmtId="0" fontId="113" fillId="10" borderId="45" xfId="0" quotePrefix="1" applyNumberFormat="1" applyFont="1" applyFill="1" applyBorder="1" applyAlignment="1">
      <alignment horizontal="center" vertical="center"/>
    </xf>
    <xf numFmtId="0" fontId="0" fillId="0" borderId="46" xfId="0" applyNumberFormat="1" applyBorder="1" applyAlignment="1">
      <alignment horizontal="center" vertical="center"/>
    </xf>
    <xf numFmtId="0" fontId="0" fillId="0" borderId="18" xfId="0" applyBorder="1" applyAlignment="1"/>
    <xf numFmtId="0" fontId="0" fillId="0" borderId="19" xfId="0" applyBorder="1" applyAlignment="1"/>
    <xf numFmtId="0" fontId="0" fillId="0" borderId="17" xfId="0" applyBorder="1" applyAlignment="1"/>
    <xf numFmtId="49" fontId="0" fillId="0" borderId="2" xfId="7" quotePrefix="1" applyNumberFormat="1" applyFont="1" applyBorder="1" applyAlignment="1" applyProtection="1"/>
    <xf numFmtId="49" fontId="100" fillId="0" borderId="2" xfId="7" quotePrefix="1" applyNumberFormat="1" applyFont="1" applyBorder="1" applyAlignment="1" applyProtection="1"/>
    <xf numFmtId="182" fontId="102" fillId="4" borderId="18" xfId="0" applyNumberFormat="1" applyFont="1" applyFill="1" applyBorder="1" applyAlignment="1">
      <alignment horizontal="center" vertical="center"/>
    </xf>
    <xf numFmtId="182" fontId="102" fillId="4" borderId="19" xfId="0" applyNumberFormat="1" applyFont="1" applyFill="1" applyBorder="1" applyAlignment="1">
      <alignment horizontal="center" vertical="center"/>
    </xf>
    <xf numFmtId="182" fontId="102" fillId="4" borderId="17" xfId="0" applyNumberFormat="1" applyFont="1" applyFill="1" applyBorder="1" applyAlignment="1">
      <alignment horizontal="center" vertical="center"/>
    </xf>
    <xf numFmtId="0" fontId="102" fillId="4" borderId="18" xfId="0" applyFont="1" applyFill="1" applyBorder="1" applyAlignment="1">
      <alignment horizontal="left" vertical="center"/>
    </xf>
    <xf numFmtId="0" fontId="102" fillId="4" borderId="19" xfId="0" applyFont="1" applyFill="1" applyBorder="1" applyAlignment="1">
      <alignment horizontal="left" vertical="center"/>
    </xf>
    <xf numFmtId="0" fontId="102" fillId="4" borderId="17" xfId="0" applyFont="1" applyFill="1" applyBorder="1" applyAlignment="1">
      <alignment horizontal="left" vertical="center"/>
    </xf>
    <xf numFmtId="0" fontId="102" fillId="5" borderId="18" xfId="0" applyFont="1" applyFill="1" applyBorder="1" applyAlignment="1">
      <alignment horizontal="center" vertical="center"/>
    </xf>
    <xf numFmtId="0" fontId="0" fillId="0" borderId="19" xfId="0" applyBorder="1" applyAlignment="1">
      <alignment horizontal="center" vertical="center"/>
    </xf>
    <xf numFmtId="0" fontId="0" fillId="0" borderId="17" xfId="0" applyBorder="1" applyAlignment="1">
      <alignment horizontal="center" vertical="center"/>
    </xf>
    <xf numFmtId="0" fontId="102" fillId="5" borderId="18" xfId="0" applyFont="1" applyFill="1" applyBorder="1" applyAlignment="1">
      <alignment horizontal="left" vertical="center"/>
    </xf>
    <xf numFmtId="0" fontId="0" fillId="5" borderId="19" xfId="0" applyFill="1" applyBorder="1" applyAlignment="1">
      <alignment horizontal="left" vertical="center"/>
    </xf>
    <xf numFmtId="0" fontId="0" fillId="5" borderId="17" xfId="0" applyFill="1" applyBorder="1" applyAlignment="1">
      <alignment horizontal="left" vertical="center"/>
    </xf>
    <xf numFmtId="0" fontId="102" fillId="5" borderId="34" xfId="0" applyFont="1" applyFill="1" applyBorder="1" applyAlignment="1">
      <alignment horizontal="left" vertical="center"/>
    </xf>
    <xf numFmtId="0" fontId="0" fillId="5" borderId="34" xfId="0" applyFill="1" applyBorder="1" applyAlignment="1">
      <alignment horizontal="left" vertical="center"/>
    </xf>
    <xf numFmtId="0" fontId="0" fillId="5" borderId="8" xfId="0" applyFill="1" applyBorder="1" applyAlignment="1">
      <alignment horizontal="left" vertical="center"/>
    </xf>
    <xf numFmtId="0" fontId="114" fillId="3" borderId="18" xfId="0" applyFont="1" applyFill="1" applyBorder="1" applyAlignment="1"/>
    <xf numFmtId="0" fontId="114" fillId="3" borderId="19" xfId="0" applyFont="1" applyFill="1" applyBorder="1" applyAlignment="1"/>
    <xf numFmtId="0" fontId="114" fillId="3" borderId="17" xfId="0" applyFont="1" applyFill="1" applyBorder="1" applyAlignment="1"/>
    <xf numFmtId="0" fontId="114" fillId="3" borderId="35" xfId="0" applyFont="1" applyFill="1" applyBorder="1" applyAlignment="1"/>
    <xf numFmtId="0" fontId="114" fillId="3" borderId="67" xfId="0" applyFont="1" applyFill="1" applyBorder="1" applyAlignment="1"/>
    <xf numFmtId="0" fontId="114" fillId="3" borderId="51" xfId="0" applyFont="1" applyFill="1" applyBorder="1" applyAlignment="1"/>
    <xf numFmtId="0" fontId="114" fillId="3" borderId="9" xfId="0" applyFont="1" applyFill="1" applyBorder="1" applyAlignment="1"/>
    <xf numFmtId="0" fontId="114" fillId="3" borderId="34" xfId="0" applyFont="1" applyFill="1" applyBorder="1" applyAlignment="1"/>
    <xf numFmtId="0" fontId="114" fillId="3" borderId="8" xfId="0" applyFont="1" applyFill="1" applyBorder="1" applyAlignment="1"/>
    <xf numFmtId="0" fontId="102" fillId="0" borderId="9" xfId="0" applyFont="1" applyBorder="1" applyAlignment="1">
      <alignment horizontal="center" vertical="center"/>
    </xf>
    <xf numFmtId="0" fontId="102" fillId="0" borderId="34" xfId="0" applyFont="1" applyBorder="1" applyAlignment="1">
      <alignment horizontal="center" vertical="center"/>
    </xf>
    <xf numFmtId="0" fontId="102" fillId="0" borderId="8" xfId="0" applyFont="1" applyBorder="1" applyAlignment="1">
      <alignment horizontal="center" vertical="center"/>
    </xf>
    <xf numFmtId="0" fontId="102" fillId="0" borderId="15" xfId="0" applyFont="1" applyBorder="1" applyAlignment="1">
      <alignment horizontal="center" vertical="center"/>
    </xf>
    <xf numFmtId="0" fontId="102" fillId="0" borderId="23" xfId="0" applyFont="1" applyBorder="1" applyAlignment="1">
      <alignment horizontal="center" vertical="center"/>
    </xf>
    <xf numFmtId="0" fontId="102" fillId="0" borderId="14" xfId="0" applyFont="1" applyBorder="1" applyAlignment="1">
      <alignment horizontal="center" vertical="center"/>
    </xf>
    <xf numFmtId="0" fontId="0" fillId="0" borderId="0" xfId="0" applyAlignment="1"/>
    <xf numFmtId="0" fontId="113" fillId="0" borderId="9" xfId="0" applyFont="1" applyBorder="1" applyAlignment="1"/>
    <xf numFmtId="0" fontId="0" fillId="0" borderId="34" xfId="0" applyBorder="1" applyAlignment="1"/>
    <xf numFmtId="0" fontId="0" fillId="0" borderId="8" xfId="0" applyBorder="1" applyAlignment="1"/>
    <xf numFmtId="0" fontId="102" fillId="5" borderId="9" xfId="0" applyFont="1" applyFill="1" applyBorder="1" applyAlignment="1">
      <alignment horizontal="center" vertical="center"/>
    </xf>
    <xf numFmtId="0" fontId="0" fillId="5" borderId="34" xfId="0" applyFill="1" applyBorder="1" applyAlignment="1">
      <alignment horizontal="center" vertical="center"/>
    </xf>
    <xf numFmtId="0" fontId="0" fillId="5" borderId="8" xfId="0" applyFill="1" applyBorder="1" applyAlignment="1">
      <alignment horizontal="center" vertical="center"/>
    </xf>
    <xf numFmtId="0" fontId="0" fillId="7" borderId="18" xfId="0" applyFill="1" applyBorder="1" applyAlignment="1"/>
    <xf numFmtId="0" fontId="0" fillId="0" borderId="0" xfId="0" applyAlignment="1">
      <alignment wrapText="1"/>
    </xf>
    <xf numFmtId="0" fontId="113" fillId="0" borderId="25" xfId="0" applyFont="1" applyBorder="1" applyAlignment="1"/>
    <xf numFmtId="0" fontId="113" fillId="0" borderId="26" xfId="0" applyFont="1" applyBorder="1" applyAlignment="1"/>
    <xf numFmtId="0" fontId="113" fillId="0" borderId="27" xfId="0" applyFont="1" applyBorder="1" applyAlignment="1"/>
    <xf numFmtId="0" fontId="113" fillId="0" borderId="28" xfId="0" applyFont="1" applyBorder="1" applyAlignment="1">
      <alignment vertical="center" wrapText="1"/>
    </xf>
    <xf numFmtId="0" fontId="113" fillId="0" borderId="4" xfId="0" applyFont="1" applyBorder="1" applyAlignment="1">
      <alignment vertical="center" wrapText="1"/>
    </xf>
    <xf numFmtId="0" fontId="116" fillId="0" borderId="4" xfId="0" applyFont="1" applyBorder="1" applyAlignment="1">
      <alignment horizontal="center" vertical="center" wrapText="1"/>
    </xf>
    <xf numFmtId="0" fontId="113" fillId="0" borderId="4" xfId="0" applyFont="1" applyBorder="1" applyAlignment="1">
      <alignment horizontal="left" vertical="center" wrapText="1"/>
    </xf>
    <xf numFmtId="0" fontId="113" fillId="0" borderId="29" xfId="0" applyFont="1" applyBorder="1" applyAlignment="1">
      <alignment horizontal="left" vertical="center" wrapText="1"/>
    </xf>
    <xf numFmtId="0" fontId="113" fillId="0" borderId="53" xfId="0" applyFont="1" applyBorder="1" applyAlignment="1">
      <alignment horizontal="left" vertical="center" wrapText="1"/>
    </xf>
    <xf numFmtId="0" fontId="113" fillId="0" borderId="65" xfId="0" applyFont="1" applyBorder="1" applyAlignment="1">
      <alignment horizontal="left" vertical="center" wrapText="1"/>
    </xf>
    <xf numFmtId="0" fontId="113" fillId="0" borderId="57" xfId="0" applyFont="1" applyBorder="1" applyAlignment="1">
      <alignment horizontal="left" vertical="center" wrapText="1"/>
    </xf>
    <xf numFmtId="0" fontId="113" fillId="0" borderId="69" xfId="0" applyFont="1" applyBorder="1" applyAlignment="1">
      <alignment horizontal="left" vertical="center" wrapText="1"/>
    </xf>
    <xf numFmtId="0" fontId="113" fillId="0" borderId="0" xfId="0" applyFont="1" applyAlignment="1">
      <alignment horizontal="left" vertical="center" wrapText="1"/>
    </xf>
    <xf numFmtId="0" fontId="113" fillId="0" borderId="11" xfId="0" applyFont="1" applyBorder="1" applyAlignment="1">
      <alignment horizontal="left" vertical="center" wrapText="1"/>
    </xf>
    <xf numFmtId="0" fontId="113" fillId="0" borderId="71" xfId="0" applyFont="1" applyBorder="1" applyAlignment="1">
      <alignment horizontal="left" vertical="center" wrapText="1"/>
    </xf>
    <xf numFmtId="0" fontId="113" fillId="0" borderId="2" xfId="0" applyFont="1" applyBorder="1" applyAlignment="1">
      <alignment horizontal="left" vertical="center" wrapText="1"/>
    </xf>
    <xf numFmtId="0" fontId="113" fillId="0" borderId="44" xfId="0" applyFont="1" applyBorder="1" applyAlignment="1">
      <alignment horizontal="left" vertical="center" wrapText="1"/>
    </xf>
    <xf numFmtId="0" fontId="113" fillId="0" borderId="30" xfId="0" applyFont="1" applyBorder="1" applyAlignment="1">
      <alignment vertical="center" wrapText="1"/>
    </xf>
    <xf numFmtId="0" fontId="113" fillId="0" borderId="31" xfId="0" applyFont="1" applyBorder="1" applyAlignment="1">
      <alignment vertical="center" wrapText="1"/>
    </xf>
    <xf numFmtId="0" fontId="116" fillId="0" borderId="31" xfId="0" applyFont="1" applyBorder="1" applyAlignment="1">
      <alignment horizontal="center" vertical="center" wrapText="1"/>
    </xf>
    <xf numFmtId="0" fontId="113" fillId="0" borderId="79" xfId="0" applyFont="1" applyBorder="1" applyAlignment="1">
      <alignment horizontal="left" vertical="center" wrapText="1"/>
    </xf>
    <xf numFmtId="0" fontId="113" fillId="0" borderId="23" xfId="0" applyFont="1" applyBorder="1" applyAlignment="1">
      <alignment horizontal="left" vertical="center" wrapText="1"/>
    </xf>
    <xf numFmtId="0" fontId="113" fillId="0" borderId="14" xfId="0" applyFont="1" applyBorder="1" applyAlignment="1">
      <alignment horizontal="left" vertical="center" wrapText="1"/>
    </xf>
    <xf numFmtId="0" fontId="113" fillId="0" borderId="28" xfId="0" applyFont="1" applyBorder="1" applyAlignment="1">
      <alignment horizontal="left" vertical="center" wrapText="1"/>
    </xf>
    <xf numFmtId="0" fontId="113" fillId="0" borderId="4" xfId="0" applyFont="1" applyBorder="1" applyAlignment="1">
      <alignment wrapText="1"/>
    </xf>
    <xf numFmtId="0" fontId="113" fillId="0" borderId="4" xfId="0" applyFont="1" applyBorder="1" applyAlignment="1">
      <alignment shrinkToFit="1"/>
    </xf>
    <xf numFmtId="0" fontId="113" fillId="0" borderId="25" xfId="0" applyFont="1" applyBorder="1" applyAlignment="1">
      <alignment horizontal="left" vertical="center" wrapText="1"/>
    </xf>
    <xf numFmtId="0" fontId="113" fillId="0" borderId="26" xfId="0" applyFont="1" applyBorder="1" applyAlignment="1">
      <alignment wrapText="1"/>
    </xf>
    <xf numFmtId="0" fontId="113" fillId="0" borderId="30" xfId="0" applyFont="1" applyBorder="1" applyAlignment="1">
      <alignment horizontal="left" vertical="center" wrapText="1"/>
    </xf>
    <xf numFmtId="0" fontId="113" fillId="0" borderId="31" xfId="0" applyFont="1" applyBorder="1" applyAlignment="1">
      <alignment wrapText="1"/>
    </xf>
    <xf numFmtId="0" fontId="116" fillId="0" borderId="26" xfId="0" applyFont="1" applyBorder="1" applyAlignment="1">
      <alignment horizontal="center" vertical="center" wrapText="1"/>
    </xf>
    <xf numFmtId="0" fontId="113" fillId="0" borderId="26" xfId="0" applyFont="1" applyBorder="1" applyAlignment="1">
      <alignment shrinkToFit="1"/>
    </xf>
    <xf numFmtId="0" fontId="113" fillId="0" borderId="31" xfId="0" applyFont="1" applyBorder="1" applyAlignment="1">
      <alignment shrinkToFit="1"/>
    </xf>
    <xf numFmtId="0" fontId="113" fillId="0" borderId="18" xfId="0" applyFont="1" applyBorder="1" applyAlignment="1">
      <alignment horizontal="center"/>
    </xf>
    <xf numFmtId="0" fontId="113" fillId="0" borderId="19" xfId="0" applyFont="1" applyBorder="1" applyAlignment="1">
      <alignment horizontal="center"/>
    </xf>
    <xf numFmtId="0" fontId="113" fillId="0" borderId="17" xfId="0" applyFont="1" applyBorder="1" applyAlignment="1">
      <alignment horizontal="center"/>
    </xf>
    <xf numFmtId="0" fontId="113" fillId="0" borderId="52" xfId="0" applyFont="1" applyBorder="1" applyAlignment="1">
      <alignment horizontal="left" vertical="center" wrapText="1"/>
    </xf>
    <xf numFmtId="0" fontId="113" fillId="0" borderId="39" xfId="0" applyFont="1" applyBorder="1" applyAlignment="1">
      <alignment wrapText="1"/>
    </xf>
    <xf numFmtId="0" fontId="116" fillId="0" borderId="39" xfId="0" applyFont="1" applyBorder="1" applyAlignment="1">
      <alignment horizontal="center" vertical="center" wrapText="1"/>
    </xf>
    <xf numFmtId="0" fontId="113" fillId="0" borderId="39" xfId="0" applyFont="1" applyBorder="1" applyAlignment="1">
      <alignment shrinkToFit="1"/>
    </xf>
    <xf numFmtId="0" fontId="93" fillId="0" borderId="4" xfId="0" applyFont="1" applyBorder="1" applyAlignment="1">
      <alignment horizontal="center" vertical="center" wrapText="1"/>
    </xf>
    <xf numFmtId="0" fontId="93" fillId="0" borderId="4" xfId="0" applyFont="1" applyBorder="1" applyAlignment="1">
      <alignment vertical="top" wrapText="1"/>
    </xf>
    <xf numFmtId="0" fontId="93" fillId="10" borderId="4" xfId="0" applyFont="1" applyFill="1" applyBorder="1" applyAlignment="1"/>
    <xf numFmtId="0" fontId="0" fillId="10" borderId="4" xfId="0" applyFill="1" applyBorder="1" applyAlignment="1"/>
    <xf numFmtId="0" fontId="38" fillId="0" borderId="4" xfId="0" applyFont="1" applyBorder="1" applyAlignment="1">
      <alignment vertical="top" wrapText="1"/>
    </xf>
    <xf numFmtId="0" fontId="0" fillId="0" borderId="4" xfId="0" applyBorder="1" applyAlignment="1">
      <alignment vertical="top" wrapText="1"/>
    </xf>
    <xf numFmtId="0" fontId="90" fillId="0" borderId="4" xfId="0" applyFont="1" applyBorder="1" applyAlignment="1">
      <alignment horizontal="center" vertical="center" wrapText="1"/>
    </xf>
    <xf numFmtId="0" fontId="90" fillId="0" borderId="4" xfId="0" applyFont="1" applyBorder="1" applyAlignment="1">
      <alignment horizontal="center" vertical="center"/>
    </xf>
    <xf numFmtId="43" fontId="41" fillId="19" borderId="39" xfId="0" applyNumberFormat="1" applyFont="1" applyFill="1" applyBorder="1" applyAlignment="1">
      <alignment vertical="center"/>
    </xf>
    <xf numFmtId="0" fontId="0" fillId="19" borderId="62" xfId="0" applyFill="1" applyBorder="1" applyAlignment="1">
      <alignment vertical="center"/>
    </xf>
    <xf numFmtId="0" fontId="0" fillId="19" borderId="48" xfId="0" applyFill="1" applyBorder="1" applyAlignment="1">
      <alignment vertical="center"/>
    </xf>
    <xf numFmtId="0" fontId="0" fillId="18" borderId="39" xfId="0" applyFill="1" applyBorder="1" applyAlignment="1">
      <alignment vertical="center"/>
    </xf>
    <xf numFmtId="0" fontId="0" fillId="18" borderId="62" xfId="0" applyFill="1" applyBorder="1" applyAlignment="1">
      <alignment vertical="center"/>
    </xf>
    <xf numFmtId="0" fontId="0" fillId="18" borderId="48" xfId="0" applyFill="1" applyBorder="1" applyAlignment="1">
      <alignment vertical="center"/>
    </xf>
    <xf numFmtId="0" fontId="0" fillId="17" borderId="39" xfId="0" applyFill="1" applyBorder="1" applyAlignment="1">
      <alignment vertical="center"/>
    </xf>
    <xf numFmtId="0" fontId="0" fillId="17" borderId="62" xfId="0" applyFill="1" applyBorder="1" applyAlignment="1">
      <alignment vertical="center"/>
    </xf>
    <xf numFmtId="0" fontId="0" fillId="17" borderId="48" xfId="0" applyFill="1" applyBorder="1" applyAlignment="1">
      <alignment vertical="center"/>
    </xf>
    <xf numFmtId="0" fontId="90" fillId="0" borderId="39" xfId="0" applyFont="1" applyBorder="1" applyAlignment="1">
      <alignment vertical="top"/>
    </xf>
    <xf numFmtId="0" fontId="91" fillId="0" borderId="62" xfId="0" applyFont="1" applyBorder="1" applyAlignment="1">
      <alignment vertical="top"/>
    </xf>
    <xf numFmtId="0" fontId="91" fillId="0" borderId="48" xfId="0" applyFont="1" applyBorder="1" applyAlignment="1">
      <alignment vertical="top"/>
    </xf>
    <xf numFmtId="0" fontId="90" fillId="0" borderId="39" xfId="0" applyNumberFormat="1" applyFont="1" applyBorder="1" applyAlignment="1">
      <alignment horizontal="left" vertical="top" wrapText="1"/>
    </xf>
    <xf numFmtId="0" fontId="90" fillId="0" borderId="62" xfId="0" applyNumberFormat="1" applyFont="1" applyBorder="1" applyAlignment="1">
      <alignment horizontal="left" vertical="top" wrapText="1"/>
    </xf>
    <xf numFmtId="0" fontId="90" fillId="0" borderId="48" xfId="0" applyNumberFormat="1" applyFont="1" applyBorder="1" applyAlignment="1">
      <alignment horizontal="left" vertical="top" wrapText="1"/>
    </xf>
    <xf numFmtId="0" fontId="90" fillId="0" borderId="39" xfId="0" applyFont="1" applyBorder="1" applyAlignment="1">
      <alignment vertical="top" wrapText="1"/>
    </xf>
    <xf numFmtId="0" fontId="90" fillId="0" borderId="62" xfId="0" applyFont="1" applyBorder="1" applyAlignment="1">
      <alignment vertical="top" wrapText="1"/>
    </xf>
    <xf numFmtId="0" fontId="90" fillId="0" borderId="48" xfId="0" applyFont="1" applyBorder="1" applyAlignment="1">
      <alignment vertical="top" wrapText="1"/>
    </xf>
    <xf numFmtId="0" fontId="90" fillId="0" borderId="39" xfId="0" applyFont="1" applyBorder="1" applyAlignment="1">
      <alignment horizontal="center" vertical="center" wrapText="1"/>
    </xf>
    <xf numFmtId="0" fontId="90" fillId="0" borderId="62" xfId="0" applyFont="1" applyBorder="1" applyAlignment="1">
      <alignment horizontal="center" vertical="center" wrapText="1"/>
    </xf>
    <xf numFmtId="0" fontId="90" fillId="0" borderId="48" xfId="0" applyFont="1" applyBorder="1" applyAlignment="1">
      <alignment horizontal="center" vertical="center" wrapText="1"/>
    </xf>
    <xf numFmtId="0" fontId="90" fillId="0" borderId="4" xfId="0" applyFont="1" applyBorder="1" applyAlignment="1">
      <alignment vertical="top" wrapText="1"/>
    </xf>
    <xf numFmtId="0" fontId="90" fillId="0" borderId="4" xfId="0" applyFont="1" applyBorder="1" applyAlignment="1">
      <alignment vertical="top"/>
    </xf>
    <xf numFmtId="43" fontId="41" fillId="17" borderId="39" xfId="0" applyNumberFormat="1" applyFont="1" applyFill="1" applyBorder="1" applyAlignment="1">
      <alignment vertical="center"/>
    </xf>
    <xf numFmtId="0" fontId="39" fillId="0" borderId="73" xfId="0" applyFont="1" applyBorder="1" applyAlignment="1">
      <alignment vertical="center"/>
    </xf>
    <xf numFmtId="0" fontId="0" fillId="0" borderId="61" xfId="0" applyBorder="1" applyAlignment="1">
      <alignment vertical="center"/>
    </xf>
    <xf numFmtId="0" fontId="0" fillId="0" borderId="80" xfId="0" applyBorder="1" applyAlignment="1">
      <alignment vertical="center"/>
    </xf>
    <xf numFmtId="0" fontId="0" fillId="0" borderId="62" xfId="0" applyBorder="1" applyAlignment="1">
      <alignment horizontal="center" vertical="center"/>
    </xf>
    <xf numFmtId="0" fontId="0" fillId="0" borderId="48" xfId="0" applyBorder="1" applyAlignment="1">
      <alignment horizontal="center" vertical="center"/>
    </xf>
    <xf numFmtId="0" fontId="90" fillId="0" borderId="39" xfId="0" applyFont="1" applyBorder="1" applyAlignment="1">
      <alignment horizontal="center" vertical="center"/>
    </xf>
    <xf numFmtId="0" fontId="39" fillId="0" borderId="7" xfId="0" applyFont="1" applyBorder="1">
      <alignment vertical="center"/>
    </xf>
    <xf numFmtId="0" fontId="39" fillId="0" borderId="10" xfId="0" applyFont="1" applyBorder="1">
      <alignment vertical="center"/>
    </xf>
    <xf numFmtId="0" fontId="39" fillId="0" borderId="13" xfId="0" applyFont="1" applyBorder="1">
      <alignment vertical="center"/>
    </xf>
    <xf numFmtId="0" fontId="39" fillId="0" borderId="8" xfId="0" applyFont="1" applyBorder="1">
      <alignment vertical="center"/>
    </xf>
    <xf numFmtId="0" fontId="39" fillId="0" borderId="11" xfId="0" applyFont="1" applyBorder="1">
      <alignment vertical="center"/>
    </xf>
    <xf numFmtId="0" fontId="39" fillId="0" borderId="14" xfId="0" applyFont="1" applyBorder="1">
      <alignment vertical="center"/>
    </xf>
    <xf numFmtId="0" fontId="39" fillId="0" borderId="7" xfId="0" applyFont="1" applyBorder="1" applyAlignment="1">
      <alignment vertical="center" wrapText="1"/>
    </xf>
    <xf numFmtId="0" fontId="39" fillId="0" borderId="8" xfId="0" applyFont="1" applyBorder="1" applyAlignment="1">
      <alignment vertical="center" wrapText="1"/>
    </xf>
    <xf numFmtId="0" fontId="93" fillId="0" borderId="4" xfId="0" applyFont="1" applyBorder="1" applyAlignment="1"/>
    <xf numFmtId="0" fontId="0" fillId="0" borderId="4" xfId="0" applyBorder="1" applyAlignment="1"/>
    <xf numFmtId="49" fontId="93" fillId="0" borderId="4" xfId="0" applyNumberFormat="1" applyFont="1" applyBorder="1" applyAlignment="1">
      <alignment horizontal="left" vertical="top" wrapText="1"/>
    </xf>
    <xf numFmtId="0" fontId="0" fillId="0" borderId="4" xfId="0" applyBorder="1" applyAlignment="1">
      <alignment horizontal="left" vertical="top" wrapText="1"/>
    </xf>
    <xf numFmtId="0" fontId="93" fillId="10" borderId="4" xfId="0" applyFont="1" applyFill="1" applyBorder="1" applyAlignment="1">
      <alignment horizontal="left" vertical="top" wrapText="1"/>
    </xf>
    <xf numFmtId="0" fontId="0" fillId="10" borderId="4" xfId="0" applyFill="1" applyBorder="1" applyAlignment="1">
      <alignment vertical="top" wrapText="1"/>
    </xf>
    <xf numFmtId="0" fontId="10" fillId="0" borderId="3" xfId="0" applyNumberFormat="1" applyFont="1" applyFill="1" applyBorder="1" applyAlignment="1" applyProtection="1">
      <alignment vertical="center" shrinkToFit="1"/>
    </xf>
    <xf numFmtId="0" fontId="10" fillId="0" borderId="81" xfId="0" applyNumberFormat="1" applyFont="1" applyFill="1" applyBorder="1" applyAlignment="1" applyProtection="1">
      <alignment vertical="center" shrinkToFit="1"/>
    </xf>
    <xf numFmtId="0" fontId="10" fillId="0" borderId="54" xfId="0" applyNumberFormat="1" applyFont="1" applyFill="1" applyBorder="1" applyAlignment="1" applyProtection="1">
      <alignment vertical="center" shrinkToFit="1"/>
    </xf>
    <xf numFmtId="0" fontId="10" fillId="0" borderId="3" xfId="0" applyNumberFormat="1" applyFont="1" applyFill="1" applyBorder="1" applyAlignment="1" applyProtection="1">
      <alignment horizontal="left" vertical="top" wrapText="1" shrinkToFit="1"/>
      <protection locked="0"/>
    </xf>
    <xf numFmtId="0" fontId="10" fillId="0" borderId="81" xfId="0" applyNumberFormat="1" applyFont="1" applyFill="1" applyBorder="1" applyAlignment="1" applyProtection="1">
      <alignment horizontal="left" vertical="top" wrapText="1" shrinkToFit="1"/>
      <protection locked="0"/>
    </xf>
    <xf numFmtId="0" fontId="10" fillId="0" borderId="54" xfId="0" applyNumberFormat="1" applyFont="1" applyFill="1" applyBorder="1" applyAlignment="1" applyProtection="1">
      <alignment horizontal="left" vertical="top" wrapText="1" shrinkToFit="1"/>
      <protection locked="0"/>
    </xf>
    <xf numFmtId="0" fontId="17" fillId="0" borderId="0" xfId="0" applyNumberFormat="1" applyFont="1" applyFill="1" applyBorder="1" applyAlignment="1" applyProtection="1">
      <alignment horizontal="center" vertical="center" wrapText="1"/>
    </xf>
    <xf numFmtId="0" fontId="55" fillId="0" borderId="0" xfId="0" applyNumberFormat="1" applyFont="1" applyFill="1" applyBorder="1" applyAlignment="1" applyProtection="1">
      <alignment horizontal="center" vertical="center" wrapText="1"/>
    </xf>
    <xf numFmtId="0" fontId="10" fillId="0" borderId="0" xfId="0" applyFont="1" applyFill="1" applyBorder="1" applyAlignment="1" applyProtection="1">
      <alignment horizontal="left" vertical="center" wrapText="1"/>
    </xf>
    <xf numFmtId="0" fontId="10" fillId="0" borderId="0" xfId="0" applyFont="1" applyFill="1" applyBorder="1" applyAlignment="1" applyProtection="1">
      <alignment horizontal="left" vertical="center" shrinkToFit="1"/>
    </xf>
    <xf numFmtId="0" fontId="30" fillId="0" borderId="0" xfId="0" applyNumberFormat="1" applyFont="1" applyFill="1" applyBorder="1" applyAlignment="1" applyProtection="1">
      <alignment horizontal="center" vertical="center" wrapText="1"/>
    </xf>
    <xf numFmtId="0" fontId="16" fillId="0" borderId="0" xfId="0" applyNumberFormat="1" applyFont="1" applyFill="1" applyBorder="1" applyAlignment="1" applyProtection="1">
      <alignment horizontal="left" vertical="center" wrapText="1"/>
    </xf>
    <xf numFmtId="0" fontId="10" fillId="0" borderId="82" xfId="0" applyFont="1" applyFill="1" applyBorder="1" applyAlignment="1" applyProtection="1">
      <alignment horizontal="left" vertical="center" wrapText="1"/>
    </xf>
    <xf numFmtId="0" fontId="10" fillId="0" borderId="82" xfId="0" applyFont="1" applyFill="1" applyBorder="1" applyAlignment="1" applyProtection="1">
      <alignment horizontal="left" vertical="center" shrinkToFit="1"/>
    </xf>
    <xf numFmtId="0" fontId="107" fillId="0" borderId="92" xfId="0" applyNumberFormat="1" applyFont="1" applyFill="1" applyBorder="1" applyAlignment="1" applyProtection="1">
      <alignment vertical="center" shrinkToFit="1"/>
    </xf>
    <xf numFmtId="0" fontId="107" fillId="0" borderId="94" xfId="0" applyNumberFormat="1" applyFont="1" applyFill="1" applyBorder="1" applyAlignment="1" applyProtection="1">
      <alignment vertical="center" shrinkToFit="1"/>
    </xf>
    <xf numFmtId="0" fontId="107" fillId="0" borderId="95" xfId="0" applyNumberFormat="1" applyFont="1" applyFill="1" applyBorder="1" applyAlignment="1" applyProtection="1">
      <alignment vertical="center" shrinkToFit="1"/>
    </xf>
    <xf numFmtId="0" fontId="107" fillId="0" borderId="92" xfId="0" applyNumberFormat="1" applyFont="1" applyFill="1" applyBorder="1" applyAlignment="1" applyProtection="1">
      <alignment horizontal="left" vertical="top" wrapText="1" shrinkToFit="1"/>
      <protection locked="0"/>
    </xf>
    <xf numFmtId="0" fontId="107" fillId="0" borderId="94" xfId="0" applyNumberFormat="1" applyFont="1" applyFill="1" applyBorder="1" applyAlignment="1" applyProtection="1">
      <alignment horizontal="left" vertical="top" wrapText="1" shrinkToFit="1"/>
      <protection locked="0"/>
    </xf>
    <xf numFmtId="0" fontId="107" fillId="0" borderId="95" xfId="0" applyNumberFormat="1" applyFont="1" applyFill="1" applyBorder="1" applyAlignment="1" applyProtection="1">
      <alignment horizontal="left" vertical="top" wrapText="1" shrinkToFit="1"/>
      <protection locked="0"/>
    </xf>
    <xf numFmtId="0" fontId="18" fillId="0" borderId="0" xfId="0" applyNumberFormat="1" applyFont="1" applyFill="1" applyBorder="1" applyAlignment="1" applyProtection="1">
      <alignment horizontal="center" vertical="center" wrapText="1"/>
    </xf>
    <xf numFmtId="0" fontId="20" fillId="0" borderId="0" xfId="0" applyNumberFormat="1" applyFont="1" applyFill="1" applyBorder="1" applyAlignment="1" applyProtection="1">
      <alignment horizontal="center" vertical="center" wrapText="1"/>
    </xf>
    <xf numFmtId="0" fontId="107" fillId="0" borderId="0" xfId="0" applyFont="1" applyFill="1" applyBorder="1" applyAlignment="1" applyProtection="1">
      <alignment horizontal="left" vertical="center" wrapText="1"/>
    </xf>
    <xf numFmtId="0" fontId="107" fillId="0" borderId="0" xfId="0" applyNumberFormat="1" applyFont="1" applyFill="1" applyBorder="1" applyAlignment="1" applyProtection="1">
      <alignment horizontal="left" vertical="center" wrapText="1"/>
    </xf>
    <xf numFmtId="0" fontId="157" fillId="0" borderId="0" xfId="0" applyNumberFormat="1" applyFont="1" applyFill="1" applyBorder="1" applyAlignment="1" applyProtection="1">
      <alignment horizontal="left" vertical="center" shrinkToFit="1" readingOrder="1"/>
    </xf>
    <xf numFmtId="0" fontId="167" fillId="0" borderId="0" xfId="0" applyNumberFormat="1" applyFont="1" applyFill="1" applyBorder="1" applyAlignment="1" applyProtection="1">
      <alignment horizontal="left" vertical="center" shrinkToFit="1" readingOrder="1"/>
    </xf>
    <xf numFmtId="0" fontId="10" fillId="0" borderId="83" xfId="0" applyNumberFormat="1" applyFont="1" applyFill="1" applyBorder="1" applyAlignment="1" applyProtection="1">
      <alignment vertical="center" shrinkToFit="1"/>
    </xf>
    <xf numFmtId="0" fontId="10" fillId="0" borderId="82" xfId="0" applyNumberFormat="1" applyFont="1" applyFill="1" applyBorder="1" applyAlignment="1" applyProtection="1">
      <alignment vertical="center" shrinkToFit="1"/>
    </xf>
    <xf numFmtId="0" fontId="10" fillId="0" borderId="56" xfId="0" applyNumberFormat="1" applyFont="1" applyFill="1" applyBorder="1" applyAlignment="1" applyProtection="1">
      <alignment vertical="center" shrinkToFit="1"/>
    </xf>
    <xf numFmtId="0" fontId="10" fillId="0" borderId="0" xfId="0" applyNumberFormat="1" applyFont="1" applyFill="1" applyBorder="1" applyAlignment="1" applyProtection="1">
      <alignment horizontal="left" vertical="center" wrapText="1"/>
    </xf>
    <xf numFmtId="0" fontId="10" fillId="0" borderId="0" xfId="0" applyNumberFormat="1" applyFont="1" applyFill="1" applyBorder="1" applyAlignment="1" applyProtection="1">
      <alignment horizontal="left" vertical="center" shrinkToFit="1"/>
    </xf>
    <xf numFmtId="0" fontId="16" fillId="0" borderId="0" xfId="0" applyFont="1" applyFill="1" applyBorder="1" applyAlignment="1" applyProtection="1">
      <alignment horizontal="left" vertical="center" wrapText="1"/>
    </xf>
    <xf numFmtId="0" fontId="156" fillId="0" borderId="0" xfId="0" applyNumberFormat="1" applyFont="1" applyFill="1" applyBorder="1" applyAlignment="1" applyProtection="1">
      <alignment horizontal="left" vertical="center" wrapText="1"/>
    </xf>
    <xf numFmtId="0" fontId="155" fillId="0" borderId="0" xfId="0" applyNumberFormat="1" applyFont="1" applyFill="1" applyBorder="1" applyAlignment="1" applyProtection="1">
      <alignment horizontal="left" vertical="center" wrapText="1"/>
    </xf>
    <xf numFmtId="0" fontId="7" fillId="14" borderId="4" xfId="0" applyFont="1" applyFill="1" applyBorder="1" applyAlignment="1">
      <alignment horizontal="center" vertical="center" wrapText="1"/>
    </xf>
    <xf numFmtId="0" fontId="7" fillId="14" borderId="31" xfId="0" applyFont="1" applyFill="1" applyBorder="1" applyAlignment="1">
      <alignment horizontal="center" vertical="center" wrapText="1"/>
    </xf>
    <xf numFmtId="0" fontId="7" fillId="14" borderId="4" xfId="0" applyFont="1" applyFill="1" applyBorder="1" applyAlignment="1">
      <alignment horizontal="left" vertical="center" wrapText="1"/>
    </xf>
    <xf numFmtId="0" fontId="7" fillId="14" borderId="31" xfId="0" applyFont="1" applyFill="1" applyBorder="1" applyAlignment="1">
      <alignment horizontal="left" vertical="center" wrapText="1"/>
    </xf>
    <xf numFmtId="0" fontId="70" fillId="13" borderId="18" xfId="0" applyFont="1" applyFill="1" applyBorder="1" applyAlignment="1">
      <alignment horizontal="center" vertical="center" wrapText="1"/>
    </xf>
    <xf numFmtId="0" fontId="70" fillId="13" borderId="19" xfId="0" applyFont="1" applyFill="1" applyBorder="1" applyAlignment="1">
      <alignment horizontal="center" vertical="center" wrapText="1"/>
    </xf>
    <xf numFmtId="0" fontId="70" fillId="13" borderId="17" xfId="0" applyFont="1" applyFill="1" applyBorder="1" applyAlignment="1">
      <alignment horizontal="center" vertical="center" wrapText="1"/>
    </xf>
    <xf numFmtId="0" fontId="7" fillId="14" borderId="27" xfId="0" applyFont="1" applyFill="1" applyBorder="1" applyAlignment="1">
      <alignment horizontal="left" vertical="center" wrapText="1"/>
    </xf>
    <xf numFmtId="0" fontId="7" fillId="14" borderId="29" xfId="0" applyFont="1" applyFill="1" applyBorder="1" applyAlignment="1">
      <alignment horizontal="left" vertical="center" wrapText="1"/>
    </xf>
    <xf numFmtId="0" fontId="7" fillId="14" borderId="32" xfId="0" applyFont="1" applyFill="1" applyBorder="1" applyAlignment="1">
      <alignment horizontal="left" vertical="center" wrapText="1"/>
    </xf>
    <xf numFmtId="0" fontId="7" fillId="14" borderId="40" xfId="0" applyFont="1" applyFill="1" applyBorder="1" applyAlignment="1">
      <alignment horizontal="left" vertical="center" wrapText="1"/>
    </xf>
    <xf numFmtId="0" fontId="70" fillId="14" borderId="18" xfId="0" applyFont="1" applyFill="1" applyBorder="1" applyAlignment="1">
      <alignment horizontal="center" vertical="center" wrapText="1"/>
    </xf>
    <xf numFmtId="0" fontId="70" fillId="14" borderId="19" xfId="0" applyFont="1" applyFill="1" applyBorder="1" applyAlignment="1">
      <alignment horizontal="center" vertical="center" wrapText="1"/>
    </xf>
    <xf numFmtId="0" fontId="70" fillId="14" borderId="17" xfId="0" applyFont="1" applyFill="1" applyBorder="1" applyAlignment="1">
      <alignment horizontal="center" vertical="center" wrapText="1"/>
    </xf>
    <xf numFmtId="0" fontId="7" fillId="13" borderId="27" xfId="0" applyFont="1" applyFill="1" applyBorder="1" applyAlignment="1">
      <alignment horizontal="left" vertical="center" wrapText="1"/>
    </xf>
    <xf numFmtId="0" fontId="7" fillId="13" borderId="29" xfId="0" applyFont="1" applyFill="1" applyBorder="1" applyAlignment="1">
      <alignment horizontal="left" vertical="center" wrapText="1"/>
    </xf>
    <xf numFmtId="0" fontId="7" fillId="13" borderId="32" xfId="0" applyFont="1" applyFill="1" applyBorder="1" applyAlignment="1">
      <alignment horizontal="left" vertical="center" wrapText="1"/>
    </xf>
    <xf numFmtId="0" fontId="7" fillId="13" borderId="26" xfId="0" applyFont="1" applyFill="1" applyBorder="1" applyAlignment="1">
      <alignment horizontal="center" vertical="center" wrapText="1"/>
    </xf>
    <xf numFmtId="0" fontId="7" fillId="13" borderId="31" xfId="0" applyFont="1" applyFill="1" applyBorder="1" applyAlignment="1">
      <alignment horizontal="center" vertical="center" wrapText="1"/>
    </xf>
    <xf numFmtId="0" fontId="7" fillId="13" borderId="4" xfId="0" applyFont="1" applyFill="1" applyBorder="1" applyAlignment="1">
      <alignment horizontal="center" vertical="center" wrapText="1"/>
    </xf>
    <xf numFmtId="0" fontId="7" fillId="14" borderId="25" xfId="0" applyFont="1" applyFill="1" applyBorder="1" applyAlignment="1">
      <alignment horizontal="center" vertical="center" wrapText="1"/>
    </xf>
    <xf numFmtId="0" fontId="7" fillId="14" borderId="30" xfId="0" applyFont="1" applyFill="1" applyBorder="1" applyAlignment="1">
      <alignment horizontal="center" vertical="center" wrapText="1"/>
    </xf>
    <xf numFmtId="0" fontId="42" fillId="14" borderId="26" xfId="0" applyFont="1" applyFill="1" applyBorder="1" applyAlignment="1">
      <alignment horizontal="left" vertical="center" wrapText="1"/>
    </xf>
    <xf numFmtId="178" fontId="7" fillId="14" borderId="84" xfId="0" applyNumberFormat="1" applyFont="1" applyFill="1" applyBorder="1" applyAlignment="1">
      <alignment horizontal="center" vertical="center" wrapText="1"/>
    </xf>
    <xf numFmtId="178" fontId="7" fillId="14" borderId="85" xfId="0" applyNumberFormat="1" applyFont="1" applyFill="1" applyBorder="1" applyAlignment="1">
      <alignment horizontal="center" vertical="center" wrapText="1"/>
    </xf>
    <xf numFmtId="178" fontId="7" fillId="14" borderId="86" xfId="0" applyNumberFormat="1" applyFont="1" applyFill="1" applyBorder="1" applyAlignment="1">
      <alignment horizontal="center" vertical="center" wrapText="1"/>
    </xf>
    <xf numFmtId="178" fontId="7" fillId="14" borderId="87" xfId="0" applyNumberFormat="1" applyFont="1" applyFill="1" applyBorder="1" applyAlignment="1">
      <alignment horizontal="center" vertical="center" wrapText="1"/>
    </xf>
    <xf numFmtId="178" fontId="7" fillId="14" borderId="88" xfId="0" applyNumberFormat="1" applyFont="1" applyFill="1" applyBorder="1" applyAlignment="1">
      <alignment horizontal="center" vertical="center" wrapText="1"/>
    </xf>
    <xf numFmtId="178" fontId="7" fillId="14" borderId="89" xfId="0" applyNumberFormat="1" applyFont="1" applyFill="1" applyBorder="1" applyAlignment="1">
      <alignment horizontal="center" vertical="center" wrapText="1"/>
    </xf>
    <xf numFmtId="0" fontId="7" fillId="14" borderId="74" xfId="0" applyFont="1" applyFill="1" applyBorder="1" applyAlignment="1">
      <alignment horizontal="center" vertical="center" wrapText="1"/>
    </xf>
    <xf numFmtId="0" fontId="7" fillId="14" borderId="90" xfId="0" applyFont="1" applyFill="1" applyBorder="1" applyAlignment="1">
      <alignment horizontal="center" vertical="center" wrapText="1"/>
    </xf>
    <xf numFmtId="0" fontId="70" fillId="13" borderId="73" xfId="0" applyFont="1" applyFill="1" applyBorder="1" applyAlignment="1">
      <alignment horizontal="center" vertical="center" wrapText="1"/>
    </xf>
    <xf numFmtId="0" fontId="70" fillId="13" borderId="74" xfId="0" applyFont="1" applyFill="1" applyBorder="1" applyAlignment="1">
      <alignment horizontal="center" vertical="center" wrapText="1"/>
    </xf>
    <xf numFmtId="0" fontId="70" fillId="13" borderId="75" xfId="0" applyFont="1" applyFill="1" applyBorder="1" applyAlignment="1">
      <alignment horizontal="center" vertical="center" wrapText="1"/>
    </xf>
    <xf numFmtId="0" fontId="70" fillId="14" borderId="61" xfId="0" applyNumberFormat="1" applyFont="1" applyFill="1" applyBorder="1" applyAlignment="1" applyProtection="1">
      <alignment horizontal="center" vertical="center" wrapText="1" shrinkToFit="1"/>
    </xf>
    <xf numFmtId="0" fontId="70" fillId="14" borderId="62" xfId="0" applyNumberFormat="1" applyFont="1" applyFill="1" applyBorder="1" applyAlignment="1" applyProtection="1">
      <alignment horizontal="center" vertical="center" wrapText="1" shrinkToFit="1"/>
    </xf>
    <xf numFmtId="0" fontId="70" fillId="14" borderId="63" xfId="0" applyNumberFormat="1" applyFont="1" applyFill="1" applyBorder="1" applyAlignment="1" applyProtection="1">
      <alignment horizontal="center" vertical="center" wrapText="1" shrinkToFit="1"/>
    </xf>
    <xf numFmtId="0" fontId="68" fillId="0" borderId="25" xfId="0" applyFont="1" applyBorder="1" applyAlignment="1">
      <alignment horizontal="center" vertical="center" wrapText="1"/>
    </xf>
    <xf numFmtId="0" fontId="68" fillId="0" borderId="26" xfId="0" applyFont="1" applyBorder="1" applyAlignment="1">
      <alignment horizontal="center" vertical="center" wrapText="1"/>
    </xf>
    <xf numFmtId="0" fontId="68" fillId="0" borderId="27" xfId="0" applyFont="1" applyBorder="1" applyAlignment="1">
      <alignment horizontal="center" vertical="center" wrapText="1"/>
    </xf>
    <xf numFmtId="0" fontId="7" fillId="0" borderId="28" xfId="0" applyFont="1" applyBorder="1" applyAlignment="1">
      <alignment horizontal="right" vertical="center" wrapText="1"/>
    </xf>
    <xf numFmtId="0" fontId="7" fillId="0" borderId="4" xfId="0" applyFont="1" applyBorder="1" applyAlignment="1">
      <alignment horizontal="right" vertical="center" wrapText="1"/>
    </xf>
    <xf numFmtId="0" fontId="7" fillId="0" borderId="29" xfId="0" applyFont="1" applyBorder="1" applyAlignment="1">
      <alignment horizontal="right" vertical="center" wrapText="1"/>
    </xf>
    <xf numFmtId="0" fontId="71" fillId="0" borderId="28" xfId="0" applyFont="1" applyBorder="1" applyAlignment="1">
      <alignment horizontal="center" vertical="center" wrapText="1"/>
    </xf>
    <xf numFmtId="0" fontId="71" fillId="0" borderId="30" xfId="0" applyFont="1" applyBorder="1" applyAlignment="1">
      <alignment horizontal="center" vertical="center" wrapText="1"/>
    </xf>
    <xf numFmtId="0" fontId="71" fillId="0" borderId="4" xfId="0" applyFont="1" applyBorder="1" applyAlignment="1">
      <alignment horizontal="center" vertical="center" wrapText="1"/>
    </xf>
    <xf numFmtId="0" fontId="71" fillId="0" borderId="31" xfId="0" applyFont="1" applyBorder="1" applyAlignment="1">
      <alignment horizontal="center" vertical="center" wrapText="1"/>
    </xf>
    <xf numFmtId="49" fontId="71" fillId="0" borderId="4" xfId="0" applyNumberFormat="1" applyFont="1" applyBorder="1" applyAlignment="1">
      <alignment horizontal="center" vertical="center" wrapText="1"/>
    </xf>
    <xf numFmtId="0" fontId="71" fillId="0" borderId="29" xfId="0" applyFont="1" applyBorder="1" applyAlignment="1">
      <alignment horizontal="center" vertical="center" wrapText="1"/>
    </xf>
    <xf numFmtId="0" fontId="71" fillId="0" borderId="32" xfId="0" applyFont="1" applyBorder="1" applyAlignment="1">
      <alignment horizontal="center" vertical="center" wrapText="1"/>
    </xf>
    <xf numFmtId="0" fontId="17" fillId="0" borderId="0" xfId="9" applyNumberFormat="1" applyFont="1" applyFill="1" applyBorder="1" applyAlignment="1" applyProtection="1">
      <alignment horizontal="center" vertical="center" wrapText="1"/>
    </xf>
    <xf numFmtId="0" fontId="173" fillId="0" borderId="0" xfId="9" applyNumberFormat="1" applyFont="1" applyFill="1" applyBorder="1" applyAlignment="1" applyProtection="1">
      <alignment horizontal="center" vertical="center" wrapText="1"/>
    </xf>
    <xf numFmtId="0" fontId="174" fillId="0" borderId="0" xfId="0" applyNumberFormat="1" applyFont="1" applyFill="1" applyBorder="1" applyAlignment="1" applyProtection="1">
      <alignment horizontal="center" vertical="center" wrapText="1"/>
    </xf>
    <xf numFmtId="0" fontId="175" fillId="0" borderId="0" xfId="0" applyNumberFormat="1" applyFont="1" applyFill="1" applyBorder="1" applyAlignment="1" applyProtection="1">
      <alignment horizontal="center" vertical="center"/>
    </xf>
    <xf numFmtId="0" fontId="176" fillId="0" borderId="0" xfId="0" applyNumberFormat="1" applyFont="1" applyFill="1" applyBorder="1" applyAlignment="1" applyProtection="1">
      <alignment horizontal="center" vertical="center" wrapText="1"/>
    </xf>
    <xf numFmtId="0" fontId="177" fillId="0" borderId="0" xfId="0" applyNumberFormat="1" applyFont="1" applyFill="1" applyBorder="1" applyAlignment="1" applyProtection="1">
      <alignment horizontal="center" vertical="center" wrapText="1"/>
    </xf>
    <xf numFmtId="0" fontId="56" fillId="0" borderId="0" xfId="0" applyNumberFormat="1" applyFont="1" applyFill="1" applyBorder="1" applyAlignment="1" applyProtection="1">
      <alignment horizontal="left" vertical="center" wrapText="1"/>
    </xf>
    <xf numFmtId="0" fontId="167" fillId="0" borderId="0" xfId="0" applyNumberFormat="1" applyFont="1" applyFill="1" applyBorder="1" applyAlignment="1" applyProtection="1">
      <alignment horizontal="left" vertical="center" wrapText="1"/>
    </xf>
    <xf numFmtId="0" fontId="0" fillId="0" borderId="0" xfId="0" applyNumberFormat="1" applyFont="1" applyFill="1" applyBorder="1" applyAlignment="1" applyProtection="1">
      <alignment horizontal="left" vertical="center"/>
    </xf>
    <xf numFmtId="0" fontId="56" fillId="0" borderId="0" xfId="0" applyNumberFormat="1" applyFont="1" applyFill="1" applyBorder="1" applyAlignment="1" applyProtection="1">
      <alignment horizontal="left" vertical="center" shrinkToFit="1" readingOrder="1"/>
    </xf>
    <xf numFmtId="0" fontId="42" fillId="0" borderId="4" xfId="0" applyNumberFormat="1" applyFont="1" applyFill="1" applyBorder="1" applyAlignment="1" applyProtection="1">
      <alignment horizontal="center" vertical="center"/>
    </xf>
    <xf numFmtId="0" fontId="42" fillId="0" borderId="4" xfId="0" applyNumberFormat="1" applyFont="1" applyFill="1" applyBorder="1" applyAlignment="1" applyProtection="1">
      <alignment horizontal="center" vertical="center" wrapText="1"/>
    </xf>
    <xf numFmtId="0" fontId="109" fillId="0" borderId="4" xfId="0" applyNumberFormat="1" applyFont="1" applyFill="1" applyBorder="1" applyAlignment="1" applyProtection="1">
      <alignment horizontal="center" vertical="center" wrapText="1"/>
    </xf>
    <xf numFmtId="4" fontId="42" fillId="0" borderId="4" xfId="0" applyNumberFormat="1" applyFont="1" applyFill="1" applyBorder="1" applyAlignment="1" applyProtection="1">
      <alignment horizontal="center" vertical="center" wrapText="1"/>
    </xf>
    <xf numFmtId="4" fontId="109" fillId="0" borderId="4" xfId="0" applyNumberFormat="1" applyFont="1" applyFill="1" applyBorder="1" applyAlignment="1" applyProtection="1">
      <alignment horizontal="center" vertical="center" wrapText="1"/>
    </xf>
    <xf numFmtId="0" fontId="56" fillId="0" borderId="4" xfId="0" applyNumberFormat="1" applyFont="1" applyFill="1" applyBorder="1" applyAlignment="1" applyProtection="1">
      <alignment horizontal="center" vertical="center" shrinkToFit="1"/>
    </xf>
    <xf numFmtId="0" fontId="56" fillId="0" borderId="4" xfId="0" applyNumberFormat="1" applyFont="1" applyFill="1" applyBorder="1" applyAlignment="1" applyProtection="1">
      <alignment vertical="center" wrapText="1"/>
    </xf>
    <xf numFmtId="0" fontId="37" fillId="0" borderId="4" xfId="0" applyNumberFormat="1" applyFont="1" applyFill="1" applyBorder="1" applyAlignment="1" applyProtection="1">
      <alignment horizontal="center" vertical="center" wrapText="1" shrinkToFit="1"/>
    </xf>
    <xf numFmtId="0" fontId="37" fillId="0" borderId="4" xfId="0" applyNumberFormat="1" applyFont="1" applyFill="1" applyBorder="1" applyAlignment="1" applyProtection="1">
      <alignment vertical="center" wrapText="1" readingOrder="1"/>
    </xf>
    <xf numFmtId="0" fontId="56" fillId="0" borderId="4" xfId="0" applyNumberFormat="1" applyFont="1" applyFill="1" applyBorder="1" applyAlignment="1" applyProtection="1">
      <alignment vertical="center" shrinkToFit="1"/>
    </xf>
    <xf numFmtId="0" fontId="56" fillId="0" borderId="4" xfId="0" applyNumberFormat="1" applyFont="1" applyFill="1" applyBorder="1" applyAlignment="1" applyProtection="1">
      <alignment vertical="center" wrapText="1"/>
    </xf>
    <xf numFmtId="0" fontId="37" fillId="0" borderId="4" xfId="0" applyNumberFormat="1" applyFont="1" applyFill="1" applyBorder="1" applyAlignment="1" applyProtection="1">
      <alignment horizontal="center" vertical="center" wrapText="1" shrinkToFit="1"/>
    </xf>
    <xf numFmtId="178" fontId="153" fillId="0" borderId="4" xfId="0" applyNumberFormat="1" applyFont="1" applyFill="1" applyBorder="1" applyAlignment="1" applyProtection="1">
      <alignment horizontal="right" vertical="center" shrinkToFit="1"/>
    </xf>
    <xf numFmtId="0" fontId="37" fillId="0" borderId="4" xfId="0" applyNumberFormat="1" applyFont="1" applyFill="1" applyBorder="1" applyAlignment="1" applyProtection="1">
      <alignment vertical="center" wrapText="1" readingOrder="1"/>
    </xf>
    <xf numFmtId="0" fontId="56" fillId="0" borderId="4" xfId="0" applyNumberFormat="1" applyFont="1" applyFill="1" applyBorder="1" applyAlignment="1" applyProtection="1">
      <alignment horizontal="left" vertical="top" wrapText="1" shrinkToFit="1"/>
    </xf>
    <xf numFmtId="0" fontId="56" fillId="0" borderId="4" xfId="0" applyNumberFormat="1" applyFont="1" applyFill="1" applyBorder="1" applyAlignment="1" applyProtection="1">
      <alignment horizontal="left" vertical="top" wrapText="1"/>
    </xf>
    <xf numFmtId="0" fontId="37" fillId="0" borderId="4" xfId="0" applyNumberFormat="1" applyFont="1" applyFill="1" applyBorder="1" applyAlignment="1" applyProtection="1">
      <alignment horizontal="left" vertical="top" wrapText="1" shrinkToFit="1"/>
    </xf>
    <xf numFmtId="178" fontId="153" fillId="0" borderId="4" xfId="0" applyNumberFormat="1" applyFont="1" applyFill="1" applyBorder="1" applyAlignment="1" applyProtection="1">
      <alignment horizontal="left" vertical="top" wrapText="1" shrinkToFit="1"/>
    </xf>
    <xf numFmtId="0" fontId="37" fillId="0" borderId="4" xfId="0" applyNumberFormat="1" applyFont="1" applyFill="1" applyBorder="1" applyAlignment="1" applyProtection="1">
      <alignment horizontal="left" vertical="top" wrapText="1" readingOrder="1"/>
    </xf>
  </cellXfs>
  <cellStyles count="10">
    <cellStyle name="一般" xfId="0" builtinId="0"/>
    <cellStyle name="一般 2" xfId="1" xr:uid="{00000000-0005-0000-0000-000001000000}"/>
    <cellStyle name="一般 3" xfId="2" xr:uid="{00000000-0005-0000-0000-000002000000}"/>
    <cellStyle name="一般 4" xfId="8" xr:uid="{FD104136-149C-411F-8134-CB963D4132CE}"/>
    <cellStyle name="一般_89開口合約第一標(市)" xfId="3" xr:uid="{00000000-0005-0000-0000-000003000000}"/>
    <cellStyle name="一般_詳細價目表" xfId="9" xr:uid="{218088B9-43D8-432A-98CA-6E03D5C267FA}"/>
    <cellStyle name="一般_數量計算表格檔" xfId="4" xr:uid="{00000000-0005-0000-0000-000004000000}"/>
    <cellStyle name="千分位" xfId="5" builtinId="3"/>
    <cellStyle name="千分位 2" xfId="6" xr:uid="{00000000-0005-0000-0000-000006000000}"/>
    <cellStyle name="超連結" xfId="7"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2.xml"/><Relationship Id="rId21" Type="http://schemas.openxmlformats.org/officeDocument/2006/relationships/worksheet" Target="worksheets/sheet21.xml"/><Relationship Id="rId34" Type="http://schemas.openxmlformats.org/officeDocument/2006/relationships/externalLink" Target="externalLinks/externalLink7.xml"/><Relationship Id="rId42" Type="http://schemas.openxmlformats.org/officeDocument/2006/relationships/externalLink" Target="externalLinks/externalLink15.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5.xml"/><Relationship Id="rId37" Type="http://schemas.openxmlformats.org/officeDocument/2006/relationships/externalLink" Target="externalLinks/externalLink10.xml"/><Relationship Id="rId40" Type="http://schemas.openxmlformats.org/officeDocument/2006/relationships/externalLink" Target="externalLinks/externalLink13.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externalLink" Target="externalLinks/externalLink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4.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openxmlformats.org/officeDocument/2006/relationships/externalLink" Target="externalLinks/externalLink8.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6.xml"/><Relationship Id="rId38" Type="http://schemas.openxmlformats.org/officeDocument/2006/relationships/externalLink" Target="externalLinks/externalLink11.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01.&#20219;&#27888;&#25216;&#34899;&#39015;&#21839;&#26377;&#38480;&#20844;&#21496;\02.&#35373;&#35336;&#36039;&#26009;\01.&#33274;&#21271;&#24066;&#25919;&#24220;&#27700;&#21033;&#34389;\00.&#27700;&#21033;&#34389;&#35373;&#35336;&#36039;&#26009;\01.&#35373;&#35336;&#35336;&#31639;\06.&#35373;&#35336;&#35336;&#31639;\&#35373;&#35336;&#35336;&#31639;13.0.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line&#26283;&#23384;\112&#27700;&#21033;&#34389;&#36890;&#22577;&#21934;(&#38283;&#21475;)-01-&#26045;&#24037;&#20301;&#3262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ynologyDrive\01.&#20219;&#27888;&#25216;&#34899;&#39015;&#21839;&#26377;&#38480;&#20844;&#21496;\02.&#35373;&#35336;&#36039;&#26009;\01.&#33274;&#21271;&#24066;&#25919;&#24220;&#27700;&#21033;&#34389;\00.&#27700;&#21033;&#34389;&#35373;&#35336;&#36039;&#26009;\01.&#35373;&#35336;&#35336;&#31639;\05.&#35430;&#31639;&#34920;\2.0\2.2.5(&#33258;&#27298;&#34920;&#20462;&#27491;)\111&#27700;&#21033;&#34389;&#36890;&#22577;&#21934;(&#38283;&#21475;)-01-&#26045;&#24037;&#20301;&#3262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VLNT\UPLOAD\&#27665;&#26063;&#26481;&#35199;&#3633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H:\&#22855;&#22855;&#24618;&#24618;&#30340;&#35430;&#31639;&#34920;\&#27665;&#26063;&#26481;&#35199;&#3633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Kusla\c\&#34945;&#29790;&#29664;\&#27665;&#26063;&#26481;&#35199;&#36335;.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01.&#20219;&#27888;&#25216;&#34899;&#39015;&#21839;&#26377;&#38480;&#20844;&#21496;\02.&#35373;&#35336;&#36039;&#26009;\01.&#33274;&#21271;&#24066;&#25919;&#24220;&#27700;&#21033;&#34389;\00.&#27700;&#21033;&#34389;&#35373;&#35336;&#36039;&#26009;\01.&#35373;&#35336;&#35336;&#31639;\05.&#35430;&#31639;&#34920;\3.0\3.1.0\103012-&#31532;1&#27425;&#36890;&#22577;&#21934;-&#20449;&#32681;&#36335;&#33287;&#20809;&#24489;&#21335;&#36335;&#26412;&#32218;&#19979;&#26041;&#25490;&#27700;&#31665;&#28085;-1030716-&#39192;&#22303;t.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line&#26283;&#23384;\103012-&#31532;1&#27425;&#36890;&#22577;&#21934;-&#20449;&#32681;&#36335;&#33287;&#20809;&#24489;&#21335;&#36335;&#26412;&#32218;&#19979;&#26041;&#25490;&#27700;&#31665;&#28085;-1030716-&#39192;&#22303;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SynologyDrive\01.&#20219;&#27888;&#25216;&#34899;&#39015;&#21839;&#26377;&#38480;&#20844;&#21496;\02.&#35373;&#35336;&#36039;&#26009;\01.&#33274;&#21271;&#24066;&#25919;&#24220;&#27700;&#21033;&#34389;\00.&#27700;&#21033;&#34389;&#35373;&#35336;&#36039;&#26009;\01.&#35373;&#35336;&#35336;&#31639;\05.&#35430;&#31639;&#34920;\2.0\2.2.5(&#33258;&#27298;&#34920;&#20462;&#27491;)\103012-&#31532;1&#27425;&#36890;&#22577;&#21934;-&#20449;&#32681;&#36335;&#33287;&#20809;&#24489;&#21335;&#36335;&#26412;&#32218;&#19979;&#26041;&#25490;&#27700;&#31665;&#28085;-1030716-&#39192;&#22303;t.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vl2011\d\Jim\XLS\chomei.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LI\8603.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22855;&#22855;&#24618;&#24618;&#30340;&#35430;&#31639;&#34920;\&#22235;&#32929;&#27284;&#26696;&#20849;&#23384;&#21312;\&#38515;&#37101;&#27491;\&#24310;&#21271;&#20116;&#27573;&#19968;&#24055;.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Kusla\c\&#34945;&#29790;&#29664;\&#22235;&#32929;&#27284;&#26696;&#20849;&#23384;&#21312;\&#38515;&#37101;&#27491;\&#24310;&#21271;&#20116;&#27573;&#19968;&#2405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H:\&#22855;&#22855;&#24618;&#24618;&#30340;&#35430;&#31639;&#34920;\&#22235;&#32929;&#27284;&#26696;&#20849;&#23384;&#21312;\&#38515;&#37101;&#27491;\PublicDWG\DONHU\8702.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Kusla\c\&#34945;&#29790;&#29664;\&#22235;&#32929;&#27284;&#26696;&#20849;&#23384;&#21312;\&#38515;&#37101;&#27491;\PublicDWG\DONHU\87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通報單封面"/>
      <sheetName val="試驗統計"/>
      <sheetName val="數量計算"/>
      <sheetName val="高程計算"/>
      <sheetName val="資料"/>
      <sheetName val="合約"/>
    </sheetNames>
    <sheetDataSet>
      <sheetData sheetId="0"/>
      <sheetData sheetId="1"/>
      <sheetData sheetId="2">
        <row r="124">
          <cell r="N124" t="str">
            <v>((9*5)*2*0.5)+(6*2)</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自主檢查表"/>
      <sheetName val="試驗檢查表"/>
      <sheetName val="詳細表"/>
      <sheetName val="工項數量表"/>
      <sheetName val="數量表"/>
      <sheetName val="數量統計表"/>
      <sheetName val="數量計算表"/>
      <sheetName val="資料"/>
      <sheetName val="參數"/>
      <sheetName val="合約"/>
      <sheetName val="單價分析表"/>
      <sheetName val="合約 (北搶)"/>
      <sheetName val="合約 (中松)"/>
      <sheetName val="合約 (北投)"/>
      <sheetName val="合約 (士大)"/>
      <sheetName val="工作表1"/>
      <sheetName val="Sheet2"/>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自主檢查表"/>
      <sheetName val="詳細表"/>
      <sheetName val="工項數量表"/>
      <sheetName val="數量表"/>
      <sheetName val="數量統計表"/>
      <sheetName val="數量計算表"/>
      <sheetName val="參數"/>
      <sheetName val="資料"/>
      <sheetName val="合約"/>
      <sheetName val="單價分析表"/>
      <sheetName val="合約 (中松)"/>
      <sheetName val="合約 (北搶)"/>
      <sheetName val="合約 (北投)"/>
      <sheetName val="合約 (士大)"/>
      <sheetName val="工作表1"/>
      <sheetName val="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單價分析表"/>
      <sheetName val="數量表"/>
      <sheetName val="數量統計表"/>
      <sheetName val="數量計算表"/>
      <sheetName val="參數"/>
      <sheetName val="詳細表空白"/>
      <sheetName val="單價分析表空白"/>
      <sheetName val="施工進度表"/>
      <sheetName val="數量"/>
      <sheetName val="0430數量表"/>
      <sheetName val="0430數量統計表"/>
      <sheetName val="草圖資料"/>
      <sheetName val="工程材料檢(試)驗總表"/>
      <sheetName val="審查表"/>
      <sheetName val="建議底價表"/>
      <sheetName val="類似工程比較表"/>
      <sheetName val="數量表 (2)"/>
      <sheetName val="#REF"/>
      <sheetName val="建築預算"/>
      <sheetName val="總表"/>
      <sheetName val="監工單量"/>
      <sheetName val="監工單量 (2)"/>
      <sheetName val="施工單量"/>
      <sheetName val="施工單量(2)"/>
      <sheetName val="施工日報"/>
      <sheetName val="監工日報"/>
      <sheetName val="監資料"/>
      <sheetName val="數量總表"/>
      <sheetName val="查對表"/>
      <sheetName val="date."/>
      <sheetName val="封面"/>
      <sheetName val="估驗計價單"/>
      <sheetName val="月底  估驗詳細價目總表"/>
      <sheetName val="施工進度報告表"/>
      <sheetName val="估驗統計表"/>
      <sheetName val="估驗詳細表"/>
      <sheetName val="施工通知單統計表"/>
      <sheetName val="估驗數量查驗工作項目明細表"/>
      <sheetName val="檢驗數量統計表(北區) (2)"/>
      <sheetName val="檢驗數量統計表(北區)"/>
      <sheetName val="餘土分析表"/>
      <sheetName val="  "/>
      <sheetName val="竹43線監工日報"/>
      <sheetName val="budget"/>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 sheetId="4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單價分析表"/>
      <sheetName val="數量表"/>
      <sheetName val="數量統計表"/>
      <sheetName val="數量計算表"/>
      <sheetName val="參數"/>
      <sheetName val="詳細表空白"/>
      <sheetName val="單價分析表空白"/>
      <sheetName val="施工進度表"/>
      <sheetName val="0430數量表"/>
      <sheetName val="0430數量統計表"/>
      <sheetName val="草圖資料"/>
      <sheetName val="工程材料檢(試)驗總表"/>
      <sheetName val="審查表"/>
      <sheetName val="建議底價表"/>
      <sheetName val="類似工程比較表"/>
      <sheetName val="數量表 (2)"/>
      <sheetName val="#REF"/>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單價分析表"/>
      <sheetName val="數量表"/>
      <sheetName val="數量統計表"/>
      <sheetName val="數量計算表"/>
      <sheetName val="參數"/>
      <sheetName val="詳細表空白"/>
      <sheetName val="單價分析表空白"/>
      <sheetName val="施工進度表"/>
      <sheetName val="#REF"/>
      <sheetName val="建築預算"/>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項數量表"/>
      <sheetName val="詳細表"/>
      <sheetName val="數量表"/>
      <sheetName val="數量統計表"/>
      <sheetName val="數量計算表"/>
      <sheetName val="通報單"/>
      <sheetName val="格式"/>
      <sheetName val="詳細價目表 "/>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6">
          <cell r="A6" t="str">
            <v>項次</v>
          </cell>
          <cell r="B6" t="str">
            <v>項  目  及  說  明</v>
          </cell>
          <cell r="C6" t="str">
            <v>單位</v>
          </cell>
          <cell r="D6" t="str">
            <v>數量</v>
          </cell>
          <cell r="E6" t="str">
            <v>單  價</v>
          </cell>
        </row>
        <row r="7">
          <cell r="A7" t="str">
            <v>壹</v>
          </cell>
          <cell r="B7" t="str">
            <v>發包工程費</v>
          </cell>
          <cell r="C7" t="str">
            <v>式</v>
          </cell>
          <cell r="D7">
            <v>1</v>
          </cell>
        </row>
        <row r="8">
          <cell r="A8" t="str">
            <v>一</v>
          </cell>
          <cell r="B8" t="str">
            <v>施工費</v>
          </cell>
          <cell r="C8" t="str">
            <v>式</v>
          </cell>
          <cell r="D8">
            <v>1</v>
          </cell>
        </row>
        <row r="9">
          <cell r="A9">
            <v>1</v>
          </cell>
          <cell r="B9" t="str">
            <v>基地及路幅開挖，未含運費，(機械挖，0.7～0.79m3開挖機)</v>
          </cell>
          <cell r="C9" t="str">
            <v>B.M3</v>
          </cell>
          <cell r="D9">
            <v>400</v>
          </cell>
          <cell r="E9">
            <v>27.91</v>
          </cell>
        </row>
        <row r="10">
          <cell r="A10">
            <v>2</v>
          </cell>
          <cell r="B10" t="str">
            <v>構造物開挖，(人工挖，未含抽排水)，未含運費</v>
          </cell>
          <cell r="C10" t="str">
            <v>B.M3</v>
          </cell>
          <cell r="D10">
            <v>50</v>
          </cell>
          <cell r="E10">
            <v>372.29</v>
          </cell>
        </row>
        <row r="11">
          <cell r="A11">
            <v>3</v>
          </cell>
          <cell r="B11" t="str">
            <v>餘方自行處理(含水土保持)，總重15t傾卸貨車</v>
          </cell>
          <cell r="C11" t="str">
            <v>B.M3</v>
          </cell>
          <cell r="D11">
            <v>500</v>
          </cell>
          <cell r="E11">
            <v>502.21</v>
          </cell>
        </row>
        <row r="12">
          <cell r="A12">
            <v>4</v>
          </cell>
          <cell r="B12" t="str">
            <v>餘方自行處理(房屋廢方，含水土保持)</v>
          </cell>
          <cell r="C12" t="str">
            <v>M3</v>
          </cell>
          <cell r="D12">
            <v>100</v>
          </cell>
          <cell r="E12">
            <v>672.14</v>
          </cell>
        </row>
        <row r="13">
          <cell r="A13">
            <v>5</v>
          </cell>
          <cell r="B13" t="str">
            <v>泥漿運棄及處理</v>
          </cell>
          <cell r="C13" t="str">
            <v>M3</v>
          </cell>
          <cell r="D13">
            <v>100</v>
          </cell>
          <cell r="E13">
            <v>978.41</v>
          </cell>
        </row>
        <row r="14">
          <cell r="A14">
            <v>6</v>
          </cell>
          <cell r="B14" t="str">
            <v>利用填方，含夯實</v>
          </cell>
          <cell r="C14" t="str">
            <v>M3</v>
          </cell>
          <cell r="D14">
            <v>100</v>
          </cell>
          <cell r="E14">
            <v>61.25</v>
          </cell>
        </row>
        <row r="15">
          <cell r="A15">
            <v>7</v>
          </cell>
          <cell r="B15" t="str">
            <v>結構用混凝土，預拌，140kgf/c㎡</v>
          </cell>
          <cell r="C15" t="str">
            <v>M3</v>
          </cell>
          <cell r="D15">
            <v>50</v>
          </cell>
          <cell r="E15">
            <v>1468.3</v>
          </cell>
        </row>
        <row r="16">
          <cell r="A16">
            <v>8</v>
          </cell>
          <cell r="B16" t="str">
            <v>結構用混凝土，預拌，175kgf/c㎡</v>
          </cell>
          <cell r="C16" t="str">
            <v>M3</v>
          </cell>
          <cell r="D16">
            <v>50</v>
          </cell>
          <cell r="E16">
            <v>1525.18</v>
          </cell>
        </row>
        <row r="17">
          <cell r="A17">
            <v>9</v>
          </cell>
          <cell r="B17" t="str">
            <v>結構用混凝土，預拌，210kgf/c㎡</v>
          </cell>
          <cell r="C17" t="str">
            <v>M3</v>
          </cell>
          <cell r="D17">
            <v>50</v>
          </cell>
          <cell r="E17">
            <v>1584.29</v>
          </cell>
        </row>
        <row r="18">
          <cell r="A18">
            <v>10</v>
          </cell>
          <cell r="B18" t="str">
            <v>結構用混凝土，預拌，245kgf/c㎡</v>
          </cell>
          <cell r="C18" t="str">
            <v>M3</v>
          </cell>
          <cell r="D18">
            <v>50</v>
          </cell>
          <cell r="E18">
            <v>1687.01</v>
          </cell>
        </row>
        <row r="19">
          <cell r="A19">
            <v>11</v>
          </cell>
          <cell r="B19" t="str">
            <v>結構用混凝土，預拌，280kgf/c㎡</v>
          </cell>
          <cell r="C19" t="str">
            <v>M3</v>
          </cell>
          <cell r="D19">
            <v>50</v>
          </cell>
          <cell r="E19">
            <v>1797.42</v>
          </cell>
        </row>
        <row r="20">
          <cell r="A20">
            <v>12</v>
          </cell>
          <cell r="B20" t="str">
            <v>結構用混凝土，385kgf/c㎡，早強劑及無收縮化學摻料</v>
          </cell>
          <cell r="C20" t="str">
            <v>M3</v>
          </cell>
          <cell r="D20">
            <v>40</v>
          </cell>
          <cell r="E20">
            <v>4312.49</v>
          </cell>
        </row>
        <row r="21">
          <cell r="A21">
            <v>13</v>
          </cell>
          <cell r="B21" t="str">
            <v>結構用混凝土，CLSM(高性能低強度材料)</v>
          </cell>
          <cell r="C21" t="str">
            <v>M3</v>
          </cell>
          <cell r="D21">
            <v>50</v>
          </cell>
          <cell r="E21">
            <v>1674.21</v>
          </cell>
        </row>
        <row r="22">
          <cell r="A22">
            <v>14</v>
          </cell>
          <cell r="B22" t="str">
            <v>結構用透水混凝土，預拌，175kgf/c㎡</v>
          </cell>
          <cell r="C22" t="str">
            <v>M3</v>
          </cell>
          <cell r="D22">
            <v>20</v>
          </cell>
          <cell r="E22">
            <v>3220.74</v>
          </cell>
        </row>
        <row r="23">
          <cell r="A23">
            <v>15</v>
          </cell>
          <cell r="B23" t="str">
            <v>級配粒料底層，碎石級配</v>
          </cell>
          <cell r="C23" t="str">
            <v>C.M3</v>
          </cell>
          <cell r="D23">
            <v>100</v>
          </cell>
          <cell r="E23">
            <v>740.22</v>
          </cell>
        </row>
        <row r="24">
          <cell r="A24">
            <v>16</v>
          </cell>
          <cell r="B24" t="str">
            <v>結構用混凝土，泵送及澆注費</v>
          </cell>
          <cell r="C24" t="str">
            <v>M3</v>
          </cell>
          <cell r="D24">
            <v>200</v>
          </cell>
          <cell r="E24">
            <v>143.46</v>
          </cell>
        </row>
        <row r="25">
          <cell r="A25">
            <v>17</v>
          </cell>
          <cell r="B25" t="str">
            <v>選擇材料回填，透水材料，砂，用於構造物回填</v>
          </cell>
          <cell r="C25" t="str">
            <v>C.M3</v>
          </cell>
          <cell r="D25">
            <v>20</v>
          </cell>
          <cell r="E25">
            <v>766.46</v>
          </cell>
        </row>
        <row r="26">
          <cell r="A26">
            <v>18</v>
          </cell>
          <cell r="B26" t="str">
            <v>瀝青混凝土面層刨除，刨除料運費</v>
          </cell>
          <cell r="C26" t="str">
            <v>M3</v>
          </cell>
          <cell r="D26">
            <v>50</v>
          </cell>
          <cell r="E26">
            <v>412.72</v>
          </cell>
        </row>
        <row r="27">
          <cell r="A27">
            <v>19</v>
          </cell>
          <cell r="B27" t="str">
            <v>機械拆除，無筋混凝土，未含運費</v>
          </cell>
          <cell r="C27" t="str">
            <v>M3</v>
          </cell>
          <cell r="D27">
            <v>50</v>
          </cell>
          <cell r="E27">
            <v>443.3</v>
          </cell>
        </row>
        <row r="28">
          <cell r="A28">
            <v>20</v>
          </cell>
          <cell r="B28" t="str">
            <v>機械拆除，鋼筋混凝土，未含運費</v>
          </cell>
          <cell r="C28" t="str">
            <v>M3</v>
          </cell>
          <cell r="D28">
            <v>50</v>
          </cell>
          <cell r="E28">
            <v>690.77</v>
          </cell>
        </row>
        <row r="29">
          <cell r="A29">
            <v>21</v>
          </cell>
          <cell r="B29" t="str">
            <v>人工拆除，無筋混凝土，未含運費</v>
          </cell>
          <cell r="C29" t="str">
            <v>M3</v>
          </cell>
          <cell r="D29">
            <v>20</v>
          </cell>
          <cell r="E29">
            <v>2526.88</v>
          </cell>
        </row>
        <row r="30">
          <cell r="A30">
            <v>22</v>
          </cell>
          <cell r="B30" t="str">
            <v>人工拆除，鋼筋混凝土，未含運費</v>
          </cell>
          <cell r="C30" t="str">
            <v>M3</v>
          </cell>
          <cell r="D30">
            <v>20</v>
          </cell>
          <cell r="E30">
            <v>3258.34</v>
          </cell>
        </row>
        <row r="31">
          <cell r="A31">
            <v>23</v>
          </cell>
          <cell r="B31" t="str">
            <v>基地及路幅開挖，軟岩，含裝車未含運費，人工挖</v>
          </cell>
          <cell r="C31" t="str">
            <v>B.M3</v>
          </cell>
          <cell r="D31">
            <v>20</v>
          </cell>
          <cell r="E31">
            <v>2061.56</v>
          </cell>
        </row>
        <row r="32">
          <cell r="A32">
            <v>24</v>
          </cell>
          <cell r="B32" t="str">
            <v>基地及路幅開挖，硬岩，含裝車未含運費，人工挖</v>
          </cell>
          <cell r="C32" t="str">
            <v>B.M3</v>
          </cell>
          <cell r="D32">
            <v>20</v>
          </cell>
          <cell r="E32">
            <v>2859.21</v>
          </cell>
        </row>
        <row r="33">
          <cell r="A33">
            <v>25</v>
          </cell>
          <cell r="B33" t="str">
            <v>瀝青混凝土舖面，粗粒料9.5mm，針入度60~70，零星工程用</v>
          </cell>
          <cell r="C33" t="str">
            <v>M3</v>
          </cell>
          <cell r="D33">
            <v>50</v>
          </cell>
          <cell r="E33">
            <v>5453.43</v>
          </cell>
        </row>
        <row r="34">
          <cell r="A34">
            <v>26</v>
          </cell>
          <cell r="B34" t="str">
            <v>瀝青混凝土舖面，粗粒料19.0mm，針入度60~70，零星工程用</v>
          </cell>
          <cell r="C34" t="str">
            <v>M3</v>
          </cell>
          <cell r="D34">
            <v>50</v>
          </cell>
          <cell r="E34">
            <v>5938.84</v>
          </cell>
        </row>
        <row r="35">
          <cell r="A35">
            <v>27</v>
          </cell>
          <cell r="B35" t="str">
            <v>瀝青混凝土舖面，粗粒料9.5mm，針入度60~70</v>
          </cell>
          <cell r="C35" t="str">
            <v>M3</v>
          </cell>
          <cell r="D35">
            <v>50</v>
          </cell>
          <cell r="E35">
            <v>5119.62</v>
          </cell>
        </row>
        <row r="36">
          <cell r="A36">
            <v>28</v>
          </cell>
          <cell r="B36" t="str">
            <v>瀝青混凝土舖面，粗粒料19.0mm，針入度60~70</v>
          </cell>
          <cell r="C36" t="str">
            <v>M3</v>
          </cell>
          <cell r="D36">
            <v>50</v>
          </cell>
          <cell r="E36">
            <v>5605.02</v>
          </cell>
        </row>
        <row r="37">
          <cell r="A37">
            <v>29</v>
          </cell>
          <cell r="B37" t="str">
            <v>瀝青透層，中凝油溶瀝青，MC-70</v>
          </cell>
          <cell r="C37" t="str">
            <v>㎡</v>
          </cell>
          <cell r="D37">
            <v>200</v>
          </cell>
          <cell r="E37">
            <v>25.87</v>
          </cell>
        </row>
        <row r="38">
          <cell r="A38">
            <v>30</v>
          </cell>
          <cell r="B38" t="str">
            <v>瀝青黏層，快凝油溶瀝青，RC-70</v>
          </cell>
          <cell r="C38" t="str">
            <v>㎡</v>
          </cell>
          <cell r="D38">
            <v>200</v>
          </cell>
          <cell r="E38">
            <v>9.8000000000000007</v>
          </cell>
        </row>
        <row r="39">
          <cell r="A39">
            <v>31</v>
          </cell>
          <cell r="B39" t="str">
            <v>瀝青混凝土面層刨除，平均厚5.0cm，刨除機1.2m寬，未含運費</v>
          </cell>
          <cell r="C39" t="str">
            <v>㎡</v>
          </cell>
          <cell r="D39">
            <v>200</v>
          </cell>
          <cell r="E39">
            <v>16.920000000000002</v>
          </cell>
        </row>
        <row r="40">
          <cell r="A40">
            <v>32</v>
          </cell>
          <cell r="B40" t="str">
            <v>瀝青混凝土面層刨除，平均厚5.0cm，刨除機2.2m寬，未含運費</v>
          </cell>
          <cell r="C40" t="str">
            <v>㎡</v>
          </cell>
          <cell r="D40">
            <v>200</v>
          </cell>
          <cell r="E40">
            <v>11.16</v>
          </cell>
        </row>
        <row r="41">
          <cell r="A41">
            <v>33</v>
          </cell>
          <cell r="B41" t="str">
            <v>瀝青混凝土面層刨除，平均厚10.0cm，刨除機1.2m寬，未含運費</v>
          </cell>
          <cell r="C41" t="str">
            <v>㎡</v>
          </cell>
          <cell r="D41">
            <v>200</v>
          </cell>
          <cell r="E41">
            <v>28.94</v>
          </cell>
        </row>
        <row r="42">
          <cell r="A42">
            <v>34</v>
          </cell>
          <cell r="B42" t="str">
            <v>瀝青混凝土面層刨除，平均厚10.0cm，刨除機2.2m寬，未含運費</v>
          </cell>
          <cell r="C42" t="str">
            <v>㎡</v>
          </cell>
          <cell r="D42">
            <v>200</v>
          </cell>
          <cell r="E42">
            <v>19.37</v>
          </cell>
        </row>
        <row r="43">
          <cell r="A43">
            <v>35</v>
          </cell>
          <cell r="B43" t="str">
            <v>場鑄結構混凝土用模板，清水，(乙種，擋土牆，橋台，車行箱涵等)</v>
          </cell>
          <cell r="C43" t="str">
            <v>㎡</v>
          </cell>
          <cell r="D43">
            <v>20</v>
          </cell>
          <cell r="E43">
            <v>462.3</v>
          </cell>
        </row>
        <row r="44">
          <cell r="A44">
            <v>36</v>
          </cell>
          <cell r="B44" t="str">
            <v>場鑄結構混凝土用模板，普通，(乙種，擋土牆，橋台，車行箱涵等)</v>
          </cell>
          <cell r="C44" t="str">
            <v>㎡</v>
          </cell>
          <cell r="D44">
            <v>20</v>
          </cell>
          <cell r="E44">
            <v>375.72</v>
          </cell>
        </row>
        <row r="45">
          <cell r="A45">
            <v>37</v>
          </cell>
          <cell r="B45" t="str">
            <v>場鑄結構混凝土用模板，清水，(丙種，U型構，集水井，排水箱涵等)</v>
          </cell>
          <cell r="C45" t="str">
            <v>㎡</v>
          </cell>
          <cell r="D45">
            <v>20</v>
          </cell>
          <cell r="E45">
            <v>316.52</v>
          </cell>
        </row>
        <row r="46">
          <cell r="A46">
            <v>38</v>
          </cell>
          <cell r="B46" t="str">
            <v>場鑄結構混凝土用模板，普通，(丙種，U型構，集水井，排水箱涵等)</v>
          </cell>
          <cell r="C46" t="str">
            <v>㎡</v>
          </cell>
          <cell r="D46">
            <v>20</v>
          </cell>
          <cell r="E46">
            <v>237.84</v>
          </cell>
        </row>
        <row r="47">
          <cell r="A47">
            <v>39</v>
          </cell>
          <cell r="B47" t="str">
            <v>場鑄結構混凝土用模板，鋼模(U型溝)，H＞80cm，L=120cm，溝寬40cm</v>
          </cell>
          <cell r="C47" t="str">
            <v>㎡</v>
          </cell>
          <cell r="D47">
            <v>20</v>
          </cell>
          <cell r="E47">
            <v>226.67</v>
          </cell>
        </row>
        <row r="48">
          <cell r="A48">
            <v>40</v>
          </cell>
          <cell r="B48" t="str">
            <v>場鑄結構混凝土用模板，鋼模(U型溝)，H＞80cm，L=120cm，溝寬50cm</v>
          </cell>
          <cell r="C48" t="str">
            <v>㎡</v>
          </cell>
          <cell r="D48">
            <v>20</v>
          </cell>
          <cell r="E48">
            <v>274.01</v>
          </cell>
        </row>
        <row r="49">
          <cell r="A49">
            <v>41</v>
          </cell>
          <cell r="B49" t="str">
            <v>場鑄結構混凝土用模板，鋼模(U型溝)，H＞80cm，L=120cm，溝寬60cm</v>
          </cell>
          <cell r="C49" t="str">
            <v>㎡</v>
          </cell>
          <cell r="D49">
            <v>20</v>
          </cell>
          <cell r="E49">
            <v>317.05</v>
          </cell>
        </row>
        <row r="50">
          <cell r="A50">
            <v>42</v>
          </cell>
          <cell r="B50" t="str">
            <v>場鑄結構混凝土用模板，鋼模(U型溝)，H≦80cm，L=120cm，溝寬40cm</v>
          </cell>
          <cell r="C50" t="str">
            <v>M</v>
          </cell>
          <cell r="D50">
            <v>20</v>
          </cell>
          <cell r="E50">
            <v>373.72</v>
          </cell>
        </row>
        <row r="51">
          <cell r="A51">
            <v>43</v>
          </cell>
          <cell r="B51" t="str">
            <v>場鑄結構混凝土用模板，鋼模(U型溝)，H≦80cm，L=120cm，溝寬50cm</v>
          </cell>
          <cell r="C51" t="str">
            <v>M</v>
          </cell>
          <cell r="D51">
            <v>20</v>
          </cell>
          <cell r="E51">
            <v>454.06</v>
          </cell>
        </row>
        <row r="52">
          <cell r="A52">
            <v>44</v>
          </cell>
          <cell r="B52" t="str">
            <v>場鑄結構混凝土用模板，鋼模(U型溝)，H≦80cm，L=120cm，溝寬60cm</v>
          </cell>
          <cell r="C52" t="str">
            <v>M</v>
          </cell>
          <cell r="D52">
            <v>20</v>
          </cell>
          <cell r="E52">
            <v>527.94000000000005</v>
          </cell>
        </row>
        <row r="53">
          <cell r="A53">
            <v>45</v>
          </cell>
          <cell r="B53" t="str">
            <v>場鑄結構混凝土用模板，3mm厚鋼板(底模不拆模)</v>
          </cell>
          <cell r="C53" t="str">
            <v>㎡</v>
          </cell>
          <cell r="D53">
            <v>20</v>
          </cell>
          <cell r="E53">
            <v>430.39</v>
          </cell>
        </row>
        <row r="54">
          <cell r="A54">
            <v>46</v>
          </cell>
          <cell r="B54" t="str">
            <v>切割瀝青混凝土或無筋混凝土，5cm≦切割深度＜10cm</v>
          </cell>
          <cell r="C54" t="str">
            <v>M</v>
          </cell>
          <cell r="D54">
            <v>100</v>
          </cell>
          <cell r="E54">
            <v>44.7</v>
          </cell>
        </row>
        <row r="55">
          <cell r="A55">
            <v>47</v>
          </cell>
          <cell r="B55" t="str">
            <v>切割瀝青混凝土或無筋混凝土，10cm≦切割深度</v>
          </cell>
          <cell r="C55" t="str">
            <v>M</v>
          </cell>
          <cell r="D55">
            <v>100</v>
          </cell>
          <cell r="E55">
            <v>52.15</v>
          </cell>
        </row>
        <row r="56">
          <cell r="A56">
            <v>48</v>
          </cell>
          <cell r="B56" t="str">
            <v>鋼筋，SD280</v>
          </cell>
          <cell r="C56" t="str">
            <v>KG</v>
          </cell>
          <cell r="D56">
            <v>1000</v>
          </cell>
          <cell r="E56">
            <v>18.73</v>
          </cell>
        </row>
        <row r="57">
          <cell r="A57">
            <v>49</v>
          </cell>
          <cell r="B57" t="str">
            <v>鋼筋，SD420</v>
          </cell>
          <cell r="C57" t="str">
            <v>KG</v>
          </cell>
          <cell r="D57">
            <v>1000</v>
          </cell>
          <cell r="E57">
            <v>19.97</v>
          </cell>
        </row>
        <row r="58">
          <cell r="A58">
            <v>50</v>
          </cell>
          <cell r="B58" t="str">
            <v>臨時擋土樁設施，木板樁，(甲種，L=4.85m，t=9cm，W=25cm)，(單邊水平長度，含擋土支撐系統)</v>
          </cell>
          <cell r="C58" t="str">
            <v>M</v>
          </cell>
          <cell r="D58">
            <v>10</v>
          </cell>
          <cell r="E58">
            <v>1020.74</v>
          </cell>
        </row>
        <row r="59">
          <cell r="A59">
            <v>51</v>
          </cell>
          <cell r="B59" t="str">
            <v>臨時擋土樁設施，木板樁，(乙種，L=3.64m，t=8cm，W=25cm)，(單邊水平長度，含擋土支撐系統)</v>
          </cell>
          <cell r="C59" t="str">
            <v>M</v>
          </cell>
          <cell r="D59">
            <v>10</v>
          </cell>
          <cell r="E59">
            <v>797.65</v>
          </cell>
        </row>
        <row r="60">
          <cell r="A60">
            <v>52</v>
          </cell>
          <cell r="B60" t="str">
            <v>臨時擋土樁設施，木板樁，(丙種，L=2.72m，t=7cm，W=25cm)，(單邊水平長度，含擋土支撐系統)</v>
          </cell>
          <cell r="C60" t="str">
            <v>M</v>
          </cell>
          <cell r="D60">
            <v>10</v>
          </cell>
          <cell r="E60">
            <v>600.39</v>
          </cell>
        </row>
        <row r="61">
          <cell r="A61">
            <v>53</v>
          </cell>
          <cell r="B61" t="str">
            <v>場鑄水泥砂漿樁，D=300mm，210kgf/c㎡</v>
          </cell>
          <cell r="C61" t="str">
            <v>M</v>
          </cell>
          <cell r="D61">
            <v>10</v>
          </cell>
          <cell r="E61">
            <v>1029.3499999999999</v>
          </cell>
        </row>
        <row r="62">
          <cell r="A62">
            <v>54</v>
          </cell>
          <cell r="B62" t="str">
            <v>場鑄水泥砂漿樁，D=400mm，210kgf/c㎡</v>
          </cell>
          <cell r="C62" t="str">
            <v>M</v>
          </cell>
          <cell r="D62">
            <v>10</v>
          </cell>
          <cell r="E62">
            <v>1486.27</v>
          </cell>
        </row>
        <row r="63">
          <cell r="A63">
            <v>55</v>
          </cell>
          <cell r="B63" t="str">
            <v>洗石子</v>
          </cell>
          <cell r="C63" t="str">
            <v>㎡</v>
          </cell>
          <cell r="D63">
            <v>15</v>
          </cell>
          <cell r="E63">
            <v>796.94</v>
          </cell>
        </row>
        <row r="64">
          <cell r="A64">
            <v>56</v>
          </cell>
          <cell r="B64" t="str">
            <v>鋼筋混凝土管(B型)，D=600mm，三級管，未含開挖回填</v>
          </cell>
          <cell r="C64" t="str">
            <v>M</v>
          </cell>
          <cell r="D64">
            <v>20</v>
          </cell>
          <cell r="E64">
            <v>1729.44</v>
          </cell>
        </row>
        <row r="65">
          <cell r="A65">
            <v>57</v>
          </cell>
          <cell r="B65" t="str">
            <v>鋼筋混凝土管(B型)，D=800mm，三級管，未含開挖回填</v>
          </cell>
          <cell r="C65" t="str">
            <v>M</v>
          </cell>
          <cell r="D65">
            <v>20</v>
          </cell>
          <cell r="E65">
            <v>2473.3000000000002</v>
          </cell>
        </row>
        <row r="66">
          <cell r="A66">
            <v>58</v>
          </cell>
          <cell r="B66" t="str">
            <v>鋼筋混凝土管(B型)，D=1000mm，三級管，未含開挖回填</v>
          </cell>
          <cell r="C66" t="str">
            <v>M</v>
          </cell>
          <cell r="D66">
            <v>20</v>
          </cell>
          <cell r="E66">
            <v>3565.77</v>
          </cell>
        </row>
        <row r="67">
          <cell r="A67">
            <v>59</v>
          </cell>
          <cell r="B67" t="str">
            <v>鋼筋混凝土管(B型)，D=1200mm，三級管，未含開挖回填</v>
          </cell>
          <cell r="C67" t="str">
            <v>M</v>
          </cell>
          <cell r="D67">
            <v>20</v>
          </cell>
          <cell r="E67">
            <v>4749.33</v>
          </cell>
        </row>
        <row r="68">
          <cell r="A68">
            <v>60</v>
          </cell>
          <cell r="B68" t="str">
            <v>鋼筋混凝土管(B型)，D=1350mm，三級管，未含開挖回填</v>
          </cell>
          <cell r="C68" t="str">
            <v>M</v>
          </cell>
          <cell r="D68">
            <v>20</v>
          </cell>
          <cell r="E68">
            <v>5697.62</v>
          </cell>
        </row>
        <row r="69">
          <cell r="A69">
            <v>61</v>
          </cell>
          <cell r="B69" t="str">
            <v>鋼筋混凝土管(B型)，D=1500mm，三級管，未含開挖回填</v>
          </cell>
          <cell r="C69" t="str">
            <v>M</v>
          </cell>
          <cell r="D69">
            <v>10</v>
          </cell>
          <cell r="E69">
            <v>6638.74</v>
          </cell>
        </row>
        <row r="70">
          <cell r="A70">
            <v>62</v>
          </cell>
          <cell r="B70" t="str">
            <v>鋼筋混凝土管(B型)，D=1650mm，三級管，未含開挖回填</v>
          </cell>
          <cell r="C70" t="str">
            <v>M</v>
          </cell>
          <cell r="D70">
            <v>10</v>
          </cell>
          <cell r="E70">
            <v>8366.75</v>
          </cell>
        </row>
        <row r="71">
          <cell r="A71">
            <v>63</v>
          </cell>
          <cell r="B71" t="str">
            <v>鋼筋混凝土管(B型)，D=1800mm，三級管，未含開挖回填</v>
          </cell>
          <cell r="C71" t="str">
            <v>M</v>
          </cell>
          <cell r="D71">
            <v>10</v>
          </cell>
          <cell r="E71">
            <v>10347.25</v>
          </cell>
        </row>
        <row r="72">
          <cell r="A72">
            <v>64</v>
          </cell>
          <cell r="B72" t="str">
            <v>預鑄鋼筋混凝土基座(埋管用)，D=600mm管用</v>
          </cell>
          <cell r="C72" t="str">
            <v>座</v>
          </cell>
          <cell r="D72">
            <v>10</v>
          </cell>
          <cell r="E72">
            <v>779.72</v>
          </cell>
        </row>
        <row r="73">
          <cell r="A73">
            <v>65</v>
          </cell>
          <cell r="B73" t="str">
            <v>預鑄鋼筋混凝土基座(埋管用)，D=800mm管用</v>
          </cell>
          <cell r="C73" t="str">
            <v>座</v>
          </cell>
          <cell r="D73">
            <v>10</v>
          </cell>
          <cell r="E73">
            <v>893.77</v>
          </cell>
        </row>
        <row r="74">
          <cell r="A74">
            <v>66</v>
          </cell>
          <cell r="B74" t="str">
            <v>預鑄鋼筋混凝土基座(埋管用)，D=1000mm管用</v>
          </cell>
          <cell r="C74" t="str">
            <v>座</v>
          </cell>
          <cell r="D74">
            <v>10</v>
          </cell>
          <cell r="E74">
            <v>1060.19</v>
          </cell>
        </row>
        <row r="75">
          <cell r="A75">
            <v>67</v>
          </cell>
          <cell r="B75" t="str">
            <v>預鑄鋼筋混凝土基座(埋管用)，D=1200mm管用</v>
          </cell>
          <cell r="C75" t="str">
            <v>座</v>
          </cell>
          <cell r="D75">
            <v>10</v>
          </cell>
          <cell r="E75">
            <v>1093.19</v>
          </cell>
        </row>
        <row r="76">
          <cell r="A76">
            <v>68</v>
          </cell>
          <cell r="B76" t="str">
            <v>預鑄鋼筋混凝土基座(埋管用)，D=1350mm管用</v>
          </cell>
          <cell r="C76" t="str">
            <v>座</v>
          </cell>
          <cell r="D76">
            <v>10</v>
          </cell>
          <cell r="E76">
            <v>1230.19</v>
          </cell>
        </row>
        <row r="77">
          <cell r="A77">
            <v>69</v>
          </cell>
          <cell r="B77" t="str">
            <v>預鑄鋼筋混凝土基座(埋管用)，D=1500mm管用</v>
          </cell>
          <cell r="C77" t="str">
            <v>座</v>
          </cell>
          <cell r="D77">
            <v>5</v>
          </cell>
          <cell r="E77">
            <v>1418.85</v>
          </cell>
        </row>
        <row r="78">
          <cell r="A78">
            <v>70</v>
          </cell>
          <cell r="B78" t="str">
            <v>預鑄鋼筋混凝土基座(埋管用)，D=1650mm管用</v>
          </cell>
          <cell r="C78" t="str">
            <v>座</v>
          </cell>
          <cell r="D78">
            <v>5</v>
          </cell>
          <cell r="E78">
            <v>1518.55</v>
          </cell>
        </row>
        <row r="79">
          <cell r="A79">
            <v>71</v>
          </cell>
          <cell r="B79" t="str">
            <v>預鑄鋼筋混凝土基座(埋管用)，D=1800mm管用</v>
          </cell>
          <cell r="C79" t="str">
            <v>座</v>
          </cell>
          <cell r="D79">
            <v>5</v>
          </cell>
          <cell r="E79">
            <v>1610.37</v>
          </cell>
        </row>
        <row r="80">
          <cell r="A80">
            <v>72</v>
          </cell>
          <cell r="B80" t="str">
            <v>L1型預鑄溝蓋板，寬80x長90cm，高25cm</v>
          </cell>
          <cell r="C80" t="str">
            <v>塊</v>
          </cell>
          <cell r="D80">
            <v>20</v>
          </cell>
          <cell r="E80">
            <v>1037.95</v>
          </cell>
        </row>
        <row r="81">
          <cell r="A81">
            <v>73</v>
          </cell>
          <cell r="B81" t="str">
            <v>L1型預鑄溝蓋板，寬90x長90cm，高25cm</v>
          </cell>
          <cell r="C81" t="str">
            <v>塊</v>
          </cell>
          <cell r="D81">
            <v>20</v>
          </cell>
          <cell r="E81">
            <v>1086.01</v>
          </cell>
        </row>
        <row r="82">
          <cell r="A82">
            <v>74</v>
          </cell>
          <cell r="B82" t="str">
            <v>L1型預鑄溝蓋板，寬100x長90cm，高25cm</v>
          </cell>
          <cell r="C82" t="str">
            <v>塊</v>
          </cell>
          <cell r="D82">
            <v>20</v>
          </cell>
          <cell r="E82">
            <v>1189.31</v>
          </cell>
        </row>
        <row r="83">
          <cell r="A83">
            <v>75</v>
          </cell>
          <cell r="B83" t="str">
            <v>L1型預鑄溝蓋板，寬80x長90cm，高30cm</v>
          </cell>
          <cell r="C83" t="str">
            <v>塊</v>
          </cell>
          <cell r="D83">
            <v>20</v>
          </cell>
          <cell r="E83">
            <v>1134.07</v>
          </cell>
        </row>
        <row r="84">
          <cell r="A84">
            <v>76</v>
          </cell>
          <cell r="B84" t="str">
            <v>L1型預鑄溝蓋板，寬90x長90cm，高30cm</v>
          </cell>
          <cell r="C84" t="str">
            <v>塊</v>
          </cell>
          <cell r="D84">
            <v>20</v>
          </cell>
          <cell r="E84">
            <v>1182.1300000000001</v>
          </cell>
        </row>
        <row r="85">
          <cell r="A85">
            <v>77</v>
          </cell>
          <cell r="B85" t="str">
            <v>L1型預鑄溝蓋板，寬100x長90cm，高30cm</v>
          </cell>
          <cell r="C85" t="str">
            <v>塊</v>
          </cell>
          <cell r="D85">
            <v>20</v>
          </cell>
          <cell r="E85">
            <v>1237.3699999999999</v>
          </cell>
        </row>
        <row r="86">
          <cell r="A86">
            <v>78</v>
          </cell>
          <cell r="B86" t="str">
            <v>L2型預鑄溝蓋板，寬80x長90cm，高25cm</v>
          </cell>
          <cell r="C86" t="str">
            <v>塊</v>
          </cell>
          <cell r="D86">
            <v>5</v>
          </cell>
          <cell r="E86">
            <v>2670.56</v>
          </cell>
        </row>
        <row r="87">
          <cell r="A87">
            <v>79</v>
          </cell>
          <cell r="B87" t="str">
            <v>L2型預鑄溝蓋板，寬90x長90cm，高25cm</v>
          </cell>
          <cell r="C87" t="str">
            <v>塊</v>
          </cell>
          <cell r="D87">
            <v>5</v>
          </cell>
          <cell r="E87">
            <v>2962.51</v>
          </cell>
        </row>
        <row r="88">
          <cell r="A88">
            <v>80</v>
          </cell>
          <cell r="B88" t="str">
            <v>L2型預鑄溝蓋板，寬100x長90cm，高25cm</v>
          </cell>
          <cell r="C88" t="str">
            <v>塊</v>
          </cell>
          <cell r="D88">
            <v>5</v>
          </cell>
          <cell r="E88">
            <v>3328.34</v>
          </cell>
        </row>
        <row r="89">
          <cell r="A89">
            <v>81</v>
          </cell>
          <cell r="B89" t="str">
            <v>L2型預鑄溝蓋板，寬80x長90cm，高30cm</v>
          </cell>
          <cell r="C89" t="str">
            <v>塊</v>
          </cell>
          <cell r="D89">
            <v>5</v>
          </cell>
          <cell r="E89">
            <v>2715.03</v>
          </cell>
        </row>
        <row r="90">
          <cell r="A90">
            <v>82</v>
          </cell>
          <cell r="B90" t="str">
            <v>L2型預鑄溝蓋板，寬90x長90cm，高30cm</v>
          </cell>
          <cell r="C90" t="str">
            <v>塊</v>
          </cell>
          <cell r="D90">
            <v>5</v>
          </cell>
          <cell r="E90">
            <v>2996.22</v>
          </cell>
        </row>
        <row r="91">
          <cell r="A91">
            <v>83</v>
          </cell>
          <cell r="B91" t="str">
            <v>L2型預鑄溝蓋板，寬100x長90cm，高30cm</v>
          </cell>
          <cell r="C91" t="str">
            <v>塊</v>
          </cell>
          <cell r="D91">
            <v>5</v>
          </cell>
          <cell r="E91">
            <v>3350.57</v>
          </cell>
        </row>
        <row r="92">
          <cell r="A92">
            <v>84</v>
          </cell>
          <cell r="B92" t="str">
            <v>S1型預鑄溝蓋板，寬80x長50cm</v>
          </cell>
          <cell r="C92" t="str">
            <v>塊</v>
          </cell>
          <cell r="D92">
            <v>40</v>
          </cell>
          <cell r="E92">
            <v>428.24</v>
          </cell>
        </row>
        <row r="93">
          <cell r="A93">
            <v>85</v>
          </cell>
          <cell r="B93" t="str">
            <v>S1型預鑄溝蓋板，寬90x長50cm</v>
          </cell>
          <cell r="C93" t="str">
            <v>塊</v>
          </cell>
          <cell r="D93">
            <v>40</v>
          </cell>
          <cell r="E93">
            <v>476.3</v>
          </cell>
        </row>
        <row r="94">
          <cell r="A94">
            <v>86</v>
          </cell>
          <cell r="B94" t="str">
            <v>S1型預鑄溝蓋板，寬100x長50cm</v>
          </cell>
          <cell r="C94" t="str">
            <v>塊</v>
          </cell>
          <cell r="D94">
            <v>40</v>
          </cell>
          <cell r="E94">
            <v>527.94000000000005</v>
          </cell>
        </row>
        <row r="95">
          <cell r="A95">
            <v>87</v>
          </cell>
          <cell r="B95" t="str">
            <v>S2型預鑄溝蓋板，寬80x長100cm</v>
          </cell>
          <cell r="C95" t="str">
            <v>塊</v>
          </cell>
          <cell r="D95">
            <v>10</v>
          </cell>
          <cell r="E95">
            <v>2560.09</v>
          </cell>
        </row>
        <row r="96">
          <cell r="A96">
            <v>88</v>
          </cell>
          <cell r="B96" t="str">
            <v>S2型預鑄溝蓋板，寬90x長100cm</v>
          </cell>
          <cell r="C96" t="str">
            <v>塊</v>
          </cell>
          <cell r="D96">
            <v>10</v>
          </cell>
          <cell r="E96">
            <v>2870.69</v>
          </cell>
        </row>
        <row r="97">
          <cell r="A97">
            <v>89</v>
          </cell>
          <cell r="B97" t="str">
            <v>S2型預鑄溝蓋板，寬100x長100cm</v>
          </cell>
          <cell r="C97" t="str">
            <v>塊</v>
          </cell>
          <cell r="D97">
            <v>10</v>
          </cell>
          <cell r="E97">
            <v>3161.92</v>
          </cell>
        </row>
        <row r="98">
          <cell r="A98">
            <v>90</v>
          </cell>
          <cell r="B98" t="str">
            <v>S4型預鑄溝蓋板，寬90x長90cm</v>
          </cell>
          <cell r="C98" t="str">
            <v>塊</v>
          </cell>
          <cell r="D98">
            <v>10</v>
          </cell>
          <cell r="E98">
            <v>2796.81</v>
          </cell>
        </row>
        <row r="99">
          <cell r="A99">
            <v>91</v>
          </cell>
          <cell r="B99" t="str">
            <v>甲種預鑄溝蓋板，寬100x長140cm</v>
          </cell>
          <cell r="C99" t="str">
            <v>塊</v>
          </cell>
          <cell r="D99">
            <v>10</v>
          </cell>
          <cell r="E99">
            <v>3953.12</v>
          </cell>
        </row>
        <row r="100">
          <cell r="A100">
            <v>92</v>
          </cell>
          <cell r="B100" t="str">
            <v>乙種預鑄溝蓋板，寬100x長140cm</v>
          </cell>
          <cell r="C100" t="str">
            <v>塊</v>
          </cell>
          <cell r="D100">
            <v>10</v>
          </cell>
          <cell r="E100">
            <v>2401.5700000000002</v>
          </cell>
        </row>
        <row r="101">
          <cell r="A101">
            <v>93</v>
          </cell>
          <cell r="B101" t="str">
            <v>預鑄溝蓋板，透水蓋板(60×50×4.4cm)，含運費及安裝</v>
          </cell>
          <cell r="C101" t="str">
            <v>塊</v>
          </cell>
          <cell r="D101">
            <v>10</v>
          </cell>
          <cell r="E101">
            <v>3407.24</v>
          </cell>
        </row>
        <row r="102">
          <cell r="A102">
            <v>94</v>
          </cell>
          <cell r="B102" t="str">
            <v>預鑄溝蓋板，透水蓋板外框(60×50×4.4cm)，含運費及安裝</v>
          </cell>
          <cell r="C102" t="str">
            <v>塊</v>
          </cell>
          <cell r="D102">
            <v>10</v>
          </cell>
          <cell r="E102">
            <v>674.27</v>
          </cell>
        </row>
        <row r="103">
          <cell r="A103">
            <v>95</v>
          </cell>
          <cell r="B103" t="str">
            <v>預鑄溝蓋板，透水蓋板(60×60×4.4cm)，含運費及安裝</v>
          </cell>
          <cell r="C103" t="str">
            <v>塊</v>
          </cell>
          <cell r="D103">
            <v>10</v>
          </cell>
          <cell r="E103">
            <v>4016.96</v>
          </cell>
        </row>
        <row r="104">
          <cell r="A104">
            <v>96</v>
          </cell>
          <cell r="B104" t="str">
            <v>預鑄溝蓋板，透水蓋板外框(60×60×4.4cm)，含運費及安裝</v>
          </cell>
          <cell r="C104" t="str">
            <v>塊</v>
          </cell>
          <cell r="D104">
            <v>10</v>
          </cell>
          <cell r="E104">
            <v>717.31</v>
          </cell>
        </row>
        <row r="105">
          <cell r="A105">
            <v>97</v>
          </cell>
          <cell r="B105" t="str">
            <v>甲種人孔，人孔頂版</v>
          </cell>
          <cell r="C105" t="str">
            <v>塊</v>
          </cell>
          <cell r="D105">
            <v>5</v>
          </cell>
          <cell r="E105">
            <v>11548.75</v>
          </cell>
        </row>
        <row r="106">
          <cell r="A106">
            <v>98</v>
          </cell>
          <cell r="B106" t="str">
            <v>乙種人孔，人孔頂版，開口直徑900mm</v>
          </cell>
          <cell r="C106" t="str">
            <v>塊</v>
          </cell>
          <cell r="D106">
            <v>5</v>
          </cell>
          <cell r="E106">
            <v>7750.58</v>
          </cell>
        </row>
        <row r="107">
          <cell r="A107">
            <v>99</v>
          </cell>
          <cell r="B107" t="str">
            <v>乙種人孔，人孔頂版，開口直徑600mm</v>
          </cell>
          <cell r="C107" t="str">
            <v>塊</v>
          </cell>
          <cell r="D107">
            <v>5</v>
          </cell>
          <cell r="E107">
            <v>7262.8</v>
          </cell>
        </row>
        <row r="108">
          <cell r="A108">
            <v>100</v>
          </cell>
          <cell r="B108" t="str">
            <v>排水人孔，預鑄人孔蓋及蓋座，球狀石墨鑄鐵蓋</v>
          </cell>
          <cell r="C108" t="str">
            <v>組</v>
          </cell>
          <cell r="D108">
            <v>5</v>
          </cell>
          <cell r="E108">
            <v>11319.21</v>
          </cell>
        </row>
        <row r="109">
          <cell r="A109">
            <v>101</v>
          </cell>
          <cell r="B109" t="str">
            <v>排水人孔，人孔頸下部(H=300mm，D=900mm)</v>
          </cell>
          <cell r="C109" t="str">
            <v>塊</v>
          </cell>
          <cell r="D109">
            <v>5</v>
          </cell>
          <cell r="E109">
            <v>3184.16</v>
          </cell>
        </row>
        <row r="110">
          <cell r="A110">
            <v>102</v>
          </cell>
          <cell r="B110" t="str">
            <v>排水人孔，人孔頸下部(H=600mm，D=900mm)</v>
          </cell>
          <cell r="C110" t="str">
            <v>塊</v>
          </cell>
          <cell r="D110">
            <v>5</v>
          </cell>
          <cell r="E110">
            <v>5142.42</v>
          </cell>
        </row>
        <row r="111">
          <cell r="A111">
            <v>103</v>
          </cell>
          <cell r="B111" t="str">
            <v>排水人孔，人孔頸下部(H=300mm，D=600mm)</v>
          </cell>
          <cell r="C111" t="str">
            <v>塊</v>
          </cell>
          <cell r="D111">
            <v>5</v>
          </cell>
          <cell r="E111">
            <v>2593.09</v>
          </cell>
        </row>
        <row r="112">
          <cell r="A112">
            <v>104</v>
          </cell>
          <cell r="B112" t="str">
            <v>排水人孔，人孔頸端部</v>
          </cell>
          <cell r="C112" t="str">
            <v>塊</v>
          </cell>
          <cell r="D112">
            <v>5</v>
          </cell>
          <cell r="E112">
            <v>3192.05</v>
          </cell>
        </row>
        <row r="113">
          <cell r="A113">
            <v>105</v>
          </cell>
          <cell r="B113" t="str">
            <v>不銹鋼踏步，∮19mm，含安裝</v>
          </cell>
          <cell r="C113" t="str">
            <v>支</v>
          </cell>
          <cell r="D113">
            <v>10</v>
          </cell>
          <cell r="E113">
            <v>347.18</v>
          </cell>
        </row>
        <row r="114">
          <cell r="A114">
            <v>106</v>
          </cell>
          <cell r="B114" t="str">
            <v>塑膠包覆不銹鋼踏步，∮19mm</v>
          </cell>
          <cell r="C114" t="str">
            <v>支</v>
          </cell>
          <cell r="D114">
            <v>10</v>
          </cell>
          <cell r="E114">
            <v>301.27</v>
          </cell>
        </row>
        <row r="115">
          <cell r="A115">
            <v>107</v>
          </cell>
          <cell r="B115" t="str">
            <v>原有不銹鋼踏步更新，∮19mm(L=86cm)，含切割及安裝(A型)</v>
          </cell>
          <cell r="C115" t="str">
            <v>支</v>
          </cell>
          <cell r="D115">
            <v>10</v>
          </cell>
          <cell r="E115">
            <v>354.35</v>
          </cell>
        </row>
        <row r="116">
          <cell r="A116">
            <v>108</v>
          </cell>
          <cell r="B116" t="str">
            <v>原有不銹鋼踏步更新，∮19mm(L=50cm)，含切割及安裝(B型)</v>
          </cell>
          <cell r="C116" t="str">
            <v>支</v>
          </cell>
          <cell r="D116">
            <v>10</v>
          </cell>
          <cell r="E116">
            <v>365.83</v>
          </cell>
        </row>
        <row r="117">
          <cell r="A117">
            <v>109</v>
          </cell>
          <cell r="B117" t="str">
            <v>原有不銹鋼踏步更新，∮19mm(L=50cm)，含切割及安裝(C型)</v>
          </cell>
          <cell r="C117" t="str">
            <v>處</v>
          </cell>
          <cell r="D117">
            <v>10</v>
          </cell>
          <cell r="E117">
            <v>398.83</v>
          </cell>
        </row>
        <row r="118">
          <cell r="A118">
            <v>110</v>
          </cell>
          <cell r="B118" t="str">
            <v>水泥砂漿，1:3</v>
          </cell>
          <cell r="C118" t="str">
            <v>M3</v>
          </cell>
          <cell r="D118">
            <v>10</v>
          </cell>
          <cell r="E118">
            <v>1950.55</v>
          </cell>
        </row>
        <row r="119">
          <cell r="A119">
            <v>111</v>
          </cell>
          <cell r="B119" t="str">
            <v>混凝土附屬品，伸縮縫</v>
          </cell>
          <cell r="C119" t="str">
            <v>M</v>
          </cell>
          <cell r="D119">
            <v>20</v>
          </cell>
          <cell r="E119">
            <v>93.11</v>
          </cell>
        </row>
        <row r="120">
          <cell r="A120">
            <v>112</v>
          </cell>
          <cell r="B120" t="str">
            <v>人行道面層，舖面磚(高壓)，未含伸縮縫</v>
          </cell>
          <cell r="C120" t="str">
            <v>㎡</v>
          </cell>
          <cell r="D120">
            <v>25</v>
          </cell>
          <cell r="E120">
            <v>1037.24</v>
          </cell>
        </row>
        <row r="121">
          <cell r="A121">
            <v>113</v>
          </cell>
          <cell r="B121" t="str">
            <v>產品，熔接鋼線網，D=4.00mm，7.5x7.5cm</v>
          </cell>
          <cell r="C121" t="str">
            <v>㎡</v>
          </cell>
          <cell r="D121">
            <v>50</v>
          </cell>
          <cell r="E121">
            <v>64.56</v>
          </cell>
        </row>
        <row r="122">
          <cell r="A122">
            <v>114</v>
          </cell>
          <cell r="B122" t="str">
            <v>臨時擋土樁設施，鋼板樁，L=3m，(單邊水平長度，未含擋土支撐系統)</v>
          </cell>
          <cell r="C122" t="str">
            <v>M</v>
          </cell>
          <cell r="D122">
            <v>10</v>
          </cell>
          <cell r="E122">
            <v>1688.21</v>
          </cell>
        </row>
        <row r="123">
          <cell r="A123">
            <v>115</v>
          </cell>
          <cell r="B123" t="str">
            <v>臨時擋土樁設施，鋼板樁，L=4.5m，(單邊水平長度，未含擋土支撐系統)</v>
          </cell>
          <cell r="C123" t="str">
            <v>M</v>
          </cell>
          <cell r="D123">
            <v>10</v>
          </cell>
          <cell r="E123">
            <v>1876.65</v>
          </cell>
        </row>
        <row r="124">
          <cell r="A124">
            <v>116</v>
          </cell>
          <cell r="B124" t="str">
            <v>臨時擋土樁設施，鋼板樁，L=6m，(單邊水平長度，未含擋土支撐系統)</v>
          </cell>
          <cell r="C124" t="str">
            <v>M</v>
          </cell>
          <cell r="D124">
            <v>10</v>
          </cell>
          <cell r="E124">
            <v>2026.26</v>
          </cell>
        </row>
        <row r="125">
          <cell r="A125">
            <v>117</v>
          </cell>
          <cell r="B125" t="str">
            <v>臨時擋土樁設施，鋼板樁，L=9m，(單邊水平長度，未含擋土支撐系統)</v>
          </cell>
          <cell r="C125" t="str">
            <v>M</v>
          </cell>
          <cell r="D125">
            <v>10</v>
          </cell>
          <cell r="E125">
            <v>2807.56</v>
          </cell>
        </row>
        <row r="126">
          <cell r="A126">
            <v>118</v>
          </cell>
          <cell r="B126" t="str">
            <v>臨時擋土樁設施，鋼板樁，L=13m，(單邊水平長度，未含擋土支撐系統)</v>
          </cell>
          <cell r="C126" t="str">
            <v>M</v>
          </cell>
          <cell r="D126">
            <v>10</v>
          </cell>
          <cell r="E126">
            <v>3976.77</v>
          </cell>
        </row>
        <row r="127">
          <cell r="A127">
            <v>119</v>
          </cell>
          <cell r="B127" t="str">
            <v>臨時擋土支撐工法，H型鋼橫擋及支撐，未含在臨時擋土樁費用內</v>
          </cell>
          <cell r="C127" t="str">
            <v>㎡</v>
          </cell>
          <cell r="D127">
            <v>10</v>
          </cell>
          <cell r="E127">
            <v>456.93</v>
          </cell>
        </row>
        <row r="128">
          <cell r="A128">
            <v>120</v>
          </cell>
          <cell r="B128" t="str">
            <v>臨時擋土樁設施，鋼軌樁37kg/m，租用</v>
          </cell>
          <cell r="C128" t="str">
            <v>M</v>
          </cell>
          <cell r="D128">
            <v>10</v>
          </cell>
          <cell r="E128">
            <v>121.94</v>
          </cell>
        </row>
        <row r="129">
          <cell r="A129">
            <v>121</v>
          </cell>
          <cell r="B129" t="str">
            <v>臨時擋土樁設施，鋼軌樁37kg/m，買斷</v>
          </cell>
          <cell r="C129" t="str">
            <v>M</v>
          </cell>
          <cell r="D129">
            <v>10</v>
          </cell>
          <cell r="E129">
            <v>627.65</v>
          </cell>
        </row>
        <row r="130">
          <cell r="A130">
            <v>122</v>
          </cell>
          <cell r="B130" t="str">
            <v>臨時擋土樁設施，鋼軌樁50kg/m，租用</v>
          </cell>
          <cell r="C130" t="str">
            <v>M</v>
          </cell>
          <cell r="D130">
            <v>10</v>
          </cell>
          <cell r="E130">
            <v>177.18</v>
          </cell>
        </row>
        <row r="131">
          <cell r="A131">
            <v>123</v>
          </cell>
          <cell r="B131" t="str">
            <v>臨時擋土樁設施，鋼軌樁50kg/m，買斷</v>
          </cell>
          <cell r="C131" t="str">
            <v>M</v>
          </cell>
          <cell r="D131">
            <v>10</v>
          </cell>
          <cell r="E131">
            <v>860.78</v>
          </cell>
        </row>
        <row r="132">
          <cell r="A132">
            <v>124</v>
          </cell>
          <cell r="B132" t="str">
            <v>鑽 堡(∮8")</v>
          </cell>
          <cell r="C132" t="str">
            <v>M</v>
          </cell>
          <cell r="D132">
            <v>10</v>
          </cell>
          <cell r="E132">
            <v>1156.31</v>
          </cell>
        </row>
        <row r="133">
          <cell r="A133">
            <v>125</v>
          </cell>
          <cell r="B133" t="str">
            <v>金屬製品，不銹鋼膨脹螺栓(含零配件)</v>
          </cell>
          <cell r="C133" t="str">
            <v>支</v>
          </cell>
          <cell r="D133">
            <v>50</v>
          </cell>
          <cell r="E133">
            <v>50.21</v>
          </cell>
        </row>
        <row r="134">
          <cell r="A134">
            <v>126</v>
          </cell>
          <cell r="B134" t="str">
            <v>鑽孔，混凝土結構物鑽孔費，含溝蓋溝牆等</v>
          </cell>
          <cell r="C134" t="str">
            <v>孔</v>
          </cell>
          <cell r="D134">
            <v>10</v>
          </cell>
          <cell r="E134">
            <v>510.73</v>
          </cell>
        </row>
        <row r="135">
          <cell r="A135">
            <v>127</v>
          </cell>
          <cell r="B135" t="str">
            <v>基地及路堤填築</v>
          </cell>
          <cell r="C135" t="str">
            <v>C.M3</v>
          </cell>
          <cell r="D135">
            <v>30</v>
          </cell>
          <cell r="E135">
            <v>37.11</v>
          </cell>
        </row>
        <row r="136">
          <cell r="A136">
            <v>128</v>
          </cell>
          <cell r="B136" t="str">
            <v>機械拆除，預鑄溝蓋板，未含運費</v>
          </cell>
          <cell r="C136" t="str">
            <v>M</v>
          </cell>
          <cell r="D136">
            <v>100</v>
          </cell>
          <cell r="E136">
            <v>51.29</v>
          </cell>
        </row>
        <row r="137">
          <cell r="A137">
            <v>129</v>
          </cell>
          <cell r="B137" t="str">
            <v>砌排石工，1:3水泥砂漿表面勾縫</v>
          </cell>
          <cell r="C137" t="str">
            <v>㎡</v>
          </cell>
          <cell r="D137">
            <v>10</v>
          </cell>
          <cell r="E137">
            <v>186.5</v>
          </cell>
        </row>
        <row r="138">
          <cell r="A138">
            <v>130</v>
          </cell>
          <cell r="B138" t="str">
            <v>砌排石工，漿砌石，卵石，1:3水泥砂漿表面勾縫</v>
          </cell>
          <cell r="C138" t="str">
            <v>㎡</v>
          </cell>
          <cell r="D138">
            <v>10</v>
          </cell>
          <cell r="E138">
            <v>1042.26</v>
          </cell>
        </row>
        <row r="139">
          <cell r="A139">
            <v>131</v>
          </cell>
          <cell r="B139" t="str">
            <v>砌排石工，混凝土砌石，卵石，含勾縫，厚20cm</v>
          </cell>
          <cell r="C139" t="str">
            <v>㎡</v>
          </cell>
          <cell r="D139">
            <v>10</v>
          </cell>
          <cell r="E139">
            <v>687.9</v>
          </cell>
        </row>
        <row r="140">
          <cell r="A140">
            <v>132</v>
          </cell>
          <cell r="B140" t="str">
            <v>拋石，塊石，硬石</v>
          </cell>
          <cell r="C140" t="str">
            <v>C.M3</v>
          </cell>
          <cell r="D140">
            <v>10</v>
          </cell>
          <cell r="E140">
            <v>927.49</v>
          </cell>
        </row>
        <row r="141">
          <cell r="A141">
            <v>133</v>
          </cell>
          <cell r="B141" t="str">
            <v>砌紅磚，紅磚，1/2B</v>
          </cell>
          <cell r="C141" t="str">
            <v>㎡</v>
          </cell>
          <cell r="D141">
            <v>10</v>
          </cell>
          <cell r="E141">
            <v>469.41</v>
          </cell>
        </row>
        <row r="142">
          <cell r="A142">
            <v>134</v>
          </cell>
          <cell r="B142" t="str">
            <v>砌紅磚，紅磚，1B</v>
          </cell>
          <cell r="C142" t="str">
            <v>㎡</v>
          </cell>
          <cell r="D142">
            <v>10</v>
          </cell>
          <cell r="E142">
            <v>798.13</v>
          </cell>
        </row>
        <row r="143">
          <cell r="A143">
            <v>135</v>
          </cell>
          <cell r="B143" t="str">
            <v>砌紅磚，紅磚，1-1/2B</v>
          </cell>
          <cell r="C143" t="str">
            <v>㎡</v>
          </cell>
          <cell r="D143">
            <v>10</v>
          </cell>
          <cell r="E143">
            <v>1142.53</v>
          </cell>
        </row>
        <row r="144">
          <cell r="A144">
            <v>136</v>
          </cell>
          <cell r="B144" t="str">
            <v>石籠，300*150*100cm，高鍍鋅鐵線包覆PVC</v>
          </cell>
          <cell r="C144" t="str">
            <v>組</v>
          </cell>
          <cell r="D144">
            <v>5</v>
          </cell>
          <cell r="E144">
            <v>8551.82</v>
          </cell>
        </row>
        <row r="145">
          <cell r="A145">
            <v>137</v>
          </cell>
          <cell r="B145" t="str">
            <v>石籠，300*150*50cm，高鍍鋅鐵線包覆PVC</v>
          </cell>
          <cell r="C145" t="str">
            <v>組</v>
          </cell>
          <cell r="D145">
            <v>5</v>
          </cell>
          <cell r="E145">
            <v>5685.43</v>
          </cell>
        </row>
        <row r="146">
          <cell r="A146">
            <v>138</v>
          </cell>
          <cell r="B146" t="str">
            <v>石籠，300*100*100cm，高鍍鋅鐵線包覆PVC</v>
          </cell>
          <cell r="C146" t="str">
            <v>組</v>
          </cell>
          <cell r="D146">
            <v>5</v>
          </cell>
          <cell r="E146">
            <v>6458.69</v>
          </cell>
        </row>
        <row r="147">
          <cell r="A147">
            <v>139</v>
          </cell>
          <cell r="B147" t="str">
            <v>浚挖，側溝、明溝及連接管</v>
          </cell>
          <cell r="C147" t="str">
            <v>M</v>
          </cell>
          <cell r="D147">
            <v>100</v>
          </cell>
          <cell r="E147">
            <v>34.9</v>
          </cell>
        </row>
        <row r="148">
          <cell r="A148">
            <v>140</v>
          </cell>
          <cell r="B148" t="str">
            <v>浚挖，箱涵及涵管</v>
          </cell>
          <cell r="C148" t="str">
            <v>B.M3</v>
          </cell>
          <cell r="D148">
            <v>10</v>
          </cell>
          <cell r="E148">
            <v>432.21</v>
          </cell>
        </row>
        <row r="149">
          <cell r="A149">
            <v>141</v>
          </cell>
          <cell r="B149" t="str">
            <v>浚挖，河道清疏【岸邊作業】</v>
          </cell>
          <cell r="C149" t="str">
            <v>B.M3</v>
          </cell>
          <cell r="D149">
            <v>50</v>
          </cell>
          <cell r="E149">
            <v>58.4</v>
          </cell>
        </row>
        <row r="150">
          <cell r="A150">
            <v>142</v>
          </cell>
          <cell r="B150" t="str">
            <v>浚挖，水中作業</v>
          </cell>
          <cell r="C150" t="str">
            <v>B.M3</v>
          </cell>
          <cell r="D150">
            <v>10</v>
          </cell>
          <cell r="E150">
            <v>87.46</v>
          </cell>
        </row>
        <row r="151">
          <cell r="A151">
            <v>143</v>
          </cell>
          <cell r="B151" t="str">
            <v>擠壓式彈性填縫帶，(寬55mm，厚20mm)，600～1000mm鋼筋混凝土管排水用</v>
          </cell>
          <cell r="C151" t="str">
            <v>M</v>
          </cell>
          <cell r="D151">
            <v>50</v>
          </cell>
          <cell r="E151">
            <v>102.7</v>
          </cell>
        </row>
        <row r="152">
          <cell r="A152">
            <v>144</v>
          </cell>
          <cell r="B152" t="str">
            <v>擠壓式彈性填縫帶，(寬68mm，厚22mm)，1100～1650mm鋼筋混凝土管排水用</v>
          </cell>
          <cell r="C152" t="str">
            <v>M</v>
          </cell>
          <cell r="D152">
            <v>50</v>
          </cell>
          <cell r="E152">
            <v>130.22</v>
          </cell>
        </row>
        <row r="153">
          <cell r="A153">
            <v>145</v>
          </cell>
          <cell r="B153" t="str">
            <v>擠壓式彈性填縫帶，(寬80mm，厚28mm)，1800～2400mm鋼筋混凝土管排水用</v>
          </cell>
          <cell r="C153" t="str">
            <v>M</v>
          </cell>
          <cell r="D153">
            <v>50</v>
          </cell>
          <cell r="E153">
            <v>163.47</v>
          </cell>
        </row>
        <row r="154">
          <cell r="A154">
            <v>146</v>
          </cell>
          <cell r="B154" t="str">
            <v>工地處理，路口開挖，路口≦8m，夜間施工</v>
          </cell>
          <cell r="C154" t="str">
            <v>處</v>
          </cell>
          <cell r="D154">
            <v>5</v>
          </cell>
          <cell r="E154">
            <v>35425.26</v>
          </cell>
        </row>
        <row r="155">
          <cell r="A155">
            <v>147</v>
          </cell>
          <cell r="B155" t="str">
            <v>工地處理，路口開挖，路口≦8m</v>
          </cell>
          <cell r="C155" t="str">
            <v>處</v>
          </cell>
          <cell r="D155">
            <v>5</v>
          </cell>
          <cell r="E155">
            <v>26089.42</v>
          </cell>
        </row>
        <row r="156">
          <cell r="A156">
            <v>148</v>
          </cell>
          <cell r="B156" t="str">
            <v>工地處理，路口開挖，路口＞8m，夜間施工</v>
          </cell>
          <cell r="C156" t="str">
            <v>處</v>
          </cell>
          <cell r="D156">
            <v>5</v>
          </cell>
          <cell r="E156">
            <v>45943.95</v>
          </cell>
        </row>
        <row r="157">
          <cell r="A157">
            <v>149</v>
          </cell>
          <cell r="B157" t="str">
            <v>工地處理，路口開挖，路口＞8m</v>
          </cell>
          <cell r="C157" t="str">
            <v>處</v>
          </cell>
          <cell r="D157">
            <v>5</v>
          </cell>
          <cell r="E157">
            <v>33442.6</v>
          </cell>
        </row>
        <row r="158">
          <cell r="A158">
            <v>150</v>
          </cell>
          <cell r="B158" t="str">
            <v>工地處理，施工動復員，小型機具</v>
          </cell>
          <cell r="C158" t="str">
            <v>次</v>
          </cell>
          <cell r="D158">
            <v>5</v>
          </cell>
          <cell r="E158">
            <v>5200.5200000000004</v>
          </cell>
        </row>
        <row r="159">
          <cell r="A159">
            <v>151</v>
          </cell>
          <cell r="B159" t="str">
            <v>工地處理，施工動復員，大型機具</v>
          </cell>
          <cell r="C159" t="str">
            <v>次</v>
          </cell>
          <cell r="D159">
            <v>5</v>
          </cell>
          <cell r="E159">
            <v>7746.99</v>
          </cell>
        </row>
        <row r="160">
          <cell r="A160">
            <v>152</v>
          </cell>
          <cell r="B160" t="str">
            <v>AC施工機械搬運費(以通報單開立次數計算品質管制，面積2000㎡以下適用)</v>
          </cell>
          <cell r="C160" t="str">
            <v>次</v>
          </cell>
          <cell r="D160">
            <v>5</v>
          </cell>
          <cell r="E160">
            <v>7173.14</v>
          </cell>
        </row>
        <row r="161">
          <cell r="A161">
            <v>153</v>
          </cell>
          <cell r="B161" t="str">
            <v>施工障礙搬運費(車輛移置費用)</v>
          </cell>
          <cell r="C161" t="str">
            <v>次</v>
          </cell>
          <cell r="D161">
            <v>5</v>
          </cell>
          <cell r="E161">
            <v>5738.51</v>
          </cell>
        </row>
        <row r="162">
          <cell r="A162">
            <v>154</v>
          </cell>
          <cell r="B162" t="str">
            <v>試挖，地下管線，W=1m，H=1m，日間施工</v>
          </cell>
          <cell r="C162" t="str">
            <v>M</v>
          </cell>
          <cell r="D162">
            <v>2</v>
          </cell>
          <cell r="E162">
            <v>3523.43</v>
          </cell>
        </row>
        <row r="163">
          <cell r="A163">
            <v>155</v>
          </cell>
          <cell r="B163" t="str">
            <v>試挖，地下管線，W=1m，H=1m，夜間施工</v>
          </cell>
          <cell r="C163" t="str">
            <v>M</v>
          </cell>
          <cell r="D163">
            <v>2</v>
          </cell>
          <cell r="E163">
            <v>3798.16</v>
          </cell>
        </row>
        <row r="164">
          <cell r="A164">
            <v>156</v>
          </cell>
          <cell r="B164" t="str">
            <v>試挖，地下管線，W=1m，H=1.5m，日間施工</v>
          </cell>
          <cell r="C164" t="str">
            <v>M</v>
          </cell>
          <cell r="D164">
            <v>2</v>
          </cell>
          <cell r="E164">
            <v>4902.1000000000004</v>
          </cell>
        </row>
        <row r="165">
          <cell r="A165">
            <v>157</v>
          </cell>
          <cell r="B165" t="str">
            <v>試挖，地下管線，W=1m，H=1.5m，夜間施工</v>
          </cell>
          <cell r="C165" t="str">
            <v>M</v>
          </cell>
          <cell r="D165">
            <v>2</v>
          </cell>
          <cell r="E165">
            <v>5295.19</v>
          </cell>
        </row>
        <row r="166">
          <cell r="A166">
            <v>158</v>
          </cell>
          <cell r="B166" t="str">
            <v>試挖，地下管線，W=1m，H=2m，日間施工</v>
          </cell>
          <cell r="C166" t="str">
            <v>M</v>
          </cell>
          <cell r="D166">
            <v>2</v>
          </cell>
          <cell r="E166">
            <v>6108.62</v>
          </cell>
        </row>
        <row r="167">
          <cell r="A167">
            <v>159</v>
          </cell>
          <cell r="B167" t="str">
            <v>試挖，地下管線，W=1m，H=2m，夜間施工</v>
          </cell>
          <cell r="C167" t="str">
            <v>M</v>
          </cell>
          <cell r="D167">
            <v>2</v>
          </cell>
          <cell r="E167">
            <v>6620.07</v>
          </cell>
        </row>
        <row r="168">
          <cell r="A168">
            <v>160</v>
          </cell>
          <cell r="B168" t="str">
            <v>試挖，地下管線，W=1.6m，H=2.5m，日間施工</v>
          </cell>
          <cell r="C168" t="str">
            <v>M</v>
          </cell>
          <cell r="D168">
            <v>2</v>
          </cell>
          <cell r="E168">
            <v>10670.73</v>
          </cell>
        </row>
        <row r="169">
          <cell r="A169">
            <v>161</v>
          </cell>
          <cell r="B169" t="str">
            <v>試挖，地下管線，W=1.6m，H=2.5m，夜間施工</v>
          </cell>
          <cell r="C169" t="str">
            <v>M</v>
          </cell>
          <cell r="D169">
            <v>2</v>
          </cell>
          <cell r="E169">
            <v>11678.56</v>
          </cell>
        </row>
        <row r="170">
          <cell r="A170">
            <v>162</v>
          </cell>
          <cell r="B170" t="str">
            <v>試挖，地下管線，W=1.6m，H=3m，日間施工</v>
          </cell>
          <cell r="C170" t="str">
            <v>M</v>
          </cell>
          <cell r="D170">
            <v>2</v>
          </cell>
          <cell r="E170">
            <v>12324.86</v>
          </cell>
        </row>
        <row r="171">
          <cell r="A171">
            <v>163</v>
          </cell>
          <cell r="B171" t="str">
            <v>試挖，地下管線，W=1.6m，H=3m，夜間施工</v>
          </cell>
          <cell r="C171" t="str">
            <v>M</v>
          </cell>
          <cell r="D171">
            <v>2</v>
          </cell>
          <cell r="E171">
            <v>13522.05</v>
          </cell>
        </row>
        <row r="172">
          <cell r="A172">
            <v>164</v>
          </cell>
          <cell r="B172" t="str">
            <v>生產體力工</v>
          </cell>
          <cell r="C172" t="str">
            <v>時</v>
          </cell>
          <cell r="D172">
            <v>200</v>
          </cell>
          <cell r="E172">
            <v>161.4</v>
          </cell>
        </row>
        <row r="173">
          <cell r="A173">
            <v>165</v>
          </cell>
          <cell r="B173" t="str">
            <v>生產體力工，臨時指揮執勤人員費</v>
          </cell>
          <cell r="C173" t="str">
            <v>時</v>
          </cell>
          <cell r="D173">
            <v>200</v>
          </cell>
          <cell r="E173">
            <v>161.4</v>
          </cell>
        </row>
        <row r="174">
          <cell r="A174">
            <v>166</v>
          </cell>
          <cell r="B174" t="str">
            <v>指揮執勤人員，義交，日間(06-22時)</v>
          </cell>
          <cell r="C174" t="str">
            <v>時</v>
          </cell>
          <cell r="D174">
            <v>40</v>
          </cell>
          <cell r="E174">
            <v>179.33</v>
          </cell>
        </row>
        <row r="175">
          <cell r="A175">
            <v>167</v>
          </cell>
          <cell r="B175" t="str">
            <v>指揮執勤人員，義交，夜間(22-06時)</v>
          </cell>
          <cell r="C175" t="str">
            <v>時</v>
          </cell>
          <cell r="D175">
            <v>30</v>
          </cell>
          <cell r="E175">
            <v>215.19</v>
          </cell>
        </row>
        <row r="176">
          <cell r="A176">
            <v>168</v>
          </cell>
          <cell r="B176" t="str">
            <v>吊放吊物，吊車(20t以下)</v>
          </cell>
          <cell r="C176" t="str">
            <v>時</v>
          </cell>
          <cell r="D176">
            <v>50</v>
          </cell>
          <cell r="E176">
            <v>1451.84</v>
          </cell>
        </row>
        <row r="177">
          <cell r="A177">
            <v>169</v>
          </cell>
          <cell r="B177" t="str">
            <v>吊放吊物，吊車(20t以上)</v>
          </cell>
          <cell r="C177" t="str">
            <v>時</v>
          </cell>
          <cell r="D177">
            <v>30</v>
          </cell>
          <cell r="E177">
            <v>2710.01</v>
          </cell>
        </row>
        <row r="178">
          <cell r="A178">
            <v>170</v>
          </cell>
          <cell r="B178" t="str">
            <v>地下調查，排水幹支線縱走含成果報告製作</v>
          </cell>
          <cell r="C178" t="str">
            <v>M</v>
          </cell>
          <cell r="D178">
            <v>100</v>
          </cell>
          <cell r="E178">
            <v>143.46</v>
          </cell>
        </row>
        <row r="179">
          <cell r="A179">
            <v>171</v>
          </cell>
          <cell r="B179" t="str">
            <v>地下調查，積淹水調查，含成果報告製作</v>
          </cell>
          <cell r="C179" t="str">
            <v>處</v>
          </cell>
          <cell r="D179">
            <v>10</v>
          </cell>
          <cell r="E179">
            <v>3586.57</v>
          </cell>
        </row>
        <row r="180">
          <cell r="A180">
            <v>172</v>
          </cell>
          <cell r="B180" t="str">
            <v>地下調查，路面(人孔)下陷巡查，含成果報告製作</v>
          </cell>
          <cell r="C180" t="str">
            <v>次</v>
          </cell>
          <cell r="D180">
            <v>10</v>
          </cell>
          <cell r="E180">
            <v>1847.12</v>
          </cell>
        </row>
        <row r="181">
          <cell r="A181">
            <v>173</v>
          </cell>
          <cell r="B181" t="str">
            <v>機械清掃孔蓋版，混凝土製，含搬運及吊裝</v>
          </cell>
          <cell r="C181" t="str">
            <v>塊</v>
          </cell>
          <cell r="D181">
            <v>5</v>
          </cell>
          <cell r="E181">
            <v>27267.45</v>
          </cell>
        </row>
        <row r="182">
          <cell r="A182">
            <v>174</v>
          </cell>
          <cell r="B182" t="str">
            <v>機械清掃孔蓋版，橡膠支承墊，含施工</v>
          </cell>
          <cell r="C182" t="str">
            <v>處</v>
          </cell>
          <cell r="D182">
            <v>10</v>
          </cell>
          <cell r="E182">
            <v>3694.17</v>
          </cell>
        </row>
        <row r="183">
          <cell r="A183">
            <v>175</v>
          </cell>
          <cell r="B183" t="str">
            <v>產品，鋼料</v>
          </cell>
          <cell r="C183" t="str">
            <v>KG</v>
          </cell>
          <cell r="D183">
            <v>2000</v>
          </cell>
          <cell r="E183">
            <v>14.99</v>
          </cell>
        </row>
        <row r="184">
          <cell r="A184">
            <v>176</v>
          </cell>
          <cell r="B184" t="str">
            <v>鋼料，鍍鋅，加工及製造</v>
          </cell>
          <cell r="C184" t="str">
            <v>KG</v>
          </cell>
          <cell r="D184">
            <v>2000</v>
          </cell>
          <cell r="E184">
            <v>23.93</v>
          </cell>
        </row>
        <row r="185">
          <cell r="A185">
            <v>177</v>
          </cell>
          <cell r="B185" t="str">
            <v>鋼料，加工及製造</v>
          </cell>
          <cell r="C185" t="str">
            <v>KG</v>
          </cell>
          <cell r="D185">
            <v>2000</v>
          </cell>
          <cell r="E185">
            <v>14.35</v>
          </cell>
        </row>
        <row r="186">
          <cell r="A186">
            <v>178</v>
          </cell>
          <cell r="B186" t="str">
            <v>玻璃纖維管(FRP管)，D=500mm，含運費及埋設</v>
          </cell>
          <cell r="C186" t="str">
            <v>M</v>
          </cell>
          <cell r="D186">
            <v>1</v>
          </cell>
          <cell r="E186">
            <v>2860.65</v>
          </cell>
        </row>
        <row r="187">
          <cell r="A187">
            <v>179</v>
          </cell>
          <cell r="B187" t="str">
            <v>玻璃纖維管(FRP管)，D=600mm，含運費及埋設</v>
          </cell>
          <cell r="C187" t="str">
            <v>M</v>
          </cell>
          <cell r="D187">
            <v>1</v>
          </cell>
          <cell r="E187">
            <v>4168.3100000000004</v>
          </cell>
        </row>
        <row r="188">
          <cell r="A188">
            <v>180</v>
          </cell>
          <cell r="B188" t="str">
            <v>玻璃纖維管(FRP管)，D=800mm，含運費及埋設</v>
          </cell>
          <cell r="C188" t="str">
            <v>M</v>
          </cell>
          <cell r="D188">
            <v>1</v>
          </cell>
          <cell r="E188">
            <v>7247.02</v>
          </cell>
        </row>
        <row r="189">
          <cell r="A189">
            <v>181</v>
          </cell>
          <cell r="B189" t="str">
            <v>玻璃纖維管(FRP管)，D=1000mm，含運費及埋設</v>
          </cell>
          <cell r="C189" t="str">
            <v>M</v>
          </cell>
          <cell r="D189">
            <v>1</v>
          </cell>
          <cell r="E189">
            <v>10788.4</v>
          </cell>
        </row>
        <row r="190">
          <cell r="A190">
            <v>182</v>
          </cell>
          <cell r="B190" t="str">
            <v>玻璃纖維管(FRP管)，D=1200mm，含運費及埋設</v>
          </cell>
          <cell r="C190" t="str">
            <v>M</v>
          </cell>
          <cell r="D190">
            <v>1</v>
          </cell>
          <cell r="E190">
            <v>15394.99</v>
          </cell>
        </row>
        <row r="191">
          <cell r="A191">
            <v>183</v>
          </cell>
          <cell r="B191" t="str">
            <v>玻璃纖維管(FRP管)，D=1400mm，含運費及埋設</v>
          </cell>
          <cell r="C191" t="str">
            <v>M</v>
          </cell>
          <cell r="D191">
            <v>1</v>
          </cell>
          <cell r="E191">
            <v>20472.14</v>
          </cell>
        </row>
        <row r="192">
          <cell r="A192">
            <v>184</v>
          </cell>
          <cell r="B192" t="str">
            <v>玻璃纖維管(FRP管)，D=1600mm，含運費及埋設</v>
          </cell>
          <cell r="C192" t="str">
            <v>M</v>
          </cell>
          <cell r="D192">
            <v>1</v>
          </cell>
          <cell r="E192">
            <v>26553.52</v>
          </cell>
        </row>
        <row r="193">
          <cell r="A193">
            <v>185</v>
          </cell>
          <cell r="B193" t="str">
            <v>玻璃纖維管(FRP管)，D=1800mm，含運費及埋設</v>
          </cell>
          <cell r="C193" t="str">
            <v>M</v>
          </cell>
          <cell r="D193">
            <v>1</v>
          </cell>
          <cell r="E193">
            <v>33409.61</v>
          </cell>
        </row>
        <row r="194">
          <cell r="A194">
            <v>186</v>
          </cell>
          <cell r="B194" t="str">
            <v>玻璃纖維管(FRP管)套管接頭，D=500mm，含運費及埋設</v>
          </cell>
          <cell r="C194" t="str">
            <v>處</v>
          </cell>
          <cell r="D194">
            <v>1</v>
          </cell>
          <cell r="E194">
            <v>4361.2700000000004</v>
          </cell>
        </row>
        <row r="195">
          <cell r="A195">
            <v>187</v>
          </cell>
          <cell r="B195" t="str">
            <v>玻璃纖維管(FRP管)套管接頭，D=600mm，含運費及埋設</v>
          </cell>
          <cell r="C195" t="str">
            <v>處</v>
          </cell>
          <cell r="D195">
            <v>1</v>
          </cell>
          <cell r="E195">
            <v>7098.54</v>
          </cell>
        </row>
        <row r="196">
          <cell r="A196">
            <v>188</v>
          </cell>
          <cell r="B196" t="str">
            <v>玻璃纖維管(FRP管)套管接頭，D=800mm，含運費及埋設</v>
          </cell>
          <cell r="C196" t="str">
            <v>處</v>
          </cell>
          <cell r="D196">
            <v>1</v>
          </cell>
          <cell r="E196">
            <v>8263.4500000000007</v>
          </cell>
        </row>
        <row r="197">
          <cell r="A197">
            <v>189</v>
          </cell>
          <cell r="B197" t="str">
            <v>玻璃纖維管(FRP管)套管接頭，D=1000mm，含運費及埋設</v>
          </cell>
          <cell r="C197" t="str">
            <v>處</v>
          </cell>
          <cell r="D197">
            <v>1</v>
          </cell>
          <cell r="E197">
            <v>11187.94</v>
          </cell>
        </row>
        <row r="198">
          <cell r="A198">
            <v>190</v>
          </cell>
          <cell r="B198" t="str">
            <v>玻璃纖維管(FRP管)套管接頭，D=1200mm，含運費及埋設</v>
          </cell>
          <cell r="C198" t="str">
            <v>處</v>
          </cell>
          <cell r="D198">
            <v>1</v>
          </cell>
          <cell r="E198">
            <v>15726.39</v>
          </cell>
        </row>
        <row r="199">
          <cell r="A199">
            <v>191</v>
          </cell>
          <cell r="B199" t="str">
            <v>玻璃纖維管(FRP管)套管接頭，D=1400mm，含運費及埋設</v>
          </cell>
          <cell r="C199" t="str">
            <v>處</v>
          </cell>
          <cell r="D199">
            <v>1</v>
          </cell>
          <cell r="E199">
            <v>23240.97</v>
          </cell>
        </row>
        <row r="200">
          <cell r="A200">
            <v>192</v>
          </cell>
          <cell r="B200" t="str">
            <v>玻璃纖維管(FRP管)套管接頭，D=1600mm，含運費及埋設</v>
          </cell>
          <cell r="C200" t="str">
            <v>處</v>
          </cell>
          <cell r="D200">
            <v>1</v>
          </cell>
          <cell r="E200">
            <v>28405.63</v>
          </cell>
        </row>
        <row r="201">
          <cell r="A201">
            <v>193</v>
          </cell>
          <cell r="B201" t="str">
            <v>玻璃纖維管(FRP管)套管接頭，D=1800mm，含運費及埋設</v>
          </cell>
          <cell r="C201" t="str">
            <v>處</v>
          </cell>
          <cell r="D201">
            <v>1</v>
          </cell>
          <cell r="E201">
            <v>33570.29</v>
          </cell>
        </row>
        <row r="202">
          <cell r="A202">
            <v>194</v>
          </cell>
          <cell r="B202" t="str">
            <v>不銹鋼，SUS304，含加工按裝等</v>
          </cell>
          <cell r="C202" t="str">
            <v>KG</v>
          </cell>
          <cell r="D202">
            <v>50</v>
          </cell>
          <cell r="E202">
            <v>199.41</v>
          </cell>
        </row>
        <row r="203">
          <cell r="A203">
            <v>195</v>
          </cell>
          <cell r="B203" t="str">
            <v>不銹鋼，SUS316，含加工按裝等</v>
          </cell>
          <cell r="C203" t="str">
            <v>KG</v>
          </cell>
          <cell r="D203">
            <v>50</v>
          </cell>
          <cell r="E203">
            <v>228.82</v>
          </cell>
        </row>
        <row r="204">
          <cell r="A204">
            <v>196</v>
          </cell>
          <cell r="B204" t="str">
            <v>金屬格柵蓋板，鍍鋅花紋蓋板(含框座)，(溝寬40cm使用)</v>
          </cell>
          <cell r="C204" t="str">
            <v>組</v>
          </cell>
          <cell r="D204">
            <v>10</v>
          </cell>
          <cell r="E204">
            <v>1420.28</v>
          </cell>
        </row>
        <row r="205">
          <cell r="A205">
            <v>197</v>
          </cell>
          <cell r="B205" t="str">
            <v>金屬格柵蓋板，鍍鋅花紋蓋板(含框座)，(溝寬50cm使用)</v>
          </cell>
          <cell r="C205" t="str">
            <v>組</v>
          </cell>
          <cell r="D205">
            <v>10</v>
          </cell>
          <cell r="E205">
            <v>1786.11</v>
          </cell>
        </row>
        <row r="206">
          <cell r="A206">
            <v>198</v>
          </cell>
          <cell r="B206" t="str">
            <v>金屬格柵蓋板，鍍鋅格柵蓋板(含框座)，(溝寬40cm使用)</v>
          </cell>
          <cell r="C206" t="str">
            <v>組</v>
          </cell>
          <cell r="D206">
            <v>10</v>
          </cell>
          <cell r="E206">
            <v>1965.44</v>
          </cell>
        </row>
        <row r="207">
          <cell r="A207">
            <v>199</v>
          </cell>
          <cell r="B207" t="str">
            <v>金屬格柵蓋板，鍍鋅格柵蓋板(含框座)，(溝寬50cm使用)</v>
          </cell>
          <cell r="C207" t="str">
            <v>組</v>
          </cell>
          <cell r="D207">
            <v>10</v>
          </cell>
          <cell r="E207">
            <v>2482.62</v>
          </cell>
        </row>
        <row r="208">
          <cell r="A208">
            <v>200</v>
          </cell>
          <cell r="B208" t="str">
            <v>金屬格柵蓋板，鍍鋅格柵蓋板(含框座)，(溝寬60cm使用)</v>
          </cell>
          <cell r="C208" t="str">
            <v>組</v>
          </cell>
          <cell r="D208">
            <v>10</v>
          </cell>
          <cell r="E208">
            <v>2704.27</v>
          </cell>
        </row>
        <row r="209">
          <cell r="A209">
            <v>201</v>
          </cell>
          <cell r="B209" t="str">
            <v>金屬格柵蓋板，鍍鋅格柵蓋板(含框座)，止滑花紋加工(人工)</v>
          </cell>
          <cell r="C209" t="str">
            <v>KG</v>
          </cell>
          <cell r="D209">
            <v>20</v>
          </cell>
          <cell r="E209">
            <v>62.62</v>
          </cell>
        </row>
        <row r="210">
          <cell r="A210">
            <v>202</v>
          </cell>
          <cell r="B210" t="str">
            <v>舌型逆止閥，球狀石墨鑄鐵，含止傾桿，標稱直徑600mm</v>
          </cell>
          <cell r="C210" t="str">
            <v>組</v>
          </cell>
          <cell r="D210">
            <v>1</v>
          </cell>
          <cell r="E210">
            <v>52826.58</v>
          </cell>
        </row>
        <row r="211">
          <cell r="A211">
            <v>203</v>
          </cell>
          <cell r="B211" t="str">
            <v>舌型逆止閥，球狀石墨鑄鐵，含止傾桿，標稱直徑800mm</v>
          </cell>
          <cell r="C211" t="str">
            <v>組</v>
          </cell>
          <cell r="D211">
            <v>1</v>
          </cell>
          <cell r="E211">
            <v>86443.48</v>
          </cell>
        </row>
        <row r="212">
          <cell r="A212">
            <v>204</v>
          </cell>
          <cell r="B212" t="str">
            <v>舌型逆止閥，球狀石墨鑄鐵，含止傾桿，標稱直徑1000mm</v>
          </cell>
          <cell r="C212" t="str">
            <v>組</v>
          </cell>
          <cell r="D212">
            <v>1</v>
          </cell>
          <cell r="E212">
            <v>113410.9</v>
          </cell>
        </row>
        <row r="213">
          <cell r="A213">
            <v>205</v>
          </cell>
          <cell r="B213" t="str">
            <v>舌型逆止閥，球狀石墨鑄鐵，含止傾桿，標稱直徑1200mm</v>
          </cell>
          <cell r="C213" t="str">
            <v>組</v>
          </cell>
          <cell r="D213">
            <v>1</v>
          </cell>
          <cell r="E213">
            <v>153677.31</v>
          </cell>
        </row>
        <row r="214">
          <cell r="A214">
            <v>206</v>
          </cell>
          <cell r="B214" t="str">
            <v>舌型逆止閥，球狀石墨鑄鐵，含止傾桿，標稱直徑1350mm</v>
          </cell>
          <cell r="C214" t="str">
            <v>組</v>
          </cell>
          <cell r="D214">
            <v>1</v>
          </cell>
          <cell r="E214">
            <v>177319.97</v>
          </cell>
        </row>
        <row r="215">
          <cell r="A215">
            <v>207</v>
          </cell>
          <cell r="B215" t="str">
            <v>舌型逆止閥，球狀石墨鑄鐵，含止傾桿，標稱直徑1500mm</v>
          </cell>
          <cell r="C215" t="str">
            <v>組</v>
          </cell>
          <cell r="D215">
            <v>1</v>
          </cell>
          <cell r="E215">
            <v>196160.21</v>
          </cell>
        </row>
        <row r="216">
          <cell r="A216">
            <v>208</v>
          </cell>
          <cell r="B216" t="str">
            <v>混凝土修復，鋼筋銹蝕處理，水刀鑿除</v>
          </cell>
          <cell r="C216" t="str">
            <v>㎡</v>
          </cell>
          <cell r="D216">
            <v>10</v>
          </cell>
          <cell r="E216">
            <v>820.61</v>
          </cell>
        </row>
        <row r="217">
          <cell r="A217">
            <v>209</v>
          </cell>
          <cell r="B217" t="str">
            <v>混凝土修復，鋼筋銹蝕處理，人工鑿除</v>
          </cell>
          <cell r="C217" t="str">
            <v>㎡</v>
          </cell>
          <cell r="D217">
            <v>10</v>
          </cell>
          <cell r="E217">
            <v>649.16999999999996</v>
          </cell>
        </row>
        <row r="218">
          <cell r="A218">
            <v>210</v>
          </cell>
          <cell r="B218" t="str">
            <v>混凝土修復，蜂窩及剝落修補，水刀鑿除</v>
          </cell>
          <cell r="C218" t="str">
            <v>㎡</v>
          </cell>
          <cell r="D218">
            <v>10</v>
          </cell>
          <cell r="E218">
            <v>805.54</v>
          </cell>
        </row>
        <row r="219">
          <cell r="A219">
            <v>211</v>
          </cell>
          <cell r="B219" t="str">
            <v>混凝土修復，蜂窩及剝落修補，人工鑿除</v>
          </cell>
          <cell r="C219" t="str">
            <v>㎡</v>
          </cell>
          <cell r="D219">
            <v>10</v>
          </cell>
          <cell r="E219">
            <v>634.11</v>
          </cell>
        </row>
        <row r="220">
          <cell r="A220">
            <v>212</v>
          </cell>
          <cell r="B220" t="str">
            <v>混凝土修復，裂縫W＜0.3mm修補，水刀鑿除</v>
          </cell>
          <cell r="C220" t="str">
            <v>M</v>
          </cell>
          <cell r="D220">
            <v>10</v>
          </cell>
          <cell r="E220">
            <v>745.29</v>
          </cell>
        </row>
        <row r="221">
          <cell r="A221">
            <v>213</v>
          </cell>
          <cell r="B221" t="str">
            <v>混凝土修復，裂縫W＜0.3mm修補，人工鑿除</v>
          </cell>
          <cell r="C221" t="str">
            <v>M</v>
          </cell>
          <cell r="D221">
            <v>10</v>
          </cell>
          <cell r="E221">
            <v>603.98</v>
          </cell>
        </row>
        <row r="222">
          <cell r="A222">
            <v>214</v>
          </cell>
          <cell r="B222" t="str">
            <v>混凝土修復，裂縫W＞0.3mm修補，水刀鑿除</v>
          </cell>
          <cell r="C222" t="str">
            <v>M</v>
          </cell>
          <cell r="D222">
            <v>10</v>
          </cell>
          <cell r="E222">
            <v>793.35</v>
          </cell>
        </row>
        <row r="223">
          <cell r="A223">
            <v>215</v>
          </cell>
          <cell r="B223" t="str">
            <v>混凝土修復，裂縫W＞0.3mm修補，人工鑿除</v>
          </cell>
          <cell r="C223" t="str">
            <v>M</v>
          </cell>
          <cell r="D223">
            <v>10</v>
          </cell>
          <cell r="E223">
            <v>652.76</v>
          </cell>
        </row>
        <row r="224">
          <cell r="A224">
            <v>216</v>
          </cell>
          <cell r="B224" t="str">
            <v>混凝土修復，環氧樹脂，含施工</v>
          </cell>
          <cell r="C224" t="str">
            <v>KG</v>
          </cell>
          <cell r="D224">
            <v>20</v>
          </cell>
          <cell r="E224">
            <v>200.85</v>
          </cell>
        </row>
        <row r="225">
          <cell r="A225">
            <v>217</v>
          </cell>
          <cell r="B225" t="str">
            <v>混凝土修復，水性壓克力樹脂砂漿，水刀鑿除，含鋼筋除銹</v>
          </cell>
          <cell r="C225" t="str">
            <v>㎡</v>
          </cell>
          <cell r="D225">
            <v>10</v>
          </cell>
          <cell r="E225">
            <v>1708.64</v>
          </cell>
        </row>
        <row r="226">
          <cell r="A226">
            <v>218</v>
          </cell>
          <cell r="B226" t="str">
            <v>噴凝土，濕式(邊坡)，(厚度5cm，抗壓強度175kgf/c㎡)</v>
          </cell>
          <cell r="C226" t="str">
            <v>㎡</v>
          </cell>
          <cell r="D226">
            <v>10</v>
          </cell>
          <cell r="E226">
            <v>1113.27</v>
          </cell>
        </row>
        <row r="227">
          <cell r="A227">
            <v>219</v>
          </cell>
          <cell r="B227" t="str">
            <v>噴凝土，濕式(邊坡)，每次噴2～3cm施工費</v>
          </cell>
          <cell r="C227" t="str">
            <v>㎡</v>
          </cell>
          <cell r="D227">
            <v>20</v>
          </cell>
          <cell r="E227">
            <v>264.69</v>
          </cell>
        </row>
        <row r="228">
          <cell r="A228">
            <v>220</v>
          </cell>
          <cell r="B228" t="str">
            <v>噴凝土，錨筋及1：3水泥砂漿灌漿，鋼筋D13mm，鑽孔L=1M</v>
          </cell>
          <cell r="C228" t="str">
            <v>支</v>
          </cell>
          <cell r="D228">
            <v>20</v>
          </cell>
          <cell r="E228">
            <v>37.44</v>
          </cell>
        </row>
        <row r="229">
          <cell r="A229">
            <v>221</v>
          </cell>
          <cell r="B229" t="str">
            <v>圍排水，砂包堆置</v>
          </cell>
          <cell r="C229" t="str">
            <v>M3</v>
          </cell>
          <cell r="D229">
            <v>10</v>
          </cell>
          <cell r="E229">
            <v>1925.27</v>
          </cell>
        </row>
        <row r="230">
          <cell r="A230">
            <v>222</v>
          </cell>
          <cell r="B230" t="str">
            <v>開挖臨時覆蓋，鋼質覆蓋版(含支撐結構)，【3M*4M】</v>
          </cell>
          <cell r="C230" t="str">
            <v>㎡</v>
          </cell>
          <cell r="D230">
            <v>10</v>
          </cell>
          <cell r="E230">
            <v>2936.68</v>
          </cell>
        </row>
        <row r="231">
          <cell r="A231">
            <v>223</v>
          </cell>
          <cell r="B231" t="str">
            <v>開挖臨時覆蓋，鋼質覆蓋版(含支撐結構)，【6M*4M】</v>
          </cell>
          <cell r="C231" t="str">
            <v>㎡</v>
          </cell>
          <cell r="D231">
            <v>10</v>
          </cell>
          <cell r="E231">
            <v>2693.51</v>
          </cell>
        </row>
        <row r="232">
          <cell r="A232">
            <v>224</v>
          </cell>
          <cell r="B232" t="str">
            <v>開挖臨時覆蓋，管溝開挖臨時做為跨越用</v>
          </cell>
          <cell r="C232" t="str">
            <v>㎡</v>
          </cell>
          <cell r="D232">
            <v>50</v>
          </cell>
          <cell r="E232">
            <v>73.88</v>
          </cell>
        </row>
        <row r="233">
          <cell r="A233">
            <v>225</v>
          </cell>
          <cell r="B233" t="str">
            <v>開挖臨時覆蓋，鋪設鋼板臨時作為舖面用(厚度≧15mm)</v>
          </cell>
          <cell r="C233" t="str">
            <v>㎡月</v>
          </cell>
          <cell r="D233">
            <v>50</v>
          </cell>
          <cell r="E233">
            <v>180.76</v>
          </cell>
        </row>
        <row r="234">
          <cell r="A234">
            <v>226</v>
          </cell>
          <cell r="B234" t="str">
            <v>種植費，客土施放</v>
          </cell>
          <cell r="C234" t="str">
            <v>C.M3</v>
          </cell>
          <cell r="D234">
            <v>30</v>
          </cell>
          <cell r="E234">
            <v>438.5</v>
          </cell>
        </row>
        <row r="235">
          <cell r="A235">
            <v>227</v>
          </cell>
          <cell r="B235" t="str">
            <v>植草，草種噴植，混合草種，含養護</v>
          </cell>
          <cell r="C235" t="str">
            <v>㎡</v>
          </cell>
          <cell r="D235">
            <v>200</v>
          </cell>
          <cell r="E235">
            <v>30.39</v>
          </cell>
        </row>
        <row r="236">
          <cell r="A236">
            <v>228</v>
          </cell>
          <cell r="B236" t="str">
            <v>盆栽草花，盆徑=3寸盆，15cm≦株寬</v>
          </cell>
          <cell r="C236" t="str">
            <v>盆</v>
          </cell>
          <cell r="D236">
            <v>10</v>
          </cell>
          <cell r="E236">
            <v>18.54</v>
          </cell>
        </row>
        <row r="237">
          <cell r="A237">
            <v>229</v>
          </cell>
          <cell r="B237" t="str">
            <v>美國南方松，ACQ防腐處理（或同等級品），外觀級，TH=25mm</v>
          </cell>
          <cell r="C237" t="str">
            <v>才</v>
          </cell>
          <cell r="D237">
            <v>10</v>
          </cell>
          <cell r="E237">
            <v>48.78</v>
          </cell>
        </row>
        <row r="238">
          <cell r="A238">
            <v>230</v>
          </cell>
          <cell r="B238" t="str">
            <v>耐候油性漆塗佈</v>
          </cell>
          <cell r="C238" t="str">
            <v>㎡</v>
          </cell>
          <cell r="D238">
            <v>10</v>
          </cell>
          <cell r="E238">
            <v>504.27</v>
          </cell>
        </row>
        <row r="239">
          <cell r="A239">
            <v>231</v>
          </cell>
          <cell r="B239" t="str">
            <v>清除及割除，雜草雜木(含垃圾撿除)</v>
          </cell>
          <cell r="C239" t="str">
            <v>㎡</v>
          </cell>
          <cell r="D239">
            <v>200</v>
          </cell>
          <cell r="E239">
            <v>8.64</v>
          </cell>
        </row>
        <row r="240">
          <cell r="A240">
            <v>232</v>
          </cell>
          <cell r="B240" t="str">
            <v>清運，雜草雜木(含垃圾)</v>
          </cell>
          <cell r="C240" t="str">
            <v>㎡</v>
          </cell>
          <cell r="D240">
            <v>10</v>
          </cell>
          <cell r="E240">
            <v>14.88</v>
          </cell>
        </row>
        <row r="241">
          <cell r="A241">
            <v>233</v>
          </cell>
          <cell r="B241" t="str">
            <v>清除，垃圾及廢棄物（以面積計），含運費</v>
          </cell>
          <cell r="C241" t="str">
            <v>㎡</v>
          </cell>
          <cell r="D241">
            <v>30</v>
          </cell>
          <cell r="E241">
            <v>23.38</v>
          </cell>
        </row>
        <row r="242">
          <cell r="A242">
            <v>234</v>
          </cell>
          <cell r="B242" t="str">
            <v>清除，垃圾及廢棄物（以體積計），含運費</v>
          </cell>
          <cell r="C242" t="str">
            <v>M3</v>
          </cell>
          <cell r="D242">
            <v>10</v>
          </cell>
          <cell r="E242">
            <v>375.01</v>
          </cell>
        </row>
        <row r="243">
          <cell r="A243">
            <v>235</v>
          </cell>
          <cell r="B243" t="str">
            <v>房屋廢方挖除及清理，未含運費</v>
          </cell>
          <cell r="C243" t="str">
            <v>M3</v>
          </cell>
          <cell r="D243">
            <v>20</v>
          </cell>
          <cell r="E243">
            <v>85.36</v>
          </cell>
        </row>
        <row r="244">
          <cell r="A244">
            <v>236</v>
          </cell>
          <cell r="B244" t="str">
            <v>臨時設施，柴油引擎抽水機，4英吋，租金(含油料及運費)</v>
          </cell>
          <cell r="C244" t="str">
            <v>時</v>
          </cell>
          <cell r="D244">
            <v>10</v>
          </cell>
          <cell r="E244">
            <v>655.62</v>
          </cell>
        </row>
        <row r="245">
          <cell r="A245">
            <v>237</v>
          </cell>
          <cell r="B245" t="str">
            <v>臨時設施，沉水式抽水機，6英吋，租金(含油料及運費)</v>
          </cell>
          <cell r="C245" t="str">
            <v>時</v>
          </cell>
          <cell r="D245">
            <v>10</v>
          </cell>
          <cell r="E245">
            <v>899.51</v>
          </cell>
        </row>
        <row r="246">
          <cell r="A246">
            <v>238</v>
          </cell>
          <cell r="B246" t="str">
            <v>臨時設施，沉水式抽水機，4英吋，租金(含油料及運費)</v>
          </cell>
          <cell r="C246" t="str">
            <v>時</v>
          </cell>
          <cell r="D246">
            <v>10</v>
          </cell>
          <cell r="E246">
            <v>736.68</v>
          </cell>
        </row>
        <row r="247">
          <cell r="A247">
            <v>239</v>
          </cell>
          <cell r="B247" t="str">
            <v>臨時設施，發電機，60~100KW(含油料及運費)，租金</v>
          </cell>
          <cell r="C247" t="str">
            <v>時</v>
          </cell>
          <cell r="D247">
            <v>10</v>
          </cell>
          <cell r="E247">
            <v>129.12</v>
          </cell>
        </row>
        <row r="248">
          <cell r="A248">
            <v>240</v>
          </cell>
          <cell r="B248" t="str">
            <v>護欄，混凝土護欄，仿竹欄杆(含底座，不含植筋)</v>
          </cell>
          <cell r="C248" t="str">
            <v>M</v>
          </cell>
          <cell r="D248">
            <v>10</v>
          </cell>
          <cell r="E248">
            <v>1806.91</v>
          </cell>
        </row>
        <row r="249">
          <cell r="A249">
            <v>241</v>
          </cell>
          <cell r="B249" t="str">
            <v>護欄，混凝土護欄，仿松竹欄杆(含底座，不含植筋)</v>
          </cell>
          <cell r="C249" t="str">
            <v>M</v>
          </cell>
          <cell r="D249">
            <v>10</v>
          </cell>
          <cell r="E249">
            <v>2461.1</v>
          </cell>
        </row>
        <row r="250">
          <cell r="A250">
            <v>242</v>
          </cell>
          <cell r="B250" t="str">
            <v>護欄，混凝土護欄，仿松欄杆TYPE1(含底座，不含植筋)</v>
          </cell>
          <cell r="C250" t="str">
            <v>M</v>
          </cell>
          <cell r="D250">
            <v>10</v>
          </cell>
          <cell r="E250">
            <v>1806.91</v>
          </cell>
        </row>
        <row r="251">
          <cell r="A251">
            <v>243</v>
          </cell>
          <cell r="B251" t="str">
            <v>護欄，混凝土護欄，仿松欄杆TYPE2(含底座，不含植筋)</v>
          </cell>
          <cell r="C251" t="str">
            <v>M</v>
          </cell>
          <cell r="D251">
            <v>10</v>
          </cell>
          <cell r="E251">
            <v>2172.7399999999998</v>
          </cell>
        </row>
        <row r="252">
          <cell r="A252">
            <v>244</v>
          </cell>
          <cell r="B252" t="str">
            <v>護欄，混凝土護欄，油漆</v>
          </cell>
          <cell r="C252" t="str">
            <v>M</v>
          </cell>
          <cell r="D252">
            <v>30</v>
          </cell>
          <cell r="E252">
            <v>373</v>
          </cell>
        </row>
        <row r="253">
          <cell r="A253">
            <v>245</v>
          </cell>
          <cell r="B253" t="str">
            <v>施工中安全防護網，網孔10*10cm，尼龍</v>
          </cell>
          <cell r="C253" t="str">
            <v>㎡</v>
          </cell>
          <cell r="D253">
            <v>50</v>
          </cell>
          <cell r="E253">
            <v>35.869999999999997</v>
          </cell>
        </row>
        <row r="254">
          <cell r="A254">
            <v>246</v>
          </cell>
          <cell r="B254" t="str">
            <v>地工織物，土木工程用非織物，CNS第2類，舖設施工</v>
          </cell>
          <cell r="C254" t="str">
            <v>㎡</v>
          </cell>
          <cell r="D254">
            <v>15</v>
          </cell>
          <cell r="E254">
            <v>104.01</v>
          </cell>
        </row>
        <row r="255">
          <cell r="A255">
            <v>247</v>
          </cell>
          <cell r="B255" t="str">
            <v>合板，厚3mm( 一分)，邊模用(不拆模)</v>
          </cell>
          <cell r="C255" t="str">
            <v>㎡</v>
          </cell>
          <cell r="D255">
            <v>100</v>
          </cell>
          <cell r="E255">
            <v>56.67</v>
          </cell>
        </row>
        <row r="256">
          <cell r="A256">
            <v>248</v>
          </cell>
          <cell r="B256" t="str">
            <v>鋼筋，植筋，D10mm，鑽孔(含空氣槍清孔)及化學藥劑</v>
          </cell>
          <cell r="C256" t="str">
            <v>孔</v>
          </cell>
          <cell r="D256">
            <v>50</v>
          </cell>
          <cell r="E256">
            <v>28.69</v>
          </cell>
        </row>
        <row r="257">
          <cell r="A257">
            <v>249</v>
          </cell>
          <cell r="B257" t="str">
            <v>鋼筋，植筋，D13mm，鑽孔(含空氣槍清孔)及化學藥劑</v>
          </cell>
          <cell r="C257" t="str">
            <v>孔</v>
          </cell>
          <cell r="D257">
            <v>50</v>
          </cell>
          <cell r="E257">
            <v>38.020000000000003</v>
          </cell>
        </row>
        <row r="258">
          <cell r="A258">
            <v>250</v>
          </cell>
          <cell r="B258" t="str">
            <v>鋼筋，植筋，D16mm，鑽孔(含空氣槍清孔)及化學藥劑</v>
          </cell>
          <cell r="C258" t="str">
            <v>孔</v>
          </cell>
          <cell r="D258">
            <v>50</v>
          </cell>
          <cell r="E258">
            <v>68.14</v>
          </cell>
        </row>
        <row r="259">
          <cell r="A259">
            <v>251</v>
          </cell>
          <cell r="B259" t="str">
            <v>鋼筋，植筋，D19mm，鑽孔(含空氣槍清孔)及化學藥劑</v>
          </cell>
          <cell r="C259" t="str">
            <v>孔</v>
          </cell>
          <cell r="D259">
            <v>50</v>
          </cell>
          <cell r="E259">
            <v>132.69999999999999</v>
          </cell>
        </row>
        <row r="260">
          <cell r="A260">
            <v>252</v>
          </cell>
          <cell r="B260" t="str">
            <v>鋼筋，植筋，D22mm，鑽孔(含空氣槍清孔)及化學藥劑</v>
          </cell>
          <cell r="C260" t="str">
            <v>孔</v>
          </cell>
          <cell r="D260">
            <v>50</v>
          </cell>
          <cell r="E260">
            <v>211.61</v>
          </cell>
        </row>
        <row r="261">
          <cell r="A261">
            <v>253</v>
          </cell>
          <cell r="B261" t="str">
            <v>排水人孔，人孔提升調降，含更換框座，日間施工(人工)</v>
          </cell>
          <cell r="C261" t="str">
            <v>座</v>
          </cell>
          <cell r="D261">
            <v>5</v>
          </cell>
          <cell r="E261">
            <v>10616.24</v>
          </cell>
        </row>
        <row r="262">
          <cell r="A262">
            <v>254</v>
          </cell>
          <cell r="B262" t="str">
            <v>排水人孔，人孔提升調降，含更換框座，夜間施工(人工)</v>
          </cell>
          <cell r="C262" t="str">
            <v>座</v>
          </cell>
          <cell r="D262">
            <v>5</v>
          </cell>
          <cell r="E262">
            <v>10704.47</v>
          </cell>
        </row>
        <row r="263">
          <cell r="A263">
            <v>255</v>
          </cell>
          <cell r="B263" t="str">
            <v>排水人孔，人孔提升調降，含更換框座，日間施工(機械)</v>
          </cell>
          <cell r="C263" t="str">
            <v>座</v>
          </cell>
          <cell r="D263">
            <v>5</v>
          </cell>
          <cell r="E263">
            <v>10548.82</v>
          </cell>
        </row>
        <row r="264">
          <cell r="A264">
            <v>256</v>
          </cell>
          <cell r="B264" t="str">
            <v>排水人孔，人孔提升調降，含更換框座，夜間施工(機械)</v>
          </cell>
          <cell r="C264" t="str">
            <v>座</v>
          </cell>
          <cell r="D264">
            <v>5</v>
          </cell>
          <cell r="E264">
            <v>10565.31</v>
          </cell>
        </row>
        <row r="265">
          <cell r="A265">
            <v>257</v>
          </cell>
          <cell r="B265" t="str">
            <v>排水人孔，人孔提升調降，不更換框座，日間施工(人工)</v>
          </cell>
          <cell r="C265" t="str">
            <v>座</v>
          </cell>
          <cell r="D265">
            <v>5</v>
          </cell>
          <cell r="E265">
            <v>1750.96</v>
          </cell>
        </row>
        <row r="266">
          <cell r="A266">
            <v>258</v>
          </cell>
          <cell r="B266" t="str">
            <v>排水人孔，人孔提升調降，不更換框座，夜間施工(人工)</v>
          </cell>
          <cell r="C266" t="str">
            <v>座</v>
          </cell>
          <cell r="D266">
            <v>5</v>
          </cell>
          <cell r="E266">
            <v>1838.48</v>
          </cell>
        </row>
        <row r="267">
          <cell r="A267">
            <v>259</v>
          </cell>
          <cell r="B267" t="str">
            <v>排水人孔，人孔提升調降，不更換框座，日間施工(機械)</v>
          </cell>
          <cell r="C267" t="str">
            <v>座</v>
          </cell>
          <cell r="D267">
            <v>5</v>
          </cell>
          <cell r="E267">
            <v>1682.82</v>
          </cell>
        </row>
        <row r="268">
          <cell r="A268">
            <v>260</v>
          </cell>
          <cell r="B268" t="str">
            <v>排水人孔，人孔提升調降，不更換框座，夜間施工(機械)</v>
          </cell>
          <cell r="C268" t="str">
            <v>座</v>
          </cell>
          <cell r="D268">
            <v>5</v>
          </cell>
          <cell r="E268">
            <v>1699.32</v>
          </cell>
        </row>
        <row r="269">
          <cell r="A269">
            <v>261</v>
          </cell>
          <cell r="B269" t="str">
            <v>排水人孔，人孔提升調降， 打除原有混凝土框座並更新，日間施工(人工)</v>
          </cell>
          <cell r="C269" t="str">
            <v>座</v>
          </cell>
          <cell r="D269">
            <v>5</v>
          </cell>
          <cell r="E269">
            <v>11181.5</v>
          </cell>
        </row>
        <row r="270">
          <cell r="A270">
            <v>262</v>
          </cell>
          <cell r="B270" t="str">
            <v>排水人孔，人孔提升調降， 打除原有混凝土框座並更新，夜間施工(人工)</v>
          </cell>
          <cell r="C270" t="str">
            <v>座</v>
          </cell>
          <cell r="D270">
            <v>5</v>
          </cell>
          <cell r="E270">
            <v>11834.24</v>
          </cell>
        </row>
        <row r="271">
          <cell r="A271">
            <v>263</v>
          </cell>
          <cell r="B271" t="str">
            <v>排水人孔，人孔提升調降， 打除原有混凝土框座並更新，日間施工(機械)</v>
          </cell>
          <cell r="C271" t="str">
            <v>座</v>
          </cell>
          <cell r="D271">
            <v>5</v>
          </cell>
          <cell r="E271">
            <v>10678.65</v>
          </cell>
        </row>
        <row r="272">
          <cell r="A272">
            <v>264</v>
          </cell>
          <cell r="B272" t="str">
            <v>排水人孔，人孔提升調降， 打除原有混凝土框座並更新，夜間施工(機械)</v>
          </cell>
          <cell r="C272" t="str">
            <v>座</v>
          </cell>
          <cell r="D272">
            <v>5</v>
          </cell>
          <cell r="E272">
            <v>10744.64</v>
          </cell>
        </row>
        <row r="273">
          <cell r="A273">
            <v>265</v>
          </cell>
          <cell r="B273" t="str">
            <v>地下調查，人孔，金屬探測器，尋獲</v>
          </cell>
          <cell r="C273" t="str">
            <v>處</v>
          </cell>
          <cell r="D273">
            <v>50</v>
          </cell>
          <cell r="E273">
            <v>172.16</v>
          </cell>
        </row>
        <row r="274">
          <cell r="A274">
            <v>266</v>
          </cell>
          <cell r="B274" t="str">
            <v>地下調查，人孔，金屬探測器，未尋獲</v>
          </cell>
          <cell r="C274" t="str">
            <v>處</v>
          </cell>
          <cell r="D274">
            <v>50</v>
          </cell>
          <cell r="E274">
            <v>83.21</v>
          </cell>
        </row>
        <row r="275">
          <cell r="A275">
            <v>267</v>
          </cell>
          <cell r="B275" t="str">
            <v>工作船(租金)</v>
          </cell>
          <cell r="C275" t="str">
            <v>天</v>
          </cell>
          <cell r="D275">
            <v>5</v>
          </cell>
          <cell r="E275">
            <v>1434.63</v>
          </cell>
        </row>
        <row r="276">
          <cell r="A276">
            <v>268</v>
          </cell>
          <cell r="B276" t="str">
            <v>交通維持計畫書編撰</v>
          </cell>
          <cell r="C276" t="str">
            <v>次</v>
          </cell>
          <cell r="D276">
            <v>5</v>
          </cell>
          <cell r="E276">
            <v>35865.69</v>
          </cell>
        </row>
        <row r="277">
          <cell r="A277">
            <v>269</v>
          </cell>
          <cell r="B277" t="str">
            <v>標線，熱塑性塑膠，反光，厚2mm，含玻璃珠</v>
          </cell>
          <cell r="C277" t="str">
            <v>㎡</v>
          </cell>
          <cell r="D277">
            <v>200</v>
          </cell>
          <cell r="E277">
            <v>185.78</v>
          </cell>
        </row>
        <row r="278">
          <cell r="A278">
            <v>270</v>
          </cell>
          <cell r="B278" t="str">
            <v>標記，路面用，反光，強化玻璃</v>
          </cell>
          <cell r="C278" t="str">
            <v>個</v>
          </cell>
          <cell r="D278">
            <v>20</v>
          </cell>
          <cell r="E278">
            <v>177.18</v>
          </cell>
        </row>
        <row r="279">
          <cell r="A279">
            <v>271</v>
          </cell>
          <cell r="B279" t="str">
            <v>反光導標，座式</v>
          </cell>
          <cell r="C279" t="str">
            <v>個</v>
          </cell>
          <cell r="D279">
            <v>15</v>
          </cell>
          <cell r="E279">
            <v>235.28</v>
          </cell>
        </row>
        <row r="280">
          <cell r="A280">
            <v>272</v>
          </cell>
          <cell r="B280" t="str">
            <v>地坪表面樹脂加礦砂防滑舖面，金剛砂12Kg/㎡</v>
          </cell>
          <cell r="C280" t="str">
            <v>㎡</v>
          </cell>
          <cell r="D280">
            <v>20</v>
          </cell>
          <cell r="E280">
            <v>502.12</v>
          </cell>
        </row>
        <row r="281">
          <cell r="A281">
            <v>273</v>
          </cell>
          <cell r="B281" t="str">
            <v>施工測量，控制測量，平面測量，人孔設施，含成果製作</v>
          </cell>
          <cell r="C281" t="str">
            <v>處</v>
          </cell>
          <cell r="D281">
            <v>20</v>
          </cell>
          <cell r="E281">
            <v>430.39</v>
          </cell>
        </row>
        <row r="282">
          <cell r="A282">
            <v>274</v>
          </cell>
          <cell r="B282" t="str">
            <v>施工測量，控制測量，平面測量，管涵設施，含成果製作</v>
          </cell>
          <cell r="C282" t="str">
            <v>處</v>
          </cell>
          <cell r="D282">
            <v>20</v>
          </cell>
          <cell r="E282">
            <v>286.93</v>
          </cell>
        </row>
        <row r="283">
          <cell r="A283">
            <v>275</v>
          </cell>
          <cell r="B283" t="str">
            <v>施工測量，控制測量，平面測量，連接管設施，含成果製作</v>
          </cell>
          <cell r="C283" t="str">
            <v>處</v>
          </cell>
          <cell r="D283">
            <v>20</v>
          </cell>
          <cell r="E283">
            <v>286.93</v>
          </cell>
        </row>
        <row r="284">
          <cell r="A284">
            <v>276</v>
          </cell>
          <cell r="B284" t="str">
            <v>施工測量，控制測量，平面測量，機械清掃孔設施，含成果製作</v>
          </cell>
          <cell r="C284" t="str">
            <v>處</v>
          </cell>
          <cell r="D284">
            <v>20</v>
          </cell>
          <cell r="E284">
            <v>358.66</v>
          </cell>
        </row>
        <row r="285">
          <cell r="A285">
            <v>277</v>
          </cell>
          <cell r="B285" t="str">
            <v>施工測量，地形測量，平面測量，土木及水利工程</v>
          </cell>
          <cell r="C285" t="str">
            <v>㎡</v>
          </cell>
          <cell r="D285">
            <v>140</v>
          </cell>
          <cell r="E285">
            <v>9.83</v>
          </cell>
        </row>
        <row r="286">
          <cell r="A286">
            <v>278</v>
          </cell>
          <cell r="B286" t="str">
            <v>水深測量，縱橫斷面(含導線測量)，河川，測深記錄</v>
          </cell>
          <cell r="C286" t="str">
            <v>M</v>
          </cell>
          <cell r="D286">
            <v>50</v>
          </cell>
          <cell r="E286">
            <v>80.77</v>
          </cell>
        </row>
        <row r="287">
          <cell r="A287">
            <v>279</v>
          </cell>
          <cell r="B287" t="str">
            <v>施工測量，雨水下水道系統資料建置費，含成果製作</v>
          </cell>
          <cell r="C287" t="str">
            <v>次</v>
          </cell>
          <cell r="D287">
            <v>3</v>
          </cell>
          <cell r="E287">
            <v>2151.94</v>
          </cell>
        </row>
        <row r="288">
          <cell r="A288">
            <v>280</v>
          </cell>
          <cell r="B288" t="str">
            <v>聚氯乙烯塑膠管及配件，PVC管(B管厚管)，(標稱150mm，厚8.5mm)，含管配件</v>
          </cell>
          <cell r="C288" t="str">
            <v>M</v>
          </cell>
          <cell r="D288">
            <v>5</v>
          </cell>
          <cell r="E288">
            <v>315.26</v>
          </cell>
        </row>
        <row r="289">
          <cell r="A289">
            <v>281</v>
          </cell>
          <cell r="B289" t="str">
            <v>聚氯乙烯塑膠管及配件，PVC管(B管厚管)，(標稱200mm，厚10.5mm，含管配件</v>
          </cell>
          <cell r="C289" t="str">
            <v>M</v>
          </cell>
          <cell r="D289">
            <v>5</v>
          </cell>
          <cell r="E289">
            <v>477.06</v>
          </cell>
        </row>
        <row r="290">
          <cell r="A290">
            <v>282</v>
          </cell>
          <cell r="B290" t="str">
            <v>聚氯乙烯塑膠管及配件，PVC管(B管厚管)，(標稱250mm，厚13.0mm，含管配件</v>
          </cell>
          <cell r="C290" t="str">
            <v>M</v>
          </cell>
          <cell r="D290">
            <v>5</v>
          </cell>
          <cell r="E290">
            <v>549.46</v>
          </cell>
        </row>
        <row r="291">
          <cell r="A291">
            <v>283</v>
          </cell>
          <cell r="B291" t="str">
            <v>聚氯乙烯塑膠管及配件，PVC管(B管厚管)，(標稱300mm，厚15.5mm，含管配件</v>
          </cell>
          <cell r="C291" t="str">
            <v>M</v>
          </cell>
          <cell r="D291">
            <v>5</v>
          </cell>
          <cell r="E291">
            <v>872.25</v>
          </cell>
        </row>
        <row r="292">
          <cell r="A292">
            <v>284</v>
          </cell>
          <cell r="B292" t="str">
            <v>聚氯乙烯塑膠管及配件，PVC管(B管厚管)，(標稱400mm，厚20.5mm，含管配件</v>
          </cell>
          <cell r="C292" t="str">
            <v>M</v>
          </cell>
          <cell r="D292">
            <v>5</v>
          </cell>
          <cell r="E292">
            <v>1101.79</v>
          </cell>
        </row>
        <row r="293">
          <cell r="A293">
            <v>285</v>
          </cell>
          <cell r="B293" t="str">
            <v>導線管，PVC管，∮1.5”，接線及安裝</v>
          </cell>
          <cell r="C293" t="str">
            <v>M</v>
          </cell>
          <cell r="D293">
            <v>50</v>
          </cell>
          <cell r="E293">
            <v>25.11</v>
          </cell>
        </row>
        <row r="294">
          <cell r="A294">
            <v>286</v>
          </cell>
          <cell r="B294" t="str">
            <v>導線管，PVC管，∮2”，接線及安裝</v>
          </cell>
          <cell r="C294" t="str">
            <v>M</v>
          </cell>
          <cell r="D294">
            <v>50</v>
          </cell>
          <cell r="E294">
            <v>28.69</v>
          </cell>
        </row>
        <row r="295">
          <cell r="A295">
            <v>287</v>
          </cell>
          <cell r="B295" t="str">
            <v>導線管，PVC管，∮3”，接線及安裝</v>
          </cell>
          <cell r="C295" t="str">
            <v>M</v>
          </cell>
          <cell r="D295">
            <v>50</v>
          </cell>
          <cell r="E295">
            <v>32.28</v>
          </cell>
        </row>
        <row r="296">
          <cell r="A296">
            <v>288</v>
          </cell>
          <cell r="B296" t="str">
            <v>導線管，PVC管，∮4”，接線及安裝</v>
          </cell>
          <cell r="C296" t="str">
            <v>M</v>
          </cell>
          <cell r="D296">
            <v>50</v>
          </cell>
          <cell r="E296">
            <v>35.869999999999997</v>
          </cell>
        </row>
        <row r="297">
          <cell r="A297">
            <v>289</v>
          </cell>
          <cell r="B297" t="str">
            <v>導線管，PVC管，∮5”，接線及安裝</v>
          </cell>
          <cell r="C297" t="str">
            <v>M</v>
          </cell>
          <cell r="D297">
            <v>50</v>
          </cell>
          <cell r="E297">
            <v>39.450000000000003</v>
          </cell>
        </row>
        <row r="298">
          <cell r="A298">
            <v>290</v>
          </cell>
          <cell r="B298" t="str">
            <v>導線管，PVC管，∮6”，接線及安裝</v>
          </cell>
          <cell r="C298" t="str">
            <v>M</v>
          </cell>
          <cell r="D298">
            <v>50</v>
          </cell>
          <cell r="E298">
            <v>43.04</v>
          </cell>
        </row>
        <row r="299">
          <cell r="A299">
            <v>291</v>
          </cell>
        </row>
        <row r="300">
          <cell r="A300">
            <v>292</v>
          </cell>
        </row>
        <row r="301">
          <cell r="A301">
            <v>293</v>
          </cell>
        </row>
        <row r="302">
          <cell r="A302">
            <v>294</v>
          </cell>
        </row>
        <row r="303">
          <cell r="A303">
            <v>295</v>
          </cell>
        </row>
        <row r="304">
          <cell r="A304">
            <v>296</v>
          </cell>
        </row>
        <row r="305">
          <cell r="A305">
            <v>297</v>
          </cell>
        </row>
        <row r="306">
          <cell r="A306">
            <v>298</v>
          </cell>
        </row>
        <row r="307">
          <cell r="A307">
            <v>299</v>
          </cell>
        </row>
        <row r="308">
          <cell r="A308">
            <v>300</v>
          </cell>
        </row>
        <row r="309">
          <cell r="A309">
            <v>301</v>
          </cell>
        </row>
        <row r="310">
          <cell r="A310">
            <v>302</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項數量表"/>
      <sheetName val="詳細表"/>
      <sheetName val="數量表"/>
      <sheetName val="數量統計表"/>
      <sheetName val="數量計算表"/>
      <sheetName val="通報單"/>
      <sheetName val="格式"/>
      <sheetName val="詳細價目表 "/>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6">
          <cell r="A6" t="str">
            <v>項次</v>
          </cell>
          <cell r="B6" t="str">
            <v>項  目  及  說  明</v>
          </cell>
          <cell r="C6" t="str">
            <v>單位</v>
          </cell>
          <cell r="D6" t="str">
            <v>數量</v>
          </cell>
          <cell r="E6" t="str">
            <v>單  價</v>
          </cell>
        </row>
        <row r="7">
          <cell r="A7" t="str">
            <v>壹</v>
          </cell>
          <cell r="B7" t="str">
            <v>發包工程費</v>
          </cell>
          <cell r="C7" t="str">
            <v>式</v>
          </cell>
          <cell r="D7">
            <v>1</v>
          </cell>
        </row>
        <row r="8">
          <cell r="A8" t="str">
            <v>一</v>
          </cell>
          <cell r="B8" t="str">
            <v>施工費</v>
          </cell>
          <cell r="C8" t="str">
            <v>式</v>
          </cell>
          <cell r="D8">
            <v>1</v>
          </cell>
        </row>
        <row r="9">
          <cell r="A9">
            <v>1</v>
          </cell>
          <cell r="B9" t="str">
            <v>基地及路幅開挖，未含運費，(機械挖，0.7～0.79m3開挖機)</v>
          </cell>
          <cell r="C9" t="str">
            <v>B.M3</v>
          </cell>
          <cell r="D9">
            <v>400</v>
          </cell>
          <cell r="E9">
            <v>27.91</v>
          </cell>
        </row>
        <row r="10">
          <cell r="A10">
            <v>2</v>
          </cell>
          <cell r="B10" t="str">
            <v>構造物開挖，(人工挖，未含抽排水)，未含運費</v>
          </cell>
          <cell r="C10" t="str">
            <v>B.M3</v>
          </cell>
          <cell r="D10">
            <v>50</v>
          </cell>
          <cell r="E10">
            <v>372.29</v>
          </cell>
        </row>
        <row r="11">
          <cell r="A11">
            <v>3</v>
          </cell>
          <cell r="B11" t="str">
            <v>餘方自行處理(含水土保持)，總重15t傾卸貨車</v>
          </cell>
          <cell r="C11" t="str">
            <v>B.M3</v>
          </cell>
          <cell r="D11">
            <v>500</v>
          </cell>
          <cell r="E11">
            <v>502.21</v>
          </cell>
        </row>
        <row r="12">
          <cell r="A12">
            <v>4</v>
          </cell>
          <cell r="B12" t="str">
            <v>餘方自行處理(房屋廢方，含水土保持)</v>
          </cell>
          <cell r="C12" t="str">
            <v>M3</v>
          </cell>
          <cell r="D12">
            <v>100</v>
          </cell>
          <cell r="E12">
            <v>672.14</v>
          </cell>
        </row>
        <row r="13">
          <cell r="A13">
            <v>5</v>
          </cell>
          <cell r="B13" t="str">
            <v>泥漿運棄及處理</v>
          </cell>
          <cell r="C13" t="str">
            <v>M3</v>
          </cell>
          <cell r="D13">
            <v>100</v>
          </cell>
          <cell r="E13">
            <v>978.41</v>
          </cell>
        </row>
        <row r="14">
          <cell r="A14">
            <v>6</v>
          </cell>
          <cell r="B14" t="str">
            <v>利用填方，含夯實</v>
          </cell>
          <cell r="C14" t="str">
            <v>M3</v>
          </cell>
          <cell r="D14">
            <v>100</v>
          </cell>
          <cell r="E14">
            <v>61.25</v>
          </cell>
        </row>
        <row r="15">
          <cell r="A15">
            <v>7</v>
          </cell>
          <cell r="B15" t="str">
            <v>結構用混凝土，預拌，140kgf/c㎡</v>
          </cell>
          <cell r="C15" t="str">
            <v>M3</v>
          </cell>
          <cell r="D15">
            <v>50</v>
          </cell>
          <cell r="E15">
            <v>1468.3</v>
          </cell>
        </row>
        <row r="16">
          <cell r="A16">
            <v>8</v>
          </cell>
          <cell r="B16" t="str">
            <v>結構用混凝土，預拌，175kgf/c㎡</v>
          </cell>
          <cell r="C16" t="str">
            <v>M3</v>
          </cell>
          <cell r="D16">
            <v>50</v>
          </cell>
          <cell r="E16">
            <v>1525.18</v>
          </cell>
        </row>
        <row r="17">
          <cell r="A17">
            <v>9</v>
          </cell>
          <cell r="B17" t="str">
            <v>結構用混凝土，預拌，210kgf/c㎡</v>
          </cell>
          <cell r="C17" t="str">
            <v>M3</v>
          </cell>
          <cell r="D17">
            <v>50</v>
          </cell>
          <cell r="E17">
            <v>1584.29</v>
          </cell>
        </row>
        <row r="18">
          <cell r="A18">
            <v>10</v>
          </cell>
          <cell r="B18" t="str">
            <v>結構用混凝土，預拌，245kgf/c㎡</v>
          </cell>
          <cell r="C18" t="str">
            <v>M3</v>
          </cell>
          <cell r="D18">
            <v>50</v>
          </cell>
          <cell r="E18">
            <v>1687.01</v>
          </cell>
        </row>
        <row r="19">
          <cell r="A19">
            <v>11</v>
          </cell>
          <cell r="B19" t="str">
            <v>結構用混凝土，預拌，280kgf/c㎡</v>
          </cell>
          <cell r="C19" t="str">
            <v>M3</v>
          </cell>
          <cell r="D19">
            <v>50</v>
          </cell>
          <cell r="E19">
            <v>1797.42</v>
          </cell>
        </row>
        <row r="20">
          <cell r="A20">
            <v>12</v>
          </cell>
          <cell r="B20" t="str">
            <v>結構用混凝土，385kgf/c㎡，早強劑及無收縮化學摻料</v>
          </cell>
          <cell r="C20" t="str">
            <v>M3</v>
          </cell>
          <cell r="D20">
            <v>40</v>
          </cell>
          <cell r="E20">
            <v>4312.49</v>
          </cell>
        </row>
        <row r="21">
          <cell r="A21">
            <v>13</v>
          </cell>
          <cell r="B21" t="str">
            <v>結構用混凝土，CLSM(高性能低強度材料)</v>
          </cell>
          <cell r="C21" t="str">
            <v>M3</v>
          </cell>
          <cell r="D21">
            <v>50</v>
          </cell>
          <cell r="E21">
            <v>1674.21</v>
          </cell>
        </row>
        <row r="22">
          <cell r="A22">
            <v>14</v>
          </cell>
          <cell r="B22" t="str">
            <v>結構用透水混凝土，預拌，175kgf/c㎡</v>
          </cell>
          <cell r="C22" t="str">
            <v>M3</v>
          </cell>
          <cell r="D22">
            <v>20</v>
          </cell>
          <cell r="E22">
            <v>3220.74</v>
          </cell>
        </row>
        <row r="23">
          <cell r="A23">
            <v>15</v>
          </cell>
          <cell r="B23" t="str">
            <v>級配粒料底層，碎石級配</v>
          </cell>
          <cell r="C23" t="str">
            <v>C.M3</v>
          </cell>
          <cell r="D23">
            <v>100</v>
          </cell>
          <cell r="E23">
            <v>740.22</v>
          </cell>
        </row>
        <row r="24">
          <cell r="A24">
            <v>16</v>
          </cell>
          <cell r="B24" t="str">
            <v>結構用混凝土，泵送及澆注費</v>
          </cell>
          <cell r="C24" t="str">
            <v>M3</v>
          </cell>
          <cell r="D24">
            <v>200</v>
          </cell>
          <cell r="E24">
            <v>143.46</v>
          </cell>
        </row>
        <row r="25">
          <cell r="A25">
            <v>17</v>
          </cell>
          <cell r="B25" t="str">
            <v>選擇材料回填，透水材料，砂，用於構造物回填</v>
          </cell>
          <cell r="C25" t="str">
            <v>C.M3</v>
          </cell>
          <cell r="D25">
            <v>20</v>
          </cell>
          <cell r="E25">
            <v>766.46</v>
          </cell>
        </row>
        <row r="26">
          <cell r="A26">
            <v>18</v>
          </cell>
          <cell r="B26" t="str">
            <v>瀝青混凝土面層刨除，刨除料運費</v>
          </cell>
          <cell r="C26" t="str">
            <v>M3</v>
          </cell>
          <cell r="D26">
            <v>50</v>
          </cell>
          <cell r="E26">
            <v>412.72</v>
          </cell>
        </row>
        <row r="27">
          <cell r="A27">
            <v>19</v>
          </cell>
          <cell r="B27" t="str">
            <v>機械拆除，無筋混凝土，未含運費</v>
          </cell>
          <cell r="C27" t="str">
            <v>M3</v>
          </cell>
          <cell r="D27">
            <v>50</v>
          </cell>
          <cell r="E27">
            <v>443.3</v>
          </cell>
        </row>
        <row r="28">
          <cell r="A28">
            <v>20</v>
          </cell>
          <cell r="B28" t="str">
            <v>機械拆除，鋼筋混凝土，未含運費</v>
          </cell>
          <cell r="C28" t="str">
            <v>M3</v>
          </cell>
          <cell r="D28">
            <v>50</v>
          </cell>
          <cell r="E28">
            <v>690.77</v>
          </cell>
        </row>
        <row r="29">
          <cell r="A29">
            <v>21</v>
          </cell>
          <cell r="B29" t="str">
            <v>人工拆除，無筋混凝土，未含運費</v>
          </cell>
          <cell r="C29" t="str">
            <v>M3</v>
          </cell>
          <cell r="D29">
            <v>20</v>
          </cell>
          <cell r="E29">
            <v>2526.88</v>
          </cell>
        </row>
        <row r="30">
          <cell r="A30">
            <v>22</v>
          </cell>
          <cell r="B30" t="str">
            <v>人工拆除，鋼筋混凝土，未含運費</v>
          </cell>
          <cell r="C30" t="str">
            <v>M3</v>
          </cell>
          <cell r="D30">
            <v>20</v>
          </cell>
          <cell r="E30">
            <v>3258.34</v>
          </cell>
        </row>
        <row r="31">
          <cell r="A31">
            <v>23</v>
          </cell>
          <cell r="B31" t="str">
            <v>基地及路幅開挖，軟岩，含裝車未含運費，人工挖</v>
          </cell>
          <cell r="C31" t="str">
            <v>B.M3</v>
          </cell>
          <cell r="D31">
            <v>20</v>
          </cell>
          <cell r="E31">
            <v>2061.56</v>
          </cell>
        </row>
        <row r="32">
          <cell r="A32">
            <v>24</v>
          </cell>
          <cell r="B32" t="str">
            <v>基地及路幅開挖，硬岩，含裝車未含運費，人工挖</v>
          </cell>
          <cell r="C32" t="str">
            <v>B.M3</v>
          </cell>
          <cell r="D32">
            <v>20</v>
          </cell>
          <cell r="E32">
            <v>2859.21</v>
          </cell>
        </row>
        <row r="33">
          <cell r="A33">
            <v>25</v>
          </cell>
          <cell r="B33" t="str">
            <v>瀝青混凝土舖面，粗粒料9.5mm，針入度60~70，零星工程用</v>
          </cell>
          <cell r="C33" t="str">
            <v>M3</v>
          </cell>
          <cell r="D33">
            <v>50</v>
          </cell>
          <cell r="E33">
            <v>5453.43</v>
          </cell>
        </row>
        <row r="34">
          <cell r="A34">
            <v>26</v>
          </cell>
          <cell r="B34" t="str">
            <v>瀝青混凝土舖面，粗粒料19.0mm，針入度60~70，零星工程用</v>
          </cell>
          <cell r="C34" t="str">
            <v>M3</v>
          </cell>
          <cell r="D34">
            <v>50</v>
          </cell>
          <cell r="E34">
            <v>5938.84</v>
          </cell>
        </row>
        <row r="35">
          <cell r="A35">
            <v>27</v>
          </cell>
          <cell r="B35" t="str">
            <v>瀝青混凝土舖面，粗粒料9.5mm，針入度60~70</v>
          </cell>
          <cell r="C35" t="str">
            <v>M3</v>
          </cell>
          <cell r="D35">
            <v>50</v>
          </cell>
          <cell r="E35">
            <v>5119.62</v>
          </cell>
        </row>
        <row r="36">
          <cell r="A36">
            <v>28</v>
          </cell>
          <cell r="B36" t="str">
            <v>瀝青混凝土舖面，粗粒料19.0mm，針入度60~70</v>
          </cell>
          <cell r="C36" t="str">
            <v>M3</v>
          </cell>
          <cell r="D36">
            <v>50</v>
          </cell>
          <cell r="E36">
            <v>5605.02</v>
          </cell>
        </row>
        <row r="37">
          <cell r="A37">
            <v>29</v>
          </cell>
          <cell r="B37" t="str">
            <v>瀝青透層，中凝油溶瀝青，MC-70</v>
          </cell>
          <cell r="C37" t="str">
            <v>㎡</v>
          </cell>
          <cell r="D37">
            <v>200</v>
          </cell>
          <cell r="E37">
            <v>25.87</v>
          </cell>
        </row>
        <row r="38">
          <cell r="A38">
            <v>30</v>
          </cell>
          <cell r="B38" t="str">
            <v>瀝青黏層，快凝油溶瀝青，RC-70</v>
          </cell>
          <cell r="C38" t="str">
            <v>㎡</v>
          </cell>
          <cell r="D38">
            <v>200</v>
          </cell>
          <cell r="E38">
            <v>9.8000000000000007</v>
          </cell>
        </row>
        <row r="39">
          <cell r="A39">
            <v>31</v>
          </cell>
          <cell r="B39" t="str">
            <v>瀝青混凝土面層刨除，平均厚5.0cm，刨除機1.2m寬，未含運費</v>
          </cell>
          <cell r="C39" t="str">
            <v>㎡</v>
          </cell>
          <cell r="D39">
            <v>200</v>
          </cell>
          <cell r="E39">
            <v>16.920000000000002</v>
          </cell>
        </row>
        <row r="40">
          <cell r="A40">
            <v>32</v>
          </cell>
          <cell r="B40" t="str">
            <v>瀝青混凝土面層刨除，平均厚5.0cm，刨除機2.2m寬，未含運費</v>
          </cell>
          <cell r="C40" t="str">
            <v>㎡</v>
          </cell>
          <cell r="D40">
            <v>200</v>
          </cell>
          <cell r="E40">
            <v>11.16</v>
          </cell>
        </row>
        <row r="41">
          <cell r="A41">
            <v>33</v>
          </cell>
          <cell r="B41" t="str">
            <v>瀝青混凝土面層刨除，平均厚10.0cm，刨除機1.2m寬，未含運費</v>
          </cell>
          <cell r="C41" t="str">
            <v>㎡</v>
          </cell>
          <cell r="D41">
            <v>200</v>
          </cell>
          <cell r="E41">
            <v>28.94</v>
          </cell>
        </row>
        <row r="42">
          <cell r="A42">
            <v>34</v>
          </cell>
          <cell r="B42" t="str">
            <v>瀝青混凝土面層刨除，平均厚10.0cm，刨除機2.2m寬，未含運費</v>
          </cell>
          <cell r="C42" t="str">
            <v>㎡</v>
          </cell>
          <cell r="D42">
            <v>200</v>
          </cell>
          <cell r="E42">
            <v>19.37</v>
          </cell>
        </row>
        <row r="43">
          <cell r="A43">
            <v>35</v>
          </cell>
          <cell r="B43" t="str">
            <v>場鑄結構混凝土用模板，清水，(乙種，擋土牆，橋台，車行箱涵等)</v>
          </cell>
          <cell r="C43" t="str">
            <v>㎡</v>
          </cell>
          <cell r="D43">
            <v>20</v>
          </cell>
          <cell r="E43">
            <v>462.3</v>
          </cell>
        </row>
        <row r="44">
          <cell r="A44">
            <v>36</v>
          </cell>
          <cell r="B44" t="str">
            <v>場鑄結構混凝土用模板，普通，(乙種，擋土牆，橋台，車行箱涵等)</v>
          </cell>
          <cell r="C44" t="str">
            <v>㎡</v>
          </cell>
          <cell r="D44">
            <v>20</v>
          </cell>
          <cell r="E44">
            <v>375.72</v>
          </cell>
        </row>
        <row r="45">
          <cell r="A45">
            <v>37</v>
          </cell>
          <cell r="B45" t="str">
            <v>場鑄結構混凝土用模板，清水，(丙種，U型構，集水井，排水箱涵等)</v>
          </cell>
          <cell r="C45" t="str">
            <v>㎡</v>
          </cell>
          <cell r="D45">
            <v>20</v>
          </cell>
          <cell r="E45">
            <v>316.52</v>
          </cell>
        </row>
        <row r="46">
          <cell r="A46">
            <v>38</v>
          </cell>
          <cell r="B46" t="str">
            <v>場鑄結構混凝土用模板，普通，(丙種，U型構，集水井，排水箱涵等)</v>
          </cell>
          <cell r="C46" t="str">
            <v>㎡</v>
          </cell>
          <cell r="D46">
            <v>20</v>
          </cell>
          <cell r="E46">
            <v>237.84</v>
          </cell>
        </row>
        <row r="47">
          <cell r="A47">
            <v>39</v>
          </cell>
          <cell r="B47" t="str">
            <v>場鑄結構混凝土用模板，鋼模(U型溝)，H＞80cm，L=120cm，溝寬40cm</v>
          </cell>
          <cell r="C47" t="str">
            <v>㎡</v>
          </cell>
          <cell r="D47">
            <v>20</v>
          </cell>
          <cell r="E47">
            <v>226.67</v>
          </cell>
        </row>
        <row r="48">
          <cell r="A48">
            <v>40</v>
          </cell>
          <cell r="B48" t="str">
            <v>場鑄結構混凝土用模板，鋼模(U型溝)，H＞80cm，L=120cm，溝寬50cm</v>
          </cell>
          <cell r="C48" t="str">
            <v>㎡</v>
          </cell>
          <cell r="D48">
            <v>20</v>
          </cell>
          <cell r="E48">
            <v>274.01</v>
          </cell>
        </row>
        <row r="49">
          <cell r="A49">
            <v>41</v>
          </cell>
          <cell r="B49" t="str">
            <v>場鑄結構混凝土用模板，鋼模(U型溝)，H＞80cm，L=120cm，溝寬60cm</v>
          </cell>
          <cell r="C49" t="str">
            <v>㎡</v>
          </cell>
          <cell r="D49">
            <v>20</v>
          </cell>
          <cell r="E49">
            <v>317.05</v>
          </cell>
        </row>
        <row r="50">
          <cell r="A50">
            <v>42</v>
          </cell>
          <cell r="B50" t="str">
            <v>場鑄結構混凝土用模板，鋼模(U型溝)，H≦80cm，L=120cm，溝寬40cm</v>
          </cell>
          <cell r="C50" t="str">
            <v>M</v>
          </cell>
          <cell r="D50">
            <v>20</v>
          </cell>
          <cell r="E50">
            <v>373.72</v>
          </cell>
        </row>
        <row r="51">
          <cell r="A51">
            <v>43</v>
          </cell>
          <cell r="B51" t="str">
            <v>場鑄結構混凝土用模板，鋼模(U型溝)，H≦80cm，L=120cm，溝寬50cm</v>
          </cell>
          <cell r="C51" t="str">
            <v>M</v>
          </cell>
          <cell r="D51">
            <v>20</v>
          </cell>
          <cell r="E51">
            <v>454.06</v>
          </cell>
        </row>
        <row r="52">
          <cell r="A52">
            <v>44</v>
          </cell>
          <cell r="B52" t="str">
            <v>場鑄結構混凝土用模板，鋼模(U型溝)，H≦80cm，L=120cm，溝寬60cm</v>
          </cell>
          <cell r="C52" t="str">
            <v>M</v>
          </cell>
          <cell r="D52">
            <v>20</v>
          </cell>
          <cell r="E52">
            <v>527.94000000000005</v>
          </cell>
        </row>
        <row r="53">
          <cell r="A53">
            <v>45</v>
          </cell>
          <cell r="B53" t="str">
            <v>場鑄結構混凝土用模板，3mm厚鋼板(底模不拆模)</v>
          </cell>
          <cell r="C53" t="str">
            <v>㎡</v>
          </cell>
          <cell r="D53">
            <v>20</v>
          </cell>
          <cell r="E53">
            <v>430.39</v>
          </cell>
        </row>
        <row r="54">
          <cell r="A54">
            <v>46</v>
          </cell>
          <cell r="B54" t="str">
            <v>切割瀝青混凝土或無筋混凝土，5cm≦切割深度＜10cm</v>
          </cell>
          <cell r="C54" t="str">
            <v>M</v>
          </cell>
          <cell r="D54">
            <v>100</v>
          </cell>
          <cell r="E54">
            <v>44.7</v>
          </cell>
        </row>
        <row r="55">
          <cell r="A55">
            <v>47</v>
          </cell>
          <cell r="B55" t="str">
            <v>切割瀝青混凝土或無筋混凝土，10cm≦切割深度</v>
          </cell>
          <cell r="C55" t="str">
            <v>M</v>
          </cell>
          <cell r="D55">
            <v>100</v>
          </cell>
          <cell r="E55">
            <v>52.15</v>
          </cell>
        </row>
        <row r="56">
          <cell r="A56">
            <v>48</v>
          </cell>
          <cell r="B56" t="str">
            <v>鋼筋，SD280</v>
          </cell>
          <cell r="C56" t="str">
            <v>KG</v>
          </cell>
          <cell r="D56">
            <v>1000</v>
          </cell>
          <cell r="E56">
            <v>18.73</v>
          </cell>
        </row>
        <row r="57">
          <cell r="A57">
            <v>49</v>
          </cell>
          <cell r="B57" t="str">
            <v>鋼筋，SD420</v>
          </cell>
          <cell r="C57" t="str">
            <v>KG</v>
          </cell>
          <cell r="D57">
            <v>1000</v>
          </cell>
          <cell r="E57">
            <v>19.97</v>
          </cell>
        </row>
        <row r="58">
          <cell r="A58">
            <v>50</v>
          </cell>
          <cell r="B58" t="str">
            <v>臨時擋土樁設施，木板樁，(甲種，L=4.85m，t=9cm，W=25cm)，(單邊水平長度，含擋土支撐系統)</v>
          </cell>
          <cell r="C58" t="str">
            <v>M</v>
          </cell>
          <cell r="D58">
            <v>10</v>
          </cell>
          <cell r="E58">
            <v>1020.74</v>
          </cell>
        </row>
        <row r="59">
          <cell r="A59">
            <v>51</v>
          </cell>
          <cell r="B59" t="str">
            <v>臨時擋土樁設施，木板樁，(乙種，L=3.64m，t=8cm，W=25cm)，(單邊水平長度，含擋土支撐系統)</v>
          </cell>
          <cell r="C59" t="str">
            <v>M</v>
          </cell>
          <cell r="D59">
            <v>10</v>
          </cell>
          <cell r="E59">
            <v>797.65</v>
          </cell>
        </row>
        <row r="60">
          <cell r="A60">
            <v>52</v>
          </cell>
          <cell r="B60" t="str">
            <v>臨時擋土樁設施，木板樁，(丙種，L=2.72m，t=7cm，W=25cm)，(單邊水平長度，含擋土支撐系統)</v>
          </cell>
          <cell r="C60" t="str">
            <v>M</v>
          </cell>
          <cell r="D60">
            <v>10</v>
          </cell>
          <cell r="E60">
            <v>600.39</v>
          </cell>
        </row>
        <row r="61">
          <cell r="A61">
            <v>53</v>
          </cell>
          <cell r="B61" t="str">
            <v>場鑄水泥砂漿樁，D=300mm，210kgf/c㎡</v>
          </cell>
          <cell r="C61" t="str">
            <v>M</v>
          </cell>
          <cell r="D61">
            <v>10</v>
          </cell>
          <cell r="E61">
            <v>1029.3499999999999</v>
          </cell>
        </row>
        <row r="62">
          <cell r="A62">
            <v>54</v>
          </cell>
          <cell r="B62" t="str">
            <v>場鑄水泥砂漿樁，D=400mm，210kgf/c㎡</v>
          </cell>
          <cell r="C62" t="str">
            <v>M</v>
          </cell>
          <cell r="D62">
            <v>10</v>
          </cell>
          <cell r="E62">
            <v>1486.27</v>
          </cell>
        </row>
        <row r="63">
          <cell r="A63">
            <v>55</v>
          </cell>
          <cell r="B63" t="str">
            <v>洗石子</v>
          </cell>
          <cell r="C63" t="str">
            <v>㎡</v>
          </cell>
          <cell r="D63">
            <v>15</v>
          </cell>
          <cell r="E63">
            <v>796.94</v>
          </cell>
        </row>
        <row r="64">
          <cell r="A64">
            <v>56</v>
          </cell>
          <cell r="B64" t="str">
            <v>鋼筋混凝土管(B型)，D=600mm，三級管，未含開挖回填</v>
          </cell>
          <cell r="C64" t="str">
            <v>M</v>
          </cell>
          <cell r="D64">
            <v>20</v>
          </cell>
          <cell r="E64">
            <v>1729.44</v>
          </cell>
        </row>
        <row r="65">
          <cell r="A65">
            <v>57</v>
          </cell>
          <cell r="B65" t="str">
            <v>鋼筋混凝土管(B型)，D=800mm，三級管，未含開挖回填</v>
          </cell>
          <cell r="C65" t="str">
            <v>M</v>
          </cell>
          <cell r="D65">
            <v>20</v>
          </cell>
          <cell r="E65">
            <v>2473.3000000000002</v>
          </cell>
        </row>
        <row r="66">
          <cell r="A66">
            <v>58</v>
          </cell>
          <cell r="B66" t="str">
            <v>鋼筋混凝土管(B型)，D=1000mm，三級管，未含開挖回填</v>
          </cell>
          <cell r="C66" t="str">
            <v>M</v>
          </cell>
          <cell r="D66">
            <v>20</v>
          </cell>
          <cell r="E66">
            <v>3565.77</v>
          </cell>
        </row>
        <row r="67">
          <cell r="A67">
            <v>59</v>
          </cell>
          <cell r="B67" t="str">
            <v>鋼筋混凝土管(B型)，D=1200mm，三級管，未含開挖回填</v>
          </cell>
          <cell r="C67" t="str">
            <v>M</v>
          </cell>
          <cell r="D67">
            <v>20</v>
          </cell>
          <cell r="E67">
            <v>4749.33</v>
          </cell>
        </row>
        <row r="68">
          <cell r="A68">
            <v>60</v>
          </cell>
          <cell r="B68" t="str">
            <v>鋼筋混凝土管(B型)，D=1350mm，三級管，未含開挖回填</v>
          </cell>
          <cell r="C68" t="str">
            <v>M</v>
          </cell>
          <cell r="D68">
            <v>20</v>
          </cell>
          <cell r="E68">
            <v>5697.62</v>
          </cell>
        </row>
        <row r="69">
          <cell r="A69">
            <v>61</v>
          </cell>
          <cell r="B69" t="str">
            <v>鋼筋混凝土管(B型)，D=1500mm，三級管，未含開挖回填</v>
          </cell>
          <cell r="C69" t="str">
            <v>M</v>
          </cell>
          <cell r="D69">
            <v>10</v>
          </cell>
          <cell r="E69">
            <v>6638.74</v>
          </cell>
        </row>
        <row r="70">
          <cell r="A70">
            <v>62</v>
          </cell>
          <cell r="B70" t="str">
            <v>鋼筋混凝土管(B型)，D=1650mm，三級管，未含開挖回填</v>
          </cell>
          <cell r="C70" t="str">
            <v>M</v>
          </cell>
          <cell r="D70">
            <v>10</v>
          </cell>
          <cell r="E70">
            <v>8366.75</v>
          </cell>
        </row>
        <row r="71">
          <cell r="A71">
            <v>63</v>
          </cell>
          <cell r="B71" t="str">
            <v>鋼筋混凝土管(B型)，D=1800mm，三級管，未含開挖回填</v>
          </cell>
          <cell r="C71" t="str">
            <v>M</v>
          </cell>
          <cell r="D71">
            <v>10</v>
          </cell>
          <cell r="E71">
            <v>10347.25</v>
          </cell>
        </row>
        <row r="72">
          <cell r="A72">
            <v>64</v>
          </cell>
          <cell r="B72" t="str">
            <v>預鑄鋼筋混凝土基座(埋管用)，D=600mm管用</v>
          </cell>
          <cell r="C72" t="str">
            <v>座</v>
          </cell>
          <cell r="D72">
            <v>10</v>
          </cell>
          <cell r="E72">
            <v>779.72</v>
          </cell>
        </row>
        <row r="73">
          <cell r="A73">
            <v>65</v>
          </cell>
          <cell r="B73" t="str">
            <v>預鑄鋼筋混凝土基座(埋管用)，D=800mm管用</v>
          </cell>
          <cell r="C73" t="str">
            <v>座</v>
          </cell>
          <cell r="D73">
            <v>10</v>
          </cell>
          <cell r="E73">
            <v>893.77</v>
          </cell>
        </row>
        <row r="74">
          <cell r="A74">
            <v>66</v>
          </cell>
          <cell r="B74" t="str">
            <v>預鑄鋼筋混凝土基座(埋管用)，D=1000mm管用</v>
          </cell>
          <cell r="C74" t="str">
            <v>座</v>
          </cell>
          <cell r="D74">
            <v>10</v>
          </cell>
          <cell r="E74">
            <v>1060.19</v>
          </cell>
        </row>
        <row r="75">
          <cell r="A75">
            <v>67</v>
          </cell>
          <cell r="B75" t="str">
            <v>預鑄鋼筋混凝土基座(埋管用)，D=1200mm管用</v>
          </cell>
          <cell r="C75" t="str">
            <v>座</v>
          </cell>
          <cell r="D75">
            <v>10</v>
          </cell>
          <cell r="E75">
            <v>1093.19</v>
          </cell>
        </row>
        <row r="76">
          <cell r="A76">
            <v>68</v>
          </cell>
          <cell r="B76" t="str">
            <v>預鑄鋼筋混凝土基座(埋管用)，D=1350mm管用</v>
          </cell>
          <cell r="C76" t="str">
            <v>座</v>
          </cell>
          <cell r="D76">
            <v>10</v>
          </cell>
          <cell r="E76">
            <v>1230.19</v>
          </cell>
        </row>
        <row r="77">
          <cell r="A77">
            <v>69</v>
          </cell>
          <cell r="B77" t="str">
            <v>預鑄鋼筋混凝土基座(埋管用)，D=1500mm管用</v>
          </cell>
          <cell r="C77" t="str">
            <v>座</v>
          </cell>
          <cell r="D77">
            <v>5</v>
          </cell>
          <cell r="E77">
            <v>1418.85</v>
          </cell>
        </row>
        <row r="78">
          <cell r="A78">
            <v>70</v>
          </cell>
          <cell r="B78" t="str">
            <v>預鑄鋼筋混凝土基座(埋管用)，D=1650mm管用</v>
          </cell>
          <cell r="C78" t="str">
            <v>座</v>
          </cell>
          <cell r="D78">
            <v>5</v>
          </cell>
          <cell r="E78">
            <v>1518.55</v>
          </cell>
        </row>
        <row r="79">
          <cell r="A79">
            <v>71</v>
          </cell>
          <cell r="B79" t="str">
            <v>預鑄鋼筋混凝土基座(埋管用)，D=1800mm管用</v>
          </cell>
          <cell r="C79" t="str">
            <v>座</v>
          </cell>
          <cell r="D79">
            <v>5</v>
          </cell>
          <cell r="E79">
            <v>1610.37</v>
          </cell>
        </row>
        <row r="80">
          <cell r="A80">
            <v>72</v>
          </cell>
          <cell r="B80" t="str">
            <v>L1型預鑄溝蓋板，寬80x長90cm，高25cm</v>
          </cell>
          <cell r="C80" t="str">
            <v>塊</v>
          </cell>
          <cell r="D80">
            <v>20</v>
          </cell>
          <cell r="E80">
            <v>1037.95</v>
          </cell>
        </row>
        <row r="81">
          <cell r="A81">
            <v>73</v>
          </cell>
          <cell r="B81" t="str">
            <v>L1型預鑄溝蓋板，寬90x長90cm，高25cm</v>
          </cell>
          <cell r="C81" t="str">
            <v>塊</v>
          </cell>
          <cell r="D81">
            <v>20</v>
          </cell>
          <cell r="E81">
            <v>1086.01</v>
          </cell>
        </row>
        <row r="82">
          <cell r="A82">
            <v>74</v>
          </cell>
          <cell r="B82" t="str">
            <v>L1型預鑄溝蓋板，寬100x長90cm，高25cm</v>
          </cell>
          <cell r="C82" t="str">
            <v>塊</v>
          </cell>
          <cell r="D82">
            <v>20</v>
          </cell>
          <cell r="E82">
            <v>1189.31</v>
          </cell>
        </row>
        <row r="83">
          <cell r="A83">
            <v>75</v>
          </cell>
          <cell r="B83" t="str">
            <v>L1型預鑄溝蓋板，寬80x長90cm，高30cm</v>
          </cell>
          <cell r="C83" t="str">
            <v>塊</v>
          </cell>
          <cell r="D83">
            <v>20</v>
          </cell>
          <cell r="E83">
            <v>1134.07</v>
          </cell>
        </row>
        <row r="84">
          <cell r="A84">
            <v>76</v>
          </cell>
          <cell r="B84" t="str">
            <v>L1型預鑄溝蓋板，寬90x長90cm，高30cm</v>
          </cell>
          <cell r="C84" t="str">
            <v>塊</v>
          </cell>
          <cell r="D84">
            <v>20</v>
          </cell>
          <cell r="E84">
            <v>1182.1300000000001</v>
          </cell>
        </row>
        <row r="85">
          <cell r="A85">
            <v>77</v>
          </cell>
          <cell r="B85" t="str">
            <v>L1型預鑄溝蓋板，寬100x長90cm，高30cm</v>
          </cell>
          <cell r="C85" t="str">
            <v>塊</v>
          </cell>
          <cell r="D85">
            <v>20</v>
          </cell>
          <cell r="E85">
            <v>1237.3699999999999</v>
          </cell>
        </row>
        <row r="86">
          <cell r="A86">
            <v>78</v>
          </cell>
          <cell r="B86" t="str">
            <v>L2型預鑄溝蓋板，寬80x長90cm，高25cm</v>
          </cell>
          <cell r="C86" t="str">
            <v>塊</v>
          </cell>
          <cell r="D86">
            <v>5</v>
          </cell>
          <cell r="E86">
            <v>2670.56</v>
          </cell>
        </row>
        <row r="87">
          <cell r="A87">
            <v>79</v>
          </cell>
          <cell r="B87" t="str">
            <v>L2型預鑄溝蓋板，寬90x長90cm，高25cm</v>
          </cell>
          <cell r="C87" t="str">
            <v>塊</v>
          </cell>
          <cell r="D87">
            <v>5</v>
          </cell>
          <cell r="E87">
            <v>2962.51</v>
          </cell>
        </row>
        <row r="88">
          <cell r="A88">
            <v>80</v>
          </cell>
          <cell r="B88" t="str">
            <v>L2型預鑄溝蓋板，寬100x長90cm，高25cm</v>
          </cell>
          <cell r="C88" t="str">
            <v>塊</v>
          </cell>
          <cell r="D88">
            <v>5</v>
          </cell>
          <cell r="E88">
            <v>3328.34</v>
          </cell>
        </row>
        <row r="89">
          <cell r="A89">
            <v>81</v>
          </cell>
          <cell r="B89" t="str">
            <v>L2型預鑄溝蓋板，寬80x長90cm，高30cm</v>
          </cell>
          <cell r="C89" t="str">
            <v>塊</v>
          </cell>
          <cell r="D89">
            <v>5</v>
          </cell>
          <cell r="E89">
            <v>2715.03</v>
          </cell>
        </row>
        <row r="90">
          <cell r="A90">
            <v>82</v>
          </cell>
          <cell r="B90" t="str">
            <v>L2型預鑄溝蓋板，寬90x長90cm，高30cm</v>
          </cell>
          <cell r="C90" t="str">
            <v>塊</v>
          </cell>
          <cell r="D90">
            <v>5</v>
          </cell>
          <cell r="E90">
            <v>2996.22</v>
          </cell>
        </row>
        <row r="91">
          <cell r="A91">
            <v>83</v>
          </cell>
          <cell r="B91" t="str">
            <v>L2型預鑄溝蓋板，寬100x長90cm，高30cm</v>
          </cell>
          <cell r="C91" t="str">
            <v>塊</v>
          </cell>
          <cell r="D91">
            <v>5</v>
          </cell>
          <cell r="E91">
            <v>3350.57</v>
          </cell>
        </row>
        <row r="92">
          <cell r="A92">
            <v>84</v>
          </cell>
          <cell r="B92" t="str">
            <v>S1型預鑄溝蓋板，寬80x長50cm</v>
          </cell>
          <cell r="C92" t="str">
            <v>塊</v>
          </cell>
          <cell r="D92">
            <v>40</v>
          </cell>
          <cell r="E92">
            <v>428.24</v>
          </cell>
        </row>
        <row r="93">
          <cell r="A93">
            <v>85</v>
          </cell>
          <cell r="B93" t="str">
            <v>S1型預鑄溝蓋板，寬90x長50cm</v>
          </cell>
          <cell r="C93" t="str">
            <v>塊</v>
          </cell>
          <cell r="D93">
            <v>40</v>
          </cell>
          <cell r="E93">
            <v>476.3</v>
          </cell>
        </row>
        <row r="94">
          <cell r="A94">
            <v>86</v>
          </cell>
          <cell r="B94" t="str">
            <v>S1型預鑄溝蓋板，寬100x長50cm</v>
          </cell>
          <cell r="C94" t="str">
            <v>塊</v>
          </cell>
          <cell r="D94">
            <v>40</v>
          </cell>
          <cell r="E94">
            <v>527.94000000000005</v>
          </cell>
        </row>
        <row r="95">
          <cell r="A95">
            <v>87</v>
          </cell>
          <cell r="B95" t="str">
            <v>S2型預鑄溝蓋板，寬80x長100cm</v>
          </cell>
          <cell r="C95" t="str">
            <v>塊</v>
          </cell>
          <cell r="D95">
            <v>10</v>
          </cell>
          <cell r="E95">
            <v>2560.09</v>
          </cell>
        </row>
        <row r="96">
          <cell r="A96">
            <v>88</v>
          </cell>
          <cell r="B96" t="str">
            <v>S2型預鑄溝蓋板，寬90x長100cm</v>
          </cell>
          <cell r="C96" t="str">
            <v>塊</v>
          </cell>
          <cell r="D96">
            <v>10</v>
          </cell>
          <cell r="E96">
            <v>2870.69</v>
          </cell>
        </row>
        <row r="97">
          <cell r="A97">
            <v>89</v>
          </cell>
          <cell r="B97" t="str">
            <v>S2型預鑄溝蓋板，寬100x長100cm</v>
          </cell>
          <cell r="C97" t="str">
            <v>塊</v>
          </cell>
          <cell r="D97">
            <v>10</v>
          </cell>
          <cell r="E97">
            <v>3161.92</v>
          </cell>
        </row>
        <row r="98">
          <cell r="A98">
            <v>90</v>
          </cell>
          <cell r="B98" t="str">
            <v>S4型預鑄溝蓋板，寬90x長90cm</v>
          </cell>
          <cell r="C98" t="str">
            <v>塊</v>
          </cell>
          <cell r="D98">
            <v>10</v>
          </cell>
          <cell r="E98">
            <v>2796.81</v>
          </cell>
        </row>
        <row r="99">
          <cell r="A99">
            <v>91</v>
          </cell>
          <cell r="B99" t="str">
            <v>甲種預鑄溝蓋板，寬100x長140cm</v>
          </cell>
          <cell r="C99" t="str">
            <v>塊</v>
          </cell>
          <cell r="D99">
            <v>10</v>
          </cell>
          <cell r="E99">
            <v>3953.12</v>
          </cell>
        </row>
        <row r="100">
          <cell r="A100">
            <v>92</v>
          </cell>
          <cell r="B100" t="str">
            <v>乙種預鑄溝蓋板，寬100x長140cm</v>
          </cell>
          <cell r="C100" t="str">
            <v>塊</v>
          </cell>
          <cell r="D100">
            <v>10</v>
          </cell>
          <cell r="E100">
            <v>2401.5700000000002</v>
          </cell>
        </row>
        <row r="101">
          <cell r="A101">
            <v>93</v>
          </cell>
          <cell r="B101" t="str">
            <v>預鑄溝蓋板，透水蓋板(60×50×4.4cm)，含運費及安裝</v>
          </cell>
          <cell r="C101" t="str">
            <v>塊</v>
          </cell>
          <cell r="D101">
            <v>10</v>
          </cell>
          <cell r="E101">
            <v>3407.24</v>
          </cell>
        </row>
        <row r="102">
          <cell r="A102">
            <v>94</v>
          </cell>
          <cell r="B102" t="str">
            <v>預鑄溝蓋板，透水蓋板外框(60×50×4.4cm)，含運費及安裝</v>
          </cell>
          <cell r="C102" t="str">
            <v>塊</v>
          </cell>
          <cell r="D102">
            <v>10</v>
          </cell>
          <cell r="E102">
            <v>674.27</v>
          </cell>
        </row>
        <row r="103">
          <cell r="A103">
            <v>95</v>
          </cell>
          <cell r="B103" t="str">
            <v>預鑄溝蓋板，透水蓋板(60×60×4.4cm)，含運費及安裝</v>
          </cell>
          <cell r="C103" t="str">
            <v>塊</v>
          </cell>
          <cell r="D103">
            <v>10</v>
          </cell>
          <cell r="E103">
            <v>4016.96</v>
          </cell>
        </row>
        <row r="104">
          <cell r="A104">
            <v>96</v>
          </cell>
          <cell r="B104" t="str">
            <v>預鑄溝蓋板，透水蓋板外框(60×60×4.4cm)，含運費及安裝</v>
          </cell>
          <cell r="C104" t="str">
            <v>塊</v>
          </cell>
          <cell r="D104">
            <v>10</v>
          </cell>
          <cell r="E104">
            <v>717.31</v>
          </cell>
        </row>
        <row r="105">
          <cell r="A105">
            <v>97</v>
          </cell>
          <cell r="B105" t="str">
            <v>甲種人孔，人孔頂版</v>
          </cell>
          <cell r="C105" t="str">
            <v>塊</v>
          </cell>
          <cell r="D105">
            <v>5</v>
          </cell>
          <cell r="E105">
            <v>11548.75</v>
          </cell>
        </row>
        <row r="106">
          <cell r="A106">
            <v>98</v>
          </cell>
          <cell r="B106" t="str">
            <v>乙種人孔，人孔頂版，開口直徑900mm</v>
          </cell>
          <cell r="C106" t="str">
            <v>塊</v>
          </cell>
          <cell r="D106">
            <v>5</v>
          </cell>
          <cell r="E106">
            <v>7750.58</v>
          </cell>
        </row>
        <row r="107">
          <cell r="A107">
            <v>99</v>
          </cell>
          <cell r="B107" t="str">
            <v>乙種人孔，人孔頂版，開口直徑600mm</v>
          </cell>
          <cell r="C107" t="str">
            <v>塊</v>
          </cell>
          <cell r="D107">
            <v>5</v>
          </cell>
          <cell r="E107">
            <v>7262.8</v>
          </cell>
        </row>
        <row r="108">
          <cell r="A108">
            <v>100</v>
          </cell>
          <cell r="B108" t="str">
            <v>排水人孔，預鑄人孔蓋及蓋座，球狀石墨鑄鐵蓋</v>
          </cell>
          <cell r="C108" t="str">
            <v>組</v>
          </cell>
          <cell r="D108">
            <v>5</v>
          </cell>
          <cell r="E108">
            <v>11319.21</v>
          </cell>
        </row>
        <row r="109">
          <cell r="A109">
            <v>101</v>
          </cell>
          <cell r="B109" t="str">
            <v>排水人孔，人孔頸下部(H=300mm，D=900mm)</v>
          </cell>
          <cell r="C109" t="str">
            <v>塊</v>
          </cell>
          <cell r="D109">
            <v>5</v>
          </cell>
          <cell r="E109">
            <v>3184.16</v>
          </cell>
        </row>
        <row r="110">
          <cell r="A110">
            <v>102</v>
          </cell>
          <cell r="B110" t="str">
            <v>排水人孔，人孔頸下部(H=600mm，D=900mm)</v>
          </cell>
          <cell r="C110" t="str">
            <v>塊</v>
          </cell>
          <cell r="D110">
            <v>5</v>
          </cell>
          <cell r="E110">
            <v>5142.42</v>
          </cell>
        </row>
        <row r="111">
          <cell r="A111">
            <v>103</v>
          </cell>
          <cell r="B111" t="str">
            <v>排水人孔，人孔頸下部(H=300mm，D=600mm)</v>
          </cell>
          <cell r="C111" t="str">
            <v>塊</v>
          </cell>
          <cell r="D111">
            <v>5</v>
          </cell>
          <cell r="E111">
            <v>2593.09</v>
          </cell>
        </row>
        <row r="112">
          <cell r="A112">
            <v>104</v>
          </cell>
          <cell r="B112" t="str">
            <v>排水人孔，人孔頸端部</v>
          </cell>
          <cell r="C112" t="str">
            <v>塊</v>
          </cell>
          <cell r="D112">
            <v>5</v>
          </cell>
          <cell r="E112">
            <v>3192.05</v>
          </cell>
        </row>
        <row r="113">
          <cell r="A113">
            <v>105</v>
          </cell>
          <cell r="B113" t="str">
            <v>不銹鋼踏步，∮19mm，含安裝</v>
          </cell>
          <cell r="C113" t="str">
            <v>支</v>
          </cell>
          <cell r="D113">
            <v>10</v>
          </cell>
          <cell r="E113">
            <v>347.18</v>
          </cell>
        </row>
        <row r="114">
          <cell r="A114">
            <v>106</v>
          </cell>
          <cell r="B114" t="str">
            <v>塑膠包覆不銹鋼踏步，∮19mm</v>
          </cell>
          <cell r="C114" t="str">
            <v>支</v>
          </cell>
          <cell r="D114">
            <v>10</v>
          </cell>
          <cell r="E114">
            <v>301.27</v>
          </cell>
        </row>
        <row r="115">
          <cell r="A115">
            <v>107</v>
          </cell>
          <cell r="B115" t="str">
            <v>原有不銹鋼踏步更新，∮19mm(L=86cm)，含切割及安裝(A型)</v>
          </cell>
          <cell r="C115" t="str">
            <v>支</v>
          </cell>
          <cell r="D115">
            <v>10</v>
          </cell>
          <cell r="E115">
            <v>354.35</v>
          </cell>
        </row>
        <row r="116">
          <cell r="A116">
            <v>108</v>
          </cell>
          <cell r="B116" t="str">
            <v>原有不銹鋼踏步更新，∮19mm(L=50cm)，含切割及安裝(B型)</v>
          </cell>
          <cell r="C116" t="str">
            <v>支</v>
          </cell>
          <cell r="D116">
            <v>10</v>
          </cell>
          <cell r="E116">
            <v>365.83</v>
          </cell>
        </row>
        <row r="117">
          <cell r="A117">
            <v>109</v>
          </cell>
          <cell r="B117" t="str">
            <v>原有不銹鋼踏步更新，∮19mm(L=50cm)，含切割及安裝(C型)</v>
          </cell>
          <cell r="C117" t="str">
            <v>處</v>
          </cell>
          <cell r="D117">
            <v>10</v>
          </cell>
          <cell r="E117">
            <v>398.83</v>
          </cell>
        </row>
        <row r="118">
          <cell r="A118">
            <v>110</v>
          </cell>
          <cell r="B118" t="str">
            <v>水泥砂漿，1:3</v>
          </cell>
          <cell r="C118" t="str">
            <v>M3</v>
          </cell>
          <cell r="D118">
            <v>10</v>
          </cell>
          <cell r="E118">
            <v>1950.55</v>
          </cell>
        </row>
        <row r="119">
          <cell r="A119">
            <v>111</v>
          </cell>
          <cell r="B119" t="str">
            <v>混凝土附屬品，伸縮縫</v>
          </cell>
          <cell r="C119" t="str">
            <v>M</v>
          </cell>
          <cell r="D119">
            <v>20</v>
          </cell>
          <cell r="E119">
            <v>93.11</v>
          </cell>
        </row>
        <row r="120">
          <cell r="A120">
            <v>112</v>
          </cell>
          <cell r="B120" t="str">
            <v>人行道面層，舖面磚(高壓)，未含伸縮縫</v>
          </cell>
          <cell r="C120" t="str">
            <v>㎡</v>
          </cell>
          <cell r="D120">
            <v>25</v>
          </cell>
          <cell r="E120">
            <v>1037.24</v>
          </cell>
        </row>
        <row r="121">
          <cell r="A121">
            <v>113</v>
          </cell>
          <cell r="B121" t="str">
            <v>產品，熔接鋼線網，D=4.00mm，7.5x7.5cm</v>
          </cell>
          <cell r="C121" t="str">
            <v>㎡</v>
          </cell>
          <cell r="D121">
            <v>50</v>
          </cell>
          <cell r="E121">
            <v>64.56</v>
          </cell>
        </row>
        <row r="122">
          <cell r="A122">
            <v>114</v>
          </cell>
          <cell r="B122" t="str">
            <v>臨時擋土樁設施，鋼板樁，L=3m，(單邊水平長度，未含擋土支撐系統)</v>
          </cell>
          <cell r="C122" t="str">
            <v>M</v>
          </cell>
          <cell r="D122">
            <v>10</v>
          </cell>
          <cell r="E122">
            <v>1688.21</v>
          </cell>
        </row>
        <row r="123">
          <cell r="A123">
            <v>115</v>
          </cell>
          <cell r="B123" t="str">
            <v>臨時擋土樁設施，鋼板樁，L=4.5m，(單邊水平長度，未含擋土支撐系統)</v>
          </cell>
          <cell r="C123" t="str">
            <v>M</v>
          </cell>
          <cell r="D123">
            <v>10</v>
          </cell>
          <cell r="E123">
            <v>1876.65</v>
          </cell>
        </row>
        <row r="124">
          <cell r="A124">
            <v>116</v>
          </cell>
          <cell r="B124" t="str">
            <v>臨時擋土樁設施，鋼板樁，L=6m，(單邊水平長度，未含擋土支撐系統)</v>
          </cell>
          <cell r="C124" t="str">
            <v>M</v>
          </cell>
          <cell r="D124">
            <v>10</v>
          </cell>
          <cell r="E124">
            <v>2026.26</v>
          </cell>
        </row>
        <row r="125">
          <cell r="A125">
            <v>117</v>
          </cell>
          <cell r="B125" t="str">
            <v>臨時擋土樁設施，鋼板樁，L=9m，(單邊水平長度，未含擋土支撐系統)</v>
          </cell>
          <cell r="C125" t="str">
            <v>M</v>
          </cell>
          <cell r="D125">
            <v>10</v>
          </cell>
          <cell r="E125">
            <v>2807.56</v>
          </cell>
        </row>
        <row r="126">
          <cell r="A126">
            <v>118</v>
          </cell>
          <cell r="B126" t="str">
            <v>臨時擋土樁設施，鋼板樁，L=13m，(單邊水平長度，未含擋土支撐系統)</v>
          </cell>
          <cell r="C126" t="str">
            <v>M</v>
          </cell>
          <cell r="D126">
            <v>10</v>
          </cell>
          <cell r="E126">
            <v>3976.77</v>
          </cell>
        </row>
        <row r="127">
          <cell r="A127">
            <v>119</v>
          </cell>
          <cell r="B127" t="str">
            <v>臨時擋土支撐工法，H型鋼橫擋及支撐，未含在臨時擋土樁費用內</v>
          </cell>
          <cell r="C127" t="str">
            <v>㎡</v>
          </cell>
          <cell r="D127">
            <v>10</v>
          </cell>
          <cell r="E127">
            <v>456.93</v>
          </cell>
        </row>
        <row r="128">
          <cell r="A128">
            <v>120</v>
          </cell>
          <cell r="B128" t="str">
            <v>臨時擋土樁設施，鋼軌樁37kg/m，租用</v>
          </cell>
          <cell r="C128" t="str">
            <v>M</v>
          </cell>
          <cell r="D128">
            <v>10</v>
          </cell>
          <cell r="E128">
            <v>121.94</v>
          </cell>
        </row>
        <row r="129">
          <cell r="A129">
            <v>121</v>
          </cell>
          <cell r="B129" t="str">
            <v>臨時擋土樁設施，鋼軌樁37kg/m，買斷</v>
          </cell>
          <cell r="C129" t="str">
            <v>M</v>
          </cell>
          <cell r="D129">
            <v>10</v>
          </cell>
          <cell r="E129">
            <v>627.65</v>
          </cell>
        </row>
        <row r="130">
          <cell r="A130">
            <v>122</v>
          </cell>
          <cell r="B130" t="str">
            <v>臨時擋土樁設施，鋼軌樁50kg/m，租用</v>
          </cell>
          <cell r="C130" t="str">
            <v>M</v>
          </cell>
          <cell r="D130">
            <v>10</v>
          </cell>
          <cell r="E130">
            <v>177.18</v>
          </cell>
        </row>
        <row r="131">
          <cell r="A131">
            <v>123</v>
          </cell>
          <cell r="B131" t="str">
            <v>臨時擋土樁設施，鋼軌樁50kg/m，買斷</v>
          </cell>
          <cell r="C131" t="str">
            <v>M</v>
          </cell>
          <cell r="D131">
            <v>10</v>
          </cell>
          <cell r="E131">
            <v>860.78</v>
          </cell>
        </row>
        <row r="132">
          <cell r="A132">
            <v>124</v>
          </cell>
          <cell r="B132" t="str">
            <v>鑽 堡(∮8")</v>
          </cell>
          <cell r="C132" t="str">
            <v>M</v>
          </cell>
          <cell r="D132">
            <v>10</v>
          </cell>
          <cell r="E132">
            <v>1156.31</v>
          </cell>
        </row>
        <row r="133">
          <cell r="A133">
            <v>125</v>
          </cell>
          <cell r="B133" t="str">
            <v>金屬製品，不銹鋼膨脹螺栓(含零配件)</v>
          </cell>
          <cell r="C133" t="str">
            <v>支</v>
          </cell>
          <cell r="D133">
            <v>50</v>
          </cell>
          <cell r="E133">
            <v>50.21</v>
          </cell>
        </row>
        <row r="134">
          <cell r="A134">
            <v>126</v>
          </cell>
          <cell r="B134" t="str">
            <v>鑽孔，混凝土結構物鑽孔費，含溝蓋溝牆等</v>
          </cell>
          <cell r="C134" t="str">
            <v>孔</v>
          </cell>
          <cell r="D134">
            <v>10</v>
          </cell>
          <cell r="E134">
            <v>510.73</v>
          </cell>
        </row>
        <row r="135">
          <cell r="A135">
            <v>127</v>
          </cell>
          <cell r="B135" t="str">
            <v>基地及路堤填築</v>
          </cell>
          <cell r="C135" t="str">
            <v>C.M3</v>
          </cell>
          <cell r="D135">
            <v>30</v>
          </cell>
          <cell r="E135">
            <v>37.11</v>
          </cell>
        </row>
        <row r="136">
          <cell r="A136">
            <v>128</v>
          </cell>
          <cell r="B136" t="str">
            <v>機械拆除，預鑄溝蓋板，未含運費</v>
          </cell>
          <cell r="C136" t="str">
            <v>M</v>
          </cell>
          <cell r="D136">
            <v>100</v>
          </cell>
          <cell r="E136">
            <v>51.29</v>
          </cell>
        </row>
        <row r="137">
          <cell r="A137">
            <v>129</v>
          </cell>
          <cell r="B137" t="str">
            <v>砌排石工，1:3水泥砂漿表面勾縫</v>
          </cell>
          <cell r="C137" t="str">
            <v>㎡</v>
          </cell>
          <cell r="D137">
            <v>10</v>
          </cell>
          <cell r="E137">
            <v>186.5</v>
          </cell>
        </row>
        <row r="138">
          <cell r="A138">
            <v>130</v>
          </cell>
          <cell r="B138" t="str">
            <v>砌排石工，漿砌石，卵石，1:3水泥砂漿表面勾縫</v>
          </cell>
          <cell r="C138" t="str">
            <v>㎡</v>
          </cell>
          <cell r="D138">
            <v>10</v>
          </cell>
          <cell r="E138">
            <v>1042.26</v>
          </cell>
        </row>
        <row r="139">
          <cell r="A139">
            <v>131</v>
          </cell>
          <cell r="B139" t="str">
            <v>砌排石工，混凝土砌石，卵石，含勾縫，厚20cm</v>
          </cell>
          <cell r="C139" t="str">
            <v>㎡</v>
          </cell>
          <cell r="D139">
            <v>10</v>
          </cell>
          <cell r="E139">
            <v>687.9</v>
          </cell>
        </row>
        <row r="140">
          <cell r="A140">
            <v>132</v>
          </cell>
          <cell r="B140" t="str">
            <v>拋石，塊石，硬石</v>
          </cell>
          <cell r="C140" t="str">
            <v>C.M3</v>
          </cell>
          <cell r="D140">
            <v>10</v>
          </cell>
          <cell r="E140">
            <v>927.49</v>
          </cell>
        </row>
        <row r="141">
          <cell r="A141">
            <v>133</v>
          </cell>
          <cell r="B141" t="str">
            <v>砌紅磚，紅磚，1/2B</v>
          </cell>
          <cell r="C141" t="str">
            <v>㎡</v>
          </cell>
          <cell r="D141">
            <v>10</v>
          </cell>
          <cell r="E141">
            <v>469.41</v>
          </cell>
        </row>
        <row r="142">
          <cell r="A142">
            <v>134</v>
          </cell>
          <cell r="B142" t="str">
            <v>砌紅磚，紅磚，1B</v>
          </cell>
          <cell r="C142" t="str">
            <v>㎡</v>
          </cell>
          <cell r="D142">
            <v>10</v>
          </cell>
          <cell r="E142">
            <v>798.13</v>
          </cell>
        </row>
        <row r="143">
          <cell r="A143">
            <v>135</v>
          </cell>
          <cell r="B143" t="str">
            <v>砌紅磚，紅磚，1-1/2B</v>
          </cell>
          <cell r="C143" t="str">
            <v>㎡</v>
          </cell>
          <cell r="D143">
            <v>10</v>
          </cell>
          <cell r="E143">
            <v>1142.53</v>
          </cell>
        </row>
        <row r="144">
          <cell r="A144">
            <v>136</v>
          </cell>
          <cell r="B144" t="str">
            <v>石籠，300*150*100cm，高鍍鋅鐵線包覆PVC</v>
          </cell>
          <cell r="C144" t="str">
            <v>組</v>
          </cell>
          <cell r="D144">
            <v>5</v>
          </cell>
          <cell r="E144">
            <v>8551.82</v>
          </cell>
        </row>
        <row r="145">
          <cell r="A145">
            <v>137</v>
          </cell>
          <cell r="B145" t="str">
            <v>石籠，300*150*50cm，高鍍鋅鐵線包覆PVC</v>
          </cell>
          <cell r="C145" t="str">
            <v>組</v>
          </cell>
          <cell r="D145">
            <v>5</v>
          </cell>
          <cell r="E145">
            <v>5685.43</v>
          </cell>
        </row>
        <row r="146">
          <cell r="A146">
            <v>138</v>
          </cell>
          <cell r="B146" t="str">
            <v>石籠，300*100*100cm，高鍍鋅鐵線包覆PVC</v>
          </cell>
          <cell r="C146" t="str">
            <v>組</v>
          </cell>
          <cell r="D146">
            <v>5</v>
          </cell>
          <cell r="E146">
            <v>6458.69</v>
          </cell>
        </row>
        <row r="147">
          <cell r="A147">
            <v>139</v>
          </cell>
          <cell r="B147" t="str">
            <v>浚挖，側溝、明溝及連接管</v>
          </cell>
          <cell r="C147" t="str">
            <v>M</v>
          </cell>
          <cell r="D147">
            <v>100</v>
          </cell>
          <cell r="E147">
            <v>34.9</v>
          </cell>
        </row>
        <row r="148">
          <cell r="A148">
            <v>140</v>
          </cell>
          <cell r="B148" t="str">
            <v>浚挖，箱涵及涵管</v>
          </cell>
          <cell r="C148" t="str">
            <v>B.M3</v>
          </cell>
          <cell r="D148">
            <v>10</v>
          </cell>
          <cell r="E148">
            <v>432.21</v>
          </cell>
        </row>
        <row r="149">
          <cell r="A149">
            <v>141</v>
          </cell>
          <cell r="B149" t="str">
            <v>浚挖，河道清疏【岸邊作業】</v>
          </cell>
          <cell r="C149" t="str">
            <v>B.M3</v>
          </cell>
          <cell r="D149">
            <v>50</v>
          </cell>
          <cell r="E149">
            <v>58.4</v>
          </cell>
        </row>
        <row r="150">
          <cell r="A150">
            <v>142</v>
          </cell>
          <cell r="B150" t="str">
            <v>浚挖，水中作業</v>
          </cell>
          <cell r="C150" t="str">
            <v>B.M3</v>
          </cell>
          <cell r="D150">
            <v>10</v>
          </cell>
          <cell r="E150">
            <v>87.46</v>
          </cell>
        </row>
        <row r="151">
          <cell r="A151">
            <v>143</v>
          </cell>
          <cell r="B151" t="str">
            <v>擠壓式彈性填縫帶，(寬55mm，厚20mm)，600～1000mm鋼筋混凝土管排水用</v>
          </cell>
          <cell r="C151" t="str">
            <v>M</v>
          </cell>
          <cell r="D151">
            <v>50</v>
          </cell>
          <cell r="E151">
            <v>102.7</v>
          </cell>
        </row>
        <row r="152">
          <cell r="A152">
            <v>144</v>
          </cell>
          <cell r="B152" t="str">
            <v>擠壓式彈性填縫帶，(寬68mm，厚22mm)，1100～1650mm鋼筋混凝土管排水用</v>
          </cell>
          <cell r="C152" t="str">
            <v>M</v>
          </cell>
          <cell r="D152">
            <v>50</v>
          </cell>
          <cell r="E152">
            <v>130.22</v>
          </cell>
        </row>
        <row r="153">
          <cell r="A153">
            <v>145</v>
          </cell>
          <cell r="B153" t="str">
            <v>擠壓式彈性填縫帶，(寬80mm，厚28mm)，1800～2400mm鋼筋混凝土管排水用</v>
          </cell>
          <cell r="C153" t="str">
            <v>M</v>
          </cell>
          <cell r="D153">
            <v>50</v>
          </cell>
          <cell r="E153">
            <v>163.47</v>
          </cell>
        </row>
        <row r="154">
          <cell r="A154">
            <v>146</v>
          </cell>
          <cell r="B154" t="str">
            <v>工地處理，路口開挖，路口≦8m，夜間施工</v>
          </cell>
          <cell r="C154" t="str">
            <v>處</v>
          </cell>
          <cell r="D154">
            <v>5</v>
          </cell>
          <cell r="E154">
            <v>35425.26</v>
          </cell>
        </row>
        <row r="155">
          <cell r="A155">
            <v>147</v>
          </cell>
          <cell r="B155" t="str">
            <v>工地處理，路口開挖，路口≦8m</v>
          </cell>
          <cell r="C155" t="str">
            <v>處</v>
          </cell>
          <cell r="D155">
            <v>5</v>
          </cell>
          <cell r="E155">
            <v>26089.42</v>
          </cell>
        </row>
        <row r="156">
          <cell r="A156">
            <v>148</v>
          </cell>
          <cell r="B156" t="str">
            <v>工地處理，路口開挖，路口＞8m，夜間施工</v>
          </cell>
          <cell r="C156" t="str">
            <v>處</v>
          </cell>
          <cell r="D156">
            <v>5</v>
          </cell>
          <cell r="E156">
            <v>45943.95</v>
          </cell>
        </row>
        <row r="157">
          <cell r="A157">
            <v>149</v>
          </cell>
          <cell r="B157" t="str">
            <v>工地處理，路口開挖，路口＞8m</v>
          </cell>
          <cell r="C157" t="str">
            <v>處</v>
          </cell>
          <cell r="D157">
            <v>5</v>
          </cell>
          <cell r="E157">
            <v>33442.6</v>
          </cell>
        </row>
        <row r="158">
          <cell r="A158">
            <v>150</v>
          </cell>
          <cell r="B158" t="str">
            <v>工地處理，施工動復員，小型機具</v>
          </cell>
          <cell r="C158" t="str">
            <v>次</v>
          </cell>
          <cell r="D158">
            <v>5</v>
          </cell>
          <cell r="E158">
            <v>5200.5200000000004</v>
          </cell>
        </row>
        <row r="159">
          <cell r="A159">
            <v>151</v>
          </cell>
          <cell r="B159" t="str">
            <v>工地處理，施工動復員，大型機具</v>
          </cell>
          <cell r="C159" t="str">
            <v>次</v>
          </cell>
          <cell r="D159">
            <v>5</v>
          </cell>
          <cell r="E159">
            <v>7746.99</v>
          </cell>
        </row>
        <row r="160">
          <cell r="A160">
            <v>152</v>
          </cell>
          <cell r="B160" t="str">
            <v>AC施工機械搬運費(以通報單開立次數計算品質管制，面積2000㎡以下適用)</v>
          </cell>
          <cell r="C160" t="str">
            <v>次</v>
          </cell>
          <cell r="D160">
            <v>5</v>
          </cell>
          <cell r="E160">
            <v>7173.14</v>
          </cell>
        </row>
        <row r="161">
          <cell r="A161">
            <v>153</v>
          </cell>
          <cell r="B161" t="str">
            <v>施工障礙搬運費(車輛移置費用)</v>
          </cell>
          <cell r="C161" t="str">
            <v>次</v>
          </cell>
          <cell r="D161">
            <v>5</v>
          </cell>
          <cell r="E161">
            <v>5738.51</v>
          </cell>
        </row>
        <row r="162">
          <cell r="A162">
            <v>154</v>
          </cell>
          <cell r="B162" t="str">
            <v>試挖，地下管線，W=1m，H=1m，日間施工</v>
          </cell>
          <cell r="C162" t="str">
            <v>M</v>
          </cell>
          <cell r="D162">
            <v>2</v>
          </cell>
          <cell r="E162">
            <v>3523.43</v>
          </cell>
        </row>
        <row r="163">
          <cell r="A163">
            <v>155</v>
          </cell>
          <cell r="B163" t="str">
            <v>試挖，地下管線，W=1m，H=1m，夜間施工</v>
          </cell>
          <cell r="C163" t="str">
            <v>M</v>
          </cell>
          <cell r="D163">
            <v>2</v>
          </cell>
          <cell r="E163">
            <v>3798.16</v>
          </cell>
        </row>
        <row r="164">
          <cell r="A164">
            <v>156</v>
          </cell>
          <cell r="B164" t="str">
            <v>試挖，地下管線，W=1m，H=1.5m，日間施工</v>
          </cell>
          <cell r="C164" t="str">
            <v>M</v>
          </cell>
          <cell r="D164">
            <v>2</v>
          </cell>
          <cell r="E164">
            <v>4902.1000000000004</v>
          </cell>
        </row>
        <row r="165">
          <cell r="A165">
            <v>157</v>
          </cell>
          <cell r="B165" t="str">
            <v>試挖，地下管線，W=1m，H=1.5m，夜間施工</v>
          </cell>
          <cell r="C165" t="str">
            <v>M</v>
          </cell>
          <cell r="D165">
            <v>2</v>
          </cell>
          <cell r="E165">
            <v>5295.19</v>
          </cell>
        </row>
        <row r="166">
          <cell r="A166">
            <v>158</v>
          </cell>
          <cell r="B166" t="str">
            <v>試挖，地下管線，W=1m，H=2m，日間施工</v>
          </cell>
          <cell r="C166" t="str">
            <v>M</v>
          </cell>
          <cell r="D166">
            <v>2</v>
          </cell>
          <cell r="E166">
            <v>6108.62</v>
          </cell>
        </row>
        <row r="167">
          <cell r="A167">
            <v>159</v>
          </cell>
          <cell r="B167" t="str">
            <v>試挖，地下管線，W=1m，H=2m，夜間施工</v>
          </cell>
          <cell r="C167" t="str">
            <v>M</v>
          </cell>
          <cell r="D167">
            <v>2</v>
          </cell>
          <cell r="E167">
            <v>6620.07</v>
          </cell>
        </row>
        <row r="168">
          <cell r="A168">
            <v>160</v>
          </cell>
          <cell r="B168" t="str">
            <v>試挖，地下管線，W=1.6m，H=2.5m，日間施工</v>
          </cell>
          <cell r="C168" t="str">
            <v>M</v>
          </cell>
          <cell r="D168">
            <v>2</v>
          </cell>
          <cell r="E168">
            <v>10670.73</v>
          </cell>
        </row>
        <row r="169">
          <cell r="A169">
            <v>161</v>
          </cell>
          <cell r="B169" t="str">
            <v>試挖，地下管線，W=1.6m，H=2.5m，夜間施工</v>
          </cell>
          <cell r="C169" t="str">
            <v>M</v>
          </cell>
          <cell r="D169">
            <v>2</v>
          </cell>
          <cell r="E169">
            <v>11678.56</v>
          </cell>
        </row>
        <row r="170">
          <cell r="A170">
            <v>162</v>
          </cell>
          <cell r="B170" t="str">
            <v>試挖，地下管線，W=1.6m，H=3m，日間施工</v>
          </cell>
          <cell r="C170" t="str">
            <v>M</v>
          </cell>
          <cell r="D170">
            <v>2</v>
          </cell>
          <cell r="E170">
            <v>12324.86</v>
          </cell>
        </row>
        <row r="171">
          <cell r="A171">
            <v>163</v>
          </cell>
          <cell r="B171" t="str">
            <v>試挖，地下管線，W=1.6m，H=3m，夜間施工</v>
          </cell>
          <cell r="C171" t="str">
            <v>M</v>
          </cell>
          <cell r="D171">
            <v>2</v>
          </cell>
          <cell r="E171">
            <v>13522.05</v>
          </cell>
        </row>
        <row r="172">
          <cell r="A172">
            <v>164</v>
          </cell>
          <cell r="B172" t="str">
            <v>生產體力工</v>
          </cell>
          <cell r="C172" t="str">
            <v>時</v>
          </cell>
          <cell r="D172">
            <v>200</v>
          </cell>
          <cell r="E172">
            <v>161.4</v>
          </cell>
        </row>
        <row r="173">
          <cell r="A173">
            <v>165</v>
          </cell>
          <cell r="B173" t="str">
            <v>生產體力工，臨時指揮執勤人員費</v>
          </cell>
          <cell r="C173" t="str">
            <v>時</v>
          </cell>
          <cell r="D173">
            <v>200</v>
          </cell>
          <cell r="E173">
            <v>161.4</v>
          </cell>
        </row>
        <row r="174">
          <cell r="A174">
            <v>166</v>
          </cell>
          <cell r="B174" t="str">
            <v>指揮執勤人員，義交，日間(06-22時)</v>
          </cell>
          <cell r="C174" t="str">
            <v>時</v>
          </cell>
          <cell r="D174">
            <v>40</v>
          </cell>
          <cell r="E174">
            <v>179.33</v>
          </cell>
        </row>
        <row r="175">
          <cell r="A175">
            <v>167</v>
          </cell>
          <cell r="B175" t="str">
            <v>指揮執勤人員，義交，夜間(22-06時)</v>
          </cell>
          <cell r="C175" t="str">
            <v>時</v>
          </cell>
          <cell r="D175">
            <v>30</v>
          </cell>
          <cell r="E175">
            <v>215.19</v>
          </cell>
        </row>
        <row r="176">
          <cell r="A176">
            <v>168</v>
          </cell>
          <cell r="B176" t="str">
            <v>吊放吊物，吊車(20t以下)</v>
          </cell>
          <cell r="C176" t="str">
            <v>時</v>
          </cell>
          <cell r="D176">
            <v>50</v>
          </cell>
          <cell r="E176">
            <v>1451.84</v>
          </cell>
        </row>
        <row r="177">
          <cell r="A177">
            <v>169</v>
          </cell>
          <cell r="B177" t="str">
            <v>吊放吊物，吊車(20t以上)</v>
          </cell>
          <cell r="C177" t="str">
            <v>時</v>
          </cell>
          <cell r="D177">
            <v>30</v>
          </cell>
          <cell r="E177">
            <v>2710.01</v>
          </cell>
        </row>
        <row r="178">
          <cell r="A178">
            <v>170</v>
          </cell>
          <cell r="B178" t="str">
            <v>地下調查，排水幹支線縱走含成果報告製作</v>
          </cell>
          <cell r="C178" t="str">
            <v>M</v>
          </cell>
          <cell r="D178">
            <v>100</v>
          </cell>
          <cell r="E178">
            <v>143.46</v>
          </cell>
        </row>
        <row r="179">
          <cell r="A179">
            <v>171</v>
          </cell>
          <cell r="B179" t="str">
            <v>地下調查，積淹水調查，含成果報告製作</v>
          </cell>
          <cell r="C179" t="str">
            <v>處</v>
          </cell>
          <cell r="D179">
            <v>10</v>
          </cell>
          <cell r="E179">
            <v>3586.57</v>
          </cell>
        </row>
        <row r="180">
          <cell r="A180">
            <v>172</v>
          </cell>
          <cell r="B180" t="str">
            <v>地下調查，路面(人孔)下陷巡查，含成果報告製作</v>
          </cell>
          <cell r="C180" t="str">
            <v>次</v>
          </cell>
          <cell r="D180">
            <v>10</v>
          </cell>
          <cell r="E180">
            <v>1847.12</v>
          </cell>
        </row>
        <row r="181">
          <cell r="A181">
            <v>173</v>
          </cell>
          <cell r="B181" t="str">
            <v>機械清掃孔蓋版，混凝土製，含搬運及吊裝</v>
          </cell>
          <cell r="C181" t="str">
            <v>塊</v>
          </cell>
          <cell r="D181">
            <v>5</v>
          </cell>
          <cell r="E181">
            <v>27267.45</v>
          </cell>
        </row>
        <row r="182">
          <cell r="A182">
            <v>174</v>
          </cell>
          <cell r="B182" t="str">
            <v>機械清掃孔蓋版，橡膠支承墊，含施工</v>
          </cell>
          <cell r="C182" t="str">
            <v>處</v>
          </cell>
          <cell r="D182">
            <v>10</v>
          </cell>
          <cell r="E182">
            <v>3694.17</v>
          </cell>
        </row>
        <row r="183">
          <cell r="A183">
            <v>175</v>
          </cell>
          <cell r="B183" t="str">
            <v>產品，鋼料</v>
          </cell>
          <cell r="C183" t="str">
            <v>KG</v>
          </cell>
          <cell r="D183">
            <v>2000</v>
          </cell>
          <cell r="E183">
            <v>14.99</v>
          </cell>
        </row>
        <row r="184">
          <cell r="A184">
            <v>176</v>
          </cell>
          <cell r="B184" t="str">
            <v>鋼料，鍍鋅，加工及製造</v>
          </cell>
          <cell r="C184" t="str">
            <v>KG</v>
          </cell>
          <cell r="D184">
            <v>2000</v>
          </cell>
          <cell r="E184">
            <v>23.93</v>
          </cell>
        </row>
        <row r="185">
          <cell r="A185">
            <v>177</v>
          </cell>
          <cell r="B185" t="str">
            <v>鋼料，加工及製造</v>
          </cell>
          <cell r="C185" t="str">
            <v>KG</v>
          </cell>
          <cell r="D185">
            <v>2000</v>
          </cell>
          <cell r="E185">
            <v>14.35</v>
          </cell>
        </row>
        <row r="186">
          <cell r="A186">
            <v>178</v>
          </cell>
          <cell r="B186" t="str">
            <v>玻璃纖維管(FRP管)，D=500mm，含運費及埋設</v>
          </cell>
          <cell r="C186" t="str">
            <v>M</v>
          </cell>
          <cell r="D186">
            <v>1</v>
          </cell>
          <cell r="E186">
            <v>2860.65</v>
          </cell>
        </row>
        <row r="187">
          <cell r="A187">
            <v>179</v>
          </cell>
          <cell r="B187" t="str">
            <v>玻璃纖維管(FRP管)，D=600mm，含運費及埋設</v>
          </cell>
          <cell r="C187" t="str">
            <v>M</v>
          </cell>
          <cell r="D187">
            <v>1</v>
          </cell>
          <cell r="E187">
            <v>4168.3100000000004</v>
          </cell>
        </row>
        <row r="188">
          <cell r="A188">
            <v>180</v>
          </cell>
          <cell r="B188" t="str">
            <v>玻璃纖維管(FRP管)，D=800mm，含運費及埋設</v>
          </cell>
          <cell r="C188" t="str">
            <v>M</v>
          </cell>
          <cell r="D188">
            <v>1</v>
          </cell>
          <cell r="E188">
            <v>7247.02</v>
          </cell>
        </row>
        <row r="189">
          <cell r="A189">
            <v>181</v>
          </cell>
          <cell r="B189" t="str">
            <v>玻璃纖維管(FRP管)，D=1000mm，含運費及埋設</v>
          </cell>
          <cell r="C189" t="str">
            <v>M</v>
          </cell>
          <cell r="D189">
            <v>1</v>
          </cell>
          <cell r="E189">
            <v>10788.4</v>
          </cell>
        </row>
        <row r="190">
          <cell r="A190">
            <v>182</v>
          </cell>
          <cell r="B190" t="str">
            <v>玻璃纖維管(FRP管)，D=1200mm，含運費及埋設</v>
          </cell>
          <cell r="C190" t="str">
            <v>M</v>
          </cell>
          <cell r="D190">
            <v>1</v>
          </cell>
          <cell r="E190">
            <v>15394.99</v>
          </cell>
        </row>
        <row r="191">
          <cell r="A191">
            <v>183</v>
          </cell>
          <cell r="B191" t="str">
            <v>玻璃纖維管(FRP管)，D=1400mm，含運費及埋設</v>
          </cell>
          <cell r="C191" t="str">
            <v>M</v>
          </cell>
          <cell r="D191">
            <v>1</v>
          </cell>
          <cell r="E191">
            <v>20472.14</v>
          </cell>
        </row>
        <row r="192">
          <cell r="A192">
            <v>184</v>
          </cell>
          <cell r="B192" t="str">
            <v>玻璃纖維管(FRP管)，D=1600mm，含運費及埋設</v>
          </cell>
          <cell r="C192" t="str">
            <v>M</v>
          </cell>
          <cell r="D192">
            <v>1</v>
          </cell>
          <cell r="E192">
            <v>26553.52</v>
          </cell>
        </row>
        <row r="193">
          <cell r="A193">
            <v>185</v>
          </cell>
          <cell r="B193" t="str">
            <v>玻璃纖維管(FRP管)，D=1800mm，含運費及埋設</v>
          </cell>
          <cell r="C193" t="str">
            <v>M</v>
          </cell>
          <cell r="D193">
            <v>1</v>
          </cell>
          <cell r="E193">
            <v>33409.61</v>
          </cell>
        </row>
        <row r="194">
          <cell r="A194">
            <v>186</v>
          </cell>
          <cell r="B194" t="str">
            <v>玻璃纖維管(FRP管)套管接頭，D=500mm，含運費及埋設</v>
          </cell>
          <cell r="C194" t="str">
            <v>處</v>
          </cell>
          <cell r="D194">
            <v>1</v>
          </cell>
          <cell r="E194">
            <v>4361.2700000000004</v>
          </cell>
        </row>
        <row r="195">
          <cell r="A195">
            <v>187</v>
          </cell>
          <cell r="B195" t="str">
            <v>玻璃纖維管(FRP管)套管接頭，D=600mm，含運費及埋設</v>
          </cell>
          <cell r="C195" t="str">
            <v>處</v>
          </cell>
          <cell r="D195">
            <v>1</v>
          </cell>
          <cell r="E195">
            <v>7098.54</v>
          </cell>
        </row>
        <row r="196">
          <cell r="A196">
            <v>188</v>
          </cell>
          <cell r="B196" t="str">
            <v>玻璃纖維管(FRP管)套管接頭，D=800mm，含運費及埋設</v>
          </cell>
          <cell r="C196" t="str">
            <v>處</v>
          </cell>
          <cell r="D196">
            <v>1</v>
          </cell>
          <cell r="E196">
            <v>8263.4500000000007</v>
          </cell>
        </row>
        <row r="197">
          <cell r="A197">
            <v>189</v>
          </cell>
          <cell r="B197" t="str">
            <v>玻璃纖維管(FRP管)套管接頭，D=1000mm，含運費及埋設</v>
          </cell>
          <cell r="C197" t="str">
            <v>處</v>
          </cell>
          <cell r="D197">
            <v>1</v>
          </cell>
          <cell r="E197">
            <v>11187.94</v>
          </cell>
        </row>
        <row r="198">
          <cell r="A198">
            <v>190</v>
          </cell>
          <cell r="B198" t="str">
            <v>玻璃纖維管(FRP管)套管接頭，D=1200mm，含運費及埋設</v>
          </cell>
          <cell r="C198" t="str">
            <v>處</v>
          </cell>
          <cell r="D198">
            <v>1</v>
          </cell>
          <cell r="E198">
            <v>15726.39</v>
          </cell>
        </row>
        <row r="199">
          <cell r="A199">
            <v>191</v>
          </cell>
          <cell r="B199" t="str">
            <v>玻璃纖維管(FRP管)套管接頭，D=1400mm，含運費及埋設</v>
          </cell>
          <cell r="C199" t="str">
            <v>處</v>
          </cell>
          <cell r="D199">
            <v>1</v>
          </cell>
          <cell r="E199">
            <v>23240.97</v>
          </cell>
        </row>
        <row r="200">
          <cell r="A200">
            <v>192</v>
          </cell>
          <cell r="B200" t="str">
            <v>玻璃纖維管(FRP管)套管接頭，D=1600mm，含運費及埋設</v>
          </cell>
          <cell r="C200" t="str">
            <v>處</v>
          </cell>
          <cell r="D200">
            <v>1</v>
          </cell>
          <cell r="E200">
            <v>28405.63</v>
          </cell>
        </row>
        <row r="201">
          <cell r="A201">
            <v>193</v>
          </cell>
          <cell r="B201" t="str">
            <v>玻璃纖維管(FRP管)套管接頭，D=1800mm，含運費及埋設</v>
          </cell>
          <cell r="C201" t="str">
            <v>處</v>
          </cell>
          <cell r="D201">
            <v>1</v>
          </cell>
          <cell r="E201">
            <v>33570.29</v>
          </cell>
        </row>
        <row r="202">
          <cell r="A202">
            <v>194</v>
          </cell>
          <cell r="B202" t="str">
            <v>不銹鋼，SUS304，含加工按裝等</v>
          </cell>
          <cell r="C202" t="str">
            <v>KG</v>
          </cell>
          <cell r="D202">
            <v>50</v>
          </cell>
          <cell r="E202">
            <v>199.41</v>
          </cell>
        </row>
        <row r="203">
          <cell r="A203">
            <v>195</v>
          </cell>
          <cell r="B203" t="str">
            <v>不銹鋼，SUS316，含加工按裝等</v>
          </cell>
          <cell r="C203" t="str">
            <v>KG</v>
          </cell>
          <cell r="D203">
            <v>50</v>
          </cell>
          <cell r="E203">
            <v>228.82</v>
          </cell>
        </row>
        <row r="204">
          <cell r="A204">
            <v>196</v>
          </cell>
          <cell r="B204" t="str">
            <v>金屬格柵蓋板，鍍鋅花紋蓋板(含框座)，(溝寬40cm使用)</v>
          </cell>
          <cell r="C204" t="str">
            <v>組</v>
          </cell>
          <cell r="D204">
            <v>10</v>
          </cell>
          <cell r="E204">
            <v>1420.28</v>
          </cell>
        </row>
        <row r="205">
          <cell r="A205">
            <v>197</v>
          </cell>
          <cell r="B205" t="str">
            <v>金屬格柵蓋板，鍍鋅花紋蓋板(含框座)，(溝寬50cm使用)</v>
          </cell>
          <cell r="C205" t="str">
            <v>組</v>
          </cell>
          <cell r="D205">
            <v>10</v>
          </cell>
          <cell r="E205">
            <v>1786.11</v>
          </cell>
        </row>
        <row r="206">
          <cell r="A206">
            <v>198</v>
          </cell>
          <cell r="B206" t="str">
            <v>金屬格柵蓋板，鍍鋅格柵蓋板(含框座)，(溝寬40cm使用)</v>
          </cell>
          <cell r="C206" t="str">
            <v>組</v>
          </cell>
          <cell r="D206">
            <v>10</v>
          </cell>
          <cell r="E206">
            <v>1965.44</v>
          </cell>
        </row>
        <row r="207">
          <cell r="A207">
            <v>199</v>
          </cell>
          <cell r="B207" t="str">
            <v>金屬格柵蓋板，鍍鋅格柵蓋板(含框座)，(溝寬50cm使用)</v>
          </cell>
          <cell r="C207" t="str">
            <v>組</v>
          </cell>
          <cell r="D207">
            <v>10</v>
          </cell>
          <cell r="E207">
            <v>2482.62</v>
          </cell>
        </row>
        <row r="208">
          <cell r="A208">
            <v>200</v>
          </cell>
          <cell r="B208" t="str">
            <v>金屬格柵蓋板，鍍鋅格柵蓋板(含框座)，(溝寬60cm使用)</v>
          </cell>
          <cell r="C208" t="str">
            <v>組</v>
          </cell>
          <cell r="D208">
            <v>10</v>
          </cell>
          <cell r="E208">
            <v>2704.27</v>
          </cell>
        </row>
        <row r="209">
          <cell r="A209">
            <v>201</v>
          </cell>
          <cell r="B209" t="str">
            <v>金屬格柵蓋板，鍍鋅格柵蓋板(含框座)，止滑花紋加工(人工)</v>
          </cell>
          <cell r="C209" t="str">
            <v>KG</v>
          </cell>
          <cell r="D209">
            <v>20</v>
          </cell>
          <cell r="E209">
            <v>62.62</v>
          </cell>
        </row>
        <row r="210">
          <cell r="A210">
            <v>202</v>
          </cell>
          <cell r="B210" t="str">
            <v>舌型逆止閥，球狀石墨鑄鐵，含止傾桿，標稱直徑600mm</v>
          </cell>
          <cell r="C210" t="str">
            <v>組</v>
          </cell>
          <cell r="D210">
            <v>1</v>
          </cell>
          <cell r="E210">
            <v>52826.58</v>
          </cell>
        </row>
        <row r="211">
          <cell r="A211">
            <v>203</v>
          </cell>
          <cell r="B211" t="str">
            <v>舌型逆止閥，球狀石墨鑄鐵，含止傾桿，標稱直徑800mm</v>
          </cell>
          <cell r="C211" t="str">
            <v>組</v>
          </cell>
          <cell r="D211">
            <v>1</v>
          </cell>
          <cell r="E211">
            <v>86443.48</v>
          </cell>
        </row>
        <row r="212">
          <cell r="A212">
            <v>204</v>
          </cell>
          <cell r="B212" t="str">
            <v>舌型逆止閥，球狀石墨鑄鐵，含止傾桿，標稱直徑1000mm</v>
          </cell>
          <cell r="C212" t="str">
            <v>組</v>
          </cell>
          <cell r="D212">
            <v>1</v>
          </cell>
          <cell r="E212">
            <v>113410.9</v>
          </cell>
        </row>
        <row r="213">
          <cell r="A213">
            <v>205</v>
          </cell>
          <cell r="B213" t="str">
            <v>舌型逆止閥，球狀石墨鑄鐵，含止傾桿，標稱直徑1200mm</v>
          </cell>
          <cell r="C213" t="str">
            <v>組</v>
          </cell>
          <cell r="D213">
            <v>1</v>
          </cell>
          <cell r="E213">
            <v>153677.31</v>
          </cell>
        </row>
        <row r="214">
          <cell r="A214">
            <v>206</v>
          </cell>
          <cell r="B214" t="str">
            <v>舌型逆止閥，球狀石墨鑄鐵，含止傾桿，標稱直徑1350mm</v>
          </cell>
          <cell r="C214" t="str">
            <v>組</v>
          </cell>
          <cell r="D214">
            <v>1</v>
          </cell>
          <cell r="E214">
            <v>177319.97</v>
          </cell>
        </row>
        <row r="215">
          <cell r="A215">
            <v>207</v>
          </cell>
          <cell r="B215" t="str">
            <v>舌型逆止閥，球狀石墨鑄鐵，含止傾桿，標稱直徑1500mm</v>
          </cell>
          <cell r="C215" t="str">
            <v>組</v>
          </cell>
          <cell r="D215">
            <v>1</v>
          </cell>
          <cell r="E215">
            <v>196160.21</v>
          </cell>
        </row>
        <row r="216">
          <cell r="A216">
            <v>208</v>
          </cell>
          <cell r="B216" t="str">
            <v>混凝土修復，鋼筋銹蝕處理，水刀鑿除</v>
          </cell>
          <cell r="C216" t="str">
            <v>㎡</v>
          </cell>
          <cell r="D216">
            <v>10</v>
          </cell>
          <cell r="E216">
            <v>820.61</v>
          </cell>
        </row>
        <row r="217">
          <cell r="A217">
            <v>209</v>
          </cell>
          <cell r="B217" t="str">
            <v>混凝土修復，鋼筋銹蝕處理，人工鑿除</v>
          </cell>
          <cell r="C217" t="str">
            <v>㎡</v>
          </cell>
          <cell r="D217">
            <v>10</v>
          </cell>
          <cell r="E217">
            <v>649.16999999999996</v>
          </cell>
        </row>
        <row r="218">
          <cell r="A218">
            <v>210</v>
          </cell>
          <cell r="B218" t="str">
            <v>混凝土修復，蜂窩及剝落修補，水刀鑿除</v>
          </cell>
          <cell r="C218" t="str">
            <v>㎡</v>
          </cell>
          <cell r="D218">
            <v>10</v>
          </cell>
          <cell r="E218">
            <v>805.54</v>
          </cell>
        </row>
        <row r="219">
          <cell r="A219">
            <v>211</v>
          </cell>
          <cell r="B219" t="str">
            <v>混凝土修復，蜂窩及剝落修補，人工鑿除</v>
          </cell>
          <cell r="C219" t="str">
            <v>㎡</v>
          </cell>
          <cell r="D219">
            <v>10</v>
          </cell>
          <cell r="E219">
            <v>634.11</v>
          </cell>
        </row>
        <row r="220">
          <cell r="A220">
            <v>212</v>
          </cell>
          <cell r="B220" t="str">
            <v>混凝土修復，裂縫W＜0.3mm修補，水刀鑿除</v>
          </cell>
          <cell r="C220" t="str">
            <v>M</v>
          </cell>
          <cell r="D220">
            <v>10</v>
          </cell>
          <cell r="E220">
            <v>745.29</v>
          </cell>
        </row>
        <row r="221">
          <cell r="A221">
            <v>213</v>
          </cell>
          <cell r="B221" t="str">
            <v>混凝土修復，裂縫W＜0.3mm修補，人工鑿除</v>
          </cell>
          <cell r="C221" t="str">
            <v>M</v>
          </cell>
          <cell r="D221">
            <v>10</v>
          </cell>
          <cell r="E221">
            <v>603.98</v>
          </cell>
        </row>
        <row r="222">
          <cell r="A222">
            <v>214</v>
          </cell>
          <cell r="B222" t="str">
            <v>混凝土修復，裂縫W＞0.3mm修補，水刀鑿除</v>
          </cell>
          <cell r="C222" t="str">
            <v>M</v>
          </cell>
          <cell r="D222">
            <v>10</v>
          </cell>
          <cell r="E222">
            <v>793.35</v>
          </cell>
        </row>
        <row r="223">
          <cell r="A223">
            <v>215</v>
          </cell>
          <cell r="B223" t="str">
            <v>混凝土修復，裂縫W＞0.3mm修補，人工鑿除</v>
          </cell>
          <cell r="C223" t="str">
            <v>M</v>
          </cell>
          <cell r="D223">
            <v>10</v>
          </cell>
          <cell r="E223">
            <v>652.76</v>
          </cell>
        </row>
        <row r="224">
          <cell r="A224">
            <v>216</v>
          </cell>
          <cell r="B224" t="str">
            <v>混凝土修復，環氧樹脂，含施工</v>
          </cell>
          <cell r="C224" t="str">
            <v>KG</v>
          </cell>
          <cell r="D224">
            <v>20</v>
          </cell>
          <cell r="E224">
            <v>200.85</v>
          </cell>
        </row>
        <row r="225">
          <cell r="A225">
            <v>217</v>
          </cell>
          <cell r="B225" t="str">
            <v>混凝土修復，水性壓克力樹脂砂漿，水刀鑿除，含鋼筋除銹</v>
          </cell>
          <cell r="C225" t="str">
            <v>㎡</v>
          </cell>
          <cell r="D225">
            <v>10</v>
          </cell>
          <cell r="E225">
            <v>1708.64</v>
          </cell>
        </row>
        <row r="226">
          <cell r="A226">
            <v>218</v>
          </cell>
          <cell r="B226" t="str">
            <v>噴凝土，濕式(邊坡)，(厚度5cm，抗壓強度175kgf/c㎡)</v>
          </cell>
          <cell r="C226" t="str">
            <v>㎡</v>
          </cell>
          <cell r="D226">
            <v>10</v>
          </cell>
          <cell r="E226">
            <v>1113.27</v>
          </cell>
        </row>
        <row r="227">
          <cell r="A227">
            <v>219</v>
          </cell>
          <cell r="B227" t="str">
            <v>噴凝土，濕式(邊坡)，每次噴2～3cm施工費</v>
          </cell>
          <cell r="C227" t="str">
            <v>㎡</v>
          </cell>
          <cell r="D227">
            <v>20</v>
          </cell>
          <cell r="E227">
            <v>264.69</v>
          </cell>
        </row>
        <row r="228">
          <cell r="A228">
            <v>220</v>
          </cell>
          <cell r="B228" t="str">
            <v>噴凝土，錨筋及1：3水泥砂漿灌漿，鋼筋D13mm，鑽孔L=1M</v>
          </cell>
          <cell r="C228" t="str">
            <v>支</v>
          </cell>
          <cell r="D228">
            <v>20</v>
          </cell>
          <cell r="E228">
            <v>37.44</v>
          </cell>
        </row>
        <row r="229">
          <cell r="A229">
            <v>221</v>
          </cell>
          <cell r="B229" t="str">
            <v>圍排水，砂包堆置</v>
          </cell>
          <cell r="C229" t="str">
            <v>M3</v>
          </cell>
          <cell r="D229">
            <v>10</v>
          </cell>
          <cell r="E229">
            <v>1925.27</v>
          </cell>
        </row>
        <row r="230">
          <cell r="A230">
            <v>222</v>
          </cell>
          <cell r="B230" t="str">
            <v>開挖臨時覆蓋，鋼質覆蓋版(含支撐結構)，【3M*4M】</v>
          </cell>
          <cell r="C230" t="str">
            <v>㎡</v>
          </cell>
          <cell r="D230">
            <v>10</v>
          </cell>
          <cell r="E230">
            <v>2936.68</v>
          </cell>
        </row>
        <row r="231">
          <cell r="A231">
            <v>223</v>
          </cell>
          <cell r="B231" t="str">
            <v>開挖臨時覆蓋，鋼質覆蓋版(含支撐結構)，【6M*4M】</v>
          </cell>
          <cell r="C231" t="str">
            <v>㎡</v>
          </cell>
          <cell r="D231">
            <v>10</v>
          </cell>
          <cell r="E231">
            <v>2693.51</v>
          </cell>
        </row>
        <row r="232">
          <cell r="A232">
            <v>224</v>
          </cell>
          <cell r="B232" t="str">
            <v>開挖臨時覆蓋，管溝開挖臨時做為跨越用</v>
          </cell>
          <cell r="C232" t="str">
            <v>㎡</v>
          </cell>
          <cell r="D232">
            <v>50</v>
          </cell>
          <cell r="E232">
            <v>73.88</v>
          </cell>
        </row>
        <row r="233">
          <cell r="A233">
            <v>225</v>
          </cell>
          <cell r="B233" t="str">
            <v>開挖臨時覆蓋，鋪設鋼板臨時作為舖面用(厚度≧15mm)</v>
          </cell>
          <cell r="C233" t="str">
            <v>㎡月</v>
          </cell>
          <cell r="D233">
            <v>50</v>
          </cell>
          <cell r="E233">
            <v>180.76</v>
          </cell>
        </row>
        <row r="234">
          <cell r="A234">
            <v>226</v>
          </cell>
          <cell r="B234" t="str">
            <v>種植費，客土施放</v>
          </cell>
          <cell r="C234" t="str">
            <v>C.M3</v>
          </cell>
          <cell r="D234">
            <v>30</v>
          </cell>
          <cell r="E234">
            <v>438.5</v>
          </cell>
        </row>
        <row r="235">
          <cell r="A235">
            <v>227</v>
          </cell>
          <cell r="B235" t="str">
            <v>植草，草種噴植，混合草種，含養護</v>
          </cell>
          <cell r="C235" t="str">
            <v>㎡</v>
          </cell>
          <cell r="D235">
            <v>200</v>
          </cell>
          <cell r="E235">
            <v>30.39</v>
          </cell>
        </row>
        <row r="236">
          <cell r="A236">
            <v>228</v>
          </cell>
          <cell r="B236" t="str">
            <v>盆栽草花，盆徑=3寸盆，15cm≦株寬</v>
          </cell>
          <cell r="C236" t="str">
            <v>盆</v>
          </cell>
          <cell r="D236">
            <v>10</v>
          </cell>
          <cell r="E236">
            <v>18.54</v>
          </cell>
        </row>
        <row r="237">
          <cell r="A237">
            <v>229</v>
          </cell>
          <cell r="B237" t="str">
            <v>美國南方松，ACQ防腐處理（或同等級品），外觀級，TH=25mm</v>
          </cell>
          <cell r="C237" t="str">
            <v>才</v>
          </cell>
          <cell r="D237">
            <v>10</v>
          </cell>
          <cell r="E237">
            <v>48.78</v>
          </cell>
        </row>
        <row r="238">
          <cell r="A238">
            <v>230</v>
          </cell>
          <cell r="B238" t="str">
            <v>耐候油性漆塗佈</v>
          </cell>
          <cell r="C238" t="str">
            <v>㎡</v>
          </cell>
          <cell r="D238">
            <v>10</v>
          </cell>
          <cell r="E238">
            <v>504.27</v>
          </cell>
        </row>
        <row r="239">
          <cell r="A239">
            <v>231</v>
          </cell>
          <cell r="B239" t="str">
            <v>清除及割除，雜草雜木(含垃圾撿除)</v>
          </cell>
          <cell r="C239" t="str">
            <v>㎡</v>
          </cell>
          <cell r="D239">
            <v>200</v>
          </cell>
          <cell r="E239">
            <v>8.64</v>
          </cell>
        </row>
        <row r="240">
          <cell r="A240">
            <v>232</v>
          </cell>
          <cell r="B240" t="str">
            <v>清運，雜草雜木(含垃圾)</v>
          </cell>
          <cell r="C240" t="str">
            <v>㎡</v>
          </cell>
          <cell r="D240">
            <v>10</v>
          </cell>
          <cell r="E240">
            <v>14.88</v>
          </cell>
        </row>
        <row r="241">
          <cell r="A241">
            <v>233</v>
          </cell>
          <cell r="B241" t="str">
            <v>清除，垃圾及廢棄物（以面積計），含運費</v>
          </cell>
          <cell r="C241" t="str">
            <v>㎡</v>
          </cell>
          <cell r="D241">
            <v>30</v>
          </cell>
          <cell r="E241">
            <v>23.38</v>
          </cell>
        </row>
        <row r="242">
          <cell r="A242">
            <v>234</v>
          </cell>
          <cell r="B242" t="str">
            <v>清除，垃圾及廢棄物（以體積計），含運費</v>
          </cell>
          <cell r="C242" t="str">
            <v>M3</v>
          </cell>
          <cell r="D242">
            <v>10</v>
          </cell>
          <cell r="E242">
            <v>375.01</v>
          </cell>
        </row>
        <row r="243">
          <cell r="A243">
            <v>235</v>
          </cell>
          <cell r="B243" t="str">
            <v>房屋廢方挖除及清理，未含運費</v>
          </cell>
          <cell r="C243" t="str">
            <v>M3</v>
          </cell>
          <cell r="D243">
            <v>20</v>
          </cell>
          <cell r="E243">
            <v>85.36</v>
          </cell>
        </row>
        <row r="244">
          <cell r="A244">
            <v>236</v>
          </cell>
          <cell r="B244" t="str">
            <v>臨時設施，柴油引擎抽水機，4英吋，租金(含油料及運費)</v>
          </cell>
          <cell r="C244" t="str">
            <v>時</v>
          </cell>
          <cell r="D244">
            <v>10</v>
          </cell>
          <cell r="E244">
            <v>655.62</v>
          </cell>
        </row>
        <row r="245">
          <cell r="A245">
            <v>237</v>
          </cell>
          <cell r="B245" t="str">
            <v>臨時設施，沉水式抽水機，6英吋，租金(含油料及運費)</v>
          </cell>
          <cell r="C245" t="str">
            <v>時</v>
          </cell>
          <cell r="D245">
            <v>10</v>
          </cell>
          <cell r="E245">
            <v>899.51</v>
          </cell>
        </row>
        <row r="246">
          <cell r="A246">
            <v>238</v>
          </cell>
          <cell r="B246" t="str">
            <v>臨時設施，沉水式抽水機，4英吋，租金(含油料及運費)</v>
          </cell>
          <cell r="C246" t="str">
            <v>時</v>
          </cell>
          <cell r="D246">
            <v>10</v>
          </cell>
          <cell r="E246">
            <v>736.68</v>
          </cell>
        </row>
        <row r="247">
          <cell r="A247">
            <v>239</v>
          </cell>
          <cell r="B247" t="str">
            <v>臨時設施，發電機，60~100KW(含油料及運費)，租金</v>
          </cell>
          <cell r="C247" t="str">
            <v>時</v>
          </cell>
          <cell r="D247">
            <v>10</v>
          </cell>
          <cell r="E247">
            <v>129.12</v>
          </cell>
        </row>
        <row r="248">
          <cell r="A248">
            <v>240</v>
          </cell>
          <cell r="B248" t="str">
            <v>護欄，混凝土護欄，仿竹欄杆(含底座，不含植筋)</v>
          </cell>
          <cell r="C248" t="str">
            <v>M</v>
          </cell>
          <cell r="D248">
            <v>10</v>
          </cell>
          <cell r="E248">
            <v>1806.91</v>
          </cell>
        </row>
        <row r="249">
          <cell r="A249">
            <v>241</v>
          </cell>
          <cell r="B249" t="str">
            <v>護欄，混凝土護欄，仿松竹欄杆(含底座，不含植筋)</v>
          </cell>
          <cell r="C249" t="str">
            <v>M</v>
          </cell>
          <cell r="D249">
            <v>10</v>
          </cell>
          <cell r="E249">
            <v>2461.1</v>
          </cell>
        </row>
        <row r="250">
          <cell r="A250">
            <v>242</v>
          </cell>
          <cell r="B250" t="str">
            <v>護欄，混凝土護欄，仿松欄杆TYPE1(含底座，不含植筋)</v>
          </cell>
          <cell r="C250" t="str">
            <v>M</v>
          </cell>
          <cell r="D250">
            <v>10</v>
          </cell>
          <cell r="E250">
            <v>1806.91</v>
          </cell>
        </row>
        <row r="251">
          <cell r="A251">
            <v>243</v>
          </cell>
          <cell r="B251" t="str">
            <v>護欄，混凝土護欄，仿松欄杆TYPE2(含底座，不含植筋)</v>
          </cell>
          <cell r="C251" t="str">
            <v>M</v>
          </cell>
          <cell r="D251">
            <v>10</v>
          </cell>
          <cell r="E251">
            <v>2172.7399999999998</v>
          </cell>
        </row>
        <row r="252">
          <cell r="A252">
            <v>244</v>
          </cell>
          <cell r="B252" t="str">
            <v>護欄，混凝土護欄，油漆</v>
          </cell>
          <cell r="C252" t="str">
            <v>M</v>
          </cell>
          <cell r="D252">
            <v>30</v>
          </cell>
          <cell r="E252">
            <v>373</v>
          </cell>
        </row>
        <row r="253">
          <cell r="A253">
            <v>245</v>
          </cell>
          <cell r="B253" t="str">
            <v>施工中安全防護網，網孔10*10cm，尼龍</v>
          </cell>
          <cell r="C253" t="str">
            <v>㎡</v>
          </cell>
          <cell r="D253">
            <v>50</v>
          </cell>
          <cell r="E253">
            <v>35.869999999999997</v>
          </cell>
        </row>
        <row r="254">
          <cell r="A254">
            <v>246</v>
          </cell>
          <cell r="B254" t="str">
            <v>地工織物，土木工程用非織物，CNS第2類，舖設施工</v>
          </cell>
          <cell r="C254" t="str">
            <v>㎡</v>
          </cell>
          <cell r="D254">
            <v>15</v>
          </cell>
          <cell r="E254">
            <v>104.01</v>
          </cell>
        </row>
        <row r="255">
          <cell r="A255">
            <v>247</v>
          </cell>
          <cell r="B255" t="str">
            <v>合板，厚3mm( 一分)，邊模用(不拆模)</v>
          </cell>
          <cell r="C255" t="str">
            <v>㎡</v>
          </cell>
          <cell r="D255">
            <v>100</v>
          </cell>
          <cell r="E255">
            <v>56.67</v>
          </cell>
        </row>
        <row r="256">
          <cell r="A256">
            <v>248</v>
          </cell>
          <cell r="B256" t="str">
            <v>鋼筋，植筋，D10mm，鑽孔(含空氣槍清孔)及化學藥劑</v>
          </cell>
          <cell r="C256" t="str">
            <v>孔</v>
          </cell>
          <cell r="D256">
            <v>50</v>
          </cell>
          <cell r="E256">
            <v>28.69</v>
          </cell>
        </row>
        <row r="257">
          <cell r="A257">
            <v>249</v>
          </cell>
          <cell r="B257" t="str">
            <v>鋼筋，植筋，D13mm，鑽孔(含空氣槍清孔)及化學藥劑</v>
          </cell>
          <cell r="C257" t="str">
            <v>孔</v>
          </cell>
          <cell r="D257">
            <v>50</v>
          </cell>
          <cell r="E257">
            <v>38.020000000000003</v>
          </cell>
        </row>
        <row r="258">
          <cell r="A258">
            <v>250</v>
          </cell>
          <cell r="B258" t="str">
            <v>鋼筋，植筋，D16mm，鑽孔(含空氣槍清孔)及化學藥劑</v>
          </cell>
          <cell r="C258" t="str">
            <v>孔</v>
          </cell>
          <cell r="D258">
            <v>50</v>
          </cell>
          <cell r="E258">
            <v>68.14</v>
          </cell>
        </row>
        <row r="259">
          <cell r="A259">
            <v>251</v>
          </cell>
          <cell r="B259" t="str">
            <v>鋼筋，植筋，D19mm，鑽孔(含空氣槍清孔)及化學藥劑</v>
          </cell>
          <cell r="C259" t="str">
            <v>孔</v>
          </cell>
          <cell r="D259">
            <v>50</v>
          </cell>
          <cell r="E259">
            <v>132.69999999999999</v>
          </cell>
        </row>
        <row r="260">
          <cell r="A260">
            <v>252</v>
          </cell>
          <cell r="B260" t="str">
            <v>鋼筋，植筋，D22mm，鑽孔(含空氣槍清孔)及化學藥劑</v>
          </cell>
          <cell r="C260" t="str">
            <v>孔</v>
          </cell>
          <cell r="D260">
            <v>50</v>
          </cell>
          <cell r="E260">
            <v>211.61</v>
          </cell>
        </row>
        <row r="261">
          <cell r="A261">
            <v>253</v>
          </cell>
          <cell r="B261" t="str">
            <v>排水人孔，人孔提升調降，含更換框座，日間施工(人工)</v>
          </cell>
          <cell r="C261" t="str">
            <v>座</v>
          </cell>
          <cell r="D261">
            <v>5</v>
          </cell>
          <cell r="E261">
            <v>10616.24</v>
          </cell>
        </row>
        <row r="262">
          <cell r="A262">
            <v>254</v>
          </cell>
          <cell r="B262" t="str">
            <v>排水人孔，人孔提升調降，含更換框座，夜間施工(人工)</v>
          </cell>
          <cell r="C262" t="str">
            <v>座</v>
          </cell>
          <cell r="D262">
            <v>5</v>
          </cell>
          <cell r="E262">
            <v>10704.47</v>
          </cell>
        </row>
        <row r="263">
          <cell r="A263">
            <v>255</v>
          </cell>
          <cell r="B263" t="str">
            <v>排水人孔，人孔提升調降，含更換框座，日間施工(機械)</v>
          </cell>
          <cell r="C263" t="str">
            <v>座</v>
          </cell>
          <cell r="D263">
            <v>5</v>
          </cell>
          <cell r="E263">
            <v>10548.82</v>
          </cell>
        </row>
        <row r="264">
          <cell r="A264">
            <v>256</v>
          </cell>
          <cell r="B264" t="str">
            <v>排水人孔，人孔提升調降，含更換框座，夜間施工(機械)</v>
          </cell>
          <cell r="C264" t="str">
            <v>座</v>
          </cell>
          <cell r="D264">
            <v>5</v>
          </cell>
          <cell r="E264">
            <v>10565.31</v>
          </cell>
        </row>
        <row r="265">
          <cell r="A265">
            <v>257</v>
          </cell>
          <cell r="B265" t="str">
            <v>排水人孔，人孔提升調降，不更換框座，日間施工(人工)</v>
          </cell>
          <cell r="C265" t="str">
            <v>座</v>
          </cell>
          <cell r="D265">
            <v>5</v>
          </cell>
          <cell r="E265">
            <v>1750.96</v>
          </cell>
        </row>
        <row r="266">
          <cell r="A266">
            <v>258</v>
          </cell>
          <cell r="B266" t="str">
            <v>排水人孔，人孔提升調降，不更換框座，夜間施工(人工)</v>
          </cell>
          <cell r="C266" t="str">
            <v>座</v>
          </cell>
          <cell r="D266">
            <v>5</v>
          </cell>
          <cell r="E266">
            <v>1838.48</v>
          </cell>
        </row>
        <row r="267">
          <cell r="A267">
            <v>259</v>
          </cell>
          <cell r="B267" t="str">
            <v>排水人孔，人孔提升調降，不更換框座，日間施工(機械)</v>
          </cell>
          <cell r="C267" t="str">
            <v>座</v>
          </cell>
          <cell r="D267">
            <v>5</v>
          </cell>
          <cell r="E267">
            <v>1682.82</v>
          </cell>
        </row>
        <row r="268">
          <cell r="A268">
            <v>260</v>
          </cell>
          <cell r="B268" t="str">
            <v>排水人孔，人孔提升調降，不更換框座，夜間施工(機械)</v>
          </cell>
          <cell r="C268" t="str">
            <v>座</v>
          </cell>
          <cell r="D268">
            <v>5</v>
          </cell>
          <cell r="E268">
            <v>1699.32</v>
          </cell>
        </row>
        <row r="269">
          <cell r="A269">
            <v>261</v>
          </cell>
          <cell r="B269" t="str">
            <v>排水人孔，人孔提升調降， 打除原有混凝土框座並更新，日間施工(人工)</v>
          </cell>
          <cell r="C269" t="str">
            <v>座</v>
          </cell>
          <cell r="D269">
            <v>5</v>
          </cell>
          <cell r="E269">
            <v>11181.5</v>
          </cell>
        </row>
        <row r="270">
          <cell r="A270">
            <v>262</v>
          </cell>
          <cell r="B270" t="str">
            <v>排水人孔，人孔提升調降， 打除原有混凝土框座並更新，夜間施工(人工)</v>
          </cell>
          <cell r="C270" t="str">
            <v>座</v>
          </cell>
          <cell r="D270">
            <v>5</v>
          </cell>
          <cell r="E270">
            <v>11834.24</v>
          </cell>
        </row>
        <row r="271">
          <cell r="A271">
            <v>263</v>
          </cell>
          <cell r="B271" t="str">
            <v>排水人孔，人孔提升調降， 打除原有混凝土框座並更新，日間施工(機械)</v>
          </cell>
          <cell r="C271" t="str">
            <v>座</v>
          </cell>
          <cell r="D271">
            <v>5</v>
          </cell>
          <cell r="E271">
            <v>10678.65</v>
          </cell>
        </row>
        <row r="272">
          <cell r="A272">
            <v>264</v>
          </cell>
          <cell r="B272" t="str">
            <v>排水人孔，人孔提升調降， 打除原有混凝土框座並更新，夜間施工(機械)</v>
          </cell>
          <cell r="C272" t="str">
            <v>座</v>
          </cell>
          <cell r="D272">
            <v>5</v>
          </cell>
          <cell r="E272">
            <v>10744.64</v>
          </cell>
        </row>
        <row r="273">
          <cell r="A273">
            <v>265</v>
          </cell>
          <cell r="B273" t="str">
            <v>地下調查，人孔，金屬探測器，尋獲</v>
          </cell>
          <cell r="C273" t="str">
            <v>處</v>
          </cell>
          <cell r="D273">
            <v>50</v>
          </cell>
          <cell r="E273">
            <v>172.16</v>
          </cell>
        </row>
        <row r="274">
          <cell r="A274">
            <v>266</v>
          </cell>
          <cell r="B274" t="str">
            <v>地下調查，人孔，金屬探測器，未尋獲</v>
          </cell>
          <cell r="C274" t="str">
            <v>處</v>
          </cell>
          <cell r="D274">
            <v>50</v>
          </cell>
          <cell r="E274">
            <v>83.21</v>
          </cell>
        </row>
        <row r="275">
          <cell r="A275">
            <v>267</v>
          </cell>
          <cell r="B275" t="str">
            <v>工作船(租金)</v>
          </cell>
          <cell r="C275" t="str">
            <v>天</v>
          </cell>
          <cell r="D275">
            <v>5</v>
          </cell>
          <cell r="E275">
            <v>1434.63</v>
          </cell>
        </row>
        <row r="276">
          <cell r="A276">
            <v>268</v>
          </cell>
          <cell r="B276" t="str">
            <v>交通維持計畫書編撰</v>
          </cell>
          <cell r="C276" t="str">
            <v>次</v>
          </cell>
          <cell r="D276">
            <v>5</v>
          </cell>
          <cell r="E276">
            <v>35865.69</v>
          </cell>
        </row>
        <row r="277">
          <cell r="A277">
            <v>269</v>
          </cell>
          <cell r="B277" t="str">
            <v>標線，熱塑性塑膠，反光，厚2mm，含玻璃珠</v>
          </cell>
          <cell r="C277" t="str">
            <v>㎡</v>
          </cell>
          <cell r="D277">
            <v>200</v>
          </cell>
          <cell r="E277">
            <v>185.78</v>
          </cell>
        </row>
        <row r="278">
          <cell r="A278">
            <v>270</v>
          </cell>
          <cell r="B278" t="str">
            <v>標記，路面用，反光，強化玻璃</v>
          </cell>
          <cell r="C278" t="str">
            <v>個</v>
          </cell>
          <cell r="D278">
            <v>20</v>
          </cell>
          <cell r="E278">
            <v>177.18</v>
          </cell>
        </row>
        <row r="279">
          <cell r="A279">
            <v>271</v>
          </cell>
          <cell r="B279" t="str">
            <v>反光導標，座式</v>
          </cell>
          <cell r="C279" t="str">
            <v>個</v>
          </cell>
          <cell r="D279">
            <v>15</v>
          </cell>
          <cell r="E279">
            <v>235.28</v>
          </cell>
        </row>
        <row r="280">
          <cell r="A280">
            <v>272</v>
          </cell>
          <cell r="B280" t="str">
            <v>地坪表面樹脂加礦砂防滑舖面，金剛砂12Kg/㎡</v>
          </cell>
          <cell r="C280" t="str">
            <v>㎡</v>
          </cell>
          <cell r="D280">
            <v>20</v>
          </cell>
          <cell r="E280">
            <v>502.12</v>
          </cell>
        </row>
        <row r="281">
          <cell r="A281">
            <v>273</v>
          </cell>
          <cell r="B281" t="str">
            <v>施工測量，控制測量，平面測量，人孔設施，含成果製作</v>
          </cell>
          <cell r="C281" t="str">
            <v>處</v>
          </cell>
          <cell r="D281">
            <v>20</v>
          </cell>
          <cell r="E281">
            <v>430.39</v>
          </cell>
        </row>
        <row r="282">
          <cell r="A282">
            <v>274</v>
          </cell>
          <cell r="B282" t="str">
            <v>施工測量，控制測量，平面測量，管涵設施，含成果製作</v>
          </cell>
          <cell r="C282" t="str">
            <v>處</v>
          </cell>
          <cell r="D282">
            <v>20</v>
          </cell>
          <cell r="E282">
            <v>286.93</v>
          </cell>
        </row>
        <row r="283">
          <cell r="A283">
            <v>275</v>
          </cell>
          <cell r="B283" t="str">
            <v>施工測量，控制測量，平面測量，連接管設施，含成果製作</v>
          </cell>
          <cell r="C283" t="str">
            <v>處</v>
          </cell>
          <cell r="D283">
            <v>20</v>
          </cell>
          <cell r="E283">
            <v>286.93</v>
          </cell>
        </row>
        <row r="284">
          <cell r="A284">
            <v>276</v>
          </cell>
          <cell r="B284" t="str">
            <v>施工測量，控制測量，平面測量，機械清掃孔設施，含成果製作</v>
          </cell>
          <cell r="C284" t="str">
            <v>處</v>
          </cell>
          <cell r="D284">
            <v>20</v>
          </cell>
          <cell r="E284">
            <v>358.66</v>
          </cell>
        </row>
        <row r="285">
          <cell r="A285">
            <v>277</v>
          </cell>
          <cell r="B285" t="str">
            <v>施工測量，地形測量，平面測量，土木及水利工程</v>
          </cell>
          <cell r="C285" t="str">
            <v>㎡</v>
          </cell>
          <cell r="D285">
            <v>140</v>
          </cell>
          <cell r="E285">
            <v>9.83</v>
          </cell>
        </row>
        <row r="286">
          <cell r="A286">
            <v>278</v>
          </cell>
          <cell r="B286" t="str">
            <v>水深測量，縱橫斷面(含導線測量)，河川，測深記錄</v>
          </cell>
          <cell r="C286" t="str">
            <v>M</v>
          </cell>
          <cell r="D286">
            <v>50</v>
          </cell>
          <cell r="E286">
            <v>80.77</v>
          </cell>
        </row>
        <row r="287">
          <cell r="A287">
            <v>279</v>
          </cell>
          <cell r="B287" t="str">
            <v>施工測量，雨水下水道系統資料建置費，含成果製作</v>
          </cell>
          <cell r="C287" t="str">
            <v>次</v>
          </cell>
          <cell r="D287">
            <v>3</v>
          </cell>
          <cell r="E287">
            <v>2151.94</v>
          </cell>
        </row>
        <row r="288">
          <cell r="A288">
            <v>280</v>
          </cell>
          <cell r="B288" t="str">
            <v>聚氯乙烯塑膠管及配件，PVC管(B管厚管)，(標稱150mm，厚8.5mm)，含管配件</v>
          </cell>
          <cell r="C288" t="str">
            <v>M</v>
          </cell>
          <cell r="D288">
            <v>5</v>
          </cell>
          <cell r="E288">
            <v>315.26</v>
          </cell>
        </row>
        <row r="289">
          <cell r="A289">
            <v>281</v>
          </cell>
          <cell r="B289" t="str">
            <v>聚氯乙烯塑膠管及配件，PVC管(B管厚管)，(標稱200mm，厚10.5mm，含管配件</v>
          </cell>
          <cell r="C289" t="str">
            <v>M</v>
          </cell>
          <cell r="D289">
            <v>5</v>
          </cell>
          <cell r="E289">
            <v>477.06</v>
          </cell>
        </row>
        <row r="290">
          <cell r="A290">
            <v>282</v>
          </cell>
          <cell r="B290" t="str">
            <v>聚氯乙烯塑膠管及配件，PVC管(B管厚管)，(標稱250mm，厚13.0mm，含管配件</v>
          </cell>
          <cell r="C290" t="str">
            <v>M</v>
          </cell>
          <cell r="D290">
            <v>5</v>
          </cell>
          <cell r="E290">
            <v>549.46</v>
          </cell>
        </row>
        <row r="291">
          <cell r="A291">
            <v>283</v>
          </cell>
          <cell r="B291" t="str">
            <v>聚氯乙烯塑膠管及配件，PVC管(B管厚管)，(標稱300mm，厚15.5mm，含管配件</v>
          </cell>
          <cell r="C291" t="str">
            <v>M</v>
          </cell>
          <cell r="D291">
            <v>5</v>
          </cell>
          <cell r="E291">
            <v>872.25</v>
          </cell>
        </row>
        <row r="292">
          <cell r="A292">
            <v>284</v>
          </cell>
          <cell r="B292" t="str">
            <v>聚氯乙烯塑膠管及配件，PVC管(B管厚管)，(標稱400mm，厚20.5mm，含管配件</v>
          </cell>
          <cell r="C292" t="str">
            <v>M</v>
          </cell>
          <cell r="D292">
            <v>5</v>
          </cell>
          <cell r="E292">
            <v>1101.79</v>
          </cell>
        </row>
        <row r="293">
          <cell r="A293">
            <v>285</v>
          </cell>
          <cell r="B293" t="str">
            <v>導線管，PVC管，∮1.5”，接線及安裝</v>
          </cell>
          <cell r="C293" t="str">
            <v>M</v>
          </cell>
          <cell r="D293">
            <v>50</v>
          </cell>
          <cell r="E293">
            <v>25.11</v>
          </cell>
        </row>
        <row r="294">
          <cell r="A294">
            <v>286</v>
          </cell>
          <cell r="B294" t="str">
            <v>導線管，PVC管，∮2”，接線及安裝</v>
          </cell>
          <cell r="C294" t="str">
            <v>M</v>
          </cell>
          <cell r="D294">
            <v>50</v>
          </cell>
          <cell r="E294">
            <v>28.69</v>
          </cell>
        </row>
        <row r="295">
          <cell r="A295">
            <v>287</v>
          </cell>
          <cell r="B295" t="str">
            <v>導線管，PVC管，∮3”，接線及安裝</v>
          </cell>
          <cell r="C295" t="str">
            <v>M</v>
          </cell>
          <cell r="D295">
            <v>50</v>
          </cell>
          <cell r="E295">
            <v>32.28</v>
          </cell>
        </row>
        <row r="296">
          <cell r="A296">
            <v>288</v>
          </cell>
          <cell r="B296" t="str">
            <v>導線管，PVC管，∮4”，接線及安裝</v>
          </cell>
          <cell r="C296" t="str">
            <v>M</v>
          </cell>
          <cell r="D296">
            <v>50</v>
          </cell>
          <cell r="E296">
            <v>35.869999999999997</v>
          </cell>
        </row>
        <row r="297">
          <cell r="A297">
            <v>289</v>
          </cell>
          <cell r="B297" t="str">
            <v>導線管，PVC管，∮5”，接線及安裝</v>
          </cell>
          <cell r="C297" t="str">
            <v>M</v>
          </cell>
          <cell r="D297">
            <v>50</v>
          </cell>
          <cell r="E297">
            <v>39.450000000000003</v>
          </cell>
        </row>
        <row r="298">
          <cell r="A298">
            <v>290</v>
          </cell>
          <cell r="B298" t="str">
            <v>導線管，PVC管，∮6”，接線及安裝</v>
          </cell>
          <cell r="C298" t="str">
            <v>M</v>
          </cell>
          <cell r="D298">
            <v>50</v>
          </cell>
          <cell r="E298">
            <v>43.04</v>
          </cell>
        </row>
        <row r="299">
          <cell r="A299">
            <v>291</v>
          </cell>
        </row>
        <row r="300">
          <cell r="A300">
            <v>292</v>
          </cell>
        </row>
        <row r="301">
          <cell r="A301">
            <v>293</v>
          </cell>
        </row>
        <row r="302">
          <cell r="A302">
            <v>294</v>
          </cell>
        </row>
        <row r="303">
          <cell r="A303">
            <v>295</v>
          </cell>
        </row>
        <row r="304">
          <cell r="A304">
            <v>296</v>
          </cell>
        </row>
        <row r="305">
          <cell r="A305">
            <v>297</v>
          </cell>
        </row>
        <row r="306">
          <cell r="A306">
            <v>298</v>
          </cell>
        </row>
        <row r="307">
          <cell r="A307">
            <v>299</v>
          </cell>
        </row>
        <row r="308">
          <cell r="A308">
            <v>300</v>
          </cell>
        </row>
        <row r="309">
          <cell r="A309">
            <v>301</v>
          </cell>
        </row>
        <row r="310">
          <cell r="A310">
            <v>302</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項數量表"/>
      <sheetName val="詳細表"/>
      <sheetName val="數量表"/>
      <sheetName val="數量統計表"/>
      <sheetName val="數量計算表"/>
      <sheetName val="通報單"/>
      <sheetName val="格式"/>
      <sheetName val="詳細價目表 "/>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6">
          <cell r="A6" t="str">
            <v>項次</v>
          </cell>
          <cell r="B6" t="str">
            <v>項  目  及  說  明</v>
          </cell>
          <cell r="C6" t="str">
            <v>單位</v>
          </cell>
          <cell r="D6" t="str">
            <v>數量</v>
          </cell>
          <cell r="E6" t="str">
            <v>單  價</v>
          </cell>
        </row>
        <row r="7">
          <cell r="A7" t="str">
            <v>壹</v>
          </cell>
          <cell r="B7" t="str">
            <v>發包工程費</v>
          </cell>
          <cell r="C7" t="str">
            <v>式</v>
          </cell>
          <cell r="D7">
            <v>1</v>
          </cell>
        </row>
        <row r="8">
          <cell r="A8" t="str">
            <v>一</v>
          </cell>
          <cell r="B8" t="str">
            <v>施工費</v>
          </cell>
          <cell r="C8" t="str">
            <v>式</v>
          </cell>
          <cell r="D8">
            <v>1</v>
          </cell>
        </row>
        <row r="9">
          <cell r="A9">
            <v>1</v>
          </cell>
          <cell r="B9" t="str">
            <v>基地及路幅開挖，未含運費，(機械挖，0.7～0.79m3開挖機)</v>
          </cell>
          <cell r="C9" t="str">
            <v>B.M3</v>
          </cell>
          <cell r="D9">
            <v>400</v>
          </cell>
          <cell r="E9">
            <v>27.91</v>
          </cell>
        </row>
        <row r="10">
          <cell r="A10">
            <v>2</v>
          </cell>
          <cell r="B10" t="str">
            <v>構造物開挖，(人工挖，未含抽排水)，未含運費</v>
          </cell>
          <cell r="C10" t="str">
            <v>B.M3</v>
          </cell>
          <cell r="D10">
            <v>50</v>
          </cell>
          <cell r="E10">
            <v>372.29</v>
          </cell>
        </row>
        <row r="11">
          <cell r="A11">
            <v>3</v>
          </cell>
          <cell r="B11" t="str">
            <v>餘方自行處理(含水土保持)，總重15t傾卸貨車</v>
          </cell>
          <cell r="C11" t="str">
            <v>B.M3</v>
          </cell>
          <cell r="D11">
            <v>500</v>
          </cell>
          <cell r="E11">
            <v>502.21</v>
          </cell>
        </row>
        <row r="12">
          <cell r="A12">
            <v>4</v>
          </cell>
          <cell r="B12" t="str">
            <v>餘方自行處理(房屋廢方，含水土保持)</v>
          </cell>
          <cell r="C12" t="str">
            <v>M3</v>
          </cell>
          <cell r="D12">
            <v>100</v>
          </cell>
          <cell r="E12">
            <v>672.14</v>
          </cell>
        </row>
        <row r="13">
          <cell r="A13">
            <v>5</v>
          </cell>
          <cell r="B13" t="str">
            <v>泥漿運棄及處理</v>
          </cell>
          <cell r="C13" t="str">
            <v>M3</v>
          </cell>
          <cell r="D13">
            <v>100</v>
          </cell>
          <cell r="E13">
            <v>978.41</v>
          </cell>
        </row>
        <row r="14">
          <cell r="A14">
            <v>6</v>
          </cell>
          <cell r="B14" t="str">
            <v>利用填方，含夯實</v>
          </cell>
          <cell r="C14" t="str">
            <v>M3</v>
          </cell>
          <cell r="D14">
            <v>100</v>
          </cell>
          <cell r="E14">
            <v>61.25</v>
          </cell>
        </row>
        <row r="15">
          <cell r="A15">
            <v>7</v>
          </cell>
          <cell r="B15" t="str">
            <v>結構用混凝土，預拌，140kgf/c㎡</v>
          </cell>
          <cell r="C15" t="str">
            <v>M3</v>
          </cell>
          <cell r="D15">
            <v>50</v>
          </cell>
          <cell r="E15">
            <v>1468.3</v>
          </cell>
        </row>
        <row r="16">
          <cell r="A16">
            <v>8</v>
          </cell>
          <cell r="B16" t="str">
            <v>結構用混凝土，預拌，175kgf/c㎡</v>
          </cell>
          <cell r="C16" t="str">
            <v>M3</v>
          </cell>
          <cell r="D16">
            <v>50</v>
          </cell>
          <cell r="E16">
            <v>1525.18</v>
          </cell>
        </row>
        <row r="17">
          <cell r="A17">
            <v>9</v>
          </cell>
          <cell r="B17" t="str">
            <v>結構用混凝土，預拌，210kgf/c㎡</v>
          </cell>
          <cell r="C17" t="str">
            <v>M3</v>
          </cell>
          <cell r="D17">
            <v>50</v>
          </cell>
          <cell r="E17">
            <v>1584.29</v>
          </cell>
        </row>
        <row r="18">
          <cell r="A18">
            <v>10</v>
          </cell>
          <cell r="B18" t="str">
            <v>結構用混凝土，預拌，245kgf/c㎡</v>
          </cell>
          <cell r="C18" t="str">
            <v>M3</v>
          </cell>
          <cell r="D18">
            <v>50</v>
          </cell>
          <cell r="E18">
            <v>1687.01</v>
          </cell>
        </row>
        <row r="19">
          <cell r="A19">
            <v>11</v>
          </cell>
          <cell r="B19" t="str">
            <v>結構用混凝土，預拌，280kgf/c㎡</v>
          </cell>
          <cell r="C19" t="str">
            <v>M3</v>
          </cell>
          <cell r="D19">
            <v>50</v>
          </cell>
          <cell r="E19">
            <v>1797.42</v>
          </cell>
        </row>
        <row r="20">
          <cell r="A20">
            <v>12</v>
          </cell>
          <cell r="B20" t="str">
            <v>結構用混凝土，385kgf/c㎡，早強劑及無收縮化學摻料</v>
          </cell>
          <cell r="C20" t="str">
            <v>M3</v>
          </cell>
          <cell r="D20">
            <v>40</v>
          </cell>
          <cell r="E20">
            <v>4312.49</v>
          </cell>
        </row>
        <row r="21">
          <cell r="A21">
            <v>13</v>
          </cell>
          <cell r="B21" t="str">
            <v>結構用混凝土，CLSM(高性能低強度材料)</v>
          </cell>
          <cell r="C21" t="str">
            <v>M3</v>
          </cell>
          <cell r="D21">
            <v>50</v>
          </cell>
          <cell r="E21">
            <v>1674.21</v>
          </cell>
        </row>
        <row r="22">
          <cell r="A22">
            <v>14</v>
          </cell>
          <cell r="B22" t="str">
            <v>結構用透水混凝土，預拌，175kgf/c㎡</v>
          </cell>
          <cell r="C22" t="str">
            <v>M3</v>
          </cell>
          <cell r="D22">
            <v>20</v>
          </cell>
          <cell r="E22">
            <v>3220.74</v>
          </cell>
        </row>
        <row r="23">
          <cell r="A23">
            <v>15</v>
          </cell>
          <cell r="B23" t="str">
            <v>級配粒料底層，碎石級配</v>
          </cell>
          <cell r="C23" t="str">
            <v>C.M3</v>
          </cell>
          <cell r="D23">
            <v>100</v>
          </cell>
          <cell r="E23">
            <v>740.22</v>
          </cell>
        </row>
        <row r="24">
          <cell r="A24">
            <v>16</v>
          </cell>
          <cell r="B24" t="str">
            <v>結構用混凝土，泵送及澆注費</v>
          </cell>
          <cell r="C24" t="str">
            <v>M3</v>
          </cell>
          <cell r="D24">
            <v>200</v>
          </cell>
          <cell r="E24">
            <v>143.46</v>
          </cell>
        </row>
        <row r="25">
          <cell r="A25">
            <v>17</v>
          </cell>
          <cell r="B25" t="str">
            <v>選擇材料回填，透水材料，砂，用於構造物回填</v>
          </cell>
          <cell r="C25" t="str">
            <v>C.M3</v>
          </cell>
          <cell r="D25">
            <v>20</v>
          </cell>
          <cell r="E25">
            <v>766.46</v>
          </cell>
        </row>
        <row r="26">
          <cell r="A26">
            <v>18</v>
          </cell>
          <cell r="B26" t="str">
            <v>瀝青混凝土面層刨除，刨除料運費</v>
          </cell>
          <cell r="C26" t="str">
            <v>M3</v>
          </cell>
          <cell r="D26">
            <v>50</v>
          </cell>
          <cell r="E26">
            <v>412.72</v>
          </cell>
        </row>
        <row r="27">
          <cell r="A27">
            <v>19</v>
          </cell>
          <cell r="B27" t="str">
            <v>機械拆除，無筋混凝土，未含運費</v>
          </cell>
          <cell r="C27" t="str">
            <v>M3</v>
          </cell>
          <cell r="D27">
            <v>50</v>
          </cell>
          <cell r="E27">
            <v>443.3</v>
          </cell>
        </row>
        <row r="28">
          <cell r="A28">
            <v>20</v>
          </cell>
          <cell r="B28" t="str">
            <v>機械拆除，鋼筋混凝土，未含運費</v>
          </cell>
          <cell r="C28" t="str">
            <v>M3</v>
          </cell>
          <cell r="D28">
            <v>50</v>
          </cell>
          <cell r="E28">
            <v>690.77</v>
          </cell>
        </row>
        <row r="29">
          <cell r="A29">
            <v>21</v>
          </cell>
          <cell r="B29" t="str">
            <v>人工拆除，無筋混凝土，未含運費</v>
          </cell>
          <cell r="C29" t="str">
            <v>M3</v>
          </cell>
          <cell r="D29">
            <v>20</v>
          </cell>
          <cell r="E29">
            <v>2526.88</v>
          </cell>
        </row>
        <row r="30">
          <cell r="A30">
            <v>22</v>
          </cell>
          <cell r="B30" t="str">
            <v>人工拆除，鋼筋混凝土，未含運費</v>
          </cell>
          <cell r="C30" t="str">
            <v>M3</v>
          </cell>
          <cell r="D30">
            <v>20</v>
          </cell>
          <cell r="E30">
            <v>3258.34</v>
          </cell>
        </row>
        <row r="31">
          <cell r="A31">
            <v>23</v>
          </cell>
          <cell r="B31" t="str">
            <v>基地及路幅開挖，軟岩，含裝車未含運費，人工挖</v>
          </cell>
          <cell r="C31" t="str">
            <v>B.M3</v>
          </cell>
          <cell r="D31">
            <v>20</v>
          </cell>
          <cell r="E31">
            <v>2061.56</v>
          </cell>
        </row>
        <row r="32">
          <cell r="A32">
            <v>24</v>
          </cell>
          <cell r="B32" t="str">
            <v>基地及路幅開挖，硬岩，含裝車未含運費，人工挖</v>
          </cell>
          <cell r="C32" t="str">
            <v>B.M3</v>
          </cell>
          <cell r="D32">
            <v>20</v>
          </cell>
          <cell r="E32">
            <v>2859.21</v>
          </cell>
        </row>
        <row r="33">
          <cell r="A33">
            <v>25</v>
          </cell>
          <cell r="B33" t="str">
            <v>瀝青混凝土舖面，粗粒料9.5mm，針入度60~70，零星工程用</v>
          </cell>
          <cell r="C33" t="str">
            <v>M3</v>
          </cell>
          <cell r="D33">
            <v>50</v>
          </cell>
          <cell r="E33">
            <v>5453.43</v>
          </cell>
        </row>
        <row r="34">
          <cell r="A34">
            <v>26</v>
          </cell>
          <cell r="B34" t="str">
            <v>瀝青混凝土舖面，粗粒料19.0mm，針入度60~70，零星工程用</v>
          </cell>
          <cell r="C34" t="str">
            <v>M3</v>
          </cell>
          <cell r="D34">
            <v>50</v>
          </cell>
          <cell r="E34">
            <v>5938.84</v>
          </cell>
        </row>
        <row r="35">
          <cell r="A35">
            <v>27</v>
          </cell>
          <cell r="B35" t="str">
            <v>瀝青混凝土舖面，粗粒料9.5mm，針入度60~70</v>
          </cell>
          <cell r="C35" t="str">
            <v>M3</v>
          </cell>
          <cell r="D35">
            <v>50</v>
          </cell>
          <cell r="E35">
            <v>5119.62</v>
          </cell>
        </row>
        <row r="36">
          <cell r="A36">
            <v>28</v>
          </cell>
          <cell r="B36" t="str">
            <v>瀝青混凝土舖面，粗粒料19.0mm，針入度60~70</v>
          </cell>
          <cell r="C36" t="str">
            <v>M3</v>
          </cell>
          <cell r="D36">
            <v>50</v>
          </cell>
          <cell r="E36">
            <v>5605.02</v>
          </cell>
        </row>
        <row r="37">
          <cell r="A37">
            <v>29</v>
          </cell>
          <cell r="B37" t="str">
            <v>瀝青透層，中凝油溶瀝青，MC-70</v>
          </cell>
          <cell r="C37" t="str">
            <v>㎡</v>
          </cell>
          <cell r="D37">
            <v>200</v>
          </cell>
          <cell r="E37">
            <v>25.87</v>
          </cell>
        </row>
        <row r="38">
          <cell r="A38">
            <v>30</v>
          </cell>
          <cell r="B38" t="str">
            <v>瀝青黏層，快凝油溶瀝青，RC-70</v>
          </cell>
          <cell r="C38" t="str">
            <v>㎡</v>
          </cell>
          <cell r="D38">
            <v>200</v>
          </cell>
          <cell r="E38">
            <v>9.8000000000000007</v>
          </cell>
        </row>
        <row r="39">
          <cell r="A39">
            <v>31</v>
          </cell>
          <cell r="B39" t="str">
            <v>瀝青混凝土面層刨除，平均厚5.0cm，刨除機1.2m寬，未含運費</v>
          </cell>
          <cell r="C39" t="str">
            <v>㎡</v>
          </cell>
          <cell r="D39">
            <v>200</v>
          </cell>
          <cell r="E39">
            <v>16.920000000000002</v>
          </cell>
        </row>
        <row r="40">
          <cell r="A40">
            <v>32</v>
          </cell>
          <cell r="B40" t="str">
            <v>瀝青混凝土面層刨除，平均厚5.0cm，刨除機2.2m寬，未含運費</v>
          </cell>
          <cell r="C40" t="str">
            <v>㎡</v>
          </cell>
          <cell r="D40">
            <v>200</v>
          </cell>
          <cell r="E40">
            <v>11.16</v>
          </cell>
        </row>
        <row r="41">
          <cell r="A41">
            <v>33</v>
          </cell>
          <cell r="B41" t="str">
            <v>瀝青混凝土面層刨除，平均厚10.0cm，刨除機1.2m寬，未含運費</v>
          </cell>
          <cell r="C41" t="str">
            <v>㎡</v>
          </cell>
          <cell r="D41">
            <v>200</v>
          </cell>
          <cell r="E41">
            <v>28.94</v>
          </cell>
        </row>
        <row r="42">
          <cell r="A42">
            <v>34</v>
          </cell>
          <cell r="B42" t="str">
            <v>瀝青混凝土面層刨除，平均厚10.0cm，刨除機2.2m寬，未含運費</v>
          </cell>
          <cell r="C42" t="str">
            <v>㎡</v>
          </cell>
          <cell r="D42">
            <v>200</v>
          </cell>
          <cell r="E42">
            <v>19.37</v>
          </cell>
        </row>
        <row r="43">
          <cell r="A43">
            <v>35</v>
          </cell>
          <cell r="B43" t="str">
            <v>場鑄結構混凝土用模板，清水，(乙種，擋土牆，橋台，車行箱涵等)</v>
          </cell>
          <cell r="C43" t="str">
            <v>㎡</v>
          </cell>
          <cell r="D43">
            <v>20</v>
          </cell>
          <cell r="E43">
            <v>462.3</v>
          </cell>
        </row>
        <row r="44">
          <cell r="A44">
            <v>36</v>
          </cell>
          <cell r="B44" t="str">
            <v>場鑄結構混凝土用模板，普通，(乙種，擋土牆，橋台，車行箱涵等)</v>
          </cell>
          <cell r="C44" t="str">
            <v>㎡</v>
          </cell>
          <cell r="D44">
            <v>20</v>
          </cell>
          <cell r="E44">
            <v>375.72</v>
          </cell>
        </row>
        <row r="45">
          <cell r="A45">
            <v>37</v>
          </cell>
          <cell r="B45" t="str">
            <v>場鑄結構混凝土用模板，清水，(丙種，U型構，集水井，排水箱涵等)</v>
          </cell>
          <cell r="C45" t="str">
            <v>㎡</v>
          </cell>
          <cell r="D45">
            <v>20</v>
          </cell>
          <cell r="E45">
            <v>316.52</v>
          </cell>
        </row>
        <row r="46">
          <cell r="A46">
            <v>38</v>
          </cell>
          <cell r="B46" t="str">
            <v>場鑄結構混凝土用模板，普通，(丙種，U型構，集水井，排水箱涵等)</v>
          </cell>
          <cell r="C46" t="str">
            <v>㎡</v>
          </cell>
          <cell r="D46">
            <v>20</v>
          </cell>
          <cell r="E46">
            <v>237.84</v>
          </cell>
        </row>
        <row r="47">
          <cell r="A47">
            <v>39</v>
          </cell>
          <cell r="B47" t="str">
            <v>場鑄結構混凝土用模板，鋼模(U型溝)，H＞80cm，L=120cm，溝寬40cm</v>
          </cell>
          <cell r="C47" t="str">
            <v>㎡</v>
          </cell>
          <cell r="D47">
            <v>20</v>
          </cell>
          <cell r="E47">
            <v>226.67</v>
          </cell>
        </row>
        <row r="48">
          <cell r="A48">
            <v>40</v>
          </cell>
          <cell r="B48" t="str">
            <v>場鑄結構混凝土用模板，鋼模(U型溝)，H＞80cm，L=120cm，溝寬50cm</v>
          </cell>
          <cell r="C48" t="str">
            <v>㎡</v>
          </cell>
          <cell r="D48">
            <v>20</v>
          </cell>
          <cell r="E48">
            <v>274.01</v>
          </cell>
        </row>
        <row r="49">
          <cell r="A49">
            <v>41</v>
          </cell>
          <cell r="B49" t="str">
            <v>場鑄結構混凝土用模板，鋼模(U型溝)，H＞80cm，L=120cm，溝寬60cm</v>
          </cell>
          <cell r="C49" t="str">
            <v>㎡</v>
          </cell>
          <cell r="D49">
            <v>20</v>
          </cell>
          <cell r="E49">
            <v>317.05</v>
          </cell>
        </row>
        <row r="50">
          <cell r="A50">
            <v>42</v>
          </cell>
          <cell r="B50" t="str">
            <v>場鑄結構混凝土用模板，鋼模(U型溝)，H≦80cm，L=120cm，溝寬40cm</v>
          </cell>
          <cell r="C50" t="str">
            <v>M</v>
          </cell>
          <cell r="D50">
            <v>20</v>
          </cell>
          <cell r="E50">
            <v>373.72</v>
          </cell>
        </row>
        <row r="51">
          <cell r="A51">
            <v>43</v>
          </cell>
          <cell r="B51" t="str">
            <v>場鑄結構混凝土用模板，鋼模(U型溝)，H≦80cm，L=120cm，溝寬50cm</v>
          </cell>
          <cell r="C51" t="str">
            <v>M</v>
          </cell>
          <cell r="D51">
            <v>20</v>
          </cell>
          <cell r="E51">
            <v>454.06</v>
          </cell>
        </row>
        <row r="52">
          <cell r="A52">
            <v>44</v>
          </cell>
          <cell r="B52" t="str">
            <v>場鑄結構混凝土用模板，鋼模(U型溝)，H≦80cm，L=120cm，溝寬60cm</v>
          </cell>
          <cell r="C52" t="str">
            <v>M</v>
          </cell>
          <cell r="D52">
            <v>20</v>
          </cell>
          <cell r="E52">
            <v>527.94000000000005</v>
          </cell>
        </row>
        <row r="53">
          <cell r="A53">
            <v>45</v>
          </cell>
          <cell r="B53" t="str">
            <v>場鑄結構混凝土用模板，3mm厚鋼板(底模不拆模)</v>
          </cell>
          <cell r="C53" t="str">
            <v>㎡</v>
          </cell>
          <cell r="D53">
            <v>20</v>
          </cell>
          <cell r="E53">
            <v>430.39</v>
          </cell>
        </row>
        <row r="54">
          <cell r="A54">
            <v>46</v>
          </cell>
          <cell r="B54" t="str">
            <v>切割瀝青混凝土或無筋混凝土，5cm≦切割深度＜10cm</v>
          </cell>
          <cell r="C54" t="str">
            <v>M</v>
          </cell>
          <cell r="D54">
            <v>100</v>
          </cell>
          <cell r="E54">
            <v>44.7</v>
          </cell>
        </row>
        <row r="55">
          <cell r="A55">
            <v>47</v>
          </cell>
          <cell r="B55" t="str">
            <v>切割瀝青混凝土或無筋混凝土，10cm≦切割深度</v>
          </cell>
          <cell r="C55" t="str">
            <v>M</v>
          </cell>
          <cell r="D55">
            <v>100</v>
          </cell>
          <cell r="E55">
            <v>52.15</v>
          </cell>
        </row>
        <row r="56">
          <cell r="A56">
            <v>48</v>
          </cell>
          <cell r="B56" t="str">
            <v>鋼筋，SD280</v>
          </cell>
          <cell r="C56" t="str">
            <v>KG</v>
          </cell>
          <cell r="D56">
            <v>1000</v>
          </cell>
          <cell r="E56">
            <v>18.73</v>
          </cell>
        </row>
        <row r="57">
          <cell r="A57">
            <v>49</v>
          </cell>
          <cell r="B57" t="str">
            <v>鋼筋，SD420</v>
          </cell>
          <cell r="C57" t="str">
            <v>KG</v>
          </cell>
          <cell r="D57">
            <v>1000</v>
          </cell>
          <cell r="E57">
            <v>19.97</v>
          </cell>
        </row>
        <row r="58">
          <cell r="A58">
            <v>50</v>
          </cell>
          <cell r="B58" t="str">
            <v>臨時擋土樁設施，木板樁，(甲種，L=4.85m，t=9cm，W=25cm)，(單邊水平長度，含擋土支撐系統)</v>
          </cell>
          <cell r="C58" t="str">
            <v>M</v>
          </cell>
          <cell r="D58">
            <v>10</v>
          </cell>
          <cell r="E58">
            <v>1020.74</v>
          </cell>
        </row>
        <row r="59">
          <cell r="A59">
            <v>51</v>
          </cell>
          <cell r="B59" t="str">
            <v>臨時擋土樁設施，木板樁，(乙種，L=3.64m，t=8cm，W=25cm)，(單邊水平長度，含擋土支撐系統)</v>
          </cell>
          <cell r="C59" t="str">
            <v>M</v>
          </cell>
          <cell r="D59">
            <v>10</v>
          </cell>
          <cell r="E59">
            <v>797.65</v>
          </cell>
        </row>
        <row r="60">
          <cell r="A60">
            <v>52</v>
          </cell>
          <cell r="B60" t="str">
            <v>臨時擋土樁設施，木板樁，(丙種，L=2.72m，t=7cm，W=25cm)，(單邊水平長度，含擋土支撐系統)</v>
          </cell>
          <cell r="C60" t="str">
            <v>M</v>
          </cell>
          <cell r="D60">
            <v>10</v>
          </cell>
          <cell r="E60">
            <v>600.39</v>
          </cell>
        </row>
        <row r="61">
          <cell r="A61">
            <v>53</v>
          </cell>
          <cell r="B61" t="str">
            <v>場鑄水泥砂漿樁，D=300mm，210kgf/c㎡</v>
          </cell>
          <cell r="C61" t="str">
            <v>M</v>
          </cell>
          <cell r="D61">
            <v>10</v>
          </cell>
          <cell r="E61">
            <v>1029.3499999999999</v>
          </cell>
        </row>
        <row r="62">
          <cell r="A62">
            <v>54</v>
          </cell>
          <cell r="B62" t="str">
            <v>場鑄水泥砂漿樁，D=400mm，210kgf/c㎡</v>
          </cell>
          <cell r="C62" t="str">
            <v>M</v>
          </cell>
          <cell r="D62">
            <v>10</v>
          </cell>
          <cell r="E62">
            <v>1486.27</v>
          </cell>
        </row>
        <row r="63">
          <cell r="A63">
            <v>55</v>
          </cell>
          <cell r="B63" t="str">
            <v>洗石子</v>
          </cell>
          <cell r="C63" t="str">
            <v>㎡</v>
          </cell>
          <cell r="D63">
            <v>15</v>
          </cell>
          <cell r="E63">
            <v>796.94</v>
          </cell>
        </row>
        <row r="64">
          <cell r="A64">
            <v>56</v>
          </cell>
          <cell r="B64" t="str">
            <v>鋼筋混凝土管(B型)，D=600mm，三級管，未含開挖回填</v>
          </cell>
          <cell r="C64" t="str">
            <v>M</v>
          </cell>
          <cell r="D64">
            <v>20</v>
          </cell>
          <cell r="E64">
            <v>1729.44</v>
          </cell>
        </row>
        <row r="65">
          <cell r="A65">
            <v>57</v>
          </cell>
          <cell r="B65" t="str">
            <v>鋼筋混凝土管(B型)，D=800mm，三級管，未含開挖回填</v>
          </cell>
          <cell r="C65" t="str">
            <v>M</v>
          </cell>
          <cell r="D65">
            <v>20</v>
          </cell>
          <cell r="E65">
            <v>2473.3000000000002</v>
          </cell>
        </row>
        <row r="66">
          <cell r="A66">
            <v>58</v>
          </cell>
          <cell r="B66" t="str">
            <v>鋼筋混凝土管(B型)，D=1000mm，三級管，未含開挖回填</v>
          </cell>
          <cell r="C66" t="str">
            <v>M</v>
          </cell>
          <cell r="D66">
            <v>20</v>
          </cell>
          <cell r="E66">
            <v>3565.77</v>
          </cell>
        </row>
        <row r="67">
          <cell r="A67">
            <v>59</v>
          </cell>
          <cell r="B67" t="str">
            <v>鋼筋混凝土管(B型)，D=1200mm，三級管，未含開挖回填</v>
          </cell>
          <cell r="C67" t="str">
            <v>M</v>
          </cell>
          <cell r="D67">
            <v>20</v>
          </cell>
          <cell r="E67">
            <v>4749.33</v>
          </cell>
        </row>
        <row r="68">
          <cell r="A68">
            <v>60</v>
          </cell>
          <cell r="B68" t="str">
            <v>鋼筋混凝土管(B型)，D=1350mm，三級管，未含開挖回填</v>
          </cell>
          <cell r="C68" t="str">
            <v>M</v>
          </cell>
          <cell r="D68">
            <v>20</v>
          </cell>
          <cell r="E68">
            <v>5697.62</v>
          </cell>
        </row>
        <row r="69">
          <cell r="A69">
            <v>61</v>
          </cell>
          <cell r="B69" t="str">
            <v>鋼筋混凝土管(B型)，D=1500mm，三級管，未含開挖回填</v>
          </cell>
          <cell r="C69" t="str">
            <v>M</v>
          </cell>
          <cell r="D69">
            <v>10</v>
          </cell>
          <cell r="E69">
            <v>6638.74</v>
          </cell>
        </row>
        <row r="70">
          <cell r="A70">
            <v>62</v>
          </cell>
          <cell r="B70" t="str">
            <v>鋼筋混凝土管(B型)，D=1650mm，三級管，未含開挖回填</v>
          </cell>
          <cell r="C70" t="str">
            <v>M</v>
          </cell>
          <cell r="D70">
            <v>10</v>
          </cell>
          <cell r="E70">
            <v>8366.75</v>
          </cell>
        </row>
        <row r="71">
          <cell r="A71">
            <v>63</v>
          </cell>
          <cell r="B71" t="str">
            <v>鋼筋混凝土管(B型)，D=1800mm，三級管，未含開挖回填</v>
          </cell>
          <cell r="C71" t="str">
            <v>M</v>
          </cell>
          <cell r="D71">
            <v>10</v>
          </cell>
          <cell r="E71">
            <v>10347.25</v>
          </cell>
        </row>
        <row r="72">
          <cell r="A72">
            <v>64</v>
          </cell>
          <cell r="B72" t="str">
            <v>預鑄鋼筋混凝土基座(埋管用)，D=600mm管用</v>
          </cell>
          <cell r="C72" t="str">
            <v>座</v>
          </cell>
          <cell r="D72">
            <v>10</v>
          </cell>
          <cell r="E72">
            <v>779.72</v>
          </cell>
        </row>
        <row r="73">
          <cell r="A73">
            <v>65</v>
          </cell>
          <cell r="B73" t="str">
            <v>預鑄鋼筋混凝土基座(埋管用)，D=800mm管用</v>
          </cell>
          <cell r="C73" t="str">
            <v>座</v>
          </cell>
          <cell r="D73">
            <v>10</v>
          </cell>
          <cell r="E73">
            <v>893.77</v>
          </cell>
        </row>
        <row r="74">
          <cell r="A74">
            <v>66</v>
          </cell>
          <cell r="B74" t="str">
            <v>預鑄鋼筋混凝土基座(埋管用)，D=1000mm管用</v>
          </cell>
          <cell r="C74" t="str">
            <v>座</v>
          </cell>
          <cell r="D74">
            <v>10</v>
          </cell>
          <cell r="E74">
            <v>1060.19</v>
          </cell>
        </row>
        <row r="75">
          <cell r="A75">
            <v>67</v>
          </cell>
          <cell r="B75" t="str">
            <v>預鑄鋼筋混凝土基座(埋管用)，D=1200mm管用</v>
          </cell>
          <cell r="C75" t="str">
            <v>座</v>
          </cell>
          <cell r="D75">
            <v>10</v>
          </cell>
          <cell r="E75">
            <v>1093.19</v>
          </cell>
        </row>
        <row r="76">
          <cell r="A76">
            <v>68</v>
          </cell>
          <cell r="B76" t="str">
            <v>預鑄鋼筋混凝土基座(埋管用)，D=1350mm管用</v>
          </cell>
          <cell r="C76" t="str">
            <v>座</v>
          </cell>
          <cell r="D76">
            <v>10</v>
          </cell>
          <cell r="E76">
            <v>1230.19</v>
          </cell>
        </row>
        <row r="77">
          <cell r="A77">
            <v>69</v>
          </cell>
          <cell r="B77" t="str">
            <v>預鑄鋼筋混凝土基座(埋管用)，D=1500mm管用</v>
          </cell>
          <cell r="C77" t="str">
            <v>座</v>
          </cell>
          <cell r="D77">
            <v>5</v>
          </cell>
          <cell r="E77">
            <v>1418.85</v>
          </cell>
        </row>
        <row r="78">
          <cell r="A78">
            <v>70</v>
          </cell>
          <cell r="B78" t="str">
            <v>預鑄鋼筋混凝土基座(埋管用)，D=1650mm管用</v>
          </cell>
          <cell r="C78" t="str">
            <v>座</v>
          </cell>
          <cell r="D78">
            <v>5</v>
          </cell>
          <cell r="E78">
            <v>1518.55</v>
          </cell>
        </row>
        <row r="79">
          <cell r="A79">
            <v>71</v>
          </cell>
          <cell r="B79" t="str">
            <v>預鑄鋼筋混凝土基座(埋管用)，D=1800mm管用</v>
          </cell>
          <cell r="C79" t="str">
            <v>座</v>
          </cell>
          <cell r="D79">
            <v>5</v>
          </cell>
          <cell r="E79">
            <v>1610.37</v>
          </cell>
        </row>
        <row r="80">
          <cell r="A80">
            <v>72</v>
          </cell>
          <cell r="B80" t="str">
            <v>L1型預鑄溝蓋板，寬80x長90cm，高25cm</v>
          </cell>
          <cell r="C80" t="str">
            <v>塊</v>
          </cell>
          <cell r="D80">
            <v>20</v>
          </cell>
          <cell r="E80">
            <v>1037.95</v>
          </cell>
        </row>
        <row r="81">
          <cell r="A81">
            <v>73</v>
          </cell>
          <cell r="B81" t="str">
            <v>L1型預鑄溝蓋板，寬90x長90cm，高25cm</v>
          </cell>
          <cell r="C81" t="str">
            <v>塊</v>
          </cell>
          <cell r="D81">
            <v>20</v>
          </cell>
          <cell r="E81">
            <v>1086.01</v>
          </cell>
        </row>
        <row r="82">
          <cell r="A82">
            <v>74</v>
          </cell>
          <cell r="B82" t="str">
            <v>L1型預鑄溝蓋板，寬100x長90cm，高25cm</v>
          </cell>
          <cell r="C82" t="str">
            <v>塊</v>
          </cell>
          <cell r="D82">
            <v>20</v>
          </cell>
          <cell r="E82">
            <v>1189.31</v>
          </cell>
        </row>
        <row r="83">
          <cell r="A83">
            <v>75</v>
          </cell>
          <cell r="B83" t="str">
            <v>L1型預鑄溝蓋板，寬80x長90cm，高30cm</v>
          </cell>
          <cell r="C83" t="str">
            <v>塊</v>
          </cell>
          <cell r="D83">
            <v>20</v>
          </cell>
          <cell r="E83">
            <v>1134.07</v>
          </cell>
        </row>
        <row r="84">
          <cell r="A84">
            <v>76</v>
          </cell>
          <cell r="B84" t="str">
            <v>L1型預鑄溝蓋板，寬90x長90cm，高30cm</v>
          </cell>
          <cell r="C84" t="str">
            <v>塊</v>
          </cell>
          <cell r="D84">
            <v>20</v>
          </cell>
          <cell r="E84">
            <v>1182.1300000000001</v>
          </cell>
        </row>
        <row r="85">
          <cell r="A85">
            <v>77</v>
          </cell>
          <cell r="B85" t="str">
            <v>L1型預鑄溝蓋板，寬100x長90cm，高30cm</v>
          </cell>
          <cell r="C85" t="str">
            <v>塊</v>
          </cell>
          <cell r="D85">
            <v>20</v>
          </cell>
          <cell r="E85">
            <v>1237.3699999999999</v>
          </cell>
        </row>
        <row r="86">
          <cell r="A86">
            <v>78</v>
          </cell>
          <cell r="B86" t="str">
            <v>L2型預鑄溝蓋板，寬80x長90cm，高25cm</v>
          </cell>
          <cell r="C86" t="str">
            <v>塊</v>
          </cell>
          <cell r="D86">
            <v>5</v>
          </cell>
          <cell r="E86">
            <v>2670.56</v>
          </cell>
        </row>
        <row r="87">
          <cell r="A87">
            <v>79</v>
          </cell>
          <cell r="B87" t="str">
            <v>L2型預鑄溝蓋板，寬90x長90cm，高25cm</v>
          </cell>
          <cell r="C87" t="str">
            <v>塊</v>
          </cell>
          <cell r="D87">
            <v>5</v>
          </cell>
          <cell r="E87">
            <v>2962.51</v>
          </cell>
        </row>
        <row r="88">
          <cell r="A88">
            <v>80</v>
          </cell>
          <cell r="B88" t="str">
            <v>L2型預鑄溝蓋板，寬100x長90cm，高25cm</v>
          </cell>
          <cell r="C88" t="str">
            <v>塊</v>
          </cell>
          <cell r="D88">
            <v>5</v>
          </cell>
          <cell r="E88">
            <v>3328.34</v>
          </cell>
        </row>
        <row r="89">
          <cell r="A89">
            <v>81</v>
          </cell>
          <cell r="B89" t="str">
            <v>L2型預鑄溝蓋板，寬80x長90cm，高30cm</v>
          </cell>
          <cell r="C89" t="str">
            <v>塊</v>
          </cell>
          <cell r="D89">
            <v>5</v>
          </cell>
          <cell r="E89">
            <v>2715.03</v>
          </cell>
        </row>
        <row r="90">
          <cell r="A90">
            <v>82</v>
          </cell>
          <cell r="B90" t="str">
            <v>L2型預鑄溝蓋板，寬90x長90cm，高30cm</v>
          </cell>
          <cell r="C90" t="str">
            <v>塊</v>
          </cell>
          <cell r="D90">
            <v>5</v>
          </cell>
          <cell r="E90">
            <v>2996.22</v>
          </cell>
        </row>
        <row r="91">
          <cell r="A91">
            <v>83</v>
          </cell>
          <cell r="B91" t="str">
            <v>L2型預鑄溝蓋板，寬100x長90cm，高30cm</v>
          </cell>
          <cell r="C91" t="str">
            <v>塊</v>
          </cell>
          <cell r="D91">
            <v>5</v>
          </cell>
          <cell r="E91">
            <v>3350.57</v>
          </cell>
        </row>
        <row r="92">
          <cell r="A92">
            <v>84</v>
          </cell>
          <cell r="B92" t="str">
            <v>S1型預鑄溝蓋板，寬80x長50cm</v>
          </cell>
          <cell r="C92" t="str">
            <v>塊</v>
          </cell>
          <cell r="D92">
            <v>40</v>
          </cell>
          <cell r="E92">
            <v>428.24</v>
          </cell>
        </row>
        <row r="93">
          <cell r="A93">
            <v>85</v>
          </cell>
          <cell r="B93" t="str">
            <v>S1型預鑄溝蓋板，寬90x長50cm</v>
          </cell>
          <cell r="C93" t="str">
            <v>塊</v>
          </cell>
          <cell r="D93">
            <v>40</v>
          </cell>
          <cell r="E93">
            <v>476.3</v>
          </cell>
        </row>
        <row r="94">
          <cell r="A94">
            <v>86</v>
          </cell>
          <cell r="B94" t="str">
            <v>S1型預鑄溝蓋板，寬100x長50cm</v>
          </cell>
          <cell r="C94" t="str">
            <v>塊</v>
          </cell>
          <cell r="D94">
            <v>40</v>
          </cell>
          <cell r="E94">
            <v>527.94000000000005</v>
          </cell>
        </row>
        <row r="95">
          <cell r="A95">
            <v>87</v>
          </cell>
          <cell r="B95" t="str">
            <v>S2型預鑄溝蓋板，寬80x長100cm</v>
          </cell>
          <cell r="C95" t="str">
            <v>塊</v>
          </cell>
          <cell r="D95">
            <v>10</v>
          </cell>
          <cell r="E95">
            <v>2560.09</v>
          </cell>
        </row>
        <row r="96">
          <cell r="A96">
            <v>88</v>
          </cell>
          <cell r="B96" t="str">
            <v>S2型預鑄溝蓋板，寬90x長100cm</v>
          </cell>
          <cell r="C96" t="str">
            <v>塊</v>
          </cell>
          <cell r="D96">
            <v>10</v>
          </cell>
          <cell r="E96">
            <v>2870.69</v>
          </cell>
        </row>
        <row r="97">
          <cell r="A97">
            <v>89</v>
          </cell>
          <cell r="B97" t="str">
            <v>S2型預鑄溝蓋板，寬100x長100cm</v>
          </cell>
          <cell r="C97" t="str">
            <v>塊</v>
          </cell>
          <cell r="D97">
            <v>10</v>
          </cell>
          <cell r="E97">
            <v>3161.92</v>
          </cell>
        </row>
        <row r="98">
          <cell r="A98">
            <v>90</v>
          </cell>
          <cell r="B98" t="str">
            <v>S4型預鑄溝蓋板，寬90x長90cm</v>
          </cell>
          <cell r="C98" t="str">
            <v>塊</v>
          </cell>
          <cell r="D98">
            <v>10</v>
          </cell>
          <cell r="E98">
            <v>2796.81</v>
          </cell>
        </row>
        <row r="99">
          <cell r="A99">
            <v>91</v>
          </cell>
          <cell r="B99" t="str">
            <v>甲種預鑄溝蓋板，寬100x長140cm</v>
          </cell>
          <cell r="C99" t="str">
            <v>塊</v>
          </cell>
          <cell r="D99">
            <v>10</v>
          </cell>
          <cell r="E99">
            <v>3953.12</v>
          </cell>
        </row>
        <row r="100">
          <cell r="A100">
            <v>92</v>
          </cell>
          <cell r="B100" t="str">
            <v>乙種預鑄溝蓋板，寬100x長140cm</v>
          </cell>
          <cell r="C100" t="str">
            <v>塊</v>
          </cell>
          <cell r="D100">
            <v>10</v>
          </cell>
          <cell r="E100">
            <v>2401.5700000000002</v>
          </cell>
        </row>
        <row r="101">
          <cell r="A101">
            <v>93</v>
          </cell>
          <cell r="B101" t="str">
            <v>預鑄溝蓋板，透水蓋板(60×50×4.4cm)，含運費及安裝</v>
          </cell>
          <cell r="C101" t="str">
            <v>塊</v>
          </cell>
          <cell r="D101">
            <v>10</v>
          </cell>
          <cell r="E101">
            <v>3407.24</v>
          </cell>
        </row>
        <row r="102">
          <cell r="A102">
            <v>94</v>
          </cell>
          <cell r="B102" t="str">
            <v>預鑄溝蓋板，透水蓋板外框(60×50×4.4cm)，含運費及安裝</v>
          </cell>
          <cell r="C102" t="str">
            <v>塊</v>
          </cell>
          <cell r="D102">
            <v>10</v>
          </cell>
          <cell r="E102">
            <v>674.27</v>
          </cell>
        </row>
        <row r="103">
          <cell r="A103">
            <v>95</v>
          </cell>
          <cell r="B103" t="str">
            <v>預鑄溝蓋板，透水蓋板(60×60×4.4cm)，含運費及安裝</v>
          </cell>
          <cell r="C103" t="str">
            <v>塊</v>
          </cell>
          <cell r="D103">
            <v>10</v>
          </cell>
          <cell r="E103">
            <v>4016.96</v>
          </cell>
        </row>
        <row r="104">
          <cell r="A104">
            <v>96</v>
          </cell>
          <cell r="B104" t="str">
            <v>預鑄溝蓋板，透水蓋板外框(60×60×4.4cm)，含運費及安裝</v>
          </cell>
          <cell r="C104" t="str">
            <v>塊</v>
          </cell>
          <cell r="D104">
            <v>10</v>
          </cell>
          <cell r="E104">
            <v>717.31</v>
          </cell>
        </row>
        <row r="105">
          <cell r="A105">
            <v>97</v>
          </cell>
          <cell r="B105" t="str">
            <v>甲種人孔，人孔頂版</v>
          </cell>
          <cell r="C105" t="str">
            <v>塊</v>
          </cell>
          <cell r="D105">
            <v>5</v>
          </cell>
          <cell r="E105">
            <v>11548.75</v>
          </cell>
        </row>
        <row r="106">
          <cell r="A106">
            <v>98</v>
          </cell>
          <cell r="B106" t="str">
            <v>乙種人孔，人孔頂版，開口直徑900mm</v>
          </cell>
          <cell r="C106" t="str">
            <v>塊</v>
          </cell>
          <cell r="D106">
            <v>5</v>
          </cell>
          <cell r="E106">
            <v>7750.58</v>
          </cell>
        </row>
        <row r="107">
          <cell r="A107">
            <v>99</v>
          </cell>
          <cell r="B107" t="str">
            <v>乙種人孔，人孔頂版，開口直徑600mm</v>
          </cell>
          <cell r="C107" t="str">
            <v>塊</v>
          </cell>
          <cell r="D107">
            <v>5</v>
          </cell>
          <cell r="E107">
            <v>7262.8</v>
          </cell>
        </row>
        <row r="108">
          <cell r="A108">
            <v>100</v>
          </cell>
          <cell r="B108" t="str">
            <v>排水人孔，預鑄人孔蓋及蓋座，球狀石墨鑄鐵蓋</v>
          </cell>
          <cell r="C108" t="str">
            <v>組</v>
          </cell>
          <cell r="D108">
            <v>5</v>
          </cell>
          <cell r="E108">
            <v>11319.21</v>
          </cell>
        </row>
        <row r="109">
          <cell r="A109">
            <v>101</v>
          </cell>
          <cell r="B109" t="str">
            <v>排水人孔，人孔頸下部(H=300mm，D=900mm)</v>
          </cell>
          <cell r="C109" t="str">
            <v>塊</v>
          </cell>
          <cell r="D109">
            <v>5</v>
          </cell>
          <cell r="E109">
            <v>3184.16</v>
          </cell>
        </row>
        <row r="110">
          <cell r="A110">
            <v>102</v>
          </cell>
          <cell r="B110" t="str">
            <v>排水人孔，人孔頸下部(H=600mm，D=900mm)</v>
          </cell>
          <cell r="C110" t="str">
            <v>塊</v>
          </cell>
          <cell r="D110">
            <v>5</v>
          </cell>
          <cell r="E110">
            <v>5142.42</v>
          </cell>
        </row>
        <row r="111">
          <cell r="A111">
            <v>103</v>
          </cell>
          <cell r="B111" t="str">
            <v>排水人孔，人孔頸下部(H=300mm，D=600mm)</v>
          </cell>
          <cell r="C111" t="str">
            <v>塊</v>
          </cell>
          <cell r="D111">
            <v>5</v>
          </cell>
          <cell r="E111">
            <v>2593.09</v>
          </cell>
        </row>
        <row r="112">
          <cell r="A112">
            <v>104</v>
          </cell>
          <cell r="B112" t="str">
            <v>排水人孔，人孔頸端部</v>
          </cell>
          <cell r="C112" t="str">
            <v>塊</v>
          </cell>
          <cell r="D112">
            <v>5</v>
          </cell>
          <cell r="E112">
            <v>3192.05</v>
          </cell>
        </row>
        <row r="113">
          <cell r="A113">
            <v>105</v>
          </cell>
          <cell r="B113" t="str">
            <v>不銹鋼踏步，∮19mm，含安裝</v>
          </cell>
          <cell r="C113" t="str">
            <v>支</v>
          </cell>
          <cell r="D113">
            <v>10</v>
          </cell>
          <cell r="E113">
            <v>347.18</v>
          </cell>
        </row>
        <row r="114">
          <cell r="A114">
            <v>106</v>
          </cell>
          <cell r="B114" t="str">
            <v>塑膠包覆不銹鋼踏步，∮19mm</v>
          </cell>
          <cell r="C114" t="str">
            <v>支</v>
          </cell>
          <cell r="D114">
            <v>10</v>
          </cell>
          <cell r="E114">
            <v>301.27</v>
          </cell>
        </row>
        <row r="115">
          <cell r="A115">
            <v>107</v>
          </cell>
          <cell r="B115" t="str">
            <v>原有不銹鋼踏步更新，∮19mm(L=86cm)，含切割及安裝(A型)</v>
          </cell>
          <cell r="C115" t="str">
            <v>支</v>
          </cell>
          <cell r="D115">
            <v>10</v>
          </cell>
          <cell r="E115">
            <v>354.35</v>
          </cell>
        </row>
        <row r="116">
          <cell r="A116">
            <v>108</v>
          </cell>
          <cell r="B116" t="str">
            <v>原有不銹鋼踏步更新，∮19mm(L=50cm)，含切割及安裝(B型)</v>
          </cell>
          <cell r="C116" t="str">
            <v>支</v>
          </cell>
          <cell r="D116">
            <v>10</v>
          </cell>
          <cell r="E116">
            <v>365.83</v>
          </cell>
        </row>
        <row r="117">
          <cell r="A117">
            <v>109</v>
          </cell>
          <cell r="B117" t="str">
            <v>原有不銹鋼踏步更新，∮19mm(L=50cm)，含切割及安裝(C型)</v>
          </cell>
          <cell r="C117" t="str">
            <v>處</v>
          </cell>
          <cell r="D117">
            <v>10</v>
          </cell>
          <cell r="E117">
            <v>398.83</v>
          </cell>
        </row>
        <row r="118">
          <cell r="A118">
            <v>110</v>
          </cell>
          <cell r="B118" t="str">
            <v>水泥砂漿，1:3</v>
          </cell>
          <cell r="C118" t="str">
            <v>M3</v>
          </cell>
          <cell r="D118">
            <v>10</v>
          </cell>
          <cell r="E118">
            <v>1950.55</v>
          </cell>
        </row>
        <row r="119">
          <cell r="A119">
            <v>111</v>
          </cell>
          <cell r="B119" t="str">
            <v>混凝土附屬品，伸縮縫</v>
          </cell>
          <cell r="C119" t="str">
            <v>M</v>
          </cell>
          <cell r="D119">
            <v>20</v>
          </cell>
          <cell r="E119">
            <v>93.11</v>
          </cell>
        </row>
        <row r="120">
          <cell r="A120">
            <v>112</v>
          </cell>
          <cell r="B120" t="str">
            <v>人行道面層，舖面磚(高壓)，未含伸縮縫</v>
          </cell>
          <cell r="C120" t="str">
            <v>㎡</v>
          </cell>
          <cell r="D120">
            <v>25</v>
          </cell>
          <cell r="E120">
            <v>1037.24</v>
          </cell>
        </row>
        <row r="121">
          <cell r="A121">
            <v>113</v>
          </cell>
          <cell r="B121" t="str">
            <v>產品，熔接鋼線網，D=4.00mm，7.5x7.5cm</v>
          </cell>
          <cell r="C121" t="str">
            <v>㎡</v>
          </cell>
          <cell r="D121">
            <v>50</v>
          </cell>
          <cell r="E121">
            <v>64.56</v>
          </cell>
        </row>
        <row r="122">
          <cell r="A122">
            <v>114</v>
          </cell>
          <cell r="B122" t="str">
            <v>臨時擋土樁設施，鋼板樁，L=3m，(單邊水平長度，未含擋土支撐系統)</v>
          </cell>
          <cell r="C122" t="str">
            <v>M</v>
          </cell>
          <cell r="D122">
            <v>10</v>
          </cell>
          <cell r="E122">
            <v>1688.21</v>
          </cell>
        </row>
        <row r="123">
          <cell r="A123">
            <v>115</v>
          </cell>
          <cell r="B123" t="str">
            <v>臨時擋土樁設施，鋼板樁，L=4.5m，(單邊水平長度，未含擋土支撐系統)</v>
          </cell>
          <cell r="C123" t="str">
            <v>M</v>
          </cell>
          <cell r="D123">
            <v>10</v>
          </cell>
          <cell r="E123">
            <v>1876.65</v>
          </cell>
        </row>
        <row r="124">
          <cell r="A124">
            <v>116</v>
          </cell>
          <cell r="B124" t="str">
            <v>臨時擋土樁設施，鋼板樁，L=6m，(單邊水平長度，未含擋土支撐系統)</v>
          </cell>
          <cell r="C124" t="str">
            <v>M</v>
          </cell>
          <cell r="D124">
            <v>10</v>
          </cell>
          <cell r="E124">
            <v>2026.26</v>
          </cell>
        </row>
        <row r="125">
          <cell r="A125">
            <v>117</v>
          </cell>
          <cell r="B125" t="str">
            <v>臨時擋土樁設施，鋼板樁，L=9m，(單邊水平長度，未含擋土支撐系統)</v>
          </cell>
          <cell r="C125" t="str">
            <v>M</v>
          </cell>
          <cell r="D125">
            <v>10</v>
          </cell>
          <cell r="E125">
            <v>2807.56</v>
          </cell>
        </row>
        <row r="126">
          <cell r="A126">
            <v>118</v>
          </cell>
          <cell r="B126" t="str">
            <v>臨時擋土樁設施，鋼板樁，L=13m，(單邊水平長度，未含擋土支撐系統)</v>
          </cell>
          <cell r="C126" t="str">
            <v>M</v>
          </cell>
          <cell r="D126">
            <v>10</v>
          </cell>
          <cell r="E126">
            <v>3976.77</v>
          </cell>
        </row>
        <row r="127">
          <cell r="A127">
            <v>119</v>
          </cell>
          <cell r="B127" t="str">
            <v>臨時擋土支撐工法，H型鋼橫擋及支撐，未含在臨時擋土樁費用內</v>
          </cell>
          <cell r="C127" t="str">
            <v>㎡</v>
          </cell>
          <cell r="D127">
            <v>10</v>
          </cell>
          <cell r="E127">
            <v>456.93</v>
          </cell>
        </row>
        <row r="128">
          <cell r="A128">
            <v>120</v>
          </cell>
          <cell r="B128" t="str">
            <v>臨時擋土樁設施，鋼軌樁37kg/m，租用</v>
          </cell>
          <cell r="C128" t="str">
            <v>M</v>
          </cell>
          <cell r="D128">
            <v>10</v>
          </cell>
          <cell r="E128">
            <v>121.94</v>
          </cell>
        </row>
        <row r="129">
          <cell r="A129">
            <v>121</v>
          </cell>
          <cell r="B129" t="str">
            <v>臨時擋土樁設施，鋼軌樁37kg/m，買斷</v>
          </cell>
          <cell r="C129" t="str">
            <v>M</v>
          </cell>
          <cell r="D129">
            <v>10</v>
          </cell>
          <cell r="E129">
            <v>627.65</v>
          </cell>
        </row>
        <row r="130">
          <cell r="A130">
            <v>122</v>
          </cell>
          <cell r="B130" t="str">
            <v>臨時擋土樁設施，鋼軌樁50kg/m，租用</v>
          </cell>
          <cell r="C130" t="str">
            <v>M</v>
          </cell>
          <cell r="D130">
            <v>10</v>
          </cell>
          <cell r="E130">
            <v>177.18</v>
          </cell>
        </row>
        <row r="131">
          <cell r="A131">
            <v>123</v>
          </cell>
          <cell r="B131" t="str">
            <v>臨時擋土樁設施，鋼軌樁50kg/m，買斷</v>
          </cell>
          <cell r="C131" t="str">
            <v>M</v>
          </cell>
          <cell r="D131">
            <v>10</v>
          </cell>
          <cell r="E131">
            <v>860.78</v>
          </cell>
        </row>
        <row r="132">
          <cell r="A132">
            <v>124</v>
          </cell>
          <cell r="B132" t="str">
            <v>鑽 堡(∮8")</v>
          </cell>
          <cell r="C132" t="str">
            <v>M</v>
          </cell>
          <cell r="D132">
            <v>10</v>
          </cell>
          <cell r="E132">
            <v>1156.31</v>
          </cell>
        </row>
        <row r="133">
          <cell r="A133">
            <v>125</v>
          </cell>
          <cell r="B133" t="str">
            <v>金屬製品，不銹鋼膨脹螺栓(含零配件)</v>
          </cell>
          <cell r="C133" t="str">
            <v>支</v>
          </cell>
          <cell r="D133">
            <v>50</v>
          </cell>
          <cell r="E133">
            <v>50.21</v>
          </cell>
        </row>
        <row r="134">
          <cell r="A134">
            <v>126</v>
          </cell>
          <cell r="B134" t="str">
            <v>鑽孔，混凝土結構物鑽孔費，含溝蓋溝牆等</v>
          </cell>
          <cell r="C134" t="str">
            <v>孔</v>
          </cell>
          <cell r="D134">
            <v>10</v>
          </cell>
          <cell r="E134">
            <v>510.73</v>
          </cell>
        </row>
        <row r="135">
          <cell r="A135">
            <v>127</v>
          </cell>
          <cell r="B135" t="str">
            <v>基地及路堤填築</v>
          </cell>
          <cell r="C135" t="str">
            <v>C.M3</v>
          </cell>
          <cell r="D135">
            <v>30</v>
          </cell>
          <cell r="E135">
            <v>37.11</v>
          </cell>
        </row>
        <row r="136">
          <cell r="A136">
            <v>128</v>
          </cell>
          <cell r="B136" t="str">
            <v>機械拆除，預鑄溝蓋板，未含運費</v>
          </cell>
          <cell r="C136" t="str">
            <v>M</v>
          </cell>
          <cell r="D136">
            <v>100</v>
          </cell>
          <cell r="E136">
            <v>51.29</v>
          </cell>
        </row>
        <row r="137">
          <cell r="A137">
            <v>129</v>
          </cell>
          <cell r="B137" t="str">
            <v>砌排石工，1:3水泥砂漿表面勾縫</v>
          </cell>
          <cell r="C137" t="str">
            <v>㎡</v>
          </cell>
          <cell r="D137">
            <v>10</v>
          </cell>
          <cell r="E137">
            <v>186.5</v>
          </cell>
        </row>
        <row r="138">
          <cell r="A138">
            <v>130</v>
          </cell>
          <cell r="B138" t="str">
            <v>砌排石工，漿砌石，卵石，1:3水泥砂漿表面勾縫</v>
          </cell>
          <cell r="C138" t="str">
            <v>㎡</v>
          </cell>
          <cell r="D138">
            <v>10</v>
          </cell>
          <cell r="E138">
            <v>1042.26</v>
          </cell>
        </row>
        <row r="139">
          <cell r="A139">
            <v>131</v>
          </cell>
          <cell r="B139" t="str">
            <v>砌排石工，混凝土砌石，卵石，含勾縫，厚20cm</v>
          </cell>
          <cell r="C139" t="str">
            <v>㎡</v>
          </cell>
          <cell r="D139">
            <v>10</v>
          </cell>
          <cell r="E139">
            <v>687.9</v>
          </cell>
        </row>
        <row r="140">
          <cell r="A140">
            <v>132</v>
          </cell>
          <cell r="B140" t="str">
            <v>拋石，塊石，硬石</v>
          </cell>
          <cell r="C140" t="str">
            <v>C.M3</v>
          </cell>
          <cell r="D140">
            <v>10</v>
          </cell>
          <cell r="E140">
            <v>927.49</v>
          </cell>
        </row>
        <row r="141">
          <cell r="A141">
            <v>133</v>
          </cell>
          <cell r="B141" t="str">
            <v>砌紅磚，紅磚，1/2B</v>
          </cell>
          <cell r="C141" t="str">
            <v>㎡</v>
          </cell>
          <cell r="D141">
            <v>10</v>
          </cell>
          <cell r="E141">
            <v>469.41</v>
          </cell>
        </row>
        <row r="142">
          <cell r="A142">
            <v>134</v>
          </cell>
          <cell r="B142" t="str">
            <v>砌紅磚，紅磚，1B</v>
          </cell>
          <cell r="C142" t="str">
            <v>㎡</v>
          </cell>
          <cell r="D142">
            <v>10</v>
          </cell>
          <cell r="E142">
            <v>798.13</v>
          </cell>
        </row>
        <row r="143">
          <cell r="A143">
            <v>135</v>
          </cell>
          <cell r="B143" t="str">
            <v>砌紅磚，紅磚，1-1/2B</v>
          </cell>
          <cell r="C143" t="str">
            <v>㎡</v>
          </cell>
          <cell r="D143">
            <v>10</v>
          </cell>
          <cell r="E143">
            <v>1142.53</v>
          </cell>
        </row>
        <row r="144">
          <cell r="A144">
            <v>136</v>
          </cell>
          <cell r="B144" t="str">
            <v>石籠，300*150*100cm，高鍍鋅鐵線包覆PVC</v>
          </cell>
          <cell r="C144" t="str">
            <v>組</v>
          </cell>
          <cell r="D144">
            <v>5</v>
          </cell>
          <cell r="E144">
            <v>8551.82</v>
          </cell>
        </row>
        <row r="145">
          <cell r="A145">
            <v>137</v>
          </cell>
          <cell r="B145" t="str">
            <v>石籠，300*150*50cm，高鍍鋅鐵線包覆PVC</v>
          </cell>
          <cell r="C145" t="str">
            <v>組</v>
          </cell>
          <cell r="D145">
            <v>5</v>
          </cell>
          <cell r="E145">
            <v>5685.43</v>
          </cell>
        </row>
        <row r="146">
          <cell r="A146">
            <v>138</v>
          </cell>
          <cell r="B146" t="str">
            <v>石籠，300*100*100cm，高鍍鋅鐵線包覆PVC</v>
          </cell>
          <cell r="C146" t="str">
            <v>組</v>
          </cell>
          <cell r="D146">
            <v>5</v>
          </cell>
          <cell r="E146">
            <v>6458.69</v>
          </cell>
        </row>
        <row r="147">
          <cell r="A147">
            <v>139</v>
          </cell>
          <cell r="B147" t="str">
            <v>浚挖，側溝、明溝及連接管</v>
          </cell>
          <cell r="C147" t="str">
            <v>M</v>
          </cell>
          <cell r="D147">
            <v>100</v>
          </cell>
          <cell r="E147">
            <v>34.9</v>
          </cell>
        </row>
        <row r="148">
          <cell r="A148">
            <v>140</v>
          </cell>
          <cell r="B148" t="str">
            <v>浚挖，箱涵及涵管</v>
          </cell>
          <cell r="C148" t="str">
            <v>B.M3</v>
          </cell>
          <cell r="D148">
            <v>10</v>
          </cell>
          <cell r="E148">
            <v>432.21</v>
          </cell>
        </row>
        <row r="149">
          <cell r="A149">
            <v>141</v>
          </cell>
          <cell r="B149" t="str">
            <v>浚挖，河道清疏【岸邊作業】</v>
          </cell>
          <cell r="C149" t="str">
            <v>B.M3</v>
          </cell>
          <cell r="D149">
            <v>50</v>
          </cell>
          <cell r="E149">
            <v>58.4</v>
          </cell>
        </row>
        <row r="150">
          <cell r="A150">
            <v>142</v>
          </cell>
          <cell r="B150" t="str">
            <v>浚挖，水中作業</v>
          </cell>
          <cell r="C150" t="str">
            <v>B.M3</v>
          </cell>
          <cell r="D150">
            <v>10</v>
          </cell>
          <cell r="E150">
            <v>87.46</v>
          </cell>
        </row>
        <row r="151">
          <cell r="A151">
            <v>143</v>
          </cell>
          <cell r="B151" t="str">
            <v>擠壓式彈性填縫帶，(寬55mm，厚20mm)，600～1000mm鋼筋混凝土管排水用</v>
          </cell>
          <cell r="C151" t="str">
            <v>M</v>
          </cell>
          <cell r="D151">
            <v>50</v>
          </cell>
          <cell r="E151">
            <v>102.7</v>
          </cell>
        </row>
        <row r="152">
          <cell r="A152">
            <v>144</v>
          </cell>
          <cell r="B152" t="str">
            <v>擠壓式彈性填縫帶，(寬68mm，厚22mm)，1100～1650mm鋼筋混凝土管排水用</v>
          </cell>
          <cell r="C152" t="str">
            <v>M</v>
          </cell>
          <cell r="D152">
            <v>50</v>
          </cell>
          <cell r="E152">
            <v>130.22</v>
          </cell>
        </row>
        <row r="153">
          <cell r="A153">
            <v>145</v>
          </cell>
          <cell r="B153" t="str">
            <v>擠壓式彈性填縫帶，(寬80mm，厚28mm)，1800～2400mm鋼筋混凝土管排水用</v>
          </cell>
          <cell r="C153" t="str">
            <v>M</v>
          </cell>
          <cell r="D153">
            <v>50</v>
          </cell>
          <cell r="E153">
            <v>163.47</v>
          </cell>
        </row>
        <row r="154">
          <cell r="A154">
            <v>146</v>
          </cell>
          <cell r="B154" t="str">
            <v>工地處理，路口開挖，路口≦8m，夜間施工</v>
          </cell>
          <cell r="C154" t="str">
            <v>處</v>
          </cell>
          <cell r="D154">
            <v>5</v>
          </cell>
          <cell r="E154">
            <v>35425.26</v>
          </cell>
        </row>
        <row r="155">
          <cell r="A155">
            <v>147</v>
          </cell>
          <cell r="B155" t="str">
            <v>工地處理，路口開挖，路口≦8m</v>
          </cell>
          <cell r="C155" t="str">
            <v>處</v>
          </cell>
          <cell r="D155">
            <v>5</v>
          </cell>
          <cell r="E155">
            <v>26089.42</v>
          </cell>
        </row>
        <row r="156">
          <cell r="A156">
            <v>148</v>
          </cell>
          <cell r="B156" t="str">
            <v>工地處理，路口開挖，路口＞8m，夜間施工</v>
          </cell>
          <cell r="C156" t="str">
            <v>處</v>
          </cell>
          <cell r="D156">
            <v>5</v>
          </cell>
          <cell r="E156">
            <v>45943.95</v>
          </cell>
        </row>
        <row r="157">
          <cell r="A157">
            <v>149</v>
          </cell>
          <cell r="B157" t="str">
            <v>工地處理，路口開挖，路口＞8m</v>
          </cell>
          <cell r="C157" t="str">
            <v>處</v>
          </cell>
          <cell r="D157">
            <v>5</v>
          </cell>
          <cell r="E157">
            <v>33442.6</v>
          </cell>
        </row>
        <row r="158">
          <cell r="A158">
            <v>150</v>
          </cell>
          <cell r="B158" t="str">
            <v>工地處理，施工動復員，小型機具</v>
          </cell>
          <cell r="C158" t="str">
            <v>次</v>
          </cell>
          <cell r="D158">
            <v>5</v>
          </cell>
          <cell r="E158">
            <v>5200.5200000000004</v>
          </cell>
        </row>
        <row r="159">
          <cell r="A159">
            <v>151</v>
          </cell>
          <cell r="B159" t="str">
            <v>工地處理，施工動復員，大型機具</v>
          </cell>
          <cell r="C159" t="str">
            <v>次</v>
          </cell>
          <cell r="D159">
            <v>5</v>
          </cell>
          <cell r="E159">
            <v>7746.99</v>
          </cell>
        </row>
        <row r="160">
          <cell r="A160">
            <v>152</v>
          </cell>
          <cell r="B160" t="str">
            <v>AC施工機械搬運費(以通報單開立次數計算品質管制，面積2000㎡以下適用)</v>
          </cell>
          <cell r="C160" t="str">
            <v>次</v>
          </cell>
          <cell r="D160">
            <v>5</v>
          </cell>
          <cell r="E160">
            <v>7173.14</v>
          </cell>
        </row>
        <row r="161">
          <cell r="A161">
            <v>153</v>
          </cell>
          <cell r="B161" t="str">
            <v>施工障礙搬運費(車輛移置費用)</v>
          </cell>
          <cell r="C161" t="str">
            <v>次</v>
          </cell>
          <cell r="D161">
            <v>5</v>
          </cell>
          <cell r="E161">
            <v>5738.51</v>
          </cell>
        </row>
        <row r="162">
          <cell r="A162">
            <v>154</v>
          </cell>
          <cell r="B162" t="str">
            <v>試挖，地下管線，W=1m，H=1m，日間施工</v>
          </cell>
          <cell r="C162" t="str">
            <v>M</v>
          </cell>
          <cell r="D162">
            <v>2</v>
          </cell>
          <cell r="E162">
            <v>3523.43</v>
          </cell>
        </row>
        <row r="163">
          <cell r="A163">
            <v>155</v>
          </cell>
          <cell r="B163" t="str">
            <v>試挖，地下管線，W=1m，H=1m，夜間施工</v>
          </cell>
          <cell r="C163" t="str">
            <v>M</v>
          </cell>
          <cell r="D163">
            <v>2</v>
          </cell>
          <cell r="E163">
            <v>3798.16</v>
          </cell>
        </row>
        <row r="164">
          <cell r="A164">
            <v>156</v>
          </cell>
          <cell r="B164" t="str">
            <v>試挖，地下管線，W=1m，H=1.5m，日間施工</v>
          </cell>
          <cell r="C164" t="str">
            <v>M</v>
          </cell>
          <cell r="D164">
            <v>2</v>
          </cell>
          <cell r="E164">
            <v>4902.1000000000004</v>
          </cell>
        </row>
        <row r="165">
          <cell r="A165">
            <v>157</v>
          </cell>
          <cell r="B165" t="str">
            <v>試挖，地下管線，W=1m，H=1.5m，夜間施工</v>
          </cell>
          <cell r="C165" t="str">
            <v>M</v>
          </cell>
          <cell r="D165">
            <v>2</v>
          </cell>
          <cell r="E165">
            <v>5295.19</v>
          </cell>
        </row>
        <row r="166">
          <cell r="A166">
            <v>158</v>
          </cell>
          <cell r="B166" t="str">
            <v>試挖，地下管線，W=1m，H=2m，日間施工</v>
          </cell>
          <cell r="C166" t="str">
            <v>M</v>
          </cell>
          <cell r="D166">
            <v>2</v>
          </cell>
          <cell r="E166">
            <v>6108.62</v>
          </cell>
        </row>
        <row r="167">
          <cell r="A167">
            <v>159</v>
          </cell>
          <cell r="B167" t="str">
            <v>試挖，地下管線，W=1m，H=2m，夜間施工</v>
          </cell>
          <cell r="C167" t="str">
            <v>M</v>
          </cell>
          <cell r="D167">
            <v>2</v>
          </cell>
          <cell r="E167">
            <v>6620.07</v>
          </cell>
        </row>
        <row r="168">
          <cell r="A168">
            <v>160</v>
          </cell>
          <cell r="B168" t="str">
            <v>試挖，地下管線，W=1.6m，H=2.5m，日間施工</v>
          </cell>
          <cell r="C168" t="str">
            <v>M</v>
          </cell>
          <cell r="D168">
            <v>2</v>
          </cell>
          <cell r="E168">
            <v>10670.73</v>
          </cell>
        </row>
        <row r="169">
          <cell r="A169">
            <v>161</v>
          </cell>
          <cell r="B169" t="str">
            <v>試挖，地下管線，W=1.6m，H=2.5m，夜間施工</v>
          </cell>
          <cell r="C169" t="str">
            <v>M</v>
          </cell>
          <cell r="D169">
            <v>2</v>
          </cell>
          <cell r="E169">
            <v>11678.56</v>
          </cell>
        </row>
        <row r="170">
          <cell r="A170">
            <v>162</v>
          </cell>
          <cell r="B170" t="str">
            <v>試挖，地下管線，W=1.6m，H=3m，日間施工</v>
          </cell>
          <cell r="C170" t="str">
            <v>M</v>
          </cell>
          <cell r="D170">
            <v>2</v>
          </cell>
          <cell r="E170">
            <v>12324.86</v>
          </cell>
        </row>
        <row r="171">
          <cell r="A171">
            <v>163</v>
          </cell>
          <cell r="B171" t="str">
            <v>試挖，地下管線，W=1.6m，H=3m，夜間施工</v>
          </cell>
          <cell r="C171" t="str">
            <v>M</v>
          </cell>
          <cell r="D171">
            <v>2</v>
          </cell>
          <cell r="E171">
            <v>13522.05</v>
          </cell>
        </row>
        <row r="172">
          <cell r="A172">
            <v>164</v>
          </cell>
          <cell r="B172" t="str">
            <v>生產體力工</v>
          </cell>
          <cell r="C172" t="str">
            <v>時</v>
          </cell>
          <cell r="D172">
            <v>200</v>
          </cell>
          <cell r="E172">
            <v>161.4</v>
          </cell>
        </row>
        <row r="173">
          <cell r="A173">
            <v>165</v>
          </cell>
          <cell r="B173" t="str">
            <v>生產體力工，臨時指揮執勤人員費</v>
          </cell>
          <cell r="C173" t="str">
            <v>時</v>
          </cell>
          <cell r="D173">
            <v>200</v>
          </cell>
          <cell r="E173">
            <v>161.4</v>
          </cell>
        </row>
        <row r="174">
          <cell r="A174">
            <v>166</v>
          </cell>
          <cell r="B174" t="str">
            <v>指揮執勤人員，義交，日間(06-22時)</v>
          </cell>
          <cell r="C174" t="str">
            <v>時</v>
          </cell>
          <cell r="D174">
            <v>40</v>
          </cell>
          <cell r="E174">
            <v>179.33</v>
          </cell>
        </row>
        <row r="175">
          <cell r="A175">
            <v>167</v>
          </cell>
          <cell r="B175" t="str">
            <v>指揮執勤人員，義交，夜間(22-06時)</v>
          </cell>
          <cell r="C175" t="str">
            <v>時</v>
          </cell>
          <cell r="D175">
            <v>30</v>
          </cell>
          <cell r="E175">
            <v>215.19</v>
          </cell>
        </row>
        <row r="176">
          <cell r="A176">
            <v>168</v>
          </cell>
          <cell r="B176" t="str">
            <v>吊放吊物，吊車(20t以下)</v>
          </cell>
          <cell r="C176" t="str">
            <v>時</v>
          </cell>
          <cell r="D176">
            <v>50</v>
          </cell>
          <cell r="E176">
            <v>1451.84</v>
          </cell>
        </row>
        <row r="177">
          <cell r="A177">
            <v>169</v>
          </cell>
          <cell r="B177" t="str">
            <v>吊放吊物，吊車(20t以上)</v>
          </cell>
          <cell r="C177" t="str">
            <v>時</v>
          </cell>
          <cell r="D177">
            <v>30</v>
          </cell>
          <cell r="E177">
            <v>2710.01</v>
          </cell>
        </row>
        <row r="178">
          <cell r="A178">
            <v>170</v>
          </cell>
          <cell r="B178" t="str">
            <v>地下調查，排水幹支線縱走含成果報告製作</v>
          </cell>
          <cell r="C178" t="str">
            <v>M</v>
          </cell>
          <cell r="D178">
            <v>100</v>
          </cell>
          <cell r="E178">
            <v>143.46</v>
          </cell>
        </row>
        <row r="179">
          <cell r="A179">
            <v>171</v>
          </cell>
          <cell r="B179" t="str">
            <v>地下調查，積淹水調查，含成果報告製作</v>
          </cell>
          <cell r="C179" t="str">
            <v>處</v>
          </cell>
          <cell r="D179">
            <v>10</v>
          </cell>
          <cell r="E179">
            <v>3586.57</v>
          </cell>
        </row>
        <row r="180">
          <cell r="A180">
            <v>172</v>
          </cell>
          <cell r="B180" t="str">
            <v>地下調查，路面(人孔)下陷巡查，含成果報告製作</v>
          </cell>
          <cell r="C180" t="str">
            <v>次</v>
          </cell>
          <cell r="D180">
            <v>10</v>
          </cell>
          <cell r="E180">
            <v>1847.12</v>
          </cell>
        </row>
        <row r="181">
          <cell r="A181">
            <v>173</v>
          </cell>
          <cell r="B181" t="str">
            <v>機械清掃孔蓋版，混凝土製，含搬運及吊裝</v>
          </cell>
          <cell r="C181" t="str">
            <v>塊</v>
          </cell>
          <cell r="D181">
            <v>5</v>
          </cell>
          <cell r="E181">
            <v>27267.45</v>
          </cell>
        </row>
        <row r="182">
          <cell r="A182">
            <v>174</v>
          </cell>
          <cell r="B182" t="str">
            <v>機械清掃孔蓋版，橡膠支承墊，含施工</v>
          </cell>
          <cell r="C182" t="str">
            <v>處</v>
          </cell>
          <cell r="D182">
            <v>10</v>
          </cell>
          <cell r="E182">
            <v>3694.17</v>
          </cell>
        </row>
        <row r="183">
          <cell r="A183">
            <v>175</v>
          </cell>
          <cell r="B183" t="str">
            <v>產品，鋼料</v>
          </cell>
          <cell r="C183" t="str">
            <v>KG</v>
          </cell>
          <cell r="D183">
            <v>2000</v>
          </cell>
          <cell r="E183">
            <v>14.99</v>
          </cell>
        </row>
        <row r="184">
          <cell r="A184">
            <v>176</v>
          </cell>
          <cell r="B184" t="str">
            <v>鋼料，鍍鋅，加工及製造</v>
          </cell>
          <cell r="C184" t="str">
            <v>KG</v>
          </cell>
          <cell r="D184">
            <v>2000</v>
          </cell>
          <cell r="E184">
            <v>23.93</v>
          </cell>
        </row>
        <row r="185">
          <cell r="A185">
            <v>177</v>
          </cell>
          <cell r="B185" t="str">
            <v>鋼料，加工及製造</v>
          </cell>
          <cell r="C185" t="str">
            <v>KG</v>
          </cell>
          <cell r="D185">
            <v>2000</v>
          </cell>
          <cell r="E185">
            <v>14.35</v>
          </cell>
        </row>
        <row r="186">
          <cell r="A186">
            <v>178</v>
          </cell>
          <cell r="B186" t="str">
            <v>玻璃纖維管(FRP管)，D=500mm，含運費及埋設</v>
          </cell>
          <cell r="C186" t="str">
            <v>M</v>
          </cell>
          <cell r="D186">
            <v>1</v>
          </cell>
          <cell r="E186">
            <v>2860.65</v>
          </cell>
        </row>
        <row r="187">
          <cell r="A187">
            <v>179</v>
          </cell>
          <cell r="B187" t="str">
            <v>玻璃纖維管(FRP管)，D=600mm，含運費及埋設</v>
          </cell>
          <cell r="C187" t="str">
            <v>M</v>
          </cell>
          <cell r="D187">
            <v>1</v>
          </cell>
          <cell r="E187">
            <v>4168.3100000000004</v>
          </cell>
        </row>
        <row r="188">
          <cell r="A188">
            <v>180</v>
          </cell>
          <cell r="B188" t="str">
            <v>玻璃纖維管(FRP管)，D=800mm，含運費及埋設</v>
          </cell>
          <cell r="C188" t="str">
            <v>M</v>
          </cell>
          <cell r="D188">
            <v>1</v>
          </cell>
          <cell r="E188">
            <v>7247.02</v>
          </cell>
        </row>
        <row r="189">
          <cell r="A189">
            <v>181</v>
          </cell>
          <cell r="B189" t="str">
            <v>玻璃纖維管(FRP管)，D=1000mm，含運費及埋設</v>
          </cell>
          <cell r="C189" t="str">
            <v>M</v>
          </cell>
          <cell r="D189">
            <v>1</v>
          </cell>
          <cell r="E189">
            <v>10788.4</v>
          </cell>
        </row>
        <row r="190">
          <cell r="A190">
            <v>182</v>
          </cell>
          <cell r="B190" t="str">
            <v>玻璃纖維管(FRP管)，D=1200mm，含運費及埋設</v>
          </cell>
          <cell r="C190" t="str">
            <v>M</v>
          </cell>
          <cell r="D190">
            <v>1</v>
          </cell>
          <cell r="E190">
            <v>15394.99</v>
          </cell>
        </row>
        <row r="191">
          <cell r="A191">
            <v>183</v>
          </cell>
          <cell r="B191" t="str">
            <v>玻璃纖維管(FRP管)，D=1400mm，含運費及埋設</v>
          </cell>
          <cell r="C191" t="str">
            <v>M</v>
          </cell>
          <cell r="D191">
            <v>1</v>
          </cell>
          <cell r="E191">
            <v>20472.14</v>
          </cell>
        </row>
        <row r="192">
          <cell r="A192">
            <v>184</v>
          </cell>
          <cell r="B192" t="str">
            <v>玻璃纖維管(FRP管)，D=1600mm，含運費及埋設</v>
          </cell>
          <cell r="C192" t="str">
            <v>M</v>
          </cell>
          <cell r="D192">
            <v>1</v>
          </cell>
          <cell r="E192">
            <v>26553.52</v>
          </cell>
        </row>
        <row r="193">
          <cell r="A193">
            <v>185</v>
          </cell>
          <cell r="B193" t="str">
            <v>玻璃纖維管(FRP管)，D=1800mm，含運費及埋設</v>
          </cell>
          <cell r="C193" t="str">
            <v>M</v>
          </cell>
          <cell r="D193">
            <v>1</v>
          </cell>
          <cell r="E193">
            <v>33409.61</v>
          </cell>
        </row>
        <row r="194">
          <cell r="A194">
            <v>186</v>
          </cell>
          <cell r="B194" t="str">
            <v>玻璃纖維管(FRP管)套管接頭，D=500mm，含運費及埋設</v>
          </cell>
          <cell r="C194" t="str">
            <v>處</v>
          </cell>
          <cell r="D194">
            <v>1</v>
          </cell>
          <cell r="E194">
            <v>4361.2700000000004</v>
          </cell>
        </row>
        <row r="195">
          <cell r="A195">
            <v>187</v>
          </cell>
          <cell r="B195" t="str">
            <v>玻璃纖維管(FRP管)套管接頭，D=600mm，含運費及埋設</v>
          </cell>
          <cell r="C195" t="str">
            <v>處</v>
          </cell>
          <cell r="D195">
            <v>1</v>
          </cell>
          <cell r="E195">
            <v>7098.54</v>
          </cell>
        </row>
        <row r="196">
          <cell r="A196">
            <v>188</v>
          </cell>
          <cell r="B196" t="str">
            <v>玻璃纖維管(FRP管)套管接頭，D=800mm，含運費及埋設</v>
          </cell>
          <cell r="C196" t="str">
            <v>處</v>
          </cell>
          <cell r="D196">
            <v>1</v>
          </cell>
          <cell r="E196">
            <v>8263.4500000000007</v>
          </cell>
        </row>
        <row r="197">
          <cell r="A197">
            <v>189</v>
          </cell>
          <cell r="B197" t="str">
            <v>玻璃纖維管(FRP管)套管接頭，D=1000mm，含運費及埋設</v>
          </cell>
          <cell r="C197" t="str">
            <v>處</v>
          </cell>
          <cell r="D197">
            <v>1</v>
          </cell>
          <cell r="E197">
            <v>11187.94</v>
          </cell>
        </row>
        <row r="198">
          <cell r="A198">
            <v>190</v>
          </cell>
          <cell r="B198" t="str">
            <v>玻璃纖維管(FRP管)套管接頭，D=1200mm，含運費及埋設</v>
          </cell>
          <cell r="C198" t="str">
            <v>處</v>
          </cell>
          <cell r="D198">
            <v>1</v>
          </cell>
          <cell r="E198">
            <v>15726.39</v>
          </cell>
        </row>
        <row r="199">
          <cell r="A199">
            <v>191</v>
          </cell>
          <cell r="B199" t="str">
            <v>玻璃纖維管(FRP管)套管接頭，D=1400mm，含運費及埋設</v>
          </cell>
          <cell r="C199" t="str">
            <v>處</v>
          </cell>
          <cell r="D199">
            <v>1</v>
          </cell>
          <cell r="E199">
            <v>23240.97</v>
          </cell>
        </row>
        <row r="200">
          <cell r="A200">
            <v>192</v>
          </cell>
          <cell r="B200" t="str">
            <v>玻璃纖維管(FRP管)套管接頭，D=1600mm，含運費及埋設</v>
          </cell>
          <cell r="C200" t="str">
            <v>處</v>
          </cell>
          <cell r="D200">
            <v>1</v>
          </cell>
          <cell r="E200">
            <v>28405.63</v>
          </cell>
        </row>
        <row r="201">
          <cell r="A201">
            <v>193</v>
          </cell>
          <cell r="B201" t="str">
            <v>玻璃纖維管(FRP管)套管接頭，D=1800mm，含運費及埋設</v>
          </cell>
          <cell r="C201" t="str">
            <v>處</v>
          </cell>
          <cell r="D201">
            <v>1</v>
          </cell>
          <cell r="E201">
            <v>33570.29</v>
          </cell>
        </row>
        <row r="202">
          <cell r="A202">
            <v>194</v>
          </cell>
          <cell r="B202" t="str">
            <v>不銹鋼，SUS304，含加工按裝等</v>
          </cell>
          <cell r="C202" t="str">
            <v>KG</v>
          </cell>
          <cell r="D202">
            <v>50</v>
          </cell>
          <cell r="E202">
            <v>199.41</v>
          </cell>
        </row>
        <row r="203">
          <cell r="A203">
            <v>195</v>
          </cell>
          <cell r="B203" t="str">
            <v>不銹鋼，SUS316，含加工按裝等</v>
          </cell>
          <cell r="C203" t="str">
            <v>KG</v>
          </cell>
          <cell r="D203">
            <v>50</v>
          </cell>
          <cell r="E203">
            <v>228.82</v>
          </cell>
        </row>
        <row r="204">
          <cell r="A204">
            <v>196</v>
          </cell>
          <cell r="B204" t="str">
            <v>金屬格柵蓋板，鍍鋅花紋蓋板(含框座)，(溝寬40cm使用)</v>
          </cell>
          <cell r="C204" t="str">
            <v>組</v>
          </cell>
          <cell r="D204">
            <v>10</v>
          </cell>
          <cell r="E204">
            <v>1420.28</v>
          </cell>
        </row>
        <row r="205">
          <cell r="A205">
            <v>197</v>
          </cell>
          <cell r="B205" t="str">
            <v>金屬格柵蓋板，鍍鋅花紋蓋板(含框座)，(溝寬50cm使用)</v>
          </cell>
          <cell r="C205" t="str">
            <v>組</v>
          </cell>
          <cell r="D205">
            <v>10</v>
          </cell>
          <cell r="E205">
            <v>1786.11</v>
          </cell>
        </row>
        <row r="206">
          <cell r="A206">
            <v>198</v>
          </cell>
          <cell r="B206" t="str">
            <v>金屬格柵蓋板，鍍鋅格柵蓋板(含框座)，(溝寬40cm使用)</v>
          </cell>
          <cell r="C206" t="str">
            <v>組</v>
          </cell>
          <cell r="D206">
            <v>10</v>
          </cell>
          <cell r="E206">
            <v>1965.44</v>
          </cell>
        </row>
        <row r="207">
          <cell r="A207">
            <v>199</v>
          </cell>
          <cell r="B207" t="str">
            <v>金屬格柵蓋板，鍍鋅格柵蓋板(含框座)，(溝寬50cm使用)</v>
          </cell>
          <cell r="C207" t="str">
            <v>組</v>
          </cell>
          <cell r="D207">
            <v>10</v>
          </cell>
          <cell r="E207">
            <v>2482.62</v>
          </cell>
        </row>
        <row r="208">
          <cell r="A208">
            <v>200</v>
          </cell>
          <cell r="B208" t="str">
            <v>金屬格柵蓋板，鍍鋅格柵蓋板(含框座)，(溝寬60cm使用)</v>
          </cell>
          <cell r="C208" t="str">
            <v>組</v>
          </cell>
          <cell r="D208">
            <v>10</v>
          </cell>
          <cell r="E208">
            <v>2704.27</v>
          </cell>
        </row>
        <row r="209">
          <cell r="A209">
            <v>201</v>
          </cell>
          <cell r="B209" t="str">
            <v>金屬格柵蓋板，鍍鋅格柵蓋板(含框座)，止滑花紋加工(人工)</v>
          </cell>
          <cell r="C209" t="str">
            <v>KG</v>
          </cell>
          <cell r="D209">
            <v>20</v>
          </cell>
          <cell r="E209">
            <v>62.62</v>
          </cell>
        </row>
        <row r="210">
          <cell r="A210">
            <v>202</v>
          </cell>
          <cell r="B210" t="str">
            <v>舌型逆止閥，球狀石墨鑄鐵，含止傾桿，標稱直徑600mm</v>
          </cell>
          <cell r="C210" t="str">
            <v>組</v>
          </cell>
          <cell r="D210">
            <v>1</v>
          </cell>
          <cell r="E210">
            <v>52826.58</v>
          </cell>
        </row>
        <row r="211">
          <cell r="A211">
            <v>203</v>
          </cell>
          <cell r="B211" t="str">
            <v>舌型逆止閥，球狀石墨鑄鐵，含止傾桿，標稱直徑800mm</v>
          </cell>
          <cell r="C211" t="str">
            <v>組</v>
          </cell>
          <cell r="D211">
            <v>1</v>
          </cell>
          <cell r="E211">
            <v>86443.48</v>
          </cell>
        </row>
        <row r="212">
          <cell r="A212">
            <v>204</v>
          </cell>
          <cell r="B212" t="str">
            <v>舌型逆止閥，球狀石墨鑄鐵，含止傾桿，標稱直徑1000mm</v>
          </cell>
          <cell r="C212" t="str">
            <v>組</v>
          </cell>
          <cell r="D212">
            <v>1</v>
          </cell>
          <cell r="E212">
            <v>113410.9</v>
          </cell>
        </row>
        <row r="213">
          <cell r="A213">
            <v>205</v>
          </cell>
          <cell r="B213" t="str">
            <v>舌型逆止閥，球狀石墨鑄鐵，含止傾桿，標稱直徑1200mm</v>
          </cell>
          <cell r="C213" t="str">
            <v>組</v>
          </cell>
          <cell r="D213">
            <v>1</v>
          </cell>
          <cell r="E213">
            <v>153677.31</v>
          </cell>
        </row>
        <row r="214">
          <cell r="A214">
            <v>206</v>
          </cell>
          <cell r="B214" t="str">
            <v>舌型逆止閥，球狀石墨鑄鐵，含止傾桿，標稱直徑1350mm</v>
          </cell>
          <cell r="C214" t="str">
            <v>組</v>
          </cell>
          <cell r="D214">
            <v>1</v>
          </cell>
          <cell r="E214">
            <v>177319.97</v>
          </cell>
        </row>
        <row r="215">
          <cell r="A215">
            <v>207</v>
          </cell>
          <cell r="B215" t="str">
            <v>舌型逆止閥，球狀石墨鑄鐵，含止傾桿，標稱直徑1500mm</v>
          </cell>
          <cell r="C215" t="str">
            <v>組</v>
          </cell>
          <cell r="D215">
            <v>1</v>
          </cell>
          <cell r="E215">
            <v>196160.21</v>
          </cell>
        </row>
        <row r="216">
          <cell r="A216">
            <v>208</v>
          </cell>
          <cell r="B216" t="str">
            <v>混凝土修復，鋼筋銹蝕處理，水刀鑿除</v>
          </cell>
          <cell r="C216" t="str">
            <v>㎡</v>
          </cell>
          <cell r="D216">
            <v>10</v>
          </cell>
          <cell r="E216">
            <v>820.61</v>
          </cell>
        </row>
        <row r="217">
          <cell r="A217">
            <v>209</v>
          </cell>
          <cell r="B217" t="str">
            <v>混凝土修復，鋼筋銹蝕處理，人工鑿除</v>
          </cell>
          <cell r="C217" t="str">
            <v>㎡</v>
          </cell>
          <cell r="D217">
            <v>10</v>
          </cell>
          <cell r="E217">
            <v>649.16999999999996</v>
          </cell>
        </row>
        <row r="218">
          <cell r="A218">
            <v>210</v>
          </cell>
          <cell r="B218" t="str">
            <v>混凝土修復，蜂窩及剝落修補，水刀鑿除</v>
          </cell>
          <cell r="C218" t="str">
            <v>㎡</v>
          </cell>
          <cell r="D218">
            <v>10</v>
          </cell>
          <cell r="E218">
            <v>805.54</v>
          </cell>
        </row>
        <row r="219">
          <cell r="A219">
            <v>211</v>
          </cell>
          <cell r="B219" t="str">
            <v>混凝土修復，蜂窩及剝落修補，人工鑿除</v>
          </cell>
          <cell r="C219" t="str">
            <v>㎡</v>
          </cell>
          <cell r="D219">
            <v>10</v>
          </cell>
          <cell r="E219">
            <v>634.11</v>
          </cell>
        </row>
        <row r="220">
          <cell r="A220">
            <v>212</v>
          </cell>
          <cell r="B220" t="str">
            <v>混凝土修復，裂縫W＜0.3mm修補，水刀鑿除</v>
          </cell>
          <cell r="C220" t="str">
            <v>M</v>
          </cell>
          <cell r="D220">
            <v>10</v>
          </cell>
          <cell r="E220">
            <v>745.29</v>
          </cell>
        </row>
        <row r="221">
          <cell r="A221">
            <v>213</v>
          </cell>
          <cell r="B221" t="str">
            <v>混凝土修復，裂縫W＜0.3mm修補，人工鑿除</v>
          </cell>
          <cell r="C221" t="str">
            <v>M</v>
          </cell>
          <cell r="D221">
            <v>10</v>
          </cell>
          <cell r="E221">
            <v>603.98</v>
          </cell>
        </row>
        <row r="222">
          <cell r="A222">
            <v>214</v>
          </cell>
          <cell r="B222" t="str">
            <v>混凝土修復，裂縫W＞0.3mm修補，水刀鑿除</v>
          </cell>
          <cell r="C222" t="str">
            <v>M</v>
          </cell>
          <cell r="D222">
            <v>10</v>
          </cell>
          <cell r="E222">
            <v>793.35</v>
          </cell>
        </row>
        <row r="223">
          <cell r="A223">
            <v>215</v>
          </cell>
          <cell r="B223" t="str">
            <v>混凝土修復，裂縫W＞0.3mm修補，人工鑿除</v>
          </cell>
          <cell r="C223" t="str">
            <v>M</v>
          </cell>
          <cell r="D223">
            <v>10</v>
          </cell>
          <cell r="E223">
            <v>652.76</v>
          </cell>
        </row>
        <row r="224">
          <cell r="A224">
            <v>216</v>
          </cell>
          <cell r="B224" t="str">
            <v>混凝土修復，環氧樹脂，含施工</v>
          </cell>
          <cell r="C224" t="str">
            <v>KG</v>
          </cell>
          <cell r="D224">
            <v>20</v>
          </cell>
          <cell r="E224">
            <v>200.85</v>
          </cell>
        </row>
        <row r="225">
          <cell r="A225">
            <v>217</v>
          </cell>
          <cell r="B225" t="str">
            <v>混凝土修復，水性壓克力樹脂砂漿，水刀鑿除，含鋼筋除銹</v>
          </cell>
          <cell r="C225" t="str">
            <v>㎡</v>
          </cell>
          <cell r="D225">
            <v>10</v>
          </cell>
          <cell r="E225">
            <v>1708.64</v>
          </cell>
        </row>
        <row r="226">
          <cell r="A226">
            <v>218</v>
          </cell>
          <cell r="B226" t="str">
            <v>噴凝土，濕式(邊坡)，(厚度5cm，抗壓強度175kgf/c㎡)</v>
          </cell>
          <cell r="C226" t="str">
            <v>㎡</v>
          </cell>
          <cell r="D226">
            <v>10</v>
          </cell>
          <cell r="E226">
            <v>1113.27</v>
          </cell>
        </row>
        <row r="227">
          <cell r="A227">
            <v>219</v>
          </cell>
          <cell r="B227" t="str">
            <v>噴凝土，濕式(邊坡)，每次噴2～3cm施工費</v>
          </cell>
          <cell r="C227" t="str">
            <v>㎡</v>
          </cell>
          <cell r="D227">
            <v>20</v>
          </cell>
          <cell r="E227">
            <v>264.69</v>
          </cell>
        </row>
        <row r="228">
          <cell r="A228">
            <v>220</v>
          </cell>
          <cell r="B228" t="str">
            <v>噴凝土，錨筋及1：3水泥砂漿灌漿，鋼筋D13mm，鑽孔L=1M</v>
          </cell>
          <cell r="C228" t="str">
            <v>支</v>
          </cell>
          <cell r="D228">
            <v>20</v>
          </cell>
          <cell r="E228">
            <v>37.44</v>
          </cell>
        </row>
        <row r="229">
          <cell r="A229">
            <v>221</v>
          </cell>
          <cell r="B229" t="str">
            <v>圍排水，砂包堆置</v>
          </cell>
          <cell r="C229" t="str">
            <v>M3</v>
          </cell>
          <cell r="D229">
            <v>10</v>
          </cell>
          <cell r="E229">
            <v>1925.27</v>
          </cell>
        </row>
        <row r="230">
          <cell r="A230">
            <v>222</v>
          </cell>
          <cell r="B230" t="str">
            <v>開挖臨時覆蓋，鋼質覆蓋版(含支撐結構)，【3M*4M】</v>
          </cell>
          <cell r="C230" t="str">
            <v>㎡</v>
          </cell>
          <cell r="D230">
            <v>10</v>
          </cell>
          <cell r="E230">
            <v>2936.68</v>
          </cell>
        </row>
        <row r="231">
          <cell r="A231">
            <v>223</v>
          </cell>
          <cell r="B231" t="str">
            <v>開挖臨時覆蓋，鋼質覆蓋版(含支撐結構)，【6M*4M】</v>
          </cell>
          <cell r="C231" t="str">
            <v>㎡</v>
          </cell>
          <cell r="D231">
            <v>10</v>
          </cell>
          <cell r="E231">
            <v>2693.51</v>
          </cell>
        </row>
        <row r="232">
          <cell r="A232">
            <v>224</v>
          </cell>
          <cell r="B232" t="str">
            <v>開挖臨時覆蓋，管溝開挖臨時做為跨越用</v>
          </cell>
          <cell r="C232" t="str">
            <v>㎡</v>
          </cell>
          <cell r="D232">
            <v>50</v>
          </cell>
          <cell r="E232">
            <v>73.88</v>
          </cell>
        </row>
        <row r="233">
          <cell r="A233">
            <v>225</v>
          </cell>
          <cell r="B233" t="str">
            <v>開挖臨時覆蓋，鋪設鋼板臨時作為舖面用(厚度≧15mm)</v>
          </cell>
          <cell r="C233" t="str">
            <v>㎡月</v>
          </cell>
          <cell r="D233">
            <v>50</v>
          </cell>
          <cell r="E233">
            <v>180.76</v>
          </cell>
        </row>
        <row r="234">
          <cell r="A234">
            <v>226</v>
          </cell>
          <cell r="B234" t="str">
            <v>種植費，客土施放</v>
          </cell>
          <cell r="C234" t="str">
            <v>C.M3</v>
          </cell>
          <cell r="D234">
            <v>30</v>
          </cell>
          <cell r="E234">
            <v>438.5</v>
          </cell>
        </row>
        <row r="235">
          <cell r="A235">
            <v>227</v>
          </cell>
          <cell r="B235" t="str">
            <v>植草，草種噴植，混合草種，含養護</v>
          </cell>
          <cell r="C235" t="str">
            <v>㎡</v>
          </cell>
          <cell r="D235">
            <v>200</v>
          </cell>
          <cell r="E235">
            <v>30.39</v>
          </cell>
        </row>
        <row r="236">
          <cell r="A236">
            <v>228</v>
          </cell>
          <cell r="B236" t="str">
            <v>盆栽草花，盆徑=3寸盆，15cm≦株寬</v>
          </cell>
          <cell r="C236" t="str">
            <v>盆</v>
          </cell>
          <cell r="D236">
            <v>10</v>
          </cell>
          <cell r="E236">
            <v>18.54</v>
          </cell>
        </row>
        <row r="237">
          <cell r="A237">
            <v>229</v>
          </cell>
          <cell r="B237" t="str">
            <v>美國南方松，ACQ防腐處理（或同等級品），外觀級，TH=25mm</v>
          </cell>
          <cell r="C237" t="str">
            <v>才</v>
          </cell>
          <cell r="D237">
            <v>10</v>
          </cell>
          <cell r="E237">
            <v>48.78</v>
          </cell>
        </row>
        <row r="238">
          <cell r="A238">
            <v>230</v>
          </cell>
          <cell r="B238" t="str">
            <v>耐候油性漆塗佈</v>
          </cell>
          <cell r="C238" t="str">
            <v>㎡</v>
          </cell>
          <cell r="D238">
            <v>10</v>
          </cell>
          <cell r="E238">
            <v>504.27</v>
          </cell>
        </row>
        <row r="239">
          <cell r="A239">
            <v>231</v>
          </cell>
          <cell r="B239" t="str">
            <v>清除及割除，雜草雜木(含垃圾撿除)</v>
          </cell>
          <cell r="C239" t="str">
            <v>㎡</v>
          </cell>
          <cell r="D239">
            <v>200</v>
          </cell>
          <cell r="E239">
            <v>8.64</v>
          </cell>
        </row>
        <row r="240">
          <cell r="A240">
            <v>232</v>
          </cell>
          <cell r="B240" t="str">
            <v>清運，雜草雜木(含垃圾)</v>
          </cell>
          <cell r="C240" t="str">
            <v>㎡</v>
          </cell>
          <cell r="D240">
            <v>10</v>
          </cell>
          <cell r="E240">
            <v>14.88</v>
          </cell>
        </row>
        <row r="241">
          <cell r="A241">
            <v>233</v>
          </cell>
          <cell r="B241" t="str">
            <v>清除，垃圾及廢棄物（以面積計），含運費</v>
          </cell>
          <cell r="C241" t="str">
            <v>㎡</v>
          </cell>
          <cell r="D241">
            <v>30</v>
          </cell>
          <cell r="E241">
            <v>23.38</v>
          </cell>
        </row>
        <row r="242">
          <cell r="A242">
            <v>234</v>
          </cell>
          <cell r="B242" t="str">
            <v>清除，垃圾及廢棄物（以體積計），含運費</v>
          </cell>
          <cell r="C242" t="str">
            <v>M3</v>
          </cell>
          <cell r="D242">
            <v>10</v>
          </cell>
          <cell r="E242">
            <v>375.01</v>
          </cell>
        </row>
        <row r="243">
          <cell r="A243">
            <v>235</v>
          </cell>
          <cell r="B243" t="str">
            <v>房屋廢方挖除及清理，未含運費</v>
          </cell>
          <cell r="C243" t="str">
            <v>M3</v>
          </cell>
          <cell r="D243">
            <v>20</v>
          </cell>
          <cell r="E243">
            <v>85.36</v>
          </cell>
        </row>
        <row r="244">
          <cell r="A244">
            <v>236</v>
          </cell>
          <cell r="B244" t="str">
            <v>臨時設施，柴油引擎抽水機，4英吋，租金(含油料及運費)</v>
          </cell>
          <cell r="C244" t="str">
            <v>時</v>
          </cell>
          <cell r="D244">
            <v>10</v>
          </cell>
          <cell r="E244">
            <v>655.62</v>
          </cell>
        </row>
        <row r="245">
          <cell r="A245">
            <v>237</v>
          </cell>
          <cell r="B245" t="str">
            <v>臨時設施，沉水式抽水機，6英吋，租金(含油料及運費)</v>
          </cell>
          <cell r="C245" t="str">
            <v>時</v>
          </cell>
          <cell r="D245">
            <v>10</v>
          </cell>
          <cell r="E245">
            <v>899.51</v>
          </cell>
        </row>
        <row r="246">
          <cell r="A246">
            <v>238</v>
          </cell>
          <cell r="B246" t="str">
            <v>臨時設施，沉水式抽水機，4英吋，租金(含油料及運費)</v>
          </cell>
          <cell r="C246" t="str">
            <v>時</v>
          </cell>
          <cell r="D246">
            <v>10</v>
          </cell>
          <cell r="E246">
            <v>736.68</v>
          </cell>
        </row>
        <row r="247">
          <cell r="A247">
            <v>239</v>
          </cell>
          <cell r="B247" t="str">
            <v>臨時設施，發電機，60~100KW(含油料及運費)，租金</v>
          </cell>
          <cell r="C247" t="str">
            <v>時</v>
          </cell>
          <cell r="D247">
            <v>10</v>
          </cell>
          <cell r="E247">
            <v>129.12</v>
          </cell>
        </row>
        <row r="248">
          <cell r="A248">
            <v>240</v>
          </cell>
          <cell r="B248" t="str">
            <v>護欄，混凝土護欄，仿竹欄杆(含底座，不含植筋)</v>
          </cell>
          <cell r="C248" t="str">
            <v>M</v>
          </cell>
          <cell r="D248">
            <v>10</v>
          </cell>
          <cell r="E248">
            <v>1806.91</v>
          </cell>
        </row>
        <row r="249">
          <cell r="A249">
            <v>241</v>
          </cell>
          <cell r="B249" t="str">
            <v>護欄，混凝土護欄，仿松竹欄杆(含底座，不含植筋)</v>
          </cell>
          <cell r="C249" t="str">
            <v>M</v>
          </cell>
          <cell r="D249">
            <v>10</v>
          </cell>
          <cell r="E249">
            <v>2461.1</v>
          </cell>
        </row>
        <row r="250">
          <cell r="A250">
            <v>242</v>
          </cell>
          <cell r="B250" t="str">
            <v>護欄，混凝土護欄，仿松欄杆TYPE1(含底座，不含植筋)</v>
          </cell>
          <cell r="C250" t="str">
            <v>M</v>
          </cell>
          <cell r="D250">
            <v>10</v>
          </cell>
          <cell r="E250">
            <v>1806.91</v>
          </cell>
        </row>
        <row r="251">
          <cell r="A251">
            <v>243</v>
          </cell>
          <cell r="B251" t="str">
            <v>護欄，混凝土護欄，仿松欄杆TYPE2(含底座，不含植筋)</v>
          </cell>
          <cell r="C251" t="str">
            <v>M</v>
          </cell>
          <cell r="D251">
            <v>10</v>
          </cell>
          <cell r="E251">
            <v>2172.7399999999998</v>
          </cell>
        </row>
        <row r="252">
          <cell r="A252">
            <v>244</v>
          </cell>
          <cell r="B252" t="str">
            <v>護欄，混凝土護欄，油漆</v>
          </cell>
          <cell r="C252" t="str">
            <v>M</v>
          </cell>
          <cell r="D252">
            <v>30</v>
          </cell>
          <cell r="E252">
            <v>373</v>
          </cell>
        </row>
        <row r="253">
          <cell r="A253">
            <v>245</v>
          </cell>
          <cell r="B253" t="str">
            <v>施工中安全防護網，網孔10*10cm，尼龍</v>
          </cell>
          <cell r="C253" t="str">
            <v>㎡</v>
          </cell>
          <cell r="D253">
            <v>50</v>
          </cell>
          <cell r="E253">
            <v>35.869999999999997</v>
          </cell>
        </row>
        <row r="254">
          <cell r="A254">
            <v>246</v>
          </cell>
          <cell r="B254" t="str">
            <v>地工織物，土木工程用非織物，CNS第2類，舖設施工</v>
          </cell>
          <cell r="C254" t="str">
            <v>㎡</v>
          </cell>
          <cell r="D254">
            <v>15</v>
          </cell>
          <cell r="E254">
            <v>104.01</v>
          </cell>
        </row>
        <row r="255">
          <cell r="A255">
            <v>247</v>
          </cell>
          <cell r="B255" t="str">
            <v>合板，厚3mm( 一分)，邊模用(不拆模)</v>
          </cell>
          <cell r="C255" t="str">
            <v>㎡</v>
          </cell>
          <cell r="D255">
            <v>100</v>
          </cell>
          <cell r="E255">
            <v>56.67</v>
          </cell>
        </row>
        <row r="256">
          <cell r="A256">
            <v>248</v>
          </cell>
          <cell r="B256" t="str">
            <v>鋼筋，植筋，D10mm，鑽孔(含空氣槍清孔)及化學藥劑</v>
          </cell>
          <cell r="C256" t="str">
            <v>孔</v>
          </cell>
          <cell r="D256">
            <v>50</v>
          </cell>
          <cell r="E256">
            <v>28.69</v>
          </cell>
        </row>
        <row r="257">
          <cell r="A257">
            <v>249</v>
          </cell>
          <cell r="B257" t="str">
            <v>鋼筋，植筋，D13mm，鑽孔(含空氣槍清孔)及化學藥劑</v>
          </cell>
          <cell r="C257" t="str">
            <v>孔</v>
          </cell>
          <cell r="D257">
            <v>50</v>
          </cell>
          <cell r="E257">
            <v>38.020000000000003</v>
          </cell>
        </row>
        <row r="258">
          <cell r="A258">
            <v>250</v>
          </cell>
          <cell r="B258" t="str">
            <v>鋼筋，植筋，D16mm，鑽孔(含空氣槍清孔)及化學藥劑</v>
          </cell>
          <cell r="C258" t="str">
            <v>孔</v>
          </cell>
          <cell r="D258">
            <v>50</v>
          </cell>
          <cell r="E258">
            <v>68.14</v>
          </cell>
        </row>
        <row r="259">
          <cell r="A259">
            <v>251</v>
          </cell>
          <cell r="B259" t="str">
            <v>鋼筋，植筋，D19mm，鑽孔(含空氣槍清孔)及化學藥劑</v>
          </cell>
          <cell r="C259" t="str">
            <v>孔</v>
          </cell>
          <cell r="D259">
            <v>50</v>
          </cell>
          <cell r="E259">
            <v>132.69999999999999</v>
          </cell>
        </row>
        <row r="260">
          <cell r="A260">
            <v>252</v>
          </cell>
          <cell r="B260" t="str">
            <v>鋼筋，植筋，D22mm，鑽孔(含空氣槍清孔)及化學藥劑</v>
          </cell>
          <cell r="C260" t="str">
            <v>孔</v>
          </cell>
          <cell r="D260">
            <v>50</v>
          </cell>
          <cell r="E260">
            <v>211.61</v>
          </cell>
        </row>
        <row r="261">
          <cell r="A261">
            <v>253</v>
          </cell>
          <cell r="B261" t="str">
            <v>排水人孔，人孔提升調降，含更換框座，日間施工(人工)</v>
          </cell>
          <cell r="C261" t="str">
            <v>座</v>
          </cell>
          <cell r="D261">
            <v>5</v>
          </cell>
          <cell r="E261">
            <v>10616.24</v>
          </cell>
        </row>
        <row r="262">
          <cell r="A262">
            <v>254</v>
          </cell>
          <cell r="B262" t="str">
            <v>排水人孔，人孔提升調降，含更換框座，夜間施工(人工)</v>
          </cell>
          <cell r="C262" t="str">
            <v>座</v>
          </cell>
          <cell r="D262">
            <v>5</v>
          </cell>
          <cell r="E262">
            <v>10704.47</v>
          </cell>
        </row>
        <row r="263">
          <cell r="A263">
            <v>255</v>
          </cell>
          <cell r="B263" t="str">
            <v>排水人孔，人孔提升調降，含更換框座，日間施工(機械)</v>
          </cell>
          <cell r="C263" t="str">
            <v>座</v>
          </cell>
          <cell r="D263">
            <v>5</v>
          </cell>
          <cell r="E263">
            <v>10548.82</v>
          </cell>
        </row>
        <row r="264">
          <cell r="A264">
            <v>256</v>
          </cell>
          <cell r="B264" t="str">
            <v>排水人孔，人孔提升調降，含更換框座，夜間施工(機械)</v>
          </cell>
          <cell r="C264" t="str">
            <v>座</v>
          </cell>
          <cell r="D264">
            <v>5</v>
          </cell>
          <cell r="E264">
            <v>10565.31</v>
          </cell>
        </row>
        <row r="265">
          <cell r="A265">
            <v>257</v>
          </cell>
          <cell r="B265" t="str">
            <v>排水人孔，人孔提升調降，不更換框座，日間施工(人工)</v>
          </cell>
          <cell r="C265" t="str">
            <v>座</v>
          </cell>
          <cell r="D265">
            <v>5</v>
          </cell>
          <cell r="E265">
            <v>1750.96</v>
          </cell>
        </row>
        <row r="266">
          <cell r="A266">
            <v>258</v>
          </cell>
          <cell r="B266" t="str">
            <v>排水人孔，人孔提升調降，不更換框座，夜間施工(人工)</v>
          </cell>
          <cell r="C266" t="str">
            <v>座</v>
          </cell>
          <cell r="D266">
            <v>5</v>
          </cell>
          <cell r="E266">
            <v>1838.48</v>
          </cell>
        </row>
        <row r="267">
          <cell r="A267">
            <v>259</v>
          </cell>
          <cell r="B267" t="str">
            <v>排水人孔，人孔提升調降，不更換框座，日間施工(機械)</v>
          </cell>
          <cell r="C267" t="str">
            <v>座</v>
          </cell>
          <cell r="D267">
            <v>5</v>
          </cell>
          <cell r="E267">
            <v>1682.82</v>
          </cell>
        </row>
        <row r="268">
          <cell r="A268">
            <v>260</v>
          </cell>
          <cell r="B268" t="str">
            <v>排水人孔，人孔提升調降，不更換框座，夜間施工(機械)</v>
          </cell>
          <cell r="C268" t="str">
            <v>座</v>
          </cell>
          <cell r="D268">
            <v>5</v>
          </cell>
          <cell r="E268">
            <v>1699.32</v>
          </cell>
        </row>
        <row r="269">
          <cell r="A269">
            <v>261</v>
          </cell>
          <cell r="B269" t="str">
            <v>排水人孔，人孔提升調降， 打除原有混凝土框座並更新，日間施工(人工)</v>
          </cell>
          <cell r="C269" t="str">
            <v>座</v>
          </cell>
          <cell r="D269">
            <v>5</v>
          </cell>
          <cell r="E269">
            <v>11181.5</v>
          </cell>
        </row>
        <row r="270">
          <cell r="A270">
            <v>262</v>
          </cell>
          <cell r="B270" t="str">
            <v>排水人孔，人孔提升調降， 打除原有混凝土框座並更新，夜間施工(人工)</v>
          </cell>
          <cell r="C270" t="str">
            <v>座</v>
          </cell>
          <cell r="D270">
            <v>5</v>
          </cell>
          <cell r="E270">
            <v>11834.24</v>
          </cell>
        </row>
        <row r="271">
          <cell r="A271">
            <v>263</v>
          </cell>
          <cell r="B271" t="str">
            <v>排水人孔，人孔提升調降， 打除原有混凝土框座並更新，日間施工(機械)</v>
          </cell>
          <cell r="C271" t="str">
            <v>座</v>
          </cell>
          <cell r="D271">
            <v>5</v>
          </cell>
          <cell r="E271">
            <v>10678.65</v>
          </cell>
        </row>
        <row r="272">
          <cell r="A272">
            <v>264</v>
          </cell>
          <cell r="B272" t="str">
            <v>排水人孔，人孔提升調降， 打除原有混凝土框座並更新，夜間施工(機械)</v>
          </cell>
          <cell r="C272" t="str">
            <v>座</v>
          </cell>
          <cell r="D272">
            <v>5</v>
          </cell>
          <cell r="E272">
            <v>10744.64</v>
          </cell>
        </row>
        <row r="273">
          <cell r="A273">
            <v>265</v>
          </cell>
          <cell r="B273" t="str">
            <v>地下調查，人孔，金屬探測器，尋獲</v>
          </cell>
          <cell r="C273" t="str">
            <v>處</v>
          </cell>
          <cell r="D273">
            <v>50</v>
          </cell>
          <cell r="E273">
            <v>172.16</v>
          </cell>
        </row>
        <row r="274">
          <cell r="A274">
            <v>266</v>
          </cell>
          <cell r="B274" t="str">
            <v>地下調查，人孔，金屬探測器，未尋獲</v>
          </cell>
          <cell r="C274" t="str">
            <v>處</v>
          </cell>
          <cell r="D274">
            <v>50</v>
          </cell>
          <cell r="E274">
            <v>83.21</v>
          </cell>
        </row>
        <row r="275">
          <cell r="A275">
            <v>267</v>
          </cell>
          <cell r="B275" t="str">
            <v>工作船(租金)</v>
          </cell>
          <cell r="C275" t="str">
            <v>天</v>
          </cell>
          <cell r="D275">
            <v>5</v>
          </cell>
          <cell r="E275">
            <v>1434.63</v>
          </cell>
        </row>
        <row r="276">
          <cell r="A276">
            <v>268</v>
          </cell>
          <cell r="B276" t="str">
            <v>交通維持計畫書編撰</v>
          </cell>
          <cell r="C276" t="str">
            <v>次</v>
          </cell>
          <cell r="D276">
            <v>5</v>
          </cell>
          <cell r="E276">
            <v>35865.69</v>
          </cell>
        </row>
        <row r="277">
          <cell r="A277">
            <v>269</v>
          </cell>
          <cell r="B277" t="str">
            <v>標線，熱塑性塑膠，反光，厚2mm，含玻璃珠</v>
          </cell>
          <cell r="C277" t="str">
            <v>㎡</v>
          </cell>
          <cell r="D277">
            <v>200</v>
          </cell>
          <cell r="E277">
            <v>185.78</v>
          </cell>
        </row>
        <row r="278">
          <cell r="A278">
            <v>270</v>
          </cell>
          <cell r="B278" t="str">
            <v>標記，路面用，反光，強化玻璃</v>
          </cell>
          <cell r="C278" t="str">
            <v>個</v>
          </cell>
          <cell r="D278">
            <v>20</v>
          </cell>
          <cell r="E278">
            <v>177.18</v>
          </cell>
        </row>
        <row r="279">
          <cell r="A279">
            <v>271</v>
          </cell>
          <cell r="B279" t="str">
            <v>反光導標，座式</v>
          </cell>
          <cell r="C279" t="str">
            <v>個</v>
          </cell>
          <cell r="D279">
            <v>15</v>
          </cell>
          <cell r="E279">
            <v>235.28</v>
          </cell>
        </row>
        <row r="280">
          <cell r="A280">
            <v>272</v>
          </cell>
          <cell r="B280" t="str">
            <v>地坪表面樹脂加礦砂防滑舖面，金剛砂12Kg/㎡</v>
          </cell>
          <cell r="C280" t="str">
            <v>㎡</v>
          </cell>
          <cell r="D280">
            <v>20</v>
          </cell>
          <cell r="E280">
            <v>502.12</v>
          </cell>
        </row>
        <row r="281">
          <cell r="A281">
            <v>273</v>
          </cell>
          <cell r="B281" t="str">
            <v>施工測量，控制測量，平面測量，人孔設施，含成果製作</v>
          </cell>
          <cell r="C281" t="str">
            <v>處</v>
          </cell>
          <cell r="D281">
            <v>20</v>
          </cell>
          <cell r="E281">
            <v>430.39</v>
          </cell>
        </row>
        <row r="282">
          <cell r="A282">
            <v>274</v>
          </cell>
          <cell r="B282" t="str">
            <v>施工測量，控制測量，平面測量，管涵設施，含成果製作</v>
          </cell>
          <cell r="C282" t="str">
            <v>處</v>
          </cell>
          <cell r="D282">
            <v>20</v>
          </cell>
          <cell r="E282">
            <v>286.93</v>
          </cell>
        </row>
        <row r="283">
          <cell r="A283">
            <v>275</v>
          </cell>
          <cell r="B283" t="str">
            <v>施工測量，控制測量，平面測量，連接管設施，含成果製作</v>
          </cell>
          <cell r="C283" t="str">
            <v>處</v>
          </cell>
          <cell r="D283">
            <v>20</v>
          </cell>
          <cell r="E283">
            <v>286.93</v>
          </cell>
        </row>
        <row r="284">
          <cell r="A284">
            <v>276</v>
          </cell>
          <cell r="B284" t="str">
            <v>施工測量，控制測量，平面測量，機械清掃孔設施，含成果製作</v>
          </cell>
          <cell r="C284" t="str">
            <v>處</v>
          </cell>
          <cell r="D284">
            <v>20</v>
          </cell>
          <cell r="E284">
            <v>358.66</v>
          </cell>
        </row>
        <row r="285">
          <cell r="A285">
            <v>277</v>
          </cell>
          <cell r="B285" t="str">
            <v>施工測量，地形測量，平面測量，土木及水利工程</v>
          </cell>
          <cell r="C285" t="str">
            <v>㎡</v>
          </cell>
          <cell r="D285">
            <v>140</v>
          </cell>
          <cell r="E285">
            <v>9.83</v>
          </cell>
        </row>
        <row r="286">
          <cell r="A286">
            <v>278</v>
          </cell>
          <cell r="B286" t="str">
            <v>水深測量，縱橫斷面(含導線測量)，河川，測深記錄</v>
          </cell>
          <cell r="C286" t="str">
            <v>M</v>
          </cell>
          <cell r="D286">
            <v>50</v>
          </cell>
          <cell r="E286">
            <v>80.77</v>
          </cell>
        </row>
        <row r="287">
          <cell r="A287">
            <v>279</v>
          </cell>
          <cell r="B287" t="str">
            <v>施工測量，雨水下水道系統資料建置費，含成果製作</v>
          </cell>
          <cell r="C287" t="str">
            <v>次</v>
          </cell>
          <cell r="D287">
            <v>3</v>
          </cell>
          <cell r="E287">
            <v>2151.94</v>
          </cell>
        </row>
        <row r="288">
          <cell r="A288">
            <v>280</v>
          </cell>
          <cell r="B288" t="str">
            <v>聚氯乙烯塑膠管及配件，PVC管(B管厚管)，(標稱150mm，厚8.5mm)，含管配件</v>
          </cell>
          <cell r="C288" t="str">
            <v>M</v>
          </cell>
          <cell r="D288">
            <v>5</v>
          </cell>
          <cell r="E288">
            <v>315.26</v>
          </cell>
        </row>
        <row r="289">
          <cell r="A289">
            <v>281</v>
          </cell>
          <cell r="B289" t="str">
            <v>聚氯乙烯塑膠管及配件，PVC管(B管厚管)，(標稱200mm，厚10.5mm，含管配件</v>
          </cell>
          <cell r="C289" t="str">
            <v>M</v>
          </cell>
          <cell r="D289">
            <v>5</v>
          </cell>
          <cell r="E289">
            <v>477.06</v>
          </cell>
        </row>
        <row r="290">
          <cell r="A290">
            <v>282</v>
          </cell>
          <cell r="B290" t="str">
            <v>聚氯乙烯塑膠管及配件，PVC管(B管厚管)，(標稱250mm，厚13.0mm，含管配件</v>
          </cell>
          <cell r="C290" t="str">
            <v>M</v>
          </cell>
          <cell r="D290">
            <v>5</v>
          </cell>
          <cell r="E290">
            <v>549.46</v>
          </cell>
        </row>
        <row r="291">
          <cell r="A291">
            <v>283</v>
          </cell>
          <cell r="B291" t="str">
            <v>聚氯乙烯塑膠管及配件，PVC管(B管厚管)，(標稱300mm，厚15.5mm，含管配件</v>
          </cell>
          <cell r="C291" t="str">
            <v>M</v>
          </cell>
          <cell r="D291">
            <v>5</v>
          </cell>
          <cell r="E291">
            <v>872.25</v>
          </cell>
        </row>
        <row r="292">
          <cell r="A292">
            <v>284</v>
          </cell>
          <cell r="B292" t="str">
            <v>聚氯乙烯塑膠管及配件，PVC管(B管厚管)，(標稱400mm，厚20.5mm，含管配件</v>
          </cell>
          <cell r="C292" t="str">
            <v>M</v>
          </cell>
          <cell r="D292">
            <v>5</v>
          </cell>
          <cell r="E292">
            <v>1101.79</v>
          </cell>
        </row>
        <row r="293">
          <cell r="A293">
            <v>285</v>
          </cell>
          <cell r="B293" t="str">
            <v>導線管，PVC管，∮1.5”，接線及安裝</v>
          </cell>
          <cell r="C293" t="str">
            <v>M</v>
          </cell>
          <cell r="D293">
            <v>50</v>
          </cell>
          <cell r="E293">
            <v>25.11</v>
          </cell>
        </row>
        <row r="294">
          <cell r="A294">
            <v>286</v>
          </cell>
          <cell r="B294" t="str">
            <v>導線管，PVC管，∮2”，接線及安裝</v>
          </cell>
          <cell r="C294" t="str">
            <v>M</v>
          </cell>
          <cell r="D294">
            <v>50</v>
          </cell>
          <cell r="E294">
            <v>28.69</v>
          </cell>
        </row>
        <row r="295">
          <cell r="A295">
            <v>287</v>
          </cell>
          <cell r="B295" t="str">
            <v>導線管，PVC管，∮3”，接線及安裝</v>
          </cell>
          <cell r="C295" t="str">
            <v>M</v>
          </cell>
          <cell r="D295">
            <v>50</v>
          </cell>
          <cell r="E295">
            <v>32.28</v>
          </cell>
        </row>
        <row r="296">
          <cell r="A296">
            <v>288</v>
          </cell>
          <cell r="B296" t="str">
            <v>導線管，PVC管，∮4”，接線及安裝</v>
          </cell>
          <cell r="C296" t="str">
            <v>M</v>
          </cell>
          <cell r="D296">
            <v>50</v>
          </cell>
          <cell r="E296">
            <v>35.869999999999997</v>
          </cell>
        </row>
        <row r="297">
          <cell r="A297">
            <v>289</v>
          </cell>
          <cell r="B297" t="str">
            <v>導線管，PVC管，∮5”，接線及安裝</v>
          </cell>
          <cell r="C297" t="str">
            <v>M</v>
          </cell>
          <cell r="D297">
            <v>50</v>
          </cell>
          <cell r="E297">
            <v>39.450000000000003</v>
          </cell>
        </row>
        <row r="298">
          <cell r="A298">
            <v>290</v>
          </cell>
          <cell r="B298" t="str">
            <v>導線管，PVC管，∮6”，接線及安裝</v>
          </cell>
          <cell r="C298" t="str">
            <v>M</v>
          </cell>
          <cell r="D298">
            <v>50</v>
          </cell>
          <cell r="E298">
            <v>43.04</v>
          </cell>
        </row>
        <row r="299">
          <cell r="A299">
            <v>291</v>
          </cell>
        </row>
        <row r="300">
          <cell r="A300">
            <v>292</v>
          </cell>
        </row>
        <row r="301">
          <cell r="A301">
            <v>293</v>
          </cell>
        </row>
        <row r="302">
          <cell r="A302">
            <v>294</v>
          </cell>
        </row>
        <row r="303">
          <cell r="A303">
            <v>295</v>
          </cell>
        </row>
        <row r="304">
          <cell r="A304">
            <v>296</v>
          </cell>
        </row>
        <row r="305">
          <cell r="A305">
            <v>297</v>
          </cell>
        </row>
        <row r="306">
          <cell r="A306">
            <v>298</v>
          </cell>
        </row>
        <row r="307">
          <cell r="A307">
            <v>299</v>
          </cell>
        </row>
        <row r="308">
          <cell r="A308">
            <v>300</v>
          </cell>
        </row>
        <row r="309">
          <cell r="A309">
            <v>301</v>
          </cell>
        </row>
        <row r="310">
          <cell r="A310">
            <v>302</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工程數量表"/>
      <sheetName val="單價分析表"/>
      <sheetName val="施工進度表"/>
      <sheetName val="土方計算"/>
      <sheetName val="工程材料檢(試)驗總表"/>
      <sheetName val="工程數量統計表"/>
      <sheetName val="1"/>
      <sheetName val="Module3"/>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s>
    <sheetDataSet>
      <sheetData sheetId="0"/>
      <sheetData sheetId="1"/>
      <sheetData sheetId="2"/>
      <sheetData sheetId="3"/>
      <sheetData sheetId="4"/>
      <sheetData sheetId="5"/>
      <sheetData sheetId="6"/>
      <sheetData sheetId="7"/>
      <sheetData sheetId="8"/>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單價分析表"/>
    </sheetNames>
    <sheetDataSet>
      <sheetData sheetId="0" refreshError="1"/>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詳細表 (2)"/>
      <sheetName val="單價分析表"/>
      <sheetName val="單價分析表 (2)"/>
      <sheetName val="工程數量表"/>
      <sheetName val="工程數量統計表"/>
      <sheetName val="土方計算表"/>
      <sheetName val="施工進度表"/>
      <sheetName val="工程材料檢(試)驗總表"/>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詳細表 (2)"/>
      <sheetName val="單價分析表"/>
      <sheetName val="單價分析表 (2)"/>
      <sheetName val="工程數量表"/>
      <sheetName val="工程數量統計表"/>
      <sheetName val="土方計算表"/>
      <sheetName val="施工進度表"/>
      <sheetName val="工程材料檢(試)驗總表"/>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單價分析表"/>
      <sheetName val="工程數量表"/>
      <sheetName val="工程數量統計表"/>
      <sheetName val="土方計算表"/>
      <sheetName val="施工進度表"/>
      <sheetName val="工程材料檢(試)驗總表"/>
      <sheetName val="詳細表 (2)"/>
      <sheetName val="單價分析表 (2)"/>
      <sheetName val="數量表"/>
      <sheetName val="數量統計表"/>
      <sheetName val="Sheet1"/>
      <sheetName val="數量計算表"/>
      <sheetName val="參數"/>
      <sheetName val="施工進度表格式二"/>
      <sheetName val="審查表"/>
      <sheetName val="建議底價表"/>
      <sheetName val="類似工程比較表"/>
      <sheetName val="數量統計"/>
      <sheetName val="數量表 (2)"/>
      <sheetName val="數量統計表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單價分析表"/>
      <sheetName val="工程數量表"/>
      <sheetName val="工程數量統計表"/>
      <sheetName val="土方計算表"/>
      <sheetName val="施工進度表"/>
      <sheetName val="工程材料檢(試)驗總表"/>
      <sheetName val="詳細表 (2)"/>
      <sheetName val="單價分析表 (2)"/>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sheetPr>
  <dimension ref="A1:J80"/>
  <sheetViews>
    <sheetView view="pageBreakPreview" zoomScale="130" zoomScaleNormal="100" zoomScaleSheetLayoutView="130" workbookViewId="0">
      <selection activeCell="C52" sqref="C52"/>
    </sheetView>
  </sheetViews>
  <sheetFormatPr defaultColWidth="0.625" defaultRowHeight="16.5"/>
  <cols>
    <col min="1" max="1" width="2.375" customWidth="1"/>
    <col min="2" max="2" width="12.5" style="49" customWidth="1"/>
    <col min="3" max="3" width="30" style="40" customWidth="1"/>
    <col min="4" max="4" width="12.5" style="40" customWidth="1"/>
    <col min="5" max="5" width="12.375" style="49" customWidth="1"/>
    <col min="6" max="6" width="20" style="51" customWidth="1"/>
    <col min="7" max="7" width="15.5" style="49" customWidth="1"/>
    <col min="8" max="8" width="2.375" customWidth="1"/>
    <col min="9" max="9" width="0.875" customWidth="1"/>
    <col min="10" max="10" width="6.375" customWidth="1"/>
  </cols>
  <sheetData>
    <row r="1" spans="2:10" ht="15.6" customHeight="1">
      <c r="B1" s="1353" t="s">
        <v>2928</v>
      </c>
      <c r="C1" s="1353"/>
      <c r="D1" s="1353"/>
      <c r="E1" s="1353"/>
      <c r="F1" s="1354" t="s">
        <v>2927</v>
      </c>
      <c r="G1" s="1354"/>
      <c r="H1" s="107"/>
      <c r="I1" s="107"/>
      <c r="J1" s="107"/>
    </row>
    <row r="2" spans="2:10" ht="15.6" customHeight="1">
      <c r="B2" s="1169" t="s">
        <v>4315</v>
      </c>
      <c r="C2" s="1166" t="str">
        <f>自檢資料!V99</f>
        <v>114雨水(士大)</v>
      </c>
      <c r="D2" s="1164" t="s">
        <v>4312</v>
      </c>
      <c r="E2" s="1197" t="s">
        <v>3763</v>
      </c>
      <c r="F2" s="1357" t="s">
        <v>4361</v>
      </c>
      <c r="G2" s="1357"/>
    </row>
    <row r="3" spans="2:10" ht="15.6" customHeight="1">
      <c r="B3" s="1173" t="s">
        <v>2923</v>
      </c>
      <c r="C3" s="1168">
        <f ca="1">TODAY()-1</f>
        <v>45992</v>
      </c>
      <c r="D3" s="1173" t="s">
        <v>2924</v>
      </c>
      <c r="E3" s="1167" t="s">
        <v>6037</v>
      </c>
      <c r="F3" s="1357"/>
      <c r="G3" s="1357"/>
    </row>
    <row r="4" spans="2:10" ht="15.6" customHeight="1">
      <c r="B4" s="1169" t="s">
        <v>4320</v>
      </c>
      <c r="C4" s="1174" t="e">
        <f>自檢資料!H2</f>
        <v>#REF!</v>
      </c>
      <c r="D4" s="1173" t="s">
        <v>2925</v>
      </c>
      <c r="E4" s="1167" t="s">
        <v>6037</v>
      </c>
      <c r="F4" s="1357"/>
      <c r="G4" s="1357"/>
    </row>
    <row r="5" spans="2:10" ht="15.6" customHeight="1">
      <c r="B5" s="1169" t="s">
        <v>4321</v>
      </c>
      <c r="C5" s="1175" t="s">
        <v>6040</v>
      </c>
      <c r="D5" s="1169" t="s">
        <v>2907</v>
      </c>
      <c r="E5" s="1170">
        <v>10</v>
      </c>
      <c r="F5" s="1357"/>
      <c r="G5" s="1357"/>
    </row>
    <row r="6" spans="2:10" ht="15.6" customHeight="1">
      <c r="B6" s="1169" t="s">
        <v>4316</v>
      </c>
      <c r="C6" s="1175" t="s">
        <v>6041</v>
      </c>
      <c r="D6" s="1169" t="s">
        <v>2926</v>
      </c>
      <c r="E6" s="1171">
        <v>0</v>
      </c>
      <c r="F6" s="1357"/>
      <c r="G6" s="1357"/>
    </row>
    <row r="7" spans="2:10" ht="15.6" customHeight="1">
      <c r="B7" s="1169" t="s">
        <v>4317</v>
      </c>
      <c r="C7" s="1175" t="s">
        <v>4405</v>
      </c>
      <c r="D7" s="1169" t="s">
        <v>2909</v>
      </c>
      <c r="E7" s="1171">
        <v>0</v>
      </c>
      <c r="F7" s="1357"/>
      <c r="G7" s="1357"/>
    </row>
    <row r="8" spans="2:10" ht="15.6" customHeight="1">
      <c r="B8" s="1163" t="s">
        <v>4314</v>
      </c>
      <c r="C8" s="1172"/>
      <c r="D8" s="1169" t="s">
        <v>2908</v>
      </c>
      <c r="E8" s="1199">
        <v>5</v>
      </c>
      <c r="F8" s="1358"/>
      <c r="G8" s="1358"/>
    </row>
    <row r="9" spans="2:10" ht="15.6" customHeight="1">
      <c r="B9" s="1331" t="s">
        <v>4319</v>
      </c>
      <c r="C9" s="1332"/>
      <c r="D9" s="1333"/>
      <c r="E9" s="1333"/>
      <c r="F9" s="1358"/>
      <c r="G9" s="1358"/>
    </row>
    <row r="10" spans="2:10" ht="15.6" customHeight="1">
      <c r="B10" s="1334" t="s">
        <v>6042</v>
      </c>
      <c r="C10" s="1335"/>
      <c r="D10" s="1335"/>
      <c r="E10" s="1336"/>
      <c r="F10" s="1358"/>
      <c r="G10" s="1358"/>
    </row>
    <row r="11" spans="2:10" s="1" customFormat="1" ht="15.6" customHeight="1">
      <c r="B11" s="1337"/>
      <c r="C11" s="1338"/>
      <c r="D11" s="1338"/>
      <c r="E11" s="1339"/>
      <c r="F11" s="1358"/>
      <c r="G11" s="1358"/>
    </row>
    <row r="12" spans="2:10" s="1" customFormat="1" ht="15.6" customHeight="1">
      <c r="B12" s="1337"/>
      <c r="C12" s="1338"/>
      <c r="D12" s="1338"/>
      <c r="E12" s="1339"/>
      <c r="F12" s="1358"/>
      <c r="G12" s="1358"/>
    </row>
    <row r="13" spans="2:10" s="1" customFormat="1" ht="15.6" customHeight="1">
      <c r="B13" s="1337"/>
      <c r="C13" s="1338"/>
      <c r="D13" s="1338"/>
      <c r="E13" s="1339"/>
      <c r="F13" s="1358"/>
      <c r="G13" s="1358"/>
    </row>
    <row r="14" spans="2:10" s="1" customFormat="1" ht="15.6" customHeight="1">
      <c r="B14" s="1340"/>
      <c r="C14" s="1341"/>
      <c r="D14" s="1341"/>
      <c r="E14" s="1342"/>
      <c r="F14" s="1358"/>
      <c r="G14" s="1358"/>
    </row>
    <row r="15" spans="2:10" s="1" customFormat="1" ht="15.6" customHeight="1">
      <c r="B15" s="1368" t="s">
        <v>4313</v>
      </c>
      <c r="C15" s="1369"/>
      <c r="D15" s="1370"/>
      <c r="E15" s="1370"/>
      <c r="F15" s="1370"/>
      <c r="G15" s="1371"/>
      <c r="H15" s="704"/>
    </row>
    <row r="16" spans="2:10" ht="15.6" customHeight="1">
      <c r="B16" s="1359" t="s">
        <v>6057</v>
      </c>
      <c r="C16" s="1360"/>
      <c r="D16" s="1360"/>
      <c r="E16" s="1360"/>
      <c r="F16" s="1360"/>
      <c r="G16" s="1361"/>
    </row>
    <row r="17" spans="1:8" ht="15.6" customHeight="1">
      <c r="B17" s="1362"/>
      <c r="C17" s="1363"/>
      <c r="D17" s="1363"/>
      <c r="E17" s="1363"/>
      <c r="F17" s="1363"/>
      <c r="G17" s="1364"/>
    </row>
    <row r="18" spans="1:8" ht="15.6" customHeight="1">
      <c r="B18" s="1362"/>
      <c r="C18" s="1363"/>
      <c r="D18" s="1363"/>
      <c r="E18" s="1363"/>
      <c r="F18" s="1363"/>
      <c r="G18" s="1364"/>
    </row>
    <row r="19" spans="1:8" s="1" customFormat="1" ht="15.6" customHeight="1">
      <c r="B19" s="1362"/>
      <c r="C19" s="1363"/>
      <c r="D19" s="1363"/>
      <c r="E19" s="1363"/>
      <c r="F19" s="1363"/>
      <c r="G19" s="1364"/>
      <c r="H19" s="704"/>
    </row>
    <row r="20" spans="1:8" s="1" customFormat="1" ht="15.6" customHeight="1">
      <c r="B20" s="1362"/>
      <c r="C20" s="1363"/>
      <c r="D20" s="1363"/>
      <c r="E20" s="1363"/>
      <c r="F20" s="1363"/>
      <c r="G20" s="1364"/>
      <c r="H20" s="704"/>
    </row>
    <row r="21" spans="1:8" s="1" customFormat="1" ht="15.6" customHeight="1">
      <c r="B21" s="1362"/>
      <c r="C21" s="1363"/>
      <c r="D21" s="1363"/>
      <c r="E21" s="1363"/>
      <c r="F21" s="1363"/>
      <c r="G21" s="1364"/>
      <c r="H21" s="704"/>
    </row>
    <row r="22" spans="1:8" s="1" customFormat="1" ht="15.6" customHeight="1">
      <c r="B22" s="1362"/>
      <c r="C22" s="1363"/>
      <c r="D22" s="1363"/>
      <c r="E22" s="1363"/>
      <c r="F22" s="1363"/>
      <c r="G22" s="1364"/>
      <c r="H22" s="704"/>
    </row>
    <row r="23" spans="1:8" s="1" customFormat="1" ht="15.6" customHeight="1">
      <c r="B23" s="1362"/>
      <c r="C23" s="1363"/>
      <c r="D23" s="1363"/>
      <c r="E23" s="1363"/>
      <c r="F23" s="1363"/>
      <c r="G23" s="1364"/>
      <c r="H23" s="704"/>
    </row>
    <row r="24" spans="1:8" s="1" customFormat="1" ht="15.6" customHeight="1">
      <c r="B24" s="1362"/>
      <c r="C24" s="1363"/>
      <c r="D24" s="1363"/>
      <c r="E24" s="1363"/>
      <c r="F24" s="1363"/>
      <c r="G24" s="1364"/>
      <c r="H24" s="1162"/>
    </row>
    <row r="25" spans="1:8" s="1" customFormat="1" ht="15.6" customHeight="1">
      <c r="B25" s="1362"/>
      <c r="C25" s="1363"/>
      <c r="D25" s="1363"/>
      <c r="E25" s="1363"/>
      <c r="F25" s="1363"/>
      <c r="G25" s="1364"/>
      <c r="H25" s="704"/>
    </row>
    <row r="26" spans="1:8" s="1" customFormat="1" ht="79.5" customHeight="1">
      <c r="B26" s="1365"/>
      <c r="C26" s="1366"/>
      <c r="D26" s="1366"/>
      <c r="E26" s="1366"/>
      <c r="F26" s="1366"/>
      <c r="G26" s="1367"/>
      <c r="H26" s="704"/>
    </row>
    <row r="27" spans="1:8" s="1" customFormat="1" ht="15" customHeight="1">
      <c r="H27" s="704"/>
    </row>
    <row r="28" spans="1:8">
      <c r="A28" s="107"/>
      <c r="B28" s="964" t="s">
        <v>4273</v>
      </c>
      <c r="C28" s="964" t="s">
        <v>4272</v>
      </c>
      <c r="D28" s="965" t="s">
        <v>2913</v>
      </c>
      <c r="E28" s="965" t="s">
        <v>2835</v>
      </c>
      <c r="F28" s="964" t="s">
        <v>789</v>
      </c>
      <c r="G28" s="964" t="s">
        <v>2834</v>
      </c>
    </row>
    <row r="29" spans="1:8" s="918" customFormat="1" ht="22.5" customHeight="1">
      <c r="A29" s="917"/>
      <c r="B29" s="1343" t="s">
        <v>2957</v>
      </c>
      <c r="C29" s="732" t="str">
        <f>IF(自檢資料!L99=0," ",自檢資料!L99)</f>
        <v>工地處理，緊急搶修，路面開挖</v>
      </c>
      <c r="D29" s="919" t="str">
        <f>IF(自檢資料!P99="-","-",自檢資料!P99&amp;自檢資料!O99)</f>
        <v>-</v>
      </c>
      <c r="E29" s="920" t="str">
        <f>IF(自檢資料!N99="-","-",自檢資料!N99&amp;自檢資料!O99)</f>
        <v>-</v>
      </c>
      <c r="F29" s="972" t="str">
        <f>IF(自檢資料!Q99=0," ",自檢資料!Q99)</f>
        <v xml:space="preserve"> </v>
      </c>
      <c r="G29" s="1349" t="s">
        <v>4303</v>
      </c>
    </row>
    <row r="30" spans="1:8" s="917" customFormat="1" ht="22.5" customHeight="1">
      <c r="B30" s="1374"/>
      <c r="C30" s="981" t="str">
        <f>IF(自檢資料!L100=0," ",自檢資料!L100)</f>
        <v>工地處理，緊急搶修，路面開挖，夜間施工</v>
      </c>
      <c r="D30" s="983" t="str">
        <f>IF(自檢資料!P100="-","-",自檢資料!P100&amp;自檢資料!O100)</f>
        <v>-</v>
      </c>
      <c r="E30" s="983" t="str">
        <f>IF(自檢資料!N100="-","-",自檢資料!N100&amp;自檢資料!O100)</f>
        <v>-</v>
      </c>
      <c r="F30" s="984" t="str">
        <f>IF(自檢資料!Q100=0," ",自檢資料!Q100)</f>
        <v xml:space="preserve"> </v>
      </c>
      <c r="G30" s="1350"/>
    </row>
    <row r="31" spans="1:8" s="917" customFormat="1" ht="22.5" customHeight="1">
      <c r="B31" s="1374"/>
      <c r="C31" s="732" t="str">
        <f>IF(自檢資料!L101=0," ",自檢資料!L101)</f>
        <v>餘方自行處理(含水土保持)，總重8-8.9t傾卸貨車</v>
      </c>
      <c r="D31" s="919" t="str">
        <f>IF(自檢資料!P101="-","-",自檢資料!P101&amp;自檢資料!O101)</f>
        <v>-</v>
      </c>
      <c r="E31" s="920" t="str">
        <f>IF(自檢資料!N101="-","-",自檢資料!N101&amp;自檢資料!O101)</f>
        <v>-</v>
      </c>
      <c r="F31" s="972" t="str">
        <f>IF(自檢資料!Q101=0," ",自檢資料!Q101)</f>
        <v xml:space="preserve"> </v>
      </c>
      <c r="G31" s="1372" t="str">
        <f>自檢資料!J99</f>
        <v xml:space="preserve">搶修開挖:0處
挖方總和:0m3
餘方總和:0m3
</v>
      </c>
    </row>
    <row r="32" spans="1:8" s="917" customFormat="1" ht="22.5" customHeight="1">
      <c r="B32" s="1374"/>
      <c r="C32" s="981" t="str">
        <f>IF(自檢資料!L102=0," ",自檢資料!L102)</f>
        <v>餘方自行處理(含水土保持)，總重3-3.9t貨車</v>
      </c>
      <c r="D32" s="983" t="s">
        <v>4407</v>
      </c>
      <c r="E32" s="983" t="str">
        <f>IF(自檢資料!N102="-","-",自檢資料!N102&amp;自檢資料!O102)</f>
        <v>-</v>
      </c>
      <c r="F32" s="984" t="str">
        <f>IF(自檢資料!Q102=0," ",自檢資料!Q102)</f>
        <v xml:space="preserve"> </v>
      </c>
      <c r="G32" s="1372"/>
    </row>
    <row r="33" spans="2:7" s="917" customFormat="1" ht="22.5" customHeight="1">
      <c r="B33" s="1374"/>
      <c r="C33" s="982" t="str">
        <f>IF(自檢資料!L103=0," ",自檢資料!L103)</f>
        <v>餘方自行處理(含水土保持)，總重15t傾卸貨車</v>
      </c>
      <c r="D33" s="919" t="str">
        <f>IF(自檢資料!P103="-","-",自檢資料!P103&amp;自檢資料!O103)</f>
        <v>-</v>
      </c>
      <c r="E33" s="920" t="str">
        <f>IF(自檢資料!N103="-","-",自檢資料!N103&amp;自檢資料!O103)</f>
        <v>-</v>
      </c>
      <c r="F33" s="972" t="str">
        <f>IF(自檢資料!Q103=0," ",自檢資料!Q103)</f>
        <v xml:space="preserve"> </v>
      </c>
      <c r="G33" s="1372"/>
    </row>
    <row r="34" spans="2:7" s="917" customFormat="1" ht="22.5" customHeight="1">
      <c r="B34" s="1374"/>
      <c r="C34" s="981" t="str">
        <f>IF(自檢資料!L104=0," ",自檢資料!L104)</f>
        <v>餘方自行處理(含水土保持)，總重15t以下傾卸貨車</v>
      </c>
      <c r="D34" s="983" t="str">
        <f>IF(自檢資料!P104="-","-",自檢資料!P104&amp;自檢資料!O104)</f>
        <v>-</v>
      </c>
      <c r="E34" s="983" t="str">
        <f>IF(自檢資料!N104="-","-",自檢資料!N104&amp;自檢資料!O104)</f>
        <v>-</v>
      </c>
      <c r="F34" s="984" t="str">
        <f>IF(自檢資料!Q104=0," ",自檢資料!Q104)</f>
        <v xml:space="preserve"> </v>
      </c>
      <c r="G34" s="1372"/>
    </row>
    <row r="35" spans="2:7" s="917" customFormat="1" ht="22.5" customHeight="1">
      <c r="B35" s="1374"/>
      <c r="C35" s="732" t="str">
        <f>IF(自檢資料!L105=0," ",自檢資料!L105)</f>
        <v xml:space="preserve"> </v>
      </c>
      <c r="D35" s="919" t="str">
        <f>IF(自檢資料!P105="-","-",自檢資料!P105&amp;自檢資料!O105)</f>
        <v xml:space="preserve">  </v>
      </c>
      <c r="E35" s="920" t="str">
        <f>IF(自檢資料!N105="-","-",自檢資料!N105&amp;自檢資料!O105)</f>
        <v xml:space="preserve">  </v>
      </c>
      <c r="F35" s="972" t="str">
        <f>IF(自檢資料!Q105=0," ",自檢資料!Q105)</f>
        <v xml:space="preserve"> </v>
      </c>
      <c r="G35" s="1372"/>
    </row>
    <row r="36" spans="2:7" s="917" customFormat="1" ht="22.5" customHeight="1">
      <c r="B36" s="1375"/>
      <c r="C36" s="981" t="str">
        <f>IF(自檢資料!L106=0," ",自檢資料!L106)</f>
        <v xml:space="preserve"> </v>
      </c>
      <c r="D36" s="983" t="str">
        <f>IF(自檢資料!P106="-","-",自檢資料!P106&amp;自檢資料!O106)</f>
        <v xml:space="preserve">  </v>
      </c>
      <c r="E36" s="983" t="str">
        <f>IF(自檢資料!N106="-","-",自檢資料!N106&amp;自檢資料!O106)</f>
        <v xml:space="preserve">  </v>
      </c>
      <c r="F36" s="984" t="str">
        <f>IF(自檢資料!Q106=0," ",自檢資料!Q106)</f>
        <v xml:space="preserve"> </v>
      </c>
      <c r="G36" s="1373"/>
    </row>
    <row r="37" spans="2:7" s="917" customFormat="1" ht="22.5" customHeight="1">
      <c r="B37" s="1346" t="s">
        <v>4258</v>
      </c>
      <c r="C37" s="732" t="str">
        <f>IF(自檢資料!L107=0," ",自檢資料!L107)</f>
        <v>清運，工區內二次搬運，人工</v>
      </c>
      <c r="D37" s="919" t="str">
        <f>IF(自檢資料!P107="-","-",自檢資料!P107&amp;自檢資料!O107)</f>
        <v>-</v>
      </c>
      <c r="E37" s="920" t="str">
        <f>IF(自檢資料!N107="-","-",自檢資料!N107&amp;自檢資料!O107)</f>
        <v>-</v>
      </c>
      <c r="F37" s="972" t="str">
        <f>IF(自檢資料!Q107=0," ",自檢資料!Q107)</f>
        <v xml:space="preserve"> </v>
      </c>
      <c r="G37" s="1349" t="s">
        <v>4303</v>
      </c>
    </row>
    <row r="38" spans="2:7" s="917" customFormat="1" ht="22.5" customHeight="1">
      <c r="B38" s="1344"/>
      <c r="C38" s="981" t="str">
        <f>IF(自檢資料!L108=0," ",自檢資料!L108)</f>
        <v>結構用混凝土，預拌，140kgf/cm2</v>
      </c>
      <c r="D38" s="983" t="str">
        <f>IF(自檢資料!P108="-","-",自檢資料!P108&amp;自檢資料!O108)</f>
        <v>-</v>
      </c>
      <c r="E38" s="983" t="str">
        <f>IF(自檢資料!N108="-","-",自檢資料!N108&amp;自檢資料!O108)</f>
        <v>-</v>
      </c>
      <c r="F38" s="984" t="str">
        <f>IF(自檢資料!Q108=0," ",自檢資料!Q108)</f>
        <v xml:space="preserve"> </v>
      </c>
      <c r="G38" s="1350"/>
    </row>
    <row r="39" spans="2:7" s="917" customFormat="1" ht="22.5" customHeight="1">
      <c r="B39" s="1344"/>
      <c r="C39" s="732" t="str">
        <f>IF(自檢資料!L109=0," ",自檢資料!L109)</f>
        <v>結構用混凝土，預拌，210kgf/cm2</v>
      </c>
      <c r="D39" s="919" t="str">
        <f>IF(自檢資料!P109="-","-",自檢資料!P109&amp;自檢資料!O109)</f>
        <v>-</v>
      </c>
      <c r="E39" s="920" t="str">
        <f>IF(自檢資料!N109="-","-",自檢資料!N109&amp;自檢資料!O109)</f>
        <v>-</v>
      </c>
      <c r="F39" s="972" t="str">
        <f>IF(自檢資料!Q109=0," ",自檢資料!Q109)</f>
        <v xml:space="preserve"> </v>
      </c>
      <c r="G39" s="1347" t="str">
        <f>自檢資料!J107</f>
        <v xml:space="preserve">混凝土總量:0m3
140占比:0%
210占比:0%
280占比:0%
</v>
      </c>
    </row>
    <row r="40" spans="2:7" s="917" customFormat="1" ht="22.5" customHeight="1">
      <c r="B40" s="1344"/>
      <c r="C40" s="981" t="str">
        <f>IF(自檢資料!L110=0," ",自檢資料!L110)</f>
        <v>結構用混凝土，預拌，280kgf/cm2</v>
      </c>
      <c r="D40" s="983" t="str">
        <f>IF(自檢資料!P110="-","-",自檢資料!P110&amp;自檢資料!O110)</f>
        <v>-</v>
      </c>
      <c r="E40" s="983" t="str">
        <f>IF(自檢資料!N110="-","-",自檢資料!N110&amp;自檢資料!O110)</f>
        <v>-</v>
      </c>
      <c r="F40" s="984" t="str">
        <f>IF(自檢資料!Q110=0," ",自檢資料!Q110)</f>
        <v xml:space="preserve"> </v>
      </c>
      <c r="G40" s="1347"/>
    </row>
    <row r="41" spans="2:7" s="917" customFormat="1" ht="22.5" customHeight="1">
      <c r="B41" s="1344"/>
      <c r="C41" s="732" t="str">
        <f>IF(自檢資料!L111=0," ",自檢資料!L111)</f>
        <v>控制性低強度回填材料及澆置</v>
      </c>
      <c r="D41" s="919" t="str">
        <f>IF(自檢資料!P111="-","-",自檢資料!P111&amp;自檢資料!O111)</f>
        <v>-</v>
      </c>
      <c r="E41" s="920" t="str">
        <f>IF(自檢資料!N111="-","-",自檢資料!N111&amp;自檢資料!O111)</f>
        <v>-</v>
      </c>
      <c r="F41" s="972" t="str">
        <f>IF(自檢資料!Q111=0," ",自檢資料!Q111)</f>
        <v xml:space="preserve"> </v>
      </c>
      <c r="G41" s="1347"/>
    </row>
    <row r="42" spans="2:7" s="917" customFormat="1" ht="22.5" customHeight="1">
      <c r="B42" s="1355"/>
      <c r="C42" s="981" t="str">
        <f>IF(自檢資料!L112=0," ",自檢資料!L112)</f>
        <v>鋼筋，SD280W.</v>
      </c>
      <c r="D42" s="983" t="str">
        <f>IF(自檢資料!P112="-","-",自檢資料!P112&amp;自檢資料!O112)</f>
        <v>-</v>
      </c>
      <c r="E42" s="983" t="str">
        <f>IF(自檢資料!N112="-","-",自檢資料!N112&amp;自檢資料!O112)</f>
        <v>-</v>
      </c>
      <c r="F42" s="984" t="str">
        <f>IF(自檢資料!Q112=0," ",自檢資料!Q112)</f>
        <v xml:space="preserve"> </v>
      </c>
      <c r="G42" s="1347"/>
    </row>
    <row r="43" spans="2:7" s="917" customFormat="1" ht="22.5" customHeight="1">
      <c r="B43" s="1356"/>
      <c r="C43" s="732" t="str">
        <f>IF(自檢資料!L113=0," ",自檢資料!L113)</f>
        <v>鋼筋，SD420W.</v>
      </c>
      <c r="D43" s="919" t="str">
        <f>IF(自檢資料!P113="-","-",自檢資料!P113&amp;自檢資料!O113)</f>
        <v>-</v>
      </c>
      <c r="E43" s="920" t="str">
        <f>IF(自檢資料!N113="-","-",自檢資料!N113&amp;自檢資料!O113)</f>
        <v>-</v>
      </c>
      <c r="F43" s="972" t="str">
        <f>IF(自檢資料!Q113=0," ",自檢資料!Q113)</f>
        <v xml:space="preserve"> </v>
      </c>
      <c r="G43" s="1348"/>
    </row>
    <row r="44" spans="2:7" s="917" customFormat="1" ht="31.35" customHeight="1">
      <c r="B44" s="1343" t="s">
        <v>4268</v>
      </c>
      <c r="C44" s="981" t="str">
        <f>IF(自檢資料!L114=0," ",自檢資料!L114)</f>
        <v>瀝青混凝土面層刨除，刨除機1.2m寬，緊急搶修工程用，未含刨除料運費</v>
      </c>
      <c r="D44" s="983" t="str">
        <f>IF(自檢資料!P114="-","-",自檢資料!P114&amp;自檢資料!O114)</f>
        <v>-</v>
      </c>
      <c r="E44" s="983" t="str">
        <f>IF(自檢資料!N114="-","-",自檢資料!N114&amp;自檢資料!O114)</f>
        <v>-</v>
      </c>
      <c r="F44" s="984" t="str">
        <f>IF(自檢資料!Q114=0," ",自檢資料!Q114)</f>
        <v xml:space="preserve"> </v>
      </c>
      <c r="G44" s="1349" t="s">
        <v>4303</v>
      </c>
    </row>
    <row r="45" spans="2:7" s="917" customFormat="1" ht="31.35" customHeight="1">
      <c r="B45" s="1344"/>
      <c r="C45" s="982" t="str">
        <f>IF(自檢資料!L115=0," ",自檢資料!L115)</f>
        <v>瀝青混凝土面層刨除，刨除機1.2m寬，緊急搶修工程用，未含刨除料運費，夜間施工</v>
      </c>
      <c r="D45" s="920" t="str">
        <f>IF(自檢資料!P115="-","-",自檢資料!P115&amp;自檢資料!O115)</f>
        <v>-</v>
      </c>
      <c r="E45" s="920" t="str">
        <f>IF(自檢資料!N115="-","-",自檢資料!N115&amp;自檢資料!O115)</f>
        <v>-</v>
      </c>
      <c r="F45" s="972" t="str">
        <f>IF(自檢資料!Q115=0," ",自檢資料!Q115)</f>
        <v xml:space="preserve"> </v>
      </c>
      <c r="G45" s="1350"/>
    </row>
    <row r="46" spans="2:7" s="917" customFormat="1" ht="31.35" customHeight="1">
      <c r="B46" s="1344"/>
      <c r="C46" s="981" t="str">
        <f>IF(自檢資料!L116=0," ",自檢資料!L116)</f>
        <v>瀝青混凝土面層刨除，刨除料運費.</v>
      </c>
      <c r="D46" s="983" t="str">
        <f>IF(自檢資料!P116="-","-",自檢資料!P116&amp;自檢資料!O116)</f>
        <v>-</v>
      </c>
      <c r="E46" s="983" t="str">
        <f>IF(自檢資料!N116="-","-",自檢資料!N116&amp;自檢資料!O116)</f>
        <v>-</v>
      </c>
      <c r="F46" s="984" t="str">
        <f>IF(自檢資料!Q116=0," ",自檢資料!Q116)</f>
        <v xml:space="preserve"> </v>
      </c>
      <c r="G46" s="1347" t="str">
        <f>自檢資料!J114</f>
        <v xml:space="preserve">
</v>
      </c>
    </row>
    <row r="47" spans="2:7" s="917" customFormat="1" ht="31.35" customHeight="1">
      <c r="B47" s="1344"/>
      <c r="C47" s="982" t="str">
        <f>IF(自檢資料!L117=0," ",自檢資料!L117)</f>
        <v>瀝青混凝土舖面，粗粒料9.5mm，針入度60-70，緊急搶修工程用，舖築及滾壓另計</v>
      </c>
      <c r="D47" s="920" t="str">
        <f>IF(自檢資料!P117="-","-",自檢資料!P117&amp;自檢資料!O117)</f>
        <v>-</v>
      </c>
      <c r="E47" s="920" t="str">
        <f>IF(自檢資料!N117="-","-",自檢資料!N117&amp;自檢資料!O117)</f>
        <v>-</v>
      </c>
      <c r="F47" s="972" t="str">
        <f>IF(自檢資料!Q117=0," ",自檢資料!Q117)</f>
        <v xml:space="preserve"> </v>
      </c>
      <c r="G47" s="1347"/>
    </row>
    <row r="48" spans="2:7" s="917" customFormat="1" ht="31.35" customHeight="1">
      <c r="B48" s="1344"/>
      <c r="C48" s="981" t="str">
        <f>IF(自檢資料!L118=0," ",自檢資料!L118)</f>
        <v>瀝青混凝土舖面，粗粒料19.0mm，針入度60-70，緊急搶修工程用，舖築及滾壓另計</v>
      </c>
      <c r="D48" s="983" t="str">
        <f>IF(自檢資料!P118="-","-",自檢資料!P118&amp;自檢資料!O118)</f>
        <v>-</v>
      </c>
      <c r="E48" s="983" t="str">
        <f>IF(自檢資料!N118="-","-",自檢資料!N118&amp;自檢資料!O118)</f>
        <v>-</v>
      </c>
      <c r="F48" s="984" t="str">
        <f>IF(自檢資料!Q118=0," ",自檢資料!Q118)</f>
        <v xml:space="preserve"> </v>
      </c>
      <c r="G48" s="1347"/>
    </row>
    <row r="49" spans="2:7" s="917" customFormat="1" ht="31.35" customHeight="1">
      <c r="B49" s="1344"/>
      <c r="C49" s="982" t="str">
        <f>IF(自檢資料!L119=0," ",自檢資料!L119)</f>
        <v>瀝青混凝土面，密級配改質瀝青混凝土，粗粒料19mm，改質Ⅲ型，緊急搶修工程用，舖築及滾壓另計</v>
      </c>
      <c r="D49" s="920" t="str">
        <f>IF(自檢資料!P119="-","-",自檢資料!P119&amp;自檢資料!O119)</f>
        <v>-</v>
      </c>
      <c r="E49" s="920" t="str">
        <f>IF(自檢資料!N119="-","-",自檢資料!N119&amp;自檢資料!O119)</f>
        <v>-</v>
      </c>
      <c r="F49" s="972" t="str">
        <f>IF(自檢資料!Q119=0," ",自檢資料!Q119)</f>
        <v xml:space="preserve"> </v>
      </c>
      <c r="G49" s="1347"/>
    </row>
    <row r="50" spans="2:7" s="917" customFormat="1" ht="31.35" customHeight="1">
      <c r="B50" s="1344"/>
      <c r="C50" s="981" t="str">
        <f>IF(自檢資料!L120=0," ",自檢資料!L120)</f>
        <v>瀝青混凝土面，再生粒料，粗粒料9.5mm，緊急搶修工程用，舖築及滾壓另計</v>
      </c>
      <c r="D50" s="983" t="str">
        <f>IF(自檢資料!P120="-","-",自檢資料!P120&amp;自檢資料!O120)</f>
        <v>-</v>
      </c>
      <c r="E50" s="983" t="str">
        <f>IF(自檢資料!N120="-","-",自檢資料!N120&amp;自檢資料!O120)</f>
        <v>-</v>
      </c>
      <c r="F50" s="984" t="str">
        <f>IF(自檢資料!Q120=0," ",自檢資料!Q120)</f>
        <v xml:space="preserve"> </v>
      </c>
      <c r="G50" s="1347"/>
    </row>
    <row r="51" spans="2:7" s="917" customFormat="1" ht="31.35" customHeight="1">
      <c r="B51" s="1344"/>
      <c r="C51" s="982" t="str">
        <f>IF(自檢資料!L121=0," ",自檢資料!L121)</f>
        <v>瀝青混凝土面，再生粒料，粗粒料19.0mm，緊急搶修工程用，舖築及滾壓另計</v>
      </c>
      <c r="D51" s="920" t="str">
        <f>IF(自檢資料!P121="-","-",自檢資料!P121&amp;自檢資料!O121)</f>
        <v>-</v>
      </c>
      <c r="E51" s="920" t="str">
        <f>IF(自檢資料!N121="-","-",自檢資料!N121&amp;自檢資料!O121)</f>
        <v>-</v>
      </c>
      <c r="F51" s="972" t="str">
        <f>IF(自檢資料!Q121=0," ",自檢資料!Q121)</f>
        <v xml:space="preserve"> </v>
      </c>
      <c r="G51" s="1347"/>
    </row>
    <row r="52" spans="2:7" s="917" customFormat="1" ht="31.35" customHeight="1">
      <c r="B52" s="1344"/>
      <c r="C52" s="981" t="str">
        <f>IF(自檢資料!L122=0," ",自檢資料!L122)</f>
        <v>瀝青混凝土舖面，舖築及滾壓，緊急搶修工程用，鋪設面積≦50m2適用</v>
      </c>
      <c r="D52" s="983" t="str">
        <f>IF(自檢資料!P122="-","-",自檢資料!P122&amp;自檢資料!O122)</f>
        <v>1處</v>
      </c>
      <c r="E52" s="983" t="str">
        <f>IF(自檢資料!N122="-","-",自檢資料!N122&amp;自檢資料!O122)</f>
        <v>-</v>
      </c>
      <c r="F52" s="984" t="str">
        <f>IF(自檢資料!Q122=0," ",自檢資料!Q122)</f>
        <v xml:space="preserve"> </v>
      </c>
      <c r="G52" s="1347"/>
    </row>
    <row r="53" spans="2:7" s="917" customFormat="1" ht="31.35" customHeight="1">
      <c r="B53" s="1344"/>
      <c r="C53" s="982" t="str">
        <f>IF(自檢資料!L123=0," ",自檢資料!L123)</f>
        <v>瀝青混凝土舖面，舖築及滾壓，緊急搶修工程用，鋪設面積＞50m2適用</v>
      </c>
      <c r="D53" s="920" t="str">
        <f>IF(自檢資料!P123="-","-",自檢資料!P123&amp;自檢資料!O123)</f>
        <v>-</v>
      </c>
      <c r="E53" s="920" t="str">
        <f>IF(自檢資料!N123="-","-",自檢資料!N123&amp;自檢資料!O123)</f>
        <v>-</v>
      </c>
      <c r="F53" s="972" t="str">
        <f>IF(自檢資料!Q123=0," ",自檢資料!Q123)</f>
        <v xml:space="preserve"> </v>
      </c>
      <c r="G53" s="1347"/>
    </row>
    <row r="54" spans="2:7" s="917" customFormat="1" ht="31.35" customHeight="1">
      <c r="B54" s="1344"/>
      <c r="C54" s="981" t="str">
        <f>IF(自檢資料!L124=0," ",自檢資料!L124)</f>
        <v>瀝青混凝土舖面，舖築及滾壓，緊急搶修工程用，鋪設面積≦50m2適用，夜間</v>
      </c>
      <c r="D54" s="983" t="str">
        <f>IF(自檢資料!P124="-","-",自檢資料!P124&amp;自檢資料!O124)</f>
        <v>1處</v>
      </c>
      <c r="E54" s="983" t="str">
        <f>IF(自檢資料!N124="-","-",自檢資料!N124&amp;自檢資料!O124)</f>
        <v>-</v>
      </c>
      <c r="F54" s="984" t="str">
        <f>IF(自檢資料!Q124=0," ",自檢資料!Q124)</f>
        <v xml:space="preserve"> </v>
      </c>
      <c r="G54" s="1347"/>
    </row>
    <row r="55" spans="2:7" s="917" customFormat="1" ht="31.35" customHeight="1">
      <c r="B55" s="1344"/>
      <c r="C55" s="982" t="str">
        <f>IF(自檢資料!L125=0," ",自檢資料!L125)</f>
        <v>瀝青混凝土舖面，舖築及滾壓，緊急搶修工程用，鋪設面積＞50m2適用，夜間</v>
      </c>
      <c r="D55" s="920" t="str">
        <f>IF(自檢資料!P125="-","-",自檢資料!P125&amp;自檢資料!O125)</f>
        <v>-</v>
      </c>
      <c r="E55" s="920" t="str">
        <f>IF(自檢資料!N125="-","-",自檢資料!N125&amp;自檢資料!O125)</f>
        <v>-</v>
      </c>
      <c r="F55" s="972" t="str">
        <f>IF(自檢資料!Q125=0," ",自檢資料!Q125)</f>
        <v xml:space="preserve"> </v>
      </c>
      <c r="G55" s="1347"/>
    </row>
    <row r="56" spans="2:7" s="917" customFormat="1" ht="31.35" customHeight="1">
      <c r="B56" s="1344"/>
      <c r="C56" s="981" t="str">
        <f>IF(自檢資料!L126=0," ",自檢資料!L126)</f>
        <v>搬運費，AC施工機械(面積2000m2以下適用)</v>
      </c>
      <c r="D56" s="983" t="str">
        <f>IF(自檢資料!P126="-","-",自檢資料!P126&amp;自檢資料!O126)</f>
        <v>1次</v>
      </c>
      <c r="E56" s="983" t="str">
        <f>IF(自檢資料!N126="-","-",自檢資料!N126&amp;自檢資料!O126)</f>
        <v>-</v>
      </c>
      <c r="F56" s="984" t="str">
        <f>IF(自檢資料!Q126=0," ",自檢資料!Q126)</f>
        <v xml:space="preserve"> </v>
      </c>
      <c r="G56" s="1347"/>
    </row>
    <row r="57" spans="2:7" s="917" customFormat="1" ht="31.35" customHeight="1">
      <c r="B57" s="1345"/>
      <c r="C57" s="982" t="str">
        <f>IF(自檢資料!L127=0," ",自檢資料!L127)</f>
        <v>開挖機，0.70-0.79m3</v>
      </c>
      <c r="D57" s="920" t="str">
        <f>IF(自檢資料!P127="-","-",自檢資料!P127&amp;自檢資料!O127)</f>
        <v>-</v>
      </c>
      <c r="E57" s="920" t="str">
        <f>IF(自檢資料!N127="-","-",自檢資料!N127&amp;自檢資料!O127)</f>
        <v>-</v>
      </c>
      <c r="F57" s="972" t="str">
        <f>IF(自檢資料!Q127=0," ",自檢資料!Q127)</f>
        <v>開挖機所需之操作手累加至其他操作手工項</v>
      </c>
      <c r="G57" s="1348"/>
    </row>
    <row r="58" spans="2:7" s="917" customFormat="1" ht="30.6" customHeight="1">
      <c r="B58" s="1343" t="s">
        <v>4264</v>
      </c>
      <c r="C58" s="981" t="str">
        <f>IF(自檢資料!L128=0," ",自檢資料!L128)</f>
        <v>標線，熱處理聚酯，反光，厚2mm，第Ⅱ型，12公尺以下道路及零星路段繪設</v>
      </c>
      <c r="D58" s="983" t="str">
        <f>IF(自檢資料!P128="-","-",自檢資料!P128&amp;自檢資料!O128)</f>
        <v>-</v>
      </c>
      <c r="E58" s="983" t="str">
        <f>IF(自檢資料!N128="-","-",自檢資料!N128&amp;自檢資料!O128)</f>
        <v>-</v>
      </c>
      <c r="F58" s="984" t="str">
        <f>IF(自檢資料!Q128=0," ",自檢資料!Q128)</f>
        <v xml:space="preserve"> </v>
      </c>
      <c r="G58" s="1349" t="str">
        <f>"□符合"&amp;CHAR(10)&amp;
"□不適用"&amp;CHAR(10)&amp;
自檢資料!J128</f>
        <v xml:space="preserve">□符合
□不適用
</v>
      </c>
    </row>
    <row r="59" spans="2:7" s="917" customFormat="1" ht="22.5" customHeight="1">
      <c r="B59" s="1344"/>
      <c r="C59" s="982" t="str">
        <f>IF(自檢資料!L129=0," ",自檢資料!L129)</f>
        <v>油漆，一底二度，耐候性油漆塗佈</v>
      </c>
      <c r="D59" s="920" t="str">
        <f>IF(自檢資料!P129="-","-",自檢資料!P129&amp;自檢資料!O129)</f>
        <v>-</v>
      </c>
      <c r="E59" s="920" t="str">
        <f>IF(自檢資料!N129="-","-",自檢資料!N129&amp;自檢資料!O129)</f>
        <v>-</v>
      </c>
      <c r="F59" s="972" t="str">
        <f>IF(自檢資料!Q129=0," ",自檢資料!Q129)</f>
        <v xml:space="preserve"> </v>
      </c>
      <c r="G59" s="1350"/>
    </row>
    <row r="60" spans="2:7" s="917" customFormat="1" ht="22.5" customHeight="1">
      <c r="B60" s="1345"/>
      <c r="C60" s="981" t="str">
        <f>IF(自檢資料!L130=0," ",自檢資料!L130)</f>
        <v>彩色鋪面</v>
      </c>
      <c r="D60" s="983" t="str">
        <f>IF(自檢資料!P130="-","-",自檢資料!P130&amp;自檢資料!O130)</f>
        <v>-</v>
      </c>
      <c r="E60" s="983" t="str">
        <f>IF(自檢資料!N130="-","-",自檢資料!N130&amp;自檢資料!O130)</f>
        <v>-</v>
      </c>
      <c r="F60" s="984" t="str">
        <f>IF(自檢資料!Q130=0," ",自檢資料!Q130)</f>
        <v>人行步道</v>
      </c>
      <c r="G60" s="1376"/>
    </row>
    <row r="61" spans="2:7" s="917" customFormat="1" ht="22.5" customHeight="1">
      <c r="B61" s="1343" t="s">
        <v>4269</v>
      </c>
      <c r="C61" s="982" t="str">
        <f>IF(自檢資料!L131=0," ",自檢資料!L131)</f>
        <v>吊卡車，15米-噸</v>
      </c>
      <c r="D61" s="920" t="str">
        <f>IF(自檢資料!P131="-","-",自檢資料!P131&amp;自檢資料!O131)</f>
        <v>4時</v>
      </c>
      <c r="E61" s="920" t="str">
        <f>IF(自檢資料!N131="-","-",自檢資料!N131&amp;自檢資料!O131)</f>
        <v>-</v>
      </c>
      <c r="F61" s="972" t="str">
        <f>IF(自檢資料!Q131=0," ",自檢資料!Q131)</f>
        <v xml:space="preserve"> </v>
      </c>
      <c r="G61" s="1349" t="s">
        <v>4303</v>
      </c>
    </row>
    <row r="62" spans="2:7" s="917" customFormat="1" ht="22.5" customHeight="1">
      <c r="B62" s="1344"/>
      <c r="C62" s="981" t="str">
        <f>IF(自檢資料!L132=0," ",自檢資料!L132)</f>
        <v>輪式鏟裝車</v>
      </c>
      <c r="D62" s="983" t="str">
        <f>IF(自檢資料!P132="-","-",自檢資料!P132&amp;自檢資料!O132)</f>
        <v>4時</v>
      </c>
      <c r="E62" s="983" t="str">
        <f>IF(自檢資料!N132="-","-",自檢資料!N132&amp;自檢資料!O132)</f>
        <v>-</v>
      </c>
      <c r="F62" s="984" t="str">
        <f>IF(自檢資料!Q132=0," ",自檢資料!Q132)</f>
        <v xml:space="preserve"> </v>
      </c>
      <c r="G62" s="1350"/>
    </row>
    <row r="63" spans="2:7" s="917" customFormat="1" ht="22.5" customHeight="1">
      <c r="B63" s="1344"/>
      <c r="C63" s="982" t="str">
        <f>IF(自檢資料!L133=0," ",自檢資料!L133)</f>
        <v>操作手，重機械</v>
      </c>
      <c r="D63" s="920" t="str">
        <f>IF(自檢資料!P133="-","-",自檢資料!P133&amp;自檢資料!O133)</f>
        <v xml:space="preserve"> 時</v>
      </c>
      <c r="E63" s="920" t="str">
        <f>IF(自檢資料!N133="-","-",自檢資料!N133&amp;自檢資料!O133)</f>
        <v>-</v>
      </c>
      <c r="F63" s="972" t="str">
        <f>IF(自檢資料!Q133=0," ",自檢資料!Q133)</f>
        <v xml:space="preserve"> </v>
      </c>
      <c r="G63" s="1347" t="str">
        <f>自檢資料!J131</f>
        <v xml:space="preserve">
</v>
      </c>
    </row>
    <row r="64" spans="2:7" s="917" customFormat="1" ht="22.5" customHeight="1">
      <c r="B64" s="1344"/>
      <c r="C64" s="981" t="str">
        <f>IF(自檢資料!L134=0," ",自檢資料!L134)</f>
        <v>灑水車，8.0-8.9m3</v>
      </c>
      <c r="D64" s="983" t="str">
        <f>IF(自檢資料!P134="-","-",自檢資料!P134&amp;自檢資料!O134)</f>
        <v>4時</v>
      </c>
      <c r="E64" s="983" t="str">
        <f>IF(自檢資料!N134="-","-",自檢資料!N134&amp;自檢資料!O134)</f>
        <v>-</v>
      </c>
      <c r="F64" s="984" t="str">
        <f>IF(自檢資料!Q134=0," ",自檢資料!Q134)</f>
        <v xml:space="preserve"> </v>
      </c>
      <c r="G64" s="1347"/>
    </row>
    <row r="65" spans="2:7" s="917" customFormat="1" ht="22.5" customHeight="1">
      <c r="B65" s="1344"/>
      <c r="C65" s="982" t="str">
        <f>IF(自檢資料!L135=0," ",自檢資料!L135)</f>
        <v>駕駛，小貨車</v>
      </c>
      <c r="D65" s="920" t="str">
        <f>IF(自檢資料!P135="-","-",自檢資料!P135&amp;自檢資料!O135)</f>
        <v>4時</v>
      </c>
      <c r="E65" s="920" t="str">
        <f>IF(自檢資料!N135="-","-",自檢資料!N135&amp;自檢資料!O135)</f>
        <v>-</v>
      </c>
      <c r="F65" s="972" t="str">
        <f>IF(自檢資料!Q135=0," ",自檢資料!Q135)</f>
        <v xml:space="preserve"> </v>
      </c>
      <c r="G65" s="1347"/>
    </row>
    <row r="66" spans="2:7" s="917" customFormat="1" ht="22.5" customHeight="1">
      <c r="B66" s="1344"/>
      <c r="C66" s="981" t="str">
        <f>IF(自檢資料!L136=0," ",自檢資料!L136)</f>
        <v>臨時設施，排水設備，引擎抽水機，D=10cm，租金</v>
      </c>
      <c r="D66" s="983" t="str">
        <f>IF(自檢資料!P136="-","-",自檢資料!P136&amp;自檢資料!O136)</f>
        <v>0時</v>
      </c>
      <c r="E66" s="983" t="str">
        <f>IF(自檢資料!N136="-","-",自檢資料!N136&amp;自檢資料!O136)</f>
        <v>-</v>
      </c>
      <c r="F66" s="984" t="str">
        <f>IF(自檢資料!Q136=0," ",自檢資料!Q136)</f>
        <v>2小時/日*工期/2</v>
      </c>
      <c r="G66" s="1347"/>
    </row>
    <row r="67" spans="2:7" s="917" customFormat="1" ht="22.5" customHeight="1">
      <c r="B67" s="1344"/>
      <c r="C67" s="982" t="str">
        <f>IF(自檢資料!L137=0," ",自檢資料!L137)</f>
        <v>臨時設施，排水設備，沉水式抽水機，D=15cm，租金</v>
      </c>
      <c r="D67" s="920" t="str">
        <f>IF(自檢資料!P137="-","-",自檢資料!P137&amp;自檢資料!O137)</f>
        <v>0時</v>
      </c>
      <c r="E67" s="920" t="str">
        <f>IF(自檢資料!N137="-","-",自檢資料!N137&amp;自檢資料!O137)</f>
        <v>-</v>
      </c>
      <c r="F67" s="972" t="str">
        <f>IF(自檢資料!Q137=0," ",自檢資料!Q137)</f>
        <v>2小時/日*工期/2</v>
      </c>
      <c r="G67" s="1347"/>
    </row>
    <row r="68" spans="2:7" s="917" customFormat="1" ht="22.5" customHeight="1">
      <c r="B68" s="1344"/>
      <c r="C68" s="981" t="str">
        <f>IF(自檢資料!L138=0," ",自檢資料!L138)</f>
        <v>臨時設施，排水設備，沉水式抽水機，D=10cm，租金</v>
      </c>
      <c r="D68" s="983" t="str">
        <f>IF(自檢資料!P138="-","-",自檢資料!P138&amp;自檢資料!O138)</f>
        <v>0時</v>
      </c>
      <c r="E68" s="983" t="str">
        <f>IF(自檢資料!N138="-","-",自檢資料!N138&amp;自檢資料!O138)</f>
        <v>-</v>
      </c>
      <c r="F68" s="984" t="str">
        <f>IF(自檢資料!Q138=0," ",自檢資料!Q138)</f>
        <v>2小時/日*工期/2</v>
      </c>
      <c r="G68" s="1347"/>
    </row>
    <row r="69" spans="2:7" s="917" customFormat="1" ht="22.5" customHeight="1">
      <c r="B69" s="1344"/>
      <c r="C69" s="982" t="str">
        <f>IF(自檢資料!L139=0," ",自檢資料!L139)</f>
        <v>圍水，砂包堆置</v>
      </c>
      <c r="D69" s="920" t="str">
        <f>IF(自檢資料!P139="-","-",自檢資料!P139&amp;自檢資料!O139)</f>
        <v>-</v>
      </c>
      <c r="E69" s="920" t="str">
        <f>IF(自檢資料!N139="-","-",自檢資料!N139&amp;自檢資料!O139)</f>
        <v>-</v>
      </c>
      <c r="F69" s="972" t="str">
        <f>IF(自檢資料!Q139=0," ",自檢資料!Q139)</f>
        <v>溝寬*溝深*0.2</v>
      </c>
      <c r="G69" s="1347"/>
    </row>
    <row r="70" spans="2:7" s="917" customFormat="1" ht="22.5" customHeight="1">
      <c r="B70" s="1344"/>
      <c r="C70" s="981" t="str">
        <f>IF(自檢資料!L140=0," ",自檢資料!L140)</f>
        <v>施工照相及攝(錄)影，施工動態即時影像傳輸費，機關提供攝影機</v>
      </c>
      <c r="D70" s="983" t="str">
        <f>IF(自檢資料!P140="-","-",自檢資料!P140&amp;自檢資料!O140)</f>
        <v>0日/台</v>
      </c>
      <c r="E70" s="983" t="str">
        <f>IF(自檢資料!N140="-","-",自檢資料!N140&amp;自檢資料!O140)</f>
        <v>-</v>
      </c>
      <c r="F70" s="984" t="str">
        <f>IF(自檢資料!Q140=0," ",自檢資料!Q140)</f>
        <v xml:space="preserve"> </v>
      </c>
      <c r="G70" s="1347"/>
    </row>
    <row r="71" spans="2:7" s="917" customFormat="1" ht="21">
      <c r="B71" s="1345"/>
      <c r="C71" s="982" t="str">
        <f>IF(自檢資料!L141=0," ",自檢資料!L141)</f>
        <v>施工照相及攝(錄)影，(4G行動門號，即時攝影無線傳輸)，施工動態即時影像傳輸費</v>
      </c>
      <c r="D71" s="920" t="str">
        <f>IF(自檢資料!P141="-","-",自檢資料!P141&amp;自檢資料!O141)</f>
        <v>0日/台</v>
      </c>
      <c r="E71" s="920" t="str">
        <f>IF(自檢資料!N141="-","-",自檢資料!N141&amp;自檢資料!O141)</f>
        <v>-</v>
      </c>
      <c r="F71" s="972" t="str">
        <f>IF(自檢資料!Q141=0," ",自檢資料!Q141)</f>
        <v xml:space="preserve"> </v>
      </c>
      <c r="G71" s="1348"/>
    </row>
    <row r="72" spans="2:7" s="917" customFormat="1" ht="22.5" customHeight="1">
      <c r="B72" s="1346" t="s">
        <v>4270</v>
      </c>
      <c r="C72" s="981" t="str">
        <f>IF(自檢資料!L142=0," ",自檢資料!L142)</f>
        <v>型鋼護欄，含警示燈</v>
      </c>
      <c r="D72" s="983" t="str">
        <f>IF(自檢資料!P142="-","-",自檢資料!P142&amp;自檢資料!O142)</f>
        <v>-</v>
      </c>
      <c r="E72" s="983" t="str">
        <f>IF(自檢資料!N142="-","-",自檢資料!N142&amp;自檢資料!O142)</f>
        <v>-</v>
      </c>
      <c r="F72" s="984" t="str">
        <f>IF(自檢資料!Q142=0," ",自檢資料!Q142)</f>
        <v>超過8m以上道路</v>
      </c>
      <c r="G72" s="1349" t="s">
        <v>4303</v>
      </c>
    </row>
    <row r="73" spans="2:7" s="917" customFormat="1" ht="22.5" customHeight="1">
      <c r="B73" s="1344"/>
      <c r="C73" s="982" t="str">
        <f>IF(自檢資料!L143=0," ",自檢資料!L143)</f>
        <v>交通維持用，槽鋼護欄，含警示燈</v>
      </c>
      <c r="D73" s="920" t="str">
        <f>IF(自檢資料!P143="-","-",自檢資料!P143&amp;自檢資料!O143)</f>
        <v>-</v>
      </c>
      <c r="E73" s="920" t="str">
        <f>IF(自檢資料!N143="-","-",自檢資料!N143&amp;自檢資料!O143)</f>
        <v>-</v>
      </c>
      <c r="F73" s="972" t="str">
        <f>IF(自檢資料!Q143=0," ",自檢資料!Q143)</f>
        <v>8m以下道路</v>
      </c>
      <c r="G73" s="1350"/>
    </row>
    <row r="74" spans="2:7" s="917" customFormat="1" ht="22.5" customHeight="1">
      <c r="B74" s="1344"/>
      <c r="C74" s="981" t="str">
        <f>IF(自檢資料!L144=0," ",自檢資料!L144)</f>
        <v>交通維持，道路管制人員，日間(06-22時)，義交</v>
      </c>
      <c r="D74" s="983" t="str">
        <f>IF(自檢資料!P144="-","-",自檢資料!P144&amp;自檢資料!O144)</f>
        <v>-</v>
      </c>
      <c r="E74" s="983" t="str">
        <f>IF(自檢資料!N144="-","-",自檢資料!N144&amp;自檢資料!O144)</f>
        <v>-</v>
      </c>
      <c r="F74" s="984" t="str">
        <f>IF(自檢資料!Q144=0," ",自檢資料!Q144)</f>
        <v>(8小時/日*工期/2)</v>
      </c>
      <c r="G74" s="1351" t="str">
        <f>自檢資料!J142</f>
        <v xml:space="preserve">
</v>
      </c>
    </row>
    <row r="75" spans="2:7" s="917" customFormat="1" ht="22.5" customHeight="1">
      <c r="B75" s="1344"/>
      <c r="C75" s="982" t="str">
        <f>IF(自檢資料!L145=0," ",自檢資料!L145)</f>
        <v>交通維持，道路管制人員，夜間(22-06時)，義交</v>
      </c>
      <c r="D75" s="920" t="str">
        <f>IF(自檢資料!P145="-","-",自檢資料!P145&amp;自檢資料!O145)</f>
        <v>-</v>
      </c>
      <c r="E75" s="920" t="str">
        <f>IF(自檢資料!N145="-","-",自檢資料!N145&amp;自檢資料!O145)</f>
        <v>-</v>
      </c>
      <c r="F75" s="972" t="str">
        <f>IF(自檢資料!Q145=0," ",自檢資料!Q145)</f>
        <v>(8小時/日*工期/2)</v>
      </c>
      <c r="G75" s="1351"/>
    </row>
    <row r="76" spans="2:7" s="917" customFormat="1" ht="22.5" customHeight="1">
      <c r="B76" s="1345"/>
      <c r="C76" s="981" t="str">
        <f>IF(自檢資料!L146=0," ",自檢資料!L146)</f>
        <v>配合技術工之勞工</v>
      </c>
      <c r="D76" s="983" t="str">
        <f>IF(自檢資料!P146="-","-",自檢資料!P146&amp;自檢資料!O146)</f>
        <v>-</v>
      </c>
      <c r="E76" s="983" t="str">
        <f>IF(自檢資料!N146="-","-",自檢資料!N146&amp;自檢資料!O146)</f>
        <v>-</v>
      </c>
      <c r="F76" s="984" t="str">
        <f>IF(自檢資料!Q146=0," ",自檢資料!Q146)</f>
        <v>緊急搶修開立前3天共計24小時</v>
      </c>
      <c r="G76" s="1352"/>
    </row>
    <row r="77" spans="2:7" s="917" customFormat="1" ht="22.5" customHeight="1">
      <c r="B77" s="1346" t="s">
        <v>4271</v>
      </c>
      <c r="C77" s="982" t="str">
        <f>IF(自檢資料!L147=0," ",自檢資料!L147)</f>
        <v>臨時設施，雜項工程，工地處理，施工動復員，小型機具</v>
      </c>
      <c r="D77" s="920" t="str">
        <f>IF(自檢資料!P147="-","-",自檢資料!P147&amp;自檢資料!O147)</f>
        <v xml:space="preserve"> 次</v>
      </c>
      <c r="E77" s="920" t="str">
        <f>IF(自檢資料!N147="-","-",自檢資料!N147&amp;自檢資料!O147)</f>
        <v>-</v>
      </c>
      <c r="F77" s="972" t="str">
        <f>IF(自檢資料!Q147=0," ",自檢資料!Q147)</f>
        <v>工程金額(施工費)在「25萬元以下」開立</v>
      </c>
      <c r="G77" s="1349" t="s">
        <v>4303</v>
      </c>
    </row>
    <row r="78" spans="2:7" s="917" customFormat="1" ht="22.5" customHeight="1">
      <c r="B78" s="1344"/>
      <c r="C78" s="981" t="str">
        <f>IF(自檢資料!L148=0," ",自檢資料!L148)</f>
        <v>臨時設施，雜項工程，工地處理，施工動復員，大型機具</v>
      </c>
      <c r="D78" s="983" t="str">
        <f>IF(自檢資料!P148="-","-",自檢資料!P148&amp;自檢資料!O148)</f>
        <v xml:space="preserve"> 次</v>
      </c>
      <c r="E78" s="983" t="str">
        <f>IF(自檢資料!N148="-","-",自檢資料!N148&amp;自檢資料!O148)</f>
        <v>-</v>
      </c>
      <c r="F78" s="984" t="str">
        <f>IF(自檢資料!Q148=0," ",自檢資料!Q148)</f>
        <v xml:space="preserve"> </v>
      </c>
      <c r="G78" s="1350"/>
    </row>
    <row r="79" spans="2:7" s="917" customFormat="1" ht="22.5" customHeight="1">
      <c r="B79" s="1344"/>
      <c r="C79" s="732" t="str">
        <f>IF(自檢資料!L149=0," ",自檢資料!L149)</f>
        <v>切割瀝青混凝土或無筋混凝土，10cm≦切割深度</v>
      </c>
      <c r="D79" s="919" t="str">
        <f>IF(自檢資料!P149="-","-",自檢資料!P149&amp;自檢資料!O149)</f>
        <v>-</v>
      </c>
      <c r="E79" s="920" t="str">
        <f>IF(自檢資料!N149="-","-",自檢資料!N149&amp;自檢資料!O149)</f>
        <v>-</v>
      </c>
      <c r="F79" s="972" t="str">
        <f>IF(自檢資料!Q149=0," ",自檢資料!Q149)</f>
        <v xml:space="preserve"> </v>
      </c>
      <c r="G79" s="1347" t="e">
        <f>自檢資料!J147</f>
        <v>#REF!</v>
      </c>
    </row>
    <row r="80" spans="2:7" s="917" customFormat="1" ht="22.5" customHeight="1">
      <c r="B80" s="1345"/>
      <c r="C80" s="981" t="str">
        <f>IF(自檢資料!L150=0," ",自檢資料!L150)</f>
        <v>伸縮縫</v>
      </c>
      <c r="D80" s="983" t="str">
        <f>IF(自檢資料!P150="-","-",自檢資料!P150&amp;自檢資料!O150)</f>
        <v>-</v>
      </c>
      <c r="E80" s="983" t="str">
        <f>IF(自檢資料!N150="-","-",自檢資料!N150&amp;自檢資料!O150)</f>
        <v>-</v>
      </c>
      <c r="F80" s="984" t="str">
        <f>IF(自檢資料!Q150=0," ",自檢資料!Q150)</f>
        <v xml:space="preserve"> </v>
      </c>
      <c r="G80" s="1348"/>
    </row>
  </sheetData>
  <sheetProtection selectLockedCells="1" autoFilter="0"/>
  <dataConsolidate/>
  <mergeCells count="27">
    <mergeCell ref="B1:E1"/>
    <mergeCell ref="B44:B57"/>
    <mergeCell ref="B58:B60"/>
    <mergeCell ref="F1:G1"/>
    <mergeCell ref="B37:B43"/>
    <mergeCell ref="G39:G43"/>
    <mergeCell ref="F2:G14"/>
    <mergeCell ref="B16:G26"/>
    <mergeCell ref="B15:G15"/>
    <mergeCell ref="G44:G45"/>
    <mergeCell ref="G46:G57"/>
    <mergeCell ref="G29:G30"/>
    <mergeCell ref="G31:G36"/>
    <mergeCell ref="B29:B36"/>
    <mergeCell ref="G37:G38"/>
    <mergeCell ref="G58:G60"/>
    <mergeCell ref="G79:G80"/>
    <mergeCell ref="G63:G71"/>
    <mergeCell ref="G72:G73"/>
    <mergeCell ref="G74:G76"/>
    <mergeCell ref="G61:G62"/>
    <mergeCell ref="G77:G78"/>
    <mergeCell ref="B9:E9"/>
    <mergeCell ref="B10:E14"/>
    <mergeCell ref="B61:B71"/>
    <mergeCell ref="B72:B76"/>
    <mergeCell ref="B77:B80"/>
  </mergeCells>
  <phoneticPr fontId="3" type="noConversion"/>
  <dataValidations count="6">
    <dataValidation type="list" allowBlank="1" showInputMessage="1" showErrorMessage="1" sqref="E2" xr:uid="{00000000-0002-0000-0000-000000000000}">
      <formula1>"一般案,搶修案"</formula1>
    </dataValidation>
    <dataValidation type="list" allowBlank="1" showInputMessage="1" showErrorMessage="1" sqref="D5" xr:uid="{00000000-0002-0000-0000-000001000000}">
      <formula1>"道路銑鋪復舊(全巷道),  道路銑鋪復舊(再生瀝青), 道路銑鋪復舊(改質三型),   開挖處銑鋪復舊,  開挖處臨補 由OOO辦理後續銑鋪復舊, 沿溝蓋邊緣切割 樹脂混凝土復舊,  沿溝蓋邊緣切割 AC回填復舊,  沿溝蓋邊緣切割 RC復舊"</formula1>
    </dataValidation>
    <dataValidation type="list" allowBlank="1" showInputMessage="1" showErrorMessage="1" sqref="C7" xr:uid="{00000000-0002-0000-0000-000003000000}">
      <formula1>"本案無銑鋪(10cm),道路銑鋪復舊(一般瀝青),道路銑鋪復舊(再生瀝青),道路銑鋪復舊(改質三型),開挖處銑鋪復舊,開挖處臨補 由OOO辦理後續銑鋪復舊,"</formula1>
    </dataValidation>
    <dataValidation type="list" allowBlank="1" showInputMessage="1" showErrorMessage="1" sqref="C6" xr:uid="{00000000-0002-0000-0000-000004000000}">
      <formula1>"本案無銑鋪(5cm),道路銑鋪復舊(一般瀝青),道路銑鋪復舊(再生瀝青),道路銑鋪復舊(改質三型),開挖處銑鋪復舊,開挖處臨補 由OOO辦理後續銑鋪復舊,"</formula1>
    </dataValidation>
    <dataValidation type="list" allowBlank="1" showInputMessage="1" showErrorMessage="1" sqref="C5" xr:uid="{00000000-0002-0000-0000-000005000000}">
      <formula1>"本案無切割,樹脂混凝土回填復舊,AC回填復舊,RC回填復舊,AC回填復舊 由OOO辦理後續銑鋪復舊,"</formula1>
    </dataValidation>
    <dataValidation type="list" allowBlank="1" showInputMessage="1" showErrorMessage="1" sqref="E3:E4" xr:uid="{6AB30008-6335-4D98-A6B6-9C8272094ED4}">
      <formula1>"經理,小左,煜璿,雅萱,周周,阿嘎,庭瑋,其他"</formula1>
    </dataValidation>
  </dataValidations>
  <pageMargins left="0.70866141732283472" right="0.70866141732283472" top="1.3779527559055118" bottom="0.70866141732283472" header="0.31496062992125984" footer="0.31496062992125984"/>
  <pageSetup paperSize="9" scale="80" fitToWidth="0" fitToHeight="0" orientation="portrait" r:id="rId1"/>
  <headerFooter>
    <oddHeader xml:space="preserve">&amp;L&amp;"標楷體,標準"&amp;10
&amp;F&amp;C&amp;"標楷體,粗體"&amp;16 雨水設計  開立及試驗自檢表&amp;R&amp;"標楷體,標準"
版本:5.2.2&amp;8
&amp;12
</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
    <tabColor theme="9"/>
  </sheetPr>
  <dimension ref="A1:I35"/>
  <sheetViews>
    <sheetView view="pageLayout" topLeftCell="A10" zoomScaleNormal="100" workbookViewId="0">
      <selection activeCell="G14" sqref="G14"/>
    </sheetView>
  </sheetViews>
  <sheetFormatPr defaultColWidth="2.75" defaultRowHeight="16.5"/>
  <cols>
    <col min="1" max="1" width="2.375" customWidth="1"/>
    <col min="2" max="2" width="6" customWidth="1"/>
    <col min="3" max="3" width="12.5" customWidth="1"/>
    <col min="4" max="4" width="4.875" customWidth="1"/>
    <col min="5" max="5" width="12" customWidth="1"/>
    <col min="6" max="6" width="29.5" customWidth="1"/>
    <col min="7" max="8" width="12.5" customWidth="1"/>
    <col min="9" max="9" width="12.75" customWidth="1"/>
    <col min="10" max="11" width="0.875" customWidth="1"/>
  </cols>
  <sheetData>
    <row r="1" spans="1:9" s="1198" customFormat="1">
      <c r="A1" s="1242"/>
      <c r="B1" s="971" t="s">
        <v>2833</v>
      </c>
      <c r="C1" s="971" t="s">
        <v>2836</v>
      </c>
      <c r="D1" s="1382" t="s">
        <v>2837</v>
      </c>
      <c r="E1" s="1382"/>
      <c r="F1" s="971" t="s">
        <v>2838</v>
      </c>
      <c r="G1" s="971" t="s">
        <v>2839</v>
      </c>
      <c r="H1" s="971" t="s">
        <v>2835</v>
      </c>
      <c r="I1" s="971" t="s">
        <v>789</v>
      </c>
    </row>
    <row r="2" spans="1:9" ht="22.5" customHeight="1">
      <c r="B2" s="1379" t="s">
        <v>4283</v>
      </c>
      <c r="C2" s="1377" t="s">
        <v>2840</v>
      </c>
      <c r="D2" s="1377" t="s">
        <v>2904</v>
      </c>
      <c r="E2" s="1377"/>
      <c r="F2" s="148" t="s">
        <v>2790</v>
      </c>
      <c r="G2" s="147" t="str">
        <f>自檢資料!$AE89</f>
        <v>免驗</v>
      </c>
      <c r="H2" s="146" t="str">
        <f>自檢資料!$AC89</f>
        <v>0kg</v>
      </c>
      <c r="I2" s="1377" t="s">
        <v>2831</v>
      </c>
    </row>
    <row r="3" spans="1:9" ht="22.5" customHeight="1">
      <c r="B3" s="1380"/>
      <c r="C3" s="1378"/>
      <c r="D3" s="1377"/>
      <c r="E3" s="1377"/>
      <c r="F3" s="148" t="s">
        <v>2791</v>
      </c>
      <c r="G3" s="147" t="str">
        <f>自檢資料!$AE90</f>
        <v>免驗</v>
      </c>
      <c r="H3" s="146" t="str">
        <f>自檢資料!$AC90</f>
        <v>0kg</v>
      </c>
      <c r="I3" s="1378"/>
    </row>
    <row r="4" spans="1:9" ht="22.5" customHeight="1">
      <c r="B4" s="1380"/>
      <c r="C4" s="1378"/>
      <c r="D4" s="1377"/>
      <c r="E4" s="1377"/>
      <c r="F4" s="148"/>
      <c r="G4" s="147"/>
      <c r="H4" s="146"/>
      <c r="I4" s="1378"/>
    </row>
    <row r="5" spans="1:9" ht="22.5" customHeight="1">
      <c r="B5" s="1379" t="s">
        <v>4284</v>
      </c>
      <c r="C5" s="1377" t="s">
        <v>2841</v>
      </c>
      <c r="D5" s="1377" t="s">
        <v>2905</v>
      </c>
      <c r="E5" s="1377"/>
      <c r="F5" s="148" t="s">
        <v>540</v>
      </c>
      <c r="G5" s="147" t="str">
        <f>自檢資料!$AE94</f>
        <v>免驗</v>
      </c>
      <c r="H5" s="146" t="str">
        <f>自檢資料!$AC94</f>
        <v>0m3</v>
      </c>
      <c r="I5" s="1377" t="s">
        <v>2795</v>
      </c>
    </row>
    <row r="6" spans="1:9" ht="22.5" customHeight="1">
      <c r="B6" s="1379"/>
      <c r="C6" s="1377"/>
      <c r="D6" s="1377"/>
      <c r="E6" s="1377"/>
      <c r="F6" s="148" t="s">
        <v>539</v>
      </c>
      <c r="G6" s="147" t="str">
        <f>自檢資料!$AE95</f>
        <v>免驗</v>
      </c>
      <c r="H6" s="146" t="str">
        <f>自檢資料!$AC95</f>
        <v>0m3</v>
      </c>
      <c r="I6" s="1378"/>
    </row>
    <row r="7" spans="1:9" ht="22.5" customHeight="1">
      <c r="B7" s="1379"/>
      <c r="C7" s="1377"/>
      <c r="D7" s="1377"/>
      <c r="E7" s="1377"/>
      <c r="F7" s="148" t="s">
        <v>804</v>
      </c>
      <c r="G7" s="147" t="str">
        <f>自檢資料!$AE96</f>
        <v>免驗</v>
      </c>
      <c r="H7" s="146" t="str">
        <f>自檢資料!$AC96</f>
        <v>0m3</v>
      </c>
      <c r="I7" s="1378"/>
    </row>
    <row r="8" spans="1:9" s="107" customFormat="1" ht="22.5" customHeight="1">
      <c r="A8"/>
      <c r="B8" s="1379" t="s">
        <v>4285</v>
      </c>
      <c r="C8" s="1377" t="s">
        <v>2792</v>
      </c>
      <c r="D8" s="1377" t="s">
        <v>2899</v>
      </c>
      <c r="E8" s="1377"/>
      <c r="F8" s="148" t="s">
        <v>2793</v>
      </c>
      <c r="G8" s="147" t="str">
        <f>自檢資料!$AE97</f>
        <v>免驗</v>
      </c>
      <c r="H8" s="146" t="str">
        <f>自檢資料!$AC97</f>
        <v>0m2</v>
      </c>
      <c r="I8" s="1377" t="s">
        <v>2796</v>
      </c>
    </row>
    <row r="9" spans="1:9" ht="22.5" customHeight="1">
      <c r="B9" s="1379"/>
      <c r="C9" s="1378"/>
      <c r="D9" s="1377"/>
      <c r="E9" s="1377"/>
      <c r="F9" s="148" t="s">
        <v>2794</v>
      </c>
      <c r="G9" s="147" t="str">
        <f>自檢資料!$AE98</f>
        <v>免驗</v>
      </c>
      <c r="H9" s="146" t="str">
        <f>自檢資料!$AC98</f>
        <v>0m2</v>
      </c>
      <c r="I9" s="1378"/>
    </row>
    <row r="10" spans="1:9" ht="22.5" customHeight="1">
      <c r="B10" s="1379"/>
      <c r="C10" s="1378"/>
      <c r="D10" s="1377"/>
      <c r="E10" s="1377"/>
      <c r="F10" s="148"/>
      <c r="G10" s="147"/>
      <c r="H10" s="146"/>
      <c r="I10" s="1378"/>
    </row>
    <row r="11" spans="1:9" ht="22.5" customHeight="1">
      <c r="B11" s="1381"/>
      <c r="C11" s="1377" t="s">
        <v>2842</v>
      </c>
      <c r="D11" s="1377" t="s">
        <v>2899</v>
      </c>
      <c r="E11" s="1377"/>
      <c r="F11" s="148" t="s">
        <v>2793</v>
      </c>
      <c r="G11" s="147" t="str">
        <f>自檢資料!$AE100</f>
        <v>免驗</v>
      </c>
      <c r="H11" s="146" t="str">
        <f>自檢資料!$AC100</f>
        <v>0m2</v>
      </c>
      <c r="I11" s="1377" t="s">
        <v>2796</v>
      </c>
    </row>
    <row r="12" spans="1:9" ht="22.5" customHeight="1">
      <c r="B12" s="1381"/>
      <c r="C12" s="1378"/>
      <c r="D12" s="1377"/>
      <c r="E12" s="1377"/>
      <c r="F12" s="148" t="s">
        <v>2794</v>
      </c>
      <c r="G12" s="147" t="str">
        <f>自檢資料!$AE101</f>
        <v>免驗</v>
      </c>
      <c r="H12" s="146" t="str">
        <f>自檢資料!$AC101</f>
        <v>0m2</v>
      </c>
      <c r="I12" s="1378"/>
    </row>
    <row r="13" spans="1:9" ht="22.5" customHeight="1">
      <c r="B13" s="1381"/>
      <c r="C13" s="1378"/>
      <c r="D13" s="1377"/>
      <c r="E13" s="1377"/>
      <c r="F13" s="148"/>
      <c r="G13" s="147"/>
      <c r="H13" s="146"/>
      <c r="I13" s="1378"/>
    </row>
    <row r="14" spans="1:9" ht="22.5" customHeight="1">
      <c r="B14" s="1379" t="s">
        <v>4286</v>
      </c>
      <c r="C14" s="1377" t="s">
        <v>2843</v>
      </c>
      <c r="D14" s="1377" t="s">
        <v>2901</v>
      </c>
      <c r="E14" s="1377"/>
      <c r="F14" s="148" t="s">
        <v>2844</v>
      </c>
      <c r="G14" s="147" t="str">
        <f>自檢資料!$AE103</f>
        <v>免驗</v>
      </c>
      <c r="H14" s="146" t="str">
        <f>自檢資料!$AC103</f>
        <v>0組</v>
      </c>
      <c r="I14" s="1377" t="s">
        <v>2797</v>
      </c>
    </row>
    <row r="15" spans="1:9" ht="22.5" customHeight="1">
      <c r="B15" s="1379"/>
      <c r="C15" s="1377"/>
      <c r="D15" s="1377"/>
      <c r="E15" s="1377"/>
      <c r="F15" s="148" t="s">
        <v>2845</v>
      </c>
      <c r="G15" s="147" t="str">
        <f>自檢資料!$AE104</f>
        <v>免驗</v>
      </c>
      <c r="H15" s="146" t="str">
        <f>自檢資料!$AC104</f>
        <v>0組</v>
      </c>
      <c r="I15" s="1378"/>
    </row>
    <row r="16" spans="1:9" ht="22.5" customHeight="1">
      <c r="B16" s="1379"/>
      <c r="C16" s="1377"/>
      <c r="D16" s="1377"/>
      <c r="E16" s="1377"/>
      <c r="F16" s="148" t="s">
        <v>2846</v>
      </c>
      <c r="G16" s="147" t="str">
        <f>自檢資料!$AE105</f>
        <v>免驗</v>
      </c>
      <c r="H16" s="146" t="str">
        <f>自檢資料!$AC105</f>
        <v>0組</v>
      </c>
      <c r="I16" s="1378"/>
    </row>
    <row r="17" spans="2:9" ht="22.5" customHeight="1">
      <c r="B17" s="1379" t="s">
        <v>4287</v>
      </c>
      <c r="C17" s="1377" t="s">
        <v>2847</v>
      </c>
      <c r="D17" s="1377" t="s">
        <v>2902</v>
      </c>
      <c r="E17" s="1377"/>
      <c r="F17" s="148" t="s">
        <v>2848</v>
      </c>
      <c r="G17" s="147" t="str">
        <f>自檢資料!$AE106</f>
        <v>免驗</v>
      </c>
      <c r="H17" s="146" t="str">
        <f>自檢資料!$AC106</f>
        <v>0m2</v>
      </c>
      <c r="I17" s="1377" t="s">
        <v>2798</v>
      </c>
    </row>
    <row r="18" spans="2:9" ht="22.5" customHeight="1">
      <c r="B18" s="1379"/>
      <c r="C18" s="1377"/>
      <c r="D18" s="1377"/>
      <c r="E18" s="1377"/>
      <c r="F18" s="148"/>
      <c r="G18" s="147"/>
      <c r="H18" s="146"/>
      <c r="I18" s="1378"/>
    </row>
    <row r="19" spans="2:9" ht="22.5" customHeight="1">
      <c r="B19" s="1379"/>
      <c r="C19" s="1377"/>
      <c r="D19" s="1377"/>
      <c r="E19" s="1377"/>
      <c r="F19" s="148"/>
      <c r="G19" s="147"/>
      <c r="H19" s="146"/>
      <c r="I19" s="1378"/>
    </row>
    <row r="20" spans="2:9" ht="22.5" customHeight="1">
      <c r="B20" s="1379" t="s">
        <v>4288</v>
      </c>
      <c r="C20" s="1377" t="s">
        <v>2849</v>
      </c>
      <c r="D20" s="1377" t="s">
        <v>2900</v>
      </c>
      <c r="E20" s="1377"/>
      <c r="F20" s="148" t="s">
        <v>2850</v>
      </c>
      <c r="G20" s="147" t="str">
        <f>自檢資料!$AE109</f>
        <v>免驗</v>
      </c>
      <c r="H20" s="146" t="str">
        <f>自檢資料!$AC109</f>
        <v>0kg</v>
      </c>
      <c r="I20" s="1377" t="s">
        <v>2814</v>
      </c>
    </row>
    <row r="21" spans="2:9" ht="22.5" customHeight="1">
      <c r="B21" s="1380"/>
      <c r="C21" s="1378"/>
      <c r="D21" s="1377"/>
      <c r="E21" s="1377"/>
      <c r="F21" s="148" t="s">
        <v>2830</v>
      </c>
      <c r="G21" s="147" t="str">
        <f>自檢資料!$AE110</f>
        <v>免驗</v>
      </c>
      <c r="H21" s="146" t="str">
        <f>自檢資料!$AC110</f>
        <v>0kg</v>
      </c>
      <c r="I21" s="1378"/>
    </row>
    <row r="22" spans="2:9" ht="22.5" customHeight="1">
      <c r="B22" s="1380"/>
      <c r="C22" s="1378"/>
      <c r="D22" s="1377"/>
      <c r="E22" s="1377"/>
      <c r="F22" s="148"/>
      <c r="G22" s="147"/>
      <c r="H22" s="146"/>
      <c r="I22" s="1378"/>
    </row>
    <row r="23" spans="2:9" ht="22.5" customHeight="1">
      <c r="B23" s="1379" t="s">
        <v>4289</v>
      </c>
      <c r="C23" s="1377" t="s">
        <v>2810</v>
      </c>
      <c r="D23" s="1377" t="s">
        <v>2900</v>
      </c>
      <c r="E23" s="1377"/>
      <c r="F23" s="148" t="s">
        <v>2828</v>
      </c>
      <c r="G23" s="147" t="str">
        <f>自檢資料!$AE114</f>
        <v>免驗</v>
      </c>
      <c r="H23" s="146" t="str">
        <f>自檢資料!$AC114</f>
        <v>0kg</v>
      </c>
      <c r="I23" s="1377" t="s">
        <v>2815</v>
      </c>
    </row>
    <row r="24" spans="2:9" ht="22.5" customHeight="1">
      <c r="B24" s="1380"/>
      <c r="C24" s="1378"/>
      <c r="D24" s="1377"/>
      <c r="E24" s="1377"/>
      <c r="F24" s="148" t="s">
        <v>2829</v>
      </c>
      <c r="G24" s="147" t="str">
        <f>自檢資料!$AE115</f>
        <v>免驗</v>
      </c>
      <c r="H24" s="146" t="str">
        <f>自檢資料!$AC115</f>
        <v>0kg</v>
      </c>
      <c r="I24" s="1378"/>
    </row>
    <row r="25" spans="2:9" ht="22.5" customHeight="1">
      <c r="B25" s="1380"/>
      <c r="C25" s="1378"/>
      <c r="D25" s="1377"/>
      <c r="E25" s="1377"/>
      <c r="F25" s="148"/>
      <c r="G25" s="147"/>
      <c r="H25" s="146"/>
      <c r="I25" s="1378"/>
    </row>
    <row r="26" spans="2:9" ht="22.5" customHeight="1">
      <c r="B26" s="1379" t="s">
        <v>4290</v>
      </c>
      <c r="C26" s="1377" t="s">
        <v>2851</v>
      </c>
      <c r="D26" s="1377" t="s">
        <v>2906</v>
      </c>
      <c r="E26" s="1377"/>
      <c r="F26" s="148" t="s">
        <v>2816</v>
      </c>
      <c r="G26" s="147" t="str">
        <f>自檢資料!$AE117</f>
        <v>免驗</v>
      </c>
      <c r="H26" s="146" t="str">
        <f>自檢資料!$AC117</f>
        <v>0支</v>
      </c>
      <c r="I26" s="1377" t="s">
        <v>2832</v>
      </c>
    </row>
    <row r="27" spans="2:9" ht="22.5" customHeight="1">
      <c r="B27" s="1379"/>
      <c r="C27" s="1378"/>
      <c r="D27" s="1377"/>
      <c r="E27" s="1377"/>
      <c r="F27" s="148" t="s">
        <v>2313</v>
      </c>
      <c r="G27" s="147" t="str">
        <f>自檢資料!$AE118</f>
        <v>免驗</v>
      </c>
      <c r="H27" s="146" t="str">
        <f>自檢資料!$AC118</f>
        <v>0支</v>
      </c>
      <c r="I27" s="1378"/>
    </row>
    <row r="28" spans="2:9" ht="22.5" customHeight="1">
      <c r="B28" s="1379"/>
      <c r="C28" s="1378"/>
      <c r="D28" s="1377"/>
      <c r="E28" s="1377"/>
      <c r="F28" s="148"/>
      <c r="G28" s="147"/>
      <c r="H28" s="146"/>
      <c r="I28" s="1378"/>
    </row>
    <row r="29" spans="2:9" ht="22.5" customHeight="1">
      <c r="B29" s="1379" t="s">
        <v>4291</v>
      </c>
      <c r="C29" s="1377" t="s">
        <v>2852</v>
      </c>
      <c r="D29" s="1377" t="s">
        <v>2903</v>
      </c>
      <c r="E29" s="1377"/>
      <c r="F29" s="148" t="s">
        <v>2853</v>
      </c>
      <c r="G29" s="147" t="str">
        <f>自檢資料!$AE120</f>
        <v>免驗</v>
      </c>
      <c r="H29" s="146" t="str">
        <f>自檢資料!$AC120</f>
        <v>0支</v>
      </c>
      <c r="I29" s="967" t="s">
        <v>2813</v>
      </c>
    </row>
    <row r="30" spans="2:9" ht="22.5" customHeight="1">
      <c r="B30" s="1380"/>
      <c r="C30" s="1378"/>
      <c r="D30" s="1377"/>
      <c r="E30" s="1377"/>
      <c r="F30" s="148" t="s">
        <v>2821</v>
      </c>
      <c r="G30" s="147" t="str">
        <f>自檢資料!$AE121</f>
        <v>免驗</v>
      </c>
      <c r="H30" s="146" t="str">
        <f>自檢資料!$AC121</f>
        <v>0支</v>
      </c>
      <c r="I30" s="968"/>
    </row>
    <row r="31" spans="2:9" ht="22.5" customHeight="1">
      <c r="B31" s="1380"/>
      <c r="C31" s="1378"/>
      <c r="D31" s="1377"/>
      <c r="E31" s="1377"/>
      <c r="F31" s="148" t="s">
        <v>2820</v>
      </c>
      <c r="G31" s="147" t="str">
        <f>自檢資料!$AE122</f>
        <v>免驗</v>
      </c>
      <c r="H31" s="146" t="str">
        <f>自檢資料!$AC122</f>
        <v>0支</v>
      </c>
      <c r="I31" s="968"/>
    </row>
    <row r="32" spans="2:9" ht="22.5" customHeight="1">
      <c r="B32" s="1381"/>
      <c r="C32" s="1377" t="s">
        <v>2854</v>
      </c>
      <c r="D32" s="1377" t="s">
        <v>2903</v>
      </c>
      <c r="E32" s="1377"/>
      <c r="F32" s="148" t="s">
        <v>2855</v>
      </c>
      <c r="G32" s="147" t="str">
        <f>自檢資料!$AE123</f>
        <v>免驗</v>
      </c>
      <c r="H32" s="146" t="str">
        <f>自檢資料!$AC123</f>
        <v>0支</v>
      </c>
      <c r="I32" s="1377" t="s">
        <v>2813</v>
      </c>
    </row>
    <row r="33" spans="2:9" ht="22.5" customHeight="1">
      <c r="B33" s="1381"/>
      <c r="C33" s="1378"/>
      <c r="D33" s="1377"/>
      <c r="E33" s="1377"/>
      <c r="F33" s="148" t="s">
        <v>2856</v>
      </c>
      <c r="G33" s="147" t="str">
        <f>自檢資料!$AE124</f>
        <v>免驗</v>
      </c>
      <c r="H33" s="146" t="str">
        <f>自檢資料!$AC124</f>
        <v>0支</v>
      </c>
      <c r="I33" s="1378"/>
    </row>
    <row r="34" spans="2:9" ht="22.5" customHeight="1">
      <c r="B34" s="1381"/>
      <c r="C34" s="1378"/>
      <c r="D34" s="1377"/>
      <c r="E34" s="1377"/>
      <c r="F34" s="148" t="s">
        <v>2857</v>
      </c>
      <c r="G34" s="147" t="str">
        <f>自檢資料!$AE125</f>
        <v>免驗</v>
      </c>
      <c r="H34" s="146" t="str">
        <f>自檢資料!$AC125</f>
        <v>0支</v>
      </c>
      <c r="I34" s="1378"/>
    </row>
    <row r="35" spans="2:9" ht="42.6" customHeight="1"/>
  </sheetData>
  <sheetProtection selectLockedCells="1" autoFilter="0"/>
  <mergeCells count="42">
    <mergeCell ref="B5:B7"/>
    <mergeCell ref="C5:C7"/>
    <mergeCell ref="D5:E7"/>
    <mergeCell ref="I5:I7"/>
    <mergeCell ref="D1:E1"/>
    <mergeCell ref="B2:B4"/>
    <mergeCell ref="C2:C4"/>
    <mergeCell ref="D2:E4"/>
    <mergeCell ref="I2:I4"/>
    <mergeCell ref="B17:B19"/>
    <mergeCell ref="C17:C19"/>
    <mergeCell ref="D17:E19"/>
    <mergeCell ref="I17:I19"/>
    <mergeCell ref="C8:C10"/>
    <mergeCell ref="D8:E10"/>
    <mergeCell ref="I8:I10"/>
    <mergeCell ref="C11:C13"/>
    <mergeCell ref="D11:E13"/>
    <mergeCell ref="I11:I13"/>
    <mergeCell ref="B8:B13"/>
    <mergeCell ref="B14:B16"/>
    <mergeCell ref="C14:C16"/>
    <mergeCell ref="D14:E16"/>
    <mergeCell ref="I14:I16"/>
    <mergeCell ref="B20:B22"/>
    <mergeCell ref="C20:C22"/>
    <mergeCell ref="D20:E22"/>
    <mergeCell ref="I20:I22"/>
    <mergeCell ref="B23:B25"/>
    <mergeCell ref="C23:C25"/>
    <mergeCell ref="D23:E25"/>
    <mergeCell ref="I23:I25"/>
    <mergeCell ref="C32:C34"/>
    <mergeCell ref="D32:E34"/>
    <mergeCell ref="I32:I34"/>
    <mergeCell ref="B26:B28"/>
    <mergeCell ref="C26:C28"/>
    <mergeCell ref="D26:E28"/>
    <mergeCell ref="I26:I28"/>
    <mergeCell ref="C29:C31"/>
    <mergeCell ref="D29:E31"/>
    <mergeCell ref="B29:B34"/>
  </mergeCells>
  <phoneticPr fontId="28" type="noConversion"/>
  <pageMargins left="0.70866141732283472" right="0.70866141732283472" top="1.3779527559055118" bottom="0.74803149606299213" header="0.31496062992125984" footer="0.31496062992125984"/>
  <pageSetup paperSize="9" scale="80" orientation="portrait" r:id="rId1"/>
  <headerFooter>
    <oddHeader>&amp;L&amp;"標楷體,標準"
&amp;F&amp;C&amp;"標楷體,粗體"&amp;16 雨水設計  開立及試驗自檢表</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4">
    <tabColor theme="5"/>
  </sheetPr>
  <dimension ref="A1:H47"/>
  <sheetViews>
    <sheetView view="pageBreakPreview" zoomScale="115" zoomScaleNormal="100" zoomScaleSheetLayoutView="115" workbookViewId="0">
      <selection sqref="A1:XFD1048576"/>
    </sheetView>
  </sheetViews>
  <sheetFormatPr defaultColWidth="2.25" defaultRowHeight="15.75"/>
  <cols>
    <col min="1" max="1" width="5.125" style="123" customWidth="1"/>
    <col min="2" max="2" width="32.625" style="179" customWidth="1"/>
    <col min="3" max="3" width="7.625" style="123" customWidth="1"/>
    <col min="4" max="4" width="5.125" style="179" customWidth="1"/>
    <col min="5" max="7" width="12.5" style="123" customWidth="1"/>
    <col min="8" max="8" width="17.5" style="176" customWidth="1"/>
    <col min="9" max="16384" width="2.25" style="3"/>
  </cols>
  <sheetData>
    <row r="1" spans="1:8" s="2" customFormat="1">
      <c r="A1" s="1220" t="s">
        <v>22</v>
      </c>
      <c r="B1" s="1221" t="s">
        <v>4352</v>
      </c>
      <c r="C1" s="1221" t="s">
        <v>4353</v>
      </c>
      <c r="D1" s="1220" t="s">
        <v>23</v>
      </c>
      <c r="E1" s="1220" t="s">
        <v>24</v>
      </c>
      <c r="F1" s="1221" t="s">
        <v>4354</v>
      </c>
      <c r="G1" s="1221" t="s">
        <v>4355</v>
      </c>
      <c r="H1" s="1220" t="s">
        <v>25</v>
      </c>
    </row>
    <row r="2" spans="1:8" s="2" customFormat="1">
      <c r="A2" s="1222" t="s">
        <v>2944</v>
      </c>
      <c r="B2" s="1223"/>
      <c r="C2" s="1224"/>
      <c r="D2" s="1225"/>
      <c r="E2" s="1226"/>
      <c r="F2" s="1226"/>
      <c r="G2" s="1226"/>
      <c r="H2" s="1227"/>
    </row>
    <row r="3" spans="1:8" s="2" customFormat="1">
      <c r="A3" s="1228" t="s">
        <v>2945</v>
      </c>
      <c r="B3" s="1229" t="str">
        <f>VLOOKUP(A3,數量表!A:I,3,FALSE)</f>
        <v>操作手，重機械</v>
      </c>
      <c r="C3" s="1224">
        <f>VLOOKUP(B3,合約!B:I,8,FALSE)</f>
        <v>1</v>
      </c>
      <c r="D3" s="1225" t="str">
        <f>VLOOKUP(B3,合約!B:I,2,FALSE)</f>
        <v>時</v>
      </c>
      <c r="E3" s="1226" t="e">
        <f>VLOOKUP(B3,數量表!C:I,6,FALSE)</f>
        <v>#REF!</v>
      </c>
      <c r="F3" s="1226">
        <f>VLOOKUP(B3,合約!B:G,4,FALSE)</f>
        <v>401</v>
      </c>
      <c r="G3" s="1226" t="e">
        <f t="shared" ref="G3:G32" si="0">ROUND(E3*F3,2)</f>
        <v>#REF!</v>
      </c>
      <c r="H3" s="1227" t="str">
        <f>VLOOKUP(B3,合約!B:I,6,FALSE)</f>
        <v>L0000051000Q1
[人力工項不打折]</v>
      </c>
    </row>
    <row r="4" spans="1:8" s="2" customFormat="1">
      <c r="A4" s="1228" t="s">
        <v>4</v>
      </c>
      <c r="B4" s="1229" t="str">
        <f>VLOOKUP(A4,數量表!A:I,3,FALSE)</f>
        <v>駕駛，小貨車</v>
      </c>
      <c r="C4" s="1224">
        <f>VLOOKUP(B4,合約!B:I,8,FALSE)</f>
        <v>3</v>
      </c>
      <c r="D4" s="1225" t="str">
        <f>VLOOKUP(B4,合約!B:I,2,FALSE)</f>
        <v>時</v>
      </c>
      <c r="E4" s="1226" t="e">
        <f>VLOOKUP(B4,數量表!C:I,6,FALSE)</f>
        <v>#REF!</v>
      </c>
      <c r="F4" s="1226">
        <f>VLOOKUP(B4,合約!B:G,4,FALSE)</f>
        <v>401</v>
      </c>
      <c r="G4" s="1226" t="e">
        <f t="shared" si="0"/>
        <v>#REF!</v>
      </c>
      <c r="H4" s="1227" t="str">
        <f>VLOOKUP(B4,合約!B:I,6,FALSE)</f>
        <v>L000005300061
[人力工項不打折]</v>
      </c>
    </row>
    <row r="5" spans="1:8" s="2" customFormat="1">
      <c r="A5" s="1228" t="s">
        <v>5</v>
      </c>
      <c r="B5" s="1229" t="str">
        <f>VLOOKUP(A5,數量表!A:I,3,FALSE)</f>
        <v>配合技術工之勞工</v>
      </c>
      <c r="C5" s="1224">
        <f>VLOOKUP(B5,合約!B:I,8,FALSE)</f>
        <v>4</v>
      </c>
      <c r="D5" s="1225" t="str">
        <f>VLOOKUP(B5,合約!B:I,2,FALSE)</f>
        <v>時</v>
      </c>
      <c r="E5" s="1226" t="e">
        <f>VLOOKUP(B5,數量表!C:I,6,FALSE)</f>
        <v>#REF!</v>
      </c>
      <c r="F5" s="1226">
        <f>VLOOKUP(B5,合約!B:G,4,FALSE)</f>
        <v>281</v>
      </c>
      <c r="G5" s="1226" t="e">
        <f t="shared" si="0"/>
        <v>#REF!</v>
      </c>
      <c r="H5" s="1227" t="str">
        <f>VLOOKUP(B5,合約!B:I,6,FALSE)</f>
        <v>L000006A00001
[人力工項不打折]</v>
      </c>
    </row>
    <row r="6" spans="1:8" s="2" customFormat="1">
      <c r="A6" s="1228" t="s">
        <v>6</v>
      </c>
      <c r="B6" s="1229" t="str">
        <f>VLOOKUP(A6,數量表!A:I,3,FALSE)</f>
        <v>灑水車，8.0-8.9m3</v>
      </c>
      <c r="C6" s="1224">
        <f>VLOOKUP(B6,合約!B:I,8,FALSE)</f>
        <v>11</v>
      </c>
      <c r="D6" s="1225" t="str">
        <f>VLOOKUP(B6,合約!B:I,2,FALSE)</f>
        <v>時</v>
      </c>
      <c r="E6" s="1226" t="e">
        <f>VLOOKUP(B6,數量表!C:I,6,FALSE)</f>
        <v>#REF!</v>
      </c>
      <c r="F6" s="1226">
        <f>VLOOKUP(B6,合約!B:G,4,FALSE)</f>
        <v>769.08</v>
      </c>
      <c r="G6" s="1226" t="e">
        <f t="shared" si="0"/>
        <v>#REF!</v>
      </c>
      <c r="H6" s="1227" t="str">
        <f>VLOOKUP(B6,合約!B:I,6,FALSE)</f>
        <v xml:space="preserve">E000002880001
</v>
      </c>
    </row>
    <row r="7" spans="1:8" s="2" customFormat="1">
      <c r="A7" s="1228" t="s">
        <v>7</v>
      </c>
      <c r="B7" s="1229" t="str">
        <f>VLOOKUP(A7,數量表!A:I,3,FALSE)</f>
        <v>吊卡車，15米-噸</v>
      </c>
      <c r="C7" s="1224">
        <f>VLOOKUP(B7,合約!B:I,8,FALSE)</f>
        <v>16</v>
      </c>
      <c r="D7" s="1225" t="str">
        <f>VLOOKUP(B7,合約!B:I,2,FALSE)</f>
        <v>時</v>
      </c>
      <c r="E7" s="1226" t="e">
        <f>VLOOKUP(B7,數量表!C:I,6,FALSE)</f>
        <v>#REF!</v>
      </c>
      <c r="F7" s="1226">
        <f>VLOOKUP(B7,合約!B:G,4,FALSE)</f>
        <v>1414.63</v>
      </c>
      <c r="G7" s="1226" t="e">
        <f t="shared" si="0"/>
        <v>#REF!</v>
      </c>
      <c r="H7" s="1227" t="str">
        <f>VLOOKUP(B7,合約!B:I,6,FALSE)</f>
        <v xml:space="preserve">E000003E10001
</v>
      </c>
    </row>
    <row r="8" spans="1:8" s="2" customFormat="1">
      <c r="A8" s="1228" t="s">
        <v>8</v>
      </c>
      <c r="B8" s="1229" t="str">
        <f>VLOOKUP(A8,數量表!A:I,3,FALSE)</f>
        <v>輪式鏟裝車</v>
      </c>
      <c r="C8" s="1224">
        <f>VLOOKUP(B8,合約!B:I,8,FALSE)</f>
        <v>19</v>
      </c>
      <c r="D8" s="1225" t="str">
        <f>VLOOKUP(B8,合約!B:I,2,FALSE)</f>
        <v>時</v>
      </c>
      <c r="E8" s="1226" t="e">
        <f>VLOOKUP(B8,數量表!C:I,6,FALSE)</f>
        <v>#REF!</v>
      </c>
      <c r="F8" s="1226">
        <f>VLOOKUP(B8,合約!B:G,4,FALSE)</f>
        <v>713.29</v>
      </c>
      <c r="G8" s="1226" t="e">
        <f t="shared" si="0"/>
        <v>#REF!</v>
      </c>
      <c r="H8" s="1227" t="str">
        <f>VLOOKUP(B8,合約!B:I,6,FALSE)</f>
        <v xml:space="preserve">E000002420001
</v>
      </c>
    </row>
    <row r="9" spans="1:8" s="2" customFormat="1" ht="28.5">
      <c r="A9" s="1228" t="s">
        <v>9</v>
      </c>
      <c r="B9" s="1229" t="str">
        <f>VLOOKUP(A9,數量表!A:I,3,FALSE)</f>
        <v>餘方自行處理(含水土保持)，總重15t以下傾卸貨車</v>
      </c>
      <c r="C9" s="1224">
        <f>VLOOKUP(B9,合約!B:I,8,FALSE)</f>
        <v>60</v>
      </c>
      <c r="D9" s="1225" t="str">
        <f>VLOOKUP(B9,合約!B:I,2,FALSE)</f>
        <v>B.M3</v>
      </c>
      <c r="E9" s="1226" t="e">
        <f>VLOOKUP(B9,數量表!C:I,6,FALSE)</f>
        <v>#REF!</v>
      </c>
      <c r="F9" s="1226">
        <f>VLOOKUP(B9,合約!B:G,4,FALSE)</f>
        <v>1067.76</v>
      </c>
      <c r="G9" s="1226" t="e">
        <f t="shared" si="0"/>
        <v>#REF!</v>
      </c>
      <c r="H9" s="1227" t="str">
        <f>VLOOKUP(B9,合約!B:I,6,FALSE)</f>
        <v xml:space="preserve">0232340003
分析表40
</v>
      </c>
    </row>
    <row r="10" spans="1:8" s="2" customFormat="1" ht="21">
      <c r="A10" s="1228" t="s">
        <v>463</v>
      </c>
      <c r="B10" s="1229" t="str">
        <f>VLOOKUP(A10,數量表!A:I,3,FALSE)</f>
        <v>瀝青黏層，快凝油溶瀝青，RC-70</v>
      </c>
      <c r="C10" s="1224">
        <f>VLOOKUP(B10,合約!B:I,8,FALSE)</f>
        <v>71</v>
      </c>
      <c r="D10" s="1225" t="str">
        <f>VLOOKUP(B10,合約!B:I,2,FALSE)</f>
        <v>M2</v>
      </c>
      <c r="E10" s="1226" t="e">
        <f>VLOOKUP(B10,數量表!C:I,6,FALSE)</f>
        <v>#REF!</v>
      </c>
      <c r="F10" s="1226">
        <f>VLOOKUP(B10,合約!B:G,4,FALSE)</f>
        <v>17.57</v>
      </c>
      <c r="G10" s="1226" t="e">
        <f t="shared" si="0"/>
        <v>#REF!</v>
      </c>
      <c r="H10" s="1227" t="str">
        <f>VLOOKUP(B10,合約!B:I,6,FALSE)</f>
        <v xml:space="preserve">0274711002
分析表51
</v>
      </c>
    </row>
    <row r="11" spans="1:8" s="2" customFormat="1" ht="28.5">
      <c r="A11" s="1228" t="s">
        <v>517</v>
      </c>
      <c r="B11" s="1229" t="str">
        <f>VLOOKUP(A11,數量表!A:I,3,FALSE)</f>
        <v>瀝青混凝土舖面，粗粒料9.5mm，黏度AC(1)-20，零星工程用</v>
      </c>
      <c r="C11" s="1224">
        <f>VLOOKUP(B11,合約!B:I,8,FALSE)</f>
        <v>74</v>
      </c>
      <c r="D11" s="1225" t="str">
        <f>VLOOKUP(B11,合約!B:I,2,FALSE)</f>
        <v>M3</v>
      </c>
      <c r="E11" s="1226" t="e">
        <f>VLOOKUP(B11,數量表!C:I,6,FALSE)</f>
        <v>#REF!</v>
      </c>
      <c r="F11" s="1226">
        <f>VLOOKUP(B11,合約!B:G,4,FALSE)</f>
        <v>8226.06</v>
      </c>
      <c r="G11" s="1226" t="e">
        <f t="shared" si="0"/>
        <v>#REF!</v>
      </c>
      <c r="H11" s="1227" t="str">
        <f>VLOOKUP(B11,合約!B:I,6,FALSE)</f>
        <v xml:space="preserve">0274205B03
分析表54
</v>
      </c>
    </row>
    <row r="12" spans="1:8" s="2" customFormat="1" ht="28.5">
      <c r="A12" s="1228" t="s">
        <v>518</v>
      </c>
      <c r="B12" s="1229" t="str">
        <f>VLOOKUP(A12,數量表!A:I,3,FALSE)</f>
        <v>切割瀝青混凝土或無筋混凝土，10cm≦切割深度</v>
      </c>
      <c r="C12" s="1224">
        <f>VLOOKUP(B12,合約!B:I,8,FALSE)</f>
        <v>97</v>
      </c>
      <c r="D12" s="1225" t="str">
        <f>VLOOKUP(B12,合約!B:I,2,FALSE)</f>
        <v>M</v>
      </c>
      <c r="E12" s="1226" t="e">
        <f>VLOOKUP(B12,數量表!C:I,6,FALSE)</f>
        <v>#REF!</v>
      </c>
      <c r="F12" s="1226">
        <f>VLOOKUP(B12,合約!B:G,4,FALSE)</f>
        <v>76.930000000000007</v>
      </c>
      <c r="G12" s="1226" t="e">
        <f t="shared" si="0"/>
        <v>#REF!</v>
      </c>
      <c r="H12" s="1227" t="str">
        <f>VLOOKUP(B12,合約!B:I,6,FALSE)</f>
        <v xml:space="preserve">02220PWD00031
分析表77
</v>
      </c>
    </row>
    <row r="13" spans="1:8" s="2" customFormat="1" ht="21">
      <c r="A13" s="1228" t="s">
        <v>519</v>
      </c>
      <c r="B13" s="1229" t="str">
        <f>VLOOKUP(A13,數量表!A:I,3,FALSE)</f>
        <v>結構用混凝土，預拌，140kgf/cm2</v>
      </c>
      <c r="C13" s="1224">
        <f>VLOOKUP(B13,合約!B:I,8,FALSE)</f>
        <v>99</v>
      </c>
      <c r="D13" s="1225" t="str">
        <f>VLOOKUP(B13,合約!B:I,2,FALSE)</f>
        <v>M3</v>
      </c>
      <c r="E13" s="1226" t="e">
        <f>VLOOKUP(B13,數量表!C:I,6,FALSE)</f>
        <v>#REF!</v>
      </c>
      <c r="F13" s="1226">
        <f>VLOOKUP(B13,合約!B:G,4,FALSE)</f>
        <v>3327.95</v>
      </c>
      <c r="G13" s="1226" t="e">
        <f t="shared" si="0"/>
        <v>#REF!</v>
      </c>
      <c r="H13" s="1227" t="str">
        <f>VLOOKUP(B13,合約!B:I,6,FALSE)</f>
        <v xml:space="preserve">0331023003
分析表79
</v>
      </c>
    </row>
    <row r="14" spans="1:8" s="2" customFormat="1" ht="31.5">
      <c r="A14" s="1228" t="s">
        <v>4003</v>
      </c>
      <c r="B14" s="1229" t="str">
        <f>VLOOKUP(A14,數量表!A:I,3,FALSE)</f>
        <v>結構用混凝土，預拌，210kgf/cm2</v>
      </c>
      <c r="C14" s="1224">
        <f>VLOOKUP(B14,合約!B:I,8,FALSE)</f>
        <v>102</v>
      </c>
      <c r="D14" s="1225" t="str">
        <f>VLOOKUP(B14,合約!B:I,2,FALSE)</f>
        <v>M3</v>
      </c>
      <c r="E14" s="1226" t="e">
        <f>VLOOKUP(B14,數量表!C:I,6,FALSE)</f>
        <v>#REF!</v>
      </c>
      <c r="F14" s="1226">
        <f>VLOOKUP(B14,合約!B:G,4,FALSE)</f>
        <v>3522.91</v>
      </c>
      <c r="G14" s="1226" t="e">
        <f t="shared" si="0"/>
        <v>#REF!</v>
      </c>
      <c r="H14" s="1227" t="str">
        <f>VLOOKUP(B14,合約!B:I,6,FALSE)</f>
        <v>0331025003
分析表82
本項納入「水泥及其製品類」物價指數調整</v>
      </c>
    </row>
    <row r="15" spans="1:8" s="2" customFormat="1" ht="31.5">
      <c r="A15" s="1228" t="s">
        <v>4004</v>
      </c>
      <c r="B15" s="1229" t="str">
        <f>VLOOKUP(A15,數量表!A:I,3,FALSE)</f>
        <v>結構用混凝土，預拌，280kgf/cm2</v>
      </c>
      <c r="C15" s="1224">
        <f>VLOOKUP(B15,合約!B:I,8,FALSE)</f>
        <v>105</v>
      </c>
      <c r="D15" s="1225" t="str">
        <f>VLOOKUP(B15,合約!B:I,2,FALSE)</f>
        <v>M3</v>
      </c>
      <c r="E15" s="1226" t="e">
        <f>VLOOKUP(B15,數量表!C:I,6,FALSE)</f>
        <v>#REF!</v>
      </c>
      <c r="F15" s="1226">
        <f>VLOOKUP(B15,合約!B:G,4,FALSE)</f>
        <v>3847.4</v>
      </c>
      <c r="G15" s="1226" t="e">
        <f t="shared" si="0"/>
        <v>#REF!</v>
      </c>
      <c r="H15" s="1227" t="str">
        <f>VLOOKUP(B15,合約!B:I,6,FALSE)</f>
        <v>0331027003
分析表85
本項納入「水泥及其製品類」物價指數調整</v>
      </c>
    </row>
    <row r="16" spans="1:8" s="2" customFormat="1" ht="31.5">
      <c r="A16" s="1228" t="s">
        <v>4005</v>
      </c>
      <c r="B16" s="1229" t="str">
        <f>VLOOKUP(A16,數量表!A:I,3,FALSE)</f>
        <v>場鑄結構混凝土用模板，清水模板，丙種.</v>
      </c>
      <c r="C16" s="1224">
        <f>VLOOKUP(B16,合約!B:I,8,FALSE)</f>
        <v>124</v>
      </c>
      <c r="D16" s="1225" t="str">
        <f>VLOOKUP(B16,合約!B:I,2,FALSE)</f>
        <v>M2</v>
      </c>
      <c r="E16" s="1226" t="e">
        <f>VLOOKUP(B16,數量表!C:I,6,FALSE)</f>
        <v>#REF!</v>
      </c>
      <c r="F16" s="1226">
        <f>VLOOKUP(B16,合約!B:G,4,FALSE)</f>
        <v>688.37</v>
      </c>
      <c r="G16" s="1226" t="e">
        <f t="shared" si="0"/>
        <v>#REF!</v>
      </c>
      <c r="H16" s="1227" t="str">
        <f>VLOOKUP(B16,合約!B:I,6,FALSE)</f>
        <v>0311021312
分析表103
經機關核定每日施工期間未達7小時適用</v>
      </c>
    </row>
    <row r="17" spans="1:8" s="2" customFormat="1" ht="42">
      <c r="A17" s="1228" t="s">
        <v>4006</v>
      </c>
      <c r="B17" s="1229" t="str">
        <f>VLOOKUP(A17,數量表!A:I,3,FALSE)</f>
        <v>場鑄結構混凝土用模板，普通模板，丙種.</v>
      </c>
      <c r="C17" s="1224">
        <f>VLOOKUP(B17,合約!B:I,8,FALSE)</f>
        <v>129</v>
      </c>
      <c r="D17" s="1225" t="str">
        <f>VLOOKUP(B17,合約!B:I,2,FALSE)</f>
        <v>M2</v>
      </c>
      <c r="E17" s="1226" t="e">
        <f>VLOOKUP(B17,數量表!C:I,6,FALSE)</f>
        <v>#REF!</v>
      </c>
      <c r="F17" s="1226">
        <f>VLOOKUP(B17,合約!B:G,4,FALSE)</f>
        <v>525.94000000000005</v>
      </c>
      <c r="G17" s="1226" t="e">
        <f t="shared" si="0"/>
        <v>#REF!</v>
      </c>
      <c r="H17" s="1227" t="str">
        <f>VLOOKUP(B17,合約!B:I,6,FALSE)</f>
        <v>0311011312
分析表108
U型構，集水井，排水箱涵等，經機關核定每日施工期間未達7小時適用</v>
      </c>
    </row>
    <row r="18" spans="1:8" s="2" customFormat="1" ht="31.5">
      <c r="A18" s="1228" t="s">
        <v>4007</v>
      </c>
      <c r="B18" s="1229" t="str">
        <f>VLOOKUP(A18,數量表!A:I,3,FALSE)</f>
        <v>鋼製模板，U型溝用，W=40cm，L=120cm.</v>
      </c>
      <c r="C18" s="1224">
        <f>VLOOKUP(B18,合約!B:I,8,FALSE)</f>
        <v>137</v>
      </c>
      <c r="D18" s="1225" t="str">
        <f>VLOOKUP(B18,合約!B:I,2,FALSE)</f>
        <v>M</v>
      </c>
      <c r="E18" s="1226" t="e">
        <f>VLOOKUP(B18,數量表!C:I,6,FALSE)</f>
        <v>#REF!</v>
      </c>
      <c r="F18" s="1226">
        <f>VLOOKUP(B18,合約!B:G,4,FALSE)</f>
        <v>807.53</v>
      </c>
      <c r="G18" s="1226" t="e">
        <f t="shared" si="0"/>
        <v>#REF!</v>
      </c>
      <c r="H18" s="1227" t="str">
        <f>VLOOKUP(B18,合約!B:I,6,FALSE)</f>
        <v>03110900a1
分析表116
經機關核定每日施工期間未達7小時適用</v>
      </c>
    </row>
    <row r="19" spans="1:8" s="2" customFormat="1" ht="42">
      <c r="A19" s="1228" t="s">
        <v>4008</v>
      </c>
      <c r="B19" s="1229" t="str">
        <f>VLOOKUP(A19,數量表!A:I,3,FALSE)</f>
        <v>鋼筋，SD280W.</v>
      </c>
      <c r="C19" s="1224">
        <f>VLOOKUP(B19,合約!B:I,8,FALSE)</f>
        <v>156</v>
      </c>
      <c r="D19" s="1225" t="str">
        <f>VLOOKUP(B19,合約!B:I,2,FALSE)</f>
        <v>KG</v>
      </c>
      <c r="E19" s="1226" t="e">
        <f>VLOOKUP(B19,數量表!C:I,6,FALSE)</f>
        <v>#REF!</v>
      </c>
      <c r="F19" s="1226">
        <f>VLOOKUP(B19,合約!B:G,4,FALSE)</f>
        <v>34.9</v>
      </c>
      <c r="G19" s="1226" t="e">
        <f t="shared" si="0"/>
        <v>#REF!</v>
      </c>
      <c r="H19" s="1227" t="str">
        <f>VLOOKUP(B19,合約!B:I,6,FALSE)</f>
        <v>0321041009
分析表135
經機關核定每日施工期間未達7小時適用，本項納入「鋼筋」物價指數調整</v>
      </c>
    </row>
    <row r="20" spans="1:8" s="2" customFormat="1" ht="21">
      <c r="A20" s="1228" t="s">
        <v>4009</v>
      </c>
      <c r="B20" s="1229" t="str">
        <f>VLOOKUP(A20,數量表!A:I,3,FALSE)</f>
        <v>(免拆模板，鋼質)，厚3mm鋼模</v>
      </c>
      <c r="C20" s="1224">
        <f>VLOOKUP(B20,合約!B:I,8,FALSE)</f>
        <v>168</v>
      </c>
      <c r="D20" s="1225" t="str">
        <f>VLOOKUP(B20,合約!B:I,2,FALSE)</f>
        <v>M2</v>
      </c>
      <c r="E20" s="1226" t="e">
        <f>VLOOKUP(B20,數量表!C:I,6,FALSE)</f>
        <v>#REF!</v>
      </c>
      <c r="F20" s="1226">
        <f>VLOOKUP(B20,合約!B:G,4,FALSE)</f>
        <v>865.64</v>
      </c>
      <c r="G20" s="1226" t="e">
        <f t="shared" si="0"/>
        <v>#REF!</v>
      </c>
      <c r="H20" s="1227" t="str">
        <f>VLOOKUP(B20,合約!B:I,6,FALSE)</f>
        <v xml:space="preserve">03110700h2
分析表143
</v>
      </c>
    </row>
    <row r="21" spans="1:8" s="2" customFormat="1" ht="21">
      <c r="A21" s="1228" t="s">
        <v>4010</v>
      </c>
      <c r="B21" s="1229" t="str">
        <f>VLOOKUP(A21,數量表!A:I,3,FALSE)</f>
        <v>鍍鋅格柵板及框座，(框53.6cm，蓋45cm)</v>
      </c>
      <c r="C21" s="1224">
        <f>VLOOKUP(B21,合約!B:I,8,FALSE)</f>
        <v>276</v>
      </c>
      <c r="D21" s="1225" t="str">
        <f>VLOOKUP(B21,合約!B:I,2,FALSE)</f>
        <v>組</v>
      </c>
      <c r="E21" s="1226" t="e">
        <f>VLOOKUP(B21,數量表!C:I,6,FALSE)</f>
        <v>#REF!</v>
      </c>
      <c r="F21" s="1226">
        <f>VLOOKUP(B21,合約!B:G,4,FALSE)</f>
        <v>3119.36</v>
      </c>
      <c r="G21" s="1226" t="e">
        <f t="shared" si="0"/>
        <v>#REF!</v>
      </c>
      <c r="H21" s="1227" t="str">
        <f>VLOOKUP(B21,合約!B:I,6,FALSE)</f>
        <v xml:space="preserve">0553072008
分析表230
</v>
      </c>
    </row>
    <row r="22" spans="1:8" s="2" customFormat="1" ht="28.5">
      <c r="A22" s="1228" t="s">
        <v>4013</v>
      </c>
      <c r="B22" s="1229" t="str">
        <f>VLOOKUP(A22,數量表!A:I,3,FALSE)</f>
        <v>導線管，硬質聚氯乙烯塑膠管，標稱52mm，接線及安裝，含尼龍繩</v>
      </c>
      <c r="C22" s="1224">
        <f>VLOOKUP(B22,合約!B:I,8,FALSE)</f>
        <v>320</v>
      </c>
      <c r="D22" s="1225" t="str">
        <f>VLOOKUP(B22,合約!B:I,2,FALSE)</f>
        <v>M</v>
      </c>
      <c r="E22" s="1226" t="e">
        <f>VLOOKUP(B22,數量表!C:I,6,FALSE)</f>
        <v>#REF!</v>
      </c>
      <c r="F22" s="1226">
        <f>VLOOKUP(B22,合約!B:G,4,FALSE)</f>
        <v>39.85</v>
      </c>
      <c r="G22" s="1226" t="e">
        <f t="shared" si="0"/>
        <v>#REF!</v>
      </c>
      <c r="H22" s="1227" t="str">
        <f>VLOOKUP(B22,合約!B:I,6,FALSE)</f>
        <v xml:space="preserve">161323007041
</v>
      </c>
    </row>
    <row r="23" spans="1:8" s="2" customFormat="1" ht="28.5">
      <c r="A23" s="1228" t="s">
        <v>4014</v>
      </c>
      <c r="B23" s="1229" t="str">
        <f>VLOOKUP(A23,數量表!A:I,3,FALSE)</f>
        <v>開挖臨時覆蓋板及其支撐，舖設鋼板臨時作為舖面用，厚15mm</v>
      </c>
      <c r="C23" s="1224">
        <f>VLOOKUP(B23,合約!B:I,8,FALSE)</f>
        <v>333</v>
      </c>
      <c r="D23" s="1225" t="str">
        <f>VLOOKUP(B23,合約!B:I,2,FALSE)</f>
        <v>M2</v>
      </c>
      <c r="E23" s="1226" t="e">
        <f>VLOOKUP(B23,數量表!C:I,6,FALSE)</f>
        <v>#REF!</v>
      </c>
      <c r="F23" s="1226">
        <f>VLOOKUP(B23,合約!B:G,4,FALSE)</f>
        <v>251.39</v>
      </c>
      <c r="G23" s="1226" t="e">
        <f t="shared" si="0"/>
        <v>#REF!</v>
      </c>
      <c r="H23" s="1227" t="str">
        <f>VLOOKUP(B23,合約!B:I,6,FALSE)</f>
        <v xml:space="preserve">01532AB002
分析表273
</v>
      </c>
    </row>
    <row r="24" spans="1:8" s="2" customFormat="1" ht="21">
      <c r="A24" s="1228" t="s">
        <v>4066</v>
      </c>
      <c r="B24" s="1229" t="str">
        <f>VLOOKUP(A24,數量表!A:I,3,FALSE)</f>
        <v>臨時人行越溝鋼板L160cm×W120cm</v>
      </c>
      <c r="C24" s="1224">
        <f>VLOOKUP(B24,合約!B:I,8,FALSE)</f>
        <v>335</v>
      </c>
      <c r="D24" s="1225" t="str">
        <f>VLOOKUP(B24,合約!B:I,2,FALSE)</f>
        <v>組</v>
      </c>
      <c r="E24" s="1226" t="e">
        <f>VLOOKUP(B24,數量表!C:I,6,FALSE)</f>
        <v>#REF!</v>
      </c>
      <c r="F24" s="1226">
        <f>VLOOKUP(B24,合約!B:G,4,FALSE)</f>
        <v>638.14</v>
      </c>
      <c r="G24" s="1226" t="e">
        <f t="shared" si="0"/>
        <v>#REF!</v>
      </c>
      <c r="H24" s="1227" t="str">
        <f>VLOOKUP(B24,合約!B:I,6,FALSE)</f>
        <v>01532C1102
分析表275
通行寬度90cm</v>
      </c>
    </row>
    <row r="25" spans="1:8" s="2" customFormat="1" ht="28.5">
      <c r="A25" s="1228" t="s">
        <v>4067</v>
      </c>
      <c r="B25" s="1229" t="str">
        <f>VLOOKUP(A25,數量表!A:I,3,FALSE)</f>
        <v>臨時設施，排水設備，沉水式抽水機，D=10cm，租金</v>
      </c>
      <c r="C25" s="1224">
        <f>VLOOKUP(B25,合約!B:I,8,FALSE)</f>
        <v>364</v>
      </c>
      <c r="D25" s="1225" t="str">
        <f>VLOOKUP(B25,合約!B:I,2,FALSE)</f>
        <v>時</v>
      </c>
      <c r="E25" s="1226" t="e">
        <f>VLOOKUP(B25,數量表!C:I,6,FALSE)</f>
        <v>#REF!</v>
      </c>
      <c r="F25" s="1226">
        <f>VLOOKUP(B25,合約!B:G,4,FALSE)</f>
        <v>804.77</v>
      </c>
      <c r="G25" s="1226" t="e">
        <f t="shared" si="0"/>
        <v>#REF!</v>
      </c>
      <c r="H25" s="1227" t="str">
        <f>VLOOKUP(B25,合約!B:I,6,FALSE)</f>
        <v>01510532BD
分析表302
(含油料及運費)</v>
      </c>
    </row>
    <row r="26" spans="1:8" s="2" customFormat="1" ht="21">
      <c r="A26" s="1228" t="s">
        <v>6035</v>
      </c>
      <c r="B26" s="1229" t="str">
        <f>VLOOKUP(A26,數量表!A:I,3,FALSE)</f>
        <v>圍水，砂包堆置</v>
      </c>
      <c r="C26" s="1224">
        <f>VLOOKUP(B26,合約!B:I,8,FALSE)</f>
        <v>366</v>
      </c>
      <c r="D26" s="1225" t="str">
        <f>VLOOKUP(B26,合約!B:I,2,FALSE)</f>
        <v>M3</v>
      </c>
      <c r="E26" s="1226" t="e">
        <f>VLOOKUP(B26,數量表!C:I,6,FALSE)</f>
        <v>#REF!</v>
      </c>
      <c r="F26" s="1226">
        <f>VLOOKUP(B26,合約!B:G,4,FALSE)</f>
        <v>3350.11</v>
      </c>
      <c r="G26" s="1226" t="e">
        <f t="shared" si="0"/>
        <v>#REF!</v>
      </c>
      <c r="H26" s="1227" t="str">
        <f>VLOOKUP(B26,合約!B:I,6,FALSE)</f>
        <v xml:space="preserve">0226210003
分析表304
</v>
      </c>
    </row>
    <row r="27" spans="1:8" s="2" customFormat="1" ht="28.5">
      <c r="A27" s="1228" t="s">
        <v>6036</v>
      </c>
      <c r="B27" s="1229" t="str">
        <f>VLOOKUP(A27,數量表!A:I,3,FALSE)</f>
        <v>臨時設施，雜項工程，工地處理，施工動復員，小型機具</v>
      </c>
      <c r="C27" s="1224" t="e">
        <f>VLOOKUP(B27,合約!B:I,8,FALSE)</f>
        <v>#N/A</v>
      </c>
      <c r="D27" s="1225" t="e">
        <f>VLOOKUP(B27,合約!B:I,2,FALSE)</f>
        <v>#N/A</v>
      </c>
      <c r="E27" s="1226" t="e">
        <f>VLOOKUP(B27,數量表!C:I,6,FALSE)</f>
        <v>#REF!</v>
      </c>
      <c r="F27" s="1226" t="e">
        <f>VLOOKUP(B27,合約!B:G,4,FALSE)</f>
        <v>#N/A</v>
      </c>
      <c r="G27" s="1226" t="e">
        <f t="shared" si="0"/>
        <v>#REF!</v>
      </c>
      <c r="H27" s="1227" t="e">
        <f>VLOOKUP(B27,合約!B:I,6,FALSE)</f>
        <v>#N/A</v>
      </c>
    </row>
    <row r="28" spans="1:8" s="2" customFormat="1" ht="21">
      <c r="A28" s="1228" t="s">
        <v>6039</v>
      </c>
      <c r="B28" s="1229" t="str">
        <f>VLOOKUP(A28,數量表!A:I,3,FALSE)</f>
        <v>工地處理，緊急搶修，路面開挖</v>
      </c>
      <c r="C28" s="1224">
        <f>VLOOKUP(B28,合約!B:I,8,FALSE)</f>
        <v>396</v>
      </c>
      <c r="D28" s="1225" t="str">
        <f>VLOOKUP(B28,合約!B:I,2,FALSE)</f>
        <v>處</v>
      </c>
      <c r="E28" s="1226" t="e">
        <f>VLOOKUP(B28,數量表!C:I,6,FALSE)</f>
        <v>#REF!</v>
      </c>
      <c r="F28" s="1226">
        <f>VLOOKUP(B28,合約!B:G,4,FALSE)</f>
        <v>22525.11</v>
      </c>
      <c r="G28" s="1226" t="e">
        <f t="shared" si="0"/>
        <v>#REF!</v>
      </c>
      <c r="H28" s="1227" t="str">
        <f>VLOOKUP(B28,合約!B:I,6,FALSE)</f>
        <v xml:space="preserve">0151113021
分析表315
</v>
      </c>
    </row>
    <row r="29" spans="1:8" s="2" customFormat="1" ht="31.5">
      <c r="A29" s="1228" t="s">
        <v>6064</v>
      </c>
      <c r="B29" s="1229" t="str">
        <f>VLOOKUP(A29,數量表!A:I,3,FALSE)</f>
        <v>施工照相及攝(錄)影，施工動態即時影像傳輸費，機關提供攝影機</v>
      </c>
      <c r="C29" s="1224">
        <f>VLOOKUP(B29,合約!B:I,8,FALSE)</f>
        <v>421</v>
      </c>
      <c r="D29" s="1225" t="str">
        <f>VLOOKUP(B29,合約!B:I,2,FALSE)</f>
        <v>日/台</v>
      </c>
      <c r="E29" s="1226" t="e">
        <f>VLOOKUP(B29,數量表!C:I,6,FALSE)</f>
        <v>#REF!</v>
      </c>
      <c r="F29" s="1226">
        <f>VLOOKUP(B29,合約!B:G,4,FALSE)</f>
        <v>765.6</v>
      </c>
      <c r="G29" s="1226" t="e">
        <f t="shared" si="0"/>
        <v>#REF!</v>
      </c>
      <c r="H29" s="1227" t="str">
        <f>VLOOKUP(B29,合約!B:I,6,FALSE)</f>
        <v>013210000B
分析表339
含路證申請、回報及配合道路挖掘之相關作業費用</v>
      </c>
    </row>
    <row r="30" spans="1:8" s="2" customFormat="1" ht="28.5">
      <c r="A30" s="1228" t="s">
        <v>6065</v>
      </c>
      <c r="B30" s="1229" t="str">
        <f>VLOOKUP(A30,數量表!A:I,3,FALSE)</f>
        <v>交通維持，道路管制人員，日間(06-22時)，義交</v>
      </c>
      <c r="C30" s="1224">
        <f>VLOOKUP(B30,合約!B:I,8,FALSE)</f>
        <v>429</v>
      </c>
      <c r="D30" s="1225" t="str">
        <f>VLOOKUP(B30,合約!B:I,2,FALSE)</f>
        <v>時</v>
      </c>
      <c r="E30" s="1226" t="e">
        <f>VLOOKUP(B30,數量表!C:I,6,FALSE)</f>
        <v>#REF!</v>
      </c>
      <c r="F30" s="1226">
        <f>VLOOKUP(B30,合約!B:G,4,FALSE)</f>
        <v>280</v>
      </c>
      <c r="G30" s="1226" t="e">
        <f t="shared" si="0"/>
        <v>#REF!</v>
      </c>
      <c r="H30" s="1227" t="str">
        <f>VLOOKUP(B30,合約!B:I,6,FALSE)</f>
        <v>L015566G01001
[人力工項不打折]</v>
      </c>
    </row>
    <row r="31" spans="1:8" s="2" customFormat="1" ht="21">
      <c r="A31" s="1228" t="s">
        <v>6066</v>
      </c>
      <c r="B31" s="1229" t="str">
        <f>VLOOKUP(A31,數量表!A:I,3,FALSE)</f>
        <v>交通維持用，槽鋼護欄，含警示燈</v>
      </c>
      <c r="C31" s="1224">
        <f>VLOOKUP(B31,合約!B:I,8,FALSE)</f>
        <v>433</v>
      </c>
      <c r="D31" s="1225" t="str">
        <f>VLOOKUP(B31,合約!B:I,2,FALSE)</f>
        <v>M</v>
      </c>
      <c r="E31" s="1226" t="e">
        <f>VLOOKUP(B31,數量表!C:I,6,FALSE)</f>
        <v>#REF!</v>
      </c>
      <c r="F31" s="1226">
        <f>VLOOKUP(B31,合約!B:G,4,FALSE)</f>
        <v>254.34</v>
      </c>
      <c r="G31" s="1226" t="e">
        <f t="shared" si="0"/>
        <v>#REF!</v>
      </c>
      <c r="H31" s="1227" t="str">
        <f>VLOOKUP(B31,合約!B:I,6,FALSE)</f>
        <v>01556C00A1
分析表345
使用10次</v>
      </c>
    </row>
    <row r="32" spans="1:8" s="2" customFormat="1" ht="28.5">
      <c r="A32" s="1228" t="s">
        <v>6075</v>
      </c>
      <c r="B32" s="1229" t="str">
        <f>VLOOKUP(A32,數量表!A:I,3,FALSE)</f>
        <v>標線，熱處理聚酯，反光，厚2mm，第Ⅱ型，12公尺以下道路及零星路段繪設</v>
      </c>
      <c r="C32" s="1224">
        <f>VLOOKUP(B32,合約!B:I,8,FALSE)</f>
        <v>448</v>
      </c>
      <c r="D32" s="1225" t="str">
        <f>VLOOKUP(B32,合約!B:I,2,FALSE)</f>
        <v>M2</v>
      </c>
      <c r="E32" s="1226" t="e">
        <f>VLOOKUP(B32,數量表!C:I,6,FALSE)</f>
        <v>#REF!</v>
      </c>
      <c r="F32" s="1226">
        <f>VLOOKUP(B32,合約!B:G,4,FALSE)</f>
        <v>916.44</v>
      </c>
      <c r="G32" s="1226" t="e">
        <f t="shared" si="0"/>
        <v>#REF!</v>
      </c>
      <c r="H32" s="1227" t="str">
        <f>VLOOKUP(B32,合約!B:I,6,FALSE)</f>
        <v xml:space="preserve">0289821302
分析表359
</v>
      </c>
    </row>
    <row r="33" spans="1:8" s="2" customFormat="1">
      <c r="A33" s="1230"/>
      <c r="B33" s="177" t="s">
        <v>13</v>
      </c>
      <c r="C33" s="1231"/>
      <c r="D33" s="180"/>
      <c r="E33" s="149"/>
      <c r="F33" s="149"/>
      <c r="G33" s="149" t="e">
        <f>SUM(G3:G32)</f>
        <v>#REF!</v>
      </c>
      <c r="H33" s="1232"/>
    </row>
    <row r="34" spans="1:8">
      <c r="A34" s="1230"/>
      <c r="B34" s="177"/>
      <c r="C34" s="1231"/>
      <c r="D34" s="180"/>
      <c r="E34" s="149"/>
      <c r="F34" s="149"/>
      <c r="G34" s="149"/>
      <c r="H34" s="1232"/>
    </row>
    <row r="35" spans="1:8">
      <c r="A35" s="1233"/>
      <c r="B35" s="177" t="s">
        <v>2946</v>
      </c>
      <c r="C35" s="1231"/>
      <c r="D35" s="180"/>
      <c r="E35" s="149"/>
      <c r="F35" s="149"/>
      <c r="G35" s="149"/>
      <c r="H35" s="1232" t="s">
        <v>27</v>
      </c>
    </row>
    <row r="36" spans="1:8">
      <c r="A36" s="1234"/>
      <c r="B36" s="177" t="s">
        <v>2947</v>
      </c>
      <c r="C36" s="1231"/>
      <c r="D36" s="180" t="s">
        <v>14</v>
      </c>
      <c r="E36" s="149">
        <v>1</v>
      </c>
      <c r="F36" s="149" t="e">
        <f>0.0252*G33</f>
        <v>#REF!</v>
      </c>
      <c r="G36" s="149" t="e">
        <f>ROUND(E36*F36,2)</f>
        <v>#REF!</v>
      </c>
      <c r="H36" s="1232" t="s">
        <v>401</v>
      </c>
    </row>
    <row r="37" spans="1:8">
      <c r="A37" s="1235"/>
      <c r="B37" s="1223" t="s">
        <v>2948</v>
      </c>
      <c r="C37" s="1231"/>
      <c r="D37" s="180"/>
      <c r="E37" s="149"/>
      <c r="F37" s="149"/>
      <c r="G37" s="149"/>
      <c r="H37" s="1236" t="s">
        <v>402</v>
      </c>
    </row>
    <row r="38" spans="1:8">
      <c r="A38" s="1237"/>
      <c r="B38" s="1238" t="s">
        <v>2949</v>
      </c>
      <c r="C38" s="1239"/>
      <c r="D38" s="1225" t="s">
        <v>14</v>
      </c>
      <c r="E38" s="149">
        <v>1</v>
      </c>
      <c r="F38" s="149" t="e">
        <f>0.0497*G33</f>
        <v>#REF!</v>
      </c>
      <c r="G38" s="149" t="e">
        <f>ROUND(E38*F38,2)</f>
        <v>#REF!</v>
      </c>
      <c r="H38" s="1232" t="s">
        <v>403</v>
      </c>
    </row>
    <row r="39" spans="1:8">
      <c r="A39" s="1237"/>
      <c r="B39" s="178" t="s">
        <v>2950</v>
      </c>
      <c r="C39" s="1240"/>
      <c r="D39" s="180" t="s">
        <v>14</v>
      </c>
      <c r="E39" s="149">
        <v>1</v>
      </c>
      <c r="F39" s="149" t="e">
        <f>0.028534*G33</f>
        <v>#REF!</v>
      </c>
      <c r="G39" s="149" t="e">
        <f>ROUND(E39*F39,2)</f>
        <v>#REF!</v>
      </c>
      <c r="H39" s="1232" t="s">
        <v>5487</v>
      </c>
    </row>
    <row r="40" spans="1:8">
      <c r="A40" s="1237"/>
      <c r="B40" s="177" t="s">
        <v>2951</v>
      </c>
      <c r="C40" s="1241"/>
      <c r="D40" s="1225" t="s">
        <v>14</v>
      </c>
      <c r="E40" s="149">
        <v>1</v>
      </c>
      <c r="F40" s="149" t="e">
        <f>0.0163*G33</f>
        <v>#REF!</v>
      </c>
      <c r="G40" s="149" t="e">
        <f>ROUND(E40*F40,2)</f>
        <v>#REF!</v>
      </c>
      <c r="H40" s="1232" t="s">
        <v>5488</v>
      </c>
    </row>
    <row r="41" spans="1:8">
      <c r="A41" s="1237"/>
      <c r="B41" s="1238" t="s">
        <v>2952</v>
      </c>
      <c r="C41" s="1241"/>
      <c r="D41" s="1225" t="s">
        <v>14</v>
      </c>
      <c r="E41" s="149">
        <v>1</v>
      </c>
      <c r="F41" s="149" t="e">
        <f>0.0188*(G33)</f>
        <v>#REF!</v>
      </c>
      <c r="G41" s="149" t="e">
        <f>ROUND(E41*F41,2)</f>
        <v>#REF!</v>
      </c>
      <c r="H41" s="1232" t="s">
        <v>5489</v>
      </c>
    </row>
    <row r="42" spans="1:8">
      <c r="A42" s="1230"/>
      <c r="B42" s="1238" t="s">
        <v>13</v>
      </c>
      <c r="C42" s="1241"/>
      <c r="D42" s="1225"/>
      <c r="E42" s="149"/>
      <c r="F42" s="149"/>
      <c r="G42" s="149" t="e">
        <f>SUM(G36:G41)</f>
        <v>#REF!</v>
      </c>
      <c r="H42" s="1232"/>
    </row>
    <row r="43" spans="1:8">
      <c r="A43" s="1230"/>
      <c r="B43" s="1238"/>
      <c r="C43" s="1241"/>
      <c r="D43" s="1225"/>
      <c r="E43" s="149"/>
      <c r="F43" s="149"/>
      <c r="G43" s="149"/>
      <c r="H43" s="1232"/>
    </row>
    <row r="44" spans="1:8" ht="21">
      <c r="A44" s="1237"/>
      <c r="B44" s="1238" t="s">
        <v>2936</v>
      </c>
      <c r="C44" s="1241"/>
      <c r="D44" s="1225" t="s">
        <v>14</v>
      </c>
      <c r="E44" s="149">
        <v>1</v>
      </c>
      <c r="F44" s="149" t="e">
        <f>0.1094809484*(G33+G42)</f>
        <v>#REF!</v>
      </c>
      <c r="G44" s="149" t="e">
        <f>ROUND(E44*F44,2)</f>
        <v>#REF!</v>
      </c>
      <c r="H44" s="1227" t="s">
        <v>5490</v>
      </c>
    </row>
    <row r="45" spans="1:8">
      <c r="A45" s="1230"/>
      <c r="B45" s="1238" t="s">
        <v>13</v>
      </c>
      <c r="C45" s="1241"/>
      <c r="D45" s="1225"/>
      <c r="E45" s="149"/>
      <c r="F45" s="149"/>
      <c r="G45" s="149" t="e">
        <f>SUM(G44:G44)</f>
        <v>#REF!</v>
      </c>
      <c r="H45" s="1232"/>
    </row>
    <row r="46" spans="1:8">
      <c r="A46" s="1230"/>
      <c r="B46" s="1238" t="s">
        <v>21</v>
      </c>
      <c r="C46" s="1241"/>
      <c r="D46" s="1225"/>
      <c r="E46" s="149"/>
      <c r="F46" s="149"/>
      <c r="G46" s="149" t="e">
        <f>ROUND(G45+G42+G33,0)</f>
        <v>#REF!</v>
      </c>
      <c r="H46" s="1232"/>
    </row>
    <row r="47" spans="1:8">
      <c r="A47" s="1230"/>
      <c r="B47" s="1238"/>
      <c r="C47" s="1241"/>
      <c r="D47" s="1225"/>
      <c r="E47" s="149"/>
      <c r="F47" s="149"/>
      <c r="G47" s="149"/>
      <c r="H47" s="1232"/>
    </row>
  </sheetData>
  <phoneticPr fontId="3" type="noConversion"/>
  <printOptions horizontalCentered="1"/>
  <pageMargins left="0.70866141732283472" right="0.70866141732283472" top="1.3779527559055118" bottom="0.74803149606299213" header="0.31496062992125984" footer="0.31496062992125984"/>
  <pageSetup paperSize="9" scale="80" fitToHeight="0" orientation="portrait" blackAndWhite="1" r:id="rId1"/>
  <headerFooter alignWithMargins="0">
    <oddHeader>&amp;L&amp;"標楷體,標準"
&amp;F&amp;C&amp;"標楷體,粗體"&amp;16臺北市政府工務局水利工程處  詳細表&amp;R&amp;"標楷體,標準"
第&amp;P頁共&amp;N頁</oddHeader>
  </headerFooter>
  <colBreaks count="1" manualBreakCount="1">
    <brk id="8"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1AB57-B651-4321-A620-A5481E849333}">
  <dimension ref="A1:H8"/>
  <sheetViews>
    <sheetView view="pageLayout" zoomScaleNormal="75" workbookViewId="0">
      <selection sqref="A1:H1"/>
    </sheetView>
  </sheetViews>
  <sheetFormatPr defaultRowHeight="16.5"/>
  <cols>
    <col min="1" max="1" width="4.625" style="1216" customWidth="1"/>
    <col min="2" max="2" width="10.625" style="1214" customWidth="1"/>
    <col min="3" max="4" width="16.625" style="1214" customWidth="1"/>
    <col min="5" max="5" width="32.625" style="1214" customWidth="1"/>
    <col min="6" max="6" width="3.625" style="1214" customWidth="1"/>
    <col min="7" max="7" width="13.625" style="1214" customWidth="1"/>
    <col min="8" max="8" width="8.625" style="1214" customWidth="1"/>
  </cols>
  <sheetData>
    <row r="1" spans="1:8">
      <c r="A1" s="1218" t="s">
        <v>10</v>
      </c>
      <c r="B1" s="1218" t="s">
        <v>4349</v>
      </c>
      <c r="C1" s="1218"/>
      <c r="D1" s="1218"/>
      <c r="E1" s="1218"/>
      <c r="F1" s="1218"/>
      <c r="G1" s="1218" t="s">
        <v>11</v>
      </c>
      <c r="H1" s="1218" t="s">
        <v>12</v>
      </c>
    </row>
    <row r="2" spans="1:8">
      <c r="A2" s="1217" t="s">
        <v>4342</v>
      </c>
      <c r="B2" s="1214" t="str">
        <f>數量計算表!B1</f>
        <v>側溝更新-溝寬0.4m*平均溝深0.58m 頂板另計</v>
      </c>
      <c r="F2" s="1214" t="s">
        <v>4343</v>
      </c>
      <c r="G2" s="1214">
        <f>數量計算表!D2</f>
        <v>5</v>
      </c>
      <c r="H2" s="1214" t="str">
        <f>數量計算表!K1</f>
        <v>m</v>
      </c>
    </row>
    <row r="3" spans="1:8">
      <c r="A3" s="1217" t="s">
        <v>4</v>
      </c>
      <c r="B3" s="1214" t="str">
        <f>數量計算表!B27</f>
        <v>側溝頂板更新(S1)-頂板寬0.8m*頂板厚0.15m</v>
      </c>
      <c r="F3" s="1214" t="s">
        <v>4343</v>
      </c>
      <c r="G3" s="1214">
        <f>數量計算表!D28</f>
        <v>4</v>
      </c>
      <c r="H3" s="1214" t="str">
        <f>數量計算表!K27</f>
        <v>m</v>
      </c>
    </row>
    <row r="4" spans="1:8">
      <c r="A4" s="1217" t="s">
        <v>5</v>
      </c>
      <c r="B4" s="1214" t="e">
        <f>數量計算表!#REF!</f>
        <v>#REF!</v>
      </c>
      <c r="F4" s="1214" t="s">
        <v>4343</v>
      </c>
      <c r="G4" s="1214" t="e">
        <f>數量計算表!#REF!</f>
        <v>#REF!</v>
      </c>
      <c r="H4" s="1214" t="e">
        <f>數量計算表!#REF!</f>
        <v>#REF!</v>
      </c>
    </row>
    <row r="5" spans="1:8">
      <c r="A5" s="1217" t="s">
        <v>6</v>
      </c>
      <c r="B5" s="1214" t="str">
        <f>數量計算表!B7</f>
        <v>集水井新設-井寬0.5m*井深0.75m 頂板另計</v>
      </c>
      <c r="F5" s="1214" t="s">
        <v>4343</v>
      </c>
      <c r="G5" s="1214">
        <f>數量計算表!D8</f>
        <v>1</v>
      </c>
      <c r="H5" s="1214" t="str">
        <f>數量計算表!K7</f>
        <v>座</v>
      </c>
    </row>
    <row r="6" spans="1:8">
      <c r="A6" s="1217" t="s">
        <v>7</v>
      </c>
      <c r="B6" s="1214" t="str">
        <f>數量計算表!B13</f>
        <v>暗溝新設-溝寬0.5m*溝深0.47m 頂板另計</v>
      </c>
      <c r="F6" s="1214" t="s">
        <v>4343</v>
      </c>
      <c r="G6" s="1214">
        <f>數量計算表!D14</f>
        <v>1.5</v>
      </c>
      <c r="H6" s="1214" t="str">
        <f>數量計算表!K13</f>
        <v>m</v>
      </c>
    </row>
    <row r="7" spans="1:8">
      <c r="A7" s="1217" t="s">
        <v>8</v>
      </c>
      <c r="B7" s="1214" t="str">
        <f>數量計算表!B37</f>
        <v>採用路面切割10公分復舊-採用AC回填，復舊厚度為15cm</v>
      </c>
      <c r="F7" s="1214" t="s">
        <v>4343</v>
      </c>
      <c r="G7" s="1214">
        <f>數量計算表!D38</f>
        <v>1</v>
      </c>
      <c r="H7" s="1214" t="str">
        <f>數量計算表!K37</f>
        <v>式</v>
      </c>
    </row>
    <row r="8" spans="1:8">
      <c r="A8" s="1217" t="s">
        <v>9</v>
      </c>
      <c r="B8" s="1214" t="str">
        <f>數量計算表!B41</f>
        <v>其他</v>
      </c>
      <c r="F8" s="1214" t="s">
        <v>4343</v>
      </c>
      <c r="G8" s="1214">
        <f>數量計算表!D42</f>
        <v>1</v>
      </c>
      <c r="H8" s="1214" t="str">
        <f>數量計算表!K41</f>
        <v>式</v>
      </c>
    </row>
  </sheetData>
  <phoneticPr fontId="3" type="noConversion"/>
  <pageMargins left="0.7" right="0.7" top="1.3779527559055118" bottom="0.75" header="0.3" footer="0.3"/>
  <pageSetup paperSize="9" scale="80" orientation="portrait" r:id="rId1"/>
  <headerFooter>
    <oddHeader>&amp;L
&amp;"標楷體,標準" 工程名稱：114年度續約-113年度雨水下水道緊急搶修預約維護工程(北區)&amp;C&amp;"標楷體,Bold"&amp;16臺北市政府工務局水利工程處  工項數量表&amp;R&amp;"Times New Roman,標準"
&amp;"標楷體,標準"第&amp;"Times New Roman,標準"&amp;P&amp;"標楷體,標準"頁&amp;"Times New Roman,標準",&amp;"標楷體,標準"共&amp;"Times New Roman,標準"&amp;N&amp;"標楷體,標準"頁</oddHeader>
    <oddFooter>&amp;L&amp;"標楷體,標準"&amp;8&amp;F&amp;C&amp;"標楷體,標準"校&amp;"Times New Roman,標準"                         &amp;"標楷體,標準"編&amp;"Times New Roman,標準"
&amp;"標楷體,標準"核&amp;"Times New Roman,標準"                         &amp;"標楷體,標準"製</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9CAB-77CF-4D52-BF55-183024F0F02F}">
  <dimension ref="A1:I31"/>
  <sheetViews>
    <sheetView view="pageLayout" zoomScaleNormal="75" workbookViewId="0">
      <selection sqref="A1:I1"/>
    </sheetView>
  </sheetViews>
  <sheetFormatPr defaultRowHeight="16.5"/>
  <cols>
    <col min="1" max="1" width="4.625" style="1216" customWidth="1"/>
    <col min="2" max="2" width="10.625" style="1216" customWidth="1"/>
    <col min="3" max="6" width="16.625" style="1214" customWidth="1"/>
    <col min="7" max="7" width="3.625" style="1214" customWidth="1"/>
    <col min="8" max="8" width="13.625" style="1214" customWidth="1"/>
    <col min="9" max="9" width="8.625" style="1214" customWidth="1"/>
  </cols>
  <sheetData>
    <row r="1" spans="1:9">
      <c r="A1" s="1218" t="s">
        <v>10</v>
      </c>
      <c r="B1" s="1218" t="s">
        <v>4351</v>
      </c>
      <c r="C1" s="1218" t="s">
        <v>4348</v>
      </c>
      <c r="D1" s="1218"/>
      <c r="E1" s="1218"/>
      <c r="F1" s="1218"/>
      <c r="G1" s="1218"/>
      <c r="H1" s="1218" t="s">
        <v>11</v>
      </c>
      <c r="I1" s="1218" t="s">
        <v>12</v>
      </c>
    </row>
    <row r="2" spans="1:9">
      <c r="A2" s="1217" t="s">
        <v>4342</v>
      </c>
      <c r="B2" s="1217" t="s">
        <v>28</v>
      </c>
      <c r="C2" s="1214" t="s">
        <v>2996</v>
      </c>
      <c r="G2" s="1214" t="s">
        <v>4343</v>
      </c>
      <c r="H2" s="1215" t="e">
        <f>數量統計表!K3</f>
        <v>#REF!</v>
      </c>
      <c r="I2" s="1214" t="e">
        <f>數量計算表!#REF!</f>
        <v>#REF!</v>
      </c>
    </row>
    <row r="3" spans="1:9">
      <c r="A3" s="1217" t="s">
        <v>4</v>
      </c>
      <c r="B3" s="1217" t="s">
        <v>30</v>
      </c>
      <c r="C3" s="1214" t="s">
        <v>1078</v>
      </c>
      <c r="G3" s="1214" t="s">
        <v>4343</v>
      </c>
      <c r="H3" s="1215" t="e">
        <f>數量統計表!K7</f>
        <v>#REF!</v>
      </c>
      <c r="I3" s="1214" t="e">
        <f>數量計算表!#REF!</f>
        <v>#REF!</v>
      </c>
    </row>
    <row r="4" spans="1:9">
      <c r="A4" s="1217" t="s">
        <v>5</v>
      </c>
      <c r="B4" s="1217" t="s">
        <v>31</v>
      </c>
      <c r="C4" s="1214" t="s">
        <v>3001</v>
      </c>
      <c r="G4" s="1214" t="s">
        <v>4343</v>
      </c>
      <c r="H4" s="1215" t="e">
        <f>數量統計表!K11</f>
        <v>#REF!</v>
      </c>
      <c r="I4" s="1214" t="e">
        <f>數量計算表!#REF!</f>
        <v>#REF!</v>
      </c>
    </row>
    <row r="5" spans="1:9">
      <c r="A5" s="1217" t="s">
        <v>6</v>
      </c>
      <c r="B5" s="1217" t="s">
        <v>38</v>
      </c>
      <c r="C5" s="1214" t="s">
        <v>4065</v>
      </c>
      <c r="G5" s="1214" t="s">
        <v>4343</v>
      </c>
      <c r="H5" s="1215" t="e">
        <f>數量統計表!K15</f>
        <v>#REF!</v>
      </c>
      <c r="I5" s="1214" t="e">
        <f>數量計算表!#REF!</f>
        <v>#REF!</v>
      </c>
    </row>
    <row r="6" spans="1:9">
      <c r="A6" s="1217" t="s">
        <v>7</v>
      </c>
      <c r="B6" s="1217" t="s">
        <v>43</v>
      </c>
      <c r="C6" s="1214" t="s">
        <v>1774</v>
      </c>
      <c r="G6" s="1214" t="s">
        <v>4343</v>
      </c>
      <c r="H6" s="1215" t="e">
        <f>數量統計表!K19</f>
        <v>#REF!</v>
      </c>
      <c r="I6" s="1214" t="e">
        <f>數量計算表!#REF!</f>
        <v>#REF!</v>
      </c>
    </row>
    <row r="7" spans="1:9">
      <c r="A7" s="1217" t="s">
        <v>8</v>
      </c>
      <c r="B7" s="1217" t="s">
        <v>46</v>
      </c>
      <c r="C7" s="1214" t="s">
        <v>3007</v>
      </c>
      <c r="G7" s="1214" t="s">
        <v>4343</v>
      </c>
      <c r="H7" s="1215" t="e">
        <f>數量統計表!K23</f>
        <v>#REF!</v>
      </c>
      <c r="I7" s="1214" t="e">
        <f>數量計算表!#REF!</f>
        <v>#REF!</v>
      </c>
    </row>
    <row r="8" spans="1:9">
      <c r="A8" s="1217" t="s">
        <v>9</v>
      </c>
      <c r="B8" s="1217" t="s">
        <v>87</v>
      </c>
      <c r="C8" s="1214" t="s">
        <v>3971</v>
      </c>
      <c r="G8" s="1214" t="s">
        <v>4343</v>
      </c>
      <c r="H8" s="1215" t="e">
        <f>數量統計表!K31</f>
        <v>#REF!</v>
      </c>
      <c r="I8" s="1214" t="e">
        <f>數量計算表!#REF!</f>
        <v>#REF!</v>
      </c>
    </row>
    <row r="9" spans="1:9">
      <c r="A9" s="1217" t="s">
        <v>463</v>
      </c>
      <c r="B9" s="1217" t="s">
        <v>98</v>
      </c>
      <c r="C9" s="1214" t="s">
        <v>1149</v>
      </c>
      <c r="G9" s="1214" t="s">
        <v>4343</v>
      </c>
      <c r="H9" s="1215" t="e">
        <f>數量統計表!K35</f>
        <v>#REF!</v>
      </c>
      <c r="I9" s="1214" t="e">
        <f>數量計算表!#REF!</f>
        <v>#REF!</v>
      </c>
    </row>
    <row r="10" spans="1:9">
      <c r="A10" s="1217" t="s">
        <v>517</v>
      </c>
      <c r="B10" s="1217" t="s">
        <v>101</v>
      </c>
      <c r="C10" s="1214" t="s">
        <v>3639</v>
      </c>
      <c r="G10" s="1214" t="s">
        <v>4343</v>
      </c>
      <c r="H10" s="1215" t="e">
        <f>數量統計表!K39</f>
        <v>#REF!</v>
      </c>
      <c r="I10" s="1214" t="e">
        <f>數量計算表!#REF!</f>
        <v>#REF!</v>
      </c>
    </row>
    <row r="11" spans="1:9">
      <c r="A11" s="1217" t="s">
        <v>518</v>
      </c>
      <c r="B11" s="1217" t="s">
        <v>124</v>
      </c>
      <c r="C11" s="1214" t="s">
        <v>1250</v>
      </c>
      <c r="G11" s="1214" t="s">
        <v>4343</v>
      </c>
      <c r="H11" s="1215" t="e">
        <f>數量統計表!K43</f>
        <v>#REF!</v>
      </c>
      <c r="I11" s="1214" t="e">
        <f>數量計算表!#REF!</f>
        <v>#REF!</v>
      </c>
    </row>
    <row r="12" spans="1:9">
      <c r="A12" s="1217" t="s">
        <v>519</v>
      </c>
      <c r="B12" s="1217" t="s">
        <v>126</v>
      </c>
      <c r="C12" s="1214" t="s">
        <v>464</v>
      </c>
      <c r="G12" s="1214" t="s">
        <v>4343</v>
      </c>
      <c r="H12" s="1215" t="e">
        <f>數量統計表!K48</f>
        <v>#REF!</v>
      </c>
      <c r="I12" s="1214" t="e">
        <f>數量計算表!#REF!</f>
        <v>#REF!</v>
      </c>
    </row>
    <row r="13" spans="1:9">
      <c r="A13" s="1217" t="s">
        <v>4003</v>
      </c>
      <c r="B13" s="1217" t="s">
        <v>129</v>
      </c>
      <c r="C13" s="1214" t="s">
        <v>1275</v>
      </c>
      <c r="G13" s="1214" t="s">
        <v>4343</v>
      </c>
      <c r="H13" s="1215" t="e">
        <f>數量統計表!K53</f>
        <v>#REF!</v>
      </c>
      <c r="I13" s="1214" t="e">
        <f>數量計算表!#REF!</f>
        <v>#REF!</v>
      </c>
    </row>
    <row r="14" spans="1:9">
      <c r="A14" s="1217" t="s">
        <v>4004</v>
      </c>
      <c r="B14" s="1217" t="s">
        <v>132</v>
      </c>
      <c r="C14" s="1214" t="s">
        <v>16</v>
      </c>
      <c r="G14" s="1214" t="s">
        <v>4343</v>
      </c>
      <c r="H14" s="1215" t="e">
        <f>數量統計表!K58</f>
        <v>#REF!</v>
      </c>
      <c r="I14" s="1214" t="e">
        <f>數量計算表!#REF!</f>
        <v>#REF!</v>
      </c>
    </row>
    <row r="15" spans="1:9">
      <c r="A15" s="1217" t="s">
        <v>4005</v>
      </c>
      <c r="B15" s="1217" t="s">
        <v>151</v>
      </c>
      <c r="C15" s="1214" t="s">
        <v>2970</v>
      </c>
      <c r="G15" s="1214" t="s">
        <v>4343</v>
      </c>
      <c r="H15" s="1215" t="e">
        <f>數量統計表!K62</f>
        <v>#REF!</v>
      </c>
      <c r="I15" s="1214" t="e">
        <f>數量計算表!#REF!</f>
        <v>#REF!</v>
      </c>
    </row>
    <row r="16" spans="1:9">
      <c r="A16" s="1217" t="s">
        <v>4006</v>
      </c>
      <c r="B16" s="1217" t="s">
        <v>156</v>
      </c>
      <c r="C16" s="1214" t="s">
        <v>6033</v>
      </c>
      <c r="G16" s="1214" t="s">
        <v>4343</v>
      </c>
      <c r="H16" s="1215" t="e">
        <f>數量統計表!K67</f>
        <v>#REF!</v>
      </c>
      <c r="I16" s="1214" t="e">
        <f>數量計算表!#REF!</f>
        <v>#REF!</v>
      </c>
    </row>
    <row r="17" spans="1:9">
      <c r="A17" s="1217" t="s">
        <v>4007</v>
      </c>
      <c r="B17" s="1217" t="s">
        <v>164</v>
      </c>
      <c r="C17" s="1214" t="s">
        <v>6032</v>
      </c>
      <c r="G17" s="1214" t="s">
        <v>4343</v>
      </c>
      <c r="H17" s="1215" t="e">
        <f>數量統計表!K71</f>
        <v>#REF!</v>
      </c>
      <c r="I17" s="1214" t="e">
        <f>數量計算表!#REF!</f>
        <v>#REF!</v>
      </c>
    </row>
    <row r="18" spans="1:9">
      <c r="A18" s="1217" t="s">
        <v>4008</v>
      </c>
      <c r="B18" s="1217" t="s">
        <v>183</v>
      </c>
      <c r="C18" s="1214" t="s">
        <v>2935</v>
      </c>
      <c r="G18" s="1214" t="s">
        <v>4343</v>
      </c>
      <c r="H18" s="1215" t="e">
        <f>數量統計表!K78</f>
        <v>#REF!</v>
      </c>
      <c r="I18" s="1214" t="e">
        <f>數量計算表!#REF!</f>
        <v>#REF!</v>
      </c>
    </row>
    <row r="19" spans="1:9">
      <c r="A19" s="1217" t="s">
        <v>4009</v>
      </c>
      <c r="B19" s="1217" t="s">
        <v>195</v>
      </c>
      <c r="C19" s="1214" t="s">
        <v>1460</v>
      </c>
      <c r="G19" s="1214" t="s">
        <v>4343</v>
      </c>
      <c r="H19" s="1215" t="e">
        <f>數量統計表!K83</f>
        <v>#REF!</v>
      </c>
      <c r="I19" s="1214" t="e">
        <f>數量計算表!#REF!</f>
        <v>#REF!</v>
      </c>
    </row>
    <row r="20" spans="1:9">
      <c r="A20" s="1217" t="s">
        <v>4010</v>
      </c>
      <c r="B20" s="1217" t="s">
        <v>303</v>
      </c>
      <c r="C20" s="1214" t="s">
        <v>2032</v>
      </c>
      <c r="G20" s="1214" t="s">
        <v>4343</v>
      </c>
      <c r="H20" s="1215" t="e">
        <f>數量統計表!K87</f>
        <v>#REF!</v>
      </c>
      <c r="I20" s="1214" t="e">
        <f>數量計算表!#REF!</f>
        <v>#REF!</v>
      </c>
    </row>
    <row r="21" spans="1:9">
      <c r="A21" s="1217" t="s">
        <v>4013</v>
      </c>
      <c r="B21" s="1217" t="s">
        <v>415</v>
      </c>
      <c r="C21" s="1214" t="s">
        <v>2937</v>
      </c>
      <c r="G21" s="1214" t="s">
        <v>4343</v>
      </c>
      <c r="H21" s="1215" t="e">
        <f>數量統計表!K91</f>
        <v>#REF!</v>
      </c>
      <c r="I21" s="1214" t="e">
        <f>數量計算表!#REF!</f>
        <v>#REF!</v>
      </c>
    </row>
    <row r="22" spans="1:9">
      <c r="A22" s="1217" t="s">
        <v>4014</v>
      </c>
      <c r="B22" s="1217" t="s">
        <v>428</v>
      </c>
      <c r="C22" s="1214" t="s">
        <v>2292</v>
      </c>
      <c r="G22" s="1214" t="s">
        <v>4343</v>
      </c>
      <c r="H22" s="1215" t="e">
        <f>數量統計表!K95</f>
        <v>#REF!</v>
      </c>
      <c r="I22" s="1214" t="e">
        <f>數量計算表!#REF!</f>
        <v>#REF!</v>
      </c>
    </row>
    <row r="23" spans="1:9">
      <c r="A23" s="1217" t="s">
        <v>4066</v>
      </c>
      <c r="B23" s="1217" t="s">
        <v>430</v>
      </c>
      <c r="C23" s="1214" t="s">
        <v>3652</v>
      </c>
      <c r="G23" s="1214" t="s">
        <v>4343</v>
      </c>
      <c r="H23" s="1215" t="e">
        <f>數量統計表!K99</f>
        <v>#REF!</v>
      </c>
      <c r="I23" s="1214" t="e">
        <f>數量計算表!#REF!</f>
        <v>#REF!</v>
      </c>
    </row>
    <row r="24" spans="1:9">
      <c r="A24" s="1217" t="s">
        <v>4067</v>
      </c>
      <c r="B24" s="1217" t="s">
        <v>469</v>
      </c>
      <c r="C24" s="1214" t="s">
        <v>2438</v>
      </c>
      <c r="G24" s="1214" t="s">
        <v>4343</v>
      </c>
      <c r="H24" s="1215" t="e">
        <f>數量統計表!K103</f>
        <v>#REF!</v>
      </c>
      <c r="I24" s="1214" t="e">
        <f>數量計算表!#REF!</f>
        <v>#REF!</v>
      </c>
    </row>
    <row r="25" spans="1:9">
      <c r="A25" s="1217" t="s">
        <v>6035</v>
      </c>
      <c r="B25" s="1217" t="s">
        <v>471</v>
      </c>
      <c r="C25" s="1214" t="s">
        <v>515</v>
      </c>
      <c r="G25" s="1214" t="s">
        <v>4343</v>
      </c>
      <c r="H25" s="1215" t="e">
        <f>數量統計表!K107</f>
        <v>#REF!</v>
      </c>
      <c r="I25" s="1214" t="e">
        <f>數量計算表!#REF!</f>
        <v>#REF!</v>
      </c>
    </row>
    <row r="26" spans="1:9">
      <c r="A26" s="1217" t="s">
        <v>6036</v>
      </c>
      <c r="B26" s="1217" t="s">
        <v>492</v>
      </c>
      <c r="C26" s="1214" t="s">
        <v>2938</v>
      </c>
      <c r="G26" s="1214" t="s">
        <v>4343</v>
      </c>
      <c r="H26" s="1215" t="e">
        <f>數量統計表!K111</f>
        <v>#REF!</v>
      </c>
      <c r="I26" s="1214" t="e">
        <f>數量計算表!#REF!</f>
        <v>#REF!</v>
      </c>
    </row>
    <row r="27" spans="1:9">
      <c r="A27" s="1217" t="s">
        <v>6039</v>
      </c>
      <c r="B27" s="1217" t="s">
        <v>522</v>
      </c>
      <c r="C27" s="1214" t="s">
        <v>2512</v>
      </c>
      <c r="G27" s="1214" t="s">
        <v>4343</v>
      </c>
      <c r="H27" s="1215" t="e">
        <f>數量統計表!K115</f>
        <v>#REF!</v>
      </c>
      <c r="I27" s="1214" t="e">
        <f>數量計算表!#REF!</f>
        <v>#REF!</v>
      </c>
    </row>
    <row r="28" spans="1:9">
      <c r="A28" s="1217" t="s">
        <v>6064</v>
      </c>
      <c r="B28" s="1217" t="s">
        <v>4794</v>
      </c>
      <c r="C28" s="1214" t="s">
        <v>2617</v>
      </c>
      <c r="G28" s="1214" t="s">
        <v>4343</v>
      </c>
      <c r="H28" s="1215" t="e">
        <f>數量統計表!K119</f>
        <v>#REF!</v>
      </c>
      <c r="I28" s="1214" t="e">
        <f>數量計算表!#REF!</f>
        <v>#REF!</v>
      </c>
    </row>
    <row r="29" spans="1:9">
      <c r="A29" s="1217" t="s">
        <v>6065</v>
      </c>
      <c r="B29" s="1217" t="s">
        <v>4807</v>
      </c>
      <c r="C29" s="1214" t="s">
        <v>2860</v>
      </c>
      <c r="G29" s="1214" t="s">
        <v>4343</v>
      </c>
      <c r="H29" s="1215" t="e">
        <f>數量統計表!K123</f>
        <v>#REF!</v>
      </c>
      <c r="I29" s="1214" t="e">
        <f>數量計算表!#REF!</f>
        <v>#REF!</v>
      </c>
    </row>
    <row r="30" spans="1:9">
      <c r="A30" s="1217" t="s">
        <v>6066</v>
      </c>
      <c r="B30" s="1217" t="s">
        <v>4812</v>
      </c>
      <c r="C30" s="1214" t="s">
        <v>2663</v>
      </c>
      <c r="G30" s="1214" t="s">
        <v>4343</v>
      </c>
      <c r="H30" s="1215" t="e">
        <f>數量統計表!K127</f>
        <v>#REF!</v>
      </c>
      <c r="I30" s="1214" t="e">
        <f>數量計算表!#REF!</f>
        <v>#REF!</v>
      </c>
    </row>
    <row r="31" spans="1:9">
      <c r="A31" s="1217" t="s">
        <v>6075</v>
      </c>
      <c r="B31" s="1217" t="s">
        <v>4841</v>
      </c>
      <c r="C31" s="1214" t="s">
        <v>913</v>
      </c>
      <c r="G31" s="1214" t="s">
        <v>4343</v>
      </c>
      <c r="H31" s="1215" t="e">
        <f>數量統計表!K131</f>
        <v>#REF!</v>
      </c>
      <c r="I31" s="1214" t="e">
        <f>數量計算表!#REF!</f>
        <v>#REF!</v>
      </c>
    </row>
  </sheetData>
  <phoneticPr fontId="3" type="noConversion"/>
  <pageMargins left="0.7" right="0.7" top="1.3779527559055118" bottom="0.75" header="0.3" footer="0.3"/>
  <pageSetup paperSize="9" scale="80" orientation="portrait" r:id="rId1"/>
  <headerFooter>
    <oddHeader>&amp;L
&amp;"標楷體,標準" 工程名稱：114年度續約-113年度雨水下水道緊急搶修預約維護工程(北區)&amp;C&amp;"標楷體,Bold"&amp;16臺北市政府工務局水利工程處  數量表&amp;R&amp;"Times New Roman,標準"
&amp;"標楷體,標準"第&amp;"Times New Roman,標準"&amp;P&amp;"標楷體,標準"頁&amp;"Times New Roman,標準",&amp;"標楷體,標準"共&amp;"Times New Roman,標準"&amp;N&amp;"標楷體,標準"頁</oddHeader>
    <oddFooter>&amp;L&amp;"標楷體,標準"&amp;8&amp;F&amp;C&amp;"標楷體,標準"校&amp;"Times New Roman,標準"                         &amp;"標楷體,標準"編&amp;"Times New Roman,標準"
&amp;"標楷體,標準"核&amp;"Times New Roman,標準"                         &amp;"標楷體,標準"製</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950A7-AC30-4EA4-86F0-50D2E76141C4}">
  <dimension ref="A1:L131"/>
  <sheetViews>
    <sheetView view="pageLayout" zoomScaleNormal="75" workbookViewId="0"/>
  </sheetViews>
  <sheetFormatPr defaultRowHeight="16.5"/>
  <cols>
    <col min="1" max="1" width="4.625" style="23" customWidth="1"/>
    <col min="2" max="2" width="5.625" style="23" customWidth="1"/>
    <col min="3" max="5" width="12.625" style="108" customWidth="1"/>
    <col min="6" max="6" width="12.625" style="1200" customWidth="1"/>
    <col min="7" max="7" width="12.625" style="108" customWidth="1"/>
    <col min="8" max="9" width="5.625" style="108" customWidth="1"/>
    <col min="10" max="10" width="3.625" style="1316" customWidth="1"/>
    <col min="11" max="11" width="10.625" style="1207" customWidth="1"/>
    <col min="12" max="12" width="8.625" style="108" customWidth="1"/>
  </cols>
  <sheetData>
    <row r="1" spans="1:12">
      <c r="A1" s="1203" t="s">
        <v>4342</v>
      </c>
      <c r="B1" s="1204" t="s">
        <v>28</v>
      </c>
      <c r="C1" s="109" t="s">
        <v>2996</v>
      </c>
      <c r="L1" s="1219" t="s">
        <v>4350</v>
      </c>
    </row>
    <row r="2" spans="1:12">
      <c r="B2" s="1205" t="s">
        <v>6073</v>
      </c>
      <c r="C2" s="1209" t="s">
        <v>4345</v>
      </c>
      <c r="H2" s="1211" t="e">
        <f>TEXT(數量計算表!D42&amp;數量計算表!E42&amp;"*"&amp;數量計算表!#REF!&amp;數量計算表!#REF!&amp;"/"&amp;數量計算表!E42,"0.0")</f>
        <v>#REF!</v>
      </c>
      <c r="J2" s="1316" t="s">
        <v>4343</v>
      </c>
      <c r="K2" s="1207" t="e">
        <f>數量計算表!D42*數量計算表!#REF!</f>
        <v>#REF!</v>
      </c>
      <c r="L2" s="108" t="e">
        <f>數量計算表!#REF!</f>
        <v>#REF!</v>
      </c>
    </row>
    <row r="3" spans="1:12">
      <c r="B3" s="1206"/>
      <c r="C3" s="1210"/>
      <c r="D3" s="1210"/>
      <c r="E3" s="1210"/>
      <c r="F3" s="1201"/>
      <c r="G3" s="1210"/>
      <c r="H3" s="1210"/>
      <c r="I3" s="1212" t="s">
        <v>2898</v>
      </c>
      <c r="J3" s="1202" t="s">
        <v>4343</v>
      </c>
      <c r="K3" s="1208" t="e">
        <f>ROUND(SUM(K2:K2),2)</f>
        <v>#REF!</v>
      </c>
      <c r="L3" s="1213" t="e">
        <f>數量計算表!#REF!</f>
        <v>#REF!</v>
      </c>
    </row>
    <row r="5" spans="1:12">
      <c r="A5" s="1203" t="s">
        <v>4</v>
      </c>
      <c r="B5" s="1204" t="s">
        <v>30</v>
      </c>
      <c r="C5" s="109" t="s">
        <v>1078</v>
      </c>
      <c r="L5" s="1219" t="s">
        <v>4350</v>
      </c>
    </row>
    <row r="6" spans="1:12">
      <c r="B6" s="1205" t="s">
        <v>6073</v>
      </c>
      <c r="C6" s="1209" t="s">
        <v>4345</v>
      </c>
      <c r="H6" s="1211" t="e">
        <f>TEXT(數量計算表!D42&amp;數量計算表!E42&amp;"*"&amp;數量計算表!#REF!&amp;數量計算表!#REF!&amp;"/"&amp;數量計算表!E42,"0.0")</f>
        <v>#REF!</v>
      </c>
      <c r="J6" s="1316" t="s">
        <v>4343</v>
      </c>
      <c r="K6" s="1207" t="e">
        <f>數量計算表!D42*數量計算表!#REF!</f>
        <v>#REF!</v>
      </c>
      <c r="L6" s="108" t="e">
        <f>數量計算表!#REF!</f>
        <v>#REF!</v>
      </c>
    </row>
    <row r="7" spans="1:12">
      <c r="B7" s="1206"/>
      <c r="C7" s="1210"/>
      <c r="D7" s="1210"/>
      <c r="E7" s="1210"/>
      <c r="F7" s="1201"/>
      <c r="G7" s="1210"/>
      <c r="H7" s="1210"/>
      <c r="I7" s="1212" t="s">
        <v>2898</v>
      </c>
      <c r="J7" s="1202" t="s">
        <v>4343</v>
      </c>
      <c r="K7" s="1208" t="e">
        <f>ROUND(SUM(K6:K6),2)</f>
        <v>#REF!</v>
      </c>
      <c r="L7" s="1213" t="e">
        <f>數量計算表!#REF!</f>
        <v>#REF!</v>
      </c>
    </row>
    <row r="9" spans="1:12">
      <c r="A9" s="1203" t="s">
        <v>5</v>
      </c>
      <c r="B9" s="1204" t="s">
        <v>31</v>
      </c>
      <c r="C9" s="109" t="s">
        <v>3001</v>
      </c>
      <c r="L9" s="1219" t="s">
        <v>4350</v>
      </c>
    </row>
    <row r="10" spans="1:12">
      <c r="B10" s="1205" t="s">
        <v>6073</v>
      </c>
      <c r="C10" s="1209" t="s">
        <v>4345</v>
      </c>
      <c r="H10" s="1211" t="e">
        <f>TEXT(數量計算表!D42&amp;數量計算表!E42&amp;"*"&amp;數量計算表!#REF!&amp;數量計算表!#REF!&amp;"/"&amp;數量計算表!E42,"0.0")</f>
        <v>#REF!</v>
      </c>
      <c r="J10" s="1316" t="s">
        <v>4343</v>
      </c>
      <c r="K10" s="1207" t="e">
        <f>數量計算表!D42*數量計算表!#REF!</f>
        <v>#REF!</v>
      </c>
      <c r="L10" s="108" t="e">
        <f>數量計算表!#REF!</f>
        <v>#REF!</v>
      </c>
    </row>
    <row r="11" spans="1:12">
      <c r="B11" s="1206"/>
      <c r="C11" s="1210"/>
      <c r="D11" s="1210"/>
      <c r="E11" s="1210"/>
      <c r="F11" s="1201"/>
      <c r="G11" s="1210"/>
      <c r="H11" s="1210"/>
      <c r="I11" s="1212" t="s">
        <v>2898</v>
      </c>
      <c r="J11" s="1202" t="s">
        <v>4343</v>
      </c>
      <c r="K11" s="1208" t="e">
        <f>ROUND(SUM(K10:K10),2)</f>
        <v>#REF!</v>
      </c>
      <c r="L11" s="1213" t="e">
        <f>數量計算表!#REF!</f>
        <v>#REF!</v>
      </c>
    </row>
    <row r="13" spans="1:12">
      <c r="A13" s="1203" t="s">
        <v>6</v>
      </c>
      <c r="B13" s="1204" t="s">
        <v>38</v>
      </c>
      <c r="C13" s="109" t="s">
        <v>4065</v>
      </c>
      <c r="L13" s="1219" t="s">
        <v>4350</v>
      </c>
    </row>
    <row r="14" spans="1:12">
      <c r="B14" s="1205" t="s">
        <v>6073</v>
      </c>
      <c r="C14" s="1209" t="s">
        <v>4345</v>
      </c>
      <c r="H14" s="1211" t="e">
        <f>TEXT(數量計算表!D42&amp;數量計算表!E42&amp;"*"&amp;數量計算表!#REF!&amp;數量計算表!#REF!&amp;"/"&amp;數量計算表!E42,"0.0")</f>
        <v>#REF!</v>
      </c>
      <c r="J14" s="1316" t="s">
        <v>4343</v>
      </c>
      <c r="K14" s="1207" t="e">
        <f>數量計算表!D42*數量計算表!#REF!</f>
        <v>#REF!</v>
      </c>
      <c r="L14" s="108" t="e">
        <f>數量計算表!#REF!</f>
        <v>#REF!</v>
      </c>
    </row>
    <row r="15" spans="1:12">
      <c r="B15" s="1206"/>
      <c r="C15" s="1210"/>
      <c r="D15" s="1210"/>
      <c r="E15" s="1210"/>
      <c r="F15" s="1201"/>
      <c r="G15" s="1210"/>
      <c r="H15" s="1210"/>
      <c r="I15" s="1212" t="s">
        <v>2898</v>
      </c>
      <c r="J15" s="1202" t="s">
        <v>4343</v>
      </c>
      <c r="K15" s="1208" t="e">
        <f>ROUND(SUM(K14:K14),2)</f>
        <v>#REF!</v>
      </c>
      <c r="L15" s="1213" t="e">
        <f>數量計算表!#REF!</f>
        <v>#REF!</v>
      </c>
    </row>
    <row r="17" spans="1:12">
      <c r="A17" s="1203" t="s">
        <v>7</v>
      </c>
      <c r="B17" s="1204" t="s">
        <v>43</v>
      </c>
      <c r="C17" s="109" t="s">
        <v>1774</v>
      </c>
      <c r="L17" s="1219" t="s">
        <v>4350</v>
      </c>
    </row>
    <row r="18" spans="1:12">
      <c r="B18" s="1205" t="s">
        <v>6073</v>
      </c>
      <c r="C18" s="1209" t="s">
        <v>4345</v>
      </c>
      <c r="H18" s="1211" t="e">
        <f>TEXT(數量計算表!D42&amp;數量計算表!E42&amp;"*"&amp;數量計算表!#REF!&amp;數量計算表!#REF!&amp;"/"&amp;數量計算表!E42,"0.0")</f>
        <v>#REF!</v>
      </c>
      <c r="J18" s="1316" t="s">
        <v>4343</v>
      </c>
      <c r="K18" s="1207" t="e">
        <f>數量計算表!D42*數量計算表!#REF!</f>
        <v>#REF!</v>
      </c>
      <c r="L18" s="108" t="e">
        <f>數量計算表!#REF!</f>
        <v>#REF!</v>
      </c>
    </row>
    <row r="19" spans="1:12">
      <c r="B19" s="1206"/>
      <c r="C19" s="1210"/>
      <c r="D19" s="1210"/>
      <c r="E19" s="1210"/>
      <c r="F19" s="1201"/>
      <c r="G19" s="1210"/>
      <c r="H19" s="1210"/>
      <c r="I19" s="1212" t="s">
        <v>2898</v>
      </c>
      <c r="J19" s="1202" t="s">
        <v>4343</v>
      </c>
      <c r="K19" s="1208" t="e">
        <f>ROUND(SUM(K18:K18),2)</f>
        <v>#REF!</v>
      </c>
      <c r="L19" s="1213" t="e">
        <f>數量計算表!#REF!</f>
        <v>#REF!</v>
      </c>
    </row>
    <row r="21" spans="1:12">
      <c r="A21" s="1203" t="s">
        <v>8</v>
      </c>
      <c r="B21" s="1204" t="s">
        <v>46</v>
      </c>
      <c r="C21" s="109" t="s">
        <v>3007</v>
      </c>
      <c r="L21" s="1219" t="s">
        <v>4350</v>
      </c>
    </row>
    <row r="22" spans="1:12">
      <c r="B22" s="1205" t="s">
        <v>6073</v>
      </c>
      <c r="C22" s="1209" t="s">
        <v>4345</v>
      </c>
      <c r="H22" s="1211" t="e">
        <f>TEXT(數量計算表!D42&amp;數量計算表!E42&amp;"*"&amp;數量計算表!#REF!&amp;數量計算表!#REF!&amp;"/"&amp;數量計算表!E42,"0.0")</f>
        <v>#REF!</v>
      </c>
      <c r="J22" s="1316" t="s">
        <v>4343</v>
      </c>
      <c r="K22" s="1207" t="e">
        <f>數量計算表!D42*數量計算表!#REF!</f>
        <v>#REF!</v>
      </c>
      <c r="L22" s="108" t="e">
        <f>數量計算表!#REF!</f>
        <v>#REF!</v>
      </c>
    </row>
    <row r="23" spans="1:12">
      <c r="B23" s="1206"/>
      <c r="C23" s="1210"/>
      <c r="D23" s="1210"/>
      <c r="E23" s="1210"/>
      <c r="F23" s="1201"/>
      <c r="G23" s="1210"/>
      <c r="H23" s="1210"/>
      <c r="I23" s="1212" t="s">
        <v>2898</v>
      </c>
      <c r="J23" s="1202" t="s">
        <v>4343</v>
      </c>
      <c r="K23" s="1208" t="e">
        <f>ROUND(SUM(K22:K22),2)</f>
        <v>#REF!</v>
      </c>
      <c r="L23" s="1213" t="e">
        <f>數量計算表!#REF!</f>
        <v>#REF!</v>
      </c>
    </row>
    <row r="25" spans="1:12">
      <c r="A25" s="1203" t="s">
        <v>9</v>
      </c>
      <c r="B25" s="1204" t="s">
        <v>87</v>
      </c>
      <c r="C25" s="109" t="s">
        <v>3971</v>
      </c>
      <c r="L25" s="1219" t="s">
        <v>4350</v>
      </c>
    </row>
    <row r="26" spans="1:12">
      <c r="B26" s="1205" t="s">
        <v>4346</v>
      </c>
      <c r="C26" s="1209" t="s">
        <v>6043</v>
      </c>
      <c r="H26" s="1211" t="e">
        <f>TEXT(數量計算表!D2&amp;數量計算表!E2&amp;"*"&amp;數量計算表!#REF!&amp;數量計算表!#REF!&amp;"/"&amp;數量計算表!E2,"0.0")</f>
        <v>#REF!</v>
      </c>
      <c r="J26" s="1316" t="s">
        <v>4343</v>
      </c>
      <c r="K26" s="1207" t="e">
        <f>數量計算表!D2*數量計算表!#REF!</f>
        <v>#REF!</v>
      </c>
      <c r="L26" s="108" t="e">
        <f>數量計算表!#REF!</f>
        <v>#REF!</v>
      </c>
    </row>
    <row r="27" spans="1:12">
      <c r="B27" s="1205" t="s">
        <v>4347</v>
      </c>
      <c r="C27" s="1209" t="s">
        <v>6050</v>
      </c>
      <c r="H27" s="1211" t="e">
        <f>TEXT(數量計算表!D28&amp;數量計算表!E28&amp;"*"&amp;數量計算表!#REF!&amp;數量計算表!#REF!&amp;"/"&amp;數量計算表!E28,"0.0")</f>
        <v>#REF!</v>
      </c>
      <c r="J27" s="1316" t="s">
        <v>4343</v>
      </c>
      <c r="K27" s="1207" t="e">
        <f>數量計算表!D28*數量計算表!#REF!</f>
        <v>#REF!</v>
      </c>
      <c r="L27" s="108" t="e">
        <f>數量計算表!#REF!</f>
        <v>#REF!</v>
      </c>
    </row>
    <row r="28" spans="1:12">
      <c r="B28" s="1205" t="s">
        <v>4344</v>
      </c>
      <c r="C28" s="1209" t="s">
        <v>6056</v>
      </c>
      <c r="H28" s="1211" t="e">
        <f>TEXT(數量計算表!#REF!&amp;數量計算表!#REF!&amp;"*"&amp;數量計算表!#REF!&amp;數量計算表!#REF!&amp;"/"&amp;數量計算表!#REF!,"0.0")</f>
        <v>#REF!</v>
      </c>
      <c r="J28" s="1316" t="s">
        <v>4343</v>
      </c>
      <c r="K28" s="1207" t="e">
        <f>數量計算表!#REF!*數量計算表!#REF!</f>
        <v>#REF!</v>
      </c>
      <c r="L28" s="108" t="e">
        <f>數量計算表!#REF!</f>
        <v>#REF!</v>
      </c>
    </row>
    <row r="29" spans="1:12">
      <c r="B29" s="1205" t="s">
        <v>6034</v>
      </c>
      <c r="C29" s="1209" t="s">
        <v>6068</v>
      </c>
      <c r="H29" s="1211" t="e">
        <f>TEXT(數量計算表!D8&amp;數量計算表!E8&amp;"*"&amp;數量計算表!#REF!&amp;數量計算表!#REF!&amp;"/"&amp;數量計算表!E8,"0.0")</f>
        <v>#REF!</v>
      </c>
      <c r="J29" s="1316" t="s">
        <v>4343</v>
      </c>
      <c r="K29" s="1207" t="e">
        <f>數量計算表!D8*數量計算表!#REF!</f>
        <v>#REF!</v>
      </c>
      <c r="L29" s="108" t="e">
        <f>數量計算表!#REF!</f>
        <v>#REF!</v>
      </c>
    </row>
    <row r="30" spans="1:12">
      <c r="B30" s="1205" t="s">
        <v>6074</v>
      </c>
      <c r="C30" s="1209" t="s">
        <v>6061</v>
      </c>
      <c r="H30" s="1211" t="e">
        <f>TEXT(數量計算表!D38&amp;數量計算表!E38&amp;"*"&amp;數量計算表!#REF!&amp;數量計算表!#REF!&amp;"/"&amp;數量計算表!E38,"0.0")</f>
        <v>#REF!</v>
      </c>
      <c r="J30" s="1316" t="s">
        <v>4343</v>
      </c>
      <c r="K30" s="1207" t="e">
        <f>數量計算表!D38*數量計算表!#REF!</f>
        <v>#REF!</v>
      </c>
      <c r="L30" s="108" t="e">
        <f>數量計算表!#REF!</f>
        <v>#REF!</v>
      </c>
    </row>
    <row r="31" spans="1:12">
      <c r="B31" s="1206"/>
      <c r="C31" s="1210"/>
      <c r="D31" s="1210"/>
      <c r="E31" s="1210"/>
      <c r="F31" s="1201"/>
      <c r="G31" s="1210"/>
      <c r="H31" s="1210"/>
      <c r="I31" s="1212" t="s">
        <v>2898</v>
      </c>
      <c r="J31" s="1202" t="s">
        <v>4343</v>
      </c>
      <c r="K31" s="1208" t="e">
        <f>ROUND(SUM(K26:K30),2)</f>
        <v>#REF!</v>
      </c>
      <c r="L31" s="1213" t="e">
        <f>數量計算表!#REF!</f>
        <v>#REF!</v>
      </c>
    </row>
    <row r="33" spans="1:12">
      <c r="A33" s="1203" t="s">
        <v>463</v>
      </c>
      <c r="B33" s="1204" t="s">
        <v>98</v>
      </c>
      <c r="C33" s="109" t="s">
        <v>1149</v>
      </c>
      <c r="L33" s="1219" t="s">
        <v>4350</v>
      </c>
    </row>
    <row r="34" spans="1:12">
      <c r="B34" s="1205" t="s">
        <v>6074</v>
      </c>
      <c r="C34" s="1209" t="s">
        <v>6061</v>
      </c>
      <c r="H34" s="1211" t="e">
        <f>TEXT(數量計算表!D38&amp;數量計算表!E38&amp;"*"&amp;數量計算表!#REF!&amp;數量計算表!#REF!&amp;"/"&amp;數量計算表!E38,"0.0")</f>
        <v>#REF!</v>
      </c>
      <c r="J34" s="1316" t="s">
        <v>4343</v>
      </c>
      <c r="K34" s="1207" t="e">
        <f>數量計算表!D38*數量計算表!#REF!</f>
        <v>#REF!</v>
      </c>
      <c r="L34" s="108" t="e">
        <f>數量計算表!#REF!</f>
        <v>#REF!</v>
      </c>
    </row>
    <row r="35" spans="1:12">
      <c r="B35" s="1206"/>
      <c r="C35" s="1210"/>
      <c r="D35" s="1210"/>
      <c r="E35" s="1210"/>
      <c r="F35" s="1201"/>
      <c r="G35" s="1210"/>
      <c r="H35" s="1210"/>
      <c r="I35" s="1212" t="s">
        <v>2898</v>
      </c>
      <c r="J35" s="1202" t="s">
        <v>4343</v>
      </c>
      <c r="K35" s="1208" t="e">
        <f>ROUND(SUM(K34:K34),2)</f>
        <v>#REF!</v>
      </c>
      <c r="L35" s="1213" t="e">
        <f>數量計算表!#REF!</f>
        <v>#REF!</v>
      </c>
    </row>
    <row r="37" spans="1:12">
      <c r="A37" s="1203" t="s">
        <v>517</v>
      </c>
      <c r="B37" s="1204" t="s">
        <v>101</v>
      </c>
      <c r="C37" s="109" t="s">
        <v>3639</v>
      </c>
      <c r="L37" s="1219" t="s">
        <v>4350</v>
      </c>
    </row>
    <row r="38" spans="1:12">
      <c r="B38" s="1205" t="s">
        <v>6074</v>
      </c>
      <c r="C38" s="1209" t="s">
        <v>6061</v>
      </c>
      <c r="H38" s="1211" t="e">
        <f>TEXT(數量計算表!D38&amp;數量計算表!E38&amp;"*"&amp;數量計算表!#REF!&amp;數量計算表!#REF!&amp;"/"&amp;數量計算表!E38,"0.0")</f>
        <v>#REF!</v>
      </c>
      <c r="J38" s="1316" t="s">
        <v>4343</v>
      </c>
      <c r="K38" s="1207" t="e">
        <f>數量計算表!D38*數量計算表!#REF!</f>
        <v>#REF!</v>
      </c>
      <c r="L38" s="108" t="e">
        <f>數量計算表!#REF!</f>
        <v>#REF!</v>
      </c>
    </row>
    <row r="39" spans="1:12">
      <c r="B39" s="1206"/>
      <c r="C39" s="1210"/>
      <c r="D39" s="1210"/>
      <c r="E39" s="1210"/>
      <c r="F39" s="1201"/>
      <c r="G39" s="1210"/>
      <c r="H39" s="1210"/>
      <c r="I39" s="1212" t="s">
        <v>2898</v>
      </c>
      <c r="J39" s="1202" t="s">
        <v>4343</v>
      </c>
      <c r="K39" s="1208" t="e">
        <f>ROUND(SUM(K38:K38),2)</f>
        <v>#REF!</v>
      </c>
      <c r="L39" s="1213" t="e">
        <f>數量計算表!#REF!</f>
        <v>#REF!</v>
      </c>
    </row>
    <row r="41" spans="1:12">
      <c r="A41" s="1203" t="s">
        <v>518</v>
      </c>
      <c r="B41" s="1204" t="s">
        <v>124</v>
      </c>
      <c r="C41" s="109" t="s">
        <v>1250</v>
      </c>
      <c r="L41" s="1219" t="s">
        <v>4350</v>
      </c>
    </row>
    <row r="42" spans="1:12">
      <c r="B42" s="1205" t="s">
        <v>6073</v>
      </c>
      <c r="C42" s="1209" t="s">
        <v>4345</v>
      </c>
      <c r="H42" s="1211" t="e">
        <f>TEXT(數量計算表!D42&amp;數量計算表!E42&amp;"*"&amp;數量計算表!#REF!&amp;數量計算表!#REF!&amp;"/"&amp;數量計算表!E42,"0.0")</f>
        <v>#REF!</v>
      </c>
      <c r="J42" s="1316" t="s">
        <v>4343</v>
      </c>
      <c r="K42" s="1207" t="e">
        <f>數量計算表!D42*數量計算表!#REF!</f>
        <v>#REF!</v>
      </c>
      <c r="L42" s="108" t="e">
        <f>數量計算表!#REF!</f>
        <v>#REF!</v>
      </c>
    </row>
    <row r="43" spans="1:12">
      <c r="B43" s="1206"/>
      <c r="C43" s="1210"/>
      <c r="D43" s="1210"/>
      <c r="E43" s="1210"/>
      <c r="F43" s="1201"/>
      <c r="G43" s="1210"/>
      <c r="H43" s="1210"/>
      <c r="I43" s="1212" t="s">
        <v>2898</v>
      </c>
      <c r="J43" s="1202" t="s">
        <v>4343</v>
      </c>
      <c r="K43" s="1208" t="e">
        <f>ROUND(SUM(K42:K42),2)</f>
        <v>#REF!</v>
      </c>
      <c r="L43" s="1213" t="e">
        <f>數量計算表!#REF!</f>
        <v>#REF!</v>
      </c>
    </row>
    <row r="45" spans="1:12">
      <c r="A45" s="1203" t="s">
        <v>519</v>
      </c>
      <c r="B45" s="1204" t="s">
        <v>126</v>
      </c>
      <c r="C45" s="109" t="s">
        <v>464</v>
      </c>
      <c r="L45" s="1219" t="s">
        <v>4350</v>
      </c>
    </row>
    <row r="46" spans="1:12">
      <c r="B46" s="1205" t="s">
        <v>4346</v>
      </c>
      <c r="C46" s="1209" t="s">
        <v>6043</v>
      </c>
      <c r="H46" s="1211" t="e">
        <f>TEXT(數量計算表!D2&amp;數量計算表!E2&amp;"*"&amp;數量計算表!#REF!&amp;數量計算表!#REF!&amp;"/"&amp;數量計算表!E2,"0.0")</f>
        <v>#REF!</v>
      </c>
      <c r="J46" s="1316" t="s">
        <v>4343</v>
      </c>
      <c r="K46" s="1207" t="e">
        <f>數量計算表!D2*數量計算表!#REF!</f>
        <v>#REF!</v>
      </c>
      <c r="L46" s="108" t="e">
        <f>數量計算表!#REF!</f>
        <v>#REF!</v>
      </c>
    </row>
    <row r="47" spans="1:12">
      <c r="B47" s="1205" t="s">
        <v>6034</v>
      </c>
      <c r="C47" s="1209" t="s">
        <v>6068</v>
      </c>
      <c r="H47" s="1211" t="e">
        <f>TEXT(數量計算表!D8&amp;數量計算表!E8&amp;"*"&amp;數量計算表!#REF!&amp;數量計算表!#REF!&amp;"/"&amp;數量計算表!E8,"0.0")</f>
        <v>#REF!</v>
      </c>
      <c r="J47" s="1316" t="s">
        <v>4343</v>
      </c>
      <c r="K47" s="1207" t="e">
        <f>數量計算表!D8*數量計算表!#REF!</f>
        <v>#REF!</v>
      </c>
      <c r="L47" s="108" t="e">
        <f>數量計算表!#REF!</f>
        <v>#REF!</v>
      </c>
    </row>
    <row r="48" spans="1:12">
      <c r="B48" s="1206"/>
      <c r="C48" s="1210"/>
      <c r="D48" s="1210"/>
      <c r="E48" s="1210"/>
      <c r="F48" s="1201"/>
      <c r="G48" s="1210"/>
      <c r="H48" s="1210"/>
      <c r="I48" s="1212" t="s">
        <v>2898</v>
      </c>
      <c r="J48" s="1202" t="s">
        <v>4343</v>
      </c>
      <c r="K48" s="1208" t="e">
        <f>ROUND(SUM(K46:K47),2)</f>
        <v>#REF!</v>
      </c>
      <c r="L48" s="1213" t="e">
        <f>數量計算表!#REF!</f>
        <v>#REF!</v>
      </c>
    </row>
    <row r="50" spans="1:12">
      <c r="A50" s="1203" t="s">
        <v>4003</v>
      </c>
      <c r="B50" s="1204" t="s">
        <v>129</v>
      </c>
      <c r="C50" s="109" t="s">
        <v>1275</v>
      </c>
      <c r="L50" s="1219" t="s">
        <v>4350</v>
      </c>
    </row>
    <row r="51" spans="1:12">
      <c r="B51" s="1205" t="s">
        <v>4346</v>
      </c>
      <c r="C51" s="1209" t="s">
        <v>6043</v>
      </c>
      <c r="H51" s="1211" t="e">
        <f>TEXT(數量計算表!D2&amp;數量計算表!E2&amp;"*"&amp;數量計算表!#REF!&amp;數量計算表!#REF!&amp;"/"&amp;數量計算表!E2,"0.0")</f>
        <v>#REF!</v>
      </c>
      <c r="J51" s="1316" t="s">
        <v>4343</v>
      </c>
      <c r="K51" s="1207" t="e">
        <f>數量計算表!D2*數量計算表!#REF!</f>
        <v>#REF!</v>
      </c>
      <c r="L51" s="108" t="e">
        <f>數量計算表!#REF!</f>
        <v>#REF!</v>
      </c>
    </row>
    <row r="52" spans="1:12">
      <c r="B52" s="1205" t="s">
        <v>6034</v>
      </c>
      <c r="C52" s="1209" t="s">
        <v>6068</v>
      </c>
      <c r="H52" s="1211" t="e">
        <f>TEXT(數量計算表!D8&amp;數量計算表!E8&amp;"*"&amp;數量計算表!#REF!&amp;數量計算表!#REF!&amp;"/"&amp;數量計算表!E8,"0.0")</f>
        <v>#REF!</v>
      </c>
      <c r="J52" s="1316" t="s">
        <v>4343</v>
      </c>
      <c r="K52" s="1207" t="e">
        <f>數量計算表!D8*數量計算表!#REF!</f>
        <v>#REF!</v>
      </c>
      <c r="L52" s="108" t="e">
        <f>數量計算表!#REF!</f>
        <v>#REF!</v>
      </c>
    </row>
    <row r="53" spans="1:12">
      <c r="B53" s="1206"/>
      <c r="C53" s="1210"/>
      <c r="D53" s="1210"/>
      <c r="E53" s="1210"/>
      <c r="F53" s="1201"/>
      <c r="G53" s="1210"/>
      <c r="H53" s="1210"/>
      <c r="I53" s="1212" t="s">
        <v>2898</v>
      </c>
      <c r="J53" s="1202" t="s">
        <v>4343</v>
      </c>
      <c r="K53" s="1208" t="e">
        <f>ROUND(SUM(K51:K52),2)</f>
        <v>#REF!</v>
      </c>
      <c r="L53" s="1213" t="e">
        <f>數量計算表!#REF!</f>
        <v>#REF!</v>
      </c>
    </row>
    <row r="55" spans="1:12">
      <c r="A55" s="1203" t="s">
        <v>4004</v>
      </c>
      <c r="B55" s="1204" t="s">
        <v>132</v>
      </c>
      <c r="C55" s="109" t="s">
        <v>16</v>
      </c>
      <c r="L55" s="1219" t="s">
        <v>4350</v>
      </c>
    </row>
    <row r="56" spans="1:12">
      <c r="B56" s="1205" t="s">
        <v>4347</v>
      </c>
      <c r="C56" s="1209" t="s">
        <v>6050</v>
      </c>
      <c r="H56" s="1211" t="e">
        <f>TEXT(數量計算表!D28&amp;數量計算表!E28&amp;"*"&amp;數量計算表!#REF!&amp;數量計算表!#REF!&amp;"/"&amp;數量計算表!E28,"0.0")</f>
        <v>#REF!</v>
      </c>
      <c r="J56" s="1316" t="s">
        <v>4343</v>
      </c>
      <c r="K56" s="1207" t="e">
        <f>數量計算表!D28*數量計算表!#REF!</f>
        <v>#REF!</v>
      </c>
      <c r="L56" s="108" t="e">
        <f>數量計算表!#REF!</f>
        <v>#REF!</v>
      </c>
    </row>
    <row r="57" spans="1:12">
      <c r="B57" s="1205" t="s">
        <v>4344</v>
      </c>
      <c r="C57" s="1209" t="s">
        <v>6056</v>
      </c>
      <c r="H57" s="1211" t="e">
        <f>TEXT(數量計算表!#REF!&amp;數量計算表!#REF!&amp;"*"&amp;數量計算表!#REF!&amp;數量計算表!#REF!&amp;"/"&amp;數量計算表!#REF!,"0.0")</f>
        <v>#REF!</v>
      </c>
      <c r="J57" s="1316" t="s">
        <v>4343</v>
      </c>
      <c r="K57" s="1207" t="e">
        <f>數量計算表!#REF!*數量計算表!#REF!</f>
        <v>#REF!</v>
      </c>
      <c r="L57" s="108" t="e">
        <f>數量計算表!#REF!</f>
        <v>#REF!</v>
      </c>
    </row>
    <row r="58" spans="1:12">
      <c r="B58" s="1206"/>
      <c r="C58" s="1210"/>
      <c r="D58" s="1210"/>
      <c r="E58" s="1210"/>
      <c r="F58" s="1201"/>
      <c r="G58" s="1210"/>
      <c r="H58" s="1210"/>
      <c r="I58" s="1212" t="s">
        <v>2898</v>
      </c>
      <c r="J58" s="1202" t="s">
        <v>4343</v>
      </c>
      <c r="K58" s="1208" t="e">
        <f>ROUND(SUM(K56:K57),2)</f>
        <v>#REF!</v>
      </c>
      <c r="L58" s="1213" t="e">
        <f>數量計算表!#REF!</f>
        <v>#REF!</v>
      </c>
    </row>
    <row r="60" spans="1:12">
      <c r="A60" s="1203" t="s">
        <v>4005</v>
      </c>
      <c r="B60" s="1204" t="s">
        <v>151</v>
      </c>
      <c r="C60" s="109" t="s">
        <v>2970</v>
      </c>
      <c r="L60" s="1219" t="s">
        <v>4350</v>
      </c>
    </row>
    <row r="61" spans="1:12">
      <c r="B61" s="1205" t="s">
        <v>6034</v>
      </c>
      <c r="C61" s="1209" t="s">
        <v>6068</v>
      </c>
      <c r="H61" s="1211" t="e">
        <f>TEXT(數量計算表!D8&amp;數量計算表!E8&amp;"*"&amp;數量計算表!#REF!&amp;數量計算表!#REF!&amp;"/"&amp;數量計算表!E8,"0.0")</f>
        <v>#REF!</v>
      </c>
      <c r="J61" s="1316" t="s">
        <v>4343</v>
      </c>
      <c r="K61" s="1207" t="e">
        <f>數量計算表!D8*數量計算表!#REF!</f>
        <v>#REF!</v>
      </c>
      <c r="L61" s="108" t="e">
        <f>數量計算表!#REF!</f>
        <v>#REF!</v>
      </c>
    </row>
    <row r="62" spans="1:12">
      <c r="B62" s="1206"/>
      <c r="C62" s="1210"/>
      <c r="D62" s="1210"/>
      <c r="E62" s="1210"/>
      <c r="F62" s="1201"/>
      <c r="G62" s="1210"/>
      <c r="H62" s="1210"/>
      <c r="I62" s="1212" t="s">
        <v>2898</v>
      </c>
      <c r="J62" s="1202" t="s">
        <v>4343</v>
      </c>
      <c r="K62" s="1208" t="e">
        <f>ROUND(SUM(K61:K61),2)</f>
        <v>#REF!</v>
      </c>
      <c r="L62" s="1213" t="e">
        <f>數量計算表!#REF!</f>
        <v>#REF!</v>
      </c>
    </row>
    <row r="64" spans="1:12">
      <c r="A64" s="1203" t="s">
        <v>4006</v>
      </c>
      <c r="B64" s="1204" t="s">
        <v>156</v>
      </c>
      <c r="C64" s="109" t="s">
        <v>6033</v>
      </c>
      <c r="L64" s="1219" t="s">
        <v>4350</v>
      </c>
    </row>
    <row r="65" spans="1:12">
      <c r="B65" s="1205" t="s">
        <v>4347</v>
      </c>
      <c r="C65" s="1209" t="s">
        <v>6050</v>
      </c>
      <c r="H65" s="1211" t="e">
        <f>TEXT(數量計算表!D28&amp;數量計算表!E28&amp;"*"&amp;數量計算表!#REF!&amp;數量計算表!#REF!&amp;"/"&amp;數量計算表!E28,"0.0")</f>
        <v>#REF!</v>
      </c>
      <c r="J65" s="1316" t="s">
        <v>4343</v>
      </c>
      <c r="K65" s="1207" t="e">
        <f>數量計算表!D28*數量計算表!#REF!</f>
        <v>#REF!</v>
      </c>
      <c r="L65" s="108" t="e">
        <f>數量計算表!#REF!</f>
        <v>#REF!</v>
      </c>
    </row>
    <row r="66" spans="1:12">
      <c r="B66" s="1205" t="s">
        <v>4344</v>
      </c>
      <c r="C66" s="1209" t="s">
        <v>6056</v>
      </c>
      <c r="H66" s="1211" t="e">
        <f>TEXT(數量計算表!#REF!&amp;數量計算表!#REF!&amp;"*"&amp;數量計算表!#REF!&amp;數量計算表!#REF!&amp;"/"&amp;數量計算表!#REF!,"0.0")</f>
        <v>#REF!</v>
      </c>
      <c r="J66" s="1316" t="s">
        <v>4343</v>
      </c>
      <c r="K66" s="1207" t="e">
        <f>數量計算表!#REF!*數量計算表!#REF!</f>
        <v>#REF!</v>
      </c>
      <c r="L66" s="108" t="e">
        <f>數量計算表!#REF!</f>
        <v>#REF!</v>
      </c>
    </row>
    <row r="67" spans="1:12">
      <c r="B67" s="1206"/>
      <c r="C67" s="1210"/>
      <c r="D67" s="1210"/>
      <c r="E67" s="1210"/>
      <c r="F67" s="1201"/>
      <c r="G67" s="1210"/>
      <c r="H67" s="1210"/>
      <c r="I67" s="1212" t="s">
        <v>2898</v>
      </c>
      <c r="J67" s="1202" t="s">
        <v>4343</v>
      </c>
      <c r="K67" s="1208" t="e">
        <f>ROUND(SUM(K65:K66),2)</f>
        <v>#REF!</v>
      </c>
      <c r="L67" s="1213" t="e">
        <f>數量計算表!#REF!</f>
        <v>#REF!</v>
      </c>
    </row>
    <row r="69" spans="1:12">
      <c r="A69" s="1203" t="s">
        <v>4007</v>
      </c>
      <c r="B69" s="1204" t="s">
        <v>164</v>
      </c>
      <c r="C69" s="109" t="s">
        <v>6032</v>
      </c>
      <c r="L69" s="1219" t="s">
        <v>4350</v>
      </c>
    </row>
    <row r="70" spans="1:12">
      <c r="B70" s="1205" t="s">
        <v>4346</v>
      </c>
      <c r="C70" s="1209" t="s">
        <v>6043</v>
      </c>
      <c r="H70" s="1211" t="e">
        <f>TEXT(數量計算表!D2&amp;數量計算表!E2&amp;"*"&amp;數量計算表!#REF!&amp;數量計算表!#REF!&amp;"/"&amp;數量計算表!E2,"0.0")</f>
        <v>#REF!</v>
      </c>
      <c r="J70" s="1316" t="s">
        <v>4343</v>
      </c>
      <c r="K70" s="1207" t="e">
        <f>數量計算表!D2*數量計算表!#REF!</f>
        <v>#REF!</v>
      </c>
      <c r="L70" s="108" t="e">
        <f>數量計算表!#REF!</f>
        <v>#REF!</v>
      </c>
    </row>
    <row r="71" spans="1:12">
      <c r="B71" s="1206"/>
      <c r="C71" s="1210"/>
      <c r="D71" s="1210"/>
      <c r="E71" s="1210"/>
      <c r="F71" s="1201"/>
      <c r="G71" s="1210"/>
      <c r="H71" s="1210"/>
      <c r="I71" s="1212" t="s">
        <v>2898</v>
      </c>
      <c r="J71" s="1202" t="s">
        <v>4343</v>
      </c>
      <c r="K71" s="1208" t="e">
        <f>ROUND(SUM(K70:K70),2)</f>
        <v>#REF!</v>
      </c>
      <c r="L71" s="1213" t="e">
        <f>數量計算表!#REF!</f>
        <v>#REF!</v>
      </c>
    </row>
    <row r="73" spans="1:12">
      <c r="A73" s="1203" t="s">
        <v>4008</v>
      </c>
      <c r="B73" s="1204" t="s">
        <v>183</v>
      </c>
      <c r="C73" s="109" t="s">
        <v>2935</v>
      </c>
      <c r="L73" s="1219" t="s">
        <v>4350</v>
      </c>
    </row>
    <row r="74" spans="1:12">
      <c r="B74" s="1205" t="s">
        <v>4346</v>
      </c>
      <c r="C74" s="1209" t="s">
        <v>6043</v>
      </c>
      <c r="H74" s="1211" t="e">
        <f>TEXT(數量計算表!D2&amp;數量計算表!E2&amp;"*"&amp;數量計算表!#REF!&amp;數量計算表!#REF!&amp;"/"&amp;數量計算表!E2,"0.0")</f>
        <v>#REF!</v>
      </c>
      <c r="J74" s="1316" t="s">
        <v>4343</v>
      </c>
      <c r="K74" s="1207" t="e">
        <f>數量計算表!D2*數量計算表!#REF!</f>
        <v>#REF!</v>
      </c>
      <c r="L74" s="108" t="e">
        <f>數量計算表!#REF!</f>
        <v>#REF!</v>
      </c>
    </row>
    <row r="75" spans="1:12">
      <c r="B75" s="1205" t="s">
        <v>4347</v>
      </c>
      <c r="C75" s="1209" t="s">
        <v>6050</v>
      </c>
      <c r="H75" s="1211" t="e">
        <f>TEXT(數量計算表!D28&amp;數量計算表!E28&amp;"*"&amp;數量計算表!#REF!&amp;數量計算表!#REF!&amp;"/"&amp;數量計算表!E28,"0.0")</f>
        <v>#REF!</v>
      </c>
      <c r="J75" s="1316" t="s">
        <v>4343</v>
      </c>
      <c r="K75" s="1207" t="e">
        <f>數量計算表!D28*數量計算表!#REF!</f>
        <v>#REF!</v>
      </c>
      <c r="L75" s="108" t="e">
        <f>數量計算表!#REF!</f>
        <v>#REF!</v>
      </c>
    </row>
    <row r="76" spans="1:12">
      <c r="B76" s="1205" t="s">
        <v>4344</v>
      </c>
      <c r="C76" s="1209" t="s">
        <v>6056</v>
      </c>
      <c r="H76" s="1211" t="e">
        <f>TEXT(數量計算表!#REF!&amp;數量計算表!#REF!&amp;"*"&amp;數量計算表!#REF!&amp;數量計算表!#REF!&amp;"/"&amp;數量計算表!#REF!,"0.0")</f>
        <v>#REF!</v>
      </c>
      <c r="J76" s="1316" t="s">
        <v>4343</v>
      </c>
      <c r="K76" s="1207" t="e">
        <f>數量計算表!#REF!*數量計算表!#REF!</f>
        <v>#REF!</v>
      </c>
      <c r="L76" s="108" t="e">
        <f>數量計算表!#REF!</f>
        <v>#REF!</v>
      </c>
    </row>
    <row r="77" spans="1:12">
      <c r="B77" s="1205" t="s">
        <v>6034</v>
      </c>
      <c r="C77" s="1209" t="s">
        <v>6068</v>
      </c>
      <c r="H77" s="1211" t="e">
        <f>TEXT(數量計算表!D8&amp;數量計算表!E8&amp;"*"&amp;數量計算表!#REF!&amp;數量計算表!#REF!&amp;"/"&amp;數量計算表!E8,"0.0")</f>
        <v>#REF!</v>
      </c>
      <c r="J77" s="1316" t="s">
        <v>4343</v>
      </c>
      <c r="K77" s="1207" t="e">
        <f>數量計算表!D8*數量計算表!#REF!</f>
        <v>#REF!</v>
      </c>
      <c r="L77" s="108" t="e">
        <f>數量計算表!#REF!</f>
        <v>#REF!</v>
      </c>
    </row>
    <row r="78" spans="1:12">
      <c r="B78" s="1206"/>
      <c r="C78" s="1210"/>
      <c r="D78" s="1210"/>
      <c r="E78" s="1210"/>
      <c r="F78" s="1201"/>
      <c r="G78" s="1210"/>
      <c r="H78" s="1210"/>
      <c r="I78" s="1212" t="s">
        <v>2898</v>
      </c>
      <c r="J78" s="1202" t="s">
        <v>4343</v>
      </c>
      <c r="K78" s="1208" t="e">
        <f>ROUND(SUM(K74:K77),2)</f>
        <v>#REF!</v>
      </c>
      <c r="L78" s="1213" t="e">
        <f>數量計算表!#REF!</f>
        <v>#REF!</v>
      </c>
    </row>
    <row r="80" spans="1:12">
      <c r="A80" s="1203" t="s">
        <v>4009</v>
      </c>
      <c r="B80" s="1204" t="s">
        <v>195</v>
      </c>
      <c r="C80" s="109" t="s">
        <v>1460</v>
      </c>
      <c r="L80" s="1219" t="s">
        <v>4350</v>
      </c>
    </row>
    <row r="81" spans="1:12">
      <c r="B81" s="1205" t="s">
        <v>4347</v>
      </c>
      <c r="C81" s="1209" t="s">
        <v>6050</v>
      </c>
      <c r="H81" s="1211" t="e">
        <f>TEXT(數量計算表!D28&amp;數量計算表!E28&amp;"*"&amp;數量計算表!#REF!&amp;數量計算表!#REF!&amp;"/"&amp;數量計算表!E28,"0.0")</f>
        <v>#REF!</v>
      </c>
      <c r="J81" s="1316" t="s">
        <v>4343</v>
      </c>
      <c r="K81" s="1207" t="e">
        <f>數量計算表!D28*數量計算表!#REF!</f>
        <v>#REF!</v>
      </c>
      <c r="L81" s="108" t="e">
        <f>數量計算表!#REF!</f>
        <v>#REF!</v>
      </c>
    </row>
    <row r="82" spans="1:12">
      <c r="B82" s="1205" t="s">
        <v>4344</v>
      </c>
      <c r="C82" s="1209" t="s">
        <v>6056</v>
      </c>
      <c r="H82" s="1211" t="e">
        <f>TEXT(數量計算表!#REF!&amp;數量計算表!#REF!&amp;"*"&amp;數量計算表!#REF!&amp;數量計算表!#REF!&amp;"/"&amp;數量計算表!#REF!,"0.0")</f>
        <v>#REF!</v>
      </c>
      <c r="J82" s="1316" t="s">
        <v>4343</v>
      </c>
      <c r="K82" s="1207" t="e">
        <f>數量計算表!#REF!*數量計算表!#REF!</f>
        <v>#REF!</v>
      </c>
      <c r="L82" s="108" t="e">
        <f>數量計算表!#REF!</f>
        <v>#REF!</v>
      </c>
    </row>
    <row r="83" spans="1:12">
      <c r="B83" s="1206"/>
      <c r="C83" s="1210"/>
      <c r="D83" s="1210"/>
      <c r="E83" s="1210"/>
      <c r="F83" s="1201"/>
      <c r="G83" s="1210"/>
      <c r="H83" s="1210"/>
      <c r="I83" s="1212" t="s">
        <v>2898</v>
      </c>
      <c r="J83" s="1202" t="s">
        <v>4343</v>
      </c>
      <c r="K83" s="1208" t="e">
        <f>ROUND(SUM(K81:K82),2)</f>
        <v>#REF!</v>
      </c>
      <c r="L83" s="1213" t="e">
        <f>數量計算表!#REF!</f>
        <v>#REF!</v>
      </c>
    </row>
    <row r="85" spans="1:12">
      <c r="A85" s="1203" t="s">
        <v>4010</v>
      </c>
      <c r="B85" s="1204" t="s">
        <v>303</v>
      </c>
      <c r="C85" s="109" t="s">
        <v>2032</v>
      </c>
      <c r="L85" s="1219" t="s">
        <v>4350</v>
      </c>
    </row>
    <row r="86" spans="1:12">
      <c r="B86" s="1205" t="s">
        <v>4344</v>
      </c>
      <c r="C86" s="1209" t="s">
        <v>6056</v>
      </c>
      <c r="H86" s="1211" t="e">
        <f>TEXT(數量計算表!#REF!&amp;數量計算表!#REF!&amp;"*"&amp;數量計算表!#REF!&amp;數量計算表!#REF!&amp;"/"&amp;數量計算表!#REF!,"0.0")</f>
        <v>#REF!</v>
      </c>
      <c r="J86" s="1316" t="s">
        <v>4343</v>
      </c>
      <c r="K86" s="1207" t="e">
        <f>數量計算表!#REF!*數量計算表!#REF!</f>
        <v>#REF!</v>
      </c>
      <c r="L86" s="108" t="e">
        <f>數量計算表!#REF!</f>
        <v>#REF!</v>
      </c>
    </row>
    <row r="87" spans="1:12">
      <c r="B87" s="1206"/>
      <c r="C87" s="1210"/>
      <c r="D87" s="1210"/>
      <c r="E87" s="1210"/>
      <c r="F87" s="1201"/>
      <c r="G87" s="1210"/>
      <c r="H87" s="1210"/>
      <c r="I87" s="1212" t="s">
        <v>2898</v>
      </c>
      <c r="J87" s="1202" t="s">
        <v>4343</v>
      </c>
      <c r="K87" s="1208" t="e">
        <f>ROUND(SUM(K86:K86),2)</f>
        <v>#REF!</v>
      </c>
      <c r="L87" s="1213" t="e">
        <f>數量計算表!#REF!</f>
        <v>#REF!</v>
      </c>
    </row>
    <row r="89" spans="1:12">
      <c r="A89" s="1203" t="s">
        <v>4013</v>
      </c>
      <c r="B89" s="1204" t="s">
        <v>415</v>
      </c>
      <c r="C89" s="109" t="s">
        <v>2937</v>
      </c>
      <c r="L89" s="1219" t="s">
        <v>4350</v>
      </c>
    </row>
    <row r="90" spans="1:12">
      <c r="B90" s="1205" t="s">
        <v>4347</v>
      </c>
      <c r="C90" s="1209" t="s">
        <v>6050</v>
      </c>
      <c r="H90" s="1211" t="e">
        <f>TEXT(數量計算表!D28&amp;數量計算表!E28&amp;"*"&amp;數量計算表!#REF!&amp;數量計算表!#REF!&amp;"/"&amp;數量計算表!E28,"0.0")</f>
        <v>#REF!</v>
      </c>
      <c r="J90" s="1316" t="s">
        <v>4343</v>
      </c>
      <c r="K90" s="1207" t="e">
        <f>數量計算表!D28*數量計算表!#REF!</f>
        <v>#REF!</v>
      </c>
      <c r="L90" s="108" t="e">
        <f>數量計算表!#REF!</f>
        <v>#REF!</v>
      </c>
    </row>
    <row r="91" spans="1:12">
      <c r="B91" s="1206"/>
      <c r="C91" s="1210"/>
      <c r="D91" s="1210"/>
      <c r="E91" s="1210"/>
      <c r="F91" s="1201"/>
      <c r="G91" s="1210"/>
      <c r="H91" s="1210"/>
      <c r="I91" s="1212" t="s">
        <v>2898</v>
      </c>
      <c r="J91" s="1202" t="s">
        <v>4343</v>
      </c>
      <c r="K91" s="1208" t="e">
        <f>ROUND(SUM(K90:K90),2)</f>
        <v>#REF!</v>
      </c>
      <c r="L91" s="1213" t="e">
        <f>數量計算表!#REF!</f>
        <v>#REF!</v>
      </c>
    </row>
    <row r="93" spans="1:12">
      <c r="A93" s="1203" t="s">
        <v>4014</v>
      </c>
      <c r="B93" s="1204" t="s">
        <v>428</v>
      </c>
      <c r="C93" s="109" t="s">
        <v>2292</v>
      </c>
      <c r="L93" s="1219" t="s">
        <v>4350</v>
      </c>
    </row>
    <row r="94" spans="1:12">
      <c r="B94" s="1205" t="s">
        <v>6073</v>
      </c>
      <c r="C94" s="1209" t="s">
        <v>4345</v>
      </c>
      <c r="H94" s="1211" t="e">
        <f>TEXT(數量計算表!D42&amp;數量計算表!E42&amp;"*"&amp;數量計算表!#REF!&amp;數量計算表!#REF!&amp;"/"&amp;數量計算表!E42,"0.0")</f>
        <v>#REF!</v>
      </c>
      <c r="J94" s="1316" t="s">
        <v>4343</v>
      </c>
      <c r="K94" s="1207" t="e">
        <f>數量計算表!D42*數量計算表!#REF!</f>
        <v>#REF!</v>
      </c>
      <c r="L94" s="108" t="e">
        <f>數量計算表!#REF!</f>
        <v>#REF!</v>
      </c>
    </row>
    <row r="95" spans="1:12">
      <c r="B95" s="1206"/>
      <c r="C95" s="1210"/>
      <c r="D95" s="1210"/>
      <c r="E95" s="1210"/>
      <c r="F95" s="1201"/>
      <c r="G95" s="1210"/>
      <c r="H95" s="1210"/>
      <c r="I95" s="1212" t="s">
        <v>2898</v>
      </c>
      <c r="J95" s="1202" t="s">
        <v>4343</v>
      </c>
      <c r="K95" s="1208" t="e">
        <f>ROUND(SUM(K94:K94),2)</f>
        <v>#REF!</v>
      </c>
      <c r="L95" s="1213" t="e">
        <f>數量計算表!#REF!</f>
        <v>#REF!</v>
      </c>
    </row>
    <row r="97" spans="1:12">
      <c r="A97" s="1203" t="s">
        <v>4066</v>
      </c>
      <c r="B97" s="1204" t="s">
        <v>430</v>
      </c>
      <c r="C97" s="109" t="s">
        <v>3652</v>
      </c>
      <c r="L97" s="1219" t="s">
        <v>4350</v>
      </c>
    </row>
    <row r="98" spans="1:12">
      <c r="B98" s="1205" t="s">
        <v>6073</v>
      </c>
      <c r="C98" s="1209" t="s">
        <v>4345</v>
      </c>
      <c r="H98" s="1211" t="e">
        <f>TEXT(數量計算表!D42&amp;數量計算表!E42&amp;"*"&amp;數量計算表!#REF!&amp;數量計算表!#REF!&amp;"/"&amp;數量計算表!E42,"0.0")</f>
        <v>#REF!</v>
      </c>
      <c r="J98" s="1316" t="s">
        <v>4343</v>
      </c>
      <c r="K98" s="1207" t="e">
        <f>數量計算表!D42*數量計算表!#REF!</f>
        <v>#REF!</v>
      </c>
      <c r="L98" s="108" t="e">
        <f>數量計算表!#REF!</f>
        <v>#REF!</v>
      </c>
    </row>
    <row r="99" spans="1:12">
      <c r="B99" s="1206"/>
      <c r="C99" s="1210"/>
      <c r="D99" s="1210"/>
      <c r="E99" s="1210"/>
      <c r="F99" s="1201"/>
      <c r="G99" s="1210"/>
      <c r="H99" s="1210"/>
      <c r="I99" s="1212" t="s">
        <v>2898</v>
      </c>
      <c r="J99" s="1202" t="s">
        <v>4343</v>
      </c>
      <c r="K99" s="1208" t="e">
        <f>ROUND(SUM(K98:K98),2)</f>
        <v>#REF!</v>
      </c>
      <c r="L99" s="1213" t="e">
        <f>數量計算表!#REF!</f>
        <v>#REF!</v>
      </c>
    </row>
    <row r="101" spans="1:12">
      <c r="A101" s="1203" t="s">
        <v>4067</v>
      </c>
      <c r="B101" s="1204" t="s">
        <v>469</v>
      </c>
      <c r="C101" s="109" t="s">
        <v>2438</v>
      </c>
      <c r="L101" s="1219" t="s">
        <v>4350</v>
      </c>
    </row>
    <row r="102" spans="1:12">
      <c r="B102" s="1205" t="s">
        <v>6073</v>
      </c>
      <c r="C102" s="1209" t="s">
        <v>4345</v>
      </c>
      <c r="H102" s="1211" t="e">
        <f>TEXT(數量計算表!D42&amp;數量計算表!E42&amp;"*"&amp;數量計算表!#REF!&amp;數量計算表!#REF!&amp;"/"&amp;數量計算表!E42,"0.0")</f>
        <v>#REF!</v>
      </c>
      <c r="J102" s="1316" t="s">
        <v>4343</v>
      </c>
      <c r="K102" s="1207" t="e">
        <f>數量計算表!D42*數量計算表!#REF!</f>
        <v>#REF!</v>
      </c>
      <c r="L102" s="108" t="e">
        <f>數量計算表!#REF!</f>
        <v>#REF!</v>
      </c>
    </row>
    <row r="103" spans="1:12">
      <c r="B103" s="1206"/>
      <c r="C103" s="1210"/>
      <c r="D103" s="1210"/>
      <c r="E103" s="1210"/>
      <c r="F103" s="1201"/>
      <c r="G103" s="1210"/>
      <c r="H103" s="1210"/>
      <c r="I103" s="1212" t="s">
        <v>2898</v>
      </c>
      <c r="J103" s="1202" t="s">
        <v>4343</v>
      </c>
      <c r="K103" s="1208" t="e">
        <f>ROUND(SUM(K102:K102),2)</f>
        <v>#REF!</v>
      </c>
      <c r="L103" s="1213" t="e">
        <f>數量計算表!#REF!</f>
        <v>#REF!</v>
      </c>
    </row>
    <row r="105" spans="1:12">
      <c r="A105" s="1203" t="s">
        <v>6035</v>
      </c>
      <c r="B105" s="1204" t="s">
        <v>471</v>
      </c>
      <c r="C105" s="109" t="s">
        <v>515</v>
      </c>
      <c r="L105" s="1219" t="s">
        <v>4350</v>
      </c>
    </row>
    <row r="106" spans="1:12">
      <c r="B106" s="1205" t="s">
        <v>6073</v>
      </c>
      <c r="C106" s="1209" t="s">
        <v>4345</v>
      </c>
      <c r="H106" s="1211" t="e">
        <f>TEXT(數量計算表!D42&amp;數量計算表!E42&amp;"*"&amp;數量計算表!#REF!&amp;數量計算表!#REF!&amp;"/"&amp;數量計算表!E42,"0.0")</f>
        <v>#REF!</v>
      </c>
      <c r="J106" s="1316" t="s">
        <v>4343</v>
      </c>
      <c r="K106" s="1207" t="e">
        <f>數量計算表!D42*數量計算表!#REF!</f>
        <v>#REF!</v>
      </c>
      <c r="L106" s="108" t="e">
        <f>數量計算表!#REF!</f>
        <v>#REF!</v>
      </c>
    </row>
    <row r="107" spans="1:12">
      <c r="B107" s="1206"/>
      <c r="C107" s="1210"/>
      <c r="D107" s="1210"/>
      <c r="E107" s="1210"/>
      <c r="F107" s="1201"/>
      <c r="G107" s="1210"/>
      <c r="H107" s="1210"/>
      <c r="I107" s="1212" t="s">
        <v>2898</v>
      </c>
      <c r="J107" s="1202" t="s">
        <v>4343</v>
      </c>
      <c r="K107" s="1208" t="e">
        <f>ROUND(SUM(K106:K106),2)</f>
        <v>#REF!</v>
      </c>
      <c r="L107" s="1213" t="e">
        <f>數量計算表!#REF!</f>
        <v>#REF!</v>
      </c>
    </row>
    <row r="109" spans="1:12">
      <c r="A109" s="1203" t="s">
        <v>6036</v>
      </c>
      <c r="B109" s="1204" t="s">
        <v>492</v>
      </c>
      <c r="C109" s="109" t="s">
        <v>2938</v>
      </c>
      <c r="L109" s="1219" t="s">
        <v>4350</v>
      </c>
    </row>
    <row r="110" spans="1:12">
      <c r="B110" s="1205" t="s">
        <v>6073</v>
      </c>
      <c r="C110" s="1209" t="s">
        <v>4345</v>
      </c>
      <c r="H110" s="1211" t="e">
        <f>TEXT(數量計算表!D42&amp;數量計算表!E42&amp;"*"&amp;數量計算表!#REF!&amp;數量計算表!#REF!&amp;"/"&amp;數量計算表!E42,"0.0")</f>
        <v>#REF!</v>
      </c>
      <c r="J110" s="1316" t="s">
        <v>4343</v>
      </c>
      <c r="K110" s="1207" t="e">
        <f>數量計算表!D42*數量計算表!#REF!</f>
        <v>#REF!</v>
      </c>
      <c r="L110" s="108" t="e">
        <f>數量計算表!#REF!</f>
        <v>#REF!</v>
      </c>
    </row>
    <row r="111" spans="1:12">
      <c r="B111" s="1206"/>
      <c r="C111" s="1210"/>
      <c r="D111" s="1210"/>
      <c r="E111" s="1210"/>
      <c r="F111" s="1201"/>
      <c r="G111" s="1210"/>
      <c r="H111" s="1210"/>
      <c r="I111" s="1212" t="s">
        <v>2898</v>
      </c>
      <c r="J111" s="1202" t="s">
        <v>4343</v>
      </c>
      <c r="K111" s="1208" t="e">
        <f>ROUND(SUM(K110:K110),2)</f>
        <v>#REF!</v>
      </c>
      <c r="L111" s="1213" t="e">
        <f>數量計算表!#REF!</f>
        <v>#REF!</v>
      </c>
    </row>
    <row r="113" spans="1:12">
      <c r="A113" s="1203" t="s">
        <v>6039</v>
      </c>
      <c r="B113" s="1204" t="s">
        <v>522</v>
      </c>
      <c r="C113" s="109" t="s">
        <v>2512</v>
      </c>
      <c r="L113" s="1219" t="s">
        <v>4350</v>
      </c>
    </row>
    <row r="114" spans="1:12">
      <c r="B114" s="1205" t="s">
        <v>6073</v>
      </c>
      <c r="C114" s="1209" t="s">
        <v>4345</v>
      </c>
      <c r="H114" s="1211" t="e">
        <f>TEXT(數量計算表!D42&amp;數量計算表!E42&amp;"*"&amp;數量計算表!#REF!&amp;數量計算表!#REF!&amp;"/"&amp;數量計算表!E42,"0.0")</f>
        <v>#REF!</v>
      </c>
      <c r="J114" s="1316" t="s">
        <v>4343</v>
      </c>
      <c r="K114" s="1207" t="e">
        <f>數量計算表!D42*數量計算表!#REF!</f>
        <v>#REF!</v>
      </c>
      <c r="L114" s="108" t="e">
        <f>數量計算表!#REF!</f>
        <v>#REF!</v>
      </c>
    </row>
    <row r="115" spans="1:12">
      <c r="B115" s="1206"/>
      <c r="C115" s="1210"/>
      <c r="D115" s="1210"/>
      <c r="E115" s="1210"/>
      <c r="F115" s="1201"/>
      <c r="G115" s="1210"/>
      <c r="H115" s="1210"/>
      <c r="I115" s="1212" t="s">
        <v>2898</v>
      </c>
      <c r="J115" s="1202" t="s">
        <v>4343</v>
      </c>
      <c r="K115" s="1208" t="e">
        <f>ROUND(SUM(K114:K114),2)</f>
        <v>#REF!</v>
      </c>
      <c r="L115" s="1213" t="e">
        <f>數量計算表!#REF!</f>
        <v>#REF!</v>
      </c>
    </row>
    <row r="117" spans="1:12">
      <c r="A117" s="1203" t="s">
        <v>6064</v>
      </c>
      <c r="B117" s="1204" t="s">
        <v>4794</v>
      </c>
      <c r="C117" s="109" t="s">
        <v>2617</v>
      </c>
      <c r="L117" s="1219" t="s">
        <v>4350</v>
      </c>
    </row>
    <row r="118" spans="1:12">
      <c r="B118" s="1205" t="s">
        <v>6073</v>
      </c>
      <c r="C118" s="1209" t="s">
        <v>4345</v>
      </c>
      <c r="H118" s="1211" t="e">
        <f>TEXT(數量計算表!D42&amp;數量計算表!E42&amp;"*"&amp;數量計算表!#REF!&amp;數量計算表!#REF!&amp;"/"&amp;數量計算表!E42,"0.0")</f>
        <v>#REF!</v>
      </c>
      <c r="J118" s="1316" t="s">
        <v>4343</v>
      </c>
      <c r="K118" s="1207" t="e">
        <f>數量計算表!D42*數量計算表!#REF!</f>
        <v>#REF!</v>
      </c>
      <c r="L118" s="108" t="e">
        <f>數量計算表!#REF!</f>
        <v>#REF!</v>
      </c>
    </row>
    <row r="119" spans="1:12">
      <c r="B119" s="1206"/>
      <c r="C119" s="1210"/>
      <c r="D119" s="1210"/>
      <c r="E119" s="1210"/>
      <c r="F119" s="1201"/>
      <c r="G119" s="1210"/>
      <c r="H119" s="1210"/>
      <c r="I119" s="1212" t="s">
        <v>2898</v>
      </c>
      <c r="J119" s="1202" t="s">
        <v>4343</v>
      </c>
      <c r="K119" s="1208" t="e">
        <f>ROUND(SUM(K118:K118),2)</f>
        <v>#REF!</v>
      </c>
      <c r="L119" s="1213" t="e">
        <f>數量計算表!#REF!</f>
        <v>#REF!</v>
      </c>
    </row>
    <row r="121" spans="1:12">
      <c r="A121" s="1203" t="s">
        <v>6065</v>
      </c>
      <c r="B121" s="1204" t="s">
        <v>4807</v>
      </c>
      <c r="C121" s="109" t="s">
        <v>2860</v>
      </c>
      <c r="L121" s="1219" t="s">
        <v>4350</v>
      </c>
    </row>
    <row r="122" spans="1:12">
      <c r="B122" s="1205" t="s">
        <v>6073</v>
      </c>
      <c r="C122" s="1209" t="s">
        <v>4345</v>
      </c>
      <c r="H122" s="1211" t="e">
        <f>TEXT(數量計算表!D42&amp;數量計算表!E42&amp;"*"&amp;數量計算表!#REF!&amp;數量計算表!#REF!&amp;"/"&amp;數量計算表!E42,"0.0")</f>
        <v>#REF!</v>
      </c>
      <c r="J122" s="1316" t="s">
        <v>4343</v>
      </c>
      <c r="K122" s="1207" t="e">
        <f>數量計算表!D42*數量計算表!#REF!</f>
        <v>#REF!</v>
      </c>
      <c r="L122" s="108" t="e">
        <f>數量計算表!#REF!</f>
        <v>#REF!</v>
      </c>
    </row>
    <row r="123" spans="1:12">
      <c r="B123" s="1206"/>
      <c r="C123" s="1210"/>
      <c r="D123" s="1210"/>
      <c r="E123" s="1210"/>
      <c r="F123" s="1201"/>
      <c r="G123" s="1210"/>
      <c r="H123" s="1210"/>
      <c r="I123" s="1212" t="s">
        <v>2898</v>
      </c>
      <c r="J123" s="1202" t="s">
        <v>4343</v>
      </c>
      <c r="K123" s="1208" t="e">
        <f>ROUND(SUM(K122:K122),2)</f>
        <v>#REF!</v>
      </c>
      <c r="L123" s="1213" t="e">
        <f>數量計算表!#REF!</f>
        <v>#REF!</v>
      </c>
    </row>
    <row r="125" spans="1:12">
      <c r="A125" s="1203" t="s">
        <v>6066</v>
      </c>
      <c r="B125" s="1204" t="s">
        <v>4812</v>
      </c>
      <c r="C125" s="109" t="s">
        <v>2663</v>
      </c>
      <c r="L125" s="1219" t="s">
        <v>4350</v>
      </c>
    </row>
    <row r="126" spans="1:12">
      <c r="B126" s="1205" t="s">
        <v>6073</v>
      </c>
      <c r="C126" s="1209" t="s">
        <v>4345</v>
      </c>
      <c r="H126" s="1211" t="e">
        <f>TEXT(數量計算表!D42&amp;數量計算表!E42&amp;"*"&amp;數量計算表!#REF!&amp;數量計算表!#REF!&amp;"/"&amp;數量計算表!E42,"0.0")</f>
        <v>#REF!</v>
      </c>
      <c r="J126" s="1316" t="s">
        <v>4343</v>
      </c>
      <c r="K126" s="1207" t="e">
        <f>數量計算表!D42*數量計算表!#REF!</f>
        <v>#REF!</v>
      </c>
      <c r="L126" s="108" t="e">
        <f>數量計算表!#REF!</f>
        <v>#REF!</v>
      </c>
    </row>
    <row r="127" spans="1:12">
      <c r="B127" s="1206"/>
      <c r="C127" s="1210"/>
      <c r="D127" s="1210"/>
      <c r="E127" s="1210"/>
      <c r="F127" s="1201"/>
      <c r="G127" s="1210"/>
      <c r="H127" s="1210"/>
      <c r="I127" s="1212" t="s">
        <v>2898</v>
      </c>
      <c r="J127" s="1202" t="s">
        <v>4343</v>
      </c>
      <c r="K127" s="1208" t="e">
        <f>ROUND(SUM(K126:K126),2)</f>
        <v>#REF!</v>
      </c>
      <c r="L127" s="1213" t="e">
        <f>數量計算表!#REF!</f>
        <v>#REF!</v>
      </c>
    </row>
    <row r="129" spans="1:12">
      <c r="A129" s="1203" t="s">
        <v>6075</v>
      </c>
      <c r="B129" s="1204" t="s">
        <v>4841</v>
      </c>
      <c r="C129" s="109" t="s">
        <v>913</v>
      </c>
      <c r="L129" s="1219" t="s">
        <v>4350</v>
      </c>
    </row>
    <row r="130" spans="1:12">
      <c r="B130" s="1205" t="s">
        <v>6074</v>
      </c>
      <c r="C130" s="1209" t="s">
        <v>6061</v>
      </c>
      <c r="H130" s="1211" t="e">
        <f>TEXT(數量計算表!D38&amp;數量計算表!E38&amp;"*"&amp;數量計算表!#REF!&amp;數量計算表!#REF!&amp;"/"&amp;數量計算表!E38,"0.0")</f>
        <v>#REF!</v>
      </c>
      <c r="J130" s="1316" t="s">
        <v>4343</v>
      </c>
      <c r="K130" s="1207" t="e">
        <f>數量計算表!D38*數量計算表!#REF!</f>
        <v>#REF!</v>
      </c>
      <c r="L130" s="108" t="e">
        <f>數量計算表!#REF!</f>
        <v>#REF!</v>
      </c>
    </row>
    <row r="131" spans="1:12">
      <c r="B131" s="1206"/>
      <c r="C131" s="1210"/>
      <c r="D131" s="1210"/>
      <c r="E131" s="1210"/>
      <c r="F131" s="1201"/>
      <c r="G131" s="1210"/>
      <c r="H131" s="1210"/>
      <c r="I131" s="1212" t="s">
        <v>2898</v>
      </c>
      <c r="J131" s="1202" t="s">
        <v>4343</v>
      </c>
      <c r="K131" s="1208" t="e">
        <f>ROUND(SUM(K130:K130),2)</f>
        <v>#REF!</v>
      </c>
      <c r="L131" s="1213" t="e">
        <f>數量計算表!#REF!</f>
        <v>#REF!</v>
      </c>
    </row>
  </sheetData>
  <phoneticPr fontId="3" type="noConversion"/>
  <pageMargins left="0.7" right="0.7" top="1.3779527559055118" bottom="0.75" header="0.3" footer="0.3"/>
  <pageSetup paperSize="9" scale="80" orientation="portrait" r:id="rId1"/>
  <headerFooter>
    <oddHeader>&amp;L
&amp;"標楷體,標準" 工程名稱：114年度續約-113年度雨水下水道緊急搶修預約維護工程(北區)&amp;C&amp;"標楷體,Bold"&amp;16臺北市政府工務局水利工程處  數量統計表&amp;R&amp;"Times New Roman,標準"
&amp;"標楷體,標準"第&amp;"Times New Roman,標準"&amp;P&amp;"標楷體,標準"頁&amp;"Times New Roman,標準",&amp;"標楷體,標準"共&amp;"Times New Roman,標準"&amp;N&amp;"標楷體,標準"頁</oddHeader>
    <oddFooter>&amp;L&amp;"標楷體,標準"&amp;8&amp;F&amp;C&amp;"標楷體,標準"校&amp;"Times New Roman,標準"                         &amp;"標楷體,標準"編&amp;"Times New Roman,標準"
&amp;"標楷體,標準"核&amp;"Times New Roman,標準"                         &amp;"標楷體,標準"製</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5"/>
  </sheetPr>
  <dimension ref="A1:Q845"/>
  <sheetViews>
    <sheetView tabSelected="1" view="pageBreakPreview" topLeftCell="A37" zoomScale="115" zoomScaleNormal="100" zoomScaleSheetLayoutView="115" workbookViewId="0">
      <selection activeCell="A43" sqref="A43"/>
    </sheetView>
  </sheetViews>
  <sheetFormatPr defaultColWidth="0.625" defaultRowHeight="16.5"/>
  <cols>
    <col min="1" max="1" width="4.5" style="1264" customWidth="1"/>
    <col min="2" max="2" width="7.875" style="986" customWidth="1"/>
    <col min="3" max="3" width="8.75" style="114" customWidth="1"/>
    <col min="4" max="4" width="10.5" style="986" customWidth="1"/>
    <col min="5" max="5" width="15.5" style="114" customWidth="1"/>
    <col min="6" max="6" width="11" style="114" customWidth="1"/>
    <col min="7" max="7" width="8.75" style="114" customWidth="1"/>
    <col min="8" max="8" width="10.5" style="114" customWidth="1"/>
    <col min="9" max="9" width="10.625" style="114" customWidth="1"/>
    <col min="10" max="10" width="10.375" style="947" customWidth="1"/>
    <col min="11" max="11" width="7.5" style="114" customWidth="1"/>
    <col min="12" max="12" width="8.625" style="1245" customWidth="1"/>
    <col min="13" max="14" width="8.625" style="1246" customWidth="1"/>
    <col min="15" max="15" width="9.625" style="1246" customWidth="1"/>
    <col min="16" max="17" width="0.625" style="1244"/>
    <col min="18" max="16384" width="0.625" style="1"/>
  </cols>
  <sheetData>
    <row r="1" spans="1:15">
      <c r="A1" s="1313" t="s">
        <v>6028</v>
      </c>
      <c r="B1" s="1014" t="s">
        <v>6043</v>
      </c>
      <c r="C1" s="1014"/>
      <c r="D1" s="1015"/>
      <c r="E1" s="1016"/>
      <c r="F1" s="1017"/>
      <c r="G1" s="1017"/>
      <c r="H1" s="1018" t="s">
        <v>3961</v>
      </c>
      <c r="I1" s="1019" t="s">
        <v>3962</v>
      </c>
      <c r="J1" s="122">
        <v>1</v>
      </c>
      <c r="K1" s="121" t="s">
        <v>3963</v>
      </c>
      <c r="L1" s="1258" t="s">
        <v>11</v>
      </c>
      <c r="M1" s="1259" t="s">
        <v>4309</v>
      </c>
      <c r="N1" s="1259" t="s">
        <v>4310</v>
      </c>
      <c r="O1" s="1259" t="s">
        <v>4341</v>
      </c>
    </row>
    <row r="2" spans="1:15">
      <c r="A2" s="150"/>
      <c r="B2" s="1020"/>
      <c r="C2" s="1018" t="s">
        <v>2862</v>
      </c>
      <c r="D2" s="568">
        <v>5</v>
      </c>
      <c r="E2" s="1021" t="s">
        <v>3963</v>
      </c>
      <c r="F2" s="1022"/>
      <c r="G2" s="1022"/>
      <c r="H2" s="1018"/>
      <c r="I2" s="1023"/>
      <c r="J2" s="943"/>
      <c r="K2" s="108"/>
      <c r="O2" s="1246">
        <f>SUM(N3:N6)</f>
        <v>0</v>
      </c>
    </row>
    <row r="3" spans="1:15">
      <c r="A3" s="110"/>
      <c r="B3" s="1020"/>
      <c r="C3" s="1018" t="s">
        <v>3964</v>
      </c>
      <c r="D3" s="976" t="s">
        <v>2977</v>
      </c>
      <c r="E3" s="1021"/>
      <c r="F3" s="1022"/>
      <c r="G3" s="1022"/>
      <c r="H3" s="1018"/>
      <c r="I3" s="1023"/>
      <c r="J3" s="943"/>
      <c r="K3" s="108"/>
    </row>
    <row r="4" spans="1:15">
      <c r="A4" s="150"/>
      <c r="B4" s="1020"/>
      <c r="C4" s="1018" t="s">
        <v>6029</v>
      </c>
      <c r="D4" s="568">
        <v>0.57999999999999996</v>
      </c>
      <c r="E4" s="1021" t="s">
        <v>3963</v>
      </c>
      <c r="F4" s="1018"/>
      <c r="G4" s="1018" t="s">
        <v>6044</v>
      </c>
      <c r="H4" s="1025">
        <v>0.57999999999999996</v>
      </c>
      <c r="I4" s="1021" t="s">
        <v>3963</v>
      </c>
      <c r="J4" s="944"/>
      <c r="K4" s="108"/>
    </row>
    <row r="5" spans="1:15">
      <c r="A5" s="150"/>
      <c r="B5" s="1020"/>
      <c r="C5" s="1018" t="s">
        <v>6030</v>
      </c>
      <c r="D5" s="568">
        <v>0.4</v>
      </c>
      <c r="E5" s="1021" t="s">
        <v>3963</v>
      </c>
      <c r="F5" s="1018"/>
      <c r="G5" s="1018" t="s">
        <v>6045</v>
      </c>
      <c r="H5" s="1025">
        <v>0.4</v>
      </c>
      <c r="I5" s="1021" t="s">
        <v>3963</v>
      </c>
      <c r="J5" s="943"/>
      <c r="K5" s="108"/>
    </row>
    <row r="6" spans="1:15">
      <c r="A6" s="150"/>
      <c r="B6" s="1020"/>
      <c r="C6" s="1018" t="s">
        <v>6031</v>
      </c>
      <c r="D6" s="568">
        <v>0.2</v>
      </c>
      <c r="E6" s="1021" t="s">
        <v>3963</v>
      </c>
      <c r="F6" s="1018"/>
      <c r="G6" s="1018" t="s">
        <v>6046</v>
      </c>
      <c r="H6" s="1025">
        <v>0.2</v>
      </c>
      <c r="I6" s="1021" t="s">
        <v>3963</v>
      </c>
      <c r="J6" s="943"/>
      <c r="K6" s="108"/>
    </row>
    <row r="7" spans="1:15">
      <c r="A7" s="1313" t="s">
        <v>6089</v>
      </c>
      <c r="B7" s="1014" t="s">
        <v>6068</v>
      </c>
      <c r="C7" s="1014"/>
      <c r="D7" s="1015"/>
      <c r="E7" s="1016"/>
      <c r="F7" s="1017"/>
      <c r="G7" s="1017"/>
      <c r="H7" s="1018" t="s">
        <v>3961</v>
      </c>
      <c r="I7" s="1019" t="s">
        <v>3962</v>
      </c>
      <c r="J7" s="122">
        <v>1</v>
      </c>
      <c r="K7" s="121" t="s">
        <v>1818</v>
      </c>
      <c r="L7" s="1258" t="s">
        <v>11</v>
      </c>
      <c r="M7" s="1259" t="s">
        <v>4309</v>
      </c>
      <c r="N7" s="1259" t="s">
        <v>4310</v>
      </c>
      <c r="O7" s="1259" t="s">
        <v>4341</v>
      </c>
    </row>
    <row r="8" spans="1:15">
      <c r="A8" s="150"/>
      <c r="B8" s="1020"/>
      <c r="C8" s="1018" t="s">
        <v>2862</v>
      </c>
      <c r="D8" s="976">
        <v>1</v>
      </c>
      <c r="E8" s="1021" t="s">
        <v>1818</v>
      </c>
      <c r="F8" s="1020"/>
      <c r="G8" s="1020"/>
      <c r="H8" s="1024"/>
      <c r="I8" s="1029"/>
      <c r="J8" s="948"/>
      <c r="K8" s="108"/>
      <c r="O8" s="1246">
        <f>SUM(N9:N12)</f>
        <v>0</v>
      </c>
    </row>
    <row r="9" spans="1:15">
      <c r="A9" s="110"/>
      <c r="B9" s="1020"/>
      <c r="C9" s="1018" t="s">
        <v>3964</v>
      </c>
      <c r="D9" s="976" t="s">
        <v>3672</v>
      </c>
      <c r="E9" s="1021"/>
      <c r="F9" s="1022"/>
      <c r="G9" s="1022"/>
      <c r="H9" s="1018"/>
      <c r="I9" s="1023"/>
      <c r="J9" s="943"/>
      <c r="K9" s="108"/>
    </row>
    <row r="10" spans="1:15">
      <c r="A10" s="150"/>
      <c r="B10" s="1020"/>
      <c r="C10" s="1018" t="s">
        <v>6069</v>
      </c>
      <c r="D10" s="568">
        <v>0.75</v>
      </c>
      <c r="E10" s="1021" t="s">
        <v>3963</v>
      </c>
      <c r="F10" s="1048"/>
      <c r="G10" s="1018" t="s">
        <v>921</v>
      </c>
      <c r="H10" s="1025" t="s">
        <v>921</v>
      </c>
      <c r="I10" s="1021" t="s">
        <v>921</v>
      </c>
      <c r="J10" s="944"/>
      <c r="K10" s="108"/>
    </row>
    <row r="11" spans="1:15">
      <c r="A11" s="150"/>
      <c r="B11" s="1020"/>
      <c r="C11" s="1018" t="s">
        <v>6070</v>
      </c>
      <c r="D11" s="568">
        <v>0.5</v>
      </c>
      <c r="E11" s="1021" t="s">
        <v>3963</v>
      </c>
      <c r="F11" s="1022"/>
      <c r="G11" s="1018" t="s">
        <v>921</v>
      </c>
      <c r="H11" s="1025" t="s">
        <v>921</v>
      </c>
      <c r="I11" s="1021" t="s">
        <v>921</v>
      </c>
      <c r="J11" s="943"/>
      <c r="K11" s="108"/>
    </row>
    <row r="12" spans="1:15">
      <c r="A12" s="150"/>
      <c r="B12" s="1020"/>
      <c r="C12" s="1018" t="s">
        <v>6031</v>
      </c>
      <c r="D12" s="568">
        <v>0.15</v>
      </c>
      <c r="E12" s="1021" t="s">
        <v>3963</v>
      </c>
      <c r="F12" s="1022"/>
      <c r="G12" s="1018" t="s">
        <v>921</v>
      </c>
      <c r="H12" s="1025" t="s">
        <v>921</v>
      </c>
      <c r="I12" s="1021" t="s">
        <v>921</v>
      </c>
      <c r="J12" s="943"/>
      <c r="K12" s="108"/>
    </row>
    <row r="13" spans="1:15">
      <c r="A13" s="1313" t="s">
        <v>6090</v>
      </c>
      <c r="B13" s="1014" t="s">
        <v>6076</v>
      </c>
      <c r="C13" s="1014"/>
      <c r="D13" s="1015"/>
      <c r="E13" s="1016"/>
      <c r="F13" s="1017"/>
      <c r="G13" s="1017"/>
      <c r="H13" s="1018" t="s">
        <v>3961</v>
      </c>
      <c r="I13" s="1019" t="s">
        <v>3962</v>
      </c>
      <c r="J13" s="122">
        <v>1</v>
      </c>
      <c r="K13" s="121" t="s">
        <v>3963</v>
      </c>
      <c r="L13" s="1258" t="s">
        <v>11</v>
      </c>
      <c r="M13" s="1259" t="s">
        <v>4309</v>
      </c>
      <c r="N13" s="1259" t="s">
        <v>4310</v>
      </c>
      <c r="O13" s="1259" t="s">
        <v>4341</v>
      </c>
    </row>
    <row r="14" spans="1:15">
      <c r="A14" s="150"/>
      <c r="B14" s="1020"/>
      <c r="C14" s="1018" t="s">
        <v>2862</v>
      </c>
      <c r="D14" s="588">
        <v>1.5</v>
      </c>
      <c r="E14" s="1021" t="s">
        <v>3963</v>
      </c>
      <c r="F14" s="1020"/>
      <c r="G14" s="1020"/>
      <c r="H14" s="1024"/>
      <c r="I14" s="1029"/>
      <c r="J14" s="948"/>
      <c r="K14" s="108"/>
      <c r="O14" s="1246">
        <f>SUM(N15:N18)</f>
        <v>0</v>
      </c>
    </row>
    <row r="15" spans="1:15">
      <c r="A15" s="110"/>
      <c r="B15" s="1020"/>
      <c r="C15" s="1018" t="s">
        <v>3964</v>
      </c>
      <c r="D15" s="976" t="s">
        <v>3672</v>
      </c>
      <c r="E15" s="1021"/>
      <c r="F15" s="1022"/>
      <c r="G15" s="1022"/>
      <c r="H15" s="1018"/>
      <c r="I15" s="1023"/>
      <c r="J15" s="943"/>
      <c r="K15" s="108"/>
    </row>
    <row r="16" spans="1:15">
      <c r="A16" s="150"/>
      <c r="B16" s="1020"/>
      <c r="C16" s="1018" t="s">
        <v>6077</v>
      </c>
      <c r="D16" s="568">
        <v>0.47000000000000003</v>
      </c>
      <c r="E16" s="1021" t="s">
        <v>3963</v>
      </c>
      <c r="F16" s="986"/>
      <c r="G16" s="1018" t="s">
        <v>6044</v>
      </c>
      <c r="H16" s="1025">
        <v>0</v>
      </c>
      <c r="I16" s="1021" t="s">
        <v>3963</v>
      </c>
      <c r="J16" s="948"/>
      <c r="K16" s="108"/>
    </row>
    <row r="17" spans="1:15">
      <c r="A17" s="150"/>
      <c r="B17" s="1020"/>
      <c r="C17" s="1018" t="s">
        <v>6030</v>
      </c>
      <c r="D17" s="568">
        <v>0.5</v>
      </c>
      <c r="E17" s="1021" t="s">
        <v>3963</v>
      </c>
      <c r="F17" s="986"/>
      <c r="G17" s="1018" t="s">
        <v>6045</v>
      </c>
      <c r="H17" s="1025">
        <v>0</v>
      </c>
      <c r="I17" s="1021" t="s">
        <v>3963</v>
      </c>
      <c r="J17" s="948"/>
      <c r="K17" s="108"/>
    </row>
    <row r="18" spans="1:15">
      <c r="A18" s="150"/>
      <c r="B18" s="1020"/>
      <c r="C18" s="1018" t="s">
        <v>6031</v>
      </c>
      <c r="D18" s="568">
        <v>0.2</v>
      </c>
      <c r="E18" s="1021" t="s">
        <v>3963</v>
      </c>
      <c r="F18" s="986"/>
      <c r="G18" s="1018" t="s">
        <v>6046</v>
      </c>
      <c r="H18" s="1025">
        <v>0</v>
      </c>
      <c r="I18" s="1021" t="s">
        <v>3963</v>
      </c>
      <c r="J18" s="948"/>
      <c r="K18" s="108"/>
    </row>
    <row r="19" spans="1:15">
      <c r="A19" s="1313" t="s">
        <v>6090</v>
      </c>
      <c r="B19" s="1317" t="s">
        <v>6093</v>
      </c>
      <c r="C19" s="1317"/>
      <c r="D19" s="1318"/>
      <c r="E19" s="1319"/>
      <c r="F19" s="1320"/>
      <c r="G19" s="1320"/>
      <c r="H19" s="1321" t="s">
        <v>3961</v>
      </c>
      <c r="I19" s="1322" t="s">
        <v>3962</v>
      </c>
      <c r="J19" s="1323">
        <v>1</v>
      </c>
      <c r="K19" s="1324" t="s">
        <v>2238</v>
      </c>
      <c r="L19" s="1258" t="s">
        <v>11</v>
      </c>
      <c r="M19" s="1259" t="s">
        <v>4309</v>
      </c>
      <c r="N19" s="1259" t="s">
        <v>4310</v>
      </c>
      <c r="O19" s="1259" t="s">
        <v>4341</v>
      </c>
    </row>
    <row r="20" spans="1:15">
      <c r="A20" s="150"/>
      <c r="B20" s="1124"/>
      <c r="C20" s="1135" t="s">
        <v>2862</v>
      </c>
      <c r="D20" s="1325">
        <v>1</v>
      </c>
      <c r="E20" s="1137" t="s">
        <v>2238</v>
      </c>
      <c r="F20" s="1124"/>
      <c r="G20" s="1124"/>
      <c r="H20" s="1126"/>
      <c r="I20" s="1131"/>
      <c r="J20" s="1326"/>
      <c r="K20" s="120"/>
      <c r="O20" s="1246">
        <f>SUM(N21:N40)</f>
        <v>0</v>
      </c>
    </row>
    <row r="21" spans="1:15">
      <c r="A21" s="110"/>
      <c r="B21" s="1124"/>
      <c r="C21" s="1135" t="s">
        <v>3964</v>
      </c>
      <c r="D21" s="1327" t="s">
        <v>6094</v>
      </c>
      <c r="E21" s="1137"/>
      <c r="F21" s="1133"/>
      <c r="G21" s="1133"/>
      <c r="H21" s="1135"/>
      <c r="I21" s="1328"/>
      <c r="J21" s="1329"/>
      <c r="K21" s="120"/>
    </row>
    <row r="22" spans="1:15">
      <c r="A22" s="150"/>
      <c r="B22" s="1124"/>
      <c r="C22" s="1321" t="s">
        <v>6095</v>
      </c>
      <c r="D22" s="1330">
        <v>0.6</v>
      </c>
      <c r="E22" s="118" t="s">
        <v>2974</v>
      </c>
      <c r="F22" s="719"/>
      <c r="G22" s="1321"/>
      <c r="H22" s="1135"/>
      <c r="I22" s="118"/>
      <c r="J22" s="1326"/>
      <c r="K22" s="120"/>
    </row>
    <row r="23" spans="1:15">
      <c r="A23" s="150"/>
      <c r="B23" s="1124"/>
      <c r="C23" s="1321" t="s">
        <v>6096</v>
      </c>
      <c r="D23" s="1330">
        <v>8.6999999999999994E-2</v>
      </c>
      <c r="E23" s="118" t="s">
        <v>2974</v>
      </c>
      <c r="F23" s="719"/>
      <c r="G23" s="1321"/>
      <c r="H23" s="1135"/>
      <c r="I23" s="118"/>
      <c r="J23" s="1326"/>
      <c r="K23" s="120"/>
    </row>
    <row r="24" spans="1:15">
      <c r="A24" s="150"/>
      <c r="B24" s="1124"/>
      <c r="C24" s="1321" t="s">
        <v>6097</v>
      </c>
      <c r="D24" s="1330">
        <v>1</v>
      </c>
      <c r="E24" s="118" t="s">
        <v>2974</v>
      </c>
      <c r="F24" s="719"/>
      <c r="G24" s="1321"/>
      <c r="H24" s="1135"/>
      <c r="I24" s="118"/>
      <c r="J24" s="1326"/>
      <c r="K24" s="120"/>
    </row>
    <row r="25" spans="1:15">
      <c r="A25" s="150"/>
      <c r="B25" s="1124"/>
      <c r="C25" s="1321" t="s">
        <v>6098</v>
      </c>
      <c r="D25" s="1330">
        <v>1.2</v>
      </c>
      <c r="E25" s="118" t="s">
        <v>2974</v>
      </c>
      <c r="F25" s="719"/>
      <c r="G25" s="1321"/>
      <c r="H25" s="1135"/>
      <c r="I25" s="118"/>
      <c r="J25" s="1326"/>
      <c r="K25" s="120"/>
    </row>
    <row r="26" spans="1:15">
      <c r="A26" s="150"/>
      <c r="B26" s="1124"/>
      <c r="C26" s="1321" t="s">
        <v>6099</v>
      </c>
      <c r="D26" s="1330">
        <v>1.35</v>
      </c>
      <c r="E26" s="118" t="s">
        <v>2974</v>
      </c>
      <c r="F26" s="719"/>
      <c r="G26" s="1321"/>
      <c r="H26" s="1135"/>
      <c r="I26" s="118"/>
      <c r="J26" s="1326"/>
      <c r="K26" s="120"/>
    </row>
    <row r="27" spans="1:15">
      <c r="A27" s="43" t="s">
        <v>6091</v>
      </c>
      <c r="B27" s="1014" t="s">
        <v>6050</v>
      </c>
      <c r="C27" s="1014"/>
      <c r="D27" s="1015"/>
      <c r="E27" s="1016"/>
      <c r="F27" s="1017"/>
      <c r="G27" s="1017"/>
      <c r="H27" s="1018" t="s">
        <v>3961</v>
      </c>
      <c r="I27" s="1019" t="s">
        <v>3962</v>
      </c>
      <c r="J27" s="122">
        <v>1</v>
      </c>
      <c r="K27" s="121" t="s">
        <v>3963</v>
      </c>
      <c r="L27" s="1258" t="s">
        <v>11</v>
      </c>
      <c r="M27" s="1259" t="s">
        <v>4309</v>
      </c>
      <c r="N27" s="1259" t="s">
        <v>4310</v>
      </c>
      <c r="O27" s="1259" t="s">
        <v>4341</v>
      </c>
    </row>
    <row r="28" spans="1:15">
      <c r="A28" s="150"/>
      <c r="B28" s="1020"/>
      <c r="C28" s="1018" t="s">
        <v>2862</v>
      </c>
      <c r="D28" s="1071">
        <v>4</v>
      </c>
      <c r="E28" s="1021" t="s">
        <v>3963</v>
      </c>
      <c r="F28" s="1022"/>
      <c r="G28" s="1022"/>
      <c r="H28" s="1024"/>
      <c r="I28" s="1029"/>
      <c r="J28" s="946"/>
      <c r="K28" s="108"/>
      <c r="O28" s="1246">
        <f>SUM(N29:N31)</f>
        <v>0</v>
      </c>
    </row>
    <row r="29" spans="1:15">
      <c r="A29" s="150"/>
      <c r="B29" s="1020"/>
      <c r="C29" s="1072" t="s">
        <v>6051</v>
      </c>
      <c r="D29" s="1073" t="s">
        <v>6052</v>
      </c>
      <c r="E29" s="1021"/>
      <c r="F29" s="1018" t="s">
        <v>6053</v>
      </c>
      <c r="G29" s="588">
        <v>0.8</v>
      </c>
      <c r="H29" s="1021" t="s">
        <v>3963</v>
      </c>
      <c r="I29" s="986"/>
      <c r="J29" s="944"/>
      <c r="K29" s="108"/>
    </row>
    <row r="30" spans="1:15">
      <c r="A30" s="150"/>
      <c r="B30" s="1020"/>
      <c r="C30" s="1018" t="s">
        <v>3964</v>
      </c>
      <c r="D30" s="976" t="s">
        <v>2977</v>
      </c>
      <c r="E30" s="986"/>
      <c r="F30" s="1018" t="s">
        <v>6054</v>
      </c>
      <c r="G30" s="588">
        <v>0.15</v>
      </c>
      <c r="H30" s="1021" t="s">
        <v>3963</v>
      </c>
      <c r="I30" s="986"/>
      <c r="K30" s="108"/>
    </row>
    <row r="31" spans="1:15">
      <c r="A31" s="150"/>
      <c r="B31" s="1020"/>
      <c r="C31" s="1072" t="s">
        <v>6055</v>
      </c>
      <c r="D31" s="1073" t="s">
        <v>3680</v>
      </c>
      <c r="E31" s="986"/>
      <c r="F31" s="1020"/>
      <c r="G31" s="1020"/>
      <c r="H31" s="1024"/>
      <c r="I31" s="1029"/>
      <c r="J31" s="948"/>
      <c r="K31" s="108"/>
    </row>
    <row r="32" spans="1:15">
      <c r="A32" s="43" t="s">
        <v>6092</v>
      </c>
      <c r="B32" s="1014" t="s">
        <v>6088</v>
      </c>
      <c r="C32" s="1014"/>
      <c r="D32" s="1015"/>
      <c r="E32" s="1016"/>
      <c r="F32" s="1017"/>
      <c r="G32" s="1017"/>
      <c r="H32" s="1098" t="s">
        <v>3961</v>
      </c>
      <c r="I32" s="1099" t="s">
        <v>3962</v>
      </c>
      <c r="J32" s="122">
        <v>1</v>
      </c>
      <c r="K32" s="121" t="s">
        <v>3963</v>
      </c>
      <c r="L32" s="1258" t="s">
        <v>11</v>
      </c>
      <c r="M32" s="1259" t="s">
        <v>4309</v>
      </c>
      <c r="N32" s="1259" t="s">
        <v>4310</v>
      </c>
      <c r="O32" s="1259" t="s">
        <v>4341</v>
      </c>
    </row>
    <row r="33" spans="1:15">
      <c r="A33" s="150"/>
      <c r="B33" s="1020"/>
      <c r="C33" s="1018" t="s">
        <v>2862</v>
      </c>
      <c r="D33" s="588">
        <v>1</v>
      </c>
      <c r="E33" s="1100" t="s">
        <v>3963</v>
      </c>
      <c r="F33" s="1101"/>
      <c r="G33" s="1101"/>
      <c r="H33" s="1102"/>
      <c r="I33" s="1103"/>
      <c r="J33" s="957"/>
      <c r="K33" s="108"/>
      <c r="O33" s="1246" t="e">
        <f>SUM(N34:N44)</f>
        <v>#REF!</v>
      </c>
    </row>
    <row r="34" spans="1:15">
      <c r="A34" s="150"/>
      <c r="B34" s="1020"/>
      <c r="C34" s="1018" t="s">
        <v>3964</v>
      </c>
      <c r="D34" s="976" t="s">
        <v>2977</v>
      </c>
      <c r="E34" s="1100"/>
      <c r="F34" s="1104"/>
      <c r="G34" s="1104"/>
      <c r="H34" s="1098"/>
      <c r="I34" s="1023"/>
      <c r="J34" s="958"/>
      <c r="K34" s="108"/>
    </row>
    <row r="35" spans="1:15">
      <c r="A35" s="150"/>
      <c r="B35" s="1020"/>
      <c r="C35" s="1018" t="s">
        <v>6053</v>
      </c>
      <c r="D35" s="588">
        <v>0.8</v>
      </c>
      <c r="E35" s="1100" t="s">
        <v>3963</v>
      </c>
      <c r="F35" s="1101"/>
      <c r="G35" s="1101"/>
      <c r="H35" s="1102"/>
      <c r="I35" s="1103"/>
      <c r="J35" s="957"/>
      <c r="K35" s="108"/>
    </row>
    <row r="36" spans="1:15">
      <c r="A36" s="150"/>
      <c r="B36" s="1020"/>
      <c r="C36" s="1018" t="s">
        <v>6054</v>
      </c>
      <c r="D36" s="588">
        <v>0.2</v>
      </c>
      <c r="E36" s="1100" t="s">
        <v>3963</v>
      </c>
      <c r="F36" s="1101"/>
      <c r="G36" s="1101"/>
      <c r="H36" s="1102"/>
      <c r="I36" s="1103"/>
      <c r="J36" s="957"/>
      <c r="K36" s="108"/>
    </row>
    <row r="37" spans="1:15">
      <c r="A37" s="589" t="s">
        <v>6071</v>
      </c>
      <c r="B37" s="1014" t="s">
        <v>6062</v>
      </c>
      <c r="C37" s="1014"/>
      <c r="D37" s="1015"/>
      <c r="E37" s="1016"/>
      <c r="F37" s="1017"/>
      <c r="G37" s="1017"/>
      <c r="H37" s="1018" t="s">
        <v>3961</v>
      </c>
      <c r="I37" s="1019" t="s">
        <v>3962</v>
      </c>
      <c r="J37" s="122">
        <v>1</v>
      </c>
      <c r="K37" s="121" t="s">
        <v>14</v>
      </c>
      <c r="L37" s="1258" t="s">
        <v>11</v>
      </c>
      <c r="M37" s="1259" t="s">
        <v>4309</v>
      </c>
      <c r="N37" s="1259" t="s">
        <v>4310</v>
      </c>
      <c r="O37" s="1259" t="s">
        <v>4341</v>
      </c>
    </row>
    <row r="38" spans="1:15">
      <c r="A38" s="112"/>
      <c r="B38" s="1020"/>
      <c r="C38" s="1018" t="s">
        <v>2862</v>
      </c>
      <c r="D38" s="1071">
        <v>1</v>
      </c>
      <c r="E38" s="1021" t="s">
        <v>14</v>
      </c>
      <c r="F38" s="1022"/>
      <c r="G38" s="1022"/>
      <c r="H38" s="1024"/>
      <c r="I38" s="1029"/>
      <c r="J38" s="946"/>
      <c r="K38" s="108"/>
      <c r="L38" s="1249"/>
      <c r="M38" s="1250"/>
      <c r="N38" s="1250"/>
      <c r="O38" s="1250">
        <f>SUM(N39:N40)</f>
        <v>0</v>
      </c>
    </row>
    <row r="39" spans="1:15">
      <c r="A39" s="112"/>
      <c r="B39" s="1020"/>
      <c r="C39" s="1018" t="s">
        <v>6058</v>
      </c>
      <c r="D39" s="1109" t="s">
        <v>6059</v>
      </c>
      <c r="E39" s="1021"/>
      <c r="F39" s="1022"/>
      <c r="G39" s="1022"/>
      <c r="H39" s="1018"/>
      <c r="I39" s="1023"/>
      <c r="J39" s="943"/>
      <c r="K39" s="108"/>
      <c r="L39" s="1249"/>
      <c r="M39" s="1250"/>
      <c r="N39" s="1250"/>
      <c r="O39" s="1250"/>
    </row>
    <row r="40" spans="1:15">
      <c r="A40" s="112"/>
      <c r="B40" s="1020"/>
      <c r="C40" s="1018" t="s">
        <v>6060</v>
      </c>
      <c r="D40" s="976" t="s">
        <v>6049</v>
      </c>
      <c r="E40" s="1021"/>
      <c r="F40" s="1022"/>
      <c r="G40" s="1022"/>
      <c r="H40" s="1018"/>
      <c r="I40" s="1023"/>
      <c r="J40" s="943"/>
      <c r="K40" s="108"/>
      <c r="L40" s="1249"/>
      <c r="M40" s="1250"/>
      <c r="N40" s="1250"/>
      <c r="O40" s="1250"/>
    </row>
    <row r="41" spans="1:15">
      <c r="A41" s="589" t="s">
        <v>6072</v>
      </c>
      <c r="B41" s="1110" t="s">
        <v>4277</v>
      </c>
      <c r="C41" s="590"/>
      <c r="D41" s="1112"/>
      <c r="E41" s="591"/>
      <c r="F41" s="591"/>
      <c r="G41" s="591"/>
      <c r="H41" s="174" t="s">
        <v>3961</v>
      </c>
      <c r="I41" s="592" t="s">
        <v>3962</v>
      </c>
      <c r="J41" s="973">
        <v>1</v>
      </c>
      <c r="K41" s="121" t="s">
        <v>14</v>
      </c>
      <c r="L41" s="1258" t="s">
        <v>11</v>
      </c>
      <c r="M41" s="1259" t="s">
        <v>4309</v>
      </c>
      <c r="N41" s="1259" t="s">
        <v>4310</v>
      </c>
      <c r="O41" s="1259" t="s">
        <v>4341</v>
      </c>
    </row>
    <row r="42" spans="1:15">
      <c r="A42" s="112"/>
      <c r="B42" s="1075"/>
      <c r="C42" s="174" t="s">
        <v>2862</v>
      </c>
      <c r="D42" s="1147">
        <v>1</v>
      </c>
      <c r="E42" s="593" t="s">
        <v>14</v>
      </c>
      <c r="F42" s="577"/>
      <c r="G42" s="577"/>
      <c r="H42" s="578"/>
      <c r="I42" s="579"/>
      <c r="J42" s="948"/>
      <c r="K42" s="108"/>
      <c r="O42" s="1246">
        <f>SUM(N111:N112)</f>
        <v>0</v>
      </c>
    </row>
    <row r="43" spans="1:15">
      <c r="A43" s="110"/>
      <c r="B43" s="1026">
        <v>1.6</v>
      </c>
      <c r="C43" s="1314" t="s">
        <v>6078</v>
      </c>
      <c r="D43" s="1085"/>
      <c r="E43" s="1085"/>
      <c r="F43" s="1085"/>
      <c r="G43" s="1085"/>
      <c r="H43" s="1047"/>
      <c r="I43" s="1029" t="s">
        <v>4362</v>
      </c>
      <c r="J43" s="945">
        <f>cc</f>
        <v>0.44919999999999999</v>
      </c>
      <c r="K43" s="108" t="str">
        <f>VLOOKUP(C43,合約!B:H,2,FALSE)</f>
        <v>B.M3</v>
      </c>
      <c r="L43" s="1245" t="e">
        <f>(J43)*(#REF!)</f>
        <v>#REF!</v>
      </c>
      <c r="M43" s="1246">
        <f>VLOOKUP(C43,合約!B:H,4,FALSE)</f>
        <v>1067.76</v>
      </c>
      <c r="N43" s="1246" t="e">
        <f>(L43)*(M43)</f>
        <v>#REF!</v>
      </c>
    </row>
    <row r="44" spans="1:15">
      <c r="A44" s="110"/>
      <c r="B44" s="1020"/>
      <c r="C44" s="1315" t="s">
        <v>6086</v>
      </c>
      <c r="D44" s="1047"/>
      <c r="E44" s="1047"/>
      <c r="F44" s="1047"/>
      <c r="G44" s="1047"/>
      <c r="H44" s="1047"/>
      <c r="I44" s="1029"/>
      <c r="J44" s="945"/>
      <c r="K44" s="108"/>
    </row>
    <row r="45" spans="1:15">
      <c r="A45" s="110"/>
      <c r="B45" s="1026">
        <v>1.99</v>
      </c>
      <c r="C45" s="1314" t="s">
        <v>6079</v>
      </c>
      <c r="D45" s="1085"/>
      <c r="E45" s="1085"/>
      <c r="F45" s="1085"/>
      <c r="G45" s="1085"/>
      <c r="H45" s="1047"/>
      <c r="I45" s="1029" t="s">
        <v>4362</v>
      </c>
      <c r="J45" s="945">
        <f>cc</f>
        <v>4.0000000000000008E-2</v>
      </c>
      <c r="K45" s="108" t="str">
        <f>VLOOKUP(C45,合約!B:H,2,FALSE)</f>
        <v>M3</v>
      </c>
      <c r="L45" s="1245" t="e">
        <f>(J45)*(#REF!)</f>
        <v>#REF!</v>
      </c>
      <c r="M45" s="1246">
        <f>VLOOKUP(C45,合約!B:H,4,FALSE)</f>
        <v>3327.95</v>
      </c>
      <c r="N45" s="1246" t="e">
        <f>(L45)*(M45)</f>
        <v>#REF!</v>
      </c>
    </row>
    <row r="46" spans="1:15">
      <c r="A46" s="110"/>
      <c r="B46" s="1020"/>
      <c r="C46" s="1315" t="s">
        <v>6080</v>
      </c>
      <c r="D46" s="1047"/>
      <c r="E46" s="1047"/>
      <c r="F46" s="1047"/>
      <c r="G46" s="1047"/>
      <c r="H46" s="1047"/>
      <c r="I46" s="1029"/>
      <c r="J46" s="945"/>
      <c r="K46" s="108"/>
    </row>
    <row r="47" spans="1:15">
      <c r="A47" s="110"/>
      <c r="B47" s="1026">
        <v>1.1020000000000001</v>
      </c>
      <c r="C47" s="1314" t="s">
        <v>6081</v>
      </c>
      <c r="D47" s="1085"/>
      <c r="E47" s="1085"/>
      <c r="F47" s="1085"/>
      <c r="G47" s="1085"/>
      <c r="H47" s="1047"/>
      <c r="I47" s="1029" t="s">
        <v>4362</v>
      </c>
      <c r="J47" s="945">
        <f>cc</f>
        <v>0.4296600000000001</v>
      </c>
      <c r="K47" s="108" t="str">
        <f>VLOOKUP(C47,合約!B:H,2,FALSE)</f>
        <v>M3</v>
      </c>
      <c r="L47" s="1245" t="e">
        <f>(J47)*(#REF!)</f>
        <v>#REF!</v>
      </c>
      <c r="M47" s="1246">
        <f>VLOOKUP(C47,合約!B:H,4,FALSE)</f>
        <v>3522.91</v>
      </c>
      <c r="N47" s="1246" t="e">
        <f>(L47)*(M47)</f>
        <v>#REF!</v>
      </c>
    </row>
    <row r="48" spans="1:15">
      <c r="A48" s="110"/>
      <c r="B48" s="1020"/>
      <c r="C48" s="1315" t="s">
        <v>6087</v>
      </c>
      <c r="D48" s="1047"/>
      <c r="E48" s="1047"/>
      <c r="F48" s="1047"/>
      <c r="G48" s="1047"/>
      <c r="H48" s="1047"/>
      <c r="I48" s="1029"/>
      <c r="J48" s="945"/>
      <c r="K48" s="108"/>
    </row>
    <row r="49" spans="1:14">
      <c r="A49" s="110"/>
      <c r="B49" s="1026">
        <v>1.137</v>
      </c>
      <c r="C49" s="1314" t="s">
        <v>6082</v>
      </c>
      <c r="D49" s="1085"/>
      <c r="E49" s="1085"/>
      <c r="F49" s="1085"/>
      <c r="G49" s="1085"/>
      <c r="H49" s="1047"/>
      <c r="I49" s="1029" t="s">
        <v>4362</v>
      </c>
      <c r="J49" s="945">
        <f>cc</f>
        <v>1</v>
      </c>
      <c r="K49" s="108" t="str">
        <f>VLOOKUP(C49,合約!B:H,2,FALSE)</f>
        <v>M</v>
      </c>
      <c r="L49" s="1245">
        <f>(J49)*(D44)</f>
        <v>0</v>
      </c>
      <c r="M49" s="1246">
        <f>VLOOKUP(C49,合約!B:H,4,FALSE)</f>
        <v>807.53</v>
      </c>
      <c r="N49" s="1246">
        <f>(L49)*(M49)</f>
        <v>0</v>
      </c>
    </row>
    <row r="50" spans="1:14">
      <c r="A50" s="110"/>
      <c r="B50" s="1020"/>
      <c r="C50" s="1315" t="s">
        <v>6083</v>
      </c>
      <c r="D50" s="1047"/>
      <c r="E50" s="1047"/>
      <c r="F50" s="1047"/>
      <c r="G50" s="1047"/>
      <c r="H50" s="1047"/>
      <c r="I50" s="1029"/>
      <c r="J50" s="945"/>
      <c r="K50" s="108"/>
    </row>
    <row r="51" spans="1:14">
      <c r="A51" s="110"/>
      <c r="B51" s="1026">
        <v>1.1559999999999999</v>
      </c>
      <c r="C51" s="1314" t="s">
        <v>6084</v>
      </c>
      <c r="D51" s="1085"/>
      <c r="E51" s="1085"/>
      <c r="F51" s="1085"/>
      <c r="G51" s="1085"/>
      <c r="H51" s="1047"/>
      <c r="I51" s="1029" t="s">
        <v>4362</v>
      </c>
      <c r="J51" s="945">
        <f>cc</f>
        <v>19.93</v>
      </c>
      <c r="K51" s="108" t="str">
        <f>VLOOKUP(C51,合約!B:H,2,FALSE)</f>
        <v>KG</v>
      </c>
      <c r="L51" s="1245">
        <f>(J51)*(D46)</f>
        <v>0</v>
      </c>
      <c r="M51" s="1246">
        <f>VLOOKUP(C51,合約!B:H,4,FALSE)</f>
        <v>34.9</v>
      </c>
      <c r="N51" s="1246">
        <f>(L51)*(M51)</f>
        <v>0</v>
      </c>
    </row>
    <row r="52" spans="1:14">
      <c r="A52" s="110"/>
      <c r="B52" s="1020"/>
      <c r="C52" s="1315" t="s">
        <v>6085</v>
      </c>
      <c r="D52" s="1047"/>
      <c r="E52" s="1047"/>
      <c r="F52" s="1047"/>
      <c r="G52" s="1047"/>
      <c r="H52" s="1047"/>
      <c r="I52" s="1029"/>
      <c r="J52" s="945"/>
      <c r="K52" s="108"/>
    </row>
    <row r="53" spans="1:14">
      <c r="A53" s="110"/>
      <c r="B53" s="1026" t="str">
        <f>VLOOKUP(C53,合約!B:J,9,FALSE)</f>
        <v>1.60</v>
      </c>
      <c r="C53" s="1314" t="s">
        <v>3971</v>
      </c>
      <c r="D53" s="1085"/>
      <c r="E53" s="1085"/>
      <c r="F53" s="1085"/>
      <c r="G53" s="1085"/>
      <c r="H53" s="1047"/>
      <c r="I53" s="1029" t="s">
        <v>4362</v>
      </c>
      <c r="J53" s="945">
        <f>cc</f>
        <v>0.44919999999999999</v>
      </c>
      <c r="K53" s="108" t="str">
        <f>VLOOKUP(C53,合約!B:H,2,FALSE)</f>
        <v>B.M3</v>
      </c>
      <c r="L53" s="1245">
        <f>(J53)*(D48)</f>
        <v>0</v>
      </c>
      <c r="M53" s="1246">
        <f>VLOOKUP(C53,合約!B:H,4,FALSE)</f>
        <v>1067.76</v>
      </c>
      <c r="N53" s="1246">
        <f>(L53)*(M53)</f>
        <v>0</v>
      </c>
    </row>
    <row r="54" spans="1:14">
      <c r="A54" s="110"/>
      <c r="B54" s="1020"/>
      <c r="C54" s="1315" t="s">
        <v>6047</v>
      </c>
      <c r="D54" s="1047"/>
      <c r="E54" s="1047"/>
      <c r="F54" s="1047"/>
      <c r="G54" s="1047"/>
      <c r="H54" s="1047"/>
      <c r="I54" s="1029"/>
      <c r="J54" s="945"/>
      <c r="K54" s="108"/>
    </row>
    <row r="55" spans="1:14">
      <c r="A55" s="110"/>
      <c r="B55" s="1026">
        <v>1.6</v>
      </c>
      <c r="C55" s="1314" t="s">
        <v>6078</v>
      </c>
      <c r="D55" s="1085"/>
      <c r="E55" s="1085"/>
      <c r="F55" s="1085"/>
      <c r="G55" s="1085"/>
      <c r="H55" s="1047"/>
      <c r="I55" s="1029" t="s">
        <v>4362</v>
      </c>
      <c r="J55" s="945">
        <f>cc</f>
        <v>0.44919999999999999</v>
      </c>
      <c r="K55" s="108" t="str">
        <f>VLOOKUP(C55,合約!B:H,2,FALSE)</f>
        <v>B.M3</v>
      </c>
      <c r="L55" s="1245">
        <f>(J55)*(D50)</f>
        <v>0</v>
      </c>
      <c r="M55" s="1246">
        <f>VLOOKUP(C55,合約!B:H,4,FALSE)</f>
        <v>1067.76</v>
      </c>
      <c r="N55" s="1246">
        <f>(L55)*(M55)</f>
        <v>0</v>
      </c>
    </row>
    <row r="56" spans="1:14">
      <c r="A56" s="110"/>
      <c r="B56" s="1020"/>
      <c r="C56" s="1315" t="s">
        <v>6086</v>
      </c>
      <c r="D56" s="1047"/>
      <c r="E56" s="1047"/>
      <c r="F56" s="1047"/>
      <c r="G56" s="1047"/>
      <c r="H56" s="1047"/>
      <c r="I56" s="1029"/>
      <c r="J56" s="945"/>
      <c r="K56" s="108"/>
    </row>
    <row r="57" spans="1:14">
      <c r="A57" s="110"/>
      <c r="B57" s="1026">
        <v>1.99</v>
      </c>
      <c r="C57" s="1314" t="s">
        <v>6079</v>
      </c>
      <c r="D57" s="1085"/>
      <c r="E57" s="1085"/>
      <c r="F57" s="1085"/>
      <c r="G57" s="1085"/>
      <c r="H57" s="1047"/>
      <c r="I57" s="1029" t="s">
        <v>4362</v>
      </c>
      <c r="J57" s="945">
        <f>cc</f>
        <v>4.0000000000000008E-2</v>
      </c>
      <c r="K57" s="108" t="str">
        <f>VLOOKUP(C57,合約!B:H,2,FALSE)</f>
        <v>M3</v>
      </c>
      <c r="L57" s="1245">
        <f>(J57)*(D52)</f>
        <v>0</v>
      </c>
      <c r="M57" s="1246">
        <f>VLOOKUP(C57,合約!B:H,4,FALSE)</f>
        <v>3327.95</v>
      </c>
      <c r="N57" s="1246">
        <f>(L57)*(M57)</f>
        <v>0</v>
      </c>
    </row>
    <row r="58" spans="1:14">
      <c r="A58" s="110"/>
      <c r="B58" s="1020"/>
      <c r="C58" s="1315" t="s">
        <v>6080</v>
      </c>
      <c r="D58" s="1047"/>
      <c r="E58" s="1047"/>
      <c r="F58" s="1047"/>
      <c r="G58" s="1047"/>
      <c r="H58" s="1047"/>
      <c r="I58" s="1029"/>
      <c r="J58" s="945"/>
      <c r="K58" s="108"/>
    </row>
    <row r="59" spans="1:14">
      <c r="A59" s="110"/>
      <c r="B59" s="1026">
        <v>1.1020000000000001</v>
      </c>
      <c r="C59" s="1314" t="s">
        <v>6081</v>
      </c>
      <c r="D59" s="1085"/>
      <c r="E59" s="1085"/>
      <c r="F59" s="1085"/>
      <c r="G59" s="1085"/>
      <c r="H59" s="1047"/>
      <c r="I59" s="1029" t="s">
        <v>4362</v>
      </c>
      <c r="J59" s="945">
        <f>cc</f>
        <v>0.4296600000000001</v>
      </c>
      <c r="K59" s="108" t="str">
        <f>VLOOKUP(C59,合約!B:H,2,FALSE)</f>
        <v>M3</v>
      </c>
      <c r="L59" s="1245">
        <f>(J59)*(D54)</f>
        <v>0</v>
      </c>
      <c r="M59" s="1246">
        <f>VLOOKUP(C59,合約!B:H,4,FALSE)</f>
        <v>3522.91</v>
      </c>
      <c r="N59" s="1246">
        <f>(L59)*(M59)</f>
        <v>0</v>
      </c>
    </row>
    <row r="60" spans="1:14">
      <c r="A60" s="110"/>
      <c r="B60" s="1020"/>
      <c r="C60" s="1315" t="s">
        <v>6087</v>
      </c>
      <c r="D60" s="1047"/>
      <c r="E60" s="1047"/>
      <c r="F60" s="1047"/>
      <c r="G60" s="1047"/>
      <c r="H60" s="1047"/>
      <c r="I60" s="1029"/>
      <c r="J60" s="945"/>
      <c r="K60" s="108"/>
    </row>
    <row r="61" spans="1:14">
      <c r="A61" s="110"/>
      <c r="B61" s="1026">
        <v>1.137</v>
      </c>
      <c r="C61" s="1314" t="s">
        <v>6082</v>
      </c>
      <c r="D61" s="1085"/>
      <c r="E61" s="1085"/>
      <c r="F61" s="1085"/>
      <c r="G61" s="1085"/>
      <c r="H61" s="1047"/>
      <c r="I61" s="1029" t="s">
        <v>4362</v>
      </c>
      <c r="J61" s="945">
        <f>cc</f>
        <v>1</v>
      </c>
      <c r="K61" s="108" t="str">
        <f>VLOOKUP(C61,合約!B:H,2,FALSE)</f>
        <v>M</v>
      </c>
      <c r="L61" s="1245">
        <f>(J61)*(D56)</f>
        <v>0</v>
      </c>
      <c r="M61" s="1246">
        <f>VLOOKUP(C61,合約!B:H,4,FALSE)</f>
        <v>807.53</v>
      </c>
      <c r="N61" s="1246">
        <f>(L61)*(M61)</f>
        <v>0</v>
      </c>
    </row>
    <row r="62" spans="1:14">
      <c r="A62" s="110"/>
      <c r="B62" s="1020"/>
      <c r="C62" s="1315" t="s">
        <v>6083</v>
      </c>
      <c r="D62" s="1047"/>
      <c r="E62" s="1047"/>
      <c r="F62" s="1047"/>
      <c r="G62" s="1047"/>
      <c r="H62" s="1047"/>
      <c r="I62" s="1029"/>
      <c r="J62" s="945"/>
      <c r="K62" s="108"/>
    </row>
    <row r="63" spans="1:14">
      <c r="A63" s="110"/>
      <c r="B63" s="1026">
        <v>1.1559999999999999</v>
      </c>
      <c r="C63" s="1314" t="s">
        <v>6084</v>
      </c>
      <c r="D63" s="1085"/>
      <c r="E63" s="1085"/>
      <c r="F63" s="1085"/>
      <c r="G63" s="1085"/>
      <c r="H63" s="1047"/>
      <c r="I63" s="1029" t="s">
        <v>4362</v>
      </c>
      <c r="J63" s="945">
        <f>cc</f>
        <v>19.93</v>
      </c>
      <c r="K63" s="108" t="str">
        <f>VLOOKUP(C63,合約!B:H,2,FALSE)</f>
        <v>KG</v>
      </c>
      <c r="L63" s="1245">
        <f>(J63)*(D58)</f>
        <v>0</v>
      </c>
      <c r="M63" s="1246">
        <f>VLOOKUP(C63,合約!B:H,4,FALSE)</f>
        <v>34.9</v>
      </c>
      <c r="N63" s="1246">
        <f>(L63)*(M63)</f>
        <v>0</v>
      </c>
    </row>
    <row r="64" spans="1:14">
      <c r="A64" s="110"/>
      <c r="B64" s="1020"/>
      <c r="C64" s="1315" t="s">
        <v>6085</v>
      </c>
      <c r="D64" s="1047"/>
      <c r="E64" s="1047"/>
      <c r="F64" s="1047"/>
      <c r="G64" s="1047"/>
      <c r="H64" s="1047"/>
      <c r="I64" s="1029"/>
      <c r="J64" s="945"/>
      <c r="K64" s="108"/>
    </row>
    <row r="65" spans="1:14">
      <c r="A65" s="110"/>
      <c r="B65" s="1026" t="str">
        <f>VLOOKUP(C65,合約!B:J,9,FALSE)</f>
        <v>1.60</v>
      </c>
      <c r="C65" s="1314" t="s">
        <v>3971</v>
      </c>
      <c r="D65" s="1085"/>
      <c r="E65" s="1085"/>
      <c r="F65" s="1085"/>
      <c r="G65" s="1085"/>
      <c r="H65" s="1047"/>
      <c r="I65" s="1029" t="s">
        <v>4362</v>
      </c>
      <c r="J65" s="945">
        <f>cc</f>
        <v>0.44919999999999999</v>
      </c>
      <c r="K65" s="108" t="str">
        <f>VLOOKUP(C65,合約!B:H,2,FALSE)</f>
        <v>B.M3</v>
      </c>
      <c r="L65" s="1245">
        <f>(J65)*(D60)</f>
        <v>0</v>
      </c>
      <c r="M65" s="1246">
        <f>VLOOKUP(C65,合約!B:H,4,FALSE)</f>
        <v>1067.76</v>
      </c>
      <c r="N65" s="1246">
        <f>(L65)*(M65)</f>
        <v>0</v>
      </c>
    </row>
    <row r="66" spans="1:14">
      <c r="A66" s="110"/>
      <c r="B66" s="1020"/>
      <c r="C66" s="1315" t="s">
        <v>6047</v>
      </c>
      <c r="D66" s="1047"/>
      <c r="E66" s="1047"/>
      <c r="F66" s="1047"/>
      <c r="G66" s="1047"/>
      <c r="H66" s="1047"/>
      <c r="I66" s="1029"/>
      <c r="J66" s="945"/>
      <c r="K66" s="108"/>
    </row>
    <row r="67" spans="1:14">
      <c r="A67" s="110"/>
      <c r="B67" s="1026">
        <v>1.6</v>
      </c>
      <c r="C67" s="1314" t="s">
        <v>6078</v>
      </c>
      <c r="D67" s="1085"/>
      <c r="E67" s="1085"/>
      <c r="F67" s="1085"/>
      <c r="G67" s="1085"/>
      <c r="H67" s="1047"/>
      <c r="I67" s="1029" t="s">
        <v>4362</v>
      </c>
      <c r="J67" s="945">
        <f>cc</f>
        <v>0.44919999999999999</v>
      </c>
      <c r="K67" s="108" t="str">
        <f>VLOOKUP(C67,合約!B:H,2,FALSE)</f>
        <v>B.M3</v>
      </c>
      <c r="L67" s="1245">
        <f>(J67)*(D62)</f>
        <v>0</v>
      </c>
      <c r="M67" s="1246">
        <f>VLOOKUP(C67,合約!B:H,4,FALSE)</f>
        <v>1067.76</v>
      </c>
      <c r="N67" s="1246">
        <f>(L67)*(M67)</f>
        <v>0</v>
      </c>
    </row>
    <row r="68" spans="1:14">
      <c r="A68" s="110"/>
      <c r="B68" s="1020"/>
      <c r="C68" s="1315" t="s">
        <v>6086</v>
      </c>
      <c r="D68" s="1047"/>
      <c r="E68" s="1047"/>
      <c r="F68" s="1047"/>
      <c r="G68" s="1047"/>
      <c r="H68" s="1047"/>
      <c r="I68" s="1029"/>
      <c r="J68" s="945"/>
      <c r="K68" s="108"/>
    </row>
    <row r="69" spans="1:14">
      <c r="A69" s="110"/>
      <c r="B69" s="1026">
        <v>1.99</v>
      </c>
      <c r="C69" s="1314" t="s">
        <v>6079</v>
      </c>
      <c r="D69" s="1085"/>
      <c r="E69" s="1085"/>
      <c r="F69" s="1085"/>
      <c r="G69" s="1085"/>
      <c r="H69" s="1047"/>
      <c r="I69" s="1029" t="s">
        <v>4362</v>
      </c>
      <c r="J69" s="945">
        <f>cc</f>
        <v>4.0000000000000008E-2</v>
      </c>
      <c r="K69" s="108" t="str">
        <f>VLOOKUP(C69,合約!B:H,2,FALSE)</f>
        <v>M3</v>
      </c>
      <c r="L69" s="1245">
        <f>(J69)*(D64)</f>
        <v>0</v>
      </c>
      <c r="M69" s="1246">
        <f>VLOOKUP(C69,合約!B:H,4,FALSE)</f>
        <v>3327.95</v>
      </c>
      <c r="N69" s="1246">
        <f>(L69)*(M69)</f>
        <v>0</v>
      </c>
    </row>
    <row r="70" spans="1:14">
      <c r="A70" s="110"/>
      <c r="B70" s="1020"/>
      <c r="C70" s="1315" t="s">
        <v>6080</v>
      </c>
      <c r="D70" s="1047"/>
      <c r="E70" s="1047"/>
      <c r="F70" s="1047"/>
      <c r="G70" s="1047"/>
      <c r="H70" s="1047"/>
      <c r="I70" s="1029"/>
      <c r="J70" s="945"/>
      <c r="K70" s="108"/>
    </row>
    <row r="71" spans="1:14">
      <c r="A71" s="110"/>
      <c r="B71" s="1026">
        <v>1.1020000000000001</v>
      </c>
      <c r="C71" s="1314" t="s">
        <v>6081</v>
      </c>
      <c r="D71" s="1085"/>
      <c r="E71" s="1085"/>
      <c r="F71" s="1085"/>
      <c r="G71" s="1085"/>
      <c r="H71" s="1047"/>
      <c r="I71" s="1029" t="s">
        <v>4362</v>
      </c>
      <c r="J71" s="945">
        <f>cc</f>
        <v>0.4296600000000001</v>
      </c>
      <c r="K71" s="108" t="str">
        <f>VLOOKUP(C71,合約!B:H,2,FALSE)</f>
        <v>M3</v>
      </c>
      <c r="L71" s="1245">
        <f>(J71)*(D66)</f>
        <v>0</v>
      </c>
      <c r="M71" s="1246">
        <f>VLOOKUP(C71,合約!B:H,4,FALSE)</f>
        <v>3522.91</v>
      </c>
      <c r="N71" s="1246">
        <f>(L71)*(M71)</f>
        <v>0</v>
      </c>
    </row>
    <row r="72" spans="1:14">
      <c r="A72" s="110"/>
      <c r="B72" s="1020"/>
      <c r="C72" s="1315" t="s">
        <v>6087</v>
      </c>
      <c r="D72" s="1047"/>
      <c r="E72" s="1047"/>
      <c r="F72" s="1047"/>
      <c r="G72" s="1047"/>
      <c r="H72" s="1047"/>
      <c r="I72" s="1029"/>
      <c r="J72" s="945"/>
      <c r="K72" s="108"/>
    </row>
    <row r="73" spans="1:14">
      <c r="A73" s="110"/>
      <c r="B73" s="1026">
        <v>1.137</v>
      </c>
      <c r="C73" s="1314" t="s">
        <v>6082</v>
      </c>
      <c r="D73" s="1085"/>
      <c r="E73" s="1085"/>
      <c r="F73" s="1085"/>
      <c r="G73" s="1085"/>
      <c r="H73" s="1047"/>
      <c r="I73" s="1029" t="s">
        <v>4362</v>
      </c>
      <c r="J73" s="945">
        <f>cc</f>
        <v>1</v>
      </c>
      <c r="K73" s="108" t="str">
        <f>VLOOKUP(C73,合約!B:H,2,FALSE)</f>
        <v>M</v>
      </c>
      <c r="L73" s="1245">
        <f>(J73)*(D68)</f>
        <v>0</v>
      </c>
      <c r="M73" s="1246">
        <f>VLOOKUP(C73,合約!B:H,4,FALSE)</f>
        <v>807.53</v>
      </c>
      <c r="N73" s="1246">
        <f>(L73)*(M73)</f>
        <v>0</v>
      </c>
    </row>
    <row r="74" spans="1:14">
      <c r="A74" s="110"/>
      <c r="B74" s="1020"/>
      <c r="C74" s="1315" t="s">
        <v>6083</v>
      </c>
      <c r="D74" s="1047"/>
      <c r="E74" s="1047"/>
      <c r="F74" s="1047"/>
      <c r="G74" s="1047"/>
      <c r="H74" s="1047"/>
      <c r="I74" s="1029"/>
      <c r="J74" s="945"/>
      <c r="K74" s="108"/>
    </row>
    <row r="75" spans="1:14">
      <c r="A75" s="110"/>
      <c r="B75" s="1026">
        <v>1.1559999999999999</v>
      </c>
      <c r="C75" s="1314" t="s">
        <v>6084</v>
      </c>
      <c r="D75" s="1085"/>
      <c r="E75" s="1085"/>
      <c r="F75" s="1085"/>
      <c r="G75" s="1085"/>
      <c r="H75" s="1047"/>
      <c r="I75" s="1029" t="s">
        <v>4362</v>
      </c>
      <c r="J75" s="945">
        <f>cc</f>
        <v>19.93</v>
      </c>
      <c r="K75" s="108" t="str">
        <f>VLOOKUP(C75,合約!B:H,2,FALSE)</f>
        <v>KG</v>
      </c>
      <c r="L75" s="1245">
        <f>(J75)*(D70)</f>
        <v>0</v>
      </c>
      <c r="M75" s="1246">
        <f>VLOOKUP(C75,合約!B:H,4,FALSE)</f>
        <v>34.9</v>
      </c>
      <c r="N75" s="1246">
        <f>(L75)*(M75)</f>
        <v>0</v>
      </c>
    </row>
    <row r="76" spans="1:14">
      <c r="A76" s="110"/>
      <c r="B76" s="1020"/>
      <c r="C76" s="1315" t="s">
        <v>6085</v>
      </c>
      <c r="D76" s="1047"/>
      <c r="E76" s="1047"/>
      <c r="F76" s="1047"/>
      <c r="G76" s="1047"/>
      <c r="H76" s="1047"/>
      <c r="I76" s="1029"/>
      <c r="J76" s="945"/>
      <c r="K76" s="108"/>
    </row>
    <row r="77" spans="1:14">
      <c r="A77" s="110"/>
      <c r="B77" s="1026" t="str">
        <f>VLOOKUP(C77,合約!B:J,9,FALSE)</f>
        <v>1.60</v>
      </c>
      <c r="C77" s="1314" t="s">
        <v>3971</v>
      </c>
      <c r="D77" s="1085"/>
      <c r="E77" s="1085"/>
      <c r="F77" s="1085"/>
      <c r="G77" s="1085"/>
      <c r="H77" s="1047"/>
      <c r="I77" s="1029" t="s">
        <v>4362</v>
      </c>
      <c r="J77" s="945">
        <f>cc</f>
        <v>0.44919999999999999</v>
      </c>
      <c r="K77" s="108" t="str">
        <f>VLOOKUP(C77,合約!B:H,2,FALSE)</f>
        <v>B.M3</v>
      </c>
      <c r="L77" s="1245">
        <f>(J77)*(D72)</f>
        <v>0</v>
      </c>
      <c r="M77" s="1246">
        <f>VLOOKUP(C77,合約!B:H,4,FALSE)</f>
        <v>1067.76</v>
      </c>
      <c r="N77" s="1246">
        <f>(L77)*(M77)</f>
        <v>0</v>
      </c>
    </row>
    <row r="78" spans="1:14">
      <c r="A78" s="110"/>
      <c r="B78" s="1020"/>
      <c r="C78" s="1315" t="s">
        <v>6047</v>
      </c>
      <c r="D78" s="1047"/>
      <c r="E78" s="1047"/>
      <c r="F78" s="1047"/>
      <c r="G78" s="1047"/>
      <c r="H78" s="1047"/>
      <c r="I78" s="1029"/>
      <c r="J78" s="945"/>
      <c r="K78" s="108"/>
    </row>
    <row r="79" spans="1:14">
      <c r="A79" s="110"/>
      <c r="B79" s="1026">
        <v>1.6</v>
      </c>
      <c r="C79" s="1314" t="s">
        <v>6078</v>
      </c>
      <c r="D79" s="1085"/>
      <c r="E79" s="1085"/>
      <c r="F79" s="1085"/>
      <c r="G79" s="1085"/>
      <c r="H79" s="1047"/>
      <c r="I79" s="1029" t="s">
        <v>4362</v>
      </c>
      <c r="J79" s="945">
        <f>cc</f>
        <v>0.44919999999999999</v>
      </c>
      <c r="K79" s="108" t="str">
        <f>VLOOKUP(C79,合約!B:H,2,FALSE)</f>
        <v>B.M3</v>
      </c>
      <c r="L79" s="1245">
        <f>(J79)*(D74)</f>
        <v>0</v>
      </c>
      <c r="M79" s="1246">
        <f>VLOOKUP(C79,合約!B:H,4,FALSE)</f>
        <v>1067.76</v>
      </c>
      <c r="N79" s="1246">
        <f>(L79)*(M79)</f>
        <v>0</v>
      </c>
    </row>
    <row r="80" spans="1:14">
      <c r="A80" s="110"/>
      <c r="B80" s="1020"/>
      <c r="C80" s="1315" t="s">
        <v>6086</v>
      </c>
      <c r="D80" s="1047"/>
      <c r="E80" s="1047"/>
      <c r="F80" s="1047"/>
      <c r="G80" s="1047"/>
      <c r="H80" s="1047"/>
      <c r="I80" s="1029"/>
      <c r="J80" s="945"/>
      <c r="K80" s="108"/>
    </row>
    <row r="81" spans="1:14">
      <c r="A81" s="110"/>
      <c r="B81" s="1026">
        <v>1.99</v>
      </c>
      <c r="C81" s="1314" t="s">
        <v>6079</v>
      </c>
      <c r="D81" s="1085"/>
      <c r="E81" s="1085"/>
      <c r="F81" s="1085"/>
      <c r="G81" s="1085"/>
      <c r="H81" s="1047"/>
      <c r="I81" s="1029" t="s">
        <v>4362</v>
      </c>
      <c r="J81" s="945">
        <f>cc</f>
        <v>4.0000000000000008E-2</v>
      </c>
      <c r="K81" s="108" t="str">
        <f>VLOOKUP(C81,合約!B:H,2,FALSE)</f>
        <v>M3</v>
      </c>
      <c r="L81" s="1245">
        <f>(J81)*(D76)</f>
        <v>0</v>
      </c>
      <c r="M81" s="1246">
        <f>VLOOKUP(C81,合約!B:H,4,FALSE)</f>
        <v>3327.95</v>
      </c>
      <c r="N81" s="1246">
        <f>(L81)*(M81)</f>
        <v>0</v>
      </c>
    </row>
    <row r="82" spans="1:14">
      <c r="A82" s="110"/>
      <c r="B82" s="1020"/>
      <c r="C82" s="1315" t="s">
        <v>6080</v>
      </c>
      <c r="D82" s="1047"/>
      <c r="E82" s="1047"/>
      <c r="F82" s="1047"/>
      <c r="G82" s="1047"/>
      <c r="H82" s="1047"/>
      <c r="I82" s="1029"/>
      <c r="J82" s="945"/>
      <c r="K82" s="108"/>
    </row>
    <row r="83" spans="1:14">
      <c r="A83" s="110"/>
      <c r="B83" s="1026">
        <v>1.1020000000000001</v>
      </c>
      <c r="C83" s="1314" t="s">
        <v>6081</v>
      </c>
      <c r="D83" s="1085"/>
      <c r="E83" s="1085"/>
      <c r="F83" s="1085"/>
      <c r="G83" s="1085"/>
      <c r="H83" s="1047"/>
      <c r="I83" s="1029" t="s">
        <v>4362</v>
      </c>
      <c r="J83" s="945">
        <f>cc</f>
        <v>0.4296600000000001</v>
      </c>
      <c r="K83" s="108" t="str">
        <f>VLOOKUP(C83,合約!B:H,2,FALSE)</f>
        <v>M3</v>
      </c>
      <c r="L83" s="1245">
        <f>(J83)*(D78)</f>
        <v>0</v>
      </c>
      <c r="M83" s="1246">
        <f>VLOOKUP(C83,合約!B:H,4,FALSE)</f>
        <v>3522.91</v>
      </c>
      <c r="N83" s="1246">
        <f>(L83)*(M83)</f>
        <v>0</v>
      </c>
    </row>
    <row r="84" spans="1:14">
      <c r="A84" s="110"/>
      <c r="B84" s="1020"/>
      <c r="C84" s="1315" t="s">
        <v>6087</v>
      </c>
      <c r="D84" s="1047"/>
      <c r="E84" s="1047"/>
      <c r="F84" s="1047"/>
      <c r="G84" s="1047"/>
      <c r="H84" s="1047"/>
      <c r="I84" s="1029"/>
      <c r="J84" s="945"/>
      <c r="K84" s="108"/>
    </row>
    <row r="85" spans="1:14">
      <c r="A85" s="110"/>
      <c r="B85" s="1026">
        <v>1.137</v>
      </c>
      <c r="C85" s="1314" t="s">
        <v>6082</v>
      </c>
      <c r="D85" s="1085"/>
      <c r="E85" s="1085"/>
      <c r="F85" s="1085"/>
      <c r="G85" s="1085"/>
      <c r="H85" s="1047"/>
      <c r="I85" s="1029" t="s">
        <v>4362</v>
      </c>
      <c r="J85" s="945">
        <f>cc</f>
        <v>1</v>
      </c>
      <c r="K85" s="108" t="str">
        <f>VLOOKUP(C85,合約!B:H,2,FALSE)</f>
        <v>M</v>
      </c>
      <c r="L85" s="1245">
        <f>(J85)*(D80)</f>
        <v>0</v>
      </c>
      <c r="M85" s="1246">
        <f>VLOOKUP(C85,合約!B:H,4,FALSE)</f>
        <v>807.53</v>
      </c>
      <c r="N85" s="1246">
        <f>(L85)*(M85)</f>
        <v>0</v>
      </c>
    </row>
    <row r="86" spans="1:14">
      <c r="A86" s="110"/>
      <c r="B86" s="1020"/>
      <c r="C86" s="1315" t="s">
        <v>6083</v>
      </c>
      <c r="D86" s="1047"/>
      <c r="E86" s="1047"/>
      <c r="F86" s="1047"/>
      <c r="G86" s="1047"/>
      <c r="H86" s="1047"/>
      <c r="I86" s="1029"/>
      <c r="J86" s="945"/>
      <c r="K86" s="108"/>
    </row>
    <row r="87" spans="1:14">
      <c r="A87" s="110"/>
      <c r="B87" s="1026">
        <v>1.1559999999999999</v>
      </c>
      <c r="C87" s="1314" t="s">
        <v>6084</v>
      </c>
      <c r="D87" s="1085"/>
      <c r="E87" s="1085"/>
      <c r="F87" s="1085"/>
      <c r="G87" s="1085"/>
      <c r="H87" s="1047"/>
      <c r="I87" s="1029" t="s">
        <v>4362</v>
      </c>
      <c r="J87" s="945">
        <f>cc</f>
        <v>19.93</v>
      </c>
      <c r="K87" s="108" t="str">
        <f>VLOOKUP(C87,合約!B:H,2,FALSE)</f>
        <v>KG</v>
      </c>
      <c r="L87" s="1245">
        <f>(J87)*(D82)</f>
        <v>0</v>
      </c>
      <c r="M87" s="1246">
        <f>VLOOKUP(C87,合約!B:H,4,FALSE)</f>
        <v>34.9</v>
      </c>
      <c r="N87" s="1246">
        <f>(L87)*(M87)</f>
        <v>0</v>
      </c>
    </row>
    <row r="88" spans="1:14">
      <c r="A88" s="110"/>
      <c r="B88" s="1020"/>
      <c r="C88" s="1315" t="s">
        <v>6085</v>
      </c>
      <c r="D88" s="1047"/>
      <c r="E88" s="1047"/>
      <c r="F88" s="1047"/>
      <c r="G88" s="1047"/>
      <c r="H88" s="1047"/>
      <c r="I88" s="1029"/>
      <c r="J88" s="945"/>
      <c r="K88" s="108"/>
    </row>
    <row r="89" spans="1:14">
      <c r="A89" s="110"/>
      <c r="B89" s="1026" t="str">
        <f>VLOOKUP(C89,合約!B:J,9,FALSE)</f>
        <v>1.60</v>
      </c>
      <c r="C89" s="1314" t="s">
        <v>3971</v>
      </c>
      <c r="D89" s="1085"/>
      <c r="E89" s="1085"/>
      <c r="F89" s="1085"/>
      <c r="G89" s="1085"/>
      <c r="H89" s="1047"/>
      <c r="I89" s="1029" t="s">
        <v>4362</v>
      </c>
      <c r="J89" s="945">
        <f>cc</f>
        <v>0.44919999999999999</v>
      </c>
      <c r="K89" s="108" t="str">
        <f>VLOOKUP(C89,合約!B:H,2,FALSE)</f>
        <v>B.M3</v>
      </c>
      <c r="L89" s="1245">
        <f>(J89)*(D84)</f>
        <v>0</v>
      </c>
      <c r="M89" s="1246">
        <f>VLOOKUP(C89,合約!B:H,4,FALSE)</f>
        <v>1067.76</v>
      </c>
      <c r="N89" s="1246">
        <f>(L89)*(M89)</f>
        <v>0</v>
      </c>
    </row>
    <row r="90" spans="1:14">
      <c r="A90" s="110"/>
      <c r="B90" s="1020"/>
      <c r="C90" s="1315" t="s">
        <v>6047</v>
      </c>
      <c r="D90" s="1047"/>
      <c r="E90" s="1047"/>
      <c r="F90" s="1047"/>
      <c r="G90" s="1047"/>
      <c r="H90" s="1047"/>
      <c r="I90" s="1029"/>
      <c r="J90" s="945"/>
      <c r="K90" s="108"/>
    </row>
    <row r="91" spans="1:14">
      <c r="A91" s="110"/>
      <c r="B91" s="1026">
        <v>1.99</v>
      </c>
      <c r="C91" s="1314" t="s">
        <v>6079</v>
      </c>
      <c r="D91" s="1085"/>
      <c r="E91" s="1085"/>
      <c r="F91" s="1085"/>
      <c r="G91" s="1085"/>
      <c r="H91" s="1047"/>
      <c r="I91" s="1029" t="s">
        <v>4362</v>
      </c>
      <c r="J91" s="945">
        <f>cc</f>
        <v>4.0000000000000008E-2</v>
      </c>
      <c r="K91" s="108" t="str">
        <f>VLOOKUP(C91,合約!B:H,2,FALSE)</f>
        <v>M3</v>
      </c>
      <c r="L91" s="1245">
        <f>(J91)*(D86)</f>
        <v>0</v>
      </c>
      <c r="M91" s="1246">
        <f>VLOOKUP(C91,合約!B:H,4,FALSE)</f>
        <v>3327.95</v>
      </c>
      <c r="N91" s="1246">
        <f>(L91)*(M91)</f>
        <v>0</v>
      </c>
    </row>
    <row r="92" spans="1:14">
      <c r="A92" s="110"/>
      <c r="B92" s="1020"/>
      <c r="C92" s="1315" t="s">
        <v>6080</v>
      </c>
      <c r="D92" s="1047"/>
      <c r="E92" s="1047"/>
      <c r="F92" s="1047"/>
      <c r="G92" s="1047"/>
      <c r="H92" s="1047"/>
      <c r="I92" s="1029"/>
      <c r="J92" s="945"/>
      <c r="K92" s="108"/>
    </row>
    <row r="93" spans="1:14">
      <c r="A93" s="110"/>
      <c r="B93" s="1026">
        <v>1.1020000000000001</v>
      </c>
      <c r="C93" s="1314" t="s">
        <v>6081</v>
      </c>
      <c r="D93" s="1085"/>
      <c r="E93" s="1085"/>
      <c r="F93" s="1085"/>
      <c r="G93" s="1085"/>
      <c r="H93" s="1047"/>
      <c r="I93" s="1029" t="s">
        <v>4362</v>
      </c>
      <c r="J93" s="945">
        <f>cc</f>
        <v>0.4296600000000001</v>
      </c>
      <c r="K93" s="108" t="str">
        <f>VLOOKUP(C93,合約!B:H,2,FALSE)</f>
        <v>M3</v>
      </c>
      <c r="L93" s="1245">
        <f>(J93)*(D88)</f>
        <v>0</v>
      </c>
      <c r="M93" s="1246">
        <f>VLOOKUP(C93,合約!B:H,4,FALSE)</f>
        <v>3522.91</v>
      </c>
      <c r="N93" s="1246">
        <f>(L93)*(M93)</f>
        <v>0</v>
      </c>
    </row>
    <row r="94" spans="1:14">
      <c r="A94" s="110"/>
      <c r="B94" s="1020"/>
      <c r="C94" s="1315" t="s">
        <v>6087</v>
      </c>
      <c r="D94" s="1047"/>
      <c r="E94" s="1047"/>
      <c r="F94" s="1047"/>
      <c r="G94" s="1047"/>
      <c r="H94" s="1047"/>
      <c r="I94" s="1029"/>
      <c r="J94" s="945"/>
      <c r="K94" s="108"/>
    </row>
    <row r="95" spans="1:14">
      <c r="A95" s="110"/>
      <c r="B95" s="1026">
        <v>1.137</v>
      </c>
      <c r="C95" s="1314" t="s">
        <v>6082</v>
      </c>
      <c r="D95" s="1085"/>
      <c r="E95" s="1085"/>
      <c r="F95" s="1085"/>
      <c r="G95" s="1085"/>
      <c r="H95" s="1047"/>
      <c r="I95" s="1029" t="s">
        <v>4362</v>
      </c>
      <c r="J95" s="945">
        <f>cc</f>
        <v>1</v>
      </c>
      <c r="K95" s="108" t="str">
        <f>VLOOKUP(C95,合約!B:H,2,FALSE)</f>
        <v>M</v>
      </c>
      <c r="L95" s="1245">
        <f>(J95)*(D90)</f>
        <v>0</v>
      </c>
      <c r="M95" s="1246">
        <f>VLOOKUP(C95,合約!B:H,4,FALSE)</f>
        <v>807.53</v>
      </c>
      <c r="N95" s="1246">
        <f>(L95)*(M95)</f>
        <v>0</v>
      </c>
    </row>
    <row r="96" spans="1:14">
      <c r="A96" s="110"/>
      <c r="B96" s="1020"/>
      <c r="C96" s="1315" t="s">
        <v>6083</v>
      </c>
      <c r="D96" s="1047"/>
      <c r="E96" s="1047"/>
      <c r="F96" s="1047"/>
      <c r="G96" s="1047"/>
      <c r="H96" s="1047"/>
      <c r="I96" s="1029"/>
      <c r="J96" s="945"/>
      <c r="K96" s="108"/>
    </row>
    <row r="97" spans="1:17">
      <c r="A97" s="110"/>
      <c r="B97" s="1026">
        <v>1.1559999999999999</v>
      </c>
      <c r="C97" s="1314" t="s">
        <v>6084</v>
      </c>
      <c r="D97" s="1085"/>
      <c r="E97" s="1085"/>
      <c r="F97" s="1085"/>
      <c r="G97" s="1085"/>
      <c r="H97" s="1047"/>
      <c r="I97" s="1029" t="s">
        <v>4362</v>
      </c>
      <c r="J97" s="945">
        <f>cc</f>
        <v>19.93</v>
      </c>
      <c r="K97" s="108" t="str">
        <f>VLOOKUP(C97,合約!B:H,2,FALSE)</f>
        <v>KG</v>
      </c>
      <c r="L97" s="1245">
        <f>(J97)*(D92)</f>
        <v>0</v>
      </c>
      <c r="M97" s="1246">
        <f>VLOOKUP(C97,合約!B:H,4,FALSE)</f>
        <v>34.9</v>
      </c>
      <c r="N97" s="1246">
        <f>(L97)*(M97)</f>
        <v>0</v>
      </c>
    </row>
    <row r="98" spans="1:17">
      <c r="A98" s="110"/>
      <c r="B98" s="1020"/>
      <c r="C98" s="1315" t="s">
        <v>6085</v>
      </c>
      <c r="D98" s="1047"/>
      <c r="E98" s="1047"/>
      <c r="F98" s="1047"/>
      <c r="G98" s="1047"/>
      <c r="H98" s="1047"/>
      <c r="I98" s="1029"/>
      <c r="J98" s="945"/>
      <c r="K98" s="108"/>
    </row>
    <row r="99" spans="1:17">
      <c r="A99" s="110"/>
      <c r="B99" s="1026" t="str">
        <f>VLOOKUP(C99,合約!B:J,9,FALSE)</f>
        <v>1.60</v>
      </c>
      <c r="C99" s="1314" t="s">
        <v>3971</v>
      </c>
      <c r="D99" s="1085"/>
      <c r="E99" s="1085"/>
      <c r="F99" s="1085"/>
      <c r="G99" s="1085"/>
      <c r="H99" s="1047"/>
      <c r="I99" s="1029" t="s">
        <v>4362</v>
      </c>
      <c r="J99" s="945">
        <f>cc</f>
        <v>0.44919999999999999</v>
      </c>
      <c r="K99" s="108" t="str">
        <f>VLOOKUP(C99,合約!B:H,2,FALSE)</f>
        <v>B.M3</v>
      </c>
      <c r="L99" s="1245">
        <f>(J99)*(D94)</f>
        <v>0</v>
      </c>
      <c r="M99" s="1246">
        <f>VLOOKUP(C99,合約!B:H,4,FALSE)</f>
        <v>1067.76</v>
      </c>
      <c r="N99" s="1246">
        <f>(L99)*(M99)</f>
        <v>0</v>
      </c>
    </row>
    <row r="100" spans="1:17">
      <c r="A100" s="110"/>
      <c r="B100" s="1020"/>
      <c r="C100" s="1315" t="s">
        <v>6047</v>
      </c>
      <c r="D100" s="1047"/>
      <c r="E100" s="1047"/>
      <c r="F100" s="1047"/>
      <c r="G100" s="1047"/>
      <c r="H100" s="1047"/>
      <c r="I100" s="1029"/>
      <c r="J100" s="945"/>
      <c r="K100" s="108"/>
    </row>
    <row r="101" spans="1:17">
      <c r="A101" s="110"/>
      <c r="B101" s="1026">
        <v>1.99</v>
      </c>
      <c r="C101" s="1314" t="s">
        <v>6079</v>
      </c>
      <c r="D101" s="1085"/>
      <c r="E101" s="1085"/>
      <c r="F101" s="1085"/>
      <c r="G101" s="1085"/>
      <c r="H101" s="1047"/>
      <c r="I101" s="1029" t="s">
        <v>4362</v>
      </c>
      <c r="J101" s="945">
        <f>cc</f>
        <v>4.0000000000000008E-2</v>
      </c>
      <c r="K101" s="108" t="str">
        <f>VLOOKUP(C101,合約!B:H,2,FALSE)</f>
        <v>M3</v>
      </c>
      <c r="L101" s="1245">
        <f>(J101)*(D96)</f>
        <v>0</v>
      </c>
      <c r="M101" s="1246">
        <f>VLOOKUP(C101,合約!B:H,4,FALSE)</f>
        <v>3327.95</v>
      </c>
      <c r="N101" s="1246">
        <f>(L101)*(M101)</f>
        <v>0</v>
      </c>
    </row>
    <row r="102" spans="1:17">
      <c r="A102" s="110"/>
      <c r="B102" s="1020"/>
      <c r="C102" s="1315" t="s">
        <v>6080</v>
      </c>
      <c r="D102" s="1047"/>
      <c r="E102" s="1047"/>
      <c r="F102" s="1047"/>
      <c r="G102" s="1047"/>
      <c r="H102" s="1047"/>
      <c r="I102" s="1029"/>
      <c r="J102" s="945"/>
      <c r="K102" s="108"/>
    </row>
    <row r="103" spans="1:17">
      <c r="A103" s="110"/>
      <c r="B103" s="1026">
        <v>1.1020000000000001</v>
      </c>
      <c r="C103" s="1314" t="s">
        <v>6081</v>
      </c>
      <c r="D103" s="1085"/>
      <c r="E103" s="1085"/>
      <c r="F103" s="1085"/>
      <c r="G103" s="1085"/>
      <c r="H103" s="1047"/>
      <c r="I103" s="1029" t="s">
        <v>4362</v>
      </c>
      <c r="J103" s="945">
        <f>cc</f>
        <v>0.4296600000000001</v>
      </c>
      <c r="K103" s="108" t="str">
        <f>VLOOKUP(C103,合約!B:H,2,FALSE)</f>
        <v>M3</v>
      </c>
      <c r="L103" s="1245">
        <f>(J103)*(D98)</f>
        <v>0</v>
      </c>
      <c r="M103" s="1246">
        <f>VLOOKUP(C103,合約!B:H,4,FALSE)</f>
        <v>3522.91</v>
      </c>
      <c r="N103" s="1246">
        <f>(L103)*(M103)</f>
        <v>0</v>
      </c>
    </row>
    <row r="104" spans="1:17">
      <c r="A104" s="110"/>
      <c r="B104" s="1020"/>
      <c r="C104" s="1315" t="s">
        <v>6087</v>
      </c>
      <c r="D104" s="1047"/>
      <c r="E104" s="1047"/>
      <c r="F104" s="1047"/>
      <c r="G104" s="1047"/>
      <c r="H104" s="1047"/>
      <c r="I104" s="1029"/>
      <c r="J104" s="945"/>
      <c r="K104" s="108"/>
    </row>
    <row r="105" spans="1:17">
      <c r="A105" s="110"/>
      <c r="B105" s="1026">
        <v>1.137</v>
      </c>
      <c r="C105" s="1314" t="s">
        <v>6082</v>
      </c>
      <c r="D105" s="1085"/>
      <c r="E105" s="1085"/>
      <c r="F105" s="1085"/>
      <c r="G105" s="1085"/>
      <c r="H105" s="1047"/>
      <c r="I105" s="1029" t="s">
        <v>4362</v>
      </c>
      <c r="J105" s="945">
        <f>cc</f>
        <v>1</v>
      </c>
      <c r="K105" s="108" t="str">
        <f>VLOOKUP(C105,合約!B:H,2,FALSE)</f>
        <v>M</v>
      </c>
      <c r="L105" s="1245">
        <f>(J105)*(D100)</f>
        <v>0</v>
      </c>
      <c r="M105" s="1246">
        <f>VLOOKUP(C105,合約!B:H,4,FALSE)</f>
        <v>807.53</v>
      </c>
      <c r="N105" s="1246">
        <f>(L105)*(M105)</f>
        <v>0</v>
      </c>
    </row>
    <row r="106" spans="1:17">
      <c r="A106" s="110"/>
      <c r="B106" s="1020"/>
      <c r="C106" s="1315" t="s">
        <v>6083</v>
      </c>
      <c r="D106" s="1047"/>
      <c r="E106" s="1047"/>
      <c r="F106" s="1047"/>
      <c r="G106" s="1047"/>
      <c r="H106" s="1047"/>
      <c r="I106" s="1029"/>
      <c r="J106" s="945"/>
      <c r="K106" s="108"/>
    </row>
    <row r="107" spans="1:17">
      <c r="A107" s="110"/>
      <c r="B107" s="1026">
        <v>1.1559999999999999</v>
      </c>
      <c r="C107" s="1314" t="s">
        <v>6084</v>
      </c>
      <c r="D107" s="1085"/>
      <c r="E107" s="1085"/>
      <c r="F107" s="1085"/>
      <c r="G107" s="1085"/>
      <c r="H107" s="1047"/>
      <c r="I107" s="1029" t="s">
        <v>4362</v>
      </c>
      <c r="J107" s="945">
        <f>cc</f>
        <v>19.93</v>
      </c>
      <c r="K107" s="108" t="str">
        <f>VLOOKUP(C107,合約!B:H,2,FALSE)</f>
        <v>KG</v>
      </c>
      <c r="L107" s="1245">
        <f>(J107)*(D102)</f>
        <v>0</v>
      </c>
      <c r="M107" s="1246">
        <f>VLOOKUP(C107,合約!B:H,4,FALSE)</f>
        <v>34.9</v>
      </c>
      <c r="N107" s="1246">
        <f>(L107)*(M107)</f>
        <v>0</v>
      </c>
    </row>
    <row r="108" spans="1:17">
      <c r="A108" s="110"/>
      <c r="B108" s="1020"/>
      <c r="C108" s="1315" t="s">
        <v>6085</v>
      </c>
      <c r="D108" s="1047"/>
      <c r="E108" s="1047"/>
      <c r="F108" s="1047"/>
      <c r="G108" s="1047"/>
      <c r="H108" s="1047"/>
      <c r="I108" s="1029"/>
      <c r="J108" s="945"/>
      <c r="K108" s="108"/>
    </row>
    <row r="109" spans="1:17">
      <c r="A109" s="110"/>
      <c r="B109" s="1026" t="str">
        <f>VLOOKUP(C109,合約!B:J,9,FALSE)</f>
        <v>1.60</v>
      </c>
      <c r="C109" s="1314" t="s">
        <v>3971</v>
      </c>
      <c r="D109" s="1085"/>
      <c r="E109" s="1085"/>
      <c r="F109" s="1085"/>
      <c r="G109" s="1085"/>
      <c r="H109" s="1047"/>
      <c r="I109" s="1029" t="s">
        <v>4362</v>
      </c>
      <c r="J109" s="945">
        <f>cc</f>
        <v>0.44919999999999999</v>
      </c>
      <c r="K109" s="108" t="str">
        <f>VLOOKUP(C109,合約!B:H,2,FALSE)</f>
        <v>B.M3</v>
      </c>
      <c r="L109" s="1245">
        <f>(J109)*(D104)</f>
        <v>0</v>
      </c>
      <c r="M109" s="1246">
        <f>VLOOKUP(C109,合約!B:H,4,FALSE)</f>
        <v>1067.76</v>
      </c>
      <c r="N109" s="1246">
        <f>(L109)*(M109)</f>
        <v>0</v>
      </c>
    </row>
    <row r="110" spans="1:17">
      <c r="A110" s="110"/>
      <c r="B110" s="1020"/>
      <c r="C110" s="1315" t="s">
        <v>6047</v>
      </c>
      <c r="D110" s="1047"/>
      <c r="E110" s="1047"/>
      <c r="F110" s="1047"/>
      <c r="G110" s="1047"/>
      <c r="H110" s="1047"/>
      <c r="I110" s="1029"/>
      <c r="J110" s="945"/>
      <c r="K110" s="108"/>
    </row>
    <row r="111" spans="1:17" s="114" customFormat="1">
      <c r="A111" s="112"/>
      <c r="B111" s="1026"/>
      <c r="C111" s="651"/>
      <c r="D111" s="1146"/>
      <c r="E111" s="975"/>
      <c r="F111" s="975"/>
      <c r="G111" s="975"/>
      <c r="H111" s="721"/>
      <c r="I111" s="119"/>
      <c r="J111" s="974"/>
      <c r="K111" s="108"/>
      <c r="L111" s="1247"/>
      <c r="M111" s="1246"/>
      <c r="N111" s="1246"/>
      <c r="O111" s="1246"/>
      <c r="P111" s="1248"/>
      <c r="Q111" s="1248"/>
    </row>
    <row r="112" spans="1:17" s="114" customFormat="1">
      <c r="A112" s="112"/>
      <c r="B112" s="1020"/>
      <c r="C112" s="654"/>
      <c r="D112" s="1145"/>
      <c r="E112" s="721"/>
      <c r="F112" s="721"/>
      <c r="G112" s="721"/>
      <c r="H112" s="721"/>
      <c r="I112" s="119"/>
      <c r="J112" s="974"/>
      <c r="K112" s="108"/>
      <c r="L112" s="1245"/>
      <c r="M112" s="1246"/>
      <c r="N112" s="1246"/>
      <c r="O112" s="1246"/>
      <c r="P112" s="1248"/>
      <c r="Q112" s="1248"/>
    </row>
    <row r="113" spans="1:17" s="114" customFormat="1">
      <c r="A113" s="112"/>
      <c r="B113" s="1020"/>
      <c r="C113" s="654"/>
      <c r="D113" s="1145"/>
      <c r="E113" s="721"/>
      <c r="F113" s="721"/>
      <c r="G113" s="721"/>
      <c r="H113" s="721"/>
      <c r="I113" s="119"/>
      <c r="J113" s="974"/>
      <c r="K113" s="108"/>
      <c r="L113" s="1245"/>
      <c r="M113" s="1246"/>
      <c r="N113" s="1246"/>
      <c r="O113" s="1246"/>
      <c r="P113" s="1248"/>
      <c r="Q113" s="1248"/>
    </row>
    <row r="114" spans="1:17">
      <c r="A114" s="1260"/>
      <c r="B114" s="1148"/>
      <c r="C114" s="597"/>
      <c r="D114" s="977"/>
      <c r="E114" s="599"/>
      <c r="F114" s="596"/>
      <c r="G114" s="596"/>
      <c r="H114" s="597"/>
      <c r="I114" s="595"/>
      <c r="J114" s="951"/>
      <c r="K114" s="600"/>
    </row>
    <row r="115" spans="1:17">
      <c r="A115" s="1260"/>
      <c r="B115" s="1148"/>
      <c r="C115" s="597"/>
      <c r="D115" s="977"/>
      <c r="E115" s="599"/>
      <c r="F115" s="597"/>
      <c r="G115" s="595"/>
      <c r="H115" s="599"/>
      <c r="I115" s="604"/>
      <c r="J115" s="949"/>
      <c r="K115" s="600"/>
    </row>
    <row r="116" spans="1:17">
      <c r="A116" s="1260"/>
      <c r="B116" s="1148"/>
      <c r="C116" s="597"/>
      <c r="D116" s="977"/>
      <c r="E116" s="599"/>
      <c r="F116" s="596"/>
      <c r="G116" s="596"/>
      <c r="H116" s="597"/>
      <c r="I116" s="595"/>
      <c r="J116" s="951"/>
      <c r="K116" s="600"/>
    </row>
    <row r="117" spans="1:17">
      <c r="A117" s="1260"/>
      <c r="B117" s="1148"/>
      <c r="C117" s="597"/>
      <c r="D117" s="977"/>
      <c r="E117" s="599"/>
      <c r="F117" s="596"/>
      <c r="G117" s="596"/>
      <c r="H117" s="597"/>
      <c r="I117" s="595"/>
      <c r="J117" s="951"/>
      <c r="K117" s="600"/>
    </row>
    <row r="118" spans="1:17">
      <c r="A118" s="1260"/>
      <c r="B118" s="1243"/>
      <c r="C118" s="601"/>
      <c r="D118" s="1148"/>
      <c r="E118" s="596"/>
      <c r="F118" s="978"/>
      <c r="G118" s="978"/>
      <c r="H118" s="600"/>
      <c r="I118" s="602"/>
      <c r="J118" s="950"/>
      <c r="K118" s="600"/>
    </row>
    <row r="119" spans="1:17">
      <c r="A119" s="1260"/>
      <c r="B119" s="1148"/>
      <c r="C119" s="603"/>
      <c r="D119" s="1148"/>
      <c r="E119" s="600"/>
      <c r="F119" s="978"/>
      <c r="G119" s="978"/>
      <c r="H119" s="600"/>
      <c r="I119" s="602"/>
      <c r="J119" s="950"/>
      <c r="K119" s="600"/>
    </row>
    <row r="120" spans="1:17">
      <c r="A120" s="1260"/>
      <c r="B120" s="1243"/>
      <c r="C120" s="601"/>
      <c r="D120" s="1148"/>
      <c r="E120" s="596"/>
      <c r="F120" s="978"/>
      <c r="G120" s="978"/>
      <c r="H120" s="600"/>
      <c r="I120" s="602"/>
      <c r="J120" s="950"/>
      <c r="K120" s="600"/>
    </row>
    <row r="121" spans="1:17">
      <c r="A121" s="1260"/>
      <c r="B121" s="1148"/>
      <c r="C121" s="603"/>
      <c r="D121" s="1148"/>
      <c r="E121" s="600"/>
      <c r="F121" s="978"/>
      <c r="G121" s="978"/>
      <c r="H121" s="600"/>
      <c r="I121" s="602"/>
      <c r="J121" s="950"/>
      <c r="K121" s="600"/>
    </row>
    <row r="122" spans="1:17">
      <c r="A122" s="1260"/>
      <c r="B122" s="1243"/>
      <c r="C122" s="601"/>
      <c r="D122" s="1148"/>
      <c r="E122" s="596"/>
      <c r="F122" s="978"/>
      <c r="G122" s="978"/>
      <c r="H122" s="600"/>
      <c r="I122" s="602"/>
      <c r="J122" s="950"/>
      <c r="K122" s="600"/>
    </row>
    <row r="123" spans="1:17">
      <c r="A123" s="1260"/>
      <c r="B123" s="1148"/>
      <c r="C123" s="603"/>
      <c r="D123" s="1148"/>
      <c r="E123" s="600"/>
      <c r="F123" s="978"/>
      <c r="G123" s="978"/>
      <c r="H123" s="600"/>
      <c r="I123" s="602"/>
      <c r="J123" s="950"/>
      <c r="K123" s="600"/>
    </row>
    <row r="124" spans="1:17">
      <c r="A124" s="1260"/>
      <c r="B124" s="1243"/>
      <c r="C124" s="601"/>
      <c r="D124" s="1148"/>
      <c r="E124" s="596"/>
      <c r="F124" s="978"/>
      <c r="G124" s="978"/>
      <c r="H124" s="600"/>
      <c r="I124" s="602"/>
      <c r="J124" s="950"/>
      <c r="K124" s="600"/>
    </row>
    <row r="125" spans="1:17">
      <c r="A125" s="1260"/>
      <c r="B125" s="1148"/>
      <c r="C125" s="603"/>
      <c r="D125" s="1148"/>
      <c r="E125" s="600"/>
      <c r="F125" s="978"/>
      <c r="G125" s="978"/>
      <c r="H125" s="600"/>
      <c r="I125" s="602"/>
      <c r="J125" s="950"/>
      <c r="K125" s="600"/>
    </row>
    <row r="126" spans="1:17">
      <c r="A126" s="1260"/>
      <c r="B126" s="1243"/>
      <c r="C126" s="601"/>
      <c r="D126" s="1148"/>
      <c r="E126" s="596"/>
      <c r="F126" s="978"/>
      <c r="G126" s="978"/>
      <c r="H126" s="600"/>
      <c r="I126" s="602"/>
      <c r="J126" s="950"/>
      <c r="K126" s="600"/>
    </row>
    <row r="127" spans="1:17">
      <c r="A127" s="1260"/>
      <c r="B127" s="1148"/>
      <c r="C127" s="603"/>
      <c r="D127" s="1148"/>
      <c r="E127" s="600"/>
      <c r="F127" s="978"/>
      <c r="G127" s="604"/>
      <c r="H127" s="600"/>
      <c r="I127" s="602"/>
      <c r="J127" s="950"/>
      <c r="K127" s="600"/>
    </row>
    <row r="128" spans="1:17">
      <c r="A128" s="1260"/>
      <c r="B128" s="1243"/>
      <c r="C128" s="601"/>
      <c r="D128" s="1148"/>
      <c r="E128" s="596"/>
      <c r="F128" s="978"/>
      <c r="G128" s="978"/>
      <c r="H128" s="600"/>
      <c r="I128" s="602"/>
      <c r="J128" s="950"/>
      <c r="K128" s="600"/>
    </row>
    <row r="129" spans="1:11">
      <c r="A129" s="1260"/>
      <c r="B129" s="1148"/>
      <c r="C129" s="603"/>
      <c r="D129" s="1148"/>
      <c r="E129" s="600"/>
      <c r="F129" s="978"/>
      <c r="G129" s="978"/>
      <c r="H129" s="600"/>
      <c r="I129" s="602"/>
      <c r="J129" s="950"/>
      <c r="K129" s="600"/>
    </row>
    <row r="130" spans="1:11">
      <c r="A130" s="1260"/>
      <c r="B130" s="1243"/>
      <c r="C130" s="601"/>
      <c r="D130" s="1148"/>
      <c r="E130" s="596"/>
      <c r="F130" s="978"/>
      <c r="G130" s="978"/>
      <c r="H130" s="600"/>
      <c r="I130" s="602"/>
      <c r="J130" s="950"/>
      <c r="K130" s="600"/>
    </row>
    <row r="131" spans="1:11">
      <c r="A131" s="1260"/>
      <c r="B131" s="1148"/>
      <c r="C131" s="603"/>
      <c r="D131" s="1148"/>
      <c r="E131" s="600"/>
      <c r="F131" s="978"/>
      <c r="G131" s="978"/>
      <c r="H131" s="600"/>
      <c r="I131" s="602"/>
      <c r="J131" s="950"/>
      <c r="K131" s="600"/>
    </row>
    <row r="132" spans="1:11">
      <c r="A132" s="1260"/>
      <c r="B132" s="1243"/>
      <c r="C132" s="601"/>
      <c r="D132" s="1148"/>
      <c r="E132" s="596"/>
      <c r="F132" s="978"/>
      <c r="G132" s="978"/>
      <c r="H132" s="600"/>
      <c r="I132" s="602"/>
      <c r="J132" s="950"/>
      <c r="K132" s="600"/>
    </row>
    <row r="133" spans="1:11">
      <c r="A133" s="1260"/>
      <c r="B133" s="1148"/>
      <c r="C133" s="603"/>
      <c r="D133" s="1149"/>
      <c r="E133" s="604"/>
      <c r="F133" s="604"/>
      <c r="G133" s="604"/>
      <c r="H133" s="604"/>
      <c r="I133" s="602"/>
      <c r="J133" s="950"/>
      <c r="K133" s="600"/>
    </row>
    <row r="134" spans="1:11">
      <c r="A134" s="1260"/>
      <c r="B134" s="1243"/>
      <c r="C134" s="601"/>
      <c r="D134" s="1149"/>
      <c r="E134" s="604"/>
      <c r="F134" s="604"/>
      <c r="G134" s="604"/>
      <c r="H134" s="604"/>
      <c r="I134" s="602"/>
      <c r="J134" s="950"/>
      <c r="K134" s="600"/>
    </row>
    <row r="135" spans="1:11">
      <c r="A135" s="1260"/>
      <c r="B135" s="1148"/>
      <c r="C135" s="603"/>
      <c r="D135" s="1149"/>
      <c r="E135" s="604"/>
      <c r="F135" s="604"/>
      <c r="G135" s="604"/>
      <c r="H135" s="604"/>
      <c r="I135" s="602"/>
      <c r="J135" s="950"/>
      <c r="K135" s="600"/>
    </row>
    <row r="136" spans="1:11">
      <c r="A136" s="1261"/>
      <c r="B136" s="606"/>
      <c r="C136" s="595"/>
      <c r="D136" s="1148"/>
      <c r="E136" s="596"/>
      <c r="F136" s="596"/>
      <c r="G136" s="596"/>
      <c r="H136" s="597"/>
      <c r="I136" s="598"/>
      <c r="J136" s="951"/>
      <c r="K136" s="599"/>
    </row>
    <row r="137" spans="1:11">
      <c r="A137" s="1260"/>
      <c r="B137" s="1148"/>
      <c r="C137" s="597"/>
      <c r="D137" s="606"/>
      <c r="E137" s="599"/>
      <c r="F137" s="596"/>
      <c r="G137" s="596"/>
      <c r="H137" s="600"/>
      <c r="I137" s="602"/>
      <c r="J137" s="950"/>
      <c r="K137" s="600"/>
    </row>
    <row r="138" spans="1:11">
      <c r="A138" s="1260"/>
      <c r="B138" s="1148"/>
      <c r="C138" s="597"/>
      <c r="D138" s="977"/>
      <c r="E138" s="599"/>
      <c r="F138" s="597"/>
      <c r="G138" s="595"/>
      <c r="H138" s="599"/>
      <c r="I138" s="604"/>
      <c r="J138" s="949"/>
      <c r="K138" s="600"/>
    </row>
    <row r="139" spans="1:11">
      <c r="A139" s="1260"/>
      <c r="B139" s="1148"/>
      <c r="C139" s="597"/>
      <c r="D139" s="977"/>
      <c r="E139" s="604"/>
      <c r="F139" s="597"/>
      <c r="G139" s="595"/>
      <c r="H139" s="599"/>
      <c r="I139" s="604"/>
      <c r="J139" s="949"/>
      <c r="K139" s="600"/>
    </row>
    <row r="140" spans="1:11">
      <c r="A140" s="1260"/>
      <c r="B140" s="1148"/>
      <c r="C140" s="597"/>
      <c r="D140" s="977"/>
      <c r="E140" s="604"/>
      <c r="F140" s="596"/>
      <c r="G140" s="596"/>
      <c r="H140" s="600"/>
      <c r="I140" s="602"/>
      <c r="J140" s="950"/>
      <c r="K140" s="600"/>
    </row>
    <row r="141" spans="1:11">
      <c r="A141" s="1260"/>
      <c r="B141" s="1243"/>
      <c r="C141" s="601"/>
      <c r="D141" s="1150"/>
      <c r="E141" s="602"/>
      <c r="F141" s="596"/>
      <c r="G141" s="596"/>
      <c r="H141" s="596"/>
      <c r="I141" s="602"/>
      <c r="J141" s="950"/>
      <c r="K141" s="600"/>
    </row>
    <row r="142" spans="1:11">
      <c r="A142" s="1260"/>
      <c r="B142" s="1148"/>
      <c r="C142" s="605"/>
      <c r="D142" s="1148"/>
      <c r="E142" s="596"/>
      <c r="F142" s="596"/>
      <c r="G142" s="596"/>
      <c r="H142" s="596"/>
      <c r="I142" s="602"/>
      <c r="J142" s="950"/>
      <c r="K142" s="600"/>
    </row>
    <row r="143" spans="1:11">
      <c r="A143" s="1260"/>
      <c r="B143" s="1243"/>
      <c r="C143" s="601"/>
      <c r="D143" s="1148"/>
      <c r="E143" s="596"/>
      <c r="F143" s="596"/>
      <c r="G143" s="596"/>
      <c r="H143" s="596"/>
      <c r="I143" s="602"/>
      <c r="J143" s="950"/>
      <c r="K143" s="600"/>
    </row>
    <row r="144" spans="1:11">
      <c r="A144" s="1260"/>
      <c r="B144" s="1148"/>
      <c r="C144" s="605"/>
      <c r="D144" s="1148"/>
      <c r="E144" s="596"/>
      <c r="F144" s="596"/>
      <c r="G144" s="596"/>
      <c r="H144" s="596"/>
      <c r="I144" s="602"/>
      <c r="J144" s="950"/>
      <c r="K144" s="600"/>
    </row>
    <row r="145" spans="1:11">
      <c r="A145" s="1260"/>
      <c r="B145" s="1243"/>
      <c r="C145" s="601"/>
      <c r="D145" s="1150"/>
      <c r="E145" s="602"/>
      <c r="F145" s="596"/>
      <c r="G145" s="596"/>
      <c r="H145" s="596"/>
      <c r="I145" s="602"/>
      <c r="J145" s="950"/>
      <c r="K145" s="600"/>
    </row>
    <row r="146" spans="1:11">
      <c r="A146" s="1260"/>
      <c r="B146" s="1148"/>
      <c r="C146" s="605"/>
      <c r="D146" s="1148"/>
      <c r="E146" s="596"/>
      <c r="F146" s="596"/>
      <c r="G146" s="596"/>
      <c r="H146" s="596"/>
      <c r="I146" s="602"/>
      <c r="J146" s="950"/>
      <c r="K146" s="600"/>
    </row>
    <row r="147" spans="1:11">
      <c r="A147" s="1260"/>
      <c r="B147" s="1243"/>
      <c r="C147" s="601"/>
      <c r="D147" s="1148"/>
      <c r="E147" s="596"/>
      <c r="F147" s="596"/>
      <c r="G147" s="596"/>
      <c r="H147" s="596"/>
      <c r="I147" s="602"/>
      <c r="J147" s="950"/>
      <c r="K147" s="600"/>
    </row>
    <row r="148" spans="1:11">
      <c r="A148" s="1260"/>
      <c r="B148" s="1148"/>
      <c r="C148" s="605"/>
      <c r="D148" s="1148"/>
      <c r="E148" s="596"/>
      <c r="F148" s="596"/>
      <c r="G148" s="596"/>
      <c r="H148" s="596"/>
      <c r="I148" s="602"/>
      <c r="J148" s="950"/>
      <c r="K148" s="600"/>
    </row>
    <row r="149" spans="1:11">
      <c r="A149" s="1260"/>
      <c r="B149" s="1243"/>
      <c r="C149" s="601"/>
      <c r="D149" s="1150"/>
      <c r="E149" s="602"/>
      <c r="F149" s="596"/>
      <c r="G149" s="596"/>
      <c r="H149" s="596"/>
      <c r="I149" s="602"/>
      <c r="J149" s="950"/>
      <c r="K149" s="600"/>
    </row>
    <row r="150" spans="1:11">
      <c r="A150" s="1260"/>
      <c r="B150" s="1148"/>
      <c r="C150" s="605"/>
      <c r="D150" s="1148"/>
      <c r="E150" s="596"/>
      <c r="F150" s="596"/>
      <c r="G150" s="596"/>
      <c r="H150" s="596"/>
      <c r="I150" s="602"/>
      <c r="J150" s="950"/>
      <c r="K150" s="600"/>
    </row>
    <row r="151" spans="1:11">
      <c r="A151" s="1260"/>
      <c r="B151" s="1243"/>
      <c r="C151" s="601"/>
      <c r="D151" s="1148"/>
      <c r="E151" s="596"/>
      <c r="F151" s="596"/>
      <c r="G151" s="596"/>
      <c r="H151" s="596"/>
      <c r="I151" s="602"/>
      <c r="J151" s="950"/>
      <c r="K151" s="600"/>
    </row>
    <row r="152" spans="1:11">
      <c r="A152" s="1260"/>
      <c r="B152" s="1148"/>
      <c r="C152" s="605"/>
      <c r="D152" s="1148"/>
      <c r="E152" s="596"/>
      <c r="F152" s="596"/>
      <c r="G152" s="596"/>
      <c r="H152" s="596"/>
      <c r="I152" s="602"/>
      <c r="J152" s="950"/>
      <c r="K152" s="600"/>
    </row>
    <row r="153" spans="1:11">
      <c r="A153" s="1260"/>
      <c r="B153" s="1243"/>
      <c r="C153" s="601"/>
      <c r="D153" s="1148"/>
      <c r="E153" s="602"/>
      <c r="F153" s="596"/>
      <c r="G153" s="596"/>
      <c r="H153" s="596"/>
      <c r="I153" s="602"/>
      <c r="J153" s="950"/>
      <c r="K153" s="600"/>
    </row>
    <row r="154" spans="1:11">
      <c r="A154" s="1260"/>
      <c r="B154" s="1148"/>
      <c r="C154" s="605"/>
      <c r="D154" s="1148"/>
      <c r="E154" s="596"/>
      <c r="F154" s="596"/>
      <c r="G154" s="596"/>
      <c r="H154" s="596"/>
      <c r="I154" s="602"/>
      <c r="J154" s="950"/>
      <c r="K154" s="600"/>
    </row>
    <row r="155" spans="1:11">
      <c r="A155" s="1260"/>
      <c r="B155" s="1243"/>
      <c r="C155" s="601"/>
      <c r="D155" s="1151"/>
      <c r="E155" s="979"/>
      <c r="F155" s="596"/>
      <c r="G155" s="596"/>
      <c r="H155" s="596"/>
      <c r="I155" s="602"/>
      <c r="J155" s="950"/>
      <c r="K155" s="600"/>
    </row>
    <row r="156" spans="1:11">
      <c r="A156" s="1260"/>
      <c r="B156" s="1148"/>
      <c r="C156" s="605"/>
      <c r="D156" s="1151"/>
      <c r="E156" s="979"/>
      <c r="F156" s="596"/>
      <c r="G156" s="596"/>
      <c r="H156" s="596"/>
      <c r="I156" s="602"/>
      <c r="J156" s="950"/>
      <c r="K156" s="600"/>
    </row>
    <row r="157" spans="1:11">
      <c r="A157" s="1261"/>
      <c r="B157" s="606"/>
      <c r="C157" s="595"/>
      <c r="D157" s="1148"/>
      <c r="E157" s="596"/>
      <c r="F157" s="596"/>
      <c r="G157" s="596"/>
      <c r="H157" s="597"/>
      <c r="I157" s="598"/>
      <c r="J157" s="951"/>
      <c r="K157" s="599"/>
    </row>
    <row r="158" spans="1:11">
      <c r="A158" s="1260"/>
      <c r="B158" s="1148"/>
      <c r="C158" s="597"/>
      <c r="D158" s="606"/>
      <c r="E158" s="599"/>
      <c r="F158" s="596"/>
      <c r="G158" s="596"/>
      <c r="H158" s="600"/>
      <c r="I158" s="602"/>
      <c r="J158" s="950"/>
      <c r="K158" s="600"/>
    </row>
    <row r="159" spans="1:11">
      <c r="A159" s="1260"/>
      <c r="B159" s="1148"/>
      <c r="C159" s="597"/>
      <c r="D159" s="977"/>
      <c r="E159" s="599"/>
      <c r="F159" s="596"/>
      <c r="G159" s="596"/>
      <c r="H159" s="597"/>
      <c r="I159" s="595"/>
      <c r="J159" s="951"/>
      <c r="K159" s="600"/>
    </row>
    <row r="160" spans="1:11">
      <c r="A160" s="1260"/>
      <c r="B160" s="1148"/>
      <c r="C160" s="597"/>
      <c r="D160" s="606"/>
      <c r="E160" s="599"/>
      <c r="F160" s="597"/>
      <c r="G160" s="597"/>
      <c r="H160" s="599"/>
      <c r="I160" s="602"/>
      <c r="J160" s="950"/>
      <c r="K160" s="600"/>
    </row>
    <row r="161" spans="1:11">
      <c r="A161" s="1260"/>
      <c r="B161" s="1148"/>
      <c r="C161" s="597"/>
      <c r="D161" s="606"/>
      <c r="E161" s="599"/>
      <c r="F161" s="597"/>
      <c r="G161" s="597"/>
      <c r="H161" s="599"/>
      <c r="I161" s="602"/>
      <c r="J161" s="950"/>
      <c r="K161" s="600"/>
    </row>
    <row r="162" spans="1:11">
      <c r="A162" s="1260"/>
      <c r="B162" s="1148"/>
      <c r="C162" s="597"/>
      <c r="D162" s="606"/>
      <c r="E162" s="599"/>
      <c r="F162" s="597"/>
      <c r="G162" s="597"/>
      <c r="H162" s="599"/>
      <c r="I162" s="602"/>
      <c r="J162" s="950"/>
      <c r="K162" s="600"/>
    </row>
    <row r="163" spans="1:11">
      <c r="A163" s="1260"/>
      <c r="B163" s="1243"/>
      <c r="C163" s="601"/>
      <c r="D163" s="1148"/>
      <c r="E163" s="596"/>
      <c r="F163" s="978"/>
      <c r="G163" s="978"/>
      <c r="H163" s="600"/>
      <c r="I163" s="602"/>
      <c r="J163" s="950"/>
      <c r="K163" s="600"/>
    </row>
    <row r="164" spans="1:11">
      <c r="A164" s="1260"/>
      <c r="B164" s="1148"/>
      <c r="C164" s="605"/>
      <c r="D164" s="1148"/>
      <c r="E164" s="600"/>
      <c r="F164" s="978"/>
      <c r="G164" s="978"/>
      <c r="H164" s="600"/>
      <c r="I164" s="602"/>
      <c r="J164" s="950"/>
      <c r="K164" s="600"/>
    </row>
    <row r="165" spans="1:11">
      <c r="A165" s="1260"/>
      <c r="B165" s="1243"/>
      <c r="C165" s="601"/>
      <c r="D165" s="1148"/>
      <c r="E165" s="596"/>
      <c r="F165" s="978"/>
      <c r="G165" s="978"/>
      <c r="H165" s="600"/>
      <c r="I165" s="602"/>
      <c r="J165" s="950"/>
      <c r="K165" s="600"/>
    </row>
    <row r="166" spans="1:11">
      <c r="A166" s="1260"/>
      <c r="B166" s="1148"/>
      <c r="C166" s="605"/>
      <c r="D166" s="1148"/>
      <c r="E166" s="600"/>
      <c r="F166" s="978"/>
      <c r="G166" s="978"/>
      <c r="H166" s="600"/>
      <c r="I166" s="602"/>
      <c r="J166" s="950"/>
      <c r="K166" s="600"/>
    </row>
    <row r="167" spans="1:11">
      <c r="A167" s="1260"/>
      <c r="B167" s="1243"/>
      <c r="C167" s="601"/>
      <c r="D167" s="1148"/>
      <c r="E167" s="596"/>
      <c r="F167" s="978"/>
      <c r="G167" s="978"/>
      <c r="H167" s="600"/>
      <c r="I167" s="602"/>
      <c r="J167" s="950"/>
      <c r="K167" s="600"/>
    </row>
    <row r="168" spans="1:11">
      <c r="A168" s="1260"/>
      <c r="B168" s="1148"/>
      <c r="C168" s="605"/>
      <c r="D168" s="1148"/>
      <c r="E168" s="600"/>
      <c r="F168" s="978"/>
      <c r="G168" s="978"/>
      <c r="H168" s="600"/>
      <c r="I168" s="602"/>
      <c r="J168" s="950"/>
      <c r="K168" s="600"/>
    </row>
    <row r="169" spans="1:11">
      <c r="A169" s="1260"/>
      <c r="B169" s="1243"/>
      <c r="C169" s="601"/>
      <c r="D169" s="1148"/>
      <c r="E169" s="596"/>
      <c r="F169" s="978"/>
      <c r="G169" s="978"/>
      <c r="H169" s="600"/>
      <c r="I169" s="602"/>
      <c r="J169" s="950"/>
      <c r="K169" s="600"/>
    </row>
    <row r="170" spans="1:11">
      <c r="A170" s="1260"/>
      <c r="B170" s="1148"/>
      <c r="C170" s="605"/>
      <c r="D170" s="1148"/>
      <c r="E170" s="600"/>
      <c r="F170" s="978"/>
      <c r="G170" s="978"/>
      <c r="H170" s="600"/>
      <c r="I170" s="602"/>
      <c r="J170" s="950"/>
      <c r="K170" s="600"/>
    </row>
    <row r="171" spans="1:11">
      <c r="A171" s="1260"/>
      <c r="B171" s="1243"/>
      <c r="C171" s="601"/>
      <c r="D171" s="1148"/>
      <c r="E171" s="596"/>
      <c r="F171" s="978"/>
      <c r="G171" s="978"/>
      <c r="H171" s="600"/>
      <c r="I171" s="602"/>
      <c r="J171" s="950"/>
      <c r="K171" s="600"/>
    </row>
    <row r="172" spans="1:11">
      <c r="A172" s="1260"/>
      <c r="B172" s="1148"/>
      <c r="C172" s="605"/>
      <c r="D172" s="1148"/>
      <c r="E172" s="600"/>
      <c r="F172" s="978"/>
      <c r="G172" s="978"/>
      <c r="H172" s="600"/>
      <c r="I172" s="602"/>
      <c r="J172" s="950"/>
      <c r="K172" s="600"/>
    </row>
    <row r="173" spans="1:11">
      <c r="A173" s="1260"/>
      <c r="B173" s="1243"/>
      <c r="C173" s="601"/>
      <c r="D173" s="1148"/>
      <c r="E173" s="596"/>
      <c r="F173" s="978"/>
      <c r="G173" s="978"/>
      <c r="H173" s="600"/>
      <c r="I173" s="602"/>
      <c r="J173" s="950"/>
      <c r="K173" s="600"/>
    </row>
    <row r="174" spans="1:11">
      <c r="A174" s="1260"/>
      <c r="B174" s="1148"/>
      <c r="C174" s="605"/>
      <c r="D174" s="1148"/>
      <c r="E174" s="600"/>
      <c r="F174" s="978"/>
      <c r="G174" s="978"/>
      <c r="H174" s="600"/>
      <c r="I174" s="602"/>
      <c r="J174" s="950"/>
      <c r="K174" s="600"/>
    </row>
    <row r="175" spans="1:11">
      <c r="A175" s="1261"/>
      <c r="B175" s="606"/>
      <c r="C175" s="595"/>
      <c r="D175" s="1148"/>
      <c r="E175" s="596"/>
      <c r="F175" s="596"/>
      <c r="G175" s="596"/>
      <c r="H175" s="597"/>
      <c r="I175" s="598"/>
      <c r="J175" s="951"/>
      <c r="K175" s="599"/>
    </row>
    <row r="176" spans="1:11">
      <c r="A176" s="1260"/>
      <c r="B176" s="1148"/>
      <c r="C176" s="597"/>
      <c r="D176" s="606"/>
      <c r="E176" s="599"/>
      <c r="F176" s="596"/>
      <c r="G176" s="596"/>
      <c r="H176" s="600"/>
      <c r="I176" s="602"/>
      <c r="J176" s="950"/>
      <c r="K176" s="600"/>
    </row>
    <row r="177" spans="1:11">
      <c r="A177" s="1260"/>
      <c r="B177" s="1148"/>
      <c r="C177" s="597"/>
      <c r="D177" s="977"/>
      <c r="E177" s="599"/>
      <c r="F177" s="596"/>
      <c r="G177" s="596"/>
      <c r="H177" s="597"/>
      <c r="I177" s="595"/>
      <c r="J177" s="951"/>
      <c r="K177" s="600"/>
    </row>
    <row r="178" spans="1:11">
      <c r="A178" s="1260"/>
      <c r="B178" s="1148"/>
      <c r="C178" s="597"/>
      <c r="D178" s="977"/>
      <c r="E178" s="599"/>
      <c r="F178" s="604"/>
      <c r="G178" s="597"/>
      <c r="H178" s="597"/>
      <c r="I178" s="599"/>
      <c r="J178" s="950"/>
      <c r="K178" s="600"/>
    </row>
    <row r="179" spans="1:11">
      <c r="A179" s="1260"/>
      <c r="B179" s="1148"/>
      <c r="C179" s="597"/>
      <c r="D179" s="977"/>
      <c r="E179" s="599"/>
      <c r="F179" s="604"/>
      <c r="G179" s="597"/>
      <c r="H179" s="597"/>
      <c r="I179" s="599"/>
      <c r="J179" s="950"/>
      <c r="K179" s="600"/>
    </row>
    <row r="180" spans="1:11">
      <c r="A180" s="1260"/>
      <c r="B180" s="1148"/>
      <c r="C180" s="597"/>
      <c r="D180" s="977"/>
      <c r="E180" s="599"/>
      <c r="F180" s="604"/>
      <c r="G180" s="597"/>
      <c r="H180" s="597"/>
      <c r="I180" s="599"/>
      <c r="J180" s="950"/>
      <c r="K180" s="600"/>
    </row>
    <row r="181" spans="1:11">
      <c r="A181" s="1260"/>
      <c r="B181" s="1243"/>
      <c r="C181" s="601"/>
      <c r="D181" s="1148"/>
      <c r="E181" s="596"/>
      <c r="F181" s="978"/>
      <c r="G181" s="978"/>
      <c r="H181" s="600"/>
      <c r="I181" s="602"/>
      <c r="J181" s="950"/>
      <c r="K181" s="600"/>
    </row>
    <row r="182" spans="1:11">
      <c r="A182" s="1260"/>
      <c r="B182" s="1148"/>
      <c r="C182" s="605"/>
      <c r="D182" s="1148"/>
      <c r="E182" s="600"/>
      <c r="F182" s="978"/>
      <c r="G182" s="978"/>
      <c r="H182" s="600"/>
      <c r="I182" s="602"/>
      <c r="J182" s="950"/>
      <c r="K182" s="600"/>
    </row>
    <row r="183" spans="1:11">
      <c r="A183" s="1260"/>
      <c r="B183" s="1243"/>
      <c r="C183" s="601"/>
      <c r="D183" s="1148"/>
      <c r="E183" s="596"/>
      <c r="F183" s="978"/>
      <c r="G183" s="978"/>
      <c r="H183" s="600"/>
      <c r="I183" s="602"/>
      <c r="J183" s="950"/>
      <c r="K183" s="600"/>
    </row>
    <row r="184" spans="1:11">
      <c r="A184" s="1260"/>
      <c r="B184" s="1148"/>
      <c r="C184" s="605"/>
      <c r="D184" s="1148"/>
      <c r="E184" s="600"/>
      <c r="F184" s="978"/>
      <c r="G184" s="978"/>
      <c r="H184" s="600"/>
      <c r="I184" s="602"/>
      <c r="J184" s="950"/>
      <c r="K184" s="600"/>
    </row>
    <row r="185" spans="1:11">
      <c r="A185" s="1260"/>
      <c r="B185" s="1243"/>
      <c r="C185" s="601"/>
      <c r="D185" s="1148"/>
      <c r="E185" s="596"/>
      <c r="F185" s="978"/>
      <c r="G185" s="978"/>
      <c r="H185" s="600"/>
      <c r="I185" s="602"/>
      <c r="J185" s="950"/>
      <c r="K185" s="600"/>
    </row>
    <row r="186" spans="1:11">
      <c r="A186" s="1260"/>
      <c r="B186" s="1148"/>
      <c r="C186" s="605"/>
      <c r="D186" s="1148"/>
      <c r="E186" s="600"/>
      <c r="F186" s="978"/>
      <c r="G186" s="978"/>
      <c r="H186" s="600"/>
      <c r="I186" s="602"/>
      <c r="J186" s="950"/>
      <c r="K186" s="600"/>
    </row>
    <row r="187" spans="1:11">
      <c r="A187" s="1260"/>
      <c r="B187" s="1243"/>
      <c r="C187" s="601"/>
      <c r="D187" s="1148"/>
      <c r="E187" s="596"/>
      <c r="F187" s="978"/>
      <c r="G187" s="978"/>
      <c r="H187" s="600"/>
      <c r="I187" s="602"/>
      <c r="J187" s="950"/>
      <c r="K187" s="600"/>
    </row>
    <row r="188" spans="1:11">
      <c r="A188" s="1260"/>
      <c r="B188" s="1148"/>
      <c r="C188" s="605"/>
      <c r="D188" s="1148"/>
      <c r="E188" s="600"/>
      <c r="F188" s="978"/>
      <c r="G188" s="978"/>
      <c r="H188" s="600"/>
      <c r="I188" s="602"/>
      <c r="J188" s="950"/>
      <c r="K188" s="600"/>
    </row>
    <row r="189" spans="1:11">
      <c r="A189" s="1260"/>
      <c r="B189" s="1243"/>
      <c r="C189" s="601"/>
      <c r="D189" s="1148"/>
      <c r="E189" s="596"/>
      <c r="F189" s="978"/>
      <c r="G189" s="978"/>
      <c r="H189" s="600"/>
      <c r="I189" s="602"/>
      <c r="J189" s="950"/>
      <c r="K189" s="600"/>
    </row>
    <row r="190" spans="1:11">
      <c r="A190" s="1260"/>
      <c r="B190" s="1148"/>
      <c r="C190" s="605"/>
      <c r="D190" s="1148"/>
      <c r="E190" s="600"/>
      <c r="F190" s="978"/>
      <c r="G190" s="978"/>
      <c r="H190" s="600"/>
      <c r="I190" s="602"/>
      <c r="J190" s="950"/>
      <c r="K190" s="600"/>
    </row>
    <row r="191" spans="1:11">
      <c r="A191" s="1261"/>
      <c r="B191" s="606"/>
      <c r="C191" s="595"/>
      <c r="D191" s="1148"/>
      <c r="E191" s="596"/>
      <c r="F191" s="596"/>
      <c r="G191" s="596"/>
      <c r="H191" s="597"/>
      <c r="I191" s="598"/>
      <c r="J191" s="951"/>
      <c r="K191" s="599"/>
    </row>
    <row r="192" spans="1:11">
      <c r="A192" s="1260"/>
      <c r="B192" s="1148"/>
      <c r="C192" s="597"/>
      <c r="D192" s="606"/>
      <c r="E192" s="599"/>
      <c r="F192" s="596"/>
      <c r="G192" s="596"/>
      <c r="H192" s="600"/>
      <c r="I192" s="602"/>
      <c r="J192" s="950"/>
      <c r="K192" s="600"/>
    </row>
    <row r="193" spans="1:11">
      <c r="A193" s="1260"/>
      <c r="B193" s="1148"/>
      <c r="C193" s="597"/>
      <c r="D193" s="977"/>
      <c r="E193" s="599"/>
      <c r="F193" s="596"/>
      <c r="G193" s="596"/>
      <c r="H193" s="597"/>
      <c r="I193" s="595"/>
      <c r="J193" s="951"/>
      <c r="K193" s="600"/>
    </row>
    <row r="194" spans="1:11">
      <c r="A194" s="1260"/>
      <c r="B194" s="1148"/>
      <c r="C194" s="597"/>
      <c r="D194" s="977"/>
      <c r="E194" s="599"/>
      <c r="F194" s="604"/>
      <c r="G194" s="597"/>
      <c r="H194" s="597"/>
      <c r="I194" s="599"/>
      <c r="J194" s="950"/>
      <c r="K194" s="600"/>
    </row>
    <row r="195" spans="1:11">
      <c r="A195" s="1260"/>
      <c r="B195" s="1148"/>
      <c r="C195" s="597"/>
      <c r="D195" s="977"/>
      <c r="E195" s="599"/>
      <c r="F195" s="604"/>
      <c r="G195" s="597"/>
      <c r="H195" s="597"/>
      <c r="I195" s="599"/>
      <c r="J195" s="950"/>
      <c r="K195" s="600"/>
    </row>
    <row r="196" spans="1:11">
      <c r="A196" s="1260"/>
      <c r="B196" s="1148"/>
      <c r="C196" s="597"/>
      <c r="D196" s="977"/>
      <c r="E196" s="599"/>
      <c r="F196" s="604"/>
      <c r="G196" s="597"/>
      <c r="H196" s="597"/>
      <c r="I196" s="599"/>
      <c r="J196" s="950"/>
      <c r="K196" s="600"/>
    </row>
    <row r="197" spans="1:11">
      <c r="A197" s="1260"/>
      <c r="B197" s="1243"/>
      <c r="C197" s="601"/>
      <c r="D197" s="1150"/>
      <c r="E197" s="602"/>
      <c r="F197" s="602"/>
      <c r="G197" s="602"/>
      <c r="H197" s="596"/>
      <c r="I197" s="602"/>
      <c r="J197" s="950"/>
      <c r="K197" s="600"/>
    </row>
    <row r="198" spans="1:11">
      <c r="A198" s="1260"/>
      <c r="B198" s="1148"/>
      <c r="C198" s="603"/>
      <c r="D198" s="1148"/>
      <c r="E198" s="596"/>
      <c r="F198" s="596"/>
      <c r="G198" s="596"/>
      <c r="H198" s="596"/>
      <c r="I198" s="602"/>
      <c r="J198" s="950"/>
      <c r="K198" s="600"/>
    </row>
    <row r="199" spans="1:11">
      <c r="A199" s="1260"/>
      <c r="B199" s="1243"/>
      <c r="C199" s="601"/>
      <c r="D199" s="1148"/>
      <c r="E199" s="596"/>
      <c r="F199" s="596"/>
      <c r="G199" s="596"/>
      <c r="H199" s="596"/>
      <c r="I199" s="602"/>
      <c r="J199" s="950"/>
      <c r="K199" s="600"/>
    </row>
    <row r="200" spans="1:11">
      <c r="A200" s="1260"/>
      <c r="B200" s="1148"/>
      <c r="C200" s="603"/>
      <c r="D200" s="1148"/>
      <c r="E200" s="596"/>
      <c r="F200" s="596"/>
      <c r="G200" s="596"/>
      <c r="H200" s="596"/>
      <c r="I200" s="602"/>
      <c r="J200" s="950"/>
      <c r="K200" s="600"/>
    </row>
    <row r="201" spans="1:11">
      <c r="A201" s="1260"/>
      <c r="B201" s="1243"/>
      <c r="C201" s="601"/>
      <c r="D201" s="1150"/>
      <c r="E201" s="602"/>
      <c r="F201" s="602"/>
      <c r="G201" s="602"/>
      <c r="H201" s="596"/>
      <c r="I201" s="602"/>
      <c r="J201" s="950"/>
      <c r="K201" s="600"/>
    </row>
    <row r="202" spans="1:11">
      <c r="A202" s="1260"/>
      <c r="B202" s="1148"/>
      <c r="C202" s="603"/>
      <c r="D202" s="1148"/>
      <c r="E202" s="596"/>
      <c r="F202" s="596"/>
      <c r="G202" s="596"/>
      <c r="H202" s="596"/>
      <c r="I202" s="602"/>
      <c r="J202" s="950"/>
      <c r="K202" s="600"/>
    </row>
    <row r="203" spans="1:11">
      <c r="A203" s="1260"/>
      <c r="B203" s="1243"/>
      <c r="C203" s="601"/>
      <c r="D203" s="1148"/>
      <c r="E203" s="596"/>
      <c r="F203" s="596"/>
      <c r="G203" s="596"/>
      <c r="H203" s="596"/>
      <c r="I203" s="602"/>
      <c r="J203" s="950"/>
      <c r="K203" s="600"/>
    </row>
    <row r="204" spans="1:11">
      <c r="A204" s="1260"/>
      <c r="B204" s="1148"/>
      <c r="C204" s="603"/>
      <c r="D204" s="1148"/>
      <c r="E204" s="596"/>
      <c r="F204" s="596"/>
      <c r="G204" s="596"/>
      <c r="H204" s="596"/>
      <c r="I204" s="602"/>
      <c r="J204" s="950"/>
      <c r="K204" s="600"/>
    </row>
    <row r="205" spans="1:11">
      <c r="A205" s="1260"/>
      <c r="B205" s="1243"/>
      <c r="C205" s="601"/>
      <c r="D205" s="1150"/>
      <c r="E205" s="598"/>
      <c r="F205" s="602"/>
      <c r="G205" s="602"/>
      <c r="H205" s="596"/>
      <c r="I205" s="602"/>
      <c r="J205" s="950"/>
      <c r="K205" s="600"/>
    </row>
    <row r="206" spans="1:11">
      <c r="A206" s="1260"/>
      <c r="B206" s="1148"/>
      <c r="C206" s="603"/>
      <c r="D206" s="1148"/>
      <c r="E206" s="595"/>
      <c r="F206" s="596"/>
      <c r="G206" s="596"/>
      <c r="H206" s="596"/>
      <c r="I206" s="602"/>
      <c r="J206" s="950"/>
      <c r="K206" s="600"/>
    </row>
    <row r="207" spans="1:11">
      <c r="A207" s="1261"/>
      <c r="B207" s="606"/>
      <c r="C207" s="595"/>
      <c r="D207" s="1148"/>
      <c r="E207" s="596"/>
      <c r="F207" s="596"/>
      <c r="G207" s="596"/>
      <c r="H207" s="597"/>
      <c r="I207" s="598"/>
      <c r="J207" s="951"/>
      <c r="K207" s="599"/>
    </row>
    <row r="208" spans="1:11">
      <c r="A208" s="1260"/>
      <c r="B208" s="1148"/>
      <c r="C208" s="597"/>
      <c r="D208" s="606"/>
      <c r="E208" s="599"/>
      <c r="F208" s="596"/>
      <c r="G208" s="596"/>
      <c r="H208" s="600"/>
      <c r="I208" s="602"/>
      <c r="J208" s="950"/>
      <c r="K208" s="600"/>
    </row>
    <row r="209" spans="1:11">
      <c r="A209" s="1260"/>
      <c r="B209" s="1148"/>
      <c r="C209" s="597"/>
      <c r="D209" s="977"/>
      <c r="E209" s="599"/>
      <c r="F209" s="596"/>
      <c r="G209" s="596"/>
      <c r="H209" s="597"/>
      <c r="I209" s="595"/>
      <c r="J209" s="951"/>
      <c r="K209" s="600"/>
    </row>
    <row r="210" spans="1:11">
      <c r="A210" s="1260"/>
      <c r="B210" s="1148"/>
      <c r="C210" s="597"/>
      <c r="D210" s="606"/>
      <c r="E210" s="599"/>
      <c r="F210" s="596"/>
      <c r="G210" s="596"/>
      <c r="H210" s="600"/>
      <c r="I210" s="602"/>
      <c r="J210" s="950"/>
      <c r="K210" s="600"/>
    </row>
    <row r="211" spans="1:11">
      <c r="A211" s="1260"/>
      <c r="B211" s="1148"/>
      <c r="C211" s="597"/>
      <c r="D211" s="606"/>
      <c r="E211" s="599"/>
      <c r="F211" s="596"/>
      <c r="G211" s="596"/>
      <c r="H211" s="600"/>
      <c r="I211" s="602"/>
      <c r="J211" s="950"/>
      <c r="K211" s="600"/>
    </row>
    <row r="212" spans="1:11">
      <c r="A212" s="1260"/>
      <c r="B212" s="1243"/>
      <c r="C212" s="601"/>
      <c r="D212" s="1148"/>
      <c r="E212" s="596"/>
      <c r="F212" s="978"/>
      <c r="G212" s="978"/>
      <c r="H212" s="600"/>
      <c r="I212" s="602"/>
      <c r="J212" s="950"/>
      <c r="K212" s="600"/>
    </row>
    <row r="213" spans="1:11">
      <c r="A213" s="1260"/>
      <c r="B213" s="1148"/>
      <c r="C213" s="605"/>
      <c r="D213" s="1148"/>
      <c r="E213" s="600"/>
      <c r="F213" s="978"/>
      <c r="G213" s="978"/>
      <c r="H213" s="600"/>
      <c r="I213" s="602"/>
      <c r="J213" s="950"/>
      <c r="K213" s="600"/>
    </row>
    <row r="214" spans="1:11">
      <c r="A214" s="1260"/>
      <c r="B214" s="1243"/>
      <c r="C214" s="601"/>
      <c r="D214" s="1148"/>
      <c r="E214" s="596"/>
      <c r="F214" s="978"/>
      <c r="G214" s="978"/>
      <c r="H214" s="600"/>
      <c r="I214" s="602"/>
      <c r="J214" s="950"/>
      <c r="K214" s="600"/>
    </row>
    <row r="215" spans="1:11">
      <c r="A215" s="1260"/>
      <c r="B215" s="1148"/>
      <c r="C215" s="605"/>
      <c r="D215" s="1148"/>
      <c r="E215" s="600"/>
      <c r="F215" s="978"/>
      <c r="G215" s="978"/>
      <c r="H215" s="600"/>
      <c r="I215" s="602"/>
      <c r="J215" s="950"/>
      <c r="K215" s="600"/>
    </row>
    <row r="216" spans="1:11">
      <c r="A216" s="1260"/>
      <c r="B216" s="1243"/>
      <c r="C216" s="601"/>
      <c r="D216" s="1148"/>
      <c r="E216" s="596"/>
      <c r="F216" s="978"/>
      <c r="G216" s="978"/>
      <c r="H216" s="600"/>
      <c r="I216" s="602"/>
      <c r="J216" s="950"/>
      <c r="K216" s="600"/>
    </row>
    <row r="217" spans="1:11">
      <c r="A217" s="1260"/>
      <c r="B217" s="1148"/>
      <c r="C217" s="605"/>
      <c r="D217" s="1148"/>
      <c r="E217" s="600"/>
      <c r="F217" s="978"/>
      <c r="G217" s="978"/>
      <c r="H217" s="600"/>
      <c r="I217" s="602"/>
      <c r="J217" s="950"/>
      <c r="K217" s="600"/>
    </row>
    <row r="218" spans="1:11">
      <c r="A218" s="1260"/>
      <c r="B218" s="1243"/>
      <c r="C218" s="601"/>
      <c r="D218" s="1148"/>
      <c r="E218" s="596"/>
      <c r="F218" s="978"/>
      <c r="G218" s="978"/>
      <c r="H218" s="600"/>
      <c r="I218" s="602"/>
      <c r="J218" s="950"/>
      <c r="K218" s="600"/>
    </row>
    <row r="219" spans="1:11">
      <c r="A219" s="1260"/>
      <c r="B219" s="1148"/>
      <c r="C219" s="605"/>
      <c r="D219" s="1148"/>
      <c r="E219" s="600"/>
      <c r="F219" s="978"/>
      <c r="G219" s="978"/>
      <c r="H219" s="600"/>
      <c r="I219" s="602"/>
      <c r="J219" s="950"/>
      <c r="K219" s="600"/>
    </row>
    <row r="220" spans="1:11">
      <c r="A220" s="1260"/>
      <c r="B220" s="1243"/>
      <c r="C220" s="601"/>
      <c r="D220" s="1148"/>
      <c r="E220" s="596"/>
      <c r="F220" s="978"/>
      <c r="G220" s="978"/>
      <c r="H220" s="600"/>
      <c r="I220" s="602"/>
      <c r="J220" s="950"/>
      <c r="K220" s="600"/>
    </row>
    <row r="221" spans="1:11">
      <c r="A221" s="1260"/>
      <c r="B221" s="1148"/>
      <c r="C221" s="605"/>
      <c r="D221" s="1148"/>
      <c r="E221" s="600"/>
      <c r="F221" s="978"/>
      <c r="G221" s="978"/>
      <c r="H221" s="600"/>
      <c r="I221" s="602"/>
      <c r="J221" s="950"/>
      <c r="K221" s="600"/>
    </row>
    <row r="222" spans="1:11">
      <c r="A222" s="1261"/>
      <c r="B222" s="606"/>
      <c r="C222" s="595"/>
      <c r="D222" s="1148"/>
      <c r="E222" s="596"/>
      <c r="F222" s="596"/>
      <c r="G222" s="596"/>
      <c r="H222" s="597"/>
      <c r="I222" s="598"/>
      <c r="J222" s="951"/>
      <c r="K222" s="599"/>
    </row>
    <row r="223" spans="1:11">
      <c r="A223" s="1260"/>
      <c r="B223" s="1148"/>
      <c r="C223" s="597"/>
      <c r="D223" s="606"/>
      <c r="E223" s="599"/>
      <c r="F223" s="596"/>
      <c r="G223" s="596"/>
      <c r="H223" s="597"/>
      <c r="I223" s="595"/>
      <c r="J223" s="951"/>
      <c r="K223" s="600"/>
    </row>
    <row r="224" spans="1:11">
      <c r="A224" s="1260"/>
      <c r="B224" s="1148"/>
      <c r="C224" s="597"/>
      <c r="D224" s="977"/>
      <c r="E224" s="599"/>
      <c r="F224" s="596"/>
      <c r="G224" s="596"/>
      <c r="H224" s="597"/>
      <c r="I224" s="595"/>
      <c r="J224" s="951"/>
      <c r="K224" s="600"/>
    </row>
    <row r="225" spans="1:17">
      <c r="A225" s="1260"/>
      <c r="B225" s="1148"/>
      <c r="C225" s="597"/>
      <c r="D225" s="606"/>
      <c r="E225" s="599"/>
      <c r="F225" s="596"/>
      <c r="G225" s="596"/>
      <c r="H225" s="597"/>
      <c r="I225" s="595"/>
      <c r="J225" s="951"/>
      <c r="K225" s="600"/>
    </row>
    <row r="226" spans="1:17">
      <c r="A226" s="1260"/>
      <c r="B226" s="1148"/>
      <c r="C226" s="597"/>
      <c r="D226" s="606"/>
      <c r="E226" s="599"/>
      <c r="F226" s="596"/>
      <c r="G226" s="596"/>
      <c r="H226" s="597"/>
      <c r="I226" s="595"/>
      <c r="J226" s="951"/>
      <c r="K226" s="600"/>
    </row>
    <row r="227" spans="1:17">
      <c r="A227" s="1262"/>
      <c r="B227" s="607"/>
      <c r="C227" s="597"/>
      <c r="D227" s="606"/>
      <c r="E227" s="599"/>
      <c r="F227" s="596"/>
      <c r="G227" s="596"/>
      <c r="H227" s="600"/>
      <c r="I227" s="602"/>
      <c r="J227" s="950"/>
      <c r="K227" s="600"/>
    </row>
    <row r="228" spans="1:17">
      <c r="A228" s="1262"/>
      <c r="B228" s="607"/>
      <c r="C228" s="597"/>
      <c r="D228" s="606"/>
      <c r="E228" s="599"/>
      <c r="F228" s="596"/>
      <c r="G228" s="596"/>
      <c r="H228" s="600"/>
      <c r="I228" s="602"/>
      <c r="J228" s="950"/>
      <c r="K228" s="600"/>
      <c r="L228" s="1251"/>
      <c r="M228" s="1252"/>
      <c r="N228" s="1252"/>
      <c r="O228" s="1252"/>
      <c r="P228" s="1253"/>
    </row>
    <row r="229" spans="1:17">
      <c r="A229" s="1262"/>
      <c r="B229" s="607"/>
      <c r="C229" s="597"/>
      <c r="D229" s="606"/>
      <c r="E229" s="599"/>
      <c r="F229" s="596"/>
      <c r="G229" s="596"/>
      <c r="H229" s="600"/>
      <c r="I229" s="602"/>
      <c r="J229" s="950"/>
      <c r="K229" s="600"/>
      <c r="L229" s="1251"/>
      <c r="M229" s="1252"/>
      <c r="N229" s="1252"/>
      <c r="O229" s="1252"/>
      <c r="P229" s="1253"/>
    </row>
    <row r="230" spans="1:17" s="10" customFormat="1">
      <c r="A230" s="1260"/>
      <c r="B230" s="1243"/>
      <c r="C230" s="601"/>
      <c r="D230" s="1148"/>
      <c r="E230" s="596"/>
      <c r="F230" s="978"/>
      <c r="G230" s="978"/>
      <c r="H230" s="600"/>
      <c r="I230" s="602"/>
      <c r="J230" s="950"/>
      <c r="K230" s="600"/>
      <c r="L230" s="1254"/>
      <c r="M230" s="1255"/>
      <c r="N230" s="1255"/>
      <c r="O230" s="1255"/>
      <c r="P230" s="1256"/>
      <c r="Q230" s="1257"/>
    </row>
    <row r="231" spans="1:17" s="10" customFormat="1">
      <c r="A231" s="1260"/>
      <c r="B231" s="1148"/>
      <c r="C231" s="605"/>
      <c r="D231" s="1148"/>
      <c r="E231" s="600"/>
      <c r="F231" s="978"/>
      <c r="G231" s="978"/>
      <c r="H231" s="600"/>
      <c r="I231" s="602"/>
      <c r="J231" s="950"/>
      <c r="K231" s="600"/>
      <c r="L231" s="1254"/>
      <c r="M231" s="1255"/>
      <c r="N231" s="1255"/>
      <c r="O231" s="1255"/>
      <c r="P231" s="1256"/>
      <c r="Q231" s="1257"/>
    </row>
    <row r="232" spans="1:17" s="10" customFormat="1">
      <c r="A232" s="1260"/>
      <c r="B232" s="1243"/>
      <c r="C232" s="601"/>
      <c r="D232" s="1148"/>
      <c r="E232" s="596"/>
      <c r="F232" s="978"/>
      <c r="G232" s="978"/>
      <c r="H232" s="600"/>
      <c r="I232" s="602"/>
      <c r="J232" s="950"/>
      <c r="K232" s="600"/>
      <c r="L232" s="1254"/>
      <c r="M232" s="1255"/>
      <c r="N232" s="1255"/>
      <c r="O232" s="1255"/>
      <c r="P232" s="1256"/>
      <c r="Q232" s="1257"/>
    </row>
    <row r="233" spans="1:17" s="10" customFormat="1">
      <c r="A233" s="1260"/>
      <c r="B233" s="1148"/>
      <c r="C233" s="605"/>
      <c r="D233" s="1148"/>
      <c r="E233" s="600"/>
      <c r="F233" s="978"/>
      <c r="G233" s="978"/>
      <c r="H233" s="600"/>
      <c r="I233" s="602"/>
      <c r="J233" s="950"/>
      <c r="K233" s="600"/>
      <c r="L233" s="1254"/>
      <c r="M233" s="1255"/>
      <c r="N233" s="1255"/>
      <c r="O233" s="1255"/>
      <c r="P233" s="1256"/>
      <c r="Q233" s="1257"/>
    </row>
    <row r="234" spans="1:17" s="10" customFormat="1">
      <c r="A234" s="1260"/>
      <c r="B234" s="1243"/>
      <c r="C234" s="601"/>
      <c r="D234" s="1148"/>
      <c r="E234" s="596"/>
      <c r="F234" s="978"/>
      <c r="G234" s="978"/>
      <c r="H234" s="600"/>
      <c r="I234" s="602"/>
      <c r="J234" s="950"/>
      <c r="K234" s="600"/>
      <c r="L234" s="1254"/>
      <c r="M234" s="1255"/>
      <c r="N234" s="1255"/>
      <c r="O234" s="1255"/>
      <c r="P234" s="1256"/>
      <c r="Q234" s="1257"/>
    </row>
    <row r="235" spans="1:17" s="10" customFormat="1">
      <c r="A235" s="1260"/>
      <c r="B235" s="1148"/>
      <c r="C235" s="605"/>
      <c r="D235" s="1148"/>
      <c r="E235" s="600"/>
      <c r="F235" s="978"/>
      <c r="G235" s="978"/>
      <c r="H235" s="600"/>
      <c r="I235" s="602"/>
      <c r="J235" s="950"/>
      <c r="K235" s="600"/>
      <c r="L235" s="1254"/>
      <c r="M235" s="1255"/>
      <c r="N235" s="1255"/>
      <c r="O235" s="1255"/>
      <c r="P235" s="1256"/>
      <c r="Q235" s="1257"/>
    </row>
    <row r="236" spans="1:17" s="10" customFormat="1">
      <c r="A236" s="1260"/>
      <c r="B236" s="1243"/>
      <c r="C236" s="601"/>
      <c r="D236" s="1148"/>
      <c r="E236" s="596"/>
      <c r="F236" s="978"/>
      <c r="G236" s="978"/>
      <c r="H236" s="600"/>
      <c r="I236" s="602"/>
      <c r="J236" s="950"/>
      <c r="K236" s="600"/>
      <c r="L236" s="1254"/>
      <c r="M236" s="1255"/>
      <c r="N236" s="1255"/>
      <c r="O236" s="1255"/>
      <c r="P236" s="1256"/>
      <c r="Q236" s="1257"/>
    </row>
    <row r="237" spans="1:17" s="10" customFormat="1">
      <c r="A237" s="1260"/>
      <c r="B237" s="1148"/>
      <c r="C237" s="605"/>
      <c r="D237" s="1148"/>
      <c r="E237" s="600"/>
      <c r="F237" s="978"/>
      <c r="G237" s="978"/>
      <c r="H237" s="600"/>
      <c r="I237" s="602"/>
      <c r="J237" s="950"/>
      <c r="K237" s="600"/>
      <c r="L237" s="1254"/>
      <c r="M237" s="1255"/>
      <c r="N237" s="1255"/>
      <c r="O237" s="1255"/>
      <c r="P237" s="1256"/>
      <c r="Q237" s="1257"/>
    </row>
    <row r="238" spans="1:17" s="10" customFormat="1">
      <c r="A238" s="1260"/>
      <c r="B238" s="1243"/>
      <c r="C238" s="601"/>
      <c r="D238" s="1148"/>
      <c r="E238" s="596"/>
      <c r="F238" s="978"/>
      <c r="G238" s="978"/>
      <c r="H238" s="600"/>
      <c r="I238" s="602"/>
      <c r="J238" s="950"/>
      <c r="K238" s="600"/>
      <c r="L238" s="1254"/>
      <c r="M238" s="1255"/>
      <c r="N238" s="1255"/>
      <c r="O238" s="1255"/>
      <c r="P238" s="1256"/>
      <c r="Q238" s="1257"/>
    </row>
    <row r="239" spans="1:17" s="10" customFormat="1">
      <c r="A239" s="1260"/>
      <c r="B239" s="1148"/>
      <c r="C239" s="605"/>
      <c r="D239" s="1148"/>
      <c r="E239" s="600"/>
      <c r="F239" s="978"/>
      <c r="G239" s="978"/>
      <c r="H239" s="600"/>
      <c r="I239" s="602"/>
      <c r="J239" s="950"/>
      <c r="K239" s="600"/>
      <c r="L239" s="1254"/>
      <c r="M239" s="1255"/>
      <c r="N239" s="1255"/>
      <c r="O239" s="1255"/>
      <c r="P239" s="1256"/>
      <c r="Q239" s="1257"/>
    </row>
    <row r="240" spans="1:17" s="10" customFormat="1">
      <c r="A240" s="1260"/>
      <c r="B240" s="1243"/>
      <c r="C240" s="601"/>
      <c r="D240" s="1148"/>
      <c r="E240" s="596"/>
      <c r="F240" s="978"/>
      <c r="G240" s="978"/>
      <c r="H240" s="600"/>
      <c r="I240" s="602"/>
      <c r="J240" s="950"/>
      <c r="K240" s="600"/>
      <c r="L240" s="1254"/>
      <c r="M240" s="1255"/>
      <c r="N240" s="1255"/>
      <c r="O240" s="1255"/>
      <c r="P240" s="1256"/>
      <c r="Q240" s="1257"/>
    </row>
    <row r="241" spans="1:17" s="10" customFormat="1">
      <c r="A241" s="1260"/>
      <c r="B241" s="1148"/>
      <c r="C241" s="603"/>
      <c r="D241" s="1148"/>
      <c r="E241" s="600"/>
      <c r="F241" s="978"/>
      <c r="G241" s="978"/>
      <c r="H241" s="600"/>
      <c r="I241" s="602"/>
      <c r="J241" s="950"/>
      <c r="K241" s="600"/>
      <c r="L241" s="1254"/>
      <c r="M241" s="1255"/>
      <c r="N241" s="1255"/>
      <c r="O241" s="1255"/>
      <c r="P241" s="1256"/>
      <c r="Q241" s="1257"/>
    </row>
    <row r="242" spans="1:17" s="10" customFormat="1">
      <c r="A242" s="1261"/>
      <c r="B242" s="606"/>
      <c r="C242" s="595"/>
      <c r="D242" s="1148"/>
      <c r="E242" s="596"/>
      <c r="F242" s="596"/>
      <c r="G242" s="596"/>
      <c r="H242" s="597"/>
      <c r="I242" s="598"/>
      <c r="J242" s="951"/>
      <c r="K242" s="599"/>
      <c r="L242" s="1254"/>
      <c r="M242" s="1255"/>
      <c r="N242" s="1255"/>
      <c r="O242" s="1255"/>
      <c r="P242" s="1256"/>
      <c r="Q242" s="1257"/>
    </row>
    <row r="243" spans="1:17" s="10" customFormat="1">
      <c r="A243" s="1260"/>
      <c r="B243" s="1148"/>
      <c r="C243" s="597"/>
      <c r="D243" s="606"/>
      <c r="E243" s="599"/>
      <c r="F243" s="596"/>
      <c r="G243" s="596"/>
      <c r="H243" s="597"/>
      <c r="I243" s="595"/>
      <c r="J243" s="951"/>
      <c r="K243" s="600"/>
      <c r="L243" s="1254"/>
      <c r="M243" s="1255"/>
      <c r="N243" s="1255"/>
      <c r="O243" s="1255"/>
      <c r="P243" s="1256"/>
      <c r="Q243" s="1257"/>
    </row>
    <row r="244" spans="1:17" s="10" customFormat="1">
      <c r="A244" s="1260"/>
      <c r="B244" s="1148"/>
      <c r="C244" s="597"/>
      <c r="D244" s="977"/>
      <c r="E244" s="599"/>
      <c r="F244" s="596"/>
      <c r="G244" s="596"/>
      <c r="H244" s="597"/>
      <c r="I244" s="595"/>
      <c r="J244" s="951"/>
      <c r="K244" s="600"/>
      <c r="L244" s="1254"/>
      <c r="M244" s="1255"/>
      <c r="N244" s="1255"/>
      <c r="O244" s="1255"/>
      <c r="P244" s="1256"/>
      <c r="Q244" s="1257"/>
    </row>
    <row r="245" spans="1:17" s="10" customFormat="1">
      <c r="A245" s="1260"/>
      <c r="B245" s="1148"/>
      <c r="C245" s="597"/>
      <c r="D245" s="606"/>
      <c r="E245" s="599"/>
      <c r="F245" s="596"/>
      <c r="G245" s="596"/>
      <c r="H245" s="597"/>
      <c r="I245" s="595"/>
      <c r="J245" s="951"/>
      <c r="K245" s="600"/>
      <c r="L245" s="1254"/>
      <c r="M245" s="1255"/>
      <c r="N245" s="1255"/>
      <c r="O245" s="1255"/>
      <c r="P245" s="1256"/>
      <c r="Q245" s="1257"/>
    </row>
    <row r="246" spans="1:17" s="10" customFormat="1">
      <c r="A246" s="1260"/>
      <c r="B246" s="1148"/>
      <c r="C246" s="597"/>
      <c r="D246" s="606"/>
      <c r="E246" s="599"/>
      <c r="F246" s="596"/>
      <c r="G246" s="596"/>
      <c r="H246" s="597"/>
      <c r="I246" s="595"/>
      <c r="J246" s="951"/>
      <c r="K246" s="600"/>
      <c r="L246" s="1254"/>
      <c r="M246" s="1255"/>
      <c r="N246" s="1255"/>
      <c r="O246" s="1255"/>
      <c r="P246" s="1256"/>
      <c r="Q246" s="1257"/>
    </row>
    <row r="247" spans="1:17" s="10" customFormat="1">
      <c r="A247" s="1260"/>
      <c r="B247" s="1148"/>
      <c r="C247" s="597"/>
      <c r="D247" s="606"/>
      <c r="E247" s="599"/>
      <c r="F247" s="596"/>
      <c r="G247" s="596"/>
      <c r="H247" s="597"/>
      <c r="I247" s="595"/>
      <c r="J247" s="951"/>
      <c r="K247" s="600"/>
      <c r="L247" s="1254"/>
      <c r="M247" s="1255"/>
      <c r="N247" s="1255"/>
      <c r="O247" s="1255"/>
      <c r="P247" s="1256"/>
      <c r="Q247" s="1257"/>
    </row>
    <row r="248" spans="1:17" s="10" customFormat="1">
      <c r="A248" s="1260"/>
      <c r="B248" s="1243"/>
      <c r="C248" s="601"/>
      <c r="D248" s="1148"/>
      <c r="E248" s="596"/>
      <c r="F248" s="978"/>
      <c r="G248" s="604"/>
      <c r="H248" s="978"/>
      <c r="I248" s="602"/>
      <c r="J248" s="950"/>
      <c r="K248" s="600"/>
      <c r="L248" s="1254"/>
      <c r="M248" s="1255"/>
      <c r="N248" s="1255"/>
      <c r="O248" s="1255"/>
      <c r="P248" s="1256"/>
      <c r="Q248" s="1257"/>
    </row>
    <row r="249" spans="1:17" s="10" customFormat="1">
      <c r="A249" s="1260"/>
      <c r="B249" s="1148"/>
      <c r="C249" s="605"/>
      <c r="D249" s="1148"/>
      <c r="E249" s="600"/>
      <c r="F249" s="978"/>
      <c r="G249" s="978"/>
      <c r="H249" s="600"/>
      <c r="I249" s="602"/>
      <c r="J249" s="950"/>
      <c r="K249" s="600"/>
      <c r="L249" s="1254"/>
      <c r="M249" s="1255"/>
      <c r="N249" s="1255"/>
      <c r="O249" s="1255"/>
      <c r="P249" s="1256"/>
      <c r="Q249" s="1257"/>
    </row>
    <row r="250" spans="1:17" s="10" customFormat="1">
      <c r="A250" s="1260"/>
      <c r="B250" s="1243"/>
      <c r="C250" s="601"/>
      <c r="D250" s="1148"/>
      <c r="E250" s="596"/>
      <c r="F250" s="978"/>
      <c r="G250" s="978"/>
      <c r="H250" s="600"/>
      <c r="I250" s="602"/>
      <c r="J250" s="950"/>
      <c r="K250" s="600"/>
      <c r="L250" s="1254"/>
      <c r="M250" s="1255"/>
      <c r="N250" s="1255"/>
      <c r="O250" s="1255"/>
      <c r="P250" s="1256"/>
      <c r="Q250" s="1257"/>
    </row>
    <row r="251" spans="1:17" s="10" customFormat="1">
      <c r="A251" s="1260"/>
      <c r="B251" s="1148"/>
      <c r="C251" s="605"/>
      <c r="D251" s="1148"/>
      <c r="E251" s="600"/>
      <c r="F251" s="978"/>
      <c r="G251" s="978"/>
      <c r="H251" s="600"/>
      <c r="I251" s="602"/>
      <c r="J251" s="950"/>
      <c r="K251" s="600"/>
      <c r="L251" s="1254"/>
      <c r="M251" s="1255"/>
      <c r="N251" s="1255"/>
      <c r="O251" s="1255"/>
      <c r="P251" s="1256"/>
      <c r="Q251" s="1257"/>
    </row>
    <row r="252" spans="1:17" s="10" customFormat="1">
      <c r="A252" s="1260"/>
      <c r="B252" s="1243"/>
      <c r="C252" s="601"/>
      <c r="D252" s="1148"/>
      <c r="E252" s="596"/>
      <c r="F252" s="978"/>
      <c r="G252" s="978"/>
      <c r="H252" s="600"/>
      <c r="I252" s="602"/>
      <c r="J252" s="950"/>
      <c r="K252" s="600"/>
      <c r="L252" s="1254"/>
      <c r="M252" s="1255"/>
      <c r="N252" s="1255"/>
      <c r="O252" s="1255"/>
      <c r="P252" s="1256"/>
      <c r="Q252" s="1257"/>
    </row>
    <row r="253" spans="1:17" s="10" customFormat="1">
      <c r="A253" s="1260"/>
      <c r="B253" s="1148"/>
      <c r="C253" s="605"/>
      <c r="D253" s="1148"/>
      <c r="E253" s="600"/>
      <c r="F253" s="978"/>
      <c r="G253" s="978"/>
      <c r="H253" s="600"/>
      <c r="I253" s="602"/>
      <c r="J253" s="950"/>
      <c r="K253" s="600"/>
      <c r="L253" s="1254"/>
      <c r="M253" s="1255"/>
      <c r="N253" s="1255"/>
      <c r="O253" s="1255"/>
      <c r="P253" s="1256"/>
      <c r="Q253" s="1257"/>
    </row>
    <row r="254" spans="1:17" s="10" customFormat="1">
      <c r="A254" s="1260"/>
      <c r="B254" s="1243"/>
      <c r="C254" s="601"/>
      <c r="D254" s="1148"/>
      <c r="E254" s="596"/>
      <c r="F254" s="978"/>
      <c r="G254" s="978"/>
      <c r="H254" s="600"/>
      <c r="I254" s="602"/>
      <c r="J254" s="950"/>
      <c r="K254" s="600"/>
      <c r="L254" s="1254"/>
      <c r="M254" s="1255"/>
      <c r="N254" s="1255"/>
      <c r="O254" s="1255"/>
      <c r="P254" s="1256"/>
      <c r="Q254" s="1257"/>
    </row>
    <row r="255" spans="1:17" s="10" customFormat="1">
      <c r="A255" s="1260"/>
      <c r="B255" s="1148"/>
      <c r="C255" s="605"/>
      <c r="D255" s="1148"/>
      <c r="E255" s="600"/>
      <c r="F255" s="978"/>
      <c r="G255" s="978"/>
      <c r="H255" s="600"/>
      <c r="I255" s="602"/>
      <c r="J255" s="950"/>
      <c r="K255" s="600"/>
      <c r="L255" s="1254"/>
      <c r="M255" s="1255"/>
      <c r="N255" s="1255"/>
      <c r="O255" s="1255"/>
      <c r="P255" s="1256"/>
      <c r="Q255" s="1257"/>
    </row>
    <row r="256" spans="1:17" s="10" customFormat="1">
      <c r="A256" s="1260"/>
      <c r="B256" s="1243"/>
      <c r="C256" s="601"/>
      <c r="D256" s="1148"/>
      <c r="E256" s="596"/>
      <c r="F256" s="978"/>
      <c r="G256" s="978"/>
      <c r="H256" s="600"/>
      <c r="I256" s="602"/>
      <c r="J256" s="950"/>
      <c r="K256" s="600"/>
      <c r="L256" s="1254"/>
      <c r="M256" s="1255"/>
      <c r="N256" s="1255"/>
      <c r="O256" s="1255"/>
      <c r="P256" s="1256"/>
      <c r="Q256" s="1257"/>
    </row>
    <row r="257" spans="1:17" s="10" customFormat="1">
      <c r="A257" s="1260"/>
      <c r="B257" s="1148"/>
      <c r="C257" s="605"/>
      <c r="D257" s="1148"/>
      <c r="E257" s="600"/>
      <c r="F257" s="978"/>
      <c r="G257" s="978"/>
      <c r="H257" s="600"/>
      <c r="I257" s="602"/>
      <c r="J257" s="950"/>
      <c r="K257" s="600"/>
      <c r="L257" s="1254"/>
      <c r="M257" s="1255"/>
      <c r="N257" s="1255"/>
      <c r="O257" s="1255"/>
      <c r="P257" s="1256"/>
      <c r="Q257" s="1257"/>
    </row>
    <row r="258" spans="1:17" s="10" customFormat="1">
      <c r="A258" s="1260"/>
      <c r="B258" s="1243"/>
      <c r="C258" s="601"/>
      <c r="D258" s="1148"/>
      <c r="E258" s="596"/>
      <c r="F258" s="978"/>
      <c r="G258" s="978"/>
      <c r="H258" s="600"/>
      <c r="I258" s="602"/>
      <c r="J258" s="950"/>
      <c r="K258" s="600"/>
      <c r="L258" s="1254"/>
      <c r="M258" s="1255"/>
      <c r="N258" s="1255"/>
      <c r="O258" s="1255"/>
      <c r="P258" s="1256"/>
      <c r="Q258" s="1257"/>
    </row>
    <row r="259" spans="1:17" s="10" customFormat="1">
      <c r="A259" s="1260"/>
      <c r="B259" s="1148"/>
      <c r="C259" s="603"/>
      <c r="D259" s="1148"/>
      <c r="E259" s="600"/>
      <c r="F259" s="978"/>
      <c r="G259" s="978"/>
      <c r="H259" s="600"/>
      <c r="I259" s="602"/>
      <c r="J259" s="950"/>
      <c r="K259" s="600"/>
      <c r="L259" s="1254"/>
      <c r="M259" s="1255"/>
      <c r="N259" s="1255"/>
      <c r="O259" s="1255"/>
      <c r="P259" s="1256"/>
      <c r="Q259" s="1257"/>
    </row>
    <row r="260" spans="1:17" s="10" customFormat="1">
      <c r="A260" s="1261"/>
      <c r="B260" s="606"/>
      <c r="C260" s="595"/>
      <c r="D260" s="1148"/>
      <c r="E260" s="596"/>
      <c r="F260" s="596"/>
      <c r="G260" s="596"/>
      <c r="H260" s="597"/>
      <c r="I260" s="598"/>
      <c r="J260" s="951"/>
      <c r="K260" s="599"/>
      <c r="L260" s="1254"/>
      <c r="M260" s="1255"/>
      <c r="N260" s="1255"/>
      <c r="O260" s="1255"/>
      <c r="P260" s="1256"/>
      <c r="Q260" s="1257"/>
    </row>
    <row r="261" spans="1:17" s="10" customFormat="1">
      <c r="A261" s="1260"/>
      <c r="B261" s="1148"/>
      <c r="C261" s="597"/>
      <c r="D261" s="606"/>
      <c r="E261" s="599"/>
      <c r="F261" s="596"/>
      <c r="G261" s="596"/>
      <c r="H261" s="600"/>
      <c r="I261" s="602"/>
      <c r="J261" s="950"/>
      <c r="K261" s="600"/>
      <c r="L261" s="1254"/>
      <c r="M261" s="1255"/>
      <c r="N261" s="1255"/>
      <c r="O261" s="1255"/>
      <c r="P261" s="1256"/>
      <c r="Q261" s="1257"/>
    </row>
    <row r="262" spans="1:17">
      <c r="A262" s="1260"/>
      <c r="B262" s="1148"/>
      <c r="C262" s="597"/>
      <c r="D262" s="1152"/>
      <c r="E262" s="599"/>
      <c r="F262" s="596"/>
      <c r="G262" s="596"/>
      <c r="H262" s="597"/>
      <c r="I262" s="595"/>
      <c r="J262" s="951"/>
      <c r="K262" s="600"/>
      <c r="L262" s="1251"/>
      <c r="M262" s="1252"/>
      <c r="N262" s="1252"/>
      <c r="O262" s="1252"/>
      <c r="P262" s="1253"/>
    </row>
    <row r="263" spans="1:17">
      <c r="A263" s="1260"/>
      <c r="B263" s="1148"/>
      <c r="C263" s="597"/>
      <c r="D263" s="977"/>
      <c r="E263" s="599"/>
      <c r="F263" s="596"/>
      <c r="G263" s="596"/>
      <c r="H263" s="597"/>
      <c r="I263" s="595"/>
      <c r="J263" s="951"/>
      <c r="K263" s="600"/>
      <c r="L263" s="1251"/>
      <c r="M263" s="1252"/>
      <c r="N263" s="1252"/>
      <c r="O263" s="1252"/>
      <c r="P263" s="1253"/>
    </row>
    <row r="264" spans="1:17">
      <c r="A264" s="1260"/>
      <c r="B264" s="1243"/>
      <c r="C264" s="601"/>
      <c r="D264" s="1148"/>
      <c r="E264" s="596"/>
      <c r="F264" s="978"/>
      <c r="G264" s="978"/>
      <c r="H264" s="600"/>
      <c r="I264" s="602"/>
      <c r="J264" s="950"/>
      <c r="K264" s="600"/>
      <c r="L264" s="1251"/>
      <c r="M264" s="1252"/>
      <c r="N264" s="1252"/>
      <c r="O264" s="1252"/>
      <c r="P264" s="1253"/>
    </row>
    <row r="265" spans="1:17">
      <c r="A265" s="1260"/>
      <c r="B265" s="1148"/>
      <c r="C265" s="605"/>
      <c r="D265" s="1148"/>
      <c r="E265" s="600"/>
      <c r="F265" s="978"/>
      <c r="G265" s="978"/>
      <c r="H265" s="600"/>
      <c r="I265" s="602"/>
      <c r="J265" s="950"/>
      <c r="K265" s="600"/>
      <c r="L265" s="1251"/>
      <c r="M265" s="1252"/>
      <c r="N265" s="1252"/>
      <c r="O265" s="1252"/>
      <c r="P265" s="1253"/>
    </row>
    <row r="266" spans="1:17">
      <c r="A266" s="1260"/>
      <c r="B266" s="1243"/>
      <c r="C266" s="601"/>
      <c r="D266" s="1148"/>
      <c r="E266" s="596"/>
      <c r="F266" s="978"/>
      <c r="G266" s="978"/>
      <c r="H266" s="600"/>
      <c r="I266" s="602"/>
      <c r="J266" s="950"/>
      <c r="K266" s="600"/>
      <c r="L266" s="1251"/>
      <c r="M266" s="1252"/>
      <c r="N266" s="1252"/>
      <c r="O266" s="1252"/>
      <c r="P266" s="1253"/>
    </row>
    <row r="267" spans="1:17">
      <c r="A267" s="1260"/>
      <c r="B267" s="1148"/>
      <c r="C267" s="605"/>
      <c r="D267" s="1148"/>
      <c r="E267" s="600"/>
      <c r="F267" s="978"/>
      <c r="G267" s="978"/>
      <c r="H267" s="600"/>
      <c r="I267" s="602"/>
      <c r="J267" s="950"/>
      <c r="K267" s="600"/>
      <c r="L267" s="1251"/>
      <c r="M267" s="1252"/>
      <c r="N267" s="1252"/>
      <c r="O267" s="1252"/>
      <c r="P267" s="1253"/>
    </row>
    <row r="268" spans="1:17">
      <c r="A268" s="1261"/>
      <c r="B268" s="606"/>
      <c r="C268" s="595"/>
      <c r="D268" s="1148"/>
      <c r="E268" s="596"/>
      <c r="F268" s="596"/>
      <c r="G268" s="596"/>
      <c r="H268" s="597"/>
      <c r="I268" s="598"/>
      <c r="J268" s="951"/>
      <c r="K268" s="599"/>
      <c r="L268" s="1251"/>
      <c r="M268" s="1252"/>
      <c r="N268" s="1252"/>
      <c r="O268" s="1252"/>
      <c r="P268" s="1253"/>
    </row>
    <row r="269" spans="1:17">
      <c r="A269" s="1260"/>
      <c r="B269" s="1148"/>
      <c r="C269" s="597"/>
      <c r="D269" s="606"/>
      <c r="E269" s="599"/>
      <c r="F269" s="596"/>
      <c r="G269" s="596"/>
      <c r="H269" s="600"/>
      <c r="I269" s="602"/>
      <c r="J269" s="950"/>
      <c r="K269" s="600"/>
      <c r="L269" s="1251"/>
      <c r="M269" s="1252"/>
      <c r="N269" s="1252"/>
      <c r="O269" s="1252"/>
      <c r="P269" s="1253"/>
    </row>
    <row r="270" spans="1:17">
      <c r="A270" s="1260"/>
      <c r="B270" s="1148"/>
      <c r="C270" s="597"/>
      <c r="D270" s="1152"/>
      <c r="E270" s="599"/>
      <c r="F270" s="596"/>
      <c r="G270" s="596"/>
      <c r="H270" s="597"/>
      <c r="I270" s="595"/>
      <c r="J270" s="951"/>
      <c r="K270" s="600"/>
      <c r="L270" s="1251"/>
      <c r="M270" s="1252"/>
      <c r="N270" s="1252"/>
      <c r="O270" s="1252"/>
      <c r="P270" s="1253"/>
    </row>
    <row r="271" spans="1:17">
      <c r="A271" s="1260"/>
      <c r="B271" s="1148"/>
      <c r="C271" s="597"/>
      <c r="D271" s="977"/>
      <c r="E271" s="599"/>
      <c r="F271" s="596"/>
      <c r="G271" s="596"/>
      <c r="H271" s="597"/>
      <c r="I271" s="595"/>
      <c r="J271" s="951"/>
      <c r="K271" s="600"/>
      <c r="L271" s="1251"/>
      <c r="M271" s="1252"/>
      <c r="N271" s="1252"/>
      <c r="O271" s="1252"/>
      <c r="P271" s="1253"/>
    </row>
    <row r="272" spans="1:17">
      <c r="A272" s="1260"/>
      <c r="B272" s="1243"/>
      <c r="C272" s="601"/>
      <c r="D272" s="1148"/>
      <c r="E272" s="596"/>
      <c r="F272" s="978"/>
      <c r="G272" s="978"/>
      <c r="H272" s="600"/>
      <c r="I272" s="602"/>
      <c r="J272" s="950"/>
      <c r="K272" s="600"/>
      <c r="L272" s="1251"/>
      <c r="M272" s="1252"/>
      <c r="N272" s="1252"/>
      <c r="O272" s="1252"/>
      <c r="P272" s="1253"/>
    </row>
    <row r="273" spans="1:11">
      <c r="A273" s="1260"/>
      <c r="B273" s="1148"/>
      <c r="C273" s="605"/>
      <c r="D273" s="1148"/>
      <c r="E273" s="600"/>
      <c r="F273" s="978"/>
      <c r="G273" s="978"/>
      <c r="H273" s="600"/>
      <c r="I273" s="602"/>
      <c r="J273" s="950"/>
      <c r="K273" s="600"/>
    </row>
    <row r="274" spans="1:11">
      <c r="A274" s="1260"/>
      <c r="B274" s="1243"/>
      <c r="C274" s="601"/>
      <c r="D274" s="1148"/>
      <c r="E274" s="596"/>
      <c r="F274" s="978"/>
      <c r="G274" s="978"/>
      <c r="H274" s="600"/>
      <c r="I274" s="602"/>
      <c r="J274" s="950"/>
      <c r="K274" s="600"/>
    </row>
    <row r="275" spans="1:11">
      <c r="A275" s="1260"/>
      <c r="B275" s="1148"/>
      <c r="C275" s="605"/>
      <c r="D275" s="1148"/>
      <c r="E275" s="600"/>
      <c r="F275" s="978"/>
      <c r="G275" s="978"/>
      <c r="H275" s="600"/>
      <c r="I275" s="602"/>
      <c r="J275" s="950"/>
      <c r="K275" s="600"/>
    </row>
    <row r="276" spans="1:11">
      <c r="A276" s="1261"/>
      <c r="B276" s="606"/>
      <c r="C276" s="595"/>
      <c r="D276" s="1148"/>
      <c r="E276" s="596"/>
      <c r="F276" s="596"/>
      <c r="G276" s="596"/>
      <c r="H276" s="597"/>
      <c r="I276" s="598"/>
      <c r="J276" s="951"/>
      <c r="K276" s="599"/>
    </row>
    <row r="277" spans="1:11">
      <c r="A277" s="1260"/>
      <c r="B277" s="1148"/>
      <c r="C277" s="597"/>
      <c r="D277" s="606"/>
      <c r="E277" s="599"/>
      <c r="F277" s="596"/>
      <c r="G277" s="596"/>
      <c r="H277" s="600"/>
      <c r="I277" s="602"/>
      <c r="J277" s="950"/>
      <c r="K277" s="600"/>
    </row>
    <row r="278" spans="1:11">
      <c r="A278" s="1260"/>
      <c r="B278" s="1148"/>
      <c r="C278" s="597"/>
      <c r="D278" s="1152"/>
      <c r="E278" s="599"/>
      <c r="F278" s="596"/>
      <c r="G278" s="596"/>
      <c r="H278" s="597"/>
      <c r="I278" s="595"/>
      <c r="J278" s="951"/>
      <c r="K278" s="600"/>
    </row>
    <row r="279" spans="1:11">
      <c r="A279" s="1260"/>
      <c r="B279" s="1148"/>
      <c r="C279" s="597"/>
      <c r="D279" s="977"/>
      <c r="E279" s="599"/>
      <c r="F279" s="596"/>
      <c r="G279" s="596"/>
      <c r="H279" s="597"/>
      <c r="I279" s="595"/>
      <c r="J279" s="951"/>
      <c r="K279" s="600"/>
    </row>
    <row r="280" spans="1:11">
      <c r="A280" s="1260"/>
      <c r="B280" s="1243"/>
      <c r="C280" s="601"/>
      <c r="D280" s="1148"/>
      <c r="E280" s="596"/>
      <c r="F280" s="978"/>
      <c r="G280" s="978"/>
      <c r="H280" s="600"/>
      <c r="I280" s="602"/>
      <c r="J280" s="950"/>
      <c r="K280" s="600"/>
    </row>
    <row r="281" spans="1:11">
      <c r="A281" s="1260"/>
      <c r="B281" s="1148"/>
      <c r="C281" s="605"/>
      <c r="D281" s="1148"/>
      <c r="E281" s="600"/>
      <c r="F281" s="978"/>
      <c r="G281" s="978"/>
      <c r="H281" s="600"/>
      <c r="I281" s="602"/>
      <c r="J281" s="950"/>
      <c r="K281" s="600"/>
    </row>
    <row r="282" spans="1:11">
      <c r="A282" s="1260"/>
      <c r="B282" s="1243"/>
      <c r="C282" s="601"/>
      <c r="D282" s="1148"/>
      <c r="E282" s="596"/>
      <c r="F282" s="978"/>
      <c r="G282" s="978"/>
      <c r="H282" s="600"/>
      <c r="I282" s="602"/>
      <c r="J282" s="950"/>
      <c r="K282" s="600"/>
    </row>
    <row r="283" spans="1:11">
      <c r="A283" s="1260"/>
      <c r="B283" s="1148"/>
      <c r="C283" s="605"/>
      <c r="D283" s="1148"/>
      <c r="E283" s="600"/>
      <c r="F283" s="978"/>
      <c r="G283" s="978"/>
      <c r="H283" s="600"/>
      <c r="I283" s="602"/>
      <c r="J283" s="950"/>
      <c r="K283" s="600"/>
    </row>
    <row r="284" spans="1:11">
      <c r="A284" s="1260"/>
      <c r="B284" s="1243"/>
      <c r="C284" s="601"/>
      <c r="D284" s="1148"/>
      <c r="E284" s="596"/>
      <c r="F284" s="978"/>
      <c r="G284" s="978"/>
      <c r="H284" s="600"/>
      <c r="I284" s="602"/>
      <c r="J284" s="950"/>
      <c r="K284" s="600"/>
    </row>
    <row r="285" spans="1:11">
      <c r="A285" s="1260"/>
      <c r="B285" s="1148"/>
      <c r="C285" s="605"/>
      <c r="D285" s="1148"/>
      <c r="E285" s="600"/>
      <c r="F285" s="978"/>
      <c r="G285" s="978"/>
      <c r="H285" s="600"/>
      <c r="I285" s="602"/>
      <c r="J285" s="950"/>
      <c r="K285" s="600"/>
    </row>
    <row r="286" spans="1:11">
      <c r="A286" s="1260"/>
      <c r="B286" s="1243"/>
      <c r="C286" s="601"/>
      <c r="D286" s="1148"/>
      <c r="E286" s="596"/>
      <c r="F286" s="978"/>
      <c r="G286" s="978"/>
      <c r="H286" s="600"/>
      <c r="I286" s="602"/>
      <c r="J286" s="950"/>
      <c r="K286" s="600"/>
    </row>
    <row r="287" spans="1:11">
      <c r="A287" s="1260"/>
      <c r="B287" s="1148"/>
      <c r="C287" s="605"/>
      <c r="D287" s="1148"/>
      <c r="E287" s="600"/>
      <c r="F287" s="978"/>
      <c r="G287" s="978"/>
      <c r="H287" s="600"/>
      <c r="I287" s="602"/>
      <c r="J287" s="950"/>
      <c r="K287" s="600"/>
    </row>
    <row r="288" spans="1:11">
      <c r="A288" s="1260"/>
      <c r="B288" s="1243"/>
      <c r="C288" s="601"/>
      <c r="D288" s="1148"/>
      <c r="E288" s="596"/>
      <c r="F288" s="978"/>
      <c r="G288" s="978"/>
      <c r="H288" s="600"/>
      <c r="I288" s="602"/>
      <c r="J288" s="950"/>
      <c r="K288" s="600"/>
    </row>
    <row r="289" spans="1:11">
      <c r="A289" s="1260"/>
      <c r="B289" s="1148"/>
      <c r="C289" s="603"/>
      <c r="D289" s="1148"/>
      <c r="E289" s="600"/>
      <c r="F289" s="978"/>
      <c r="G289" s="978"/>
      <c r="H289" s="600"/>
      <c r="I289" s="602"/>
      <c r="J289" s="950"/>
      <c r="K289" s="600"/>
    </row>
    <row r="290" spans="1:11">
      <c r="A290" s="1260"/>
      <c r="B290" s="1243"/>
      <c r="C290" s="601"/>
      <c r="D290" s="1148"/>
      <c r="E290" s="596"/>
      <c r="F290" s="978"/>
      <c r="G290" s="978"/>
      <c r="H290" s="600"/>
      <c r="I290" s="602"/>
      <c r="J290" s="950"/>
      <c r="K290" s="600"/>
    </row>
    <row r="291" spans="1:11">
      <c r="A291" s="1260"/>
      <c r="B291" s="1148"/>
      <c r="C291" s="605"/>
      <c r="D291" s="1148"/>
      <c r="E291" s="600"/>
      <c r="F291" s="978"/>
      <c r="G291" s="978"/>
      <c r="H291" s="600"/>
      <c r="I291" s="602"/>
      <c r="J291" s="950"/>
      <c r="K291" s="600"/>
    </row>
    <row r="292" spans="1:11">
      <c r="A292" s="1260"/>
      <c r="B292" s="1243"/>
      <c r="C292" s="601"/>
      <c r="D292" s="1148"/>
      <c r="E292" s="596"/>
      <c r="F292" s="978"/>
      <c r="G292" s="978"/>
      <c r="H292" s="600"/>
      <c r="I292" s="602"/>
      <c r="J292" s="950"/>
      <c r="K292" s="600"/>
    </row>
    <row r="293" spans="1:11">
      <c r="A293" s="1260"/>
      <c r="B293" s="1148"/>
      <c r="C293" s="605"/>
      <c r="D293" s="1148"/>
      <c r="E293" s="600"/>
      <c r="F293" s="978"/>
      <c r="G293" s="978"/>
      <c r="H293" s="600"/>
      <c r="I293" s="602"/>
      <c r="J293" s="950"/>
      <c r="K293" s="600"/>
    </row>
    <row r="294" spans="1:11">
      <c r="A294" s="1260"/>
      <c r="B294" s="1243"/>
      <c r="C294" s="601"/>
      <c r="D294" s="1148"/>
      <c r="E294" s="596"/>
      <c r="F294" s="978"/>
      <c r="G294" s="978"/>
      <c r="H294" s="600"/>
      <c r="I294" s="602"/>
      <c r="J294" s="950"/>
      <c r="K294" s="600"/>
    </row>
    <row r="295" spans="1:11">
      <c r="A295" s="1260"/>
      <c r="B295" s="1148"/>
      <c r="C295" s="605"/>
      <c r="D295" s="1148"/>
      <c r="E295" s="600"/>
      <c r="F295" s="978"/>
      <c r="G295" s="978"/>
      <c r="H295" s="600"/>
      <c r="I295" s="602"/>
      <c r="J295" s="950"/>
      <c r="K295" s="600"/>
    </row>
    <row r="296" spans="1:11">
      <c r="A296" s="1261"/>
      <c r="B296" s="606"/>
      <c r="C296" s="595"/>
      <c r="D296" s="1148"/>
      <c r="E296" s="596"/>
      <c r="F296" s="596"/>
      <c r="G296" s="596"/>
      <c r="H296" s="597"/>
      <c r="I296" s="598"/>
      <c r="J296" s="951"/>
      <c r="K296" s="599"/>
    </row>
    <row r="297" spans="1:11">
      <c r="A297" s="1260"/>
      <c r="B297" s="1148"/>
      <c r="C297" s="597"/>
      <c r="D297" s="606"/>
      <c r="E297" s="599"/>
      <c r="F297" s="596"/>
      <c r="G297" s="596"/>
      <c r="H297" s="600"/>
      <c r="I297" s="602"/>
      <c r="J297" s="950"/>
      <c r="K297" s="600"/>
    </row>
    <row r="298" spans="1:11">
      <c r="A298" s="1260"/>
      <c r="B298" s="1148"/>
      <c r="C298" s="597"/>
      <c r="D298" s="1152"/>
      <c r="E298" s="599"/>
      <c r="F298" s="596"/>
      <c r="G298" s="596"/>
      <c r="H298" s="597"/>
      <c r="I298" s="595"/>
      <c r="J298" s="951"/>
      <c r="K298" s="600"/>
    </row>
    <row r="299" spans="1:11">
      <c r="A299" s="1260"/>
      <c r="B299" s="1148"/>
      <c r="C299" s="597"/>
      <c r="D299" s="977"/>
      <c r="E299" s="599"/>
      <c r="F299" s="596"/>
      <c r="G299" s="596"/>
      <c r="H299" s="597"/>
      <c r="I299" s="595"/>
      <c r="J299" s="951"/>
      <c r="K299" s="600"/>
    </row>
    <row r="300" spans="1:11">
      <c r="A300" s="1260"/>
      <c r="B300" s="1243"/>
      <c r="C300" s="601"/>
      <c r="D300" s="1148"/>
      <c r="E300" s="596"/>
      <c r="F300" s="978"/>
      <c r="G300" s="978"/>
      <c r="H300" s="600"/>
      <c r="I300" s="602"/>
      <c r="J300" s="950"/>
      <c r="K300" s="600"/>
    </row>
    <row r="301" spans="1:11">
      <c r="A301" s="1260"/>
      <c r="B301" s="1148"/>
      <c r="C301" s="605"/>
      <c r="D301" s="1148"/>
      <c r="E301" s="600"/>
      <c r="F301" s="978"/>
      <c r="G301" s="978"/>
      <c r="H301" s="600"/>
      <c r="I301" s="602"/>
      <c r="J301" s="950"/>
      <c r="K301" s="600"/>
    </row>
    <row r="302" spans="1:11">
      <c r="A302" s="1260"/>
      <c r="B302" s="1243"/>
      <c r="C302" s="601"/>
      <c r="D302" s="1148"/>
      <c r="E302" s="596"/>
      <c r="F302" s="978"/>
      <c r="G302" s="978"/>
      <c r="H302" s="600"/>
      <c r="I302" s="602"/>
      <c r="J302" s="950"/>
      <c r="K302" s="600"/>
    </row>
    <row r="303" spans="1:11">
      <c r="A303" s="1260"/>
      <c r="B303" s="1148"/>
      <c r="C303" s="605"/>
      <c r="D303" s="1148"/>
      <c r="E303" s="600"/>
      <c r="F303" s="978"/>
      <c r="G303" s="978"/>
      <c r="H303" s="600"/>
      <c r="I303" s="602"/>
      <c r="J303" s="950"/>
      <c r="K303" s="600"/>
    </row>
    <row r="304" spans="1:11">
      <c r="A304" s="1260"/>
      <c r="B304" s="1243"/>
      <c r="C304" s="601"/>
      <c r="D304" s="1148"/>
      <c r="E304" s="596"/>
      <c r="F304" s="978"/>
      <c r="G304" s="978"/>
      <c r="H304" s="600"/>
      <c r="I304" s="602"/>
      <c r="J304" s="950"/>
      <c r="K304" s="600"/>
    </row>
    <row r="305" spans="1:11">
      <c r="A305" s="1260"/>
      <c r="B305" s="1148"/>
      <c r="C305" s="605"/>
      <c r="D305" s="1148"/>
      <c r="E305" s="600"/>
      <c r="F305" s="978"/>
      <c r="G305" s="978"/>
      <c r="H305" s="600"/>
      <c r="I305" s="602"/>
      <c r="J305" s="950"/>
      <c r="K305" s="600"/>
    </row>
    <row r="306" spans="1:11">
      <c r="A306" s="1260"/>
      <c r="B306" s="1243"/>
      <c r="C306" s="601"/>
      <c r="D306" s="1148"/>
      <c r="E306" s="596"/>
      <c r="F306" s="978"/>
      <c r="G306" s="978"/>
      <c r="H306" s="600"/>
      <c r="I306" s="602"/>
      <c r="J306" s="950"/>
      <c r="K306" s="600"/>
    </row>
    <row r="307" spans="1:11">
      <c r="A307" s="1260"/>
      <c r="B307" s="1148"/>
      <c r="C307" s="605"/>
      <c r="D307" s="1148"/>
      <c r="E307" s="600"/>
      <c r="F307" s="978"/>
      <c r="G307" s="978"/>
      <c r="H307" s="600"/>
      <c r="I307" s="602"/>
      <c r="J307" s="950"/>
      <c r="K307" s="600"/>
    </row>
    <row r="308" spans="1:11">
      <c r="A308" s="1260"/>
      <c r="B308" s="1243"/>
      <c r="C308" s="601"/>
      <c r="D308" s="1148"/>
      <c r="E308" s="596"/>
      <c r="F308" s="978"/>
      <c r="G308" s="978"/>
      <c r="H308" s="600"/>
      <c r="I308" s="602"/>
      <c r="J308" s="950"/>
      <c r="K308" s="600"/>
    </row>
    <row r="309" spans="1:11">
      <c r="A309" s="1260"/>
      <c r="B309" s="1148"/>
      <c r="C309" s="605"/>
      <c r="D309" s="1148"/>
      <c r="E309" s="600"/>
      <c r="F309" s="978"/>
      <c r="G309" s="978"/>
      <c r="H309" s="600"/>
      <c r="I309" s="602"/>
      <c r="J309" s="950"/>
      <c r="K309" s="600"/>
    </row>
    <row r="310" spans="1:11">
      <c r="A310" s="1260"/>
      <c r="B310" s="1243"/>
      <c r="C310" s="601"/>
      <c r="D310" s="1148"/>
      <c r="E310" s="596"/>
      <c r="F310" s="978"/>
      <c r="G310" s="978"/>
      <c r="H310" s="600"/>
      <c r="I310" s="602"/>
      <c r="J310" s="950"/>
      <c r="K310" s="600"/>
    </row>
    <row r="311" spans="1:11">
      <c r="A311" s="1260"/>
      <c r="B311" s="1148"/>
      <c r="C311" s="605"/>
      <c r="D311" s="1148"/>
      <c r="E311" s="600"/>
      <c r="F311" s="978"/>
      <c r="G311" s="978"/>
      <c r="H311" s="600"/>
      <c r="I311" s="602"/>
      <c r="J311" s="950"/>
      <c r="K311" s="600"/>
    </row>
    <row r="312" spans="1:11">
      <c r="A312" s="1260"/>
      <c r="B312" s="1243"/>
      <c r="C312" s="601"/>
      <c r="D312" s="1148"/>
      <c r="E312" s="596"/>
      <c r="F312" s="978"/>
      <c r="G312" s="978"/>
      <c r="H312" s="600"/>
      <c r="I312" s="602"/>
      <c r="J312" s="950"/>
      <c r="K312" s="600"/>
    </row>
    <row r="313" spans="1:11">
      <c r="A313" s="1260"/>
      <c r="B313" s="1148"/>
      <c r="C313" s="603"/>
      <c r="D313" s="1148"/>
      <c r="E313" s="600"/>
      <c r="F313" s="978"/>
      <c r="G313" s="978"/>
      <c r="H313" s="600"/>
      <c r="I313" s="602"/>
      <c r="J313" s="950"/>
      <c r="K313" s="600"/>
    </row>
    <row r="314" spans="1:11">
      <c r="A314" s="1260"/>
      <c r="B314" s="1243"/>
      <c r="C314" s="601"/>
      <c r="D314" s="1148"/>
      <c r="E314" s="596"/>
      <c r="F314" s="978"/>
      <c r="G314" s="978"/>
      <c r="H314" s="600"/>
      <c r="I314" s="602"/>
      <c r="J314" s="950"/>
      <c r="K314" s="600"/>
    </row>
    <row r="315" spans="1:11">
      <c r="A315" s="1260"/>
      <c r="B315" s="1148"/>
      <c r="C315" s="605"/>
      <c r="D315" s="1148"/>
      <c r="E315" s="600"/>
      <c r="F315" s="978"/>
      <c r="G315" s="978"/>
      <c r="H315" s="600"/>
      <c r="I315" s="602"/>
      <c r="J315" s="950"/>
      <c r="K315" s="600"/>
    </row>
    <row r="316" spans="1:11">
      <c r="A316" s="1260"/>
      <c r="B316" s="1243"/>
      <c r="C316" s="601"/>
      <c r="D316" s="1148"/>
      <c r="E316" s="596"/>
      <c r="F316" s="978"/>
      <c r="G316" s="978"/>
      <c r="H316" s="600"/>
      <c r="I316" s="602"/>
      <c r="J316" s="950"/>
      <c r="K316" s="600"/>
    </row>
    <row r="317" spans="1:11">
      <c r="A317" s="1260"/>
      <c r="B317" s="1148"/>
      <c r="C317" s="605"/>
      <c r="D317" s="1148"/>
      <c r="E317" s="600"/>
      <c r="F317" s="978"/>
      <c r="G317" s="978"/>
      <c r="H317" s="600"/>
      <c r="I317" s="602"/>
      <c r="J317" s="950"/>
      <c r="K317" s="600"/>
    </row>
    <row r="318" spans="1:11">
      <c r="A318" s="1261"/>
      <c r="B318" s="606"/>
      <c r="C318" s="595"/>
      <c r="D318" s="1148"/>
      <c r="E318" s="596"/>
      <c r="F318" s="596"/>
      <c r="G318" s="596"/>
      <c r="H318" s="597"/>
      <c r="I318" s="598"/>
      <c r="J318" s="951"/>
      <c r="K318" s="599"/>
    </row>
    <row r="319" spans="1:11">
      <c r="A319" s="1260"/>
      <c r="B319" s="1148"/>
      <c r="C319" s="597"/>
      <c r="D319" s="606"/>
      <c r="E319" s="599"/>
      <c r="F319" s="596"/>
      <c r="G319" s="596"/>
      <c r="H319" s="600"/>
      <c r="I319" s="602"/>
      <c r="J319" s="950"/>
      <c r="K319" s="600"/>
    </row>
    <row r="320" spans="1:11">
      <c r="A320" s="1260"/>
      <c r="B320" s="1148"/>
      <c r="C320" s="597"/>
      <c r="D320" s="1152"/>
      <c r="E320" s="599"/>
      <c r="F320" s="596"/>
      <c r="G320" s="596"/>
      <c r="H320" s="597"/>
      <c r="I320" s="595"/>
      <c r="J320" s="951"/>
      <c r="K320" s="600"/>
    </row>
    <row r="321" spans="1:11">
      <c r="A321" s="1260"/>
      <c r="B321" s="1148"/>
      <c r="C321" s="597"/>
      <c r="D321" s="977"/>
      <c r="E321" s="599"/>
      <c r="F321" s="596"/>
      <c r="G321" s="596"/>
      <c r="H321" s="597"/>
      <c r="I321" s="595"/>
      <c r="J321" s="951"/>
      <c r="K321" s="600"/>
    </row>
    <row r="322" spans="1:11">
      <c r="A322" s="1260"/>
      <c r="B322" s="1243"/>
      <c r="C322" s="601"/>
      <c r="D322" s="1148"/>
      <c r="E322" s="596"/>
      <c r="F322" s="978"/>
      <c r="G322" s="978"/>
      <c r="H322" s="600"/>
      <c r="I322" s="602"/>
      <c r="J322" s="950"/>
      <c r="K322" s="600"/>
    </row>
    <row r="323" spans="1:11">
      <c r="A323" s="1260"/>
      <c r="B323" s="1148"/>
      <c r="C323" s="605"/>
      <c r="D323" s="1148"/>
      <c r="E323" s="600"/>
      <c r="F323" s="978"/>
      <c r="G323" s="978"/>
      <c r="H323" s="600"/>
      <c r="I323" s="602"/>
      <c r="J323" s="950"/>
      <c r="K323" s="600"/>
    </row>
    <row r="324" spans="1:11">
      <c r="A324" s="1260"/>
      <c r="B324" s="1243"/>
      <c r="C324" s="601"/>
      <c r="D324" s="1148"/>
      <c r="E324" s="596"/>
      <c r="F324" s="978"/>
      <c r="G324" s="978"/>
      <c r="H324" s="600"/>
      <c r="I324" s="602"/>
      <c r="J324" s="950"/>
      <c r="K324" s="600"/>
    </row>
    <row r="325" spans="1:11">
      <c r="A325" s="1260"/>
      <c r="B325" s="1148"/>
      <c r="C325" s="605"/>
      <c r="D325" s="1148"/>
      <c r="E325" s="600"/>
      <c r="F325" s="978"/>
      <c r="G325" s="978"/>
      <c r="H325" s="600"/>
      <c r="I325" s="602"/>
      <c r="J325" s="950"/>
      <c r="K325" s="600"/>
    </row>
    <row r="326" spans="1:11">
      <c r="A326" s="1260"/>
      <c r="B326" s="1243"/>
      <c r="C326" s="601"/>
      <c r="D326" s="1148"/>
      <c r="E326" s="596"/>
      <c r="F326" s="978"/>
      <c r="G326" s="978"/>
      <c r="H326" s="600"/>
      <c r="I326" s="602"/>
      <c r="J326" s="950"/>
      <c r="K326" s="600"/>
    </row>
    <row r="327" spans="1:11">
      <c r="A327" s="1260"/>
      <c r="B327" s="1148"/>
      <c r="C327" s="605"/>
      <c r="D327" s="1148"/>
      <c r="E327" s="600"/>
      <c r="F327" s="978"/>
      <c r="G327" s="978"/>
      <c r="H327" s="600"/>
      <c r="I327" s="602"/>
      <c r="J327" s="950"/>
      <c r="K327" s="600"/>
    </row>
    <row r="328" spans="1:11">
      <c r="A328" s="1260"/>
      <c r="B328" s="1243"/>
      <c r="C328" s="601"/>
      <c r="D328" s="1148"/>
      <c r="E328" s="596"/>
      <c r="F328" s="978"/>
      <c r="G328" s="978"/>
      <c r="H328" s="600"/>
      <c r="I328" s="602"/>
      <c r="J328" s="950"/>
      <c r="K328" s="600"/>
    </row>
    <row r="329" spans="1:11">
      <c r="A329" s="1260"/>
      <c r="B329" s="1148"/>
      <c r="C329" s="605"/>
      <c r="D329" s="1148"/>
      <c r="E329" s="600"/>
      <c r="F329" s="978"/>
      <c r="G329" s="978"/>
      <c r="H329" s="600"/>
      <c r="I329" s="602"/>
      <c r="J329" s="950"/>
      <c r="K329" s="600"/>
    </row>
    <row r="330" spans="1:11">
      <c r="A330" s="1260"/>
      <c r="B330" s="1243"/>
      <c r="C330" s="601"/>
      <c r="D330" s="1148"/>
      <c r="E330" s="596"/>
      <c r="F330" s="978"/>
      <c r="G330" s="978"/>
      <c r="H330" s="600"/>
      <c r="I330" s="602"/>
      <c r="J330" s="950"/>
      <c r="K330" s="600"/>
    </row>
    <row r="331" spans="1:11">
      <c r="A331" s="1260"/>
      <c r="B331" s="1148"/>
      <c r="C331" s="605"/>
      <c r="D331" s="1148"/>
      <c r="E331" s="600"/>
      <c r="F331" s="978"/>
      <c r="G331" s="978"/>
      <c r="H331" s="600"/>
      <c r="I331" s="602"/>
      <c r="J331" s="950"/>
      <c r="K331" s="600"/>
    </row>
    <row r="332" spans="1:11">
      <c r="A332" s="1260"/>
      <c r="B332" s="1243"/>
      <c r="C332" s="601"/>
      <c r="D332" s="1148"/>
      <c r="E332" s="596"/>
      <c r="F332" s="978"/>
      <c r="G332" s="978"/>
      <c r="H332" s="600"/>
      <c r="I332" s="602"/>
      <c r="J332" s="950"/>
      <c r="K332" s="600"/>
    </row>
    <row r="333" spans="1:11">
      <c r="A333" s="1260"/>
      <c r="B333" s="1148"/>
      <c r="C333" s="605"/>
      <c r="D333" s="1148"/>
      <c r="E333" s="600"/>
      <c r="F333" s="978"/>
      <c r="G333" s="978"/>
      <c r="H333" s="600"/>
      <c r="I333" s="602"/>
      <c r="J333" s="950"/>
      <c r="K333" s="600"/>
    </row>
    <row r="334" spans="1:11">
      <c r="A334" s="1260"/>
      <c r="B334" s="1243"/>
      <c r="C334" s="601"/>
      <c r="D334" s="1148"/>
      <c r="E334" s="596"/>
      <c r="F334" s="978"/>
      <c r="G334" s="978"/>
      <c r="H334" s="600"/>
      <c r="I334" s="602"/>
      <c r="J334" s="950"/>
      <c r="K334" s="600"/>
    </row>
    <row r="335" spans="1:11">
      <c r="A335" s="1260"/>
      <c r="B335" s="1148"/>
      <c r="C335" s="605"/>
      <c r="D335" s="1148"/>
      <c r="E335" s="600"/>
      <c r="F335" s="978"/>
      <c r="G335" s="978"/>
      <c r="H335" s="600"/>
      <c r="I335" s="602"/>
      <c r="J335" s="950"/>
      <c r="K335" s="600"/>
    </row>
    <row r="336" spans="1:11">
      <c r="A336" s="1260"/>
      <c r="B336" s="1243"/>
      <c r="C336" s="601"/>
      <c r="D336" s="1148"/>
      <c r="E336" s="596"/>
      <c r="F336" s="978"/>
      <c r="G336" s="978"/>
      <c r="H336" s="600"/>
      <c r="I336" s="602"/>
      <c r="J336" s="950"/>
      <c r="K336" s="600"/>
    </row>
    <row r="337" spans="1:11">
      <c r="A337" s="1260"/>
      <c r="B337" s="1148"/>
      <c r="C337" s="605"/>
      <c r="D337" s="1148"/>
      <c r="E337" s="600"/>
      <c r="F337" s="978"/>
      <c r="G337" s="978"/>
      <c r="H337" s="600"/>
      <c r="I337" s="602"/>
      <c r="J337" s="950"/>
      <c r="K337" s="600"/>
    </row>
    <row r="338" spans="1:11">
      <c r="A338" s="1261"/>
      <c r="B338" s="606"/>
      <c r="C338" s="595"/>
      <c r="D338" s="1148"/>
      <c r="E338" s="596"/>
      <c r="F338" s="596"/>
      <c r="G338" s="596"/>
      <c r="H338" s="597"/>
      <c r="I338" s="598"/>
      <c r="J338" s="951"/>
      <c r="K338" s="599"/>
    </row>
    <row r="339" spans="1:11">
      <c r="A339" s="1260"/>
      <c r="B339" s="1148"/>
      <c r="C339" s="597"/>
      <c r="D339" s="606"/>
      <c r="E339" s="599"/>
      <c r="F339" s="596"/>
      <c r="G339" s="596"/>
      <c r="H339" s="600"/>
      <c r="I339" s="602"/>
      <c r="J339" s="950"/>
      <c r="K339" s="600"/>
    </row>
    <row r="340" spans="1:11">
      <c r="A340" s="1260"/>
      <c r="B340" s="1243"/>
      <c r="C340" s="601"/>
      <c r="D340" s="1148"/>
      <c r="E340" s="596"/>
      <c r="F340" s="978"/>
      <c r="G340" s="978"/>
      <c r="H340" s="600"/>
      <c r="I340" s="602"/>
      <c r="J340" s="950"/>
      <c r="K340" s="600"/>
    </row>
    <row r="341" spans="1:11">
      <c r="A341" s="1260"/>
      <c r="B341" s="1148"/>
      <c r="C341" s="605"/>
      <c r="D341" s="1148"/>
      <c r="E341" s="600"/>
      <c r="F341" s="978"/>
      <c r="G341" s="978"/>
      <c r="H341" s="600"/>
      <c r="I341" s="602"/>
      <c r="J341" s="950"/>
      <c r="K341" s="600"/>
    </row>
    <row r="342" spans="1:11">
      <c r="A342" s="1260"/>
      <c r="B342" s="1243"/>
      <c r="C342" s="601"/>
      <c r="D342" s="1148"/>
      <c r="E342" s="596"/>
      <c r="F342" s="978"/>
      <c r="G342" s="978"/>
      <c r="H342" s="600"/>
      <c r="I342" s="602"/>
      <c r="J342" s="950"/>
      <c r="K342" s="600"/>
    </row>
    <row r="343" spans="1:11">
      <c r="A343" s="1260"/>
      <c r="B343" s="1148"/>
      <c r="C343" s="605"/>
      <c r="D343" s="1148"/>
      <c r="E343" s="600"/>
      <c r="F343" s="978"/>
      <c r="G343" s="978"/>
      <c r="H343" s="600"/>
      <c r="I343" s="602"/>
      <c r="J343" s="950"/>
      <c r="K343" s="600"/>
    </row>
    <row r="344" spans="1:11">
      <c r="A344" s="1260"/>
      <c r="B344" s="1243"/>
      <c r="C344" s="601"/>
      <c r="D344" s="1148"/>
      <c r="E344" s="596"/>
      <c r="F344" s="978"/>
      <c r="G344" s="978"/>
      <c r="H344" s="600"/>
      <c r="I344" s="602"/>
      <c r="J344" s="950"/>
      <c r="K344" s="600"/>
    </row>
    <row r="345" spans="1:11">
      <c r="A345" s="1260"/>
      <c r="B345" s="1148"/>
      <c r="C345" s="605"/>
      <c r="D345" s="1148"/>
      <c r="E345" s="600"/>
      <c r="F345" s="978"/>
      <c r="G345" s="978"/>
      <c r="H345" s="600"/>
      <c r="I345" s="602"/>
      <c r="J345" s="950"/>
      <c r="K345" s="600"/>
    </row>
    <row r="346" spans="1:11">
      <c r="A346" s="1260"/>
      <c r="B346" s="1243"/>
      <c r="C346" s="601"/>
      <c r="D346" s="1148"/>
      <c r="E346" s="596"/>
      <c r="F346" s="978"/>
      <c r="G346" s="978"/>
      <c r="H346" s="600"/>
      <c r="I346" s="602"/>
      <c r="J346" s="950"/>
      <c r="K346" s="600"/>
    </row>
    <row r="347" spans="1:11">
      <c r="A347" s="1260"/>
      <c r="B347" s="1148"/>
      <c r="C347" s="605"/>
      <c r="D347" s="1148"/>
      <c r="E347" s="600"/>
      <c r="F347" s="978"/>
      <c r="G347" s="978"/>
      <c r="H347" s="600"/>
      <c r="I347" s="602"/>
      <c r="J347" s="950"/>
      <c r="K347" s="600"/>
    </row>
    <row r="348" spans="1:11">
      <c r="A348" s="1260"/>
      <c r="B348" s="1243"/>
      <c r="C348" s="601"/>
      <c r="D348" s="1148"/>
      <c r="E348" s="596"/>
      <c r="F348" s="978"/>
      <c r="G348" s="978"/>
      <c r="H348" s="600"/>
      <c r="I348" s="602"/>
      <c r="J348" s="950"/>
      <c r="K348" s="600"/>
    </row>
    <row r="349" spans="1:11">
      <c r="A349" s="1260"/>
      <c r="B349" s="1148"/>
      <c r="C349" s="605"/>
      <c r="D349" s="1148"/>
      <c r="E349" s="600"/>
      <c r="F349" s="978"/>
      <c r="G349" s="978"/>
      <c r="H349" s="600"/>
      <c r="I349" s="602"/>
      <c r="J349" s="950"/>
      <c r="K349" s="600"/>
    </row>
    <row r="350" spans="1:11">
      <c r="A350" s="1260"/>
      <c r="B350" s="1243"/>
      <c r="C350" s="601"/>
      <c r="D350" s="1148"/>
      <c r="E350" s="596"/>
      <c r="F350" s="978"/>
      <c r="G350" s="978"/>
      <c r="H350" s="600"/>
      <c r="I350" s="602"/>
      <c r="J350" s="950"/>
      <c r="K350" s="600"/>
    </row>
    <row r="351" spans="1:11">
      <c r="A351" s="1260"/>
      <c r="B351" s="1148"/>
      <c r="C351" s="605"/>
      <c r="D351" s="1148"/>
      <c r="E351" s="600"/>
      <c r="F351" s="978"/>
      <c r="G351" s="978"/>
      <c r="H351" s="600"/>
      <c r="I351" s="602"/>
      <c r="J351" s="950"/>
      <c r="K351" s="600"/>
    </row>
    <row r="352" spans="1:11">
      <c r="A352" s="1260"/>
      <c r="B352" s="1243"/>
      <c r="C352" s="601"/>
      <c r="D352" s="1148"/>
      <c r="E352" s="596"/>
      <c r="F352" s="978"/>
      <c r="G352" s="978"/>
      <c r="H352" s="600"/>
      <c r="I352" s="602"/>
      <c r="J352" s="950"/>
      <c r="K352" s="600"/>
    </row>
    <row r="353" spans="1:11">
      <c r="A353" s="1260"/>
      <c r="B353" s="1148"/>
      <c r="C353" s="605"/>
      <c r="D353" s="1148"/>
      <c r="E353" s="600"/>
      <c r="F353" s="978"/>
      <c r="G353" s="978"/>
      <c r="H353" s="600"/>
      <c r="I353" s="602"/>
      <c r="J353" s="950"/>
      <c r="K353" s="600"/>
    </row>
    <row r="354" spans="1:11">
      <c r="A354" s="1260"/>
      <c r="B354" s="1243"/>
      <c r="C354" s="601"/>
      <c r="D354" s="1148"/>
      <c r="E354" s="596"/>
      <c r="F354" s="978"/>
      <c r="G354" s="978"/>
      <c r="H354" s="600"/>
      <c r="I354" s="602"/>
      <c r="J354" s="950"/>
      <c r="K354" s="600"/>
    </row>
    <row r="355" spans="1:11">
      <c r="A355" s="1260"/>
      <c r="B355" s="1148"/>
      <c r="C355" s="605"/>
      <c r="D355" s="1148"/>
      <c r="E355" s="600"/>
      <c r="F355" s="978"/>
      <c r="G355" s="978"/>
      <c r="H355" s="600"/>
      <c r="I355" s="602"/>
      <c r="J355" s="950"/>
      <c r="K355" s="600"/>
    </row>
    <row r="356" spans="1:11">
      <c r="A356" s="1260"/>
      <c r="B356" s="1243"/>
      <c r="C356" s="601"/>
      <c r="D356" s="1148"/>
      <c r="E356" s="596"/>
      <c r="F356" s="978"/>
      <c r="G356" s="978"/>
      <c r="H356" s="600"/>
      <c r="I356" s="602"/>
      <c r="J356" s="950"/>
      <c r="K356" s="600"/>
    </row>
    <row r="357" spans="1:11">
      <c r="A357" s="1260"/>
      <c r="B357" s="1148"/>
      <c r="C357" s="605"/>
      <c r="D357" s="1148"/>
      <c r="E357" s="600"/>
      <c r="F357" s="978"/>
      <c r="G357" s="978"/>
      <c r="H357" s="600"/>
      <c r="I357" s="602"/>
      <c r="J357" s="950"/>
      <c r="K357" s="600"/>
    </row>
    <row r="358" spans="1:11">
      <c r="A358" s="1260"/>
      <c r="B358" s="1243"/>
      <c r="C358" s="601"/>
      <c r="D358" s="1148"/>
      <c r="E358" s="596"/>
      <c r="F358" s="978"/>
      <c r="G358" s="978"/>
      <c r="H358" s="600"/>
      <c r="I358" s="602"/>
      <c r="J358" s="950"/>
      <c r="K358" s="600"/>
    </row>
    <row r="359" spans="1:11">
      <c r="A359" s="1260"/>
      <c r="B359" s="1148"/>
      <c r="C359" s="603"/>
      <c r="D359" s="1148"/>
      <c r="E359" s="600"/>
      <c r="F359" s="978"/>
      <c r="G359" s="978"/>
      <c r="H359" s="600"/>
      <c r="I359" s="602"/>
      <c r="J359" s="950"/>
      <c r="K359" s="600"/>
    </row>
    <row r="360" spans="1:11">
      <c r="A360" s="1260"/>
      <c r="B360" s="1243"/>
      <c r="C360" s="601"/>
      <c r="D360" s="1148"/>
      <c r="E360" s="596"/>
      <c r="F360" s="978"/>
      <c r="G360" s="978"/>
      <c r="H360" s="600"/>
      <c r="I360" s="602"/>
      <c r="J360" s="950"/>
      <c r="K360" s="600"/>
    </row>
    <row r="361" spans="1:11">
      <c r="A361" s="1260"/>
      <c r="B361" s="1148"/>
      <c r="C361" s="608"/>
      <c r="D361" s="607"/>
      <c r="E361" s="609"/>
      <c r="F361" s="609"/>
      <c r="G361" s="609"/>
      <c r="H361" s="609"/>
      <c r="I361" s="609"/>
      <c r="J361" s="980"/>
      <c r="K361" s="600"/>
    </row>
    <row r="362" spans="1:11">
      <c r="A362" s="1260"/>
      <c r="B362" s="1243"/>
      <c r="C362" s="604"/>
      <c r="D362" s="1148"/>
      <c r="E362" s="596"/>
      <c r="F362" s="978"/>
      <c r="G362" s="978"/>
      <c r="H362" s="600"/>
      <c r="I362" s="602"/>
      <c r="J362" s="950"/>
      <c r="K362" s="600"/>
    </row>
    <row r="363" spans="1:11">
      <c r="A363" s="1260"/>
      <c r="B363" s="1148"/>
      <c r="C363" s="601"/>
      <c r="D363" s="1148"/>
      <c r="E363" s="600"/>
      <c r="F363" s="978"/>
      <c r="G363" s="978"/>
      <c r="H363" s="600"/>
      <c r="I363" s="602"/>
      <c r="J363" s="950"/>
      <c r="K363" s="600"/>
    </row>
    <row r="364" spans="1:11">
      <c r="A364" s="1263"/>
      <c r="B364" s="1243"/>
      <c r="C364" s="601"/>
      <c r="D364" s="1148"/>
      <c r="E364" s="596"/>
      <c r="F364" s="978"/>
      <c r="G364" s="978"/>
      <c r="H364" s="600"/>
      <c r="I364" s="602"/>
      <c r="J364" s="950"/>
      <c r="K364" s="600"/>
    </row>
    <row r="365" spans="1:11">
      <c r="A365" s="1262"/>
      <c r="B365" s="1243"/>
      <c r="C365" s="605"/>
      <c r="D365" s="1148"/>
      <c r="E365" s="600"/>
      <c r="F365" s="978"/>
      <c r="G365" s="978"/>
      <c r="H365" s="600"/>
      <c r="I365" s="602"/>
      <c r="J365" s="950"/>
      <c r="K365" s="600"/>
    </row>
    <row r="366" spans="1:11">
      <c r="A366" s="1261"/>
      <c r="B366" s="606"/>
      <c r="C366" s="595"/>
      <c r="D366" s="1148"/>
      <c r="E366" s="596"/>
      <c r="F366" s="596"/>
      <c r="G366" s="596"/>
      <c r="H366" s="597"/>
      <c r="I366" s="598"/>
      <c r="J366" s="951"/>
      <c r="K366" s="599"/>
    </row>
    <row r="367" spans="1:11">
      <c r="A367" s="1260"/>
      <c r="B367" s="1148"/>
      <c r="C367" s="597"/>
      <c r="D367" s="606"/>
      <c r="E367" s="599"/>
      <c r="F367" s="596"/>
      <c r="G367" s="596"/>
      <c r="H367" s="600"/>
      <c r="I367" s="602"/>
      <c r="J367" s="950"/>
      <c r="K367" s="600"/>
    </row>
    <row r="368" spans="1:11">
      <c r="A368" s="1263"/>
      <c r="B368" s="1243"/>
      <c r="C368" s="601"/>
      <c r="D368" s="1148"/>
      <c r="E368" s="596"/>
      <c r="F368" s="978"/>
      <c r="G368" s="978"/>
      <c r="H368" s="600"/>
      <c r="I368" s="602"/>
      <c r="J368" s="950"/>
      <c r="K368" s="600"/>
    </row>
    <row r="369" spans="1:11">
      <c r="A369" s="1262"/>
      <c r="B369" s="1243"/>
      <c r="C369" s="605"/>
      <c r="D369" s="1148"/>
      <c r="E369" s="600"/>
      <c r="F369" s="978"/>
      <c r="G369" s="978"/>
      <c r="H369" s="600"/>
      <c r="I369" s="602"/>
      <c r="J369" s="950"/>
      <c r="K369" s="600"/>
    </row>
    <row r="370" spans="1:11">
      <c r="A370" s="1263"/>
      <c r="B370" s="1243"/>
      <c r="C370" s="601"/>
      <c r="D370" s="1148"/>
      <c r="E370" s="596"/>
      <c r="F370" s="978"/>
      <c r="G370" s="978"/>
      <c r="H370" s="600"/>
      <c r="I370" s="602"/>
      <c r="J370" s="950"/>
      <c r="K370" s="600"/>
    </row>
    <row r="371" spans="1:11">
      <c r="A371" s="1262"/>
      <c r="B371" s="1243"/>
      <c r="C371" s="605"/>
      <c r="D371" s="1148"/>
      <c r="E371" s="600"/>
      <c r="F371" s="978"/>
      <c r="G371" s="978"/>
      <c r="H371" s="600"/>
      <c r="I371" s="602"/>
      <c r="J371" s="950"/>
      <c r="K371" s="600"/>
    </row>
    <row r="372" spans="1:11">
      <c r="A372" s="1263"/>
      <c r="B372" s="1243"/>
      <c r="C372" s="601"/>
      <c r="D372" s="1148"/>
      <c r="E372" s="596"/>
      <c r="F372" s="978"/>
      <c r="G372" s="978"/>
      <c r="H372" s="600"/>
      <c r="I372" s="602"/>
      <c r="J372" s="950"/>
      <c r="K372" s="600"/>
    </row>
    <row r="373" spans="1:11">
      <c r="A373" s="1262"/>
      <c r="B373" s="1243"/>
      <c r="C373" s="605"/>
      <c r="D373" s="1148"/>
      <c r="E373" s="600"/>
      <c r="F373" s="978"/>
      <c r="G373" s="978"/>
      <c r="H373" s="600"/>
      <c r="I373" s="602"/>
      <c r="J373" s="950"/>
      <c r="K373" s="600"/>
    </row>
    <row r="374" spans="1:11">
      <c r="A374" s="1261"/>
      <c r="B374" s="606"/>
      <c r="C374" s="595"/>
      <c r="D374" s="1148"/>
      <c r="E374" s="596"/>
      <c r="F374" s="596"/>
      <c r="G374" s="596"/>
      <c r="H374" s="597"/>
      <c r="I374" s="598"/>
      <c r="J374" s="951"/>
      <c r="K374" s="599"/>
    </row>
    <row r="375" spans="1:11">
      <c r="A375" s="1260"/>
      <c r="B375" s="1148"/>
      <c r="C375" s="597"/>
      <c r="D375" s="606"/>
      <c r="E375" s="599"/>
      <c r="F375" s="596"/>
      <c r="G375" s="596"/>
      <c r="H375" s="600"/>
      <c r="I375" s="602"/>
      <c r="J375" s="950"/>
      <c r="K375" s="600"/>
    </row>
    <row r="376" spans="1:11">
      <c r="A376" s="1263"/>
      <c r="B376" s="1243"/>
      <c r="C376" s="601"/>
      <c r="D376" s="1148"/>
      <c r="E376" s="596"/>
      <c r="F376" s="978"/>
      <c r="G376" s="978"/>
      <c r="H376" s="600"/>
      <c r="I376" s="602"/>
      <c r="J376" s="950"/>
      <c r="K376" s="600"/>
    </row>
    <row r="377" spans="1:11">
      <c r="A377" s="1262"/>
      <c r="B377" s="1243"/>
      <c r="C377" s="605"/>
      <c r="D377" s="1148"/>
      <c r="E377" s="600"/>
      <c r="F377" s="978"/>
      <c r="G377" s="978"/>
      <c r="H377" s="600"/>
      <c r="I377" s="602"/>
      <c r="J377" s="950"/>
      <c r="K377" s="600"/>
    </row>
    <row r="378" spans="1:11">
      <c r="A378" s="1263"/>
      <c r="B378" s="1243"/>
      <c r="C378" s="601"/>
      <c r="D378" s="1148"/>
      <c r="E378" s="596"/>
      <c r="F378" s="978"/>
      <c r="G378" s="978"/>
      <c r="H378" s="600"/>
      <c r="I378" s="602"/>
      <c r="J378" s="950"/>
      <c r="K378" s="600"/>
    </row>
    <row r="379" spans="1:11">
      <c r="A379" s="1262"/>
      <c r="B379" s="1243"/>
      <c r="C379" s="605"/>
      <c r="D379" s="1148"/>
      <c r="E379" s="600"/>
      <c r="F379" s="978"/>
      <c r="G379" s="978"/>
      <c r="H379" s="600"/>
      <c r="I379" s="602"/>
      <c r="J379" s="950"/>
      <c r="K379" s="600"/>
    </row>
    <row r="380" spans="1:11">
      <c r="A380" s="1263"/>
      <c r="B380" s="1243"/>
      <c r="C380" s="601"/>
      <c r="D380" s="1148"/>
      <c r="E380" s="596"/>
      <c r="F380" s="978"/>
      <c r="G380" s="978"/>
      <c r="H380" s="600"/>
      <c r="I380" s="602"/>
      <c r="J380" s="950"/>
      <c r="K380" s="600"/>
    </row>
    <row r="381" spans="1:11">
      <c r="A381" s="1262"/>
      <c r="B381" s="1243"/>
      <c r="C381" s="605"/>
      <c r="D381" s="1148"/>
      <c r="E381" s="600"/>
      <c r="F381" s="978"/>
      <c r="G381" s="978"/>
      <c r="H381" s="600"/>
      <c r="I381" s="602"/>
      <c r="J381" s="950"/>
      <c r="K381" s="600"/>
    </row>
    <row r="382" spans="1:11">
      <c r="A382" s="1263"/>
      <c r="B382" s="1243"/>
      <c r="C382" s="601"/>
      <c r="D382" s="1148"/>
      <c r="E382" s="596"/>
      <c r="F382" s="978"/>
      <c r="G382" s="978"/>
      <c r="H382" s="600"/>
      <c r="I382" s="602"/>
      <c r="J382" s="950"/>
      <c r="K382" s="600"/>
    </row>
    <row r="383" spans="1:11">
      <c r="A383" s="1262"/>
      <c r="B383" s="1243"/>
      <c r="C383" s="605"/>
      <c r="D383" s="1148"/>
      <c r="E383" s="600"/>
      <c r="F383" s="978"/>
      <c r="G383" s="978"/>
      <c r="H383" s="600"/>
      <c r="I383" s="602"/>
      <c r="J383" s="950"/>
      <c r="K383" s="600"/>
    </row>
    <row r="384" spans="1:11">
      <c r="A384" s="1263"/>
      <c r="B384" s="1243"/>
      <c r="C384" s="601"/>
      <c r="D384" s="1148"/>
      <c r="E384" s="596"/>
      <c r="F384" s="978"/>
      <c r="G384" s="978"/>
      <c r="H384" s="600"/>
      <c r="I384" s="602"/>
      <c r="J384" s="950"/>
      <c r="K384" s="600"/>
    </row>
    <row r="385" spans="1:11">
      <c r="A385" s="1262"/>
      <c r="B385" s="1243"/>
      <c r="C385" s="605"/>
      <c r="D385" s="1148"/>
      <c r="E385" s="600"/>
      <c r="F385" s="978"/>
      <c r="G385" s="978"/>
      <c r="H385" s="600"/>
      <c r="I385" s="602"/>
      <c r="J385" s="950"/>
      <c r="K385" s="600"/>
    </row>
    <row r="386" spans="1:11">
      <c r="A386" s="1263"/>
      <c r="B386" s="1243"/>
      <c r="C386" s="601"/>
      <c r="D386" s="1148"/>
      <c r="E386" s="596"/>
      <c r="F386" s="978"/>
      <c r="G386" s="978"/>
      <c r="H386" s="600"/>
      <c r="I386" s="602"/>
      <c r="J386" s="950"/>
      <c r="K386" s="600"/>
    </row>
    <row r="387" spans="1:11">
      <c r="A387" s="1262"/>
      <c r="B387" s="1243"/>
      <c r="C387" s="605"/>
      <c r="D387" s="1148"/>
      <c r="E387" s="600"/>
      <c r="F387" s="978"/>
      <c r="G387" s="978"/>
      <c r="H387" s="600"/>
      <c r="I387" s="602"/>
      <c r="J387" s="950"/>
      <c r="K387" s="600"/>
    </row>
    <row r="388" spans="1:11">
      <c r="A388" s="1263"/>
      <c r="B388" s="1243"/>
      <c r="C388" s="601"/>
      <c r="D388" s="1148"/>
      <c r="E388" s="596"/>
      <c r="F388" s="978"/>
      <c r="G388" s="978"/>
      <c r="H388" s="600"/>
      <c r="I388" s="602"/>
      <c r="J388" s="950"/>
      <c r="K388" s="600"/>
    </row>
    <row r="389" spans="1:11">
      <c r="A389" s="1262"/>
      <c r="B389" s="1243"/>
      <c r="C389" s="605"/>
      <c r="D389" s="1148"/>
      <c r="E389" s="600"/>
      <c r="F389" s="978"/>
      <c r="G389" s="978"/>
      <c r="H389" s="600"/>
      <c r="I389" s="602"/>
      <c r="J389" s="950"/>
      <c r="K389" s="600"/>
    </row>
    <row r="390" spans="1:11">
      <c r="A390" s="1263"/>
      <c r="B390" s="1243"/>
      <c r="C390" s="601"/>
      <c r="D390" s="1148"/>
      <c r="E390" s="596"/>
      <c r="F390" s="978"/>
      <c r="G390" s="978"/>
      <c r="H390" s="600"/>
      <c r="I390" s="602"/>
      <c r="J390" s="950"/>
      <c r="K390" s="600"/>
    </row>
    <row r="391" spans="1:11">
      <c r="A391" s="1262"/>
      <c r="B391" s="1243"/>
      <c r="C391" s="605"/>
      <c r="D391" s="1148"/>
      <c r="E391" s="600"/>
      <c r="F391" s="978"/>
      <c r="G391" s="978"/>
      <c r="H391" s="600"/>
      <c r="I391" s="602"/>
      <c r="J391" s="950"/>
      <c r="K391" s="600"/>
    </row>
    <row r="392" spans="1:11">
      <c r="A392" s="1263"/>
      <c r="B392" s="1243"/>
      <c r="C392" s="601"/>
      <c r="D392" s="1148"/>
      <c r="E392" s="596"/>
      <c r="F392" s="978"/>
      <c r="G392" s="978"/>
      <c r="H392" s="600"/>
      <c r="I392" s="602"/>
      <c r="J392" s="950"/>
      <c r="K392" s="600"/>
    </row>
    <row r="393" spans="1:11">
      <c r="A393" s="1262"/>
      <c r="B393" s="1243"/>
      <c r="C393" s="605"/>
      <c r="D393" s="1148"/>
      <c r="E393" s="600"/>
      <c r="F393" s="978"/>
      <c r="G393" s="978"/>
      <c r="H393" s="600"/>
      <c r="I393" s="602"/>
      <c r="J393" s="950"/>
      <c r="K393" s="600"/>
    </row>
    <row r="394" spans="1:11">
      <c r="A394" s="1262"/>
      <c r="B394" s="1149"/>
      <c r="C394" s="604"/>
      <c r="D394" s="1149"/>
      <c r="E394" s="604"/>
      <c r="F394" s="604"/>
      <c r="G394" s="604"/>
      <c r="H394" s="604"/>
      <c r="I394" s="604"/>
      <c r="J394" s="949"/>
      <c r="K394" s="604"/>
    </row>
    <row r="395" spans="1:11">
      <c r="A395" s="1262"/>
      <c r="B395" s="1149"/>
      <c r="C395" s="604"/>
      <c r="D395" s="1149"/>
      <c r="E395" s="604"/>
      <c r="F395" s="604"/>
      <c r="G395" s="604"/>
      <c r="H395" s="604"/>
      <c r="I395" s="604"/>
      <c r="J395" s="949"/>
      <c r="K395" s="604"/>
    </row>
    <row r="396" spans="1:11">
      <c r="A396" s="1262"/>
      <c r="B396" s="1149"/>
      <c r="C396" s="604"/>
      <c r="D396" s="1149"/>
      <c r="E396" s="604"/>
      <c r="F396" s="604"/>
      <c r="G396" s="604"/>
      <c r="H396" s="604"/>
      <c r="I396" s="604"/>
      <c r="J396" s="949"/>
      <c r="K396" s="604"/>
    </row>
    <row r="397" spans="1:11">
      <c r="A397" s="1262"/>
      <c r="B397" s="1149"/>
      <c r="C397" s="604"/>
      <c r="D397" s="1149"/>
      <c r="E397" s="604"/>
      <c r="F397" s="604"/>
      <c r="G397" s="604"/>
      <c r="H397" s="604"/>
      <c r="I397" s="604"/>
      <c r="J397" s="949"/>
      <c r="K397" s="604"/>
    </row>
    <row r="398" spans="1:11">
      <c r="A398" s="1262"/>
      <c r="B398" s="1149"/>
      <c r="C398" s="604"/>
      <c r="D398" s="1149"/>
      <c r="E398" s="604"/>
      <c r="F398" s="604"/>
      <c r="G398" s="604"/>
      <c r="H398" s="604"/>
      <c r="I398" s="604"/>
      <c r="J398" s="949"/>
      <c r="K398" s="604"/>
    </row>
    <row r="399" spans="1:11">
      <c r="A399" s="1262"/>
      <c r="B399" s="1149"/>
      <c r="C399" s="604"/>
      <c r="D399" s="1149"/>
      <c r="E399" s="604"/>
      <c r="F399" s="604"/>
      <c r="G399" s="604"/>
      <c r="H399" s="604"/>
      <c r="I399" s="604"/>
      <c r="J399" s="949"/>
      <c r="K399" s="604"/>
    </row>
    <row r="400" spans="1:11">
      <c r="A400" s="1262"/>
      <c r="B400" s="1149"/>
      <c r="C400" s="604"/>
      <c r="D400" s="1149"/>
      <c r="E400" s="604"/>
      <c r="F400" s="604"/>
      <c r="G400" s="604"/>
      <c r="H400" s="604"/>
      <c r="I400" s="604"/>
      <c r="J400" s="949"/>
      <c r="K400" s="604"/>
    </row>
    <row r="401" spans="1:11">
      <c r="A401" s="1262"/>
      <c r="B401" s="1149"/>
      <c r="C401" s="604"/>
      <c r="D401" s="1149"/>
      <c r="E401" s="604"/>
      <c r="F401" s="604"/>
      <c r="G401" s="604"/>
      <c r="H401" s="604"/>
      <c r="I401" s="604"/>
      <c r="J401" s="949"/>
      <c r="K401" s="604"/>
    </row>
    <row r="402" spans="1:11">
      <c r="A402" s="1262"/>
      <c r="B402" s="1149"/>
      <c r="C402" s="604"/>
      <c r="D402" s="1149"/>
      <c r="E402" s="604"/>
      <c r="F402" s="604"/>
      <c r="G402" s="604"/>
      <c r="H402" s="604"/>
      <c r="I402" s="604"/>
      <c r="J402" s="949"/>
      <c r="K402" s="604"/>
    </row>
    <row r="403" spans="1:11">
      <c r="A403" s="1262"/>
      <c r="B403" s="1149"/>
      <c r="C403" s="604"/>
      <c r="D403" s="1149"/>
      <c r="E403" s="604"/>
      <c r="F403" s="604"/>
      <c r="G403" s="604"/>
      <c r="H403" s="604"/>
      <c r="I403" s="604"/>
      <c r="J403" s="949"/>
      <c r="K403" s="604"/>
    </row>
    <row r="404" spans="1:11">
      <c r="A404" s="1262"/>
      <c r="B404" s="1149"/>
      <c r="C404" s="604"/>
      <c r="D404" s="1149"/>
      <c r="E404" s="604"/>
      <c r="F404" s="604"/>
      <c r="G404" s="604"/>
      <c r="H404" s="604"/>
      <c r="I404" s="604"/>
      <c r="J404" s="949"/>
      <c r="K404" s="604"/>
    </row>
    <row r="405" spans="1:11">
      <c r="A405" s="1262"/>
      <c r="B405" s="1149"/>
      <c r="C405" s="604"/>
      <c r="D405" s="1149"/>
      <c r="E405" s="604"/>
      <c r="F405" s="604"/>
      <c r="G405" s="604"/>
      <c r="H405" s="604"/>
      <c r="I405" s="604"/>
      <c r="J405" s="949"/>
      <c r="K405" s="604"/>
    </row>
    <row r="406" spans="1:11">
      <c r="A406" s="1262"/>
      <c r="B406" s="1149"/>
      <c r="C406" s="604"/>
      <c r="D406" s="1149"/>
      <c r="E406" s="604"/>
      <c r="F406" s="604"/>
      <c r="G406" s="604"/>
      <c r="H406" s="604"/>
      <c r="I406" s="604"/>
      <c r="J406" s="949"/>
      <c r="K406" s="604"/>
    </row>
    <row r="407" spans="1:11">
      <c r="A407" s="1262"/>
      <c r="B407" s="1149"/>
      <c r="C407" s="604"/>
      <c r="D407" s="1149"/>
      <c r="E407" s="604"/>
      <c r="F407" s="604"/>
      <c r="G407" s="604"/>
      <c r="H407" s="604"/>
      <c r="I407" s="604"/>
      <c r="J407" s="949"/>
      <c r="K407" s="604"/>
    </row>
    <row r="408" spans="1:11">
      <c r="A408" s="1262"/>
      <c r="B408" s="1149"/>
      <c r="C408" s="604"/>
      <c r="D408" s="1149"/>
      <c r="E408" s="604"/>
      <c r="F408" s="604"/>
      <c r="G408" s="604"/>
      <c r="H408" s="604"/>
      <c r="I408" s="604"/>
      <c r="J408" s="949"/>
      <c r="K408" s="604"/>
    </row>
    <row r="409" spans="1:11">
      <c r="A409" s="1262"/>
      <c r="B409" s="1149"/>
      <c r="C409" s="604"/>
      <c r="D409" s="1149"/>
      <c r="E409" s="604"/>
      <c r="F409" s="604"/>
      <c r="G409" s="604"/>
      <c r="H409" s="604"/>
      <c r="I409" s="604"/>
      <c r="J409" s="949"/>
      <c r="K409" s="604"/>
    </row>
    <row r="410" spans="1:11">
      <c r="A410" s="1262"/>
      <c r="B410" s="1149"/>
      <c r="C410" s="604"/>
      <c r="D410" s="1149"/>
      <c r="E410" s="604"/>
      <c r="F410" s="604"/>
      <c r="G410" s="604"/>
      <c r="H410" s="604"/>
      <c r="I410" s="604"/>
      <c r="J410" s="949"/>
      <c r="K410" s="604"/>
    </row>
    <row r="411" spans="1:11">
      <c r="A411" s="1262"/>
      <c r="B411" s="1149"/>
      <c r="C411" s="604"/>
      <c r="D411" s="1149"/>
      <c r="E411" s="604"/>
      <c r="F411" s="604"/>
      <c r="G411" s="604"/>
      <c r="H411" s="604"/>
      <c r="I411" s="604"/>
      <c r="J411" s="949"/>
      <c r="K411" s="604"/>
    </row>
    <row r="412" spans="1:11">
      <c r="A412" s="1262"/>
      <c r="B412" s="1149"/>
      <c r="C412" s="604"/>
      <c r="D412" s="1149"/>
      <c r="E412" s="604"/>
      <c r="F412" s="604"/>
      <c r="G412" s="604"/>
      <c r="H412" s="604"/>
      <c r="I412" s="604"/>
      <c r="J412" s="949"/>
      <c r="K412" s="604"/>
    </row>
    <row r="413" spans="1:11">
      <c r="A413" s="1262"/>
      <c r="B413" s="1149"/>
      <c r="C413" s="604"/>
      <c r="D413" s="1149"/>
      <c r="E413" s="604"/>
      <c r="F413" s="604"/>
      <c r="G413" s="604"/>
      <c r="H413" s="604"/>
      <c r="I413" s="604"/>
      <c r="J413" s="949"/>
      <c r="K413" s="604"/>
    </row>
    <row r="414" spans="1:11">
      <c r="A414" s="1262"/>
      <c r="B414" s="1149"/>
      <c r="C414" s="604"/>
      <c r="D414" s="1149"/>
      <c r="E414" s="604"/>
      <c r="F414" s="604"/>
      <c r="G414" s="604"/>
      <c r="H414" s="604"/>
      <c r="I414" s="604"/>
      <c r="J414" s="949"/>
      <c r="K414" s="604"/>
    </row>
    <row r="415" spans="1:11">
      <c r="A415" s="1262"/>
      <c r="B415" s="1149"/>
      <c r="C415" s="604"/>
      <c r="D415" s="1149"/>
      <c r="E415" s="604"/>
      <c r="F415" s="604"/>
      <c r="G415" s="604"/>
      <c r="H415" s="604"/>
      <c r="I415" s="604"/>
      <c r="J415" s="949"/>
      <c r="K415" s="604"/>
    </row>
    <row r="416" spans="1:11">
      <c r="A416" s="1262"/>
      <c r="B416" s="1149"/>
      <c r="C416" s="604"/>
      <c r="D416" s="1149"/>
      <c r="E416" s="604"/>
      <c r="F416" s="604"/>
      <c r="G416" s="604"/>
      <c r="H416" s="604"/>
      <c r="I416" s="604"/>
      <c r="J416" s="949"/>
      <c r="K416" s="604"/>
    </row>
    <row r="417" spans="1:11">
      <c r="A417" s="1262"/>
      <c r="B417" s="1149"/>
      <c r="C417" s="604"/>
      <c r="D417" s="1149"/>
      <c r="E417" s="604"/>
      <c r="F417" s="604"/>
      <c r="G417" s="604"/>
      <c r="H417" s="604"/>
      <c r="I417" s="604"/>
      <c r="J417" s="949"/>
      <c r="K417" s="604"/>
    </row>
    <row r="418" spans="1:11">
      <c r="A418" s="1262"/>
      <c r="B418" s="1149"/>
      <c r="C418" s="604"/>
      <c r="D418" s="1149"/>
      <c r="E418" s="604"/>
      <c r="F418" s="604"/>
      <c r="G418" s="604"/>
      <c r="H418" s="604"/>
      <c r="I418" s="604"/>
      <c r="J418" s="949"/>
      <c r="K418" s="604"/>
    </row>
    <row r="419" spans="1:11">
      <c r="A419" s="1262"/>
      <c r="B419" s="1149"/>
      <c r="C419" s="604"/>
      <c r="D419" s="1149"/>
      <c r="E419" s="604"/>
      <c r="F419" s="604"/>
      <c r="G419" s="604"/>
      <c r="H419" s="604"/>
      <c r="I419" s="604"/>
      <c r="J419" s="949"/>
      <c r="K419" s="604"/>
    </row>
    <row r="420" spans="1:11">
      <c r="A420" s="1262"/>
      <c r="B420" s="1149"/>
      <c r="C420" s="604"/>
      <c r="D420" s="1149"/>
      <c r="E420" s="604"/>
      <c r="F420" s="604"/>
      <c r="G420" s="604"/>
      <c r="H420" s="604"/>
      <c r="I420" s="604"/>
      <c r="J420" s="949"/>
      <c r="K420" s="604"/>
    </row>
    <row r="421" spans="1:11">
      <c r="A421" s="1262"/>
      <c r="B421" s="1149"/>
      <c r="C421" s="604"/>
      <c r="D421" s="1149"/>
      <c r="E421" s="604"/>
      <c r="F421" s="604"/>
      <c r="G421" s="604"/>
      <c r="H421" s="604"/>
      <c r="I421" s="604"/>
      <c r="J421" s="949"/>
      <c r="K421" s="604"/>
    </row>
    <row r="422" spans="1:11">
      <c r="A422" s="1262"/>
      <c r="B422" s="1149"/>
      <c r="C422" s="604"/>
      <c r="D422" s="1149"/>
      <c r="E422" s="604"/>
      <c r="F422" s="604"/>
      <c r="G422" s="604"/>
      <c r="H422" s="604"/>
      <c r="I422" s="604"/>
      <c r="J422" s="949"/>
      <c r="K422" s="604"/>
    </row>
    <row r="423" spans="1:11">
      <c r="A423" s="1262"/>
      <c r="B423" s="1149"/>
      <c r="C423" s="604"/>
      <c r="D423" s="1149"/>
      <c r="E423" s="604"/>
      <c r="F423" s="604"/>
      <c r="G423" s="604"/>
      <c r="H423" s="604"/>
      <c r="I423" s="604"/>
      <c r="J423" s="949"/>
      <c r="K423" s="604"/>
    </row>
    <row r="424" spans="1:11">
      <c r="A424" s="1262"/>
      <c r="B424" s="1149"/>
      <c r="C424" s="604"/>
      <c r="D424" s="1149"/>
      <c r="E424" s="604"/>
      <c r="F424" s="604"/>
      <c r="G424" s="604"/>
      <c r="H424" s="604"/>
      <c r="I424" s="604"/>
      <c r="J424" s="949"/>
      <c r="K424" s="604"/>
    </row>
    <row r="425" spans="1:11">
      <c r="A425" s="1262"/>
      <c r="B425" s="1149"/>
      <c r="C425" s="604"/>
      <c r="D425" s="1149"/>
      <c r="E425" s="604"/>
      <c r="F425" s="604"/>
      <c r="G425" s="604"/>
      <c r="H425" s="604"/>
      <c r="I425" s="604"/>
      <c r="J425" s="949"/>
      <c r="K425" s="604"/>
    </row>
    <row r="426" spans="1:11">
      <c r="A426" s="1262"/>
      <c r="B426" s="1149"/>
      <c r="C426" s="604"/>
      <c r="D426" s="1149"/>
      <c r="E426" s="604"/>
      <c r="F426" s="604"/>
      <c r="G426" s="604"/>
      <c r="H426" s="604"/>
      <c r="I426" s="604"/>
      <c r="J426" s="949"/>
      <c r="K426" s="604"/>
    </row>
    <row r="427" spans="1:11">
      <c r="A427" s="1262"/>
      <c r="B427" s="1149"/>
      <c r="C427" s="604"/>
      <c r="D427" s="1149"/>
      <c r="E427" s="604"/>
      <c r="F427" s="604"/>
      <c r="G427" s="604"/>
      <c r="H427" s="604"/>
      <c r="I427" s="604"/>
      <c r="J427" s="949"/>
      <c r="K427" s="604"/>
    </row>
    <row r="428" spans="1:11">
      <c r="A428" s="1262"/>
      <c r="B428" s="1149"/>
      <c r="C428" s="604"/>
      <c r="D428" s="1149"/>
      <c r="E428" s="604"/>
      <c r="F428" s="604"/>
      <c r="G428" s="604"/>
      <c r="H428" s="604"/>
      <c r="I428" s="604"/>
      <c r="J428" s="949"/>
      <c r="K428" s="604"/>
    </row>
    <row r="429" spans="1:11">
      <c r="A429" s="1262"/>
      <c r="B429" s="1149"/>
      <c r="C429" s="604"/>
      <c r="D429" s="1149"/>
      <c r="E429" s="604"/>
      <c r="F429" s="604"/>
      <c r="G429" s="604"/>
      <c r="H429" s="604"/>
      <c r="I429" s="604"/>
      <c r="J429" s="949"/>
      <c r="K429" s="604"/>
    </row>
    <row r="430" spans="1:11">
      <c r="A430" s="1262"/>
      <c r="B430" s="1149"/>
      <c r="C430" s="604"/>
      <c r="D430" s="1149"/>
      <c r="E430" s="604"/>
      <c r="F430" s="604"/>
      <c r="G430" s="604"/>
      <c r="H430" s="604"/>
      <c r="I430" s="604"/>
      <c r="J430" s="949"/>
      <c r="K430" s="604"/>
    </row>
    <row r="431" spans="1:11">
      <c r="A431" s="1262"/>
      <c r="B431" s="1149"/>
      <c r="C431" s="604"/>
      <c r="D431" s="1149"/>
      <c r="E431" s="604"/>
      <c r="F431" s="604"/>
      <c r="G431" s="604"/>
      <c r="H431" s="604"/>
      <c r="I431" s="604"/>
      <c r="J431" s="949"/>
      <c r="K431" s="604"/>
    </row>
    <row r="432" spans="1:11">
      <c r="A432" s="1262"/>
      <c r="B432" s="1149"/>
      <c r="C432" s="604"/>
      <c r="D432" s="1149"/>
      <c r="E432" s="604"/>
      <c r="F432" s="604"/>
      <c r="G432" s="604"/>
      <c r="H432" s="604"/>
      <c r="I432" s="604"/>
      <c r="J432" s="949"/>
      <c r="K432" s="604"/>
    </row>
    <row r="433" spans="1:11">
      <c r="A433" s="1262"/>
      <c r="B433" s="1149"/>
      <c r="C433" s="604"/>
      <c r="D433" s="1149"/>
      <c r="E433" s="604"/>
      <c r="F433" s="604"/>
      <c r="G433" s="604"/>
      <c r="H433" s="604"/>
      <c r="I433" s="604"/>
      <c r="J433" s="949"/>
      <c r="K433" s="604"/>
    </row>
    <row r="434" spans="1:11">
      <c r="A434" s="1262"/>
      <c r="B434" s="1149"/>
      <c r="C434" s="604"/>
      <c r="D434" s="1149"/>
      <c r="E434" s="604"/>
      <c r="F434" s="604"/>
      <c r="G434" s="604"/>
      <c r="H434" s="604"/>
      <c r="I434" s="604"/>
      <c r="J434" s="949"/>
      <c r="K434" s="604"/>
    </row>
    <row r="435" spans="1:11">
      <c r="A435" s="1262"/>
      <c r="B435" s="1149"/>
      <c r="C435" s="604"/>
      <c r="D435" s="1149"/>
      <c r="E435" s="604"/>
      <c r="F435" s="604"/>
      <c r="G435" s="604"/>
      <c r="H435" s="604"/>
      <c r="I435" s="604"/>
      <c r="J435" s="949"/>
      <c r="K435" s="604"/>
    </row>
    <row r="436" spans="1:11">
      <c r="A436" s="1262"/>
      <c r="B436" s="1149"/>
      <c r="C436" s="604"/>
      <c r="D436" s="1149"/>
      <c r="E436" s="604"/>
      <c r="F436" s="604"/>
      <c r="G436" s="604"/>
      <c r="H436" s="604"/>
      <c r="I436" s="604"/>
      <c r="J436" s="949"/>
      <c r="K436" s="604"/>
    </row>
    <row r="437" spans="1:11">
      <c r="A437" s="1262"/>
      <c r="B437" s="1149"/>
      <c r="C437" s="604"/>
      <c r="D437" s="1149"/>
      <c r="E437" s="604"/>
      <c r="F437" s="604"/>
      <c r="G437" s="604"/>
      <c r="H437" s="604"/>
      <c r="I437" s="604"/>
      <c r="J437" s="949"/>
      <c r="K437" s="604"/>
    </row>
    <row r="438" spans="1:11">
      <c r="A438" s="1262"/>
      <c r="B438" s="1149"/>
      <c r="C438" s="604"/>
      <c r="D438" s="1149"/>
      <c r="E438" s="604"/>
      <c r="F438" s="604"/>
      <c r="G438" s="604"/>
      <c r="H438" s="604"/>
      <c r="I438" s="604"/>
      <c r="J438" s="949"/>
      <c r="K438" s="604"/>
    </row>
    <row r="439" spans="1:11">
      <c r="A439" s="1262"/>
      <c r="B439" s="1149"/>
      <c r="C439" s="604"/>
      <c r="D439" s="1149"/>
      <c r="E439" s="604"/>
      <c r="F439" s="604"/>
      <c r="G439" s="604"/>
      <c r="H439" s="604"/>
      <c r="I439" s="604"/>
      <c r="J439" s="949"/>
      <c r="K439" s="604"/>
    </row>
    <row r="440" spans="1:11">
      <c r="A440" s="1262"/>
      <c r="B440" s="1149"/>
      <c r="C440" s="604"/>
      <c r="D440" s="1149"/>
      <c r="E440" s="604"/>
      <c r="F440" s="604"/>
      <c r="G440" s="604"/>
      <c r="H440" s="604"/>
      <c r="I440" s="604"/>
      <c r="J440" s="949"/>
      <c r="K440" s="604"/>
    </row>
    <row r="441" spans="1:11">
      <c r="A441" s="1262"/>
      <c r="B441" s="1149"/>
      <c r="C441" s="604"/>
      <c r="D441" s="1149"/>
      <c r="E441" s="604"/>
      <c r="F441" s="604"/>
      <c r="G441" s="604"/>
      <c r="H441" s="604"/>
      <c r="I441" s="604"/>
      <c r="J441" s="949"/>
      <c r="K441" s="604"/>
    </row>
    <row r="442" spans="1:11">
      <c r="A442" s="1262"/>
      <c r="B442" s="1149"/>
      <c r="C442" s="604"/>
      <c r="D442" s="1149"/>
      <c r="E442" s="604"/>
      <c r="F442" s="604"/>
      <c r="G442" s="604"/>
      <c r="H442" s="604"/>
      <c r="I442" s="604"/>
      <c r="J442" s="949"/>
      <c r="K442" s="604"/>
    </row>
    <row r="443" spans="1:11">
      <c r="A443" s="1262"/>
      <c r="B443" s="1149"/>
      <c r="C443" s="604"/>
      <c r="D443" s="1149"/>
      <c r="E443" s="604"/>
      <c r="F443" s="604"/>
      <c r="G443" s="604"/>
      <c r="H443" s="604"/>
      <c r="I443" s="604"/>
      <c r="J443" s="949"/>
      <c r="K443" s="604"/>
    </row>
    <row r="444" spans="1:11">
      <c r="A444" s="1262"/>
      <c r="B444" s="1149"/>
      <c r="C444" s="604"/>
      <c r="D444" s="1149"/>
      <c r="E444" s="604"/>
      <c r="F444" s="604"/>
      <c r="G444" s="604"/>
      <c r="H444" s="604"/>
      <c r="I444" s="604"/>
      <c r="J444" s="949"/>
      <c r="K444" s="604"/>
    </row>
    <row r="445" spans="1:11">
      <c r="A445" s="1262"/>
      <c r="B445" s="1149"/>
      <c r="C445" s="604"/>
      <c r="D445" s="1149"/>
      <c r="E445" s="604"/>
      <c r="F445" s="604"/>
      <c r="G445" s="604"/>
      <c r="H445" s="604"/>
      <c r="I445" s="604"/>
      <c r="J445" s="949"/>
      <c r="K445" s="604"/>
    </row>
    <row r="446" spans="1:11">
      <c r="A446" s="1262"/>
      <c r="B446" s="1149"/>
      <c r="C446" s="604"/>
      <c r="D446" s="1149"/>
      <c r="E446" s="604"/>
      <c r="F446" s="604"/>
      <c r="G446" s="604"/>
      <c r="H446" s="604"/>
      <c r="I446" s="604"/>
      <c r="J446" s="949"/>
      <c r="K446" s="604"/>
    </row>
    <row r="447" spans="1:11">
      <c r="A447" s="1262"/>
      <c r="B447" s="1149"/>
      <c r="C447" s="604"/>
      <c r="D447" s="1149"/>
      <c r="E447" s="604"/>
      <c r="F447" s="604"/>
      <c r="G447" s="604"/>
      <c r="H447" s="604"/>
      <c r="I447" s="604"/>
      <c r="J447" s="949"/>
      <c r="K447" s="604"/>
    </row>
    <row r="448" spans="1:11">
      <c r="A448" s="1262"/>
      <c r="B448" s="1149"/>
      <c r="C448" s="604"/>
      <c r="D448" s="1149"/>
      <c r="E448" s="604"/>
      <c r="F448" s="604"/>
      <c r="G448" s="604"/>
      <c r="H448" s="604"/>
      <c r="I448" s="604"/>
      <c r="J448" s="949"/>
      <c r="K448" s="604"/>
    </row>
    <row r="449" spans="1:11">
      <c r="A449" s="1262"/>
      <c r="B449" s="1149"/>
      <c r="C449" s="604"/>
      <c r="D449" s="1149"/>
      <c r="E449" s="604"/>
      <c r="F449" s="604"/>
      <c r="G449" s="604"/>
      <c r="H449" s="604"/>
      <c r="I449" s="604"/>
      <c r="J449" s="949"/>
      <c r="K449" s="604"/>
    </row>
    <row r="450" spans="1:11">
      <c r="A450" s="1262"/>
      <c r="B450" s="1149"/>
      <c r="C450" s="604"/>
      <c r="D450" s="1149"/>
      <c r="E450" s="604"/>
      <c r="F450" s="604"/>
      <c r="G450" s="604"/>
      <c r="H450" s="604"/>
      <c r="I450" s="604"/>
      <c r="J450" s="949"/>
      <c r="K450" s="604"/>
    </row>
    <row r="451" spans="1:11">
      <c r="A451" s="1262"/>
      <c r="B451" s="1149"/>
      <c r="C451" s="604"/>
      <c r="D451" s="1149"/>
      <c r="E451" s="604"/>
      <c r="F451" s="604"/>
      <c r="G451" s="604"/>
      <c r="H451" s="604"/>
      <c r="I451" s="604"/>
      <c r="J451" s="949"/>
      <c r="K451" s="604"/>
    </row>
    <row r="452" spans="1:11">
      <c r="A452" s="1262"/>
      <c r="B452" s="1149"/>
      <c r="C452" s="604"/>
      <c r="D452" s="1149"/>
      <c r="E452" s="604"/>
      <c r="F452" s="604"/>
      <c r="G452" s="604"/>
      <c r="H452" s="604"/>
      <c r="I452" s="604"/>
      <c r="J452" s="949"/>
      <c r="K452" s="604"/>
    </row>
    <row r="453" spans="1:11">
      <c r="A453" s="1262"/>
      <c r="B453" s="1149"/>
      <c r="C453" s="604"/>
      <c r="D453" s="1149"/>
      <c r="E453" s="604"/>
      <c r="F453" s="604"/>
      <c r="G453" s="604"/>
      <c r="H453" s="604"/>
      <c r="I453" s="604"/>
      <c r="J453" s="949"/>
      <c r="K453" s="604"/>
    </row>
    <row r="454" spans="1:11">
      <c r="A454" s="1262"/>
      <c r="B454" s="1149"/>
      <c r="C454" s="604"/>
      <c r="D454" s="1149"/>
      <c r="E454" s="604"/>
      <c r="F454" s="604"/>
      <c r="G454" s="604"/>
      <c r="H454" s="604"/>
      <c r="I454" s="604"/>
      <c r="J454" s="949"/>
      <c r="K454" s="604"/>
    </row>
    <row r="455" spans="1:11">
      <c r="A455" s="1262"/>
      <c r="B455" s="1149"/>
      <c r="C455" s="604"/>
      <c r="D455" s="1149"/>
      <c r="E455" s="604"/>
      <c r="F455" s="604"/>
      <c r="G455" s="604"/>
      <c r="H455" s="604"/>
      <c r="I455" s="604"/>
      <c r="J455" s="949"/>
      <c r="K455" s="604"/>
    </row>
    <row r="456" spans="1:11">
      <c r="A456" s="1262"/>
      <c r="B456" s="1149"/>
      <c r="C456" s="604"/>
      <c r="D456" s="1149"/>
      <c r="E456" s="604"/>
      <c r="F456" s="604"/>
      <c r="G456" s="604"/>
      <c r="H456" s="604"/>
      <c r="I456" s="604"/>
      <c r="J456" s="949"/>
      <c r="K456" s="604"/>
    </row>
    <row r="457" spans="1:11">
      <c r="A457" s="1262"/>
      <c r="B457" s="1149"/>
      <c r="C457" s="604"/>
      <c r="D457" s="1149"/>
      <c r="E457" s="604"/>
      <c r="F457" s="604"/>
      <c r="G457" s="604"/>
      <c r="H457" s="604"/>
      <c r="I457" s="604"/>
      <c r="J457" s="949"/>
      <c r="K457" s="604"/>
    </row>
    <row r="458" spans="1:11">
      <c r="A458" s="1262"/>
      <c r="B458" s="1149"/>
      <c r="C458" s="604"/>
      <c r="D458" s="1149"/>
      <c r="E458" s="604"/>
      <c r="F458" s="604"/>
      <c r="G458" s="604"/>
      <c r="H458" s="604"/>
      <c r="I458" s="604"/>
      <c r="J458" s="949"/>
      <c r="K458" s="604"/>
    </row>
    <row r="459" spans="1:11">
      <c r="A459" s="1262"/>
      <c r="B459" s="1149"/>
      <c r="C459" s="604"/>
      <c r="D459" s="1149"/>
      <c r="E459" s="604"/>
      <c r="F459" s="604"/>
      <c r="G459" s="604"/>
      <c r="H459" s="604"/>
      <c r="I459" s="604"/>
      <c r="J459" s="949"/>
      <c r="K459" s="604"/>
    </row>
    <row r="460" spans="1:11">
      <c r="A460" s="1262"/>
      <c r="B460" s="1149"/>
      <c r="C460" s="604"/>
      <c r="D460" s="1149"/>
      <c r="E460" s="604"/>
      <c r="F460" s="604"/>
      <c r="G460" s="604"/>
      <c r="H460" s="604"/>
      <c r="I460" s="604"/>
      <c r="J460" s="949"/>
      <c r="K460" s="604"/>
    </row>
    <row r="461" spans="1:11">
      <c r="A461" s="1262"/>
      <c r="B461" s="1149"/>
      <c r="C461" s="604"/>
      <c r="D461" s="1149"/>
      <c r="E461" s="604"/>
      <c r="F461" s="604"/>
      <c r="G461" s="604"/>
      <c r="H461" s="604"/>
      <c r="I461" s="604"/>
      <c r="J461" s="949"/>
      <c r="K461" s="604"/>
    </row>
    <row r="462" spans="1:11">
      <c r="A462" s="1262"/>
      <c r="B462" s="1149"/>
      <c r="C462" s="604"/>
      <c r="D462" s="1149"/>
      <c r="E462" s="604"/>
      <c r="F462" s="604"/>
      <c r="G462" s="604"/>
      <c r="H462" s="604"/>
      <c r="I462" s="604"/>
      <c r="J462" s="949"/>
      <c r="K462" s="604"/>
    </row>
    <row r="463" spans="1:11">
      <c r="A463" s="1262"/>
      <c r="B463" s="1149"/>
      <c r="C463" s="604"/>
      <c r="D463" s="1149"/>
      <c r="E463" s="604"/>
      <c r="F463" s="604"/>
      <c r="G463" s="604"/>
      <c r="H463" s="604"/>
      <c r="I463" s="604"/>
      <c r="J463" s="949"/>
      <c r="K463" s="604"/>
    </row>
    <row r="464" spans="1:11">
      <c r="A464" s="1262"/>
      <c r="B464" s="1149"/>
      <c r="C464" s="604"/>
      <c r="D464" s="1149"/>
      <c r="E464" s="604"/>
      <c r="F464" s="604"/>
      <c r="G464" s="604"/>
      <c r="H464" s="604"/>
      <c r="I464" s="604"/>
      <c r="J464" s="949"/>
      <c r="K464" s="604"/>
    </row>
    <row r="465" spans="1:11">
      <c r="A465" s="1262"/>
      <c r="B465" s="1149"/>
      <c r="C465" s="604"/>
      <c r="D465" s="1149"/>
      <c r="E465" s="604"/>
      <c r="F465" s="604"/>
      <c r="G465" s="604"/>
      <c r="H465" s="604"/>
      <c r="I465" s="604"/>
      <c r="J465" s="949"/>
      <c r="K465" s="604"/>
    </row>
    <row r="466" spans="1:11">
      <c r="A466" s="1262"/>
      <c r="B466" s="1149"/>
      <c r="C466" s="604"/>
      <c r="D466" s="1149"/>
      <c r="E466" s="604"/>
      <c r="F466" s="604"/>
      <c r="G466" s="604"/>
      <c r="H466" s="604"/>
      <c r="I466" s="604"/>
      <c r="J466" s="949"/>
      <c r="K466" s="604"/>
    </row>
    <row r="467" spans="1:11">
      <c r="A467" s="1262"/>
      <c r="B467" s="1149"/>
      <c r="C467" s="604"/>
      <c r="D467" s="1149"/>
      <c r="E467" s="604"/>
      <c r="F467" s="604"/>
      <c r="G467" s="604"/>
      <c r="H467" s="604"/>
      <c r="I467" s="604"/>
      <c r="J467" s="949"/>
      <c r="K467" s="604"/>
    </row>
    <row r="468" spans="1:11">
      <c r="A468" s="1262"/>
      <c r="B468" s="1149"/>
      <c r="C468" s="604"/>
      <c r="D468" s="1149"/>
      <c r="E468" s="604"/>
      <c r="F468" s="604"/>
      <c r="G468" s="604"/>
      <c r="H468" s="604"/>
      <c r="I468" s="604"/>
      <c r="J468" s="949"/>
      <c r="K468" s="604"/>
    </row>
    <row r="469" spans="1:11">
      <c r="A469" s="1262"/>
      <c r="B469" s="1149"/>
      <c r="C469" s="604"/>
      <c r="D469" s="1149"/>
      <c r="E469" s="604"/>
      <c r="F469" s="604"/>
      <c r="G469" s="604"/>
      <c r="H469" s="604"/>
      <c r="I469" s="604"/>
      <c r="J469" s="949"/>
      <c r="K469" s="604"/>
    </row>
    <row r="470" spans="1:11">
      <c r="A470" s="1262"/>
      <c r="B470" s="1149"/>
      <c r="C470" s="604"/>
      <c r="D470" s="1149"/>
      <c r="E470" s="604"/>
      <c r="F470" s="604"/>
      <c r="G470" s="604"/>
      <c r="H470" s="604"/>
      <c r="I470" s="604"/>
      <c r="J470" s="949"/>
      <c r="K470" s="604"/>
    </row>
    <row r="471" spans="1:11">
      <c r="A471" s="1262"/>
      <c r="B471" s="1149"/>
      <c r="C471" s="604"/>
      <c r="D471" s="1149"/>
      <c r="E471" s="604"/>
      <c r="F471" s="604"/>
      <c r="G471" s="604"/>
      <c r="H471" s="604"/>
      <c r="I471" s="604"/>
      <c r="J471" s="949"/>
      <c r="K471" s="604"/>
    </row>
    <row r="472" spans="1:11">
      <c r="A472" s="1262"/>
      <c r="B472" s="1149"/>
      <c r="C472" s="604"/>
      <c r="D472" s="1149"/>
      <c r="E472" s="604"/>
      <c r="F472" s="604"/>
      <c r="G472" s="604"/>
      <c r="H472" s="604"/>
      <c r="I472" s="604"/>
      <c r="J472" s="949"/>
      <c r="K472" s="604"/>
    </row>
    <row r="473" spans="1:11">
      <c r="A473" s="1262"/>
      <c r="B473" s="1149"/>
      <c r="C473" s="604"/>
      <c r="D473" s="1149"/>
      <c r="E473" s="604"/>
      <c r="F473" s="604"/>
      <c r="G473" s="604"/>
      <c r="H473" s="604"/>
      <c r="I473" s="604"/>
      <c r="J473" s="949"/>
      <c r="K473" s="604"/>
    </row>
    <row r="474" spans="1:11">
      <c r="A474" s="1262"/>
      <c r="B474" s="1149"/>
      <c r="C474" s="604"/>
      <c r="D474" s="1149"/>
      <c r="E474" s="604"/>
      <c r="F474" s="604"/>
      <c r="G474" s="604"/>
      <c r="H474" s="604"/>
      <c r="I474" s="604"/>
      <c r="J474" s="949"/>
      <c r="K474" s="604"/>
    </row>
    <row r="475" spans="1:11">
      <c r="A475" s="1262"/>
      <c r="B475" s="1149"/>
      <c r="C475" s="604"/>
      <c r="D475" s="1149"/>
      <c r="E475" s="604"/>
      <c r="F475" s="604"/>
      <c r="G475" s="604"/>
      <c r="H475" s="604"/>
      <c r="I475" s="604"/>
      <c r="J475" s="949"/>
      <c r="K475" s="604"/>
    </row>
    <row r="476" spans="1:11">
      <c r="A476" s="1262"/>
      <c r="B476" s="1149"/>
      <c r="C476" s="604"/>
      <c r="D476" s="1149"/>
      <c r="E476" s="604"/>
      <c r="F476" s="604"/>
      <c r="G476" s="604"/>
      <c r="H476" s="604"/>
      <c r="I476" s="604"/>
      <c r="J476" s="949"/>
      <c r="K476" s="604"/>
    </row>
    <row r="477" spans="1:11">
      <c r="A477" s="1262"/>
      <c r="B477" s="1149"/>
      <c r="C477" s="604"/>
      <c r="D477" s="1149"/>
      <c r="E477" s="604"/>
      <c r="F477" s="604"/>
      <c r="G477" s="604"/>
      <c r="H477" s="604"/>
      <c r="I477" s="604"/>
      <c r="J477" s="949"/>
      <c r="K477" s="604"/>
    </row>
    <row r="478" spans="1:11">
      <c r="A478" s="1262"/>
      <c r="B478" s="1149"/>
      <c r="C478" s="604"/>
      <c r="D478" s="1149"/>
      <c r="E478" s="604"/>
      <c r="F478" s="604"/>
      <c r="G478" s="604"/>
      <c r="H478" s="604"/>
      <c r="I478" s="604"/>
      <c r="J478" s="949"/>
      <c r="K478" s="604"/>
    </row>
    <row r="479" spans="1:11">
      <c r="A479" s="1262"/>
      <c r="B479" s="1149"/>
      <c r="C479" s="604"/>
      <c r="D479" s="1149"/>
      <c r="E479" s="604"/>
      <c r="F479" s="604"/>
      <c r="G479" s="604"/>
      <c r="H479" s="604"/>
      <c r="I479" s="604"/>
      <c r="J479" s="949"/>
      <c r="K479" s="604"/>
    </row>
    <row r="480" spans="1:11">
      <c r="A480" s="1262"/>
      <c r="B480" s="1149"/>
      <c r="C480" s="604"/>
      <c r="D480" s="1149"/>
      <c r="E480" s="604"/>
      <c r="F480" s="604"/>
      <c r="G480" s="604"/>
      <c r="H480" s="604"/>
      <c r="I480" s="604"/>
      <c r="J480" s="949"/>
      <c r="K480" s="604"/>
    </row>
    <row r="481" spans="1:11">
      <c r="A481" s="1262"/>
      <c r="B481" s="1149"/>
      <c r="C481" s="604"/>
      <c r="D481" s="1149"/>
      <c r="E481" s="604"/>
      <c r="F481" s="604"/>
      <c r="G481" s="604"/>
      <c r="H481" s="604"/>
      <c r="I481" s="604"/>
      <c r="J481" s="949"/>
      <c r="K481" s="604"/>
    </row>
    <row r="482" spans="1:11">
      <c r="A482" s="1262"/>
      <c r="B482" s="1149"/>
      <c r="C482" s="604"/>
      <c r="D482" s="1149"/>
      <c r="E482" s="604"/>
      <c r="F482" s="604"/>
      <c r="G482" s="604"/>
      <c r="H482" s="604"/>
      <c r="I482" s="604"/>
      <c r="J482" s="949"/>
      <c r="K482" s="604"/>
    </row>
    <row r="483" spans="1:11">
      <c r="A483" s="1262"/>
      <c r="B483" s="1149"/>
      <c r="C483" s="604"/>
      <c r="D483" s="1149"/>
      <c r="E483" s="604"/>
      <c r="F483" s="604"/>
      <c r="G483" s="604"/>
      <c r="H483" s="604"/>
      <c r="I483" s="604"/>
      <c r="J483" s="949"/>
      <c r="K483" s="604"/>
    </row>
    <row r="484" spans="1:11">
      <c r="A484" s="1262"/>
      <c r="B484" s="1149"/>
      <c r="C484" s="604"/>
      <c r="D484" s="1149"/>
      <c r="E484" s="604"/>
      <c r="F484" s="604"/>
      <c r="G484" s="604"/>
      <c r="H484" s="604"/>
      <c r="I484" s="604"/>
      <c r="J484" s="949"/>
      <c r="K484" s="604"/>
    </row>
    <row r="485" spans="1:11">
      <c r="A485" s="1262"/>
      <c r="B485" s="1149"/>
      <c r="C485" s="604"/>
      <c r="D485" s="1149"/>
      <c r="E485" s="604"/>
      <c r="F485" s="604"/>
      <c r="G485" s="604"/>
      <c r="H485" s="604"/>
      <c r="I485" s="604"/>
      <c r="J485" s="949"/>
      <c r="K485" s="604"/>
    </row>
    <row r="486" spans="1:11">
      <c r="A486" s="1262"/>
      <c r="B486" s="1149"/>
      <c r="C486" s="604"/>
      <c r="D486" s="1149"/>
      <c r="E486" s="604"/>
      <c r="F486" s="604"/>
      <c r="G486" s="604"/>
      <c r="H486" s="604"/>
      <c r="I486" s="604"/>
      <c r="J486" s="949"/>
      <c r="K486" s="604"/>
    </row>
    <row r="487" spans="1:11">
      <c r="A487" s="1262"/>
      <c r="B487" s="1149"/>
      <c r="C487" s="604"/>
      <c r="D487" s="1149"/>
      <c r="E487" s="604"/>
      <c r="F487" s="604"/>
      <c r="G487" s="604"/>
      <c r="H487" s="604"/>
      <c r="I487" s="604"/>
      <c r="J487" s="949"/>
      <c r="K487" s="604"/>
    </row>
    <row r="488" spans="1:11">
      <c r="A488" s="1262"/>
      <c r="B488" s="1149"/>
      <c r="C488" s="604"/>
      <c r="D488" s="1149"/>
      <c r="E488" s="604"/>
      <c r="F488" s="604"/>
      <c r="G488" s="604"/>
      <c r="H488" s="604"/>
      <c r="I488" s="604"/>
      <c r="J488" s="949"/>
      <c r="K488" s="604"/>
    </row>
    <row r="489" spans="1:11">
      <c r="A489" s="1262"/>
      <c r="B489" s="1149"/>
      <c r="C489" s="604"/>
      <c r="D489" s="1149"/>
      <c r="E489" s="604"/>
      <c r="F489" s="604"/>
      <c r="G489" s="604"/>
      <c r="H489" s="604"/>
      <c r="I489" s="604"/>
      <c r="J489" s="949"/>
      <c r="K489" s="604"/>
    </row>
    <row r="490" spans="1:11">
      <c r="A490" s="1262"/>
      <c r="B490" s="1149"/>
      <c r="C490" s="604"/>
      <c r="D490" s="1149"/>
      <c r="E490" s="604"/>
      <c r="F490" s="604"/>
      <c r="G490" s="604"/>
      <c r="H490" s="604"/>
      <c r="I490" s="604"/>
      <c r="J490" s="949"/>
      <c r="K490" s="604"/>
    </row>
    <row r="491" spans="1:11">
      <c r="A491" s="1262"/>
      <c r="B491" s="1149"/>
      <c r="C491" s="604"/>
      <c r="D491" s="1149"/>
      <c r="E491" s="604"/>
      <c r="F491" s="604"/>
      <c r="G491" s="604"/>
      <c r="H491" s="604"/>
      <c r="I491" s="604"/>
      <c r="J491" s="949"/>
      <c r="K491" s="604"/>
    </row>
    <row r="492" spans="1:11">
      <c r="A492" s="1262"/>
      <c r="B492" s="1149"/>
      <c r="C492" s="604"/>
      <c r="D492" s="1149"/>
      <c r="E492" s="604"/>
      <c r="F492" s="604"/>
      <c r="G492" s="604"/>
      <c r="H492" s="604"/>
      <c r="I492" s="604"/>
      <c r="J492" s="949"/>
      <c r="K492" s="604"/>
    </row>
    <row r="493" spans="1:11">
      <c r="A493" s="1262"/>
      <c r="B493" s="1149"/>
      <c r="C493" s="604"/>
      <c r="D493" s="1149"/>
      <c r="E493" s="604"/>
      <c r="F493" s="604"/>
      <c r="G493" s="604"/>
      <c r="H493" s="604"/>
      <c r="I493" s="604"/>
      <c r="J493" s="949"/>
      <c r="K493" s="604"/>
    </row>
    <row r="494" spans="1:11">
      <c r="A494" s="1262"/>
      <c r="B494" s="1149"/>
      <c r="C494" s="604"/>
      <c r="D494" s="1149"/>
      <c r="E494" s="604"/>
      <c r="F494" s="604"/>
      <c r="G494" s="604"/>
      <c r="H494" s="604"/>
      <c r="I494" s="604"/>
      <c r="J494" s="949"/>
      <c r="K494" s="604"/>
    </row>
    <row r="495" spans="1:11">
      <c r="A495" s="1262"/>
      <c r="B495" s="1149"/>
      <c r="C495" s="604"/>
      <c r="D495" s="1149"/>
      <c r="E495" s="604"/>
      <c r="F495" s="604"/>
      <c r="G495" s="604"/>
      <c r="H495" s="604"/>
      <c r="I495" s="604"/>
      <c r="J495" s="949"/>
      <c r="K495" s="604"/>
    </row>
    <row r="496" spans="1:11">
      <c r="A496" s="1262"/>
      <c r="B496" s="1149"/>
      <c r="C496" s="604"/>
      <c r="D496" s="1149"/>
      <c r="E496" s="604"/>
      <c r="F496" s="604"/>
      <c r="G496" s="604"/>
      <c r="H496" s="604"/>
      <c r="I496" s="604"/>
      <c r="J496" s="949"/>
      <c r="K496" s="604"/>
    </row>
    <row r="497" spans="1:11">
      <c r="A497" s="1262"/>
      <c r="B497" s="1149"/>
      <c r="C497" s="604"/>
      <c r="D497" s="1149"/>
      <c r="E497" s="604"/>
      <c r="F497" s="604"/>
      <c r="G497" s="604"/>
      <c r="H497" s="604"/>
      <c r="I497" s="604"/>
      <c r="J497" s="949"/>
      <c r="K497" s="604"/>
    </row>
    <row r="498" spans="1:11">
      <c r="A498" s="1262"/>
      <c r="B498" s="1149"/>
      <c r="C498" s="604"/>
      <c r="D498" s="1149"/>
      <c r="E498" s="604"/>
      <c r="F498" s="604"/>
      <c r="G498" s="604"/>
      <c r="H498" s="604"/>
      <c r="I498" s="604"/>
      <c r="J498" s="949"/>
      <c r="K498" s="604"/>
    </row>
    <row r="499" spans="1:11">
      <c r="A499" s="1262"/>
      <c r="B499" s="1149"/>
      <c r="C499" s="604"/>
      <c r="D499" s="1149"/>
      <c r="E499" s="604"/>
      <c r="F499" s="604"/>
      <c r="G499" s="604"/>
      <c r="H499" s="604"/>
      <c r="I499" s="604"/>
      <c r="J499" s="949"/>
      <c r="K499" s="604"/>
    </row>
    <row r="500" spans="1:11">
      <c r="A500" s="1262"/>
      <c r="B500" s="1149"/>
      <c r="C500" s="604"/>
      <c r="D500" s="1149"/>
      <c r="E500" s="604"/>
      <c r="F500" s="604"/>
      <c r="G500" s="604"/>
      <c r="H500" s="604"/>
      <c r="I500" s="604"/>
      <c r="J500" s="949"/>
      <c r="K500" s="604"/>
    </row>
    <row r="501" spans="1:11">
      <c r="A501" s="1262"/>
      <c r="B501" s="1149"/>
      <c r="C501" s="604"/>
      <c r="D501" s="1149"/>
      <c r="E501" s="604"/>
      <c r="F501" s="604"/>
      <c r="G501" s="604"/>
      <c r="H501" s="604"/>
      <c r="I501" s="604"/>
      <c r="J501" s="949"/>
      <c r="K501" s="604"/>
    </row>
    <row r="502" spans="1:11">
      <c r="A502" s="1262"/>
      <c r="B502" s="1149"/>
      <c r="C502" s="604"/>
      <c r="D502" s="1149"/>
      <c r="E502" s="604"/>
      <c r="F502" s="604"/>
      <c r="G502" s="604"/>
      <c r="H502" s="604"/>
      <c r="I502" s="604"/>
      <c r="J502" s="949"/>
      <c r="K502" s="604"/>
    </row>
    <row r="503" spans="1:11">
      <c r="A503" s="1262"/>
      <c r="B503" s="1149"/>
      <c r="C503" s="604"/>
      <c r="D503" s="1149"/>
      <c r="E503" s="604"/>
      <c r="F503" s="604"/>
      <c r="G503" s="604"/>
      <c r="H503" s="604"/>
      <c r="I503" s="604"/>
      <c r="J503" s="949"/>
      <c r="K503" s="604"/>
    </row>
    <row r="504" spans="1:11">
      <c r="A504" s="1262"/>
      <c r="B504" s="1149"/>
      <c r="C504" s="604"/>
      <c r="D504" s="1149"/>
      <c r="E504" s="604"/>
      <c r="F504" s="604"/>
      <c r="G504" s="604"/>
      <c r="H504" s="604"/>
      <c r="I504" s="604"/>
      <c r="J504" s="949"/>
      <c r="K504" s="604"/>
    </row>
    <row r="505" spans="1:11">
      <c r="A505" s="1262"/>
      <c r="B505" s="1149"/>
      <c r="C505" s="604"/>
      <c r="D505" s="1149"/>
      <c r="E505" s="604"/>
      <c r="F505" s="604"/>
      <c r="G505" s="604"/>
      <c r="H505" s="604"/>
      <c r="I505" s="604"/>
      <c r="J505" s="949"/>
      <c r="K505" s="604"/>
    </row>
    <row r="506" spans="1:11">
      <c r="A506" s="1262"/>
      <c r="B506" s="1149"/>
      <c r="C506" s="604"/>
      <c r="D506" s="1149"/>
      <c r="E506" s="604"/>
      <c r="F506" s="604"/>
      <c r="G506" s="604"/>
      <c r="H506" s="604"/>
      <c r="I506" s="604"/>
      <c r="J506" s="949"/>
      <c r="K506" s="604"/>
    </row>
    <row r="507" spans="1:11">
      <c r="A507" s="1262"/>
      <c r="B507" s="1149"/>
      <c r="C507" s="604"/>
      <c r="D507" s="1149"/>
      <c r="E507" s="604"/>
      <c r="F507" s="604"/>
      <c r="G507" s="604"/>
      <c r="H507" s="604"/>
      <c r="I507" s="604"/>
      <c r="J507" s="949"/>
      <c r="K507" s="604"/>
    </row>
    <row r="508" spans="1:11">
      <c r="A508" s="1262"/>
      <c r="B508" s="1149"/>
      <c r="C508" s="604"/>
      <c r="D508" s="1149"/>
      <c r="E508" s="604"/>
      <c r="F508" s="604"/>
      <c r="G508" s="604"/>
      <c r="H508" s="604"/>
      <c r="I508" s="604"/>
      <c r="J508" s="949"/>
      <c r="K508" s="604"/>
    </row>
    <row r="509" spans="1:11">
      <c r="A509" s="1262"/>
      <c r="B509" s="1149"/>
      <c r="C509" s="604"/>
      <c r="D509" s="1149"/>
      <c r="E509" s="604"/>
      <c r="F509" s="604"/>
      <c r="G509" s="604"/>
      <c r="H509" s="604"/>
      <c r="I509" s="604"/>
      <c r="J509" s="949"/>
      <c r="K509" s="604"/>
    </row>
    <row r="510" spans="1:11">
      <c r="A510" s="1262"/>
      <c r="B510" s="1149"/>
      <c r="C510" s="604"/>
      <c r="D510" s="1149"/>
      <c r="E510" s="604"/>
      <c r="F510" s="604"/>
      <c r="G510" s="604"/>
      <c r="H510" s="604"/>
      <c r="I510" s="604"/>
      <c r="J510" s="949"/>
      <c r="K510" s="604"/>
    </row>
    <row r="511" spans="1:11">
      <c r="A511" s="1262"/>
      <c r="B511" s="1149"/>
      <c r="C511" s="604"/>
      <c r="D511" s="1149"/>
      <c r="E511" s="604"/>
      <c r="F511" s="604"/>
      <c r="G511" s="604"/>
      <c r="H511" s="604"/>
      <c r="I511" s="604"/>
      <c r="J511" s="949"/>
      <c r="K511" s="604"/>
    </row>
    <row r="512" spans="1:11">
      <c r="A512" s="1262"/>
      <c r="B512" s="1149"/>
      <c r="C512" s="604"/>
      <c r="D512" s="1149"/>
      <c r="E512" s="604"/>
      <c r="F512" s="604"/>
      <c r="G512" s="604"/>
      <c r="H512" s="604"/>
      <c r="I512" s="604"/>
      <c r="J512" s="949"/>
      <c r="K512" s="604"/>
    </row>
    <row r="513" spans="1:11">
      <c r="A513" s="1262"/>
      <c r="B513" s="1149"/>
      <c r="C513" s="604"/>
      <c r="D513" s="1149"/>
      <c r="E513" s="604"/>
      <c r="F513" s="604"/>
      <c r="G513" s="604"/>
      <c r="H513" s="604"/>
      <c r="I513" s="604"/>
      <c r="J513" s="949"/>
      <c r="K513" s="604"/>
    </row>
    <row r="514" spans="1:11">
      <c r="A514" s="1262"/>
      <c r="B514" s="1149"/>
      <c r="C514" s="604"/>
      <c r="D514" s="1149"/>
      <c r="E514" s="604"/>
      <c r="F514" s="604"/>
      <c r="G514" s="604"/>
      <c r="H514" s="604"/>
      <c r="I514" s="604"/>
      <c r="J514" s="949"/>
      <c r="K514" s="604"/>
    </row>
    <row r="515" spans="1:11">
      <c r="A515" s="1262"/>
      <c r="B515" s="1149"/>
      <c r="C515" s="604"/>
      <c r="D515" s="1149"/>
      <c r="E515" s="604"/>
      <c r="F515" s="604"/>
      <c r="G515" s="604"/>
      <c r="H515" s="604"/>
      <c r="I515" s="604"/>
      <c r="J515" s="949"/>
      <c r="K515" s="604"/>
    </row>
    <row r="516" spans="1:11">
      <c r="A516" s="1262"/>
      <c r="B516" s="1149"/>
      <c r="C516" s="604"/>
      <c r="D516" s="1149"/>
      <c r="E516" s="604"/>
      <c r="F516" s="604"/>
      <c r="G516" s="604"/>
      <c r="H516" s="604"/>
      <c r="I516" s="604"/>
      <c r="J516" s="949"/>
      <c r="K516" s="604"/>
    </row>
    <row r="517" spans="1:11">
      <c r="A517" s="1262"/>
      <c r="B517" s="1149"/>
      <c r="C517" s="604"/>
      <c r="D517" s="1149"/>
      <c r="E517" s="604"/>
      <c r="F517" s="604"/>
      <c r="G517" s="604"/>
      <c r="H517" s="604"/>
      <c r="I517" s="604"/>
      <c r="J517" s="949"/>
      <c r="K517" s="604"/>
    </row>
    <row r="518" spans="1:11">
      <c r="A518" s="1262"/>
      <c r="B518" s="1149"/>
      <c r="C518" s="604"/>
      <c r="D518" s="1149"/>
      <c r="E518" s="604"/>
      <c r="F518" s="604"/>
      <c r="G518" s="604"/>
      <c r="H518" s="604"/>
      <c r="I518" s="604"/>
      <c r="J518" s="949"/>
      <c r="K518" s="604"/>
    </row>
    <row r="519" spans="1:11">
      <c r="A519" s="1262"/>
      <c r="B519" s="1149"/>
      <c r="C519" s="604"/>
      <c r="D519" s="1149"/>
      <c r="E519" s="604"/>
      <c r="F519" s="604"/>
      <c r="G519" s="604"/>
      <c r="H519" s="604"/>
      <c r="I519" s="604"/>
      <c r="J519" s="949"/>
      <c r="K519" s="604"/>
    </row>
    <row r="520" spans="1:11">
      <c r="A520" s="1262"/>
      <c r="B520" s="1149"/>
      <c r="C520" s="604"/>
      <c r="D520" s="1149"/>
      <c r="E520" s="604"/>
      <c r="F520" s="604"/>
      <c r="G520" s="604"/>
      <c r="H520" s="604"/>
      <c r="I520" s="604"/>
      <c r="J520" s="949"/>
      <c r="K520" s="604"/>
    </row>
    <row r="521" spans="1:11">
      <c r="A521" s="1262"/>
      <c r="B521" s="1149"/>
      <c r="C521" s="604"/>
      <c r="D521" s="1149"/>
      <c r="E521" s="604"/>
      <c r="F521" s="604"/>
      <c r="G521" s="604"/>
      <c r="H521" s="604"/>
      <c r="I521" s="604"/>
      <c r="J521" s="949"/>
      <c r="K521" s="604"/>
    </row>
    <row r="522" spans="1:11">
      <c r="A522" s="1262"/>
      <c r="B522" s="1149"/>
      <c r="C522" s="604"/>
      <c r="D522" s="1149"/>
      <c r="E522" s="604"/>
      <c r="F522" s="604"/>
      <c r="G522" s="604"/>
      <c r="H522" s="604"/>
      <c r="I522" s="604"/>
      <c r="J522" s="949"/>
      <c r="K522" s="604"/>
    </row>
    <row r="523" spans="1:11">
      <c r="A523" s="1262"/>
      <c r="B523" s="1149"/>
      <c r="C523" s="604"/>
      <c r="D523" s="1149"/>
      <c r="E523" s="604"/>
      <c r="F523" s="604"/>
      <c r="G523" s="604"/>
      <c r="H523" s="604"/>
      <c r="I523" s="604"/>
      <c r="J523" s="949"/>
      <c r="K523" s="604"/>
    </row>
    <row r="524" spans="1:11">
      <c r="A524" s="1262"/>
      <c r="B524" s="1149"/>
      <c r="C524" s="604"/>
      <c r="D524" s="1149"/>
      <c r="E524" s="604"/>
      <c r="F524" s="604"/>
      <c r="G524" s="604"/>
      <c r="H524" s="604"/>
      <c r="I524" s="604"/>
      <c r="J524" s="949"/>
      <c r="K524" s="604"/>
    </row>
    <row r="525" spans="1:11">
      <c r="A525" s="1262"/>
      <c r="B525" s="1149"/>
      <c r="C525" s="604"/>
      <c r="D525" s="1149"/>
      <c r="E525" s="604"/>
      <c r="F525" s="604"/>
      <c r="G525" s="604"/>
      <c r="H525" s="604"/>
      <c r="I525" s="604"/>
      <c r="J525" s="949"/>
      <c r="K525" s="604"/>
    </row>
    <row r="526" spans="1:11">
      <c r="A526" s="1262"/>
      <c r="B526" s="1149"/>
      <c r="C526" s="604"/>
      <c r="D526" s="1149"/>
      <c r="E526" s="604"/>
      <c r="F526" s="604"/>
      <c r="G526" s="604"/>
      <c r="H526" s="604"/>
      <c r="I526" s="604"/>
      <c r="J526" s="949"/>
      <c r="K526" s="604"/>
    </row>
    <row r="527" spans="1:11">
      <c r="A527" s="1262"/>
      <c r="B527" s="1149"/>
      <c r="C527" s="604"/>
      <c r="D527" s="1149"/>
      <c r="E527" s="604"/>
      <c r="F527" s="604"/>
      <c r="G527" s="604"/>
      <c r="H527" s="604"/>
      <c r="I527" s="604"/>
      <c r="J527" s="949"/>
      <c r="K527" s="604"/>
    </row>
    <row r="528" spans="1:11">
      <c r="A528" s="1262"/>
      <c r="B528" s="1149"/>
      <c r="C528" s="604"/>
      <c r="D528" s="1149"/>
      <c r="E528" s="604"/>
      <c r="F528" s="604"/>
      <c r="G528" s="604"/>
      <c r="H528" s="604"/>
      <c r="I528" s="604"/>
      <c r="J528" s="949"/>
      <c r="K528" s="604"/>
    </row>
    <row r="529" spans="1:11">
      <c r="A529" s="1262"/>
      <c r="B529" s="1149"/>
      <c r="C529" s="604"/>
      <c r="D529" s="1149"/>
      <c r="E529" s="604"/>
      <c r="F529" s="604"/>
      <c r="G529" s="604"/>
      <c r="H529" s="604"/>
      <c r="I529" s="604"/>
      <c r="J529" s="949"/>
      <c r="K529" s="604"/>
    </row>
    <row r="530" spans="1:11">
      <c r="A530" s="1262"/>
      <c r="B530" s="1149"/>
      <c r="C530" s="604"/>
      <c r="D530" s="1149"/>
      <c r="E530" s="604"/>
      <c r="F530" s="604"/>
      <c r="G530" s="604"/>
      <c r="H530" s="604"/>
      <c r="I530" s="604"/>
      <c r="J530" s="949"/>
      <c r="K530" s="604"/>
    </row>
    <row r="531" spans="1:11">
      <c r="A531" s="1262"/>
      <c r="B531" s="1149"/>
      <c r="C531" s="604"/>
      <c r="D531" s="1149"/>
      <c r="E531" s="604"/>
      <c r="F531" s="604"/>
      <c r="G531" s="604"/>
      <c r="H531" s="604"/>
      <c r="I531" s="604"/>
      <c r="J531" s="949"/>
      <c r="K531" s="604"/>
    </row>
    <row r="532" spans="1:11">
      <c r="A532" s="1262"/>
      <c r="B532" s="1149"/>
      <c r="C532" s="604"/>
      <c r="D532" s="1149"/>
      <c r="E532" s="604"/>
      <c r="F532" s="604"/>
      <c r="G532" s="604"/>
      <c r="H532" s="604"/>
      <c r="I532" s="604"/>
      <c r="J532" s="949"/>
      <c r="K532" s="604"/>
    </row>
    <row r="533" spans="1:11">
      <c r="A533" s="1262"/>
      <c r="B533" s="1149"/>
      <c r="C533" s="604"/>
      <c r="D533" s="1149"/>
      <c r="E533" s="604"/>
      <c r="F533" s="604"/>
      <c r="G533" s="604"/>
      <c r="H533" s="604"/>
      <c r="I533" s="604"/>
      <c r="J533" s="949"/>
      <c r="K533" s="604"/>
    </row>
    <row r="534" spans="1:11">
      <c r="A534" s="1262"/>
      <c r="B534" s="1149"/>
      <c r="C534" s="604"/>
      <c r="D534" s="1149"/>
      <c r="E534" s="604"/>
      <c r="F534" s="604"/>
      <c r="G534" s="604"/>
      <c r="H534" s="604"/>
      <c r="I534" s="604"/>
      <c r="J534" s="949"/>
      <c r="K534" s="604"/>
    </row>
    <row r="535" spans="1:11">
      <c r="A535" s="1262"/>
      <c r="B535" s="1149"/>
      <c r="C535" s="604"/>
      <c r="D535" s="1149"/>
      <c r="E535" s="604"/>
      <c r="F535" s="604"/>
      <c r="G535" s="604"/>
      <c r="H535" s="604"/>
      <c r="I535" s="604"/>
      <c r="J535" s="949"/>
      <c r="K535" s="604"/>
    </row>
    <row r="536" spans="1:11">
      <c r="A536" s="1262"/>
      <c r="B536" s="1149"/>
      <c r="C536" s="604"/>
      <c r="D536" s="1149"/>
      <c r="E536" s="604"/>
      <c r="F536" s="604"/>
      <c r="G536" s="604"/>
      <c r="H536" s="604"/>
      <c r="I536" s="604"/>
      <c r="J536" s="949"/>
      <c r="K536" s="604"/>
    </row>
    <row r="537" spans="1:11">
      <c r="A537" s="1262"/>
      <c r="B537" s="1149"/>
      <c r="C537" s="604"/>
      <c r="D537" s="1149"/>
      <c r="E537" s="604"/>
      <c r="F537" s="604"/>
      <c r="G537" s="604"/>
      <c r="H537" s="604"/>
      <c r="I537" s="604"/>
      <c r="J537" s="949"/>
      <c r="K537" s="604"/>
    </row>
    <row r="538" spans="1:11">
      <c r="A538" s="1262"/>
      <c r="B538" s="1149"/>
      <c r="C538" s="604"/>
      <c r="D538" s="1149"/>
      <c r="E538" s="604"/>
      <c r="F538" s="604"/>
      <c r="G538" s="604"/>
      <c r="H538" s="604"/>
      <c r="I538" s="604"/>
      <c r="J538" s="949"/>
      <c r="K538" s="604"/>
    </row>
    <row r="539" spans="1:11">
      <c r="A539" s="1262"/>
      <c r="B539" s="1149"/>
      <c r="C539" s="604"/>
      <c r="D539" s="1149"/>
      <c r="E539" s="604"/>
      <c r="F539" s="604"/>
      <c r="G539" s="604"/>
      <c r="H539" s="604"/>
      <c r="I539" s="604"/>
      <c r="J539" s="949"/>
      <c r="K539" s="604"/>
    </row>
    <row r="540" spans="1:11">
      <c r="A540" s="1262"/>
      <c r="B540" s="1149"/>
      <c r="C540" s="604"/>
      <c r="D540" s="1149"/>
      <c r="E540" s="604"/>
      <c r="F540" s="604"/>
      <c r="G540" s="604"/>
      <c r="H540" s="604"/>
      <c r="I540" s="604"/>
      <c r="J540" s="949"/>
      <c r="K540" s="604"/>
    </row>
    <row r="541" spans="1:11">
      <c r="A541" s="1262"/>
      <c r="B541" s="1149"/>
      <c r="C541" s="604"/>
      <c r="D541" s="1149"/>
      <c r="E541" s="604"/>
      <c r="F541" s="604"/>
      <c r="G541" s="604"/>
      <c r="H541" s="604"/>
      <c r="I541" s="604"/>
      <c r="J541" s="949"/>
      <c r="K541" s="604"/>
    </row>
    <row r="542" spans="1:11">
      <c r="A542" s="1262"/>
      <c r="B542" s="1149"/>
      <c r="C542" s="604"/>
      <c r="D542" s="1149"/>
      <c r="E542" s="604"/>
      <c r="F542" s="604"/>
      <c r="G542" s="604"/>
      <c r="H542" s="604"/>
      <c r="I542" s="604"/>
      <c r="J542" s="949"/>
      <c r="K542" s="604"/>
    </row>
    <row r="543" spans="1:11">
      <c r="A543" s="1262"/>
      <c r="B543" s="1149"/>
      <c r="C543" s="604"/>
      <c r="D543" s="1149"/>
      <c r="E543" s="604"/>
      <c r="F543" s="604"/>
      <c r="G543" s="604"/>
      <c r="H543" s="604"/>
      <c r="I543" s="604"/>
      <c r="J543" s="949"/>
      <c r="K543" s="604"/>
    </row>
    <row r="544" spans="1:11">
      <c r="A544" s="1262"/>
      <c r="B544" s="1149"/>
      <c r="C544" s="604"/>
      <c r="D544" s="1149"/>
      <c r="E544" s="604"/>
      <c r="F544" s="604"/>
      <c r="G544" s="604"/>
      <c r="H544" s="604"/>
      <c r="I544" s="604"/>
      <c r="J544" s="949"/>
      <c r="K544" s="604"/>
    </row>
    <row r="545" spans="1:11">
      <c r="A545" s="1262"/>
      <c r="B545" s="1149"/>
      <c r="C545" s="604"/>
      <c r="D545" s="1149"/>
      <c r="E545" s="604"/>
      <c r="F545" s="604"/>
      <c r="G545" s="604"/>
      <c r="H545" s="604"/>
      <c r="I545" s="604"/>
      <c r="J545" s="949"/>
      <c r="K545" s="604"/>
    </row>
    <row r="546" spans="1:11">
      <c r="A546" s="1262"/>
      <c r="B546" s="1149"/>
      <c r="C546" s="604"/>
      <c r="D546" s="1149"/>
      <c r="E546" s="604"/>
      <c r="F546" s="604"/>
      <c r="G546" s="604"/>
      <c r="H546" s="604"/>
      <c r="I546" s="604"/>
      <c r="J546" s="949"/>
      <c r="K546" s="604"/>
    </row>
    <row r="547" spans="1:11">
      <c r="A547" s="1262"/>
      <c r="B547" s="1149"/>
      <c r="C547" s="604"/>
      <c r="D547" s="1149"/>
      <c r="E547" s="604"/>
      <c r="F547" s="604"/>
      <c r="G547" s="604"/>
      <c r="H547" s="604"/>
      <c r="I547" s="604"/>
      <c r="J547" s="949"/>
      <c r="K547" s="604"/>
    </row>
    <row r="548" spans="1:11">
      <c r="A548" s="1262"/>
      <c r="B548" s="1149"/>
      <c r="C548" s="604"/>
      <c r="D548" s="1149"/>
      <c r="E548" s="604"/>
      <c r="F548" s="604"/>
      <c r="G548" s="604"/>
      <c r="H548" s="604"/>
      <c r="I548" s="604"/>
      <c r="J548" s="949"/>
      <c r="K548" s="604"/>
    </row>
    <row r="549" spans="1:11">
      <c r="A549" s="1262"/>
      <c r="B549" s="1149"/>
      <c r="C549" s="604"/>
      <c r="D549" s="1149"/>
      <c r="E549" s="604"/>
      <c r="F549" s="604"/>
      <c r="G549" s="604"/>
      <c r="H549" s="604"/>
      <c r="I549" s="604"/>
      <c r="J549" s="949"/>
      <c r="K549" s="604"/>
    </row>
    <row r="550" spans="1:11">
      <c r="A550" s="1262"/>
      <c r="B550" s="1149"/>
      <c r="C550" s="604"/>
      <c r="D550" s="1149"/>
      <c r="E550" s="604"/>
      <c r="F550" s="604"/>
      <c r="G550" s="604"/>
      <c r="H550" s="604"/>
      <c r="I550" s="604"/>
      <c r="J550" s="949"/>
      <c r="K550" s="604"/>
    </row>
    <row r="551" spans="1:11">
      <c r="A551" s="1262"/>
      <c r="B551" s="1149"/>
      <c r="C551" s="604"/>
      <c r="D551" s="1149"/>
      <c r="E551" s="604"/>
      <c r="F551" s="604"/>
      <c r="G551" s="604"/>
      <c r="H551" s="604"/>
      <c r="I551" s="604"/>
      <c r="J551" s="949"/>
      <c r="K551" s="604"/>
    </row>
    <row r="552" spans="1:11">
      <c r="A552" s="1262"/>
      <c r="B552" s="1149"/>
      <c r="C552" s="604"/>
      <c r="D552" s="1149"/>
      <c r="E552" s="604"/>
      <c r="F552" s="604"/>
      <c r="G552" s="604"/>
      <c r="H552" s="604"/>
      <c r="I552" s="604"/>
      <c r="J552" s="949"/>
      <c r="K552" s="604"/>
    </row>
    <row r="553" spans="1:11">
      <c r="A553" s="1262"/>
      <c r="B553" s="1149"/>
      <c r="C553" s="604"/>
      <c r="D553" s="1149"/>
      <c r="E553" s="604"/>
      <c r="F553" s="604"/>
      <c r="G553" s="604"/>
      <c r="H553" s="604"/>
      <c r="I553" s="604"/>
      <c r="J553" s="949"/>
      <c r="K553" s="604"/>
    </row>
    <row r="554" spans="1:11">
      <c r="A554" s="1262"/>
      <c r="B554" s="1149"/>
      <c r="C554" s="604"/>
      <c r="D554" s="1149"/>
      <c r="E554" s="604"/>
      <c r="F554" s="604"/>
      <c r="G554" s="604"/>
      <c r="H554" s="604"/>
      <c r="I554" s="604"/>
      <c r="J554" s="949"/>
      <c r="K554" s="604"/>
    </row>
    <row r="555" spans="1:11">
      <c r="A555" s="1262"/>
      <c r="B555" s="1149"/>
      <c r="C555" s="604"/>
      <c r="D555" s="1149"/>
      <c r="E555" s="604"/>
      <c r="F555" s="604"/>
      <c r="G555" s="604"/>
      <c r="H555" s="604"/>
      <c r="I555" s="604"/>
      <c r="J555" s="949"/>
      <c r="K555" s="604"/>
    </row>
    <row r="556" spans="1:11">
      <c r="A556" s="1262"/>
      <c r="B556" s="1149"/>
      <c r="C556" s="604"/>
      <c r="D556" s="1149"/>
      <c r="E556" s="604"/>
      <c r="F556" s="604"/>
      <c r="G556" s="604"/>
      <c r="H556" s="604"/>
      <c r="I556" s="604"/>
      <c r="J556" s="949"/>
      <c r="K556" s="604"/>
    </row>
    <row r="557" spans="1:11">
      <c r="A557" s="1262"/>
      <c r="B557" s="1149"/>
      <c r="C557" s="604"/>
      <c r="D557" s="1149"/>
      <c r="E557" s="604"/>
      <c r="F557" s="604"/>
      <c r="G557" s="604"/>
      <c r="H557" s="604"/>
      <c r="I557" s="604"/>
      <c r="J557" s="949"/>
      <c r="K557" s="604"/>
    </row>
    <row r="558" spans="1:11">
      <c r="A558" s="1262"/>
      <c r="B558" s="1149"/>
      <c r="C558" s="604"/>
      <c r="D558" s="1149"/>
      <c r="E558" s="604"/>
      <c r="F558" s="604"/>
      <c r="G558" s="604"/>
      <c r="H558" s="604"/>
      <c r="I558" s="604"/>
      <c r="J558" s="949"/>
      <c r="K558" s="604"/>
    </row>
    <row r="559" spans="1:11">
      <c r="A559" s="1262"/>
      <c r="B559" s="1149"/>
      <c r="C559" s="604"/>
      <c r="D559" s="1149"/>
      <c r="E559" s="604"/>
      <c r="F559" s="604"/>
      <c r="G559" s="604"/>
      <c r="H559" s="604"/>
      <c r="I559" s="604"/>
      <c r="J559" s="949"/>
      <c r="K559" s="604"/>
    </row>
    <row r="560" spans="1:11">
      <c r="A560" s="1262"/>
      <c r="B560" s="1149"/>
      <c r="C560" s="604"/>
      <c r="D560" s="1149"/>
      <c r="E560" s="604"/>
      <c r="F560" s="604"/>
      <c r="G560" s="604"/>
      <c r="H560" s="604"/>
      <c r="I560" s="604"/>
      <c r="J560" s="949"/>
      <c r="K560" s="604"/>
    </row>
    <row r="561" spans="1:11">
      <c r="A561" s="1262"/>
      <c r="B561" s="1149"/>
      <c r="C561" s="604"/>
      <c r="D561" s="1149"/>
      <c r="E561" s="604"/>
      <c r="F561" s="604"/>
      <c r="G561" s="604"/>
      <c r="H561" s="604"/>
      <c r="I561" s="604"/>
      <c r="J561" s="949"/>
      <c r="K561" s="604"/>
    </row>
    <row r="562" spans="1:11">
      <c r="A562" s="1262"/>
      <c r="B562" s="1149"/>
      <c r="C562" s="604"/>
      <c r="D562" s="1149"/>
      <c r="E562" s="604"/>
      <c r="F562" s="604"/>
      <c r="G562" s="604"/>
      <c r="H562" s="604"/>
      <c r="I562" s="604"/>
      <c r="J562" s="949"/>
      <c r="K562" s="604"/>
    </row>
    <row r="563" spans="1:11">
      <c r="A563" s="1262"/>
      <c r="B563" s="1149"/>
      <c r="C563" s="604"/>
      <c r="D563" s="1149"/>
      <c r="E563" s="604"/>
      <c r="F563" s="604"/>
      <c r="G563" s="604"/>
      <c r="H563" s="604"/>
      <c r="I563" s="604"/>
      <c r="J563" s="949"/>
      <c r="K563" s="604"/>
    </row>
    <row r="564" spans="1:11">
      <c r="A564" s="1262"/>
      <c r="B564" s="1149"/>
      <c r="C564" s="604"/>
      <c r="D564" s="1149"/>
      <c r="E564" s="604"/>
      <c r="F564" s="604"/>
      <c r="G564" s="604"/>
      <c r="H564" s="604"/>
      <c r="I564" s="604"/>
      <c r="J564" s="949"/>
      <c r="K564" s="604"/>
    </row>
    <row r="565" spans="1:11">
      <c r="A565" s="1262"/>
      <c r="B565" s="1149"/>
      <c r="C565" s="604"/>
      <c r="D565" s="1149"/>
      <c r="E565" s="604"/>
      <c r="F565" s="604"/>
      <c r="G565" s="604"/>
      <c r="H565" s="604"/>
      <c r="I565" s="604"/>
      <c r="J565" s="949"/>
      <c r="K565" s="604"/>
    </row>
    <row r="566" spans="1:11">
      <c r="A566" s="1262"/>
      <c r="B566" s="1149"/>
      <c r="C566" s="604"/>
      <c r="D566" s="1149"/>
      <c r="E566" s="604"/>
      <c r="F566" s="604"/>
      <c r="G566" s="604"/>
      <c r="H566" s="604"/>
      <c r="I566" s="604"/>
      <c r="J566" s="949"/>
      <c r="K566" s="604"/>
    </row>
    <row r="567" spans="1:11">
      <c r="A567" s="1262"/>
      <c r="B567" s="1149"/>
      <c r="C567" s="604"/>
      <c r="D567" s="1149"/>
      <c r="E567" s="604"/>
      <c r="F567" s="604"/>
      <c r="G567" s="604"/>
      <c r="H567" s="604"/>
      <c r="I567" s="604"/>
      <c r="J567" s="949"/>
      <c r="K567" s="604"/>
    </row>
    <row r="568" spans="1:11">
      <c r="A568" s="1262"/>
      <c r="B568" s="1149"/>
      <c r="C568" s="604"/>
      <c r="D568" s="1149"/>
      <c r="E568" s="604"/>
      <c r="F568" s="604"/>
      <c r="G568" s="604"/>
      <c r="H568" s="604"/>
      <c r="I568" s="604"/>
      <c r="J568" s="949"/>
      <c r="K568" s="604"/>
    </row>
    <row r="569" spans="1:11">
      <c r="A569" s="1262"/>
      <c r="B569" s="1149"/>
      <c r="C569" s="604"/>
      <c r="D569" s="1149"/>
      <c r="E569" s="604"/>
      <c r="F569" s="604"/>
      <c r="G569" s="604"/>
      <c r="H569" s="604"/>
      <c r="I569" s="604"/>
      <c r="J569" s="949"/>
      <c r="K569" s="604"/>
    </row>
    <row r="570" spans="1:11">
      <c r="A570" s="1262"/>
      <c r="B570" s="1149"/>
      <c r="C570" s="604"/>
      <c r="D570" s="1149"/>
      <c r="E570" s="604"/>
      <c r="F570" s="604"/>
      <c r="G570" s="604"/>
      <c r="H570" s="604"/>
      <c r="I570" s="604"/>
      <c r="J570" s="949"/>
      <c r="K570" s="604"/>
    </row>
    <row r="571" spans="1:11">
      <c r="A571" s="1262"/>
      <c r="B571" s="1149"/>
      <c r="C571" s="604"/>
      <c r="D571" s="1149"/>
      <c r="E571" s="604"/>
      <c r="F571" s="604"/>
      <c r="G571" s="604"/>
      <c r="H571" s="604"/>
      <c r="I571" s="604"/>
      <c r="J571" s="949"/>
      <c r="K571" s="604"/>
    </row>
    <row r="572" spans="1:11">
      <c r="A572" s="1262"/>
      <c r="B572" s="1149"/>
      <c r="C572" s="604"/>
      <c r="D572" s="1149"/>
      <c r="E572" s="604"/>
      <c r="F572" s="604"/>
      <c r="G572" s="604"/>
      <c r="H572" s="604"/>
      <c r="I572" s="604"/>
      <c r="J572" s="949"/>
      <c r="K572" s="604"/>
    </row>
    <row r="573" spans="1:11">
      <c r="A573" s="1262"/>
      <c r="B573" s="1149"/>
      <c r="C573" s="604"/>
      <c r="D573" s="1149"/>
      <c r="E573" s="604"/>
      <c r="F573" s="604"/>
      <c r="G573" s="604"/>
      <c r="H573" s="604"/>
      <c r="I573" s="604"/>
      <c r="J573" s="949"/>
      <c r="K573" s="604"/>
    </row>
    <row r="574" spans="1:11">
      <c r="A574" s="1262"/>
      <c r="B574" s="1149"/>
      <c r="C574" s="604"/>
      <c r="D574" s="1149"/>
      <c r="E574" s="604"/>
      <c r="F574" s="604"/>
      <c r="G574" s="604"/>
      <c r="H574" s="604"/>
      <c r="I574" s="604"/>
      <c r="J574" s="949"/>
      <c r="K574" s="604"/>
    </row>
    <row r="575" spans="1:11">
      <c r="A575" s="1262"/>
      <c r="B575" s="1149"/>
      <c r="C575" s="604"/>
      <c r="D575" s="1149"/>
      <c r="E575" s="604"/>
      <c r="F575" s="604"/>
      <c r="G575" s="604"/>
      <c r="H575" s="604"/>
      <c r="I575" s="604"/>
      <c r="J575" s="949"/>
      <c r="K575" s="604"/>
    </row>
    <row r="576" spans="1:11">
      <c r="A576" s="1262"/>
      <c r="B576" s="1149"/>
      <c r="C576" s="604"/>
      <c r="D576" s="1149"/>
      <c r="E576" s="604"/>
      <c r="F576" s="604"/>
      <c r="G576" s="604"/>
      <c r="H576" s="604"/>
      <c r="I576" s="604"/>
      <c r="J576" s="949"/>
      <c r="K576" s="604"/>
    </row>
    <row r="577" spans="1:11">
      <c r="A577" s="1262"/>
      <c r="B577" s="1149"/>
      <c r="C577" s="604"/>
      <c r="D577" s="1149"/>
      <c r="E577" s="604"/>
      <c r="F577" s="604"/>
      <c r="G577" s="604"/>
      <c r="H577" s="604"/>
      <c r="I577" s="604"/>
      <c r="J577" s="949"/>
      <c r="K577" s="604"/>
    </row>
    <row r="578" spans="1:11">
      <c r="A578" s="1262"/>
      <c r="B578" s="1149"/>
      <c r="C578" s="604"/>
      <c r="D578" s="1149"/>
      <c r="E578" s="604"/>
      <c r="F578" s="604"/>
      <c r="G578" s="604"/>
      <c r="H578" s="604"/>
      <c r="I578" s="604"/>
      <c r="J578" s="949"/>
      <c r="K578" s="604"/>
    </row>
    <row r="579" spans="1:11">
      <c r="A579" s="1262"/>
      <c r="B579" s="1149"/>
      <c r="C579" s="604"/>
      <c r="D579" s="1149"/>
      <c r="E579" s="604"/>
      <c r="F579" s="604"/>
      <c r="G579" s="604"/>
      <c r="H579" s="604"/>
      <c r="I579" s="604"/>
      <c r="J579" s="949"/>
      <c r="K579" s="604"/>
    </row>
    <row r="580" spans="1:11">
      <c r="A580" s="1262"/>
      <c r="B580" s="1149"/>
      <c r="C580" s="604"/>
      <c r="D580" s="1149"/>
      <c r="E580" s="604"/>
      <c r="F580" s="604"/>
      <c r="G580" s="604"/>
      <c r="H580" s="604"/>
      <c r="I580" s="604"/>
      <c r="J580" s="949"/>
      <c r="K580" s="604"/>
    </row>
    <row r="581" spans="1:11">
      <c r="A581" s="1262"/>
      <c r="B581" s="1149"/>
      <c r="C581" s="604"/>
      <c r="D581" s="1149"/>
      <c r="E581" s="604"/>
      <c r="F581" s="604"/>
      <c r="G581" s="604"/>
      <c r="H581" s="604"/>
      <c r="I581" s="604"/>
      <c r="J581" s="949"/>
      <c r="K581" s="604"/>
    </row>
    <row r="582" spans="1:11">
      <c r="A582" s="1262"/>
      <c r="B582" s="1149"/>
      <c r="C582" s="604"/>
      <c r="D582" s="1149"/>
      <c r="E582" s="604"/>
      <c r="F582" s="604"/>
      <c r="G582" s="604"/>
      <c r="H582" s="604"/>
      <c r="I582" s="604"/>
      <c r="J582" s="949"/>
      <c r="K582" s="604"/>
    </row>
    <row r="583" spans="1:11">
      <c r="A583" s="1262"/>
      <c r="B583" s="1149"/>
      <c r="C583" s="604"/>
      <c r="D583" s="1149"/>
      <c r="E583" s="604"/>
      <c r="F583" s="604"/>
      <c r="G583" s="604"/>
      <c r="H583" s="604"/>
      <c r="I583" s="604"/>
      <c r="J583" s="949"/>
      <c r="K583" s="604"/>
    </row>
    <row r="584" spans="1:11">
      <c r="A584" s="1262"/>
      <c r="B584" s="1149"/>
      <c r="C584" s="604"/>
      <c r="D584" s="1149"/>
      <c r="E584" s="604"/>
      <c r="F584" s="604"/>
      <c r="G584" s="604"/>
      <c r="H584" s="604"/>
      <c r="I584" s="604"/>
      <c r="J584" s="949"/>
      <c r="K584" s="604"/>
    </row>
    <row r="585" spans="1:11">
      <c r="A585" s="1262"/>
      <c r="B585" s="1149"/>
      <c r="C585" s="604"/>
      <c r="D585" s="1149"/>
      <c r="E585" s="604"/>
      <c r="F585" s="604"/>
      <c r="G585" s="604"/>
      <c r="H585" s="604"/>
      <c r="I585" s="604"/>
      <c r="J585" s="949"/>
      <c r="K585" s="604"/>
    </row>
    <row r="586" spans="1:11">
      <c r="A586" s="1262"/>
      <c r="B586" s="1149"/>
      <c r="C586" s="604"/>
      <c r="D586" s="1149"/>
      <c r="E586" s="604"/>
      <c r="F586" s="604"/>
      <c r="G586" s="604"/>
      <c r="H586" s="604"/>
      <c r="I586" s="604"/>
      <c r="J586" s="949"/>
      <c r="K586" s="604"/>
    </row>
    <row r="587" spans="1:11">
      <c r="A587" s="1262"/>
      <c r="B587" s="1149"/>
      <c r="C587" s="604"/>
      <c r="D587" s="1149"/>
      <c r="E587" s="604"/>
      <c r="F587" s="604"/>
      <c r="G587" s="604"/>
      <c r="H587" s="604"/>
      <c r="I587" s="604"/>
      <c r="J587" s="949"/>
      <c r="K587" s="604"/>
    </row>
    <row r="588" spans="1:11">
      <c r="A588" s="1262"/>
      <c r="B588" s="1149"/>
      <c r="C588" s="604"/>
      <c r="D588" s="1149"/>
      <c r="E588" s="604"/>
      <c r="F588" s="604"/>
      <c r="G588" s="604"/>
      <c r="H588" s="604"/>
      <c r="I588" s="604"/>
      <c r="J588" s="949"/>
      <c r="K588" s="604"/>
    </row>
    <row r="589" spans="1:11">
      <c r="A589" s="1262"/>
      <c r="B589" s="1149"/>
      <c r="C589" s="604"/>
      <c r="D589" s="1149"/>
      <c r="E589" s="604"/>
      <c r="F589" s="604"/>
      <c r="G589" s="604"/>
      <c r="H589" s="604"/>
      <c r="I589" s="604"/>
      <c r="J589" s="949"/>
      <c r="K589" s="604"/>
    </row>
    <row r="590" spans="1:11">
      <c r="A590" s="1262"/>
      <c r="B590" s="1149"/>
      <c r="C590" s="604"/>
      <c r="D590" s="1149"/>
      <c r="E590" s="604"/>
      <c r="F590" s="604"/>
      <c r="G590" s="604"/>
      <c r="H590" s="604"/>
      <c r="I590" s="604"/>
      <c r="J590" s="949"/>
      <c r="K590" s="604"/>
    </row>
    <row r="591" spans="1:11">
      <c r="A591" s="1262"/>
      <c r="B591" s="1149"/>
      <c r="C591" s="604"/>
      <c r="D591" s="1149"/>
      <c r="E591" s="604"/>
      <c r="F591" s="604"/>
      <c r="G591" s="604"/>
      <c r="H591" s="604"/>
      <c r="I591" s="604"/>
      <c r="J591" s="949"/>
      <c r="K591" s="604"/>
    </row>
    <row r="592" spans="1:11">
      <c r="A592" s="1262"/>
      <c r="B592" s="1149"/>
      <c r="C592" s="604"/>
      <c r="D592" s="1149"/>
      <c r="E592" s="604"/>
      <c r="F592" s="604"/>
      <c r="G592" s="604"/>
      <c r="H592" s="604"/>
      <c r="I592" s="604"/>
      <c r="J592" s="949"/>
      <c r="K592" s="604"/>
    </row>
    <row r="593" spans="1:11">
      <c r="A593" s="1262"/>
      <c r="B593" s="1149"/>
      <c r="C593" s="604"/>
      <c r="D593" s="1149"/>
      <c r="E593" s="604"/>
      <c r="F593" s="604"/>
      <c r="G593" s="604"/>
      <c r="H593" s="604"/>
      <c r="I593" s="604"/>
      <c r="J593" s="949"/>
      <c r="K593" s="604"/>
    </row>
    <row r="594" spans="1:11">
      <c r="A594" s="1262"/>
      <c r="B594" s="1149"/>
      <c r="C594" s="604"/>
      <c r="D594" s="1149"/>
      <c r="E594" s="604"/>
      <c r="F594" s="604"/>
      <c r="G594" s="604"/>
      <c r="H594" s="604"/>
      <c r="I594" s="604"/>
      <c r="J594" s="949"/>
      <c r="K594" s="604"/>
    </row>
    <row r="595" spans="1:11">
      <c r="A595" s="1262"/>
      <c r="B595" s="1149"/>
      <c r="C595" s="604"/>
      <c r="D595" s="1149"/>
      <c r="E595" s="604"/>
      <c r="F595" s="604"/>
      <c r="G595" s="604"/>
      <c r="H595" s="604"/>
      <c r="I595" s="604"/>
      <c r="J595" s="949"/>
      <c r="K595" s="604"/>
    </row>
    <row r="596" spans="1:11">
      <c r="A596" s="1262"/>
      <c r="B596" s="1149"/>
      <c r="C596" s="604"/>
      <c r="D596" s="1149"/>
      <c r="E596" s="604"/>
      <c r="F596" s="604"/>
      <c r="G596" s="604"/>
      <c r="H596" s="604"/>
      <c r="I596" s="604"/>
      <c r="J596" s="949"/>
      <c r="K596" s="604"/>
    </row>
    <row r="597" spans="1:11">
      <c r="A597" s="1262"/>
      <c r="B597" s="1149"/>
      <c r="C597" s="604"/>
      <c r="D597" s="1149"/>
      <c r="E597" s="604"/>
      <c r="F597" s="604"/>
      <c r="G597" s="604"/>
      <c r="H597" s="604"/>
      <c r="I597" s="604"/>
      <c r="J597" s="949"/>
      <c r="K597" s="604"/>
    </row>
    <row r="598" spans="1:11">
      <c r="A598" s="1262"/>
      <c r="B598" s="1149"/>
      <c r="C598" s="604"/>
      <c r="D598" s="1149"/>
      <c r="E598" s="604"/>
      <c r="F598" s="604"/>
      <c r="G598" s="604"/>
      <c r="H598" s="604"/>
      <c r="I598" s="604"/>
      <c r="J598" s="949"/>
      <c r="K598" s="604"/>
    </row>
    <row r="599" spans="1:11">
      <c r="A599" s="1262"/>
      <c r="B599" s="1149"/>
      <c r="C599" s="604"/>
      <c r="D599" s="1149"/>
      <c r="E599" s="604"/>
      <c r="F599" s="604"/>
      <c r="G599" s="604"/>
      <c r="H599" s="604"/>
      <c r="I599" s="604"/>
      <c r="J599" s="949"/>
      <c r="K599" s="604"/>
    </row>
    <row r="600" spans="1:11">
      <c r="A600" s="1262"/>
      <c r="B600" s="1149"/>
      <c r="C600" s="604"/>
      <c r="D600" s="1149"/>
      <c r="E600" s="604"/>
      <c r="F600" s="604"/>
      <c r="G600" s="604"/>
      <c r="H600" s="604"/>
      <c r="I600" s="604"/>
      <c r="J600" s="949"/>
      <c r="K600" s="604"/>
    </row>
    <row r="601" spans="1:11">
      <c r="A601" s="1262"/>
      <c r="B601" s="1149"/>
      <c r="C601" s="604"/>
      <c r="D601" s="1149"/>
      <c r="E601" s="604"/>
      <c r="F601" s="604"/>
      <c r="G601" s="604"/>
      <c r="H601" s="604"/>
      <c r="I601" s="604"/>
      <c r="J601" s="949"/>
      <c r="K601" s="604"/>
    </row>
    <row r="602" spans="1:11">
      <c r="A602" s="1262"/>
      <c r="B602" s="1149"/>
      <c r="C602" s="604"/>
      <c r="D602" s="1149"/>
      <c r="E602" s="604"/>
      <c r="F602" s="604"/>
      <c r="G602" s="604"/>
      <c r="H602" s="604"/>
      <c r="I602" s="604"/>
      <c r="J602" s="949"/>
      <c r="K602" s="604"/>
    </row>
    <row r="603" spans="1:11">
      <c r="A603" s="1262"/>
      <c r="B603" s="1149"/>
      <c r="C603" s="604"/>
      <c r="D603" s="1149"/>
      <c r="E603" s="604"/>
      <c r="F603" s="604"/>
      <c r="G603" s="604"/>
      <c r="H603" s="604"/>
      <c r="I603" s="604"/>
      <c r="J603" s="949"/>
      <c r="K603" s="604"/>
    </row>
    <row r="604" spans="1:11">
      <c r="A604" s="1262"/>
      <c r="B604" s="1149"/>
      <c r="C604" s="604"/>
      <c r="D604" s="1149"/>
      <c r="E604" s="604"/>
      <c r="F604" s="604"/>
      <c r="G604" s="604"/>
      <c r="H604" s="604"/>
      <c r="I604" s="604"/>
      <c r="J604" s="949"/>
      <c r="K604" s="604"/>
    </row>
    <row r="605" spans="1:11">
      <c r="A605" s="1262"/>
      <c r="B605" s="1149"/>
      <c r="C605" s="604"/>
      <c r="D605" s="1149"/>
      <c r="E605" s="604"/>
      <c r="F605" s="604"/>
      <c r="G605" s="604"/>
      <c r="H605" s="604"/>
      <c r="I605" s="604"/>
      <c r="J605" s="949"/>
      <c r="K605" s="604"/>
    </row>
    <row r="606" spans="1:11">
      <c r="A606" s="1262"/>
      <c r="B606" s="1149"/>
      <c r="C606" s="604"/>
      <c r="D606" s="1149"/>
      <c r="E606" s="604"/>
      <c r="F606" s="604"/>
      <c r="G606" s="604"/>
      <c r="H606" s="604"/>
      <c r="I606" s="604"/>
      <c r="J606" s="949"/>
      <c r="K606" s="604"/>
    </row>
    <row r="607" spans="1:11">
      <c r="A607" s="1262"/>
      <c r="B607" s="1149"/>
      <c r="C607" s="604"/>
      <c r="D607" s="1149"/>
      <c r="E607" s="604"/>
      <c r="F607" s="604"/>
      <c r="G607" s="604"/>
      <c r="H607" s="604"/>
      <c r="I607" s="604"/>
      <c r="J607" s="949"/>
      <c r="K607" s="604"/>
    </row>
    <row r="608" spans="1:11">
      <c r="A608" s="1262"/>
      <c r="B608" s="1149"/>
      <c r="C608" s="604"/>
      <c r="D608" s="1149"/>
      <c r="E608" s="604"/>
      <c r="F608" s="604"/>
      <c r="G608" s="604"/>
      <c r="H608" s="604"/>
      <c r="I608" s="604"/>
      <c r="J608" s="949"/>
      <c r="K608" s="604"/>
    </row>
    <row r="609" spans="1:11">
      <c r="A609" s="1262"/>
      <c r="B609" s="1149"/>
      <c r="C609" s="604"/>
      <c r="D609" s="1149"/>
      <c r="E609" s="604"/>
      <c r="F609" s="604"/>
      <c r="G609" s="604"/>
      <c r="H609" s="604"/>
      <c r="I609" s="604"/>
      <c r="J609" s="949"/>
      <c r="K609" s="604"/>
    </row>
    <row r="610" spans="1:11">
      <c r="A610" s="1262"/>
      <c r="B610" s="1149"/>
      <c r="C610" s="604"/>
      <c r="D610" s="1149"/>
      <c r="E610" s="604"/>
      <c r="F610" s="604"/>
      <c r="G610" s="604"/>
      <c r="H610" s="604"/>
      <c r="I610" s="604"/>
      <c r="J610" s="949"/>
      <c r="K610" s="604"/>
    </row>
    <row r="611" spans="1:11">
      <c r="A611" s="1262"/>
      <c r="B611" s="1149"/>
      <c r="C611" s="604"/>
      <c r="D611" s="1149"/>
      <c r="E611" s="604"/>
      <c r="F611" s="604"/>
      <c r="G611" s="604"/>
      <c r="H611" s="604"/>
      <c r="I611" s="604"/>
      <c r="J611" s="949"/>
      <c r="K611" s="604"/>
    </row>
    <row r="612" spans="1:11">
      <c r="A612" s="1262"/>
      <c r="B612" s="1149"/>
      <c r="C612" s="604"/>
      <c r="D612" s="1149"/>
      <c r="E612" s="604"/>
      <c r="F612" s="604"/>
      <c r="G612" s="604"/>
      <c r="H612" s="604"/>
      <c r="I612" s="604"/>
      <c r="J612" s="949"/>
      <c r="K612" s="604"/>
    </row>
    <row r="613" spans="1:11">
      <c r="A613" s="1262"/>
      <c r="B613" s="1149"/>
      <c r="C613" s="604"/>
      <c r="D613" s="1149"/>
      <c r="E613" s="604"/>
      <c r="F613" s="604"/>
      <c r="G613" s="604"/>
      <c r="H613" s="604"/>
      <c r="I613" s="604"/>
      <c r="J613" s="949"/>
      <c r="K613" s="604"/>
    </row>
    <row r="614" spans="1:11">
      <c r="A614" s="1262"/>
      <c r="B614" s="1149"/>
      <c r="C614" s="604"/>
      <c r="D614" s="1149"/>
      <c r="E614" s="604"/>
      <c r="F614" s="604"/>
      <c r="G614" s="604"/>
      <c r="H614" s="604"/>
      <c r="I614" s="604"/>
      <c r="J614" s="949"/>
      <c r="K614" s="604"/>
    </row>
    <row r="615" spans="1:11">
      <c r="A615" s="1262"/>
      <c r="B615" s="1149"/>
      <c r="C615" s="604"/>
      <c r="D615" s="1149"/>
      <c r="E615" s="604"/>
      <c r="F615" s="604"/>
      <c r="G615" s="604"/>
      <c r="H615" s="604"/>
      <c r="I615" s="604"/>
      <c r="J615" s="949"/>
      <c r="K615" s="604"/>
    </row>
    <row r="616" spans="1:11">
      <c r="A616" s="1262"/>
      <c r="B616" s="1149"/>
      <c r="C616" s="604"/>
      <c r="D616" s="1149"/>
      <c r="E616" s="604"/>
      <c r="F616" s="604"/>
      <c r="G616" s="604"/>
      <c r="H616" s="604"/>
      <c r="I616" s="604"/>
      <c r="J616" s="949"/>
      <c r="K616" s="604"/>
    </row>
    <row r="617" spans="1:11">
      <c r="A617" s="1262"/>
      <c r="B617" s="1149"/>
      <c r="C617" s="604"/>
      <c r="D617" s="1149"/>
      <c r="E617" s="604"/>
      <c r="F617" s="604"/>
      <c r="G617" s="604"/>
      <c r="H617" s="604"/>
      <c r="I617" s="604"/>
      <c r="J617" s="949"/>
      <c r="K617" s="604"/>
    </row>
    <row r="618" spans="1:11">
      <c r="A618" s="1262"/>
      <c r="B618" s="1149"/>
      <c r="C618" s="604"/>
      <c r="D618" s="1149"/>
      <c r="E618" s="604"/>
      <c r="F618" s="604"/>
      <c r="G618" s="604"/>
      <c r="H618" s="604"/>
      <c r="I618" s="604"/>
      <c r="J618" s="949"/>
      <c r="K618" s="604"/>
    </row>
    <row r="619" spans="1:11">
      <c r="A619" s="1262"/>
      <c r="B619" s="1149"/>
      <c r="C619" s="604"/>
      <c r="D619" s="1149"/>
      <c r="E619" s="604"/>
      <c r="F619" s="604"/>
      <c r="G619" s="604"/>
      <c r="H619" s="604"/>
      <c r="I619" s="604"/>
      <c r="J619" s="949"/>
      <c r="K619" s="604"/>
    </row>
    <row r="620" spans="1:11">
      <c r="A620" s="1262"/>
      <c r="B620" s="1149"/>
      <c r="C620" s="604"/>
      <c r="D620" s="1149"/>
      <c r="E620" s="604"/>
      <c r="F620" s="604"/>
      <c r="G620" s="604"/>
      <c r="H620" s="604"/>
      <c r="I620" s="604"/>
      <c r="J620" s="949"/>
      <c r="K620" s="604"/>
    </row>
    <row r="621" spans="1:11">
      <c r="A621" s="1262"/>
      <c r="B621" s="1149"/>
      <c r="C621" s="604"/>
      <c r="D621" s="1149"/>
      <c r="E621" s="604"/>
      <c r="F621" s="604"/>
      <c r="G621" s="604"/>
      <c r="H621" s="604"/>
      <c r="I621" s="604"/>
      <c r="J621" s="949"/>
      <c r="K621" s="604"/>
    </row>
    <row r="622" spans="1:11">
      <c r="A622" s="1262"/>
      <c r="B622" s="1149"/>
      <c r="C622" s="604"/>
      <c r="D622" s="1149"/>
      <c r="E622" s="604"/>
      <c r="F622" s="604"/>
      <c r="G622" s="604"/>
      <c r="H622" s="604"/>
      <c r="I622" s="604"/>
      <c r="J622" s="949"/>
      <c r="K622" s="604"/>
    </row>
    <row r="623" spans="1:11">
      <c r="A623" s="1262"/>
      <c r="B623" s="1149"/>
      <c r="C623" s="604"/>
      <c r="D623" s="1149"/>
      <c r="E623" s="604"/>
      <c r="F623" s="604"/>
      <c r="G623" s="604"/>
      <c r="H623" s="604"/>
      <c r="I623" s="604"/>
      <c r="J623" s="949"/>
      <c r="K623" s="604"/>
    </row>
    <row r="624" spans="1:11">
      <c r="A624" s="1262"/>
      <c r="B624" s="1149"/>
      <c r="C624" s="604"/>
      <c r="D624" s="1149"/>
      <c r="E624" s="604"/>
      <c r="F624" s="604"/>
      <c r="G624" s="604"/>
      <c r="H624" s="604"/>
      <c r="I624" s="604"/>
      <c r="J624" s="949"/>
      <c r="K624" s="604"/>
    </row>
    <row r="625" spans="1:11">
      <c r="A625" s="1262"/>
      <c r="B625" s="1149"/>
      <c r="C625" s="604"/>
      <c r="D625" s="1149"/>
      <c r="E625" s="604"/>
      <c r="F625" s="604"/>
      <c r="G625" s="604"/>
      <c r="H625" s="604"/>
      <c r="I625" s="604"/>
      <c r="J625" s="949"/>
      <c r="K625" s="604"/>
    </row>
    <row r="626" spans="1:11">
      <c r="A626" s="1262"/>
      <c r="B626" s="1149"/>
      <c r="C626" s="604"/>
      <c r="D626" s="1149"/>
      <c r="E626" s="604"/>
      <c r="F626" s="604"/>
      <c r="G626" s="604"/>
      <c r="H626" s="604"/>
      <c r="I626" s="604"/>
      <c r="J626" s="949"/>
      <c r="K626" s="604"/>
    </row>
    <row r="627" spans="1:11">
      <c r="A627" s="1262"/>
      <c r="B627" s="1149"/>
      <c r="C627" s="604"/>
      <c r="D627" s="1149"/>
      <c r="E627" s="604"/>
      <c r="F627" s="604"/>
      <c r="G627" s="604"/>
      <c r="H627" s="604"/>
      <c r="I627" s="604"/>
      <c r="J627" s="949"/>
      <c r="K627" s="604"/>
    </row>
    <row r="628" spans="1:11">
      <c r="A628" s="1262"/>
      <c r="B628" s="1149"/>
      <c r="C628" s="604"/>
      <c r="D628" s="1149"/>
      <c r="E628" s="604"/>
      <c r="F628" s="604"/>
      <c r="G628" s="604"/>
      <c r="H628" s="604"/>
      <c r="I628" s="604"/>
      <c r="J628" s="949"/>
      <c r="K628" s="604"/>
    </row>
    <row r="629" spans="1:11">
      <c r="A629" s="1262"/>
      <c r="B629" s="1149"/>
      <c r="C629" s="604"/>
      <c r="D629" s="1149"/>
      <c r="E629" s="604"/>
      <c r="F629" s="604"/>
      <c r="G629" s="604"/>
      <c r="H629" s="604"/>
      <c r="I629" s="604"/>
      <c r="J629" s="949"/>
      <c r="K629" s="604"/>
    </row>
    <row r="630" spans="1:11">
      <c r="A630" s="1262"/>
      <c r="B630" s="1149"/>
      <c r="C630" s="604"/>
      <c r="D630" s="1149"/>
      <c r="E630" s="604"/>
      <c r="F630" s="604"/>
      <c r="G630" s="604"/>
      <c r="H630" s="604"/>
      <c r="I630" s="604"/>
      <c r="J630" s="949"/>
      <c r="K630" s="604"/>
    </row>
    <row r="631" spans="1:11">
      <c r="A631" s="1262"/>
      <c r="B631" s="1149"/>
      <c r="C631" s="604"/>
      <c r="D631" s="1149"/>
      <c r="E631" s="604"/>
      <c r="F631" s="604"/>
      <c r="G631" s="604"/>
      <c r="H631" s="604"/>
      <c r="I631" s="604"/>
      <c r="J631" s="949"/>
      <c r="K631" s="604"/>
    </row>
    <row r="632" spans="1:11">
      <c r="A632" s="1262"/>
      <c r="B632" s="1149"/>
      <c r="C632" s="604"/>
      <c r="D632" s="1149"/>
      <c r="E632" s="604"/>
      <c r="F632" s="604"/>
      <c r="G632" s="604"/>
      <c r="H632" s="604"/>
      <c r="I632" s="604"/>
      <c r="J632" s="949"/>
      <c r="K632" s="604"/>
    </row>
    <row r="633" spans="1:11">
      <c r="A633" s="1262"/>
      <c r="B633" s="1149"/>
      <c r="C633" s="604"/>
      <c r="D633" s="1149"/>
      <c r="E633" s="604"/>
      <c r="F633" s="604"/>
      <c r="G633" s="604"/>
      <c r="H633" s="604"/>
      <c r="I633" s="604"/>
      <c r="J633" s="949"/>
      <c r="K633" s="604"/>
    </row>
    <row r="634" spans="1:11">
      <c r="A634" s="1262"/>
      <c r="B634" s="1149"/>
      <c r="C634" s="604"/>
      <c r="D634" s="1149"/>
      <c r="E634" s="604"/>
      <c r="F634" s="604"/>
      <c r="G634" s="604"/>
      <c r="H634" s="604"/>
      <c r="I634" s="604"/>
      <c r="J634" s="949"/>
      <c r="K634" s="604"/>
    </row>
    <row r="635" spans="1:11">
      <c r="A635" s="1262"/>
      <c r="B635" s="1149"/>
      <c r="C635" s="604"/>
      <c r="D635" s="1149"/>
      <c r="E635" s="604"/>
      <c r="F635" s="604"/>
      <c r="G635" s="604"/>
      <c r="H635" s="604"/>
      <c r="I635" s="604"/>
      <c r="J635" s="949"/>
      <c r="K635" s="604"/>
    </row>
    <row r="636" spans="1:11">
      <c r="A636" s="1262"/>
      <c r="B636" s="1149"/>
      <c r="C636" s="604"/>
      <c r="D636" s="1149"/>
      <c r="E636" s="604"/>
      <c r="F636" s="604"/>
      <c r="G636" s="604"/>
      <c r="H636" s="604"/>
      <c r="I636" s="604"/>
      <c r="J636" s="949"/>
      <c r="K636" s="604"/>
    </row>
    <row r="637" spans="1:11">
      <c r="A637" s="1262"/>
      <c r="B637" s="1149"/>
      <c r="C637" s="604"/>
      <c r="D637" s="1149"/>
      <c r="E637" s="604"/>
      <c r="F637" s="604"/>
      <c r="G637" s="604"/>
      <c r="H637" s="604"/>
      <c r="I637" s="604"/>
      <c r="J637" s="949"/>
      <c r="K637" s="604"/>
    </row>
    <row r="638" spans="1:11">
      <c r="A638" s="1262"/>
      <c r="B638" s="1149"/>
      <c r="C638" s="604"/>
      <c r="D638" s="1149"/>
      <c r="E638" s="604"/>
      <c r="F638" s="604"/>
      <c r="G638" s="604"/>
      <c r="H638" s="604"/>
      <c r="I638" s="604"/>
      <c r="J638" s="949"/>
      <c r="K638" s="604"/>
    </row>
    <row r="639" spans="1:11">
      <c r="A639" s="1262"/>
      <c r="B639" s="1149"/>
      <c r="C639" s="604"/>
      <c r="D639" s="1149"/>
      <c r="E639" s="604"/>
      <c r="F639" s="604"/>
      <c r="G639" s="604"/>
      <c r="H639" s="604"/>
      <c r="I639" s="604"/>
      <c r="J639" s="949"/>
      <c r="K639" s="604"/>
    </row>
    <row r="640" spans="1:11">
      <c r="A640" s="1262"/>
      <c r="B640" s="1149"/>
      <c r="C640" s="604"/>
      <c r="D640" s="1149"/>
      <c r="E640" s="604"/>
      <c r="F640" s="604"/>
      <c r="G640" s="604"/>
      <c r="H640" s="604"/>
      <c r="I640" s="604"/>
      <c r="J640" s="949"/>
      <c r="K640" s="604"/>
    </row>
    <row r="641" spans="1:11">
      <c r="A641" s="1262"/>
      <c r="B641" s="1149"/>
      <c r="C641" s="604"/>
      <c r="D641" s="1149"/>
      <c r="E641" s="604"/>
      <c r="F641" s="604"/>
      <c r="G641" s="604"/>
      <c r="H641" s="604"/>
      <c r="I641" s="604"/>
      <c r="J641" s="949"/>
      <c r="K641" s="604"/>
    </row>
    <row r="642" spans="1:11">
      <c r="A642" s="1262"/>
      <c r="B642" s="1149"/>
      <c r="C642" s="604"/>
      <c r="D642" s="1149"/>
      <c r="E642" s="604"/>
      <c r="F642" s="604"/>
      <c r="G642" s="604"/>
      <c r="H642" s="604"/>
      <c r="I642" s="604"/>
      <c r="J642" s="949"/>
      <c r="K642" s="604"/>
    </row>
    <row r="643" spans="1:11">
      <c r="A643" s="1262"/>
      <c r="B643" s="1149"/>
      <c r="C643" s="604"/>
      <c r="D643" s="1149"/>
      <c r="E643" s="604"/>
      <c r="F643" s="604"/>
      <c r="G643" s="604"/>
      <c r="H643" s="604"/>
      <c r="I643" s="604"/>
      <c r="J643" s="949"/>
      <c r="K643" s="604"/>
    </row>
    <row r="644" spans="1:11">
      <c r="A644" s="1262"/>
      <c r="B644" s="1149"/>
      <c r="C644" s="604"/>
      <c r="D644" s="1149"/>
      <c r="E644" s="604"/>
      <c r="F644" s="604"/>
      <c r="G644" s="604"/>
      <c r="H644" s="604"/>
      <c r="I644" s="604"/>
      <c r="J644" s="949"/>
      <c r="K644" s="604"/>
    </row>
    <row r="645" spans="1:11">
      <c r="A645" s="1262"/>
      <c r="B645" s="1149"/>
      <c r="C645" s="604"/>
      <c r="D645" s="1149"/>
      <c r="E645" s="604"/>
      <c r="F645" s="604"/>
      <c r="G645" s="604"/>
      <c r="H645" s="604"/>
      <c r="I645" s="604"/>
      <c r="J645" s="949"/>
      <c r="K645" s="604"/>
    </row>
    <row r="646" spans="1:11">
      <c r="A646" s="1262"/>
      <c r="B646" s="1149"/>
      <c r="C646" s="604"/>
      <c r="D646" s="1149"/>
      <c r="E646" s="604"/>
      <c r="F646" s="604"/>
      <c r="G646" s="604"/>
      <c r="H646" s="604"/>
      <c r="I646" s="604"/>
      <c r="J646" s="949"/>
      <c r="K646" s="604"/>
    </row>
    <row r="647" spans="1:11">
      <c r="A647" s="1262"/>
      <c r="B647" s="1149"/>
      <c r="C647" s="604"/>
      <c r="D647" s="1149"/>
      <c r="E647" s="604"/>
      <c r="F647" s="604"/>
      <c r="G647" s="604"/>
      <c r="H647" s="604"/>
      <c r="I647" s="604"/>
      <c r="J647" s="949"/>
      <c r="K647" s="604"/>
    </row>
    <row r="648" spans="1:11">
      <c r="A648" s="1262"/>
      <c r="B648" s="1149"/>
      <c r="C648" s="604"/>
      <c r="D648" s="1149"/>
      <c r="E648" s="604"/>
      <c r="F648" s="604"/>
      <c r="G648" s="604"/>
      <c r="H648" s="604"/>
      <c r="I648" s="604"/>
      <c r="J648" s="949"/>
      <c r="K648" s="604"/>
    </row>
    <row r="649" spans="1:11">
      <c r="A649" s="1262"/>
      <c r="B649" s="1149"/>
      <c r="C649" s="604"/>
      <c r="D649" s="1149"/>
      <c r="E649" s="604"/>
      <c r="F649" s="604"/>
      <c r="G649" s="604"/>
      <c r="H649" s="604"/>
      <c r="I649" s="604"/>
      <c r="J649" s="949"/>
      <c r="K649" s="604"/>
    </row>
    <row r="650" spans="1:11">
      <c r="A650" s="1262"/>
      <c r="B650" s="1149"/>
      <c r="C650" s="604"/>
      <c r="D650" s="1149"/>
      <c r="E650" s="604"/>
      <c r="F650" s="604"/>
      <c r="G650" s="604"/>
      <c r="H650" s="604"/>
      <c r="I650" s="604"/>
      <c r="J650" s="949"/>
      <c r="K650" s="604"/>
    </row>
    <row r="651" spans="1:11">
      <c r="A651" s="1262"/>
      <c r="B651" s="1149"/>
      <c r="C651" s="604"/>
      <c r="D651" s="1149"/>
      <c r="E651" s="604"/>
      <c r="F651" s="604"/>
      <c r="G651" s="604"/>
      <c r="H651" s="604"/>
      <c r="I651" s="604"/>
      <c r="J651" s="949"/>
      <c r="K651" s="604"/>
    </row>
    <row r="652" spans="1:11">
      <c r="A652" s="1262"/>
      <c r="B652" s="1149"/>
      <c r="C652" s="604"/>
      <c r="D652" s="1149"/>
      <c r="E652" s="604"/>
      <c r="F652" s="604"/>
      <c r="G652" s="604"/>
      <c r="H652" s="604"/>
      <c r="I652" s="604"/>
      <c r="J652" s="949"/>
      <c r="K652" s="604"/>
    </row>
    <row r="653" spans="1:11">
      <c r="A653" s="1262"/>
      <c r="B653" s="1149"/>
      <c r="C653" s="604"/>
      <c r="D653" s="1149"/>
      <c r="E653" s="604"/>
      <c r="F653" s="604"/>
      <c r="G653" s="604"/>
      <c r="H653" s="604"/>
      <c r="I653" s="604"/>
      <c r="J653" s="949"/>
      <c r="K653" s="604"/>
    </row>
    <row r="654" spans="1:11">
      <c r="A654" s="1262"/>
      <c r="B654" s="1149"/>
      <c r="C654" s="604"/>
      <c r="D654" s="1149"/>
      <c r="E654" s="604"/>
      <c r="F654" s="604"/>
      <c r="G654" s="604"/>
      <c r="H654" s="604"/>
      <c r="I654" s="604"/>
      <c r="J654" s="949"/>
      <c r="K654" s="604"/>
    </row>
    <row r="655" spans="1:11">
      <c r="A655" s="1262"/>
      <c r="B655" s="1149"/>
      <c r="C655" s="604"/>
      <c r="D655" s="1149"/>
      <c r="E655" s="604"/>
      <c r="F655" s="604"/>
      <c r="G655" s="604"/>
      <c r="H655" s="604"/>
      <c r="I655" s="604"/>
      <c r="J655" s="949"/>
      <c r="K655" s="604"/>
    </row>
    <row r="656" spans="1:11">
      <c r="A656" s="1262"/>
      <c r="B656" s="1149"/>
      <c r="C656" s="604"/>
      <c r="D656" s="1149"/>
      <c r="E656" s="604"/>
      <c r="F656" s="604"/>
      <c r="G656" s="604"/>
      <c r="H656" s="604"/>
      <c r="I656" s="604"/>
      <c r="J656" s="949"/>
      <c r="K656" s="604"/>
    </row>
    <row r="657" spans="1:11">
      <c r="A657" s="1262"/>
      <c r="B657" s="1149"/>
      <c r="C657" s="604"/>
      <c r="D657" s="1149"/>
      <c r="E657" s="604"/>
      <c r="F657" s="604"/>
      <c r="G657" s="604"/>
      <c r="H657" s="604"/>
      <c r="I657" s="604"/>
      <c r="J657" s="949"/>
      <c r="K657" s="604"/>
    </row>
    <row r="658" spans="1:11">
      <c r="A658" s="1262"/>
      <c r="B658" s="1149"/>
      <c r="C658" s="604"/>
      <c r="D658" s="1149"/>
      <c r="E658" s="604"/>
      <c r="F658" s="604"/>
      <c r="G658" s="604"/>
      <c r="H658" s="604"/>
      <c r="I658" s="604"/>
      <c r="J658" s="949"/>
      <c r="K658" s="604"/>
    </row>
    <row r="659" spans="1:11">
      <c r="A659" s="1262"/>
      <c r="B659" s="1149"/>
      <c r="C659" s="604"/>
      <c r="D659" s="1149"/>
      <c r="E659" s="604"/>
      <c r="F659" s="604"/>
      <c r="G659" s="604"/>
      <c r="H659" s="604"/>
      <c r="I659" s="604"/>
      <c r="J659" s="949"/>
      <c r="K659" s="604"/>
    </row>
    <row r="660" spans="1:11">
      <c r="A660" s="1262"/>
      <c r="B660" s="1149"/>
      <c r="C660" s="604"/>
      <c r="D660" s="1149"/>
      <c r="E660" s="604"/>
      <c r="F660" s="604"/>
      <c r="G660" s="604"/>
      <c r="H660" s="604"/>
      <c r="I660" s="604"/>
      <c r="J660" s="949"/>
      <c r="K660" s="604"/>
    </row>
    <row r="661" spans="1:11">
      <c r="A661" s="1262"/>
      <c r="B661" s="1149"/>
      <c r="C661" s="604"/>
      <c r="D661" s="1149"/>
      <c r="E661" s="604"/>
      <c r="F661" s="604"/>
      <c r="G661" s="604"/>
      <c r="H661" s="604"/>
      <c r="I661" s="604"/>
      <c r="J661" s="949"/>
      <c r="K661" s="604"/>
    </row>
    <row r="662" spans="1:11">
      <c r="A662" s="1262"/>
      <c r="B662" s="1149"/>
      <c r="C662" s="604"/>
      <c r="D662" s="1149"/>
      <c r="E662" s="604"/>
      <c r="F662" s="604"/>
      <c r="G662" s="604"/>
      <c r="H662" s="604"/>
      <c r="I662" s="604"/>
      <c r="J662" s="949"/>
      <c r="K662" s="604"/>
    </row>
    <row r="663" spans="1:11">
      <c r="A663" s="1262"/>
      <c r="B663" s="1149"/>
      <c r="C663" s="604"/>
      <c r="D663" s="1149"/>
      <c r="E663" s="604"/>
      <c r="F663" s="604"/>
      <c r="G663" s="604"/>
      <c r="H663" s="604"/>
      <c r="I663" s="604"/>
      <c r="J663" s="949"/>
      <c r="K663" s="604"/>
    </row>
    <row r="664" spans="1:11">
      <c r="A664" s="1262"/>
      <c r="B664" s="1149"/>
      <c r="C664" s="604"/>
      <c r="D664" s="1149"/>
      <c r="E664" s="604"/>
      <c r="F664" s="604"/>
      <c r="G664" s="604"/>
      <c r="H664" s="604"/>
      <c r="I664" s="604"/>
      <c r="J664" s="949"/>
      <c r="K664" s="604"/>
    </row>
    <row r="665" spans="1:11">
      <c r="A665" s="1262"/>
      <c r="B665" s="1149"/>
      <c r="C665" s="604"/>
      <c r="D665" s="1149"/>
      <c r="E665" s="604"/>
      <c r="F665" s="604"/>
      <c r="G665" s="604"/>
      <c r="H665" s="604"/>
      <c r="I665" s="604"/>
      <c r="J665" s="949"/>
      <c r="K665" s="604"/>
    </row>
    <row r="666" spans="1:11">
      <c r="A666" s="1262"/>
      <c r="B666" s="1149"/>
      <c r="C666" s="604"/>
      <c r="D666" s="1149"/>
      <c r="E666" s="604"/>
      <c r="F666" s="604"/>
      <c r="G666" s="604"/>
      <c r="H666" s="604"/>
      <c r="I666" s="604"/>
      <c r="J666" s="949"/>
      <c r="K666" s="604"/>
    </row>
    <row r="667" spans="1:11">
      <c r="A667" s="1262"/>
      <c r="B667" s="1149"/>
      <c r="C667" s="604"/>
      <c r="D667" s="1149"/>
      <c r="E667" s="604"/>
      <c r="F667" s="604"/>
      <c r="G667" s="604"/>
      <c r="H667" s="604"/>
      <c r="I667" s="604"/>
      <c r="J667" s="949"/>
      <c r="K667" s="604"/>
    </row>
    <row r="668" spans="1:11">
      <c r="A668" s="1262"/>
      <c r="B668" s="1149"/>
      <c r="C668" s="604"/>
      <c r="D668" s="1149"/>
      <c r="E668" s="604"/>
      <c r="F668" s="604"/>
      <c r="G668" s="604"/>
      <c r="H668" s="604"/>
      <c r="I668" s="604"/>
      <c r="J668" s="949"/>
      <c r="K668" s="604"/>
    </row>
    <row r="669" spans="1:11">
      <c r="A669" s="1262"/>
      <c r="B669" s="1149"/>
      <c r="C669" s="604"/>
      <c r="D669" s="1149"/>
      <c r="E669" s="604"/>
      <c r="F669" s="604"/>
      <c r="G669" s="604"/>
      <c r="H669" s="604"/>
      <c r="I669" s="604"/>
      <c r="J669" s="949"/>
      <c r="K669" s="604"/>
    </row>
    <row r="670" spans="1:11">
      <c r="A670" s="1262"/>
      <c r="B670" s="1149"/>
      <c r="C670" s="604"/>
      <c r="D670" s="1149"/>
      <c r="E670" s="604"/>
      <c r="F670" s="604"/>
      <c r="G670" s="604"/>
      <c r="H670" s="604"/>
      <c r="I670" s="604"/>
      <c r="J670" s="949"/>
      <c r="K670" s="604"/>
    </row>
    <row r="671" spans="1:11">
      <c r="A671" s="1262"/>
      <c r="B671" s="1149"/>
      <c r="C671" s="604"/>
      <c r="D671" s="1149"/>
      <c r="E671" s="604"/>
      <c r="F671" s="604"/>
      <c r="G671" s="604"/>
      <c r="H671" s="604"/>
      <c r="I671" s="604"/>
      <c r="J671" s="949"/>
      <c r="K671" s="604"/>
    </row>
    <row r="672" spans="1:11">
      <c r="A672" s="1262"/>
      <c r="B672" s="1149"/>
      <c r="C672" s="604"/>
      <c r="D672" s="1149"/>
      <c r="E672" s="604"/>
      <c r="F672" s="604"/>
      <c r="G672" s="604"/>
      <c r="H672" s="604"/>
      <c r="I672" s="604"/>
      <c r="J672" s="949"/>
      <c r="K672" s="604"/>
    </row>
    <row r="673" spans="1:11">
      <c r="A673" s="1262"/>
      <c r="B673" s="1149"/>
      <c r="C673" s="604"/>
      <c r="D673" s="1149"/>
      <c r="E673" s="604"/>
      <c r="F673" s="604"/>
      <c r="G673" s="604"/>
      <c r="H673" s="604"/>
      <c r="I673" s="604"/>
      <c r="J673" s="949"/>
      <c r="K673" s="604"/>
    </row>
    <row r="674" spans="1:11">
      <c r="A674" s="1262"/>
      <c r="B674" s="1149"/>
      <c r="C674" s="604"/>
      <c r="D674" s="1149"/>
      <c r="E674" s="604"/>
      <c r="F674" s="604"/>
      <c r="G674" s="604"/>
      <c r="H674" s="604"/>
      <c r="I674" s="604"/>
      <c r="J674" s="949"/>
      <c r="K674" s="604"/>
    </row>
    <row r="675" spans="1:11">
      <c r="A675" s="1262"/>
      <c r="B675" s="1149"/>
      <c r="C675" s="604"/>
      <c r="D675" s="1149"/>
      <c r="E675" s="604"/>
      <c r="F675" s="604"/>
      <c r="G675" s="604"/>
      <c r="H675" s="604"/>
      <c r="I675" s="604"/>
      <c r="J675" s="949"/>
      <c r="K675" s="604"/>
    </row>
    <row r="676" spans="1:11">
      <c r="A676" s="1262"/>
      <c r="B676" s="1149"/>
      <c r="C676" s="604"/>
      <c r="D676" s="1149"/>
      <c r="E676" s="604"/>
      <c r="F676" s="604"/>
      <c r="G676" s="604"/>
      <c r="H676" s="604"/>
      <c r="I676" s="604"/>
      <c r="J676" s="949"/>
      <c r="K676" s="604"/>
    </row>
    <row r="677" spans="1:11">
      <c r="A677" s="1262"/>
      <c r="B677" s="1149"/>
      <c r="C677" s="604"/>
      <c r="D677" s="1149"/>
      <c r="E677" s="604"/>
      <c r="F677" s="604"/>
      <c r="G677" s="604"/>
      <c r="H677" s="604"/>
      <c r="I677" s="604"/>
      <c r="J677" s="949"/>
      <c r="K677" s="604"/>
    </row>
    <row r="678" spans="1:11">
      <c r="A678" s="1262"/>
      <c r="B678" s="1149"/>
      <c r="C678" s="604"/>
      <c r="D678" s="1149"/>
      <c r="E678" s="604"/>
      <c r="F678" s="604"/>
      <c r="G678" s="604"/>
      <c r="H678" s="604"/>
      <c r="I678" s="604"/>
      <c r="J678" s="949"/>
      <c r="K678" s="604"/>
    </row>
    <row r="679" spans="1:11">
      <c r="A679" s="1262"/>
      <c r="B679" s="1149"/>
      <c r="C679" s="604"/>
      <c r="D679" s="1149"/>
      <c r="E679" s="604"/>
      <c r="F679" s="604"/>
      <c r="G679" s="604"/>
      <c r="H679" s="604"/>
      <c r="I679" s="604"/>
      <c r="J679" s="949"/>
      <c r="K679" s="604"/>
    </row>
    <row r="680" spans="1:11">
      <c r="A680" s="1262"/>
      <c r="B680" s="1149"/>
      <c r="C680" s="604"/>
      <c r="D680" s="1149"/>
      <c r="E680" s="604"/>
      <c r="F680" s="604"/>
      <c r="G680" s="604"/>
      <c r="H680" s="604"/>
      <c r="I680" s="604"/>
      <c r="J680" s="949"/>
      <c r="K680" s="604"/>
    </row>
    <row r="681" spans="1:11">
      <c r="A681" s="1262"/>
      <c r="B681" s="1149"/>
      <c r="C681" s="604"/>
      <c r="D681" s="1149"/>
      <c r="E681" s="604"/>
      <c r="F681" s="604"/>
      <c r="G681" s="604"/>
      <c r="H681" s="604"/>
      <c r="I681" s="604"/>
      <c r="J681" s="949"/>
      <c r="K681" s="604"/>
    </row>
    <row r="682" spans="1:11">
      <c r="A682" s="1262"/>
      <c r="B682" s="1149"/>
      <c r="C682" s="604"/>
      <c r="D682" s="1149"/>
      <c r="E682" s="604"/>
      <c r="F682" s="604"/>
      <c r="G682" s="604"/>
      <c r="H682" s="604"/>
      <c r="I682" s="604"/>
      <c r="J682" s="949"/>
      <c r="K682" s="604"/>
    </row>
    <row r="683" spans="1:11">
      <c r="A683" s="1262"/>
      <c r="B683" s="1149"/>
      <c r="C683" s="604"/>
      <c r="D683" s="1149"/>
      <c r="E683" s="604"/>
      <c r="F683" s="604"/>
      <c r="G683" s="604"/>
      <c r="H683" s="604"/>
      <c r="I683" s="604"/>
      <c r="J683" s="949"/>
      <c r="K683" s="604"/>
    </row>
    <row r="684" spans="1:11">
      <c r="A684" s="1262"/>
      <c r="B684" s="1149"/>
      <c r="C684" s="604"/>
      <c r="D684" s="1149"/>
      <c r="E684" s="604"/>
      <c r="F684" s="604"/>
      <c r="G684" s="604"/>
      <c r="H684" s="604"/>
      <c r="I684" s="604"/>
      <c r="J684" s="949"/>
      <c r="K684" s="604"/>
    </row>
    <row r="685" spans="1:11">
      <c r="A685" s="1262"/>
      <c r="B685" s="1149"/>
      <c r="C685" s="604"/>
      <c r="D685" s="1149"/>
      <c r="E685" s="604"/>
      <c r="F685" s="604"/>
      <c r="G685" s="604"/>
      <c r="H685" s="604"/>
      <c r="I685" s="604"/>
      <c r="J685" s="949"/>
      <c r="K685" s="604"/>
    </row>
    <row r="686" spans="1:11">
      <c r="A686" s="1262"/>
      <c r="B686" s="1149"/>
      <c r="C686" s="604"/>
      <c r="D686" s="1149"/>
      <c r="E686" s="604"/>
      <c r="F686" s="604"/>
      <c r="G686" s="604"/>
      <c r="H686" s="604"/>
      <c r="I686" s="604"/>
      <c r="J686" s="949"/>
      <c r="K686" s="604"/>
    </row>
    <row r="687" spans="1:11">
      <c r="A687" s="1262"/>
      <c r="B687" s="1149"/>
      <c r="C687" s="604"/>
      <c r="D687" s="1149"/>
      <c r="E687" s="604"/>
      <c r="F687" s="604"/>
      <c r="G687" s="604"/>
      <c r="H687" s="604"/>
      <c r="I687" s="604"/>
      <c r="J687" s="949"/>
      <c r="K687" s="604"/>
    </row>
    <row r="688" spans="1:11">
      <c r="A688" s="1262"/>
      <c r="B688" s="1149"/>
      <c r="C688" s="604"/>
      <c r="D688" s="1149"/>
      <c r="E688" s="604"/>
      <c r="F688" s="604"/>
      <c r="G688" s="604"/>
      <c r="H688" s="604"/>
      <c r="I688" s="604"/>
      <c r="J688" s="949"/>
      <c r="K688" s="604"/>
    </row>
    <row r="689" spans="1:11">
      <c r="A689" s="1262"/>
      <c r="B689" s="1149"/>
      <c r="C689" s="604"/>
      <c r="D689" s="1149"/>
      <c r="E689" s="604"/>
      <c r="F689" s="604"/>
      <c r="G689" s="604"/>
      <c r="H689" s="604"/>
      <c r="I689" s="604"/>
      <c r="J689" s="949"/>
      <c r="K689" s="604"/>
    </row>
    <row r="690" spans="1:11">
      <c r="A690" s="1262"/>
      <c r="B690" s="1149"/>
      <c r="C690" s="604"/>
      <c r="D690" s="1149"/>
      <c r="E690" s="604"/>
      <c r="F690" s="604"/>
      <c r="G690" s="604"/>
      <c r="H690" s="604"/>
      <c r="I690" s="604"/>
      <c r="J690" s="949"/>
      <c r="K690" s="604"/>
    </row>
    <row r="691" spans="1:11">
      <c r="A691" s="1262"/>
      <c r="B691" s="1149"/>
      <c r="C691" s="604"/>
      <c r="D691" s="1149"/>
      <c r="E691" s="604"/>
      <c r="F691" s="604"/>
      <c r="G691" s="604"/>
      <c r="H691" s="604"/>
      <c r="I691" s="604"/>
      <c r="J691" s="949"/>
      <c r="K691" s="604"/>
    </row>
    <row r="692" spans="1:11">
      <c r="A692" s="1262"/>
      <c r="B692" s="1149"/>
      <c r="C692" s="604"/>
      <c r="D692" s="1149"/>
      <c r="E692" s="604"/>
      <c r="F692" s="604"/>
      <c r="G692" s="604"/>
      <c r="H692" s="604"/>
      <c r="I692" s="604"/>
      <c r="J692" s="949"/>
      <c r="K692" s="604"/>
    </row>
    <row r="693" spans="1:11">
      <c r="A693" s="1262"/>
      <c r="B693" s="1149"/>
      <c r="C693" s="604"/>
      <c r="D693" s="1149"/>
      <c r="E693" s="604"/>
      <c r="F693" s="604"/>
      <c r="G693" s="604"/>
      <c r="H693" s="604"/>
      <c r="I693" s="604"/>
      <c r="J693" s="949"/>
      <c r="K693" s="604"/>
    </row>
    <row r="694" spans="1:11">
      <c r="A694" s="1262"/>
      <c r="B694" s="1149"/>
      <c r="C694" s="604"/>
      <c r="D694" s="1149"/>
      <c r="E694" s="604"/>
      <c r="F694" s="604"/>
      <c r="G694" s="604"/>
      <c r="H694" s="604"/>
      <c r="I694" s="604"/>
      <c r="J694" s="949"/>
      <c r="K694" s="604"/>
    </row>
    <row r="695" spans="1:11">
      <c r="A695" s="1262"/>
      <c r="B695" s="1149"/>
      <c r="C695" s="604"/>
      <c r="D695" s="1149"/>
      <c r="E695" s="604"/>
      <c r="F695" s="604"/>
      <c r="G695" s="604"/>
      <c r="H695" s="604"/>
      <c r="I695" s="604"/>
      <c r="J695" s="949"/>
      <c r="K695" s="604"/>
    </row>
    <row r="696" spans="1:11">
      <c r="A696" s="1262"/>
      <c r="B696" s="1149"/>
      <c r="C696" s="604"/>
      <c r="D696" s="1149"/>
      <c r="E696" s="604"/>
      <c r="F696" s="604"/>
      <c r="G696" s="604"/>
      <c r="H696" s="604"/>
      <c r="I696" s="604"/>
      <c r="J696" s="949"/>
      <c r="K696" s="604"/>
    </row>
    <row r="697" spans="1:11">
      <c r="A697" s="1262"/>
      <c r="B697" s="1149"/>
      <c r="C697" s="604"/>
      <c r="D697" s="1149"/>
      <c r="E697" s="604"/>
      <c r="F697" s="604"/>
      <c r="G697" s="604"/>
      <c r="H697" s="604"/>
      <c r="I697" s="604"/>
      <c r="J697" s="949"/>
      <c r="K697" s="604"/>
    </row>
    <row r="698" spans="1:11">
      <c r="A698" s="1262"/>
      <c r="B698" s="1149"/>
      <c r="C698" s="604"/>
      <c r="D698" s="1149"/>
      <c r="E698" s="604"/>
      <c r="F698" s="604"/>
      <c r="G698" s="604"/>
      <c r="H698" s="604"/>
      <c r="I698" s="604"/>
      <c r="J698" s="949"/>
      <c r="K698" s="604"/>
    </row>
    <row r="699" spans="1:11">
      <c r="A699" s="1262"/>
      <c r="B699" s="1149"/>
      <c r="C699" s="604"/>
      <c r="D699" s="1149"/>
      <c r="E699" s="604"/>
      <c r="F699" s="604"/>
      <c r="G699" s="604"/>
      <c r="H699" s="604"/>
      <c r="I699" s="604"/>
      <c r="J699" s="949"/>
      <c r="K699" s="604"/>
    </row>
    <row r="700" spans="1:11">
      <c r="A700" s="1262"/>
      <c r="B700" s="1149"/>
      <c r="C700" s="604"/>
      <c r="D700" s="1149"/>
      <c r="E700" s="604"/>
      <c r="F700" s="604"/>
      <c r="G700" s="604"/>
      <c r="H700" s="604"/>
      <c r="I700" s="604"/>
      <c r="J700" s="949"/>
      <c r="K700" s="604"/>
    </row>
    <row r="701" spans="1:11">
      <c r="A701" s="1262"/>
      <c r="B701" s="1149"/>
      <c r="C701" s="604"/>
      <c r="D701" s="1149"/>
      <c r="E701" s="604"/>
      <c r="F701" s="604"/>
      <c r="G701" s="604"/>
      <c r="H701" s="604"/>
      <c r="I701" s="604"/>
      <c r="J701" s="949"/>
      <c r="K701" s="604"/>
    </row>
    <row r="702" spans="1:11">
      <c r="A702" s="1262"/>
      <c r="B702" s="1149"/>
      <c r="C702" s="604"/>
      <c r="D702" s="1149"/>
      <c r="E702" s="604"/>
      <c r="F702" s="604"/>
      <c r="G702" s="604"/>
      <c r="H702" s="604"/>
      <c r="I702" s="604"/>
      <c r="J702" s="949"/>
      <c r="K702" s="604"/>
    </row>
    <row r="703" spans="1:11">
      <c r="A703" s="1262"/>
      <c r="B703" s="1149"/>
      <c r="C703" s="604"/>
      <c r="D703" s="1149"/>
      <c r="E703" s="604"/>
      <c r="F703" s="604"/>
      <c r="G703" s="604"/>
      <c r="H703" s="604"/>
      <c r="I703" s="604"/>
      <c r="J703" s="949"/>
      <c r="K703" s="604"/>
    </row>
    <row r="704" spans="1:11">
      <c r="A704" s="1262"/>
      <c r="B704" s="1149"/>
      <c r="C704" s="604"/>
      <c r="D704" s="1149"/>
      <c r="E704" s="604"/>
      <c r="F704" s="604"/>
      <c r="G704" s="604"/>
      <c r="H704" s="604"/>
      <c r="I704" s="604"/>
      <c r="J704" s="949"/>
      <c r="K704" s="604"/>
    </row>
    <row r="705" spans="1:11">
      <c r="A705" s="1262"/>
      <c r="B705" s="1149"/>
      <c r="C705" s="604"/>
      <c r="D705" s="1149"/>
      <c r="E705" s="604"/>
      <c r="F705" s="604"/>
      <c r="G705" s="604"/>
      <c r="H705" s="604"/>
      <c r="I705" s="604"/>
      <c r="J705" s="949"/>
      <c r="K705" s="604"/>
    </row>
    <row r="706" spans="1:11">
      <c r="A706" s="1262"/>
      <c r="B706" s="1149"/>
      <c r="C706" s="604"/>
      <c r="D706" s="1149"/>
      <c r="E706" s="604"/>
      <c r="F706" s="604"/>
      <c r="G706" s="604"/>
      <c r="H706" s="604"/>
      <c r="I706" s="604"/>
      <c r="J706" s="949"/>
      <c r="K706" s="604"/>
    </row>
    <row r="707" spans="1:11">
      <c r="A707" s="1262"/>
      <c r="B707" s="1149"/>
      <c r="C707" s="604"/>
      <c r="D707" s="1149"/>
      <c r="E707" s="604"/>
      <c r="F707" s="604"/>
      <c r="G707" s="604"/>
      <c r="H707" s="604"/>
      <c r="I707" s="604"/>
      <c r="J707" s="949"/>
      <c r="K707" s="604"/>
    </row>
    <row r="708" spans="1:11">
      <c r="A708" s="1262"/>
      <c r="B708" s="1149"/>
      <c r="C708" s="604"/>
      <c r="D708" s="1149"/>
      <c r="E708" s="604"/>
      <c r="F708" s="604"/>
      <c r="G708" s="604"/>
      <c r="H708" s="604"/>
      <c r="I708" s="604"/>
      <c r="J708" s="949"/>
      <c r="K708" s="604"/>
    </row>
    <row r="709" spans="1:11">
      <c r="A709" s="1262"/>
      <c r="B709" s="1149"/>
      <c r="C709" s="604"/>
      <c r="D709" s="1149"/>
      <c r="E709" s="604"/>
      <c r="F709" s="604"/>
      <c r="G709" s="604"/>
      <c r="H709" s="604"/>
      <c r="I709" s="604"/>
      <c r="J709" s="949"/>
      <c r="K709" s="604"/>
    </row>
    <row r="710" spans="1:11">
      <c r="A710" s="1262"/>
      <c r="B710" s="1149"/>
      <c r="C710" s="604"/>
      <c r="D710" s="1149"/>
      <c r="E710" s="604"/>
      <c r="F710" s="604"/>
      <c r="G710" s="604"/>
      <c r="H710" s="604"/>
      <c r="I710" s="604"/>
      <c r="J710" s="949"/>
      <c r="K710" s="604"/>
    </row>
    <row r="711" spans="1:11">
      <c r="A711" s="1262"/>
      <c r="B711" s="1149"/>
      <c r="C711" s="604"/>
      <c r="D711" s="1149"/>
      <c r="E711" s="604"/>
      <c r="F711" s="604"/>
      <c r="G711" s="604"/>
      <c r="H711" s="604"/>
      <c r="I711" s="604"/>
      <c r="J711" s="949"/>
      <c r="K711" s="604"/>
    </row>
    <row r="712" spans="1:11">
      <c r="A712" s="1262"/>
      <c r="B712" s="1149"/>
      <c r="C712" s="604"/>
      <c r="D712" s="1149"/>
      <c r="E712" s="604"/>
      <c r="F712" s="604"/>
      <c r="G712" s="604"/>
      <c r="H712" s="604"/>
      <c r="I712" s="604"/>
      <c r="J712" s="949"/>
      <c r="K712" s="604"/>
    </row>
    <row r="713" spans="1:11">
      <c r="A713" s="1262"/>
      <c r="B713" s="1149"/>
      <c r="C713" s="604"/>
      <c r="D713" s="1149"/>
      <c r="E713" s="604"/>
      <c r="F713" s="604"/>
      <c r="G713" s="604"/>
      <c r="H713" s="604"/>
      <c r="I713" s="604"/>
      <c r="J713" s="949"/>
      <c r="K713" s="604"/>
    </row>
    <row r="714" spans="1:11">
      <c r="A714" s="1262"/>
      <c r="B714" s="1149"/>
      <c r="C714" s="604"/>
      <c r="D714" s="1149"/>
      <c r="E714" s="604"/>
      <c r="F714" s="604"/>
      <c r="G714" s="604"/>
      <c r="H714" s="604"/>
      <c r="I714" s="604"/>
      <c r="J714" s="949"/>
      <c r="K714" s="604"/>
    </row>
    <row r="715" spans="1:11">
      <c r="A715" s="1262"/>
      <c r="B715" s="1149"/>
      <c r="C715" s="604"/>
      <c r="D715" s="1149"/>
      <c r="E715" s="604"/>
      <c r="F715" s="604"/>
      <c r="G715" s="604"/>
      <c r="H715" s="604"/>
      <c r="I715" s="604"/>
      <c r="J715" s="949"/>
      <c r="K715" s="604"/>
    </row>
    <row r="716" spans="1:11">
      <c r="A716" s="1262"/>
      <c r="B716" s="1149"/>
      <c r="C716" s="604"/>
      <c r="D716" s="1149"/>
      <c r="E716" s="604"/>
      <c r="F716" s="604"/>
      <c r="G716" s="604"/>
      <c r="H716" s="604"/>
      <c r="I716" s="604"/>
      <c r="J716" s="949"/>
      <c r="K716" s="604"/>
    </row>
    <row r="717" spans="1:11">
      <c r="A717" s="1262"/>
      <c r="B717" s="1149"/>
      <c r="C717" s="604"/>
      <c r="D717" s="1149"/>
      <c r="E717" s="604"/>
      <c r="F717" s="604"/>
      <c r="G717" s="604"/>
      <c r="H717" s="604"/>
      <c r="I717" s="604"/>
      <c r="J717" s="949"/>
      <c r="K717" s="604"/>
    </row>
    <row r="718" spans="1:11">
      <c r="A718" s="1262"/>
      <c r="B718" s="1149"/>
      <c r="C718" s="604"/>
      <c r="D718" s="1149"/>
      <c r="E718" s="604"/>
      <c r="F718" s="604"/>
      <c r="G718" s="604"/>
      <c r="H718" s="604"/>
      <c r="I718" s="604"/>
      <c r="J718" s="949"/>
      <c r="K718" s="604"/>
    </row>
    <row r="719" spans="1:11">
      <c r="A719" s="1262"/>
      <c r="B719" s="1149"/>
      <c r="C719" s="604"/>
      <c r="D719" s="1149"/>
      <c r="E719" s="604"/>
      <c r="F719" s="604"/>
      <c r="G719" s="604"/>
      <c r="H719" s="604"/>
      <c r="I719" s="604"/>
      <c r="J719" s="949"/>
      <c r="K719" s="604"/>
    </row>
    <row r="720" spans="1:11">
      <c r="A720" s="1262"/>
      <c r="B720" s="1149"/>
      <c r="C720" s="604"/>
      <c r="D720" s="1149"/>
      <c r="E720" s="604"/>
      <c r="F720" s="604"/>
      <c r="G720" s="604"/>
      <c r="H720" s="604"/>
      <c r="I720" s="604"/>
      <c r="J720" s="949"/>
      <c r="K720" s="604"/>
    </row>
    <row r="721" spans="1:11">
      <c r="A721" s="1262"/>
      <c r="B721" s="1149"/>
      <c r="C721" s="604"/>
      <c r="D721" s="1149"/>
      <c r="E721" s="604"/>
      <c r="F721" s="604"/>
      <c r="G721" s="604"/>
      <c r="H721" s="604"/>
      <c r="I721" s="604"/>
      <c r="J721" s="949"/>
      <c r="K721" s="604"/>
    </row>
    <row r="722" spans="1:11">
      <c r="A722" s="1262"/>
      <c r="B722" s="1149"/>
      <c r="C722" s="604"/>
      <c r="D722" s="1149"/>
      <c r="E722" s="604"/>
      <c r="F722" s="604"/>
      <c r="G722" s="604"/>
      <c r="H722" s="604"/>
      <c r="I722" s="604"/>
      <c r="J722" s="949"/>
      <c r="K722" s="604"/>
    </row>
    <row r="723" spans="1:11">
      <c r="A723" s="1262"/>
      <c r="B723" s="1149"/>
      <c r="C723" s="604"/>
      <c r="D723" s="1149"/>
      <c r="E723" s="604"/>
      <c r="F723" s="604"/>
      <c r="G723" s="604"/>
      <c r="H723" s="604"/>
      <c r="I723" s="604"/>
      <c r="J723" s="949"/>
      <c r="K723" s="604"/>
    </row>
    <row r="724" spans="1:11">
      <c r="A724" s="1262"/>
      <c r="B724" s="1149"/>
      <c r="C724" s="604"/>
      <c r="D724" s="1149"/>
      <c r="E724" s="604"/>
      <c r="F724" s="604"/>
      <c r="G724" s="604"/>
      <c r="H724" s="604"/>
      <c r="I724" s="604"/>
      <c r="J724" s="949"/>
      <c r="K724" s="604"/>
    </row>
    <row r="725" spans="1:11">
      <c r="A725" s="1262"/>
      <c r="B725" s="1149"/>
      <c r="C725" s="604"/>
      <c r="D725" s="1149"/>
      <c r="E725" s="604"/>
      <c r="F725" s="604"/>
      <c r="G725" s="604"/>
      <c r="H725" s="604"/>
      <c r="I725" s="604"/>
      <c r="J725" s="949"/>
      <c r="K725" s="604"/>
    </row>
    <row r="726" spans="1:11">
      <c r="A726" s="1262"/>
      <c r="B726" s="1149"/>
      <c r="C726" s="604"/>
      <c r="D726" s="1149"/>
      <c r="E726" s="604"/>
      <c r="F726" s="604"/>
      <c r="G726" s="604"/>
      <c r="H726" s="604"/>
      <c r="I726" s="604"/>
      <c r="J726" s="949"/>
      <c r="K726" s="604"/>
    </row>
    <row r="727" spans="1:11">
      <c r="A727" s="1262"/>
      <c r="B727" s="1149"/>
      <c r="C727" s="604"/>
      <c r="D727" s="1149"/>
      <c r="E727" s="604"/>
      <c r="F727" s="604"/>
      <c r="G727" s="604"/>
      <c r="H727" s="604"/>
      <c r="I727" s="604"/>
      <c r="J727" s="949"/>
      <c r="K727" s="604"/>
    </row>
    <row r="728" spans="1:11">
      <c r="A728" s="1262"/>
      <c r="B728" s="1149"/>
      <c r="C728" s="604"/>
      <c r="D728" s="1149"/>
      <c r="E728" s="604"/>
      <c r="F728" s="604"/>
      <c r="G728" s="604"/>
      <c r="H728" s="604"/>
      <c r="I728" s="604"/>
      <c r="J728" s="949"/>
      <c r="K728" s="604"/>
    </row>
    <row r="729" spans="1:11">
      <c r="A729" s="1262"/>
      <c r="B729" s="1149"/>
      <c r="C729" s="604"/>
      <c r="D729" s="1149"/>
      <c r="E729" s="604"/>
      <c r="F729" s="604"/>
      <c r="G729" s="604"/>
      <c r="H729" s="604"/>
      <c r="I729" s="604"/>
      <c r="J729" s="949"/>
      <c r="K729" s="604"/>
    </row>
    <row r="730" spans="1:11">
      <c r="A730" s="1262"/>
      <c r="B730" s="1149"/>
      <c r="C730" s="604"/>
      <c r="D730" s="1149"/>
      <c r="E730" s="604"/>
      <c r="F730" s="604"/>
      <c r="G730" s="604"/>
      <c r="H730" s="604"/>
      <c r="I730" s="604"/>
      <c r="J730" s="949"/>
      <c r="K730" s="604"/>
    </row>
    <row r="731" spans="1:11">
      <c r="A731" s="1262"/>
      <c r="B731" s="1149"/>
      <c r="C731" s="604"/>
      <c r="D731" s="1149"/>
      <c r="E731" s="604"/>
      <c r="F731" s="604"/>
      <c r="G731" s="604"/>
      <c r="H731" s="604"/>
      <c r="I731" s="604"/>
      <c r="J731" s="949"/>
      <c r="K731" s="604"/>
    </row>
    <row r="732" spans="1:11">
      <c r="A732" s="1262"/>
      <c r="B732" s="1149"/>
      <c r="C732" s="604"/>
      <c r="D732" s="1149"/>
      <c r="E732" s="604"/>
      <c r="F732" s="604"/>
      <c r="G732" s="604"/>
      <c r="H732" s="604"/>
      <c r="I732" s="604"/>
      <c r="J732" s="949"/>
      <c r="K732" s="604"/>
    </row>
    <row r="733" spans="1:11">
      <c r="A733" s="1262"/>
      <c r="B733" s="1149"/>
      <c r="C733" s="604"/>
      <c r="D733" s="1149"/>
      <c r="E733" s="604"/>
      <c r="F733" s="604"/>
      <c r="G733" s="604"/>
      <c r="H733" s="604"/>
      <c r="I733" s="604"/>
      <c r="J733" s="949"/>
      <c r="K733" s="604"/>
    </row>
    <row r="734" spans="1:11">
      <c r="A734" s="1262"/>
      <c r="B734" s="1149"/>
      <c r="C734" s="604"/>
      <c r="D734" s="1149"/>
      <c r="E734" s="604"/>
      <c r="F734" s="604"/>
      <c r="G734" s="604"/>
      <c r="H734" s="604"/>
      <c r="I734" s="604"/>
      <c r="J734" s="949"/>
      <c r="K734" s="604"/>
    </row>
    <row r="735" spans="1:11">
      <c r="A735" s="1262"/>
      <c r="B735" s="1149"/>
      <c r="C735" s="604"/>
      <c r="D735" s="1149"/>
      <c r="E735" s="604"/>
      <c r="F735" s="604"/>
      <c r="G735" s="604"/>
      <c r="H735" s="604"/>
      <c r="I735" s="604"/>
      <c r="J735" s="949"/>
      <c r="K735" s="604"/>
    </row>
    <row r="736" spans="1:11">
      <c r="A736" s="1262"/>
      <c r="B736" s="1149"/>
      <c r="C736" s="604"/>
      <c r="D736" s="1149"/>
      <c r="E736" s="604"/>
      <c r="F736" s="604"/>
      <c r="G736" s="604"/>
      <c r="H736" s="604"/>
      <c r="I736" s="604"/>
      <c r="J736" s="949"/>
      <c r="K736" s="604"/>
    </row>
    <row r="737" spans="1:11">
      <c r="A737" s="1262"/>
      <c r="B737" s="1149"/>
      <c r="C737" s="604"/>
      <c r="D737" s="1149"/>
      <c r="E737" s="604"/>
      <c r="F737" s="604"/>
      <c r="G737" s="604"/>
      <c r="H737" s="604"/>
      <c r="I737" s="604"/>
      <c r="J737" s="949"/>
      <c r="K737" s="604"/>
    </row>
    <row r="738" spans="1:11">
      <c r="A738" s="1262"/>
      <c r="B738" s="1149"/>
      <c r="C738" s="604"/>
      <c r="D738" s="1149"/>
      <c r="E738" s="604"/>
      <c r="F738" s="604"/>
      <c r="G738" s="604"/>
      <c r="H738" s="604"/>
      <c r="I738" s="604"/>
      <c r="J738" s="949"/>
      <c r="K738" s="604"/>
    </row>
    <row r="739" spans="1:11">
      <c r="A739" s="1262"/>
      <c r="B739" s="1149"/>
      <c r="C739" s="604"/>
      <c r="D739" s="1149"/>
      <c r="E739" s="604"/>
      <c r="F739" s="604"/>
      <c r="G739" s="604"/>
      <c r="H739" s="604"/>
      <c r="I739" s="604"/>
      <c r="J739" s="949"/>
      <c r="K739" s="604"/>
    </row>
    <row r="740" spans="1:11">
      <c r="A740" s="1262"/>
      <c r="B740" s="1149"/>
      <c r="C740" s="604"/>
      <c r="D740" s="1149"/>
      <c r="E740" s="604"/>
      <c r="F740" s="604"/>
      <c r="G740" s="604"/>
      <c r="H740" s="604"/>
      <c r="I740" s="604"/>
      <c r="J740" s="949"/>
      <c r="K740" s="604"/>
    </row>
    <row r="741" spans="1:11">
      <c r="A741" s="1262"/>
      <c r="B741" s="1149"/>
      <c r="C741" s="604"/>
      <c r="D741" s="1149"/>
      <c r="E741" s="604"/>
      <c r="F741" s="604"/>
      <c r="G741" s="604"/>
      <c r="H741" s="604"/>
      <c r="I741" s="604"/>
      <c r="J741" s="949"/>
      <c r="K741" s="604"/>
    </row>
    <row r="742" spans="1:11">
      <c r="A742" s="1262"/>
      <c r="B742" s="1149"/>
      <c r="C742" s="604"/>
      <c r="D742" s="1149"/>
      <c r="E742" s="604"/>
      <c r="F742" s="604"/>
      <c r="G742" s="604"/>
      <c r="H742" s="604"/>
      <c r="I742" s="604"/>
      <c r="J742" s="949"/>
      <c r="K742" s="604"/>
    </row>
    <row r="743" spans="1:11">
      <c r="A743" s="1262"/>
      <c r="B743" s="1149"/>
      <c r="C743" s="604"/>
      <c r="D743" s="1149"/>
      <c r="E743" s="604"/>
      <c r="F743" s="604"/>
      <c r="G743" s="604"/>
      <c r="H743" s="604"/>
      <c r="I743" s="604"/>
      <c r="J743" s="949"/>
      <c r="K743" s="604"/>
    </row>
    <row r="744" spans="1:11">
      <c r="A744" s="1262"/>
      <c r="B744" s="1149"/>
      <c r="C744" s="604"/>
      <c r="D744" s="1149"/>
      <c r="E744" s="604"/>
      <c r="F744" s="604"/>
      <c r="G744" s="604"/>
      <c r="H744" s="604"/>
      <c r="I744" s="604"/>
      <c r="J744" s="949"/>
      <c r="K744" s="604"/>
    </row>
    <row r="745" spans="1:11">
      <c r="A745" s="1262"/>
      <c r="B745" s="1149"/>
      <c r="C745" s="604"/>
      <c r="D745" s="1149"/>
      <c r="E745" s="604"/>
      <c r="F745" s="604"/>
      <c r="G745" s="604"/>
      <c r="H745" s="604"/>
      <c r="I745" s="604"/>
      <c r="J745" s="949"/>
      <c r="K745" s="604"/>
    </row>
    <row r="746" spans="1:11">
      <c r="A746" s="1262"/>
      <c r="B746" s="1149"/>
      <c r="C746" s="604"/>
      <c r="D746" s="1149"/>
      <c r="E746" s="604"/>
      <c r="F746" s="604"/>
      <c r="G746" s="604"/>
      <c r="H746" s="604"/>
      <c r="I746" s="604"/>
      <c r="J746" s="949"/>
      <c r="K746" s="604"/>
    </row>
    <row r="747" spans="1:11">
      <c r="A747" s="1262"/>
      <c r="B747" s="1149"/>
      <c r="C747" s="604"/>
      <c r="D747" s="1149"/>
      <c r="E747" s="604"/>
      <c r="F747" s="604"/>
      <c r="G747" s="604"/>
      <c r="H747" s="604"/>
      <c r="I747" s="604"/>
      <c r="J747" s="949"/>
      <c r="K747" s="604"/>
    </row>
    <row r="748" spans="1:11">
      <c r="A748" s="1262"/>
      <c r="B748" s="1149"/>
      <c r="C748" s="604"/>
      <c r="D748" s="1149"/>
      <c r="E748" s="604"/>
      <c r="F748" s="604"/>
      <c r="G748" s="604"/>
      <c r="H748" s="604"/>
      <c r="I748" s="604"/>
      <c r="J748" s="949"/>
      <c r="K748" s="604"/>
    </row>
    <row r="749" spans="1:11">
      <c r="A749" s="1262"/>
      <c r="B749" s="1149"/>
      <c r="C749" s="604"/>
      <c r="D749" s="1149"/>
      <c r="E749" s="604"/>
      <c r="F749" s="604"/>
      <c r="G749" s="604"/>
      <c r="H749" s="604"/>
      <c r="I749" s="604"/>
      <c r="J749" s="949"/>
      <c r="K749" s="604"/>
    </row>
    <row r="750" spans="1:11">
      <c r="A750" s="1262"/>
      <c r="B750" s="1149"/>
      <c r="C750" s="604"/>
      <c r="D750" s="1149"/>
      <c r="E750" s="604"/>
      <c r="F750" s="604"/>
      <c r="G750" s="604"/>
      <c r="H750" s="604"/>
      <c r="I750" s="604"/>
      <c r="J750" s="949"/>
      <c r="K750" s="604"/>
    </row>
    <row r="751" spans="1:11">
      <c r="A751" s="1262"/>
      <c r="B751" s="1149"/>
      <c r="C751" s="604"/>
      <c r="D751" s="1149"/>
      <c r="E751" s="604"/>
      <c r="F751" s="604"/>
      <c r="G751" s="604"/>
      <c r="H751" s="604"/>
      <c r="I751" s="604"/>
      <c r="J751" s="949"/>
      <c r="K751" s="604"/>
    </row>
    <row r="752" spans="1:11">
      <c r="A752" s="1262"/>
      <c r="B752" s="1149"/>
      <c r="C752" s="604"/>
      <c r="D752" s="1149"/>
      <c r="E752" s="604"/>
      <c r="F752" s="604"/>
      <c r="G752" s="604"/>
      <c r="H752" s="604"/>
      <c r="I752" s="604"/>
      <c r="J752" s="949"/>
      <c r="K752" s="604"/>
    </row>
    <row r="753" spans="1:11">
      <c r="A753" s="1262"/>
      <c r="B753" s="1149"/>
      <c r="C753" s="604"/>
      <c r="D753" s="1149"/>
      <c r="E753" s="604"/>
      <c r="F753" s="604"/>
      <c r="G753" s="604"/>
      <c r="H753" s="604"/>
      <c r="I753" s="604"/>
      <c r="J753" s="949"/>
      <c r="K753" s="604"/>
    </row>
    <row r="754" spans="1:11">
      <c r="A754" s="1262"/>
      <c r="B754" s="1149"/>
      <c r="C754" s="604"/>
      <c r="D754" s="1149"/>
      <c r="E754" s="604"/>
      <c r="F754" s="604"/>
      <c r="G754" s="604"/>
      <c r="H754" s="604"/>
      <c r="I754" s="604"/>
      <c r="J754" s="949"/>
      <c r="K754" s="604"/>
    </row>
    <row r="755" spans="1:11">
      <c r="A755" s="1262"/>
      <c r="B755" s="1149"/>
      <c r="C755" s="604"/>
      <c r="D755" s="1149"/>
      <c r="E755" s="604"/>
      <c r="F755" s="604"/>
      <c r="G755" s="604"/>
      <c r="H755" s="604"/>
      <c r="I755" s="604"/>
      <c r="J755" s="949"/>
      <c r="K755" s="604"/>
    </row>
    <row r="756" spans="1:11">
      <c r="A756" s="1262"/>
      <c r="B756" s="1149"/>
      <c r="C756" s="604"/>
      <c r="D756" s="1149"/>
      <c r="E756" s="604"/>
      <c r="F756" s="604"/>
      <c r="G756" s="604"/>
      <c r="H756" s="604"/>
      <c r="I756" s="604"/>
      <c r="J756" s="949"/>
      <c r="K756" s="604"/>
    </row>
    <row r="757" spans="1:11">
      <c r="A757" s="1262"/>
      <c r="B757" s="1149"/>
      <c r="C757" s="604"/>
      <c r="D757" s="1149"/>
      <c r="E757" s="604"/>
      <c r="F757" s="604"/>
      <c r="G757" s="604"/>
      <c r="H757" s="604"/>
      <c r="I757" s="604"/>
      <c r="J757" s="949"/>
      <c r="K757" s="604"/>
    </row>
    <row r="758" spans="1:11">
      <c r="A758" s="1262"/>
      <c r="B758" s="1149"/>
      <c r="C758" s="604"/>
      <c r="D758" s="1149"/>
      <c r="E758" s="604"/>
      <c r="F758" s="604"/>
      <c r="G758" s="604"/>
      <c r="H758" s="604"/>
      <c r="I758" s="604"/>
      <c r="J758" s="949"/>
      <c r="K758" s="604"/>
    </row>
    <row r="759" spans="1:11">
      <c r="A759" s="1262"/>
      <c r="B759" s="1149"/>
      <c r="C759" s="604"/>
      <c r="D759" s="1149"/>
      <c r="E759" s="604"/>
      <c r="F759" s="604"/>
      <c r="G759" s="604"/>
      <c r="H759" s="604"/>
      <c r="I759" s="604"/>
      <c r="J759" s="949"/>
      <c r="K759" s="604"/>
    </row>
    <row r="760" spans="1:11">
      <c r="A760" s="1262"/>
      <c r="B760" s="1149"/>
      <c r="C760" s="604"/>
      <c r="D760" s="1149"/>
      <c r="E760" s="604"/>
      <c r="F760" s="604"/>
      <c r="G760" s="604"/>
      <c r="H760" s="604"/>
      <c r="I760" s="604"/>
      <c r="J760" s="949"/>
      <c r="K760" s="604"/>
    </row>
    <row r="761" spans="1:11">
      <c r="A761" s="1262"/>
      <c r="B761" s="1149"/>
      <c r="C761" s="604"/>
      <c r="D761" s="1149"/>
      <c r="E761" s="604"/>
      <c r="F761" s="604"/>
      <c r="G761" s="604"/>
      <c r="H761" s="604"/>
      <c r="I761" s="604"/>
      <c r="J761" s="949"/>
      <c r="K761" s="604"/>
    </row>
    <row r="762" spans="1:11">
      <c r="A762" s="1262"/>
      <c r="B762" s="1149"/>
      <c r="C762" s="604"/>
      <c r="D762" s="1149"/>
      <c r="E762" s="604"/>
      <c r="F762" s="604"/>
      <c r="G762" s="604"/>
      <c r="H762" s="604"/>
      <c r="I762" s="604"/>
      <c r="J762" s="949"/>
      <c r="K762" s="604"/>
    </row>
    <row r="763" spans="1:11">
      <c r="A763" s="1262"/>
      <c r="B763" s="1149"/>
      <c r="C763" s="604"/>
      <c r="D763" s="1149"/>
      <c r="E763" s="604"/>
      <c r="F763" s="604"/>
      <c r="G763" s="604"/>
      <c r="H763" s="604"/>
      <c r="I763" s="604"/>
      <c r="J763" s="949"/>
      <c r="K763" s="604"/>
    </row>
    <row r="764" spans="1:11">
      <c r="A764" s="1262"/>
      <c r="B764" s="1149"/>
      <c r="C764" s="604"/>
      <c r="D764" s="1149"/>
      <c r="E764" s="604"/>
      <c r="F764" s="604"/>
      <c r="G764" s="604"/>
      <c r="H764" s="604"/>
      <c r="I764" s="604"/>
      <c r="J764" s="949"/>
      <c r="K764" s="604"/>
    </row>
    <row r="765" spans="1:11">
      <c r="A765" s="1262"/>
      <c r="B765" s="1149"/>
      <c r="C765" s="604"/>
      <c r="D765" s="1149"/>
      <c r="E765" s="604"/>
      <c r="F765" s="604"/>
      <c r="G765" s="604"/>
      <c r="H765" s="604"/>
      <c r="I765" s="604"/>
      <c r="J765" s="949"/>
      <c r="K765" s="604"/>
    </row>
    <row r="766" spans="1:11">
      <c r="A766" s="1262"/>
      <c r="B766" s="1149"/>
      <c r="C766" s="604"/>
      <c r="D766" s="1149"/>
      <c r="E766" s="604"/>
      <c r="F766" s="604"/>
      <c r="G766" s="604"/>
      <c r="H766" s="604"/>
      <c r="I766" s="604"/>
      <c r="J766" s="949"/>
      <c r="K766" s="604"/>
    </row>
    <row r="767" spans="1:11">
      <c r="A767" s="1262"/>
      <c r="B767" s="1149"/>
      <c r="C767" s="604"/>
      <c r="D767" s="1149"/>
      <c r="E767" s="604"/>
      <c r="F767" s="604"/>
      <c r="G767" s="604"/>
      <c r="H767" s="604"/>
      <c r="I767" s="604"/>
      <c r="J767" s="949"/>
      <c r="K767" s="604"/>
    </row>
    <row r="768" spans="1:11">
      <c r="A768" s="1262"/>
      <c r="B768" s="1149"/>
      <c r="C768" s="604"/>
      <c r="D768" s="1149"/>
      <c r="E768" s="604"/>
      <c r="F768" s="604"/>
      <c r="G768" s="604"/>
      <c r="H768" s="604"/>
      <c r="I768" s="604"/>
      <c r="J768" s="949"/>
      <c r="K768" s="604"/>
    </row>
    <row r="769" spans="1:11">
      <c r="A769" s="1262"/>
      <c r="B769" s="1149"/>
      <c r="C769" s="604"/>
      <c r="D769" s="1149"/>
      <c r="E769" s="604"/>
      <c r="F769" s="604"/>
      <c r="G769" s="604"/>
      <c r="H769" s="604"/>
      <c r="I769" s="604"/>
      <c r="J769" s="949"/>
      <c r="K769" s="604"/>
    </row>
    <row r="770" spans="1:11">
      <c r="A770" s="1262"/>
      <c r="B770" s="1149"/>
      <c r="C770" s="604"/>
      <c r="D770" s="1149"/>
      <c r="E770" s="604"/>
      <c r="F770" s="604"/>
      <c r="G770" s="604"/>
      <c r="H770" s="604"/>
      <c r="I770" s="604"/>
      <c r="J770" s="949"/>
      <c r="K770" s="604"/>
    </row>
    <row r="771" spans="1:11">
      <c r="A771" s="1262"/>
      <c r="B771" s="1149"/>
      <c r="C771" s="604"/>
      <c r="D771" s="1149"/>
      <c r="E771" s="604"/>
      <c r="F771" s="604"/>
      <c r="G771" s="604"/>
      <c r="H771" s="604"/>
      <c r="I771" s="604"/>
      <c r="J771" s="949"/>
      <c r="K771" s="604"/>
    </row>
    <row r="772" spans="1:11">
      <c r="A772" s="1262"/>
      <c r="B772" s="1149"/>
      <c r="C772" s="604"/>
      <c r="D772" s="1149"/>
      <c r="E772" s="604"/>
      <c r="F772" s="604"/>
      <c r="G772" s="604"/>
      <c r="H772" s="604"/>
      <c r="I772" s="604"/>
      <c r="J772" s="949"/>
      <c r="K772" s="604"/>
    </row>
    <row r="773" spans="1:11">
      <c r="A773" s="1262"/>
      <c r="B773" s="1149"/>
      <c r="C773" s="604"/>
      <c r="D773" s="1149"/>
      <c r="E773" s="604"/>
      <c r="F773" s="604"/>
      <c r="G773" s="604"/>
      <c r="H773" s="604"/>
      <c r="I773" s="604"/>
      <c r="J773" s="949"/>
      <c r="K773" s="604"/>
    </row>
    <row r="774" spans="1:11">
      <c r="A774" s="1262"/>
      <c r="B774" s="1149"/>
      <c r="C774" s="604"/>
      <c r="D774" s="1149"/>
      <c r="E774" s="604"/>
      <c r="F774" s="604"/>
      <c r="G774" s="604"/>
      <c r="H774" s="604"/>
      <c r="I774" s="604"/>
      <c r="J774" s="949"/>
      <c r="K774" s="604"/>
    </row>
    <row r="775" spans="1:11">
      <c r="A775" s="1262"/>
      <c r="B775" s="1149"/>
      <c r="C775" s="604"/>
      <c r="D775" s="1149"/>
      <c r="E775" s="604"/>
      <c r="F775" s="604"/>
      <c r="G775" s="604"/>
      <c r="H775" s="604"/>
      <c r="I775" s="604"/>
      <c r="J775" s="949"/>
      <c r="K775" s="604"/>
    </row>
    <row r="776" spans="1:11">
      <c r="A776" s="1262"/>
      <c r="B776" s="1149"/>
      <c r="C776" s="604"/>
      <c r="D776" s="1149"/>
      <c r="E776" s="604"/>
      <c r="F776" s="604"/>
      <c r="G776" s="604"/>
      <c r="H776" s="604"/>
      <c r="I776" s="604"/>
      <c r="J776" s="949"/>
      <c r="K776" s="604"/>
    </row>
    <row r="777" spans="1:11">
      <c r="A777" s="1262"/>
      <c r="B777" s="1149"/>
      <c r="C777" s="604"/>
      <c r="D777" s="1149"/>
      <c r="E777" s="604"/>
      <c r="F777" s="604"/>
      <c r="G777" s="604"/>
      <c r="H777" s="604"/>
      <c r="I777" s="604"/>
      <c r="J777" s="949"/>
      <c r="K777" s="604"/>
    </row>
    <row r="778" spans="1:11">
      <c r="A778" s="1262"/>
      <c r="B778" s="1149"/>
      <c r="C778" s="604"/>
      <c r="D778" s="1149"/>
      <c r="E778" s="604"/>
      <c r="F778" s="604"/>
      <c r="G778" s="604"/>
      <c r="H778" s="604"/>
      <c r="I778" s="604"/>
      <c r="J778" s="949"/>
      <c r="K778" s="604"/>
    </row>
    <row r="779" spans="1:11">
      <c r="A779" s="1262"/>
      <c r="B779" s="1149"/>
      <c r="C779" s="604"/>
      <c r="D779" s="1149"/>
      <c r="E779" s="604"/>
      <c r="F779" s="604"/>
      <c r="G779" s="604"/>
      <c r="H779" s="604"/>
      <c r="I779" s="604"/>
      <c r="J779" s="949"/>
      <c r="K779" s="604"/>
    </row>
    <row r="780" spans="1:11">
      <c r="A780" s="1262"/>
      <c r="B780" s="1149"/>
      <c r="C780" s="604"/>
      <c r="D780" s="1149"/>
      <c r="E780" s="604"/>
      <c r="F780" s="604"/>
      <c r="G780" s="604"/>
      <c r="H780" s="604"/>
      <c r="I780" s="604"/>
      <c r="J780" s="949"/>
      <c r="K780" s="604"/>
    </row>
    <row r="781" spans="1:11">
      <c r="A781" s="1262"/>
      <c r="B781" s="1149"/>
      <c r="C781" s="604"/>
      <c r="D781" s="1149"/>
      <c r="E781" s="604"/>
      <c r="F781" s="604"/>
      <c r="G781" s="604"/>
      <c r="H781" s="604"/>
      <c r="I781" s="604"/>
      <c r="J781" s="949"/>
      <c r="K781" s="604"/>
    </row>
    <row r="782" spans="1:11">
      <c r="A782" s="1262"/>
      <c r="B782" s="1149"/>
      <c r="C782" s="604"/>
      <c r="D782" s="1149"/>
      <c r="E782" s="604"/>
      <c r="F782" s="604"/>
      <c r="G782" s="604"/>
      <c r="H782" s="604"/>
      <c r="I782" s="604"/>
      <c r="J782" s="949"/>
      <c r="K782" s="604"/>
    </row>
    <row r="783" spans="1:11">
      <c r="A783" s="1262"/>
      <c r="B783" s="1149"/>
      <c r="C783" s="604"/>
      <c r="D783" s="1149"/>
      <c r="E783" s="604"/>
      <c r="F783" s="604"/>
      <c r="G783" s="604"/>
      <c r="H783" s="604"/>
      <c r="I783" s="604"/>
      <c r="J783" s="949"/>
      <c r="K783" s="604"/>
    </row>
    <row r="784" spans="1:11">
      <c r="A784" s="1262"/>
      <c r="B784" s="1149"/>
      <c r="C784" s="604"/>
      <c r="D784" s="1149"/>
      <c r="E784" s="604"/>
      <c r="F784" s="604"/>
      <c r="G784" s="604"/>
      <c r="H784" s="604"/>
      <c r="I784" s="604"/>
      <c r="J784" s="949"/>
      <c r="K784" s="604"/>
    </row>
    <row r="785" spans="1:11">
      <c r="A785" s="1262"/>
      <c r="B785" s="1149"/>
      <c r="C785" s="604"/>
      <c r="D785" s="1149"/>
      <c r="E785" s="604"/>
      <c r="F785" s="604"/>
      <c r="G785" s="604"/>
      <c r="H785" s="604"/>
      <c r="I785" s="604"/>
      <c r="J785" s="949"/>
      <c r="K785" s="604"/>
    </row>
    <row r="786" spans="1:11">
      <c r="A786" s="1262"/>
      <c r="B786" s="1149"/>
      <c r="C786" s="604"/>
      <c r="D786" s="1149"/>
      <c r="E786" s="604"/>
      <c r="F786" s="604"/>
      <c r="G786" s="604"/>
      <c r="H786" s="604"/>
      <c r="I786" s="604"/>
      <c r="J786" s="949"/>
      <c r="K786" s="604"/>
    </row>
    <row r="787" spans="1:11">
      <c r="A787" s="1262"/>
      <c r="B787" s="1149"/>
      <c r="C787" s="604"/>
      <c r="D787" s="1149"/>
      <c r="E787" s="604"/>
      <c r="F787" s="604"/>
      <c r="G787" s="604"/>
      <c r="H787" s="604"/>
      <c r="I787" s="604"/>
      <c r="J787" s="949"/>
      <c r="K787" s="604"/>
    </row>
    <row r="788" spans="1:11">
      <c r="A788" s="1262"/>
      <c r="B788" s="1149"/>
      <c r="C788" s="604"/>
      <c r="D788" s="1149"/>
      <c r="E788" s="604"/>
      <c r="F788" s="604"/>
      <c r="G788" s="604"/>
      <c r="H788" s="604"/>
      <c r="I788" s="604"/>
      <c r="J788" s="949"/>
      <c r="K788" s="604"/>
    </row>
    <row r="789" spans="1:11">
      <c r="A789" s="1262"/>
      <c r="B789" s="1149"/>
      <c r="C789" s="604"/>
      <c r="D789" s="1149"/>
      <c r="E789" s="604"/>
      <c r="F789" s="604"/>
      <c r="G789" s="604"/>
      <c r="H789" s="604"/>
      <c r="I789" s="604"/>
      <c r="J789" s="949"/>
      <c r="K789" s="604"/>
    </row>
    <row r="790" spans="1:11">
      <c r="A790" s="1262"/>
      <c r="B790" s="1149"/>
      <c r="C790" s="604"/>
      <c r="D790" s="1149"/>
      <c r="E790" s="604"/>
      <c r="F790" s="604"/>
      <c r="G790" s="604"/>
      <c r="H790" s="604"/>
      <c r="I790" s="604"/>
      <c r="J790" s="949"/>
      <c r="K790" s="604"/>
    </row>
    <row r="791" spans="1:11">
      <c r="A791" s="1262"/>
      <c r="B791" s="1149"/>
      <c r="C791" s="604"/>
      <c r="D791" s="1149"/>
      <c r="E791" s="604"/>
      <c r="F791" s="604"/>
      <c r="G791" s="604"/>
      <c r="H791" s="604"/>
      <c r="I791" s="604"/>
      <c r="J791" s="949"/>
      <c r="K791" s="604"/>
    </row>
    <row r="792" spans="1:11">
      <c r="A792" s="1262"/>
      <c r="B792" s="1149"/>
      <c r="C792" s="604"/>
      <c r="D792" s="1149"/>
      <c r="E792" s="604"/>
      <c r="F792" s="604"/>
      <c r="G792" s="604"/>
      <c r="H792" s="604"/>
      <c r="I792" s="604"/>
      <c r="J792" s="949"/>
      <c r="K792" s="604"/>
    </row>
    <row r="793" spans="1:11">
      <c r="A793" s="1262"/>
      <c r="B793" s="1149"/>
      <c r="C793" s="604"/>
      <c r="D793" s="1149"/>
      <c r="E793" s="604"/>
      <c r="F793" s="604"/>
      <c r="G793" s="604"/>
      <c r="H793" s="604"/>
      <c r="I793" s="604"/>
      <c r="J793" s="949"/>
      <c r="K793" s="604"/>
    </row>
    <row r="794" spans="1:11">
      <c r="A794" s="1262"/>
      <c r="B794" s="1149"/>
      <c r="C794" s="604"/>
      <c r="D794" s="1149"/>
      <c r="E794" s="604"/>
      <c r="F794" s="604"/>
      <c r="G794" s="604"/>
      <c r="H794" s="604"/>
      <c r="I794" s="604"/>
      <c r="J794" s="949"/>
      <c r="K794" s="604"/>
    </row>
    <row r="795" spans="1:11">
      <c r="A795" s="1262"/>
      <c r="B795" s="1149"/>
      <c r="C795" s="604"/>
      <c r="D795" s="1149"/>
      <c r="E795" s="604"/>
      <c r="F795" s="604"/>
      <c r="G795" s="604"/>
      <c r="H795" s="604"/>
      <c r="I795" s="604"/>
      <c r="J795" s="949"/>
      <c r="K795" s="604"/>
    </row>
    <row r="796" spans="1:11">
      <c r="A796" s="1262"/>
      <c r="B796" s="1149"/>
      <c r="C796" s="604"/>
      <c r="D796" s="1149"/>
      <c r="E796" s="604"/>
      <c r="F796" s="604"/>
      <c r="G796" s="604"/>
      <c r="H796" s="604"/>
      <c r="I796" s="604"/>
      <c r="J796" s="949"/>
      <c r="K796" s="604"/>
    </row>
    <row r="797" spans="1:11">
      <c r="A797" s="1262"/>
      <c r="B797" s="1149"/>
      <c r="C797" s="604"/>
      <c r="D797" s="1149"/>
      <c r="E797" s="604"/>
      <c r="F797" s="604"/>
      <c r="G797" s="604"/>
      <c r="H797" s="604"/>
      <c r="I797" s="604"/>
      <c r="J797" s="949"/>
      <c r="K797" s="604"/>
    </row>
    <row r="798" spans="1:11">
      <c r="A798" s="1262"/>
      <c r="B798" s="1149"/>
      <c r="C798" s="604"/>
      <c r="D798" s="1149"/>
      <c r="E798" s="604"/>
      <c r="F798" s="604"/>
      <c r="G798" s="604"/>
      <c r="H798" s="604"/>
      <c r="I798" s="604"/>
      <c r="J798" s="949"/>
      <c r="K798" s="604"/>
    </row>
    <row r="799" spans="1:11">
      <c r="A799" s="1262"/>
      <c r="B799" s="1149"/>
      <c r="C799" s="604"/>
      <c r="D799" s="1149"/>
      <c r="E799" s="604"/>
      <c r="F799" s="604"/>
      <c r="G799" s="604"/>
      <c r="H799" s="604"/>
      <c r="I799" s="604"/>
      <c r="J799" s="949"/>
      <c r="K799" s="604"/>
    </row>
    <row r="800" spans="1:11">
      <c r="A800" s="1262"/>
      <c r="B800" s="1149"/>
      <c r="C800" s="604"/>
      <c r="D800" s="1149"/>
      <c r="E800" s="604"/>
      <c r="F800" s="604"/>
      <c r="G800" s="604"/>
      <c r="H800" s="604"/>
      <c r="I800" s="604"/>
      <c r="J800" s="949"/>
      <c r="K800" s="604"/>
    </row>
    <row r="801" spans="1:11">
      <c r="A801" s="1262"/>
      <c r="B801" s="1149"/>
      <c r="C801" s="604"/>
      <c r="D801" s="1149"/>
      <c r="E801" s="604"/>
      <c r="F801" s="604"/>
      <c r="G801" s="604"/>
      <c r="H801" s="604"/>
      <c r="I801" s="604"/>
      <c r="J801" s="949"/>
      <c r="K801" s="604"/>
    </row>
    <row r="802" spans="1:11">
      <c r="A802" s="1262"/>
      <c r="B802" s="1149"/>
      <c r="C802" s="604"/>
      <c r="D802" s="1149"/>
      <c r="E802" s="604"/>
      <c r="F802" s="604"/>
      <c r="G802" s="604"/>
      <c r="H802" s="604"/>
      <c r="I802" s="604"/>
      <c r="J802" s="949"/>
      <c r="K802" s="604"/>
    </row>
    <row r="803" spans="1:11">
      <c r="A803" s="1262"/>
      <c r="B803" s="1149"/>
      <c r="C803" s="604"/>
      <c r="D803" s="1149"/>
      <c r="E803" s="604"/>
      <c r="F803" s="604"/>
      <c r="G803" s="604"/>
      <c r="H803" s="604"/>
      <c r="I803" s="604"/>
      <c r="J803" s="949"/>
      <c r="K803" s="604"/>
    </row>
    <row r="804" spans="1:11">
      <c r="A804" s="1262"/>
      <c r="B804" s="1149"/>
      <c r="C804" s="604"/>
      <c r="D804" s="1149"/>
      <c r="E804" s="604"/>
      <c r="F804" s="604"/>
      <c r="G804" s="604"/>
      <c r="H804" s="604"/>
      <c r="I804" s="604"/>
      <c r="J804" s="949"/>
      <c r="K804" s="604"/>
    </row>
    <row r="805" spans="1:11">
      <c r="A805" s="1262"/>
      <c r="B805" s="1149"/>
      <c r="C805" s="604"/>
      <c r="D805" s="1149"/>
      <c r="E805" s="604"/>
      <c r="F805" s="604"/>
      <c r="G805" s="604"/>
      <c r="H805" s="604"/>
      <c r="I805" s="604"/>
      <c r="J805" s="949"/>
      <c r="K805" s="604"/>
    </row>
    <row r="806" spans="1:11">
      <c r="A806" s="1262"/>
      <c r="B806" s="1149"/>
      <c r="C806" s="604"/>
      <c r="D806" s="1149"/>
      <c r="E806" s="604"/>
      <c r="F806" s="604"/>
      <c r="G806" s="604"/>
      <c r="H806" s="604"/>
      <c r="I806" s="604"/>
      <c r="J806" s="949"/>
      <c r="K806" s="604"/>
    </row>
    <row r="807" spans="1:11">
      <c r="A807" s="1262"/>
      <c r="B807" s="1149"/>
      <c r="C807" s="604"/>
      <c r="D807" s="1149"/>
      <c r="E807" s="604"/>
      <c r="F807" s="604"/>
      <c r="G807" s="604"/>
      <c r="H807" s="604"/>
      <c r="I807" s="604"/>
      <c r="J807" s="949"/>
      <c r="K807" s="604"/>
    </row>
    <row r="808" spans="1:11">
      <c r="A808" s="1262"/>
      <c r="B808" s="1149"/>
      <c r="C808" s="604"/>
      <c r="D808" s="1149"/>
      <c r="E808" s="604"/>
      <c r="F808" s="604"/>
      <c r="G808" s="604"/>
      <c r="H808" s="604"/>
      <c r="I808" s="604"/>
      <c r="J808" s="949"/>
      <c r="K808" s="604"/>
    </row>
    <row r="809" spans="1:11">
      <c r="A809" s="1262"/>
      <c r="B809" s="1149"/>
      <c r="C809" s="604"/>
      <c r="D809" s="1149"/>
      <c r="E809" s="604"/>
      <c r="F809" s="604"/>
      <c r="G809" s="604"/>
      <c r="H809" s="604"/>
      <c r="I809" s="604"/>
      <c r="J809" s="949"/>
      <c r="K809" s="604"/>
    </row>
    <row r="810" spans="1:11">
      <c r="A810" s="1262"/>
      <c r="B810" s="1149"/>
      <c r="C810" s="604"/>
      <c r="D810" s="1149"/>
      <c r="E810" s="604"/>
      <c r="F810" s="604"/>
      <c r="G810" s="604"/>
      <c r="H810" s="604"/>
      <c r="I810" s="604"/>
      <c r="J810" s="949"/>
      <c r="K810" s="604"/>
    </row>
    <row r="811" spans="1:11">
      <c r="A811" s="1262"/>
      <c r="B811" s="1149"/>
      <c r="C811" s="604"/>
      <c r="D811" s="1149"/>
      <c r="E811" s="604"/>
      <c r="F811" s="604"/>
      <c r="G811" s="604"/>
      <c r="H811" s="604"/>
      <c r="I811" s="604"/>
      <c r="J811" s="949"/>
      <c r="K811" s="604"/>
    </row>
    <row r="812" spans="1:11">
      <c r="A812" s="1262"/>
      <c r="B812" s="1149"/>
      <c r="C812" s="604"/>
      <c r="D812" s="1149"/>
      <c r="E812" s="604"/>
      <c r="F812" s="604"/>
      <c r="G812" s="604"/>
      <c r="H812" s="604"/>
      <c r="I812" s="604"/>
      <c r="J812" s="949"/>
      <c r="K812" s="604"/>
    </row>
    <row r="813" spans="1:11">
      <c r="A813" s="1262"/>
      <c r="B813" s="1149"/>
      <c r="C813" s="604"/>
      <c r="D813" s="1149"/>
      <c r="E813" s="604"/>
      <c r="F813" s="604"/>
      <c r="G813" s="604"/>
      <c r="H813" s="604"/>
      <c r="I813" s="604"/>
      <c r="J813" s="949"/>
      <c r="K813" s="604"/>
    </row>
    <row r="814" spans="1:11">
      <c r="A814" s="1262"/>
      <c r="B814" s="1149"/>
      <c r="C814" s="604"/>
      <c r="D814" s="1149"/>
      <c r="E814" s="604"/>
      <c r="F814" s="604"/>
      <c r="G814" s="604"/>
      <c r="H814" s="604"/>
      <c r="I814" s="604"/>
      <c r="J814" s="949"/>
      <c r="K814" s="604"/>
    </row>
    <row r="815" spans="1:11">
      <c r="A815" s="1262"/>
      <c r="B815" s="1149"/>
      <c r="C815" s="604"/>
      <c r="D815" s="1149"/>
      <c r="E815" s="604"/>
      <c r="F815" s="604"/>
      <c r="G815" s="604"/>
      <c r="H815" s="604"/>
      <c r="I815" s="604"/>
      <c r="J815" s="949"/>
      <c r="K815" s="604"/>
    </row>
    <row r="816" spans="1:11">
      <c r="A816" s="1262"/>
      <c r="B816" s="1149"/>
      <c r="C816" s="604"/>
      <c r="D816" s="1149"/>
      <c r="E816" s="604"/>
      <c r="F816" s="604"/>
      <c r="G816" s="604"/>
      <c r="H816" s="604"/>
      <c r="I816" s="604"/>
      <c r="J816" s="949"/>
      <c r="K816" s="604"/>
    </row>
    <row r="817" spans="1:11">
      <c r="A817" s="1262"/>
      <c r="B817" s="1149"/>
      <c r="C817" s="604"/>
      <c r="D817" s="1149"/>
      <c r="E817" s="604"/>
      <c r="F817" s="604"/>
      <c r="G817" s="604"/>
      <c r="H817" s="604"/>
      <c r="I817" s="604"/>
      <c r="J817" s="949"/>
      <c r="K817" s="604"/>
    </row>
    <row r="818" spans="1:11">
      <c r="A818" s="1262"/>
      <c r="B818" s="1149"/>
      <c r="C818" s="604"/>
      <c r="D818" s="1149"/>
      <c r="E818" s="604"/>
      <c r="F818" s="604"/>
      <c r="G818" s="604"/>
      <c r="H818" s="604"/>
      <c r="I818" s="604"/>
      <c r="J818" s="949"/>
      <c r="K818" s="604"/>
    </row>
    <row r="819" spans="1:11">
      <c r="A819" s="1262"/>
      <c r="B819" s="1149"/>
      <c r="C819" s="604"/>
      <c r="D819" s="1149"/>
      <c r="E819" s="604"/>
      <c r="F819" s="604"/>
      <c r="G819" s="604"/>
      <c r="H819" s="604"/>
      <c r="I819" s="604"/>
      <c r="J819" s="949"/>
      <c r="K819" s="604"/>
    </row>
    <row r="820" spans="1:11">
      <c r="A820" s="1262"/>
      <c r="B820" s="1149"/>
      <c r="C820" s="604"/>
      <c r="D820" s="1149"/>
      <c r="E820" s="604"/>
      <c r="F820" s="604"/>
      <c r="G820" s="604"/>
      <c r="H820" s="604"/>
      <c r="I820" s="604"/>
      <c r="J820" s="949"/>
      <c r="K820" s="604"/>
    </row>
    <row r="821" spans="1:11">
      <c r="A821" s="1262"/>
      <c r="B821" s="1149"/>
      <c r="C821" s="604"/>
      <c r="D821" s="1149"/>
      <c r="E821" s="604"/>
      <c r="F821" s="604"/>
      <c r="G821" s="604"/>
      <c r="H821" s="604"/>
      <c r="I821" s="604"/>
      <c r="J821" s="949"/>
      <c r="K821" s="604"/>
    </row>
    <row r="822" spans="1:11">
      <c r="A822" s="1262"/>
      <c r="B822" s="1149"/>
      <c r="C822" s="604"/>
      <c r="D822" s="1149"/>
      <c r="E822" s="604"/>
      <c r="F822" s="604"/>
      <c r="G822" s="604"/>
      <c r="H822" s="604"/>
      <c r="I822" s="604"/>
      <c r="J822" s="949"/>
      <c r="K822" s="604"/>
    </row>
    <row r="823" spans="1:11">
      <c r="A823" s="1262"/>
      <c r="B823" s="1149"/>
      <c r="C823" s="604"/>
      <c r="D823" s="1149"/>
      <c r="E823" s="604"/>
      <c r="F823" s="604"/>
      <c r="G823" s="604"/>
      <c r="H823" s="604"/>
      <c r="I823" s="604"/>
      <c r="J823" s="949"/>
      <c r="K823" s="604"/>
    </row>
    <row r="824" spans="1:11">
      <c r="A824" s="1262"/>
      <c r="B824" s="1149"/>
      <c r="C824" s="604"/>
      <c r="D824" s="1149"/>
      <c r="E824" s="604"/>
      <c r="F824" s="604"/>
      <c r="G824" s="604"/>
      <c r="H824" s="604"/>
      <c r="I824" s="604"/>
      <c r="J824" s="949"/>
      <c r="K824" s="604"/>
    </row>
    <row r="825" spans="1:11">
      <c r="A825" s="1262"/>
      <c r="B825" s="1149"/>
      <c r="C825" s="604"/>
      <c r="D825" s="1149"/>
      <c r="E825" s="604"/>
      <c r="F825" s="604"/>
      <c r="G825" s="604"/>
      <c r="H825" s="604"/>
      <c r="I825" s="604"/>
      <c r="J825" s="949"/>
      <c r="K825" s="604"/>
    </row>
    <row r="826" spans="1:11">
      <c r="A826" s="1262"/>
      <c r="B826" s="1149"/>
      <c r="C826" s="604"/>
      <c r="D826" s="1149"/>
      <c r="E826" s="604"/>
      <c r="F826" s="604"/>
      <c r="G826" s="604"/>
      <c r="H826" s="604"/>
      <c r="I826" s="604"/>
      <c r="J826" s="949"/>
      <c r="K826" s="604"/>
    </row>
    <row r="827" spans="1:11">
      <c r="A827" s="1262"/>
      <c r="B827" s="1149"/>
      <c r="C827" s="604"/>
      <c r="D827" s="1149"/>
      <c r="E827" s="604"/>
      <c r="F827" s="604"/>
      <c r="G827" s="604"/>
      <c r="H827" s="604"/>
      <c r="I827" s="604"/>
      <c r="J827" s="949"/>
      <c r="K827" s="604"/>
    </row>
    <row r="828" spans="1:11">
      <c r="A828" s="1262"/>
      <c r="B828" s="1149"/>
      <c r="C828" s="604"/>
      <c r="D828" s="1149"/>
      <c r="E828" s="604"/>
      <c r="F828" s="604"/>
      <c r="G828" s="604"/>
      <c r="H828" s="604"/>
      <c r="I828" s="604"/>
      <c r="J828" s="949"/>
      <c r="K828" s="604"/>
    </row>
    <row r="829" spans="1:11">
      <c r="A829" s="1262"/>
      <c r="B829" s="1149"/>
      <c r="C829" s="604"/>
      <c r="D829" s="1149"/>
      <c r="E829" s="604"/>
      <c r="F829" s="604"/>
      <c r="G829" s="604"/>
      <c r="H829" s="604"/>
      <c r="I829" s="604"/>
      <c r="J829" s="949"/>
      <c r="K829" s="604"/>
    </row>
    <row r="830" spans="1:11">
      <c r="A830" s="1262"/>
      <c r="B830" s="1149"/>
      <c r="C830" s="604"/>
      <c r="D830" s="1149"/>
      <c r="E830" s="604"/>
      <c r="F830" s="604"/>
      <c r="G830" s="604"/>
      <c r="H830" s="604"/>
      <c r="I830" s="604"/>
      <c r="J830" s="949"/>
      <c r="K830" s="604"/>
    </row>
    <row r="831" spans="1:11">
      <c r="A831" s="1262"/>
      <c r="B831" s="1149"/>
      <c r="C831" s="604"/>
      <c r="D831" s="1149"/>
      <c r="E831" s="604"/>
      <c r="F831" s="604"/>
      <c r="G831" s="604"/>
      <c r="H831" s="604"/>
      <c r="I831" s="604"/>
      <c r="J831" s="949"/>
      <c r="K831" s="604"/>
    </row>
    <row r="832" spans="1:11">
      <c r="A832" s="1262"/>
      <c r="B832" s="1149"/>
      <c r="C832" s="604"/>
      <c r="D832" s="1149"/>
      <c r="E832" s="604"/>
      <c r="F832" s="604"/>
      <c r="G832" s="604"/>
      <c r="H832" s="604"/>
      <c r="I832" s="604"/>
      <c r="J832" s="949"/>
      <c r="K832" s="604"/>
    </row>
    <row r="833" spans="1:11">
      <c r="A833" s="1262"/>
      <c r="B833" s="1149"/>
      <c r="C833" s="604"/>
      <c r="D833" s="1149"/>
      <c r="E833" s="604"/>
      <c r="F833" s="604"/>
      <c r="G833" s="604"/>
      <c r="H833" s="604"/>
      <c r="I833" s="604"/>
      <c r="J833" s="949"/>
      <c r="K833" s="604"/>
    </row>
    <row r="834" spans="1:11">
      <c r="A834" s="1262"/>
      <c r="B834" s="1149"/>
      <c r="C834" s="604"/>
      <c r="D834" s="1149"/>
      <c r="E834" s="604"/>
      <c r="F834" s="604"/>
      <c r="G834" s="604"/>
      <c r="H834" s="604"/>
      <c r="I834" s="604"/>
      <c r="J834" s="949"/>
      <c r="K834" s="604"/>
    </row>
    <row r="835" spans="1:11">
      <c r="A835" s="1262"/>
      <c r="B835" s="1149"/>
      <c r="C835" s="604"/>
      <c r="D835" s="1149"/>
      <c r="E835" s="604"/>
      <c r="F835" s="604"/>
      <c r="G835" s="604"/>
      <c r="H835" s="604"/>
      <c r="I835" s="604"/>
      <c r="J835" s="949"/>
      <c r="K835" s="604"/>
    </row>
    <row r="836" spans="1:11">
      <c r="A836" s="1262"/>
      <c r="B836" s="1149"/>
      <c r="C836" s="604"/>
      <c r="D836" s="1149"/>
      <c r="E836" s="604"/>
      <c r="F836" s="604"/>
      <c r="G836" s="604"/>
      <c r="H836" s="604"/>
      <c r="I836" s="604"/>
      <c r="J836" s="949"/>
      <c r="K836" s="604"/>
    </row>
    <row r="837" spans="1:11">
      <c r="A837" s="1262"/>
      <c r="B837" s="1149"/>
      <c r="C837" s="604"/>
      <c r="D837" s="1149"/>
      <c r="E837" s="604"/>
      <c r="F837" s="604"/>
      <c r="G837" s="604"/>
      <c r="H837" s="604"/>
      <c r="I837" s="604"/>
      <c r="J837" s="949"/>
      <c r="K837" s="604"/>
    </row>
    <row r="838" spans="1:11">
      <c r="A838" s="1262"/>
      <c r="B838" s="1149"/>
      <c r="C838" s="604"/>
      <c r="D838" s="1149"/>
      <c r="E838" s="604"/>
      <c r="F838" s="604"/>
      <c r="G838" s="604"/>
      <c r="H838" s="604"/>
      <c r="I838" s="604"/>
      <c r="J838" s="949"/>
      <c r="K838" s="604"/>
    </row>
    <row r="839" spans="1:11">
      <c r="A839" s="1262"/>
      <c r="B839" s="1149"/>
      <c r="C839" s="604"/>
      <c r="D839" s="1149"/>
      <c r="E839" s="604"/>
      <c r="F839" s="604"/>
      <c r="G839" s="604"/>
      <c r="H839" s="604"/>
      <c r="I839" s="604"/>
      <c r="J839" s="949"/>
      <c r="K839" s="604"/>
    </row>
    <row r="840" spans="1:11">
      <c r="A840" s="1262"/>
      <c r="B840" s="1149"/>
      <c r="C840" s="604"/>
      <c r="D840" s="1149"/>
      <c r="E840" s="604"/>
      <c r="F840" s="604"/>
      <c r="G840" s="604"/>
      <c r="H840" s="604"/>
      <c r="I840" s="604"/>
      <c r="J840" s="949"/>
      <c r="K840" s="604"/>
    </row>
    <row r="841" spans="1:11">
      <c r="A841" s="1262"/>
      <c r="B841" s="1149"/>
      <c r="C841" s="604"/>
      <c r="D841" s="1149"/>
      <c r="E841" s="604"/>
      <c r="F841" s="604"/>
      <c r="G841" s="604"/>
      <c r="H841" s="604"/>
      <c r="I841" s="604"/>
      <c r="J841" s="949"/>
      <c r="K841" s="604"/>
    </row>
    <row r="842" spans="1:11">
      <c r="A842" s="1262"/>
      <c r="B842" s="1149"/>
      <c r="C842" s="604"/>
      <c r="D842" s="1149"/>
      <c r="E842" s="604"/>
      <c r="F842" s="604"/>
      <c r="G842" s="604"/>
      <c r="H842" s="604"/>
      <c r="I842" s="604"/>
      <c r="J842" s="949"/>
      <c r="K842" s="604"/>
    </row>
    <row r="843" spans="1:11">
      <c r="A843" s="1262"/>
      <c r="B843" s="1149"/>
      <c r="C843" s="604"/>
      <c r="D843" s="1149"/>
      <c r="E843" s="604"/>
      <c r="F843" s="604"/>
      <c r="G843" s="604"/>
      <c r="H843" s="604"/>
      <c r="I843" s="604"/>
      <c r="J843" s="949"/>
      <c r="K843" s="604"/>
    </row>
    <row r="844" spans="1:11">
      <c r="A844" s="1262"/>
      <c r="B844" s="1149"/>
      <c r="C844" s="604"/>
      <c r="D844" s="1149"/>
      <c r="E844" s="604"/>
      <c r="F844" s="604"/>
      <c r="G844" s="604"/>
      <c r="H844" s="604"/>
      <c r="I844" s="604"/>
      <c r="J844" s="949"/>
      <c r="K844" s="604"/>
    </row>
    <row r="845" spans="1:11">
      <c r="A845" s="1262"/>
      <c r="B845" s="1149"/>
      <c r="C845" s="604"/>
      <c r="D845" s="1149"/>
      <c r="E845" s="604"/>
      <c r="F845" s="604"/>
      <c r="G845" s="604"/>
      <c r="H845" s="604"/>
      <c r="I845" s="604"/>
      <c r="J845" s="949"/>
      <c r="K845" s="604"/>
    </row>
  </sheetData>
  <phoneticPr fontId="3" type="noConversion"/>
  <dataValidations count="6">
    <dataValidation type="list" allowBlank="1" showInputMessage="1" showErrorMessage="1" sqref="D138 D29" xr:uid="{00000000-0002-0000-0600-000000000000}">
      <formula1>"S1,S2,L1,L2,其他"</formula1>
    </dataValidation>
    <dataValidation type="list" allowBlank="1" showInputMessage="1" showErrorMessage="1" sqref="D140 D31" xr:uid="{00000000-0002-0000-0600-000001000000}">
      <formula1>"無,預鑄,場鑄"</formula1>
    </dataValidation>
    <dataValidation type="list" allowBlank="1" showInputMessage="1" showErrorMessage="1" sqref="D262 D270" xr:uid="{00000000-0002-0000-0600-000002000000}">
      <formula1>"樹脂混凝土,瀝青混凝土,混凝土"</formula1>
    </dataValidation>
    <dataValidation type="list" allowBlank="1" showInputMessage="1" showErrorMessage="1" sqref="D278 D298 D320" xr:uid="{00000000-0002-0000-0600-000003000000}">
      <formula1>"一般瀝青,再生瀝青,改質瀝青"</formula1>
    </dataValidation>
    <dataValidation type="list" allowBlank="1" showInputMessage="1" showErrorMessage="1" sqref="D279 D299 D321 D40" xr:uid="{00000000-0002-0000-0600-000004000000}">
      <formula1>"5cm,10cm,15cm,20cm"</formula1>
    </dataValidation>
    <dataValidation type="list" allowBlank="1" showInputMessage="1" showErrorMessage="1" sqref="D139 D193 D114 D177 D159 D224 D244 D209 D30 D3 D9 D15 D34 D21" xr:uid="{00000000-0002-0000-0600-000005000000}">
      <formula1>"新設,更新,修復"</formula1>
    </dataValidation>
  </dataValidations>
  <pageMargins left="0.70866141732283472" right="0.70866141732283472" top="1.3779527559055118" bottom="0.74803149606299213" header="0.31496062992125984" footer="0.31496062992125984"/>
  <pageSetup paperSize="9" scale="80" fitToHeight="0" orientation="portrait" r:id="rId1"/>
  <headerFooter alignWithMargins="0">
    <oddHeader>&amp;L
&amp;"標楷體,標準" 工程名稱：114年度續約-113年度雨水下水道緊急搶修預約維護工程(北區)&amp;C&amp;"標楷體,Bold"&amp;16臺北市政府工務局水利工程處  數量計算表&amp;R&amp;"Times New Roman,標準"
&amp;"標楷體,標準"第&amp;"Times New Roman,標準"&amp;P&amp;"標楷體,標準"頁&amp;"Times New Roman,標準",&amp;"標楷體,標準"共&amp;"Times New Roman,標準"&amp;N&amp;"標楷體,標準"頁</oddHeader>
    <oddFooter>&amp;L&amp;"標楷體,標準"&amp;8&amp;F&amp;C&amp;"標楷體,標準"校&amp;"Times New Roman,標準"                         &amp;"標楷體,標準"編&amp;"Times New Roman,標準"
&amp;"標楷體,標準"核&amp;"Times New Roman,標準"                         &amp;"標楷體,標準"製</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4">
    <tabColor theme="3"/>
  </sheetPr>
  <dimension ref="A1:AW217"/>
  <sheetViews>
    <sheetView topLeftCell="A174" zoomScale="85" zoomScaleNormal="85" workbookViewId="0">
      <selection activeCell="L71" sqref="L71"/>
    </sheetView>
  </sheetViews>
  <sheetFormatPr defaultRowHeight="16.5"/>
  <cols>
    <col min="1" max="1" width="3.75" style="239" customWidth="1"/>
    <col min="2" max="19" width="9.25" style="239" customWidth="1"/>
    <col min="20" max="21" width="8.875" style="239" customWidth="1"/>
    <col min="22" max="43" width="8.875" style="6" customWidth="1"/>
    <col min="44" max="44" width="9.5" style="6" customWidth="1"/>
    <col min="45" max="47" width="8.875" style="6" customWidth="1"/>
    <col min="48" max="48" width="9.625" style="6" customWidth="1"/>
    <col min="49" max="49" width="9" style="6"/>
  </cols>
  <sheetData>
    <row r="1" spans="2:49" ht="17.25" thickBot="1"/>
    <row r="2" spans="2:49" ht="17.25" customHeight="1" thickBot="1">
      <c r="B2" s="1383" t="s">
        <v>3758</v>
      </c>
      <c r="C2" s="1384"/>
      <c r="D2" s="1384"/>
      <c r="E2" s="1384"/>
      <c r="F2" s="1385"/>
      <c r="G2" s="1386"/>
      <c r="J2" s="1387" t="s">
        <v>3759</v>
      </c>
      <c r="K2" s="1388"/>
      <c r="L2" s="1388"/>
      <c r="M2" s="1388"/>
      <c r="N2" s="1388"/>
      <c r="O2" s="1388"/>
      <c r="P2" s="1388"/>
      <c r="Q2" s="1388"/>
      <c r="R2" s="1389"/>
    </row>
    <row r="3" spans="2:49" ht="17.25" thickBot="1">
      <c r="B3" s="1396" t="s">
        <v>3760</v>
      </c>
      <c r="C3" s="1397"/>
      <c r="D3" s="1398" t="s">
        <v>3761</v>
      </c>
      <c r="E3" s="1399"/>
      <c r="F3" s="1399"/>
      <c r="G3" s="1397"/>
      <c r="J3" s="1390"/>
      <c r="K3" s="1391"/>
      <c r="L3" s="1391"/>
      <c r="M3" s="1391"/>
      <c r="N3" s="1391"/>
      <c r="O3" s="1391"/>
      <c r="P3" s="1391"/>
      <c r="Q3" s="1391"/>
      <c r="R3" s="1392"/>
    </row>
    <row r="4" spans="2:49">
      <c r="B4" s="370"/>
      <c r="C4" s="371"/>
      <c r="D4" s="371"/>
      <c r="E4" s="371"/>
      <c r="F4" s="371"/>
      <c r="G4" s="371"/>
      <c r="J4" s="1390"/>
      <c r="K4" s="1391"/>
      <c r="L4" s="1391"/>
      <c r="M4" s="1391"/>
      <c r="N4" s="1391"/>
      <c r="O4" s="1391"/>
      <c r="P4" s="1391"/>
      <c r="Q4" s="1391"/>
      <c r="R4" s="1392"/>
    </row>
    <row r="5" spans="2:49" ht="17.25" thickBot="1">
      <c r="J5" s="1393"/>
      <c r="K5" s="1394"/>
      <c r="L5" s="1394"/>
      <c r="M5" s="1394"/>
      <c r="N5" s="1394"/>
      <c r="O5" s="1394"/>
      <c r="P5" s="1394"/>
      <c r="Q5" s="1394"/>
      <c r="R5" s="1395"/>
    </row>
    <row r="6" spans="2:49">
      <c r="AP6" s="339"/>
    </row>
    <row r="7" spans="2:49" ht="17.25" thickBot="1">
      <c r="I7" s="372" t="s">
        <v>2</v>
      </c>
      <c r="T7" s="372" t="s">
        <v>2</v>
      </c>
      <c r="AP7" s="255"/>
    </row>
    <row r="8" spans="2:49">
      <c r="B8" s="1400" t="s">
        <v>3684</v>
      </c>
      <c r="C8" s="1401"/>
      <c r="D8" s="373" t="s">
        <v>3692</v>
      </c>
      <c r="E8" s="373" t="s">
        <v>3693</v>
      </c>
      <c r="F8" s="373" t="s">
        <v>3694</v>
      </c>
      <c r="G8" s="373" t="s">
        <v>3695</v>
      </c>
      <c r="H8" s="707"/>
      <c r="U8" s="1400" t="s">
        <v>3762</v>
      </c>
      <c r="V8" s="1404"/>
      <c r="W8" s="1404"/>
      <c r="X8" s="1405"/>
    </row>
    <row r="9" spans="2:49">
      <c r="B9" s="1402"/>
      <c r="C9" s="1403"/>
      <c r="D9" s="556" t="s">
        <v>3763</v>
      </c>
      <c r="E9" s="556" t="s">
        <v>2977</v>
      </c>
      <c r="F9" s="556" t="s">
        <v>3764</v>
      </c>
      <c r="G9" s="556" t="s">
        <v>3679</v>
      </c>
      <c r="H9" s="483"/>
      <c r="U9" s="1406" t="s">
        <v>3765</v>
      </c>
      <c r="V9" s="1407"/>
      <c r="W9" s="1409">
        <v>25</v>
      </c>
      <c r="X9" s="1410"/>
    </row>
    <row r="10" spans="2:49">
      <c r="B10" s="559" t="s">
        <v>3698</v>
      </c>
      <c r="C10" s="560" t="s">
        <v>3697</v>
      </c>
      <c r="D10" s="560" t="s">
        <v>3699</v>
      </c>
      <c r="E10" s="560" t="s">
        <v>3701</v>
      </c>
      <c r="F10" s="560" t="s">
        <v>3700</v>
      </c>
      <c r="G10" s="560" t="s">
        <v>3702</v>
      </c>
      <c r="H10" s="694" t="s">
        <v>3811</v>
      </c>
      <c r="N10" s="6"/>
      <c r="O10" s="6"/>
      <c r="P10" s="6"/>
      <c r="Q10" s="6"/>
      <c r="R10" s="6"/>
      <c r="S10" s="6"/>
      <c r="T10" s="6"/>
      <c r="U10" s="1408"/>
      <c r="V10" s="1407"/>
      <c r="W10" s="1411"/>
      <c r="X10" s="1410"/>
      <c r="AN10"/>
      <c r="AO10"/>
      <c r="AP10"/>
      <c r="AQ10"/>
      <c r="AR10"/>
      <c r="AS10"/>
      <c r="AT10"/>
      <c r="AU10"/>
      <c r="AV10"/>
      <c r="AW10"/>
    </row>
    <row r="11" spans="2:49" ht="17.25" thickBot="1">
      <c r="B11" s="561">
        <v>40</v>
      </c>
      <c r="C11" s="562">
        <v>90</v>
      </c>
      <c r="D11" s="562">
        <v>20</v>
      </c>
      <c r="E11" s="562">
        <v>40</v>
      </c>
      <c r="F11" s="562">
        <v>40</v>
      </c>
      <c r="G11" s="562">
        <v>20</v>
      </c>
      <c r="H11" s="709">
        <v>20</v>
      </c>
      <c r="N11" s="6"/>
      <c r="O11" s="6"/>
      <c r="P11" s="6"/>
      <c r="Q11" s="6"/>
      <c r="R11" s="6"/>
      <c r="S11" s="6"/>
      <c r="T11" s="6"/>
      <c r="U11" s="1406" t="s">
        <v>3766</v>
      </c>
      <c r="V11" s="1407"/>
      <c r="W11" s="1412" t="e">
        <f>計算資料!S7&amp;"元"</f>
        <v>#REF!</v>
      </c>
      <c r="X11" s="1413"/>
      <c r="AN11"/>
      <c r="AO11"/>
      <c r="AP11"/>
      <c r="AQ11"/>
      <c r="AR11"/>
      <c r="AS11"/>
      <c r="AT11"/>
      <c r="AU11"/>
      <c r="AV11"/>
      <c r="AW11"/>
    </row>
    <row r="12" spans="2:49" ht="17.25" thickBot="1">
      <c r="B12" s="1415" t="s">
        <v>3734</v>
      </c>
      <c r="C12" s="1416"/>
      <c r="D12" s="1417"/>
      <c r="E12" s="1415" t="s">
        <v>3767</v>
      </c>
      <c r="F12" s="1416"/>
      <c r="G12" s="1417"/>
      <c r="H12" s="386"/>
      <c r="N12" s="6"/>
      <c r="O12" s="6"/>
      <c r="P12" s="6"/>
      <c r="Q12" s="6"/>
      <c r="R12" s="6"/>
      <c r="S12" s="6"/>
      <c r="T12" s="6"/>
      <c r="U12" s="1408"/>
      <c r="V12" s="1407"/>
      <c r="W12" s="1414"/>
      <c r="X12" s="1413"/>
      <c r="AN12"/>
      <c r="AO12"/>
      <c r="AP12"/>
      <c r="AQ12"/>
      <c r="AR12"/>
      <c r="AS12"/>
      <c r="AT12"/>
      <c r="AU12"/>
      <c r="AV12"/>
      <c r="AW12"/>
    </row>
    <row r="13" spans="2:49">
      <c r="B13" s="705" t="s">
        <v>3739</v>
      </c>
      <c r="C13" s="706" t="s">
        <v>3740</v>
      </c>
      <c r="D13" s="707" t="s">
        <v>3768</v>
      </c>
      <c r="E13" s="705" t="s">
        <v>3739</v>
      </c>
      <c r="F13" s="706" t="s">
        <v>3740</v>
      </c>
      <c r="G13" s="707" t="s">
        <v>3768</v>
      </c>
      <c r="H13" s="513" t="s">
        <v>3742</v>
      </c>
      <c r="N13" s="6"/>
      <c r="O13" s="6"/>
      <c r="P13" s="6"/>
      <c r="Q13" s="6"/>
      <c r="R13" s="6"/>
      <c r="S13" s="6"/>
      <c r="T13" s="6"/>
      <c r="U13" s="1406" t="s">
        <v>3769</v>
      </c>
      <c r="V13" s="1407"/>
      <c r="W13" s="1412" t="e">
        <f>計算資料!T7&amp;"元"</f>
        <v>#REF!</v>
      </c>
      <c r="X13" s="1413"/>
      <c r="AN13"/>
      <c r="AO13"/>
      <c r="AP13"/>
      <c r="AQ13"/>
      <c r="AR13"/>
      <c r="AS13"/>
      <c r="AT13"/>
      <c r="AU13"/>
      <c r="AV13"/>
      <c r="AW13"/>
    </row>
    <row r="14" spans="2:49" ht="17.25" thickBot="1">
      <c r="B14" s="547">
        <f>IF(D11=15,(B11+20)+(C11+10)*2,(B11+30)+(C11+10)*2)</f>
        <v>270</v>
      </c>
      <c r="C14" s="548">
        <v>7</v>
      </c>
      <c r="D14" s="381">
        <f>ROUND((B14/100)*C14*0.994,2)</f>
        <v>18.79</v>
      </c>
      <c r="E14" s="547">
        <v>100</v>
      </c>
      <c r="F14" s="548">
        <f>((ROUND((B11+30)/25,0))+1)+(ROUND((C11+10)/25,0))*2</f>
        <v>12</v>
      </c>
      <c r="G14" s="381">
        <f>ROUND((E14/100)*F14*0.56,2)</f>
        <v>6.72</v>
      </c>
      <c r="H14" s="710">
        <f>D14+G14</f>
        <v>25.509999999999998</v>
      </c>
      <c r="N14" s="6"/>
      <c r="O14" s="6"/>
      <c r="P14" s="6"/>
      <c r="Q14" s="6"/>
      <c r="R14" s="6"/>
      <c r="S14" s="6"/>
      <c r="T14" s="6"/>
      <c r="U14" s="1418"/>
      <c r="V14" s="1419"/>
      <c r="W14" s="1420"/>
      <c r="X14" s="1421"/>
      <c r="AN14"/>
      <c r="AO14"/>
      <c r="AP14"/>
      <c r="AQ14"/>
      <c r="AR14"/>
      <c r="AS14"/>
      <c r="AT14"/>
      <c r="AU14"/>
      <c r="AV14"/>
      <c r="AW14"/>
    </row>
    <row r="15" spans="2:49">
      <c r="B15" s="708"/>
      <c r="C15" s="383"/>
      <c r="D15" s="384"/>
      <c r="E15" s="383"/>
      <c r="F15" s="383"/>
      <c r="G15" s="384"/>
      <c r="H15" s="489"/>
      <c r="N15" s="6"/>
      <c r="O15" s="6"/>
      <c r="P15" s="6"/>
      <c r="Q15" s="6"/>
      <c r="R15" s="6"/>
      <c r="S15" s="6"/>
      <c r="T15" s="6"/>
      <c r="U15" s="385"/>
      <c r="V15" s="239"/>
      <c r="W15" s="239"/>
      <c r="X15" s="386"/>
      <c r="AN15"/>
      <c r="AO15"/>
      <c r="AP15"/>
      <c r="AQ15"/>
      <c r="AR15"/>
      <c r="AS15"/>
      <c r="AT15"/>
      <c r="AU15"/>
      <c r="AV15"/>
      <c r="AW15"/>
    </row>
    <row r="16" spans="2:49">
      <c r="B16" s="385"/>
      <c r="C16" s="554" t="str">
        <f>計算資料!H15</f>
        <v>側溝更新 寬40cm*平均深58cm</v>
      </c>
      <c r="D16" s="514"/>
      <c r="E16" s="554"/>
      <c r="F16" s="514"/>
      <c r="G16" s="514"/>
      <c r="H16" s="386"/>
      <c r="N16" s="6"/>
      <c r="O16" s="6"/>
      <c r="P16" s="6"/>
      <c r="Q16" s="6"/>
      <c r="R16" s="6"/>
      <c r="S16" s="6"/>
      <c r="T16" s="6"/>
      <c r="U16" s="387"/>
      <c r="V16" s="254"/>
      <c r="W16" s="254"/>
      <c r="X16" s="388"/>
      <c r="AN16"/>
      <c r="AO16"/>
      <c r="AP16"/>
      <c r="AQ16"/>
      <c r="AR16"/>
      <c r="AS16"/>
      <c r="AT16"/>
      <c r="AU16"/>
      <c r="AV16"/>
      <c r="AW16"/>
    </row>
    <row r="17" spans="1:49">
      <c r="B17" s="385"/>
      <c r="C17" s="711" t="str">
        <f>IF(計算資料!H16=0, " ", 計算資料!H16)</f>
        <v>餘方自行處理(含水土保持)，總重15t以下傾卸貨車</v>
      </c>
      <c r="D17" s="581"/>
      <c r="E17" s="581"/>
      <c r="F17" s="581"/>
      <c r="G17" s="581"/>
      <c r="H17" s="386"/>
      <c r="N17" s="6"/>
      <c r="O17" s="6"/>
      <c r="P17" s="6"/>
      <c r="Q17" s="6"/>
      <c r="R17" s="255"/>
      <c r="S17" s="255"/>
      <c r="T17" s="255"/>
      <c r="U17" s="387"/>
      <c r="V17" s="239"/>
      <c r="W17" s="254"/>
      <c r="X17" s="388"/>
      <c r="Y17" s="255"/>
      <c r="Z17" s="255"/>
      <c r="AA17" s="255"/>
      <c r="AB17" s="255"/>
      <c r="AC17" s="255"/>
      <c r="AD17" s="255"/>
      <c r="AE17" s="255"/>
      <c r="AF17" s="255"/>
      <c r="AG17" s="255"/>
      <c r="AH17" s="255"/>
      <c r="AI17" s="255"/>
      <c r="AJ17" s="255"/>
      <c r="AK17" s="255"/>
      <c r="AL17" s="255"/>
      <c r="AM17" s="255"/>
      <c r="AN17"/>
      <c r="AO17"/>
      <c r="AP17"/>
      <c r="AQ17"/>
      <c r="AR17"/>
      <c r="AS17"/>
      <c r="AT17"/>
      <c r="AU17"/>
      <c r="AV17"/>
      <c r="AW17"/>
    </row>
    <row r="18" spans="1:49">
      <c r="B18" s="385"/>
      <c r="C18" s="712" t="str">
        <f>IF(計算資料!H17=0, " ", 計算資料!H17)</f>
        <v>(0.8*(0.58+0.25)-(0.38*0.4)-((0.2^2)*3.14*0.5))</v>
      </c>
      <c r="D18" s="514"/>
      <c r="E18" s="514"/>
      <c r="F18" s="514"/>
      <c r="G18" s="514"/>
      <c r="H18" s="386"/>
      <c r="N18" s="6"/>
      <c r="O18" s="6"/>
      <c r="P18" s="6"/>
      <c r="Q18" s="6"/>
      <c r="R18" s="6"/>
      <c r="S18" s="238"/>
      <c r="T18" s="6"/>
      <c r="U18" s="387"/>
      <c r="V18" s="254"/>
      <c r="W18" s="254"/>
      <c r="X18" s="388"/>
      <c r="AD18" s="238"/>
      <c r="AN18"/>
      <c r="AO18"/>
      <c r="AP18"/>
      <c r="AQ18"/>
      <c r="AR18"/>
      <c r="AS18"/>
      <c r="AT18"/>
      <c r="AU18"/>
      <c r="AV18"/>
      <c r="AW18"/>
    </row>
    <row r="19" spans="1:49">
      <c r="B19" s="385"/>
      <c r="C19" s="711" t="str">
        <f>IF(計算資料!H18=0, " ", 計算資料!H18)</f>
        <v>結構用混凝土，預拌，140kgf/cm2</v>
      </c>
      <c r="D19" s="514"/>
      <c r="E19" s="514"/>
      <c r="F19" s="514"/>
      <c r="G19" s="514"/>
      <c r="H19" s="386"/>
      <c r="N19" s="6"/>
      <c r="O19" s="6"/>
      <c r="P19" s="6"/>
      <c r="Q19" s="6"/>
      <c r="R19" s="6"/>
      <c r="S19" s="363"/>
      <c r="T19" s="6"/>
      <c r="U19" s="387"/>
      <c r="V19" s="239"/>
      <c r="W19" s="254"/>
      <c r="X19" s="388"/>
      <c r="AD19" s="391"/>
      <c r="AN19"/>
      <c r="AO19"/>
      <c r="AP19"/>
      <c r="AQ19"/>
      <c r="AR19"/>
      <c r="AS19"/>
      <c r="AT19"/>
      <c r="AU19"/>
      <c r="AV19"/>
      <c r="AW19"/>
    </row>
    <row r="20" spans="1:49">
      <c r="B20" s="385"/>
      <c r="C20" s="712" t="str">
        <f>IF(計算資料!H19=0, " ", 計算資料!H19)</f>
        <v>(0.4+0.2+0.2)*0.05</v>
      </c>
      <c r="D20" s="514"/>
      <c r="E20" s="514"/>
      <c r="F20" s="514"/>
      <c r="G20" s="514"/>
      <c r="H20" s="386"/>
      <c r="N20" s="6"/>
      <c r="O20" s="6"/>
      <c r="P20" s="6"/>
      <c r="Q20" s="6"/>
      <c r="R20" s="6"/>
      <c r="S20" s="238"/>
      <c r="T20" s="6"/>
      <c r="U20" s="387"/>
      <c r="V20" s="254"/>
      <c r="W20" s="254"/>
      <c r="X20" s="388"/>
      <c r="AD20" s="238"/>
      <c r="AN20"/>
      <c r="AO20"/>
      <c r="AP20"/>
      <c r="AQ20"/>
      <c r="AR20"/>
      <c r="AS20"/>
      <c r="AT20"/>
      <c r="AU20"/>
      <c r="AV20"/>
      <c r="AW20"/>
    </row>
    <row r="21" spans="1:49">
      <c r="B21" s="385"/>
      <c r="C21" s="711" t="str">
        <f>IF(計算資料!H20=0, " ", 計算資料!H20)</f>
        <v>結構用混凝土，預拌，210kgf/cm2</v>
      </c>
      <c r="D21" s="581"/>
      <c r="E21" s="581"/>
      <c r="F21" s="581"/>
      <c r="G21" s="581"/>
      <c r="H21" s="386"/>
      <c r="N21" s="6"/>
      <c r="O21" s="6"/>
      <c r="P21" s="6"/>
      <c r="Q21" s="6"/>
      <c r="R21" s="6"/>
      <c r="S21" s="363"/>
      <c r="T21" s="255"/>
      <c r="U21" s="387"/>
      <c r="V21" s="239"/>
      <c r="W21" s="254"/>
      <c r="X21" s="388"/>
      <c r="Y21" s="255"/>
      <c r="Z21" s="255"/>
      <c r="AA21" s="255"/>
      <c r="AB21" s="255"/>
      <c r="AC21" s="255"/>
      <c r="AD21" s="391"/>
      <c r="AE21" s="255"/>
      <c r="AF21" s="255"/>
      <c r="AG21" s="255"/>
      <c r="AH21" s="255"/>
      <c r="AI21" s="255"/>
      <c r="AJ21" s="255"/>
      <c r="AK21" s="255"/>
      <c r="AL21" s="255"/>
      <c r="AM21" s="255"/>
      <c r="AN21"/>
      <c r="AO21"/>
      <c r="AP21"/>
      <c r="AQ21"/>
      <c r="AR21"/>
      <c r="AS21"/>
      <c r="AT21"/>
      <c r="AU21"/>
      <c r="AV21"/>
      <c r="AW21"/>
    </row>
    <row r="22" spans="1:49">
      <c r="B22" s="385"/>
      <c r="C22" s="712" t="str">
        <f>IF(計算資料!H21=0, " ", 計算資料!H21)</f>
        <v>(0.8*(0.58+0.2)-(0.38*0.4)-((0.2^2)*3.14*0.5))*1.05</v>
      </c>
      <c r="D22" s="514"/>
      <c r="E22" s="514"/>
      <c r="F22" s="514"/>
      <c r="G22" s="514"/>
      <c r="H22" s="386"/>
      <c r="N22" s="6"/>
      <c r="O22" s="6"/>
      <c r="P22" s="6"/>
      <c r="Q22" s="6"/>
      <c r="R22" s="6"/>
      <c r="S22" s="238"/>
      <c r="T22" s="6"/>
      <c r="U22" s="387"/>
      <c r="V22" s="254"/>
      <c r="W22" s="254"/>
      <c r="X22" s="388"/>
      <c r="AD22" s="332"/>
      <c r="AN22"/>
      <c r="AO22"/>
      <c r="AP22"/>
      <c r="AQ22"/>
      <c r="AR22"/>
      <c r="AS22"/>
      <c r="AT22"/>
      <c r="AU22"/>
      <c r="AV22"/>
      <c r="AW22"/>
    </row>
    <row r="23" spans="1:49">
      <c r="B23" s="385"/>
      <c r="C23" s="711" t="str">
        <f>IF(計算資料!H22=0, " ", 計算資料!H22)</f>
        <v>鋼製模板，U型溝用，W=40cm，L=120cm.</v>
      </c>
      <c r="D23" s="514"/>
      <c r="E23" s="514"/>
      <c r="F23" s="514"/>
      <c r="G23" s="514"/>
      <c r="H23" s="386"/>
      <c r="N23" s="6"/>
      <c r="O23" s="6"/>
      <c r="P23" s="6"/>
      <c r="Q23" s="6"/>
      <c r="R23" s="6"/>
      <c r="S23" s="363"/>
      <c r="T23" s="392"/>
      <c r="U23" s="387"/>
      <c r="V23" s="239"/>
      <c r="W23" s="254"/>
      <c r="X23" s="388"/>
      <c r="AD23" s="391"/>
      <c r="AN23"/>
      <c r="AO23"/>
      <c r="AP23"/>
      <c r="AQ23"/>
      <c r="AR23"/>
      <c r="AS23"/>
      <c r="AT23"/>
      <c r="AU23"/>
      <c r="AV23"/>
      <c r="AW23"/>
    </row>
    <row r="24" spans="1:49">
      <c r="B24" s="385"/>
      <c r="C24" s="712" t="str">
        <f>IF(計算資料!H23=0, " ", 計算資料!H23)</f>
        <v>1</v>
      </c>
      <c r="D24" s="514"/>
      <c r="E24" s="514"/>
      <c r="F24" s="514"/>
      <c r="G24" s="514"/>
      <c r="H24" s="386"/>
      <c r="N24" s="6"/>
      <c r="O24" s="6"/>
      <c r="P24" s="6"/>
      <c r="Q24" s="6"/>
      <c r="R24" s="6"/>
      <c r="S24" s="238"/>
      <c r="T24" s="6"/>
      <c r="U24" s="387"/>
      <c r="V24" s="254"/>
      <c r="W24" s="254"/>
      <c r="X24" s="388"/>
      <c r="AD24" s="332"/>
      <c r="AN24"/>
      <c r="AO24"/>
      <c r="AP24"/>
      <c r="AQ24"/>
      <c r="AR24"/>
      <c r="AS24"/>
      <c r="AT24"/>
      <c r="AU24"/>
      <c r="AV24"/>
      <c r="AW24"/>
    </row>
    <row r="25" spans="1:49">
      <c r="A25" s="188"/>
      <c r="B25" s="393"/>
      <c r="C25" s="711" t="str">
        <f>IF(計算資料!H24=0, " ", 計算資料!H24)</f>
        <v>鋼筋，SD280W.</v>
      </c>
      <c r="D25" s="581"/>
      <c r="E25" s="585"/>
      <c r="F25" s="581"/>
      <c r="G25" s="581"/>
      <c r="H25" s="713"/>
      <c r="M25" s="255"/>
      <c r="N25" s="255"/>
      <c r="O25" s="255"/>
      <c r="P25" s="255"/>
      <c r="Q25" s="255"/>
      <c r="R25" s="255"/>
      <c r="S25" s="363"/>
      <c r="T25" s="255"/>
      <c r="U25" s="395"/>
      <c r="V25" s="255"/>
      <c r="W25" s="396"/>
      <c r="X25" s="397"/>
      <c r="Y25" s="255"/>
      <c r="Z25" s="255"/>
      <c r="AA25" s="255"/>
      <c r="AB25" s="255"/>
      <c r="AC25" s="255"/>
      <c r="AD25" s="391"/>
      <c r="AE25" s="255"/>
      <c r="AF25" s="255"/>
      <c r="AG25" s="255"/>
      <c r="AH25" s="255"/>
      <c r="AI25" s="255"/>
      <c r="AJ25" s="255"/>
      <c r="AK25" s="255"/>
      <c r="AL25" s="255"/>
      <c r="AM25" s="255"/>
      <c r="AN25"/>
      <c r="AO25"/>
      <c r="AP25"/>
      <c r="AQ25"/>
      <c r="AR25"/>
      <c r="AS25"/>
      <c r="AT25"/>
      <c r="AU25"/>
      <c r="AV25"/>
      <c r="AW25"/>
    </row>
    <row r="26" spans="1:49">
      <c r="B26" s="385"/>
      <c r="C26" s="712" t="str">
        <f>IF(計算資料!H25=0, " ", 計算資料!H25)</f>
        <v>14.33+5.6</v>
      </c>
      <c r="D26" s="514"/>
      <c r="E26" s="554"/>
      <c r="F26" s="514"/>
      <c r="G26" s="514"/>
      <c r="H26" s="386"/>
      <c r="N26" s="6"/>
      <c r="O26" s="6"/>
      <c r="P26" s="6"/>
      <c r="Q26" s="6"/>
      <c r="R26" s="6"/>
      <c r="S26" s="238"/>
      <c r="T26" s="6"/>
      <c r="U26" s="387"/>
      <c r="V26" s="254"/>
      <c r="W26" s="254"/>
      <c r="X26" s="388"/>
      <c r="AD26" s="332"/>
      <c r="AN26"/>
      <c r="AO26"/>
      <c r="AP26"/>
      <c r="AQ26"/>
      <c r="AR26"/>
      <c r="AS26"/>
      <c r="AT26"/>
      <c r="AU26"/>
      <c r="AV26"/>
      <c r="AW26"/>
    </row>
    <row r="27" spans="1:49">
      <c r="B27" s="385"/>
      <c r="C27" s="711" t="str">
        <f>IF(計算資料!H26=0, " ", 計算資料!H26)</f>
        <v xml:space="preserve"> </v>
      </c>
      <c r="D27" s="514"/>
      <c r="E27" s="554"/>
      <c r="F27" s="514"/>
      <c r="G27" s="514"/>
      <c r="H27" s="386"/>
      <c r="N27" s="6"/>
      <c r="O27" s="6"/>
      <c r="P27" s="6"/>
      <c r="Q27" s="6"/>
      <c r="R27" s="6"/>
      <c r="S27" s="398"/>
      <c r="T27" s="6"/>
      <c r="U27" s="387"/>
      <c r="V27" s="239"/>
      <c r="W27" s="254"/>
      <c r="X27" s="388"/>
      <c r="AD27" s="398"/>
      <c r="AN27"/>
      <c r="AO27"/>
      <c r="AP27"/>
      <c r="AQ27"/>
      <c r="AR27"/>
      <c r="AS27"/>
      <c r="AT27"/>
      <c r="AU27"/>
      <c r="AV27"/>
      <c r="AW27"/>
    </row>
    <row r="28" spans="1:49">
      <c r="B28" s="385"/>
      <c r="C28" s="712" t="str">
        <f>IF(計算資料!H27=0, " ", 計算資料!H27)</f>
        <v xml:space="preserve"> </v>
      </c>
      <c r="D28" s="514"/>
      <c r="E28" s="554"/>
      <c r="F28" s="514"/>
      <c r="G28" s="514"/>
      <c r="H28" s="386"/>
      <c r="N28" s="6"/>
      <c r="O28" s="6"/>
      <c r="P28" s="6"/>
      <c r="Q28" s="6"/>
      <c r="R28" s="6"/>
      <c r="S28" s="238"/>
      <c r="T28" s="6"/>
      <c r="U28" s="387"/>
      <c r="V28" s="254"/>
      <c r="W28" s="254"/>
      <c r="X28" s="388"/>
      <c r="AD28" s="332"/>
      <c r="AN28"/>
      <c r="AO28"/>
      <c r="AP28"/>
      <c r="AQ28"/>
      <c r="AR28"/>
      <c r="AS28"/>
      <c r="AT28"/>
      <c r="AU28"/>
      <c r="AV28"/>
      <c r="AW28"/>
    </row>
    <row r="29" spans="1:49">
      <c r="A29" s="188"/>
      <c r="B29" s="393"/>
      <c r="C29" s="711" t="str">
        <f>IF(計算資料!H28=0, " ", 計算資料!H28)</f>
        <v xml:space="preserve"> </v>
      </c>
      <c r="D29" s="581"/>
      <c r="E29" s="585"/>
      <c r="F29" s="581"/>
      <c r="G29" s="581"/>
      <c r="H29" s="713"/>
      <c r="M29" s="255"/>
      <c r="N29" s="255"/>
      <c r="O29" s="255"/>
      <c r="P29" s="255"/>
      <c r="Q29" s="255"/>
      <c r="R29" s="255"/>
      <c r="S29" s="399"/>
      <c r="T29" s="255"/>
      <c r="U29" s="395"/>
      <c r="V29" s="255"/>
      <c r="W29" s="396"/>
      <c r="X29" s="397"/>
      <c r="Y29" s="255"/>
      <c r="Z29" s="255"/>
      <c r="AA29" s="255"/>
      <c r="AB29" s="255"/>
      <c r="AC29" s="255"/>
      <c r="AD29" s="400"/>
      <c r="AF29" s="255"/>
      <c r="AG29" s="255"/>
      <c r="AH29" s="255"/>
      <c r="AI29" s="255"/>
      <c r="AJ29" s="255"/>
      <c r="AK29" s="255"/>
      <c r="AL29" s="255"/>
      <c r="AM29" s="255"/>
      <c r="AN29"/>
      <c r="AO29"/>
      <c r="AP29"/>
      <c r="AQ29"/>
      <c r="AR29"/>
      <c r="AS29"/>
      <c r="AT29"/>
      <c r="AU29"/>
      <c r="AV29"/>
      <c r="AW29"/>
    </row>
    <row r="30" spans="1:49">
      <c r="B30" s="385"/>
      <c r="C30" s="712" t="str">
        <f>IF(計算資料!H29=0, " ", 計算資料!H29)</f>
        <v xml:space="preserve"> </v>
      </c>
      <c r="D30" s="514"/>
      <c r="E30" s="554"/>
      <c r="F30" s="514"/>
      <c r="G30" s="514"/>
      <c r="H30" s="386"/>
      <c r="N30" s="6"/>
      <c r="O30" s="6"/>
      <c r="P30" s="6"/>
      <c r="Q30" s="6"/>
      <c r="R30" s="6"/>
      <c r="S30" s="238"/>
      <c r="T30" s="6"/>
      <c r="U30" s="387"/>
      <c r="V30" s="254"/>
      <c r="W30" s="254"/>
      <c r="X30" s="388"/>
      <c r="AD30" s="332"/>
      <c r="AN30"/>
      <c r="AO30"/>
      <c r="AP30"/>
      <c r="AQ30"/>
      <c r="AR30"/>
      <c r="AS30"/>
      <c r="AT30"/>
      <c r="AU30"/>
      <c r="AV30"/>
      <c r="AW30"/>
    </row>
    <row r="31" spans="1:49">
      <c r="B31" s="385"/>
      <c r="C31" s="711" t="str">
        <f>IF(計算資料!H30=0, " ", 計算資料!H30)</f>
        <v xml:space="preserve"> </v>
      </c>
      <c r="D31" s="514"/>
      <c r="E31" s="554"/>
      <c r="F31" s="514"/>
      <c r="G31" s="514"/>
      <c r="H31" s="386"/>
      <c r="N31" s="6"/>
      <c r="O31" s="6"/>
      <c r="P31" s="6"/>
      <c r="Q31" s="6"/>
      <c r="R31" s="6"/>
      <c r="S31" s="238"/>
      <c r="T31" s="6"/>
      <c r="U31" s="387"/>
      <c r="V31" s="239"/>
      <c r="W31" s="254"/>
      <c r="X31" s="388"/>
      <c r="AD31" s="332"/>
      <c r="AN31"/>
      <c r="AO31"/>
      <c r="AP31"/>
      <c r="AQ31"/>
      <c r="AR31"/>
      <c r="AS31"/>
      <c r="AT31"/>
      <c r="AU31"/>
      <c r="AV31"/>
      <c r="AW31"/>
    </row>
    <row r="32" spans="1:49">
      <c r="B32" s="385"/>
      <c r="C32" s="712" t="str">
        <f>IF(計算資料!H31=0, " ", 計算資料!H31)</f>
        <v xml:space="preserve"> </v>
      </c>
      <c r="D32" s="514"/>
      <c r="E32" s="554"/>
      <c r="F32" s="514"/>
      <c r="G32" s="514"/>
      <c r="H32" s="386"/>
      <c r="N32" s="6"/>
      <c r="O32" s="6"/>
      <c r="P32" s="6"/>
      <c r="Q32" s="6"/>
      <c r="R32" s="6"/>
      <c r="S32" s="6"/>
      <c r="T32" s="6"/>
      <c r="U32" s="387"/>
      <c r="V32" s="254"/>
      <c r="W32" s="254"/>
      <c r="X32" s="388"/>
      <c r="AE32" s="238"/>
      <c r="AJ32" s="332"/>
      <c r="AN32"/>
      <c r="AO32"/>
      <c r="AP32"/>
      <c r="AQ32"/>
      <c r="AR32"/>
      <c r="AS32"/>
      <c r="AT32"/>
      <c r="AU32"/>
      <c r="AV32"/>
      <c r="AW32"/>
    </row>
    <row r="33" spans="2:49">
      <c r="B33" s="385"/>
      <c r="C33" s="711" t="str">
        <f>IF(計算資料!H32=0, " ", 計算資料!H32)</f>
        <v xml:space="preserve"> </v>
      </c>
      <c r="D33" s="514"/>
      <c r="E33" s="554"/>
      <c r="F33" s="514"/>
      <c r="G33" s="514"/>
      <c r="H33" s="386"/>
      <c r="N33" s="6"/>
      <c r="O33" s="6"/>
      <c r="P33" s="6"/>
      <c r="Q33" s="6"/>
      <c r="R33" s="6"/>
      <c r="S33" s="6"/>
      <c r="T33" s="6"/>
      <c r="U33" s="387"/>
      <c r="V33" s="239"/>
      <c r="W33" s="254"/>
      <c r="X33" s="388"/>
      <c r="AE33" s="238"/>
      <c r="AJ33" s="332"/>
      <c r="AN33"/>
      <c r="AO33"/>
      <c r="AP33"/>
      <c r="AQ33"/>
      <c r="AR33"/>
      <c r="AS33"/>
      <c r="AT33"/>
      <c r="AU33"/>
      <c r="AV33"/>
      <c r="AW33"/>
    </row>
    <row r="34" spans="2:49">
      <c r="B34" s="385"/>
      <c r="C34" s="712" t="str">
        <f>IF(計算資料!H33=0, " ", 計算資料!H33)</f>
        <v xml:space="preserve"> </v>
      </c>
      <c r="D34" s="554"/>
      <c r="E34" s="514"/>
      <c r="F34" s="514"/>
      <c r="G34" s="581"/>
      <c r="H34" s="386"/>
      <c r="N34" s="6"/>
      <c r="O34" s="6"/>
      <c r="P34" s="6"/>
      <c r="Q34" s="6"/>
      <c r="R34" s="6"/>
      <c r="S34" s="6"/>
      <c r="T34" s="6"/>
      <c r="U34" s="387"/>
      <c r="V34" s="254"/>
      <c r="W34" s="254"/>
      <c r="X34" s="388"/>
      <c r="AE34" s="398"/>
      <c r="AJ34" s="401"/>
      <c r="AN34"/>
      <c r="AO34"/>
      <c r="AP34"/>
      <c r="AQ34"/>
      <c r="AR34"/>
      <c r="AS34"/>
      <c r="AT34"/>
      <c r="AU34"/>
      <c r="AV34"/>
      <c r="AW34"/>
    </row>
    <row r="35" spans="2:49" ht="17.25" thickBot="1">
      <c r="B35" s="402"/>
      <c r="C35" s="403"/>
      <c r="D35" s="404"/>
      <c r="E35" s="403"/>
      <c r="F35" s="403"/>
      <c r="G35" s="403"/>
      <c r="H35" s="459"/>
      <c r="N35" s="6"/>
      <c r="O35" s="6"/>
      <c r="P35" s="6"/>
      <c r="Q35" s="6"/>
      <c r="R35" s="6"/>
      <c r="S35" s="6"/>
      <c r="T35" s="6"/>
      <c r="U35" s="405"/>
      <c r="V35" s="403"/>
      <c r="W35" s="404"/>
      <c r="X35" s="406"/>
      <c r="AE35" s="238"/>
      <c r="AJ35" s="332"/>
      <c r="AN35"/>
      <c r="AO35"/>
      <c r="AP35"/>
      <c r="AQ35"/>
      <c r="AR35"/>
      <c r="AS35"/>
      <c r="AT35"/>
      <c r="AU35"/>
      <c r="AV35"/>
      <c r="AW35"/>
    </row>
    <row r="36" spans="2:49" ht="17.25" thickBot="1">
      <c r="D36" s="254"/>
      <c r="I36" s="254"/>
      <c r="K36" s="254"/>
      <c r="L36" s="254"/>
      <c r="P36" s="390"/>
      <c r="S36" s="372"/>
      <c r="Z36" s="372"/>
      <c r="AA36" s="389"/>
      <c r="AB36" s="239"/>
      <c r="AC36" s="254"/>
      <c r="AD36" s="239"/>
      <c r="AE36" s="239"/>
      <c r="AF36" s="407"/>
      <c r="AG36" s="239"/>
      <c r="AH36" s="239"/>
      <c r="AI36" s="239"/>
      <c r="AO36" s="238"/>
      <c r="AT36" s="332"/>
    </row>
    <row r="37" spans="2:49">
      <c r="B37" s="1400" t="s">
        <v>3727</v>
      </c>
      <c r="C37" s="1401"/>
      <c r="D37" s="373" t="s">
        <v>3692</v>
      </c>
      <c r="E37" s="373" t="s">
        <v>3693</v>
      </c>
      <c r="F37" s="373" t="s">
        <v>3694</v>
      </c>
      <c r="G37" s="373" t="s">
        <v>3695</v>
      </c>
      <c r="H37" s="408"/>
      <c r="I37" s="409">
        <v>0</v>
      </c>
      <c r="J37" s="408"/>
      <c r="K37" s="410"/>
      <c r="L37" s="1400" t="s">
        <v>3770</v>
      </c>
      <c r="M37" s="1404"/>
      <c r="N37" s="1404"/>
      <c r="O37" s="1405"/>
      <c r="P37" s="389"/>
      <c r="S37" s="372"/>
      <c r="Z37" s="372"/>
      <c r="AA37" s="389"/>
      <c r="AB37" s="239"/>
      <c r="AC37" s="254"/>
      <c r="AD37" s="239"/>
      <c r="AE37" s="239"/>
      <c r="AF37" s="407"/>
      <c r="AG37" s="239"/>
      <c r="AH37" s="239"/>
      <c r="AI37" s="239"/>
      <c r="AO37" s="238"/>
      <c r="AT37" s="332"/>
    </row>
    <row r="38" spans="2:49">
      <c r="B38" s="1402"/>
      <c r="C38" s="1403"/>
      <c r="D38" s="375" t="s">
        <v>3763</v>
      </c>
      <c r="E38" s="375" t="s">
        <v>2977</v>
      </c>
      <c r="F38" s="375" t="s">
        <v>3771</v>
      </c>
      <c r="G38" s="375" t="s">
        <v>3679</v>
      </c>
      <c r="H38" s="411"/>
      <c r="I38" s="412"/>
      <c r="J38" s="412"/>
      <c r="K38" s="413"/>
      <c r="L38" s="1422" t="s">
        <v>3772</v>
      </c>
      <c r="M38" s="1423"/>
      <c r="N38" s="1426">
        <v>1</v>
      </c>
      <c r="O38" s="1427"/>
      <c r="P38" s="390"/>
      <c r="S38" s="372"/>
      <c r="Z38" s="372"/>
      <c r="AA38" s="389"/>
      <c r="AB38" s="239"/>
      <c r="AC38" s="254"/>
      <c r="AD38" s="239"/>
      <c r="AE38" s="239"/>
      <c r="AF38" s="407"/>
      <c r="AG38" s="239"/>
      <c r="AH38" s="239"/>
      <c r="AI38" s="239"/>
      <c r="AO38" s="238"/>
      <c r="AT38" s="332"/>
    </row>
    <row r="39" spans="2:49">
      <c r="B39" s="377" t="s">
        <v>3698</v>
      </c>
      <c r="C39" s="378" t="s">
        <v>3697</v>
      </c>
      <c r="D39" s="378" t="s">
        <v>3699</v>
      </c>
      <c r="E39" s="378" t="s">
        <v>3701</v>
      </c>
      <c r="F39" s="378" t="s">
        <v>3700</v>
      </c>
      <c r="G39" s="378" t="s">
        <v>3702</v>
      </c>
      <c r="H39" s="378" t="s">
        <v>3811</v>
      </c>
      <c r="I39" s="412"/>
      <c r="J39" s="412"/>
      <c r="K39" s="413"/>
      <c r="L39" s="1424"/>
      <c r="M39" s="1425"/>
      <c r="N39" s="1428"/>
      <c r="O39" s="1429"/>
      <c r="S39" s="372"/>
      <c r="Z39" s="372"/>
      <c r="AA39" s="389"/>
      <c r="AB39" s="239"/>
      <c r="AC39" s="254"/>
      <c r="AD39" s="239"/>
      <c r="AE39" s="239"/>
      <c r="AF39" s="407"/>
      <c r="AG39" s="239"/>
      <c r="AH39" s="239"/>
      <c r="AI39" s="239"/>
      <c r="AO39" s="238"/>
      <c r="AT39" s="332"/>
    </row>
    <row r="40" spans="2:49" ht="17.25" thickBot="1">
      <c r="B40" s="379">
        <v>100</v>
      </c>
      <c r="C40" s="380">
        <v>70</v>
      </c>
      <c r="D40" s="380">
        <v>15</v>
      </c>
      <c r="E40" s="380">
        <v>40</v>
      </c>
      <c r="F40" s="380">
        <v>50</v>
      </c>
      <c r="G40" s="380">
        <v>15</v>
      </c>
      <c r="H40" s="499">
        <v>20</v>
      </c>
      <c r="I40" s="414"/>
      <c r="J40" s="414"/>
      <c r="K40" s="415"/>
      <c r="L40" s="1406" t="s">
        <v>3773</v>
      </c>
      <c r="M40" s="1407"/>
      <c r="N40" s="1412" t="e">
        <f>計算資料!S46</f>
        <v>#REF!</v>
      </c>
      <c r="O40" s="1413"/>
      <c r="S40" s="372"/>
      <c r="Z40" s="372"/>
      <c r="AA40" s="389"/>
      <c r="AB40" s="239"/>
      <c r="AC40" s="254"/>
      <c r="AD40" s="239"/>
      <c r="AE40" s="239"/>
      <c r="AF40" s="407"/>
      <c r="AG40" s="239"/>
      <c r="AH40" s="239"/>
      <c r="AI40" s="239"/>
      <c r="AO40" s="238"/>
      <c r="AT40" s="332"/>
    </row>
    <row r="41" spans="2:49" ht="17.25" thickBot="1">
      <c r="B41" s="1415" t="s">
        <v>3734</v>
      </c>
      <c r="C41" s="1416"/>
      <c r="D41" s="1417"/>
      <c r="E41" s="1415" t="s">
        <v>3735</v>
      </c>
      <c r="F41" s="1416"/>
      <c r="G41" s="1417"/>
      <c r="H41" s="1415" t="s">
        <v>3774</v>
      </c>
      <c r="I41" s="1416"/>
      <c r="J41" s="1417"/>
      <c r="K41" s="416"/>
      <c r="L41" s="1408"/>
      <c r="M41" s="1407"/>
      <c r="N41" s="1414"/>
      <c r="O41" s="1413"/>
      <c r="S41" s="372"/>
      <c r="Z41" s="372"/>
      <c r="AA41" s="389"/>
      <c r="AB41" s="239"/>
      <c r="AC41" s="254"/>
      <c r="AD41" s="239"/>
      <c r="AE41" s="239"/>
      <c r="AF41" s="407"/>
      <c r="AG41" s="239"/>
      <c r="AH41" s="239"/>
      <c r="AI41" s="239"/>
      <c r="AO41" s="238"/>
      <c r="AT41" s="332"/>
    </row>
    <row r="42" spans="2:49">
      <c r="B42" s="346" t="s">
        <v>3739</v>
      </c>
      <c r="C42" s="347" t="s">
        <v>3740</v>
      </c>
      <c r="D42" s="374" t="s">
        <v>3768</v>
      </c>
      <c r="E42" s="346" t="s">
        <v>3739</v>
      </c>
      <c r="F42" s="347" t="s">
        <v>3740</v>
      </c>
      <c r="G42" s="365" t="s">
        <v>3768</v>
      </c>
      <c r="H42" s="417" t="s">
        <v>3739</v>
      </c>
      <c r="I42" s="347" t="s">
        <v>3740</v>
      </c>
      <c r="J42" s="365" t="s">
        <v>3768</v>
      </c>
      <c r="K42" s="418" t="s">
        <v>3742</v>
      </c>
      <c r="L42" s="1406" t="s">
        <v>3769</v>
      </c>
      <c r="M42" s="1407"/>
      <c r="N42" s="1412" t="e">
        <f>計算資料!T46</f>
        <v>#REF!</v>
      </c>
      <c r="O42" s="1413"/>
      <c r="S42" s="372"/>
      <c r="Z42" s="372"/>
      <c r="AA42" s="389"/>
      <c r="AB42" s="239"/>
      <c r="AC42" s="254"/>
      <c r="AD42" s="239"/>
      <c r="AE42" s="239"/>
      <c r="AF42" s="407"/>
      <c r="AG42" s="239"/>
      <c r="AH42" s="239"/>
      <c r="AI42" s="239"/>
      <c r="AO42" s="238"/>
      <c r="AT42" s="332"/>
    </row>
    <row r="43" spans="2:49" ht="17.25" thickBot="1">
      <c r="B43" s="419">
        <f>(B40+20)+(C40+5)*2</f>
        <v>270</v>
      </c>
      <c r="C43" s="366">
        <v>7</v>
      </c>
      <c r="D43" s="420">
        <f>ROUND((B43/100)*C43*0.994,2)</f>
        <v>18.79</v>
      </c>
      <c r="E43" s="419">
        <v>140</v>
      </c>
      <c r="F43" s="366">
        <v>5</v>
      </c>
      <c r="G43" s="421">
        <v>6.96</v>
      </c>
      <c r="H43" s="422">
        <v>100</v>
      </c>
      <c r="I43" s="366">
        <f>(ROUND((C40+5)/25,0))*2</f>
        <v>6</v>
      </c>
      <c r="J43" s="421">
        <f>ROUND((H43/100)*I43*0.56,2)</f>
        <v>3.36</v>
      </c>
      <c r="K43" s="423">
        <f>D43+G43+J43</f>
        <v>29.11</v>
      </c>
      <c r="L43" s="1430"/>
      <c r="M43" s="1431"/>
      <c r="N43" s="1432"/>
      <c r="O43" s="1433"/>
      <c r="S43" s="372"/>
      <c r="Z43" s="372"/>
      <c r="AA43" s="389"/>
      <c r="AB43" s="239"/>
      <c r="AC43" s="254"/>
      <c r="AD43" s="239"/>
      <c r="AE43" s="239"/>
      <c r="AF43" s="407"/>
      <c r="AG43" s="239"/>
      <c r="AH43" s="239"/>
      <c r="AI43" s="239"/>
      <c r="AO43" s="238"/>
      <c r="AT43" s="332"/>
    </row>
    <row r="44" spans="2:49">
      <c r="B44" s="424" t="s">
        <v>2</v>
      </c>
      <c r="L44" s="382"/>
      <c r="M44" s="383"/>
      <c r="N44" s="383"/>
      <c r="O44" s="425"/>
      <c r="S44" s="372"/>
      <c r="Z44" s="372"/>
      <c r="AA44" s="389"/>
      <c r="AB44" s="239"/>
      <c r="AC44" s="254"/>
      <c r="AD44" s="239"/>
      <c r="AE44" s="239"/>
      <c r="AF44" s="407"/>
      <c r="AG44" s="239"/>
      <c r="AH44" s="239"/>
      <c r="AI44" s="239"/>
      <c r="AO44" s="238"/>
      <c r="AT44" s="332"/>
    </row>
    <row r="45" spans="2:49">
      <c r="B45" s="424" t="s">
        <v>2</v>
      </c>
      <c r="C45" s="254" t="str">
        <f>計算資料!H55</f>
        <v>新設集水井 寬50cm*平均深75cm</v>
      </c>
      <c r="E45" s="254"/>
      <c r="H45" s="426"/>
      <c r="I45" s="304"/>
      <c r="J45" s="426"/>
      <c r="K45" s="304"/>
      <c r="L45" s="387" t="s">
        <v>3718</v>
      </c>
      <c r="M45" s="254" t="s">
        <v>3719</v>
      </c>
      <c r="N45" s="254" t="s">
        <v>3720</v>
      </c>
      <c r="O45" s="388" t="s">
        <v>3721</v>
      </c>
      <c r="S45" s="372"/>
      <c r="Z45" s="372"/>
      <c r="AA45" s="389"/>
      <c r="AB45" s="239"/>
      <c r="AC45" s="254"/>
      <c r="AD45" s="239"/>
      <c r="AE45" s="239"/>
      <c r="AF45" s="407"/>
      <c r="AG45" s="239"/>
      <c r="AH45" s="239"/>
      <c r="AI45" s="239"/>
      <c r="AO45" s="238"/>
      <c r="AT45" s="332"/>
    </row>
    <row r="46" spans="2:49">
      <c r="B46" s="424" t="s">
        <v>2</v>
      </c>
      <c r="C46" s="389" t="str">
        <f>IF(計算資料!H56=0, " ", 計算資料!H56)</f>
        <v>餘方自行處理(含水土保持)，總重15t以下傾卸貨車</v>
      </c>
      <c r="D46" s="188"/>
      <c r="E46" s="188"/>
      <c r="F46" s="188"/>
      <c r="G46" s="188"/>
      <c r="H46" s="427"/>
      <c r="I46" s="304"/>
      <c r="J46" s="304"/>
      <c r="K46" s="304"/>
      <c r="L46" s="387"/>
      <c r="N46" s="254"/>
      <c r="O46" s="388"/>
      <c r="S46" s="372"/>
      <c r="Z46" s="372"/>
      <c r="AA46" s="389"/>
      <c r="AB46" s="239"/>
      <c r="AC46" s="254"/>
      <c r="AD46" s="239"/>
      <c r="AE46" s="239"/>
      <c r="AF46" s="407"/>
      <c r="AG46" s="239"/>
      <c r="AH46" s="239"/>
      <c r="AI46" s="239"/>
      <c r="AO46" s="238"/>
      <c r="AT46" s="332"/>
    </row>
    <row r="47" spans="2:49">
      <c r="B47" s="424" t="s">
        <v>2</v>
      </c>
      <c r="C47" s="390" t="str">
        <f>IF(計算資料!H57=0, " ", 計算資料!H57)</f>
        <v>(0.8*(0.75+0.2))</v>
      </c>
      <c r="H47" s="428"/>
      <c r="I47" s="304"/>
      <c r="J47" s="304"/>
      <c r="K47" s="304"/>
      <c r="L47" s="387" t="e">
        <f>計算資料!O57</f>
        <v>#REF!</v>
      </c>
      <c r="M47" s="254" t="e">
        <f>計算資料!N57</f>
        <v>#REF!</v>
      </c>
      <c r="N47" s="254" t="e">
        <f>IF(計算資料!P57=0, " ", 計算資料!P57)</f>
        <v>#REF!</v>
      </c>
      <c r="O47" s="388" t="e">
        <f>IF(計算資料!Q57=0, " ", 計算資料!Q57)</f>
        <v>#REF!</v>
      </c>
      <c r="S47" s="372"/>
      <c r="Z47" s="372"/>
      <c r="AA47" s="389"/>
      <c r="AB47" s="239"/>
      <c r="AC47" s="254"/>
      <c r="AD47" s="239"/>
      <c r="AE47" s="239"/>
      <c r="AF47" s="407"/>
      <c r="AG47" s="239"/>
      <c r="AH47" s="239"/>
      <c r="AI47" s="239"/>
      <c r="AO47" s="238"/>
      <c r="AT47" s="332"/>
    </row>
    <row r="48" spans="2:49">
      <c r="B48" s="424" t="s">
        <v>2</v>
      </c>
      <c r="C48" s="389" t="str">
        <f>IF(計算資料!H58=0, " ", 計算資料!H58)</f>
        <v>結構用混凝土，預拌，140kgf/cm2</v>
      </c>
      <c r="H48" s="427"/>
      <c r="I48" s="304"/>
      <c r="J48" s="304"/>
      <c r="K48" s="304"/>
      <c r="L48" s="387"/>
      <c r="N48" s="254"/>
      <c r="O48" s="388"/>
      <c r="S48" s="372"/>
      <c r="Z48" s="372"/>
      <c r="AA48" s="389"/>
      <c r="AB48" s="239"/>
      <c r="AC48" s="254"/>
      <c r="AD48" s="239"/>
      <c r="AE48" s="239"/>
      <c r="AF48" s="407"/>
      <c r="AG48" s="239"/>
      <c r="AH48" s="239"/>
      <c r="AI48" s="239"/>
      <c r="AO48" s="238"/>
      <c r="AT48" s="332"/>
    </row>
    <row r="49" spans="2:46">
      <c r="B49" s="424" t="s">
        <v>2</v>
      </c>
      <c r="C49" s="390" t="str">
        <f>IF(計算資料!H59=0, " ", 計算資料!H59)</f>
        <v>(0.5+0.15+0.15)*0.05</v>
      </c>
      <c r="H49" s="428"/>
      <c r="I49" s="304"/>
      <c r="J49" s="304"/>
      <c r="K49" s="304"/>
      <c r="L49" s="387" t="e">
        <f>計算資料!O59</f>
        <v>#REF!</v>
      </c>
      <c r="M49" s="254" t="e">
        <f>計算資料!N59</f>
        <v>#REF!</v>
      </c>
      <c r="N49" s="254" t="e">
        <f>IF(計算資料!P59=0, " ", 計算資料!P59)</f>
        <v>#REF!</v>
      </c>
      <c r="O49" s="388" t="e">
        <f>IF(計算資料!Q59=0, " ", 計算資料!Q59)</f>
        <v>#REF!</v>
      </c>
      <c r="S49" s="372"/>
      <c r="Z49" s="372"/>
      <c r="AA49" s="389"/>
      <c r="AB49" s="239"/>
      <c r="AC49" s="254"/>
      <c r="AD49" s="239"/>
      <c r="AE49" s="239"/>
      <c r="AF49" s="407"/>
      <c r="AG49" s="239"/>
      <c r="AH49" s="239"/>
      <c r="AI49" s="239"/>
      <c r="AO49" s="238"/>
      <c r="AT49" s="332"/>
    </row>
    <row r="50" spans="2:46">
      <c r="B50" s="424" t="s">
        <v>2</v>
      </c>
      <c r="C50" s="389" t="str">
        <f>IF(計算資料!H60=0, " ", 計算資料!H60)</f>
        <v>結構用混凝土，預拌，210kgf/cm2</v>
      </c>
      <c r="D50" s="188"/>
      <c r="E50" s="188"/>
      <c r="F50" s="188"/>
      <c r="G50" s="188"/>
      <c r="H50" s="427"/>
      <c r="I50" s="304"/>
      <c r="J50" s="304"/>
      <c r="K50" s="304"/>
      <c r="L50" s="387"/>
      <c r="N50" s="254"/>
      <c r="O50" s="388"/>
      <c r="S50" s="372"/>
      <c r="Z50" s="372"/>
      <c r="AA50" s="389"/>
      <c r="AB50" s="239"/>
      <c r="AC50" s="254"/>
      <c r="AD50" s="239"/>
      <c r="AE50" s="239"/>
      <c r="AF50" s="407"/>
      <c r="AG50" s="239"/>
      <c r="AH50" s="239"/>
      <c r="AI50" s="239"/>
      <c r="AO50" s="238"/>
      <c r="AT50" s="332"/>
    </row>
    <row r="51" spans="2:46">
      <c r="B51" s="424" t="s">
        <v>2</v>
      </c>
      <c r="C51" s="390" t="str">
        <f>IF(計算資料!H61=0, " ", 計算資料!H61)</f>
        <v>(0.8*(0.75+0.15)*(0.7+0.3)-(0.5*0.7*0.75))*1.05</v>
      </c>
      <c r="H51" s="428"/>
      <c r="I51" s="304"/>
      <c r="J51" s="304"/>
      <c r="K51" s="304"/>
      <c r="L51" s="387" t="e">
        <f>計算資料!O61</f>
        <v>#REF!</v>
      </c>
      <c r="M51" s="254" t="e">
        <f>計算資料!N61</f>
        <v>#REF!</v>
      </c>
      <c r="N51" s="254" t="e">
        <f>IF(計算資料!P61=0, " ", 計算資料!P61)</f>
        <v>#REF!</v>
      </c>
      <c r="O51" s="388" t="e">
        <f>IF(計算資料!Q61=0, " ", 計算資料!Q61)</f>
        <v>#REF!</v>
      </c>
      <c r="S51" s="372"/>
      <c r="Z51" s="372"/>
      <c r="AA51" s="389"/>
      <c r="AB51" s="239"/>
      <c r="AC51" s="254"/>
      <c r="AD51" s="239"/>
      <c r="AE51" s="239"/>
      <c r="AF51" s="407"/>
      <c r="AG51" s="239"/>
      <c r="AH51" s="239"/>
      <c r="AI51" s="239"/>
      <c r="AO51" s="238"/>
      <c r="AT51" s="332"/>
    </row>
    <row r="52" spans="2:46">
      <c r="B52" s="424" t="s">
        <v>2</v>
      </c>
      <c r="C52" s="389" t="str">
        <f>IF(計算資料!H62=0, " ", 計算資料!H62)</f>
        <v>場鑄結構混凝土用模板，清水模板，丙種.</v>
      </c>
      <c r="H52" s="427"/>
      <c r="I52" s="304"/>
      <c r="J52" s="304"/>
      <c r="K52" s="304"/>
      <c r="L52" s="387"/>
      <c r="N52" s="254"/>
      <c r="O52" s="388"/>
      <c r="S52" s="372"/>
      <c r="Z52" s="372"/>
      <c r="AA52" s="389"/>
      <c r="AB52" s="239"/>
      <c r="AC52" s="254"/>
      <c r="AD52" s="239"/>
      <c r="AE52" s="239"/>
      <c r="AF52" s="407"/>
      <c r="AG52" s="239"/>
      <c r="AH52" s="239"/>
      <c r="AI52" s="239"/>
      <c r="AO52" s="238"/>
      <c r="AT52" s="332"/>
    </row>
    <row r="53" spans="2:46">
      <c r="B53" s="424" t="s">
        <v>2</v>
      </c>
      <c r="C53" s="390" t="str">
        <f>IF(計算資料!H63=0, " ", 計算資料!H63)</f>
        <v>(0.5*0.75)*2+(0.7*0.75)*2</v>
      </c>
      <c r="H53" s="428"/>
      <c r="I53" s="304"/>
      <c r="J53" s="304"/>
      <c r="K53" s="304"/>
      <c r="L53" s="387" t="e">
        <f>計算資料!O63</f>
        <v>#REF!</v>
      </c>
      <c r="M53" s="254" t="e">
        <f>計算資料!N63</f>
        <v>#REF!</v>
      </c>
      <c r="N53" s="254" t="e">
        <f>IF(計算資料!P63=0, " ", 計算資料!P63)</f>
        <v>#REF!</v>
      </c>
      <c r="O53" s="388" t="e">
        <f>IF(計算資料!Q63=0, " ", 計算資料!Q63)</f>
        <v>#REF!</v>
      </c>
      <c r="S53" s="372"/>
      <c r="Z53" s="372"/>
      <c r="AA53" s="389"/>
      <c r="AB53" s="239"/>
      <c r="AC53" s="254"/>
      <c r="AD53" s="239"/>
      <c r="AE53" s="239"/>
      <c r="AF53" s="407"/>
      <c r="AG53" s="239"/>
      <c r="AH53" s="239"/>
      <c r="AI53" s="239"/>
      <c r="AO53" s="238"/>
      <c r="AT53" s="332"/>
    </row>
    <row r="54" spans="2:46">
      <c r="B54" s="424" t="s">
        <v>2</v>
      </c>
      <c r="C54" s="389" t="str">
        <f>IF(計算資料!H64=0, " ", 計算資料!H64)</f>
        <v>鋼筋，SD280W.</v>
      </c>
      <c r="D54" s="188"/>
      <c r="E54" s="394"/>
      <c r="F54" s="188"/>
      <c r="G54" s="188"/>
      <c r="H54" s="427"/>
      <c r="I54" s="304"/>
      <c r="J54" s="304"/>
      <c r="K54" s="304"/>
      <c r="L54" s="395"/>
      <c r="M54" s="255"/>
      <c r="N54" s="396"/>
      <c r="O54" s="397"/>
      <c r="S54" s="372"/>
      <c r="Z54" s="372"/>
      <c r="AA54" s="389"/>
      <c r="AB54" s="239"/>
      <c r="AC54" s="254"/>
      <c r="AD54" s="239"/>
      <c r="AE54" s="239"/>
      <c r="AF54" s="407"/>
      <c r="AG54" s="239"/>
      <c r="AH54" s="239"/>
      <c r="AI54" s="239"/>
      <c r="AO54" s="238"/>
      <c r="AT54" s="332"/>
    </row>
    <row r="55" spans="2:46">
      <c r="B55" s="424" t="s">
        <v>2</v>
      </c>
      <c r="C55" s="390" t="str">
        <f>IF(計算資料!H65=0, " ", 計算資料!H65)</f>
        <v>16+6.96+3.36</v>
      </c>
      <c r="E55" s="254"/>
      <c r="H55" s="428"/>
      <c r="I55" s="304"/>
      <c r="J55" s="304"/>
      <c r="K55" s="304"/>
      <c r="L55" s="387" t="e">
        <f>計算資料!O65</f>
        <v>#REF!</v>
      </c>
      <c r="M55" s="254" t="e">
        <f>計算資料!N65</f>
        <v>#REF!</v>
      </c>
      <c r="N55" s="254" t="e">
        <f>IF(計算資料!P65=0, " ", 計算資料!P65)</f>
        <v>#REF!</v>
      </c>
      <c r="O55" s="388" t="e">
        <f>IF(計算資料!Q65=0, " ", 計算資料!Q65)</f>
        <v>#REF!</v>
      </c>
      <c r="S55" s="372"/>
      <c r="Z55" s="372"/>
      <c r="AA55" s="389"/>
      <c r="AB55" s="239"/>
      <c r="AC55" s="254"/>
      <c r="AD55" s="239"/>
      <c r="AE55" s="239"/>
      <c r="AF55" s="407"/>
      <c r="AG55" s="239"/>
      <c r="AH55" s="239"/>
      <c r="AI55" s="239"/>
      <c r="AO55" s="238"/>
      <c r="AT55" s="332"/>
    </row>
    <row r="56" spans="2:46">
      <c r="B56" s="424" t="s">
        <v>2</v>
      </c>
      <c r="C56" s="389" t="str">
        <f>IF(計算資料!H66=0, " ", 計算資料!H66)</f>
        <v xml:space="preserve"> </v>
      </c>
      <c r="E56" s="254"/>
      <c r="H56" s="427"/>
      <c r="I56" s="304"/>
      <c r="J56" s="304"/>
      <c r="K56" s="304"/>
      <c r="L56" s="387"/>
      <c r="N56" s="254"/>
      <c r="O56" s="388"/>
      <c r="S56" s="372"/>
      <c r="Z56" s="372"/>
      <c r="AA56" s="389"/>
      <c r="AB56" s="239"/>
      <c r="AC56" s="254"/>
      <c r="AD56" s="239"/>
      <c r="AE56" s="239"/>
      <c r="AF56" s="407"/>
      <c r="AG56" s="239"/>
      <c r="AH56" s="239"/>
      <c r="AI56" s="239"/>
      <c r="AO56" s="238"/>
      <c r="AT56" s="332"/>
    </row>
    <row r="57" spans="2:46">
      <c r="B57" s="424" t="s">
        <v>2</v>
      </c>
      <c r="C57" s="390" t="str">
        <f>IF(計算資料!H67=0, " ", 計算資料!H67)</f>
        <v xml:space="preserve"> </v>
      </c>
      <c r="E57" s="254"/>
      <c r="H57" s="428"/>
      <c r="I57" s="304"/>
      <c r="J57" s="304"/>
      <c r="K57" s="304"/>
      <c r="L57" s="387" t="e">
        <f>計算資料!O67</f>
        <v>#REF!</v>
      </c>
      <c r="M57" s="254" t="e">
        <f>計算資料!N67</f>
        <v>#REF!</v>
      </c>
      <c r="N57" s="254" t="e">
        <f>IF(計算資料!P67=0, " ", 計算資料!P67)</f>
        <v>#REF!</v>
      </c>
      <c r="O57" s="388" t="e">
        <f>IF(計算資料!Q67=0, " ", 計算資料!Q67)</f>
        <v>#REF!</v>
      </c>
      <c r="S57" s="372"/>
      <c r="Z57" s="372"/>
      <c r="AA57" s="389"/>
      <c r="AB57" s="239"/>
      <c r="AC57" s="254"/>
      <c r="AD57" s="239"/>
      <c r="AE57" s="239"/>
      <c r="AF57" s="407"/>
      <c r="AG57" s="239"/>
      <c r="AH57" s="239"/>
      <c r="AI57" s="239"/>
      <c r="AO57" s="238"/>
      <c r="AT57" s="332"/>
    </row>
    <row r="58" spans="2:46">
      <c r="B58" s="424" t="s">
        <v>2</v>
      </c>
      <c r="C58" s="389" t="str">
        <f>IF(計算資料!H68=0, " ", 計算資料!H68)</f>
        <v xml:space="preserve"> </v>
      </c>
      <c r="D58" s="188"/>
      <c r="E58" s="394"/>
      <c r="F58" s="188"/>
      <c r="G58" s="188"/>
      <c r="H58" s="427"/>
      <c r="I58" s="304"/>
      <c r="J58" s="304"/>
      <c r="K58" s="304"/>
      <c r="L58" s="395"/>
      <c r="M58" s="255"/>
      <c r="N58" s="396"/>
      <c r="O58" s="397"/>
      <c r="S58" s="372"/>
      <c r="Z58" s="372"/>
      <c r="AA58" s="389"/>
      <c r="AB58" s="239"/>
      <c r="AC58" s="254"/>
      <c r="AD58" s="239"/>
      <c r="AE58" s="239"/>
      <c r="AF58" s="407"/>
      <c r="AG58" s="239"/>
      <c r="AH58" s="239"/>
      <c r="AI58" s="239"/>
      <c r="AO58" s="238"/>
      <c r="AT58" s="332"/>
    </row>
    <row r="59" spans="2:46">
      <c r="B59" s="424" t="s">
        <v>2</v>
      </c>
      <c r="C59" s="390" t="str">
        <f>IF(計算資料!H69=0, " ", 計算資料!H69)</f>
        <v xml:space="preserve"> </v>
      </c>
      <c r="E59" s="254"/>
      <c r="H59" s="428"/>
      <c r="I59" s="304"/>
      <c r="J59" s="304"/>
      <c r="K59" s="304"/>
      <c r="L59" s="387" t="e">
        <f>計算資料!O69</f>
        <v>#REF!</v>
      </c>
      <c r="M59" s="254" t="e">
        <f>計算資料!N69</f>
        <v>#REF!</v>
      </c>
      <c r="N59" s="254" t="e">
        <f>IF(計算資料!P69=0, " ", 計算資料!P69)</f>
        <v>#REF!</v>
      </c>
      <c r="O59" s="388" t="e">
        <f>IF(計算資料!Q69=0, " ", 計算資料!Q69)</f>
        <v>#REF!</v>
      </c>
      <c r="S59" s="372"/>
      <c r="Z59" s="372"/>
      <c r="AA59" s="389"/>
      <c r="AB59" s="239"/>
      <c r="AC59" s="254"/>
      <c r="AD59" s="239"/>
      <c r="AE59" s="239"/>
      <c r="AF59" s="407"/>
      <c r="AG59" s="239"/>
      <c r="AH59" s="239"/>
      <c r="AI59" s="239"/>
      <c r="AO59" s="238"/>
      <c r="AT59" s="332"/>
    </row>
    <row r="60" spans="2:46">
      <c r="B60" s="424"/>
      <c r="C60" s="389" t="str">
        <f>IF(計算資料!H70=0, " ", 計算資料!H70)</f>
        <v xml:space="preserve"> </v>
      </c>
      <c r="E60" s="254"/>
      <c r="H60" s="428"/>
      <c r="I60" s="304"/>
      <c r="J60" s="304"/>
      <c r="K60" s="304"/>
      <c r="L60" s="387"/>
      <c r="N60" s="254"/>
      <c r="O60" s="388"/>
      <c r="S60" s="372"/>
      <c r="Z60" s="372"/>
      <c r="AA60" s="389"/>
      <c r="AB60" s="239"/>
      <c r="AC60" s="254"/>
      <c r="AD60" s="239"/>
      <c r="AE60" s="239"/>
      <c r="AF60" s="407"/>
      <c r="AG60" s="239"/>
      <c r="AH60" s="239"/>
      <c r="AI60" s="239"/>
      <c r="AO60" s="238"/>
      <c r="AT60" s="332"/>
    </row>
    <row r="61" spans="2:46">
      <c r="B61" s="424"/>
      <c r="C61" s="390" t="str">
        <f>IF(計算資料!H71=0, " ", 計算資料!H71)</f>
        <v xml:space="preserve"> </v>
      </c>
      <c r="E61" s="254"/>
      <c r="H61" s="428"/>
      <c r="I61" s="304"/>
      <c r="J61" s="304"/>
      <c r="K61" s="304"/>
      <c r="L61" s="387" t="e">
        <f>計算資料!O71</f>
        <v>#REF!</v>
      </c>
      <c r="M61" s="254" t="e">
        <f>計算資料!N71</f>
        <v>#REF!</v>
      </c>
      <c r="N61" s="254" t="e">
        <f>IF(計算資料!P71=0, " ", 計算資料!P71)</f>
        <v>#REF!</v>
      </c>
      <c r="O61" s="388" t="e">
        <f>IF(計算資料!Q71=0, " ", 計算資料!Q71)</f>
        <v>#REF!</v>
      </c>
      <c r="S61" s="372"/>
      <c r="Z61" s="372"/>
      <c r="AA61" s="389"/>
      <c r="AB61" s="239"/>
      <c r="AC61" s="254"/>
      <c r="AD61" s="239"/>
      <c r="AE61" s="239"/>
      <c r="AF61" s="407"/>
      <c r="AG61" s="239"/>
      <c r="AH61" s="239"/>
      <c r="AI61" s="239"/>
      <c r="AO61" s="238"/>
      <c r="AT61" s="332"/>
    </row>
    <row r="62" spans="2:46">
      <c r="B62" s="424"/>
      <c r="C62" s="389" t="str">
        <f>IF(計算資料!H72=0, " ", 計算資料!H72)</f>
        <v xml:space="preserve"> </v>
      </c>
      <c r="E62" s="254"/>
      <c r="H62" s="428"/>
      <c r="I62" s="304"/>
      <c r="J62" s="304"/>
      <c r="K62" s="304"/>
      <c r="L62" s="387"/>
      <c r="N62" s="254"/>
      <c r="O62" s="388"/>
      <c r="S62" s="372"/>
      <c r="Z62" s="372"/>
      <c r="AA62" s="389"/>
      <c r="AB62" s="239"/>
      <c r="AC62" s="254"/>
      <c r="AD62" s="239"/>
      <c r="AE62" s="239"/>
      <c r="AF62" s="407"/>
      <c r="AG62" s="239"/>
      <c r="AH62" s="239"/>
      <c r="AI62" s="239"/>
      <c r="AO62" s="238"/>
      <c r="AT62" s="332"/>
    </row>
    <row r="63" spans="2:46">
      <c r="B63" s="424" t="s">
        <v>2</v>
      </c>
      <c r="C63" s="390" t="str">
        <f>IF(計算資料!H73=0, " ", 計算資料!H73)</f>
        <v xml:space="preserve"> </v>
      </c>
      <c r="E63" s="254"/>
      <c r="H63" s="429"/>
      <c r="L63" s="387" t="e">
        <f>計算資料!O73</f>
        <v>#REF!</v>
      </c>
      <c r="M63" s="254" t="e">
        <f>計算資料!N73</f>
        <v>#REF!</v>
      </c>
      <c r="N63" s="254" t="e">
        <f>IF(計算資料!P73=0, " ", 計算資料!P73)</f>
        <v>#REF!</v>
      </c>
      <c r="O63" s="388" t="e">
        <f>IF(計算資料!Q73=0, " ", 計算資料!Q73)</f>
        <v>#REF!</v>
      </c>
      <c r="S63" s="372"/>
      <c r="Z63" s="372"/>
      <c r="AA63" s="389"/>
      <c r="AB63" s="239"/>
      <c r="AC63" s="254"/>
      <c r="AD63" s="239"/>
      <c r="AE63" s="239"/>
      <c r="AF63" s="407"/>
      <c r="AG63" s="239"/>
      <c r="AH63" s="239"/>
      <c r="AI63" s="239"/>
      <c r="AO63" s="238"/>
      <c r="AT63" s="332"/>
    </row>
    <row r="64" spans="2:46" ht="17.25" thickBot="1">
      <c r="B64" s="430" t="s">
        <v>2</v>
      </c>
      <c r="C64" s="431"/>
      <c r="D64" s="403"/>
      <c r="E64" s="404"/>
      <c r="F64" s="403"/>
      <c r="G64" s="403"/>
      <c r="H64" s="432"/>
      <c r="I64" s="403"/>
      <c r="J64" s="403"/>
      <c r="K64" s="403"/>
      <c r="L64" s="405"/>
      <c r="M64" s="403"/>
      <c r="N64" s="404"/>
      <c r="O64" s="406"/>
      <c r="S64" s="372"/>
      <c r="AF64" s="407"/>
      <c r="AG64" s="239"/>
      <c r="AH64" s="239"/>
      <c r="AI64" s="239"/>
      <c r="AO64" s="238"/>
      <c r="AT64" s="332"/>
    </row>
    <row r="65" spans="2:46" ht="17.25" thickBot="1">
      <c r="D65" s="254"/>
      <c r="I65" s="372" t="s">
        <v>2</v>
      </c>
      <c r="AO65" s="433"/>
      <c r="AT65" s="400"/>
    </row>
    <row r="66" spans="2:46">
      <c r="B66" s="1434" t="s">
        <v>3775</v>
      </c>
      <c r="C66" s="1435"/>
      <c r="D66" s="434" t="s">
        <v>3692</v>
      </c>
      <c r="E66" s="373" t="s">
        <v>3693</v>
      </c>
      <c r="F66" s="435" t="s">
        <v>3746</v>
      </c>
      <c r="G66" s="435" t="s">
        <v>3738</v>
      </c>
      <c r="H66" s="435" t="s">
        <v>3748</v>
      </c>
      <c r="I66" s="435" t="s">
        <v>3737</v>
      </c>
      <c r="J66" s="435" t="s">
        <v>3749</v>
      </c>
      <c r="K66" s="435" t="s">
        <v>3746</v>
      </c>
      <c r="L66" s="436" t="s">
        <v>3750</v>
      </c>
      <c r="M66" s="383"/>
      <c r="N66" s="437"/>
      <c r="O66" s="425"/>
      <c r="P66" s="438"/>
      <c r="Q66" s="383"/>
      <c r="R66" s="383"/>
      <c r="S66" s="383"/>
      <c r="T66" s="383"/>
      <c r="U66" s="438"/>
      <c r="V66" s="127"/>
      <c r="W66" s="126"/>
      <c r="AO66" s="238"/>
      <c r="AT66" s="332"/>
    </row>
    <row r="67" spans="2:46" ht="17.25" thickBot="1">
      <c r="B67" s="1436"/>
      <c r="C67" s="1437"/>
      <c r="D67" s="439" t="s">
        <v>3763</v>
      </c>
      <c r="E67" s="440" t="s">
        <v>2977</v>
      </c>
      <c r="F67" s="441" t="s">
        <v>3776</v>
      </c>
      <c r="G67" s="441" t="s">
        <v>3777</v>
      </c>
      <c r="H67" s="441" t="s">
        <v>3680</v>
      </c>
      <c r="I67" s="441" t="s">
        <v>3778</v>
      </c>
      <c r="J67" s="441" t="s">
        <v>3779</v>
      </c>
      <c r="K67" s="441" t="s">
        <v>3780</v>
      </c>
      <c r="L67" s="442" t="s">
        <v>3781</v>
      </c>
      <c r="N67" s="371"/>
      <c r="O67" s="386"/>
      <c r="W67" s="131"/>
      <c r="AO67" s="238"/>
      <c r="AT67" s="332"/>
    </row>
    <row r="68" spans="2:46" ht="16.5" customHeight="1">
      <c r="B68" s="1438" t="str">
        <f>計算資料!V122&amp;"
鋼筋表"</f>
        <v>S1
鋼筋表</v>
      </c>
      <c r="C68" s="443">
        <f>計算資料!X121</f>
        <v>1</v>
      </c>
      <c r="D68" s="444">
        <f>計算資料!Y121</f>
        <v>2</v>
      </c>
      <c r="E68" s="444" t="str">
        <f>IF(計算資料!Z122&gt;0,計算資料!Z121," ")</f>
        <v xml:space="preserve"> </v>
      </c>
      <c r="F68" s="444" t="str">
        <f>IF(計算資料!AA122&gt;0,計算資料!AA121," ")</f>
        <v xml:space="preserve"> </v>
      </c>
      <c r="G68" s="444"/>
      <c r="H68" s="444"/>
      <c r="I68" s="444"/>
      <c r="J68" s="444"/>
      <c r="K68" s="444"/>
      <c r="L68" s="444"/>
      <c r="M68" s="443" t="str">
        <f>計算資料!AF121</f>
        <v>D10</v>
      </c>
      <c r="N68" s="443" t="str">
        <f>計算資料!AG121</f>
        <v>D13</v>
      </c>
      <c r="O68" s="445" t="str">
        <f>計算資料!AH121</f>
        <v>總重</v>
      </c>
      <c r="Q68" s="446">
        <v>0</v>
      </c>
      <c r="W68" s="131"/>
      <c r="AO68" s="433"/>
      <c r="AT68" s="400"/>
    </row>
    <row r="69" spans="2:46" ht="17.25" thickBot="1">
      <c r="B69" s="1439"/>
      <c r="C69" s="447">
        <f>計算資料!X122</f>
        <v>14.15</v>
      </c>
      <c r="D69" s="447">
        <f>計算資料!Y122</f>
        <v>9.94</v>
      </c>
      <c r="E69" s="447" t="str">
        <f>IF(計算資料!Z122&gt;0,計算資料!Z122," ")</f>
        <v xml:space="preserve"> </v>
      </c>
      <c r="F69" s="447" t="str">
        <f>IF(計算資料!AA122&gt;0,計算資料!AA122," ")</f>
        <v xml:space="preserve"> </v>
      </c>
      <c r="G69" s="447"/>
      <c r="H69" s="447"/>
      <c r="I69" s="447"/>
      <c r="J69" s="447"/>
      <c r="K69" s="447"/>
      <c r="L69" s="447"/>
      <c r="M69" s="447" t="str">
        <f>IF(計算資料!AF122&gt;0,計算資料!AF122," ")</f>
        <v xml:space="preserve"> </v>
      </c>
      <c r="N69" s="447">
        <f>計算資料!AG122</f>
        <v>24.09</v>
      </c>
      <c r="O69" s="448">
        <f>計算資料!AH122</f>
        <v>24.09</v>
      </c>
      <c r="W69" s="131"/>
      <c r="AO69" s="238"/>
      <c r="AT69" s="332"/>
    </row>
    <row r="70" spans="2:46" ht="16.5" customHeight="1">
      <c r="B70" s="1438" t="str">
        <f>計算資料!V125&amp;"
鋼筋表"</f>
        <v>S2
鋼筋表</v>
      </c>
      <c r="C70" s="443" t="str">
        <f>計算資料!Y124</f>
        <v>a</v>
      </c>
      <c r="D70" s="443" t="str">
        <f>計算資料!Z124</f>
        <v>b</v>
      </c>
      <c r="E70" s="443" t="str">
        <f>計算資料!AA124</f>
        <v>c</v>
      </c>
      <c r="F70" s="443" t="str">
        <f>計算資料!AB124</f>
        <v>d</v>
      </c>
      <c r="G70" s="443" t="str">
        <f>計算資料!AC124</f>
        <v>e</v>
      </c>
      <c r="H70" s="443" t="str">
        <f>IF(計算資料!AD125&gt;0,計算資料!AD124," ")</f>
        <v xml:space="preserve"> </v>
      </c>
      <c r="I70" s="443" t="str">
        <f>IF(計算資料!AE125&gt;0,計算資料!AE124," ")</f>
        <v xml:space="preserve"> </v>
      </c>
      <c r="J70" s="443"/>
      <c r="K70" s="443"/>
      <c r="L70" s="443"/>
      <c r="M70" s="443" t="str">
        <f>計算資料!AF124</f>
        <v>D10</v>
      </c>
      <c r="N70" s="443" t="str">
        <f>計算資料!AG124</f>
        <v>D13</v>
      </c>
      <c r="O70" s="445" t="str">
        <f>計算資料!AH124</f>
        <v>總重</v>
      </c>
      <c r="W70" s="131"/>
      <c r="AO70" s="238"/>
      <c r="AT70" s="332"/>
    </row>
    <row r="71" spans="2:46" ht="17.25" thickBot="1">
      <c r="B71" s="1440"/>
      <c r="C71" s="449">
        <f>計算資料!Y125</f>
        <v>3.95</v>
      </c>
      <c r="D71" s="449">
        <f>計算資料!Z125</f>
        <v>3.37</v>
      </c>
      <c r="E71" s="449">
        <f>計算資料!AA125</f>
        <v>7.36</v>
      </c>
      <c r="F71" s="449">
        <f>計算資料!AB125</f>
        <v>7.36</v>
      </c>
      <c r="G71" s="449">
        <f>計算資料!AC125</f>
        <v>0.39</v>
      </c>
      <c r="H71" s="449" t="str">
        <f>IF(計算資料!AD125&gt;0,計算資料!AD125," ")</f>
        <v xml:space="preserve"> </v>
      </c>
      <c r="I71" s="449" t="str">
        <f>IF(計算資料!AE125&gt;0,計算資料!AE125," ")</f>
        <v xml:space="preserve"> </v>
      </c>
      <c r="J71" s="449"/>
      <c r="K71" s="449"/>
      <c r="L71" s="449"/>
      <c r="M71" s="449">
        <f>計算資料!AF125</f>
        <v>7.71</v>
      </c>
      <c r="N71" s="449">
        <f>計算資料!AG125</f>
        <v>25.85</v>
      </c>
      <c r="O71" s="450">
        <f>計算資料!AH125</f>
        <v>33.56</v>
      </c>
      <c r="P71" s="403"/>
      <c r="Q71" s="403"/>
      <c r="R71" s="403"/>
      <c r="S71" s="403"/>
      <c r="T71" s="403"/>
      <c r="U71" s="403"/>
      <c r="V71" s="141"/>
      <c r="W71" s="140"/>
      <c r="AO71" s="238"/>
      <c r="AT71" s="332"/>
    </row>
    <row r="72" spans="2:46">
      <c r="B72" s="385"/>
      <c r="D72" s="242"/>
      <c r="G72" s="254"/>
      <c r="H72" s="388"/>
      <c r="I72" s="385"/>
      <c r="L72" s="386"/>
      <c r="M72" s="385"/>
      <c r="O72" s="304"/>
      <c r="P72" s="451"/>
      <c r="S72" s="452"/>
      <c r="T72" s="385"/>
      <c r="V72" s="239"/>
      <c r="W72" s="386"/>
      <c r="AO72" s="238"/>
      <c r="AT72" s="332"/>
    </row>
    <row r="73" spans="2:46">
      <c r="B73" s="385"/>
      <c r="C73" s="426" t="str">
        <f>計算資料!H124</f>
        <v>S1 15cm 頂板寬80cm  場鑄拆除</v>
      </c>
      <c r="D73" s="304"/>
      <c r="E73" s="304"/>
      <c r="F73" s="304"/>
      <c r="G73" s="304"/>
      <c r="H73" s="453"/>
      <c r="I73" s="387" t="s">
        <v>3718</v>
      </c>
      <c r="J73" s="254" t="s">
        <v>3719</v>
      </c>
      <c r="K73" s="254" t="s">
        <v>3720</v>
      </c>
      <c r="L73" s="388" t="s">
        <v>3721</v>
      </c>
      <c r="M73" s="385"/>
      <c r="N73" s="426" t="str">
        <f>計算資料!H149</f>
        <v>S2 15cm 頂板寬80cm 格柵40cm 場鑄拆除</v>
      </c>
      <c r="S73" s="452"/>
      <c r="T73" s="387" t="s">
        <v>3718</v>
      </c>
      <c r="U73" s="254" t="s">
        <v>3719</v>
      </c>
      <c r="V73" s="254" t="s">
        <v>3720</v>
      </c>
      <c r="W73" s="388" t="s">
        <v>3721</v>
      </c>
      <c r="AO73" s="238"/>
      <c r="AT73" s="332"/>
    </row>
    <row r="74" spans="2:46">
      <c r="B74" s="385"/>
      <c r="C74" s="427" t="str">
        <f>IF(計算資料!H125=0," ",計算資料!H125)</f>
        <v>餘方自行處理(含水土保持)，總重15t以下傾卸貨車</v>
      </c>
      <c r="D74" s="304"/>
      <c r="E74" s="304"/>
      <c r="F74" s="304"/>
      <c r="G74" s="304"/>
      <c r="H74" s="453"/>
      <c r="I74" s="387"/>
      <c r="K74" s="254"/>
      <c r="L74" s="388"/>
      <c r="M74" s="454" t="s">
        <v>3708</v>
      </c>
      <c r="N74" s="427" t="str">
        <f>IF(計算資料!H150=0," ",計算資料!H150)</f>
        <v>餘方自行處理(含水土保持)，總重15t以下傾卸貨車</v>
      </c>
      <c r="O74" s="188"/>
      <c r="P74" s="188"/>
      <c r="S74" s="452"/>
      <c r="T74" s="387"/>
      <c r="V74" s="254"/>
      <c r="W74" s="388"/>
      <c r="AO74" s="238"/>
      <c r="AT74" s="332"/>
    </row>
    <row r="75" spans="2:46">
      <c r="B75" s="385"/>
      <c r="C75" s="428" t="str">
        <f>IF(計算資料!H126=0," ",計算資料!H126)</f>
        <v>(0.8*0.15)</v>
      </c>
      <c r="D75" s="304"/>
      <c r="E75" s="304"/>
      <c r="F75" s="304"/>
      <c r="G75" s="304"/>
      <c r="H75" s="453"/>
      <c r="I75" s="387" t="str">
        <f>計算資料!L85</f>
        <v>既有溝寬</v>
      </c>
      <c r="J75" s="254" t="str">
        <f>計算資料!K85</f>
        <v>既有溝深</v>
      </c>
      <c r="K75" s="254" t="str">
        <f>IF(計算資料!M85=0, " ", 計算資料!M85)</f>
        <v>既有溝牆</v>
      </c>
      <c r="L75" s="388" t="str">
        <f>IF(計算資料!N85=0, " ", 計算資料!N85)</f>
        <v xml:space="preserve"> </v>
      </c>
      <c r="M75" s="454" t="s">
        <v>3708</v>
      </c>
      <c r="N75" s="428" t="str">
        <f>IF(計算資料!H151=0," ",計算資料!H151)</f>
        <v>(0.8*0.15-0.45*0.65*0.15)</v>
      </c>
      <c r="S75" s="452"/>
      <c r="T75" s="387">
        <f>計算資料!W85</f>
        <v>0</v>
      </c>
      <c r="U75" s="254">
        <f>計算資料!V85</f>
        <v>0</v>
      </c>
      <c r="V75" s="254" t="str">
        <f>IF(計算資料!X85=0, " ", 計算資料!X85)</f>
        <v xml:space="preserve"> </v>
      </c>
      <c r="W75" s="388" t="str">
        <f>IF(計算資料!Y85=0, " ", 計算資料!Y85)</f>
        <v xml:space="preserve"> </v>
      </c>
      <c r="AO75" s="238"/>
      <c r="AT75" s="332"/>
    </row>
    <row r="76" spans="2:46">
      <c r="B76" s="385"/>
      <c r="C76" s="427" t="str">
        <f>IF(計算資料!H127=0," ",計算資料!H127)</f>
        <v>結構用混凝土，預拌，280kgf/cm2</v>
      </c>
      <c r="D76" s="304"/>
      <c r="E76" s="304"/>
      <c r="F76" s="304"/>
      <c r="G76" s="304"/>
      <c r="H76" s="453"/>
      <c r="I76" s="387"/>
      <c r="K76" s="254"/>
      <c r="L76" s="388"/>
      <c r="M76" s="454" t="s">
        <v>3708</v>
      </c>
      <c r="N76" s="427" t="str">
        <f>IF(計算資料!H152=0," ",計算資料!H152)</f>
        <v>結構用混凝土，預拌，280kgf/cm2</v>
      </c>
      <c r="S76" s="452"/>
      <c r="T76" s="387"/>
      <c r="V76" s="254"/>
      <c r="W76" s="388"/>
      <c r="AO76" s="238"/>
      <c r="AT76" s="332"/>
    </row>
    <row r="77" spans="2:46">
      <c r="B77" s="385"/>
      <c r="C77" s="428" t="str">
        <f>IF(計算資料!H128=0," ",計算資料!H128)</f>
        <v>(0.8*0.15)</v>
      </c>
      <c r="D77" s="304"/>
      <c r="E77" s="304"/>
      <c r="F77" s="304"/>
      <c r="G77" s="304"/>
      <c r="H77" s="453"/>
      <c r="I77" s="387" t="str">
        <f>計算資料!L87</f>
        <v>U型半徑</v>
      </c>
      <c r="J77" s="254" t="str">
        <f>計算資料!K87</f>
        <v>扣除U型</v>
      </c>
      <c r="K77" s="254" t="str">
        <f>IF(計算資料!M87=0, " ", 計算資料!M87)</f>
        <v>鋼筋D16</v>
      </c>
      <c r="L77" s="388" t="str">
        <f>IF(計算資料!N87=0, " ", 計算資料!N87)</f>
        <v>鋼筋D13</v>
      </c>
      <c r="M77" s="454" t="s">
        <v>3708</v>
      </c>
      <c r="N77" s="428" t="str">
        <f>IF(計算資料!H153=0," ",計算資料!H153)</f>
        <v>(0.8*0.15-0.45*0.65*0.15)</v>
      </c>
      <c r="S77" s="386"/>
      <c r="T77" s="387">
        <f>計算資料!W87</f>
        <v>0</v>
      </c>
      <c r="U77" s="254">
        <f>計算資料!V87</f>
        <v>0</v>
      </c>
      <c r="V77" s="254" t="str">
        <f>IF(計算資料!X87=0, " ", 計算資料!X87)</f>
        <v xml:space="preserve"> </v>
      </c>
      <c r="W77" s="388" t="str">
        <f>IF(計算資料!Y87=0, " ", 計算資料!Y87)</f>
        <v xml:space="preserve"> </v>
      </c>
      <c r="AO77" s="238"/>
      <c r="AT77" s="332"/>
    </row>
    <row r="78" spans="2:46">
      <c r="B78" s="385"/>
      <c r="C78" s="427" t="str">
        <f>IF(計算資料!H129=0," ",計算資料!H129)</f>
        <v>鋼筋，SD280W.</v>
      </c>
      <c r="D78" s="304"/>
      <c r="E78" s="304"/>
      <c r="F78" s="304"/>
      <c r="G78" s="304"/>
      <c r="H78" s="453">
        <v>0</v>
      </c>
      <c r="I78" s="387"/>
      <c r="K78" s="254"/>
      <c r="L78" s="388"/>
      <c r="M78" s="454" t="s">
        <v>3708</v>
      </c>
      <c r="N78" s="427" t="str">
        <f>IF(計算資料!H154=0," ",計算資料!H154)</f>
        <v>鋼筋，SD280W.</v>
      </c>
      <c r="O78" s="188"/>
      <c r="P78" s="188"/>
      <c r="S78" s="386"/>
      <c r="T78" s="387"/>
      <c r="V78" s="254"/>
      <c r="W78" s="388"/>
      <c r="AO78" s="238"/>
      <c r="AT78" s="332"/>
    </row>
    <row r="79" spans="2:46">
      <c r="B79" s="385"/>
      <c r="C79" s="428">
        <f>IF(計算資料!H130=0," ",計算資料!H130)</f>
        <v>24.09</v>
      </c>
      <c r="D79" s="304"/>
      <c r="E79" s="304"/>
      <c r="F79" s="304"/>
      <c r="G79" s="304"/>
      <c r="H79" s="453">
        <v>0</v>
      </c>
      <c r="I79" s="387" t="str">
        <f>計算資料!L89</f>
        <v>U型半徑</v>
      </c>
      <c r="J79" s="254" t="str">
        <f>計算資料!K89</f>
        <v>扣除U型</v>
      </c>
      <c r="K79" s="254" t="str">
        <f>IF(計算資料!M89=0, " ", 計算資料!M89)</f>
        <v xml:space="preserve"> </v>
      </c>
      <c r="L79" s="388" t="str">
        <f>IF(計算資料!N89=0, " ", 計算資料!N89)</f>
        <v xml:space="preserve"> </v>
      </c>
      <c r="M79" s="454" t="s">
        <v>3708</v>
      </c>
      <c r="N79" s="428" t="str">
        <f>IF(計算資料!H155=0," ",計算資料!H155)</f>
        <v>7.71+25.85</v>
      </c>
      <c r="S79" s="386"/>
      <c r="T79" s="387">
        <f>計算資料!W89</f>
        <v>0</v>
      </c>
      <c r="U79" s="254">
        <f>計算資料!V89</f>
        <v>0</v>
      </c>
      <c r="V79" s="254" t="str">
        <f>IF(計算資料!X89=0, " ", 計算資料!X89)</f>
        <v xml:space="preserve"> </v>
      </c>
      <c r="W79" s="388" t="str">
        <f>IF(計算資料!Y89=0, " ", 計算資料!Y89)</f>
        <v xml:space="preserve"> </v>
      </c>
    </row>
    <row r="80" spans="2:46">
      <c r="B80" s="385"/>
      <c r="C80" s="427" t="str">
        <f>IF(計算資料!H131=0," ",計算資料!H131)</f>
        <v>(免拆模板，鋼質)，厚3mm鋼模</v>
      </c>
      <c r="D80" s="304"/>
      <c r="E80" s="304"/>
      <c r="F80" s="304"/>
      <c r="G80" s="304"/>
      <c r="H80" s="453">
        <v>0</v>
      </c>
      <c r="I80" s="387"/>
      <c r="K80" s="254"/>
      <c r="L80" s="388"/>
      <c r="M80" s="454" t="s">
        <v>3708</v>
      </c>
      <c r="N80" s="427" t="str">
        <f>IF(計算資料!H156=0," ",計算資料!H156)</f>
        <v>(免拆模板，鋼質)，厚3mm鋼模</v>
      </c>
      <c r="S80" s="386"/>
      <c r="T80" s="387"/>
      <c r="V80" s="254"/>
      <c r="W80" s="388"/>
      <c r="AO80" s="433"/>
      <c r="AT80" s="400"/>
    </row>
    <row r="81" spans="2:46">
      <c r="B81" s="385"/>
      <c r="C81" s="428" t="str">
        <f>IF(計算資料!H132=0," ",計算資料!H132)</f>
        <v>0.6*1</v>
      </c>
      <c r="D81" s="304"/>
      <c r="E81" s="304"/>
      <c r="F81" s="304"/>
      <c r="G81" s="304"/>
      <c r="H81" s="453">
        <v>0</v>
      </c>
      <c r="I81" s="387">
        <f>計算資料!L91</f>
        <v>0</v>
      </c>
      <c r="J81" s="254">
        <f>計算資料!K91</f>
        <v>0</v>
      </c>
      <c r="K81" s="254" t="str">
        <f>IF(計算資料!M91=0, " ", 計算資料!M91)</f>
        <v xml:space="preserve"> </v>
      </c>
      <c r="L81" s="388" t="str">
        <f>IF(計算資料!N91=0, " ", 計算資料!N91)</f>
        <v xml:space="preserve"> </v>
      </c>
      <c r="M81" s="454" t="s">
        <v>3708</v>
      </c>
      <c r="N81" s="428" t="str">
        <f>IF(計算資料!H157=0," ",計算資料!H157)</f>
        <v>0.6*1-0.45*0.65</v>
      </c>
      <c r="S81" s="386"/>
      <c r="T81" s="387">
        <f>計算資料!W91</f>
        <v>0</v>
      </c>
      <c r="U81" s="254">
        <f>計算資料!V91</f>
        <v>0</v>
      </c>
      <c r="V81" s="254" t="str">
        <f>IF(計算資料!X91=0, " ", 計算資料!X91)</f>
        <v xml:space="preserve"> </v>
      </c>
      <c r="W81" s="388" t="str">
        <f>IF(計算資料!Y91=0, " ", 計算資料!Y91)</f>
        <v xml:space="preserve"> </v>
      </c>
      <c r="AO81" s="433"/>
      <c r="AT81" s="400"/>
    </row>
    <row r="82" spans="2:46">
      <c r="B82" s="385"/>
      <c r="C82" s="427" t="str">
        <f>IF(計算資料!H133=0," ",計算資料!H133)</f>
        <v>導線管，硬質聚氯乙烯塑膠管，標稱52mm，接線及安裝，含尼龍繩</v>
      </c>
      <c r="D82" s="304"/>
      <c r="E82" s="304"/>
      <c r="F82" s="304"/>
      <c r="G82" s="304"/>
      <c r="H82" s="453">
        <v>0</v>
      </c>
      <c r="I82" s="455">
        <v>0</v>
      </c>
      <c r="J82" s="255"/>
      <c r="K82" s="396"/>
      <c r="L82" s="397"/>
      <c r="M82" s="454" t="s">
        <v>3708</v>
      </c>
      <c r="N82" s="427" t="str">
        <f>IF(計算資料!H158=0," ",計算資料!H158)</f>
        <v>鍍鋅格柵板及框座，(框53.6cm，蓋45cm)</v>
      </c>
      <c r="O82" s="188"/>
      <c r="P82" s="188"/>
      <c r="S82" s="386"/>
      <c r="T82" s="395"/>
      <c r="U82" s="255"/>
      <c r="V82" s="396"/>
      <c r="W82" s="397"/>
      <c r="AO82" s="433"/>
      <c r="AT82" s="400"/>
    </row>
    <row r="83" spans="2:46">
      <c r="B83" s="385"/>
      <c r="C83" s="428">
        <f>IF(計算資料!H134=0," ",計算資料!H134)</f>
        <v>0.16999999999999998</v>
      </c>
      <c r="D83" s="304"/>
      <c r="E83" s="304"/>
      <c r="F83" s="304"/>
      <c r="G83" s="304"/>
      <c r="H83" s="453">
        <v>0</v>
      </c>
      <c r="I83" s="387">
        <f>計算資料!L93</f>
        <v>0</v>
      </c>
      <c r="J83" s="254">
        <f>計算資料!K93</f>
        <v>0</v>
      </c>
      <c r="K83" s="254" t="str">
        <f>IF(計算資料!M93=0, " ", 計算資料!M93)</f>
        <v xml:space="preserve"> </v>
      </c>
      <c r="L83" s="388" t="str">
        <f>IF(計算資料!N93=0, " ", 計算資料!N93)</f>
        <v xml:space="preserve"> </v>
      </c>
      <c r="M83" s="454" t="s">
        <v>3708</v>
      </c>
      <c r="N83" s="428" t="str">
        <f>IF(計算資料!H159=0," ",計算資料!H159)</f>
        <v>1</v>
      </c>
      <c r="S83" s="386"/>
      <c r="T83" s="387">
        <f>計算資料!W93</f>
        <v>0</v>
      </c>
      <c r="U83" s="254">
        <f>計算資料!V93</f>
        <v>0</v>
      </c>
      <c r="V83" s="254" t="str">
        <f>IF(計算資料!X93=0, " ", 計算資料!X93)</f>
        <v xml:space="preserve"> </v>
      </c>
      <c r="W83" s="388" t="str">
        <f>IF(計算資料!Y93=0, " ", 計算資料!Y93)</f>
        <v xml:space="preserve"> </v>
      </c>
      <c r="AO83" s="433"/>
      <c r="AT83" s="400"/>
    </row>
    <row r="84" spans="2:46">
      <c r="B84" s="385"/>
      <c r="C84" s="427" t="str">
        <f>IF(計算資料!H135=0," ",計算資料!H135)</f>
        <v>場鑄結構混凝土用模板，普通模板，丙種.</v>
      </c>
      <c r="D84" s="304"/>
      <c r="E84" s="304"/>
      <c r="F84" s="304"/>
      <c r="G84" s="304"/>
      <c r="H84" s="453">
        <v>0</v>
      </c>
      <c r="I84" s="387"/>
      <c r="K84" s="254"/>
      <c r="L84" s="388"/>
      <c r="M84" s="454" t="s">
        <v>3708</v>
      </c>
      <c r="N84" s="427" t="str">
        <f>IF(計算資料!H160=0," ",計算資料!H160)</f>
        <v>場鑄結構混凝土用模板，普通模板，丙種.</v>
      </c>
      <c r="S84" s="386"/>
      <c r="T84" s="387"/>
      <c r="V84" s="254"/>
      <c r="W84" s="388"/>
      <c r="AO84" s="433"/>
      <c r="AT84" s="400"/>
    </row>
    <row r="85" spans="2:46">
      <c r="B85" s="385"/>
      <c r="C85" s="428" t="str">
        <f>IF(計算資料!H136=0," ",計算資料!H136)</f>
        <v>1*0.15</v>
      </c>
      <c r="D85" s="304"/>
      <c r="E85" s="304"/>
      <c r="F85" s="304"/>
      <c r="G85" s="304"/>
      <c r="H85" s="453">
        <v>0</v>
      </c>
      <c r="I85" s="387">
        <f>計算資料!L95</f>
        <v>0</v>
      </c>
      <c r="J85" s="254">
        <f>計算資料!K95</f>
        <v>0</v>
      </c>
      <c r="K85" s="254" t="str">
        <f>IF(計算資料!M95=0, " ", 計算資料!M95)</f>
        <v xml:space="preserve"> </v>
      </c>
      <c r="L85" s="388" t="str">
        <f>IF(計算資料!N95=0, " ", 計算資料!N95)</f>
        <v xml:space="preserve"> </v>
      </c>
      <c r="M85" s="454" t="s">
        <v>3708</v>
      </c>
      <c r="N85" s="428" t="str">
        <f>IF(計算資料!H161=0," ",計算資料!H161)</f>
        <v>(0.45+0.65)*0.15*2+1*0.15</v>
      </c>
      <c r="S85" s="386"/>
      <c r="T85" s="387" t="str">
        <f>計算資料!W95</f>
        <v>側溝更新 寬0cm*平均深0cm</v>
      </c>
      <c r="U85" s="254">
        <f>計算資料!V95</f>
        <v>0</v>
      </c>
      <c r="V85" s="254" t="str">
        <f>IF(計算資料!X95=0, " ", 計算資料!X95)</f>
        <v xml:space="preserve"> </v>
      </c>
      <c r="W85" s="388" t="str">
        <f>IF(計算資料!Y95=0, " ", 計算資料!Y95)</f>
        <v xml:space="preserve"> </v>
      </c>
      <c r="AO85" s="433"/>
      <c r="AT85" s="400"/>
    </row>
    <row r="86" spans="2:46">
      <c r="B86" s="385"/>
      <c r="C86" s="427" t="str">
        <f>IF(計算資料!H137=0," ",計算資料!H137)</f>
        <v xml:space="preserve"> </v>
      </c>
      <c r="D86" s="304"/>
      <c r="E86" s="304"/>
      <c r="F86" s="304"/>
      <c r="G86" s="304"/>
      <c r="H86" s="453">
        <v>0</v>
      </c>
      <c r="I86" s="395"/>
      <c r="J86" s="255"/>
      <c r="K86" s="396"/>
      <c r="L86" s="397"/>
      <c r="M86" s="454" t="s">
        <v>3708</v>
      </c>
      <c r="N86" s="427" t="str">
        <f>IF(計算資料!H162=0," ",計算資料!H162)</f>
        <v xml:space="preserve"> </v>
      </c>
      <c r="P86" s="188"/>
      <c r="S86" s="386"/>
      <c r="T86" s="395"/>
      <c r="U86" s="255"/>
      <c r="V86" s="396"/>
      <c r="W86" s="397"/>
      <c r="AO86" s="433"/>
      <c r="AT86" s="400"/>
    </row>
    <row r="87" spans="2:46">
      <c r="B87" s="385"/>
      <c r="C87" s="428" t="str">
        <f>IF(計算資料!H138=0," ",計算資料!H138)</f>
        <v xml:space="preserve"> </v>
      </c>
      <c r="D87" s="304"/>
      <c r="E87" s="304"/>
      <c r="F87" s="304"/>
      <c r="G87" s="304"/>
      <c r="H87" s="453"/>
      <c r="I87" s="387">
        <f>計算資料!L97</f>
        <v>0</v>
      </c>
      <c r="J87" s="254">
        <f>計算資料!K97</f>
        <v>0</v>
      </c>
      <c r="K87" s="254" t="str">
        <f>IF(計算資料!M97=0, " ", 計算資料!M97)</f>
        <v xml:space="preserve"> </v>
      </c>
      <c r="L87" s="388" t="str">
        <f>IF(計算資料!N97=0, " ", 計算資料!N97)</f>
        <v xml:space="preserve"> </v>
      </c>
      <c r="M87" s="454" t="s">
        <v>3708</v>
      </c>
      <c r="N87" s="428" t="str">
        <f>IF(計算資料!H163=0," ",計算資料!H163)</f>
        <v xml:space="preserve"> </v>
      </c>
      <c r="S87" s="386"/>
      <c r="T87" s="387" t="b">
        <f>計算資料!W97</f>
        <v>0</v>
      </c>
      <c r="U87" s="254">
        <f>計算資料!V97</f>
        <v>0</v>
      </c>
      <c r="V87" s="254" t="str">
        <f>IF(計算資料!X97=0, " ", 計算資料!X97)</f>
        <v xml:space="preserve"> </v>
      </c>
      <c r="W87" s="388" t="str">
        <f>IF(計算資料!Y97=0, " ", 計算資料!Y97)</f>
        <v xml:space="preserve"> </v>
      </c>
      <c r="AO87" s="433"/>
      <c r="AT87" s="400"/>
    </row>
    <row r="88" spans="2:46">
      <c r="B88" s="385"/>
      <c r="C88" s="427" t="str">
        <f>IF(計算資料!H139=0," ",計算資料!H139)</f>
        <v xml:space="preserve"> </v>
      </c>
      <c r="H88" s="453"/>
      <c r="I88" s="387"/>
      <c r="K88" s="254"/>
      <c r="L88" s="388"/>
      <c r="M88" s="454" t="s">
        <v>3708</v>
      </c>
      <c r="N88" s="427" t="str">
        <f>IF(計算資料!H164=0," ",計算資料!H164)</f>
        <v xml:space="preserve"> </v>
      </c>
      <c r="O88" s="304"/>
      <c r="P88" s="451"/>
      <c r="S88" s="386"/>
      <c r="T88" s="387"/>
      <c r="V88" s="254"/>
      <c r="W88" s="388"/>
      <c r="AO88" s="433"/>
      <c r="AT88" s="400"/>
    </row>
    <row r="89" spans="2:46">
      <c r="B89" s="385"/>
      <c r="C89" s="428" t="str">
        <f>IF(計算資料!H140=0," ",計算資料!H140)</f>
        <v xml:space="preserve"> </v>
      </c>
      <c r="H89" s="453"/>
      <c r="I89" s="387">
        <f>計算資料!L99</f>
        <v>0</v>
      </c>
      <c r="J89" s="254">
        <f>計算資料!K99</f>
        <v>0</v>
      </c>
      <c r="K89" s="254" t="str">
        <f>IF(計算資料!M99=0, " ", 計算資料!M99)</f>
        <v xml:space="preserve"> </v>
      </c>
      <c r="L89" s="388" t="str">
        <f>IF(計算資料!N99=0, " ", 計算資料!N99)</f>
        <v xml:space="preserve"> </v>
      </c>
      <c r="M89" s="454" t="s">
        <v>3708</v>
      </c>
      <c r="N89" s="428" t="str">
        <f>IF(計算資料!H165=0," ",計算資料!H165)</f>
        <v xml:space="preserve"> </v>
      </c>
      <c r="O89" s="304"/>
      <c r="P89" s="451"/>
      <c r="S89" s="386"/>
      <c r="T89" s="387" t="b">
        <f>計算資料!W99</f>
        <v>0</v>
      </c>
      <c r="U89" s="254">
        <f>計算資料!V99</f>
        <v>0</v>
      </c>
      <c r="V89" s="254" t="str">
        <f>IF(計算資料!X99=0, " ", 計算資料!X99)</f>
        <v xml:space="preserve"> </v>
      </c>
      <c r="W89" s="388" t="str">
        <f>IF(計算資料!Y99=0, " ", 計算資料!Y99)</f>
        <v xml:space="preserve"> </v>
      </c>
      <c r="AO89" s="433"/>
      <c r="AT89" s="400"/>
    </row>
    <row r="90" spans="2:46">
      <c r="B90" s="385"/>
      <c r="C90" s="427" t="str">
        <f>IF(計算資料!H141=0," ",計算資料!H141)</f>
        <v xml:space="preserve"> </v>
      </c>
      <c r="H90" s="453"/>
      <c r="I90" s="387"/>
      <c r="K90" s="254"/>
      <c r="L90" s="388"/>
      <c r="M90" s="424" t="s">
        <v>2</v>
      </c>
      <c r="N90" s="427" t="str">
        <f>IF(計算資料!H166=0," ",計算資料!H166)</f>
        <v xml:space="preserve"> </v>
      </c>
      <c r="O90" s="304"/>
      <c r="P90" s="451"/>
      <c r="S90" s="386"/>
      <c r="T90" s="387"/>
      <c r="V90" s="254"/>
      <c r="W90" s="388"/>
      <c r="AO90" s="433"/>
      <c r="AT90" s="400"/>
    </row>
    <row r="91" spans="2:46">
      <c r="B91" s="385"/>
      <c r="C91" s="428" t="str">
        <f>IF(計算資料!H142=0," ",計算資料!H142)</f>
        <v xml:space="preserve"> </v>
      </c>
      <c r="H91" s="453"/>
      <c r="I91" s="387">
        <f>計算資料!L101</f>
        <v>0</v>
      </c>
      <c r="J91" s="254">
        <f>計算資料!K101</f>
        <v>0</v>
      </c>
      <c r="K91" s="254" t="str">
        <f>IF(計算資料!M101=0, " ", 計算資料!M101)</f>
        <v xml:space="preserve"> </v>
      </c>
      <c r="L91" s="388" t="str">
        <f>IF(計算資料!N101=0, " ", 計算資料!N101)</f>
        <v xml:space="preserve"> </v>
      </c>
      <c r="M91" s="385"/>
      <c r="N91" s="428" t="str">
        <f>IF(計算資料!H167=0," ",計算資料!H167)</f>
        <v xml:space="preserve"> </v>
      </c>
      <c r="O91" s="304"/>
      <c r="P91" s="451"/>
      <c r="S91" s="386"/>
      <c r="T91" s="387" t="str">
        <f>計算資料!W101</f>
        <v>(0*(0.47-0)+((0.9-0)*(0.47+0.25)))*0.8</v>
      </c>
      <c r="U91" s="254">
        <f>計算資料!V101</f>
        <v>0</v>
      </c>
      <c r="V91" s="254" t="str">
        <f>IF(計算資料!X101=0, " ", 計算資料!X101)</f>
        <v xml:space="preserve"> </v>
      </c>
      <c r="W91" s="388" t="str">
        <f>IF(計算資料!Y101=0, " ", 計算資料!Y101)</f>
        <v xml:space="preserve"> </v>
      </c>
      <c r="AO91" s="433"/>
      <c r="AT91" s="400"/>
    </row>
    <row r="92" spans="2:46" ht="17.25" thickBot="1">
      <c r="B92" s="402"/>
      <c r="C92" s="432"/>
      <c r="D92" s="403"/>
      <c r="E92" s="403"/>
      <c r="F92" s="403"/>
      <c r="G92" s="403"/>
      <c r="H92" s="456"/>
      <c r="I92" s="405"/>
      <c r="J92" s="403"/>
      <c r="K92" s="404"/>
      <c r="L92" s="406"/>
      <c r="M92" s="402"/>
      <c r="N92" s="457"/>
      <c r="O92" s="457"/>
      <c r="P92" s="458"/>
      <c r="Q92" s="403"/>
      <c r="R92" s="403"/>
      <c r="S92" s="459"/>
      <c r="T92" s="405"/>
      <c r="U92" s="403"/>
      <c r="V92" s="404"/>
      <c r="W92" s="406"/>
      <c r="AO92" s="433"/>
      <c r="AT92" s="400"/>
    </row>
    <row r="93" spans="2:46" ht="17.25" thickBot="1">
      <c r="Q93" s="446" t="s">
        <v>3782</v>
      </c>
      <c r="AO93" s="433"/>
      <c r="AT93" s="400"/>
    </row>
    <row r="94" spans="2:46">
      <c r="B94" s="1400" t="s">
        <v>3733</v>
      </c>
      <c r="C94" s="1456"/>
      <c r="D94" s="460" t="s">
        <v>3692</v>
      </c>
      <c r="E94" s="373" t="s">
        <v>3693</v>
      </c>
      <c r="F94" s="373" t="s">
        <v>3694</v>
      </c>
      <c r="G94" s="373" t="s">
        <v>3695</v>
      </c>
      <c r="H94" s="374"/>
      <c r="I94" s="1400" t="s">
        <v>3783</v>
      </c>
      <c r="J94" s="1444"/>
      <c r="K94" s="460" t="s">
        <v>3692</v>
      </c>
      <c r="L94" s="373" t="s">
        <v>3693</v>
      </c>
      <c r="M94" s="373" t="s">
        <v>3746</v>
      </c>
      <c r="N94" s="373" t="s">
        <v>3784</v>
      </c>
      <c r="O94" s="461"/>
      <c r="P94" s="1400" t="s">
        <v>3785</v>
      </c>
      <c r="Q94" s="1444"/>
      <c r="R94" s="460" t="s">
        <v>3692</v>
      </c>
      <c r="S94" s="373" t="s">
        <v>3693</v>
      </c>
      <c r="T94" s="373" t="s">
        <v>3784</v>
      </c>
      <c r="U94" s="373" t="s">
        <v>3786</v>
      </c>
      <c r="V94" s="462"/>
      <c r="AO94" s="433"/>
      <c r="AT94" s="400"/>
    </row>
    <row r="95" spans="2:46" ht="17.25" thickBot="1">
      <c r="B95" s="1445"/>
      <c r="C95" s="1446"/>
      <c r="D95" s="463" t="s">
        <v>3787</v>
      </c>
      <c r="E95" s="375" t="s">
        <v>3672</v>
      </c>
      <c r="F95" s="375" t="s">
        <v>3788</v>
      </c>
      <c r="G95" s="375" t="s">
        <v>3679</v>
      </c>
      <c r="H95" s="376"/>
      <c r="I95" s="1445"/>
      <c r="J95" s="1446"/>
      <c r="K95" s="463" t="s">
        <v>3787</v>
      </c>
      <c r="L95" s="375" t="s">
        <v>3672</v>
      </c>
      <c r="M95" s="375" t="s">
        <v>3789</v>
      </c>
      <c r="N95" s="375" t="s">
        <v>2981</v>
      </c>
      <c r="O95" s="464"/>
      <c r="P95" s="1445"/>
      <c r="Q95" s="1446"/>
      <c r="R95" s="463" t="s">
        <v>3787</v>
      </c>
      <c r="S95" s="375" t="s">
        <v>2977</v>
      </c>
      <c r="T95" s="375" t="s">
        <v>2981</v>
      </c>
      <c r="U95" s="465" t="s">
        <v>3790</v>
      </c>
      <c r="V95" s="466"/>
      <c r="AO95" s="433"/>
      <c r="AT95" s="400"/>
    </row>
    <row r="96" spans="2:46">
      <c r="B96" s="467" t="s">
        <v>3698</v>
      </c>
      <c r="C96" s="468" t="s">
        <v>3697</v>
      </c>
      <c r="D96" s="378" t="s">
        <v>3699</v>
      </c>
      <c r="E96" s="378" t="s">
        <v>3701</v>
      </c>
      <c r="F96" s="378" t="s">
        <v>3700</v>
      </c>
      <c r="G96" s="378" t="s">
        <v>3702</v>
      </c>
      <c r="H96" s="376"/>
      <c r="I96" s="469" t="s">
        <v>3737</v>
      </c>
      <c r="J96" s="470" t="s">
        <v>3738</v>
      </c>
      <c r="K96" s="471" t="s">
        <v>3786</v>
      </c>
      <c r="L96" s="349"/>
      <c r="M96" s="349"/>
      <c r="N96" s="349"/>
      <c r="O96" s="376"/>
      <c r="P96" s="472" t="s">
        <v>3791</v>
      </c>
      <c r="Q96" s="473" t="s">
        <v>3792</v>
      </c>
      <c r="R96" s="474" t="s">
        <v>3793</v>
      </c>
      <c r="S96" s="474" t="s">
        <v>3794</v>
      </c>
      <c r="T96" s="474" t="s">
        <v>3795</v>
      </c>
      <c r="U96" s="349"/>
      <c r="V96" s="215"/>
    </row>
    <row r="97" spans="2:46" ht="17.25" thickBot="1">
      <c r="B97" s="379">
        <v>60</v>
      </c>
      <c r="C97" s="380">
        <v>80</v>
      </c>
      <c r="D97" s="380">
        <v>20</v>
      </c>
      <c r="E97" s="380">
        <v>40</v>
      </c>
      <c r="F97" s="380">
        <v>40</v>
      </c>
      <c r="G97" s="380">
        <v>20</v>
      </c>
      <c r="H97" s="475"/>
      <c r="I97" s="439" t="s">
        <v>3778</v>
      </c>
      <c r="J97" s="441" t="s">
        <v>3796</v>
      </c>
      <c r="K97" s="441" t="s">
        <v>3797</v>
      </c>
      <c r="L97" s="366"/>
      <c r="M97" s="366"/>
      <c r="N97" s="366"/>
      <c r="O97" s="475"/>
      <c r="P97" s="476" t="s">
        <v>3798</v>
      </c>
      <c r="Q97" s="477" t="s">
        <v>2</v>
      </c>
      <c r="R97" s="478"/>
      <c r="S97" s="478"/>
      <c r="T97" s="478"/>
      <c r="U97" s="366"/>
      <c r="V97" s="129"/>
    </row>
    <row r="98" spans="2:46" ht="17.25" thickBot="1">
      <c r="B98" s="1415" t="s">
        <v>3799</v>
      </c>
      <c r="C98" s="1416"/>
      <c r="D98" s="1417"/>
      <c r="E98" s="1415" t="s">
        <v>3735</v>
      </c>
      <c r="F98" s="1416"/>
      <c r="G98" s="1417"/>
      <c r="H98" s="416"/>
      <c r="I98" s="1415" t="s">
        <v>3734</v>
      </c>
      <c r="J98" s="1416"/>
      <c r="K98" s="1417"/>
      <c r="L98" s="1415" t="s">
        <v>3735</v>
      </c>
      <c r="M98" s="1416"/>
      <c r="N98" s="1417"/>
      <c r="O98" s="416"/>
      <c r="P98" s="479"/>
      <c r="Q98" s="480"/>
      <c r="R98" s="480"/>
      <c r="S98" s="480"/>
      <c r="T98" s="480"/>
      <c r="U98" s="480"/>
      <c r="V98" s="481"/>
      <c r="AO98" s="433"/>
      <c r="AT98" s="400"/>
    </row>
    <row r="99" spans="2:46">
      <c r="B99" s="346" t="s">
        <v>3739</v>
      </c>
      <c r="C99" s="347" t="s">
        <v>3740</v>
      </c>
      <c r="D99" s="365" t="s">
        <v>3768</v>
      </c>
      <c r="E99" s="346" t="s">
        <v>3739</v>
      </c>
      <c r="F99" s="347" t="s">
        <v>3740</v>
      </c>
      <c r="G99" s="365" t="s">
        <v>3768</v>
      </c>
      <c r="H99" s="418" t="s">
        <v>3742</v>
      </c>
      <c r="I99" s="346" t="s">
        <v>3739</v>
      </c>
      <c r="J99" s="347" t="s">
        <v>3740</v>
      </c>
      <c r="K99" s="365" t="s">
        <v>3768</v>
      </c>
      <c r="L99" s="346" t="s">
        <v>3739</v>
      </c>
      <c r="M99" s="347" t="s">
        <v>3740</v>
      </c>
      <c r="N99" s="365" t="s">
        <v>3768</v>
      </c>
      <c r="O99" s="418" t="s">
        <v>3742</v>
      </c>
      <c r="P99" s="348"/>
      <c r="Q99" s="349"/>
      <c r="R99" s="482"/>
      <c r="S99" s="482"/>
      <c r="T99" s="482"/>
      <c r="U99" s="482"/>
      <c r="V99" s="483"/>
      <c r="AO99" s="433"/>
      <c r="AT99" s="400"/>
    </row>
    <row r="100" spans="2:46" ht="17.25" thickBot="1">
      <c r="B100" s="419">
        <f>(B97+30)+(C97+30)*2+(15*2)</f>
        <v>340</v>
      </c>
      <c r="C100" s="366">
        <v>7</v>
      </c>
      <c r="D100" s="484">
        <f>ROUND((B100/100)*C100*1.56,2)</f>
        <v>37.130000000000003</v>
      </c>
      <c r="E100" s="419">
        <v>100</v>
      </c>
      <c r="F100" s="366">
        <f>((ROUND((B97)/15,0))+1)+(ROUND((C97+15)/15,0))*2</f>
        <v>17</v>
      </c>
      <c r="G100" s="421">
        <f>ROUND((E100/100)*F100*0.994,2)</f>
        <v>16.899999999999999</v>
      </c>
      <c r="H100" s="423">
        <f>D100+G100</f>
        <v>54.03</v>
      </c>
      <c r="I100" s="419">
        <f>計算資料!BN88</f>
        <v>100</v>
      </c>
      <c r="J100" s="485" t="str">
        <f>計算資料!BO88</f>
        <v>14</v>
      </c>
      <c r="K100" s="484">
        <f>計算資料!BP88</f>
        <v>13.92</v>
      </c>
      <c r="L100" s="419">
        <f>計算資料!BQ88</f>
        <v>100</v>
      </c>
      <c r="M100" s="366">
        <f>計算資料!BR88</f>
        <v>16</v>
      </c>
      <c r="N100" s="421">
        <f>計算資料!BS88</f>
        <v>15.9</v>
      </c>
      <c r="O100" s="423">
        <f>計算資料!BT88</f>
        <v>29.82</v>
      </c>
      <c r="P100" s="419"/>
      <c r="Q100" s="366"/>
      <c r="R100" s="486"/>
      <c r="S100" s="486"/>
      <c r="T100" s="486"/>
      <c r="U100" s="486"/>
      <c r="V100" s="487"/>
      <c r="AO100" s="433"/>
      <c r="AT100" s="400"/>
    </row>
    <row r="101" spans="2:46">
      <c r="B101" s="382"/>
      <c r="C101" s="383"/>
      <c r="D101" s="488"/>
      <c r="E101" s="383"/>
      <c r="F101" s="383"/>
      <c r="G101" s="384"/>
      <c r="H101" s="489"/>
      <c r="I101" s="385"/>
      <c r="K101" s="304"/>
      <c r="L101" s="304"/>
      <c r="M101" s="304"/>
      <c r="N101" s="304"/>
      <c r="O101" s="386"/>
      <c r="P101" s="385"/>
      <c r="R101" s="304"/>
      <c r="S101" s="304"/>
      <c r="T101" s="304"/>
      <c r="U101" s="304"/>
      <c r="V101" s="386"/>
      <c r="AO101" s="433"/>
      <c r="AT101" s="400"/>
    </row>
    <row r="102" spans="2:46">
      <c r="B102" s="385"/>
      <c r="C102" s="254" t="str">
        <f>計算資料!H95</f>
        <v>新設暗溝 寬50cm*平均深47cm</v>
      </c>
      <c r="E102" s="254"/>
      <c r="H102" s="386"/>
      <c r="I102" s="490" t="s">
        <v>2</v>
      </c>
      <c r="J102" s="254" t="s">
        <v>3800</v>
      </c>
      <c r="K102" s="304"/>
      <c r="L102" s="304"/>
      <c r="M102" s="304"/>
      <c r="N102" s="304"/>
      <c r="O102" s="386"/>
      <c r="P102" s="490" t="s">
        <v>2</v>
      </c>
      <c r="Q102" s="254"/>
      <c r="R102" s="304"/>
      <c r="S102" s="304"/>
      <c r="T102" s="304"/>
      <c r="U102" s="304"/>
      <c r="V102" s="386"/>
      <c r="AO102" s="433"/>
      <c r="AT102" s="400"/>
    </row>
    <row r="103" spans="2:46">
      <c r="B103" s="385"/>
      <c r="C103" s="389" t="str">
        <f>IF(計算資料!H96=0," ",計算資料!H96)</f>
        <v>餘方自行處理(含水土保持)，總重15t以下傾卸貨車</v>
      </c>
      <c r="D103" s="188"/>
      <c r="E103" s="188"/>
      <c r="F103" s="188"/>
      <c r="G103" s="188"/>
      <c r="H103" s="386"/>
      <c r="I103" s="372" t="s">
        <v>2</v>
      </c>
      <c r="J103" s="491" t="str">
        <f>IF(計算資料!BL60=0," ",計算資料!BL60)</f>
        <v>餘方自行處理(含水土保持)，總重15t以下傾卸貨車</v>
      </c>
      <c r="K103" s="304"/>
      <c r="L103" s="304"/>
      <c r="M103" s="304"/>
      <c r="N103" s="304"/>
      <c r="O103" s="386"/>
      <c r="P103" s="372" t="s">
        <v>2</v>
      </c>
      <c r="Q103" s="491"/>
      <c r="R103" s="304"/>
      <c r="S103" s="304"/>
      <c r="T103" s="304"/>
      <c r="U103" s="304"/>
      <c r="V103" s="386"/>
      <c r="W103" s="372" t="s">
        <v>2</v>
      </c>
      <c r="AO103" s="433"/>
      <c r="AT103" s="400"/>
    </row>
    <row r="104" spans="2:46">
      <c r="B104" s="385"/>
      <c r="C104" s="390" t="str">
        <f>IF(計算資料!H97=0," ",計算資料!H97)</f>
        <v>(0.9*(0.47+0.25))</v>
      </c>
      <c r="H104" s="386"/>
      <c r="I104" s="372" t="s">
        <v>2</v>
      </c>
      <c r="J104" s="390" t="str">
        <f>IF(計算資料!BL61=0," ",計算資料!BL61)</f>
        <v>(0.9*(0.2+0.1))</v>
      </c>
      <c r="K104" s="304"/>
      <c r="L104" s="304"/>
      <c r="M104" s="304"/>
      <c r="N104" s="304"/>
      <c r="O104" s="386"/>
      <c r="P104" s="372" t="s">
        <v>2</v>
      </c>
      <c r="Q104" s="492"/>
      <c r="R104" s="304"/>
      <c r="S104" s="304"/>
      <c r="T104" s="304"/>
      <c r="U104" s="304"/>
      <c r="V104" s="386"/>
      <c r="W104" s="372" t="s">
        <v>2</v>
      </c>
      <c r="AO104" s="433"/>
      <c r="AT104" s="400"/>
    </row>
    <row r="105" spans="2:46">
      <c r="B105" s="385"/>
      <c r="C105" s="389" t="str">
        <f>IF(計算資料!H98=0," ",計算資料!H98)</f>
        <v>結構用混凝土，預拌，140kgf/cm2</v>
      </c>
      <c r="H105" s="386"/>
      <c r="I105" s="372" t="s">
        <v>2</v>
      </c>
      <c r="J105" s="491" t="str">
        <f>IF(計算資料!BL62=0," ",計算資料!BL62)</f>
        <v>結構用混凝土，預拌，210kgf/cm2</v>
      </c>
      <c r="K105" s="304"/>
      <c r="L105" s="304"/>
      <c r="M105" s="304"/>
      <c r="N105" s="304"/>
      <c r="O105" s="386"/>
      <c r="P105" s="372" t="s">
        <v>2</v>
      </c>
      <c r="Q105" s="491"/>
      <c r="R105" s="304"/>
      <c r="S105" s="304"/>
      <c r="T105" s="304"/>
      <c r="U105" s="304"/>
      <c r="V105" s="386"/>
      <c r="W105" s="372" t="s">
        <v>2</v>
      </c>
      <c r="AO105" s="433"/>
      <c r="AT105" s="400"/>
    </row>
    <row r="106" spans="2:46">
      <c r="B106" s="385"/>
      <c r="C106" s="390" t="str">
        <f>IF(計算資料!H99=0," ",計算資料!H99)</f>
        <v>(0.5+0.2+0.2)*0.05</v>
      </c>
      <c r="H106" s="386"/>
      <c r="I106" s="372" t="s">
        <v>2</v>
      </c>
      <c r="J106" s="390" t="str">
        <f>IF(計算資料!BL63=0," ",計算資料!BL63)</f>
        <v>(0.9*(0.2))</v>
      </c>
      <c r="K106" s="304"/>
      <c r="L106" s="304"/>
      <c r="M106" s="304"/>
      <c r="N106" s="304"/>
      <c r="O106" s="386"/>
      <c r="P106" s="372" t="s">
        <v>2</v>
      </c>
      <c r="Q106" s="492"/>
      <c r="R106" s="304"/>
      <c r="S106" s="304"/>
      <c r="T106" s="304"/>
      <c r="U106" s="304"/>
      <c r="V106" s="386"/>
      <c r="W106" s="372" t="s">
        <v>2</v>
      </c>
      <c r="AO106" s="433"/>
      <c r="AT106" s="400"/>
    </row>
    <row r="107" spans="2:46">
      <c r="B107" s="385"/>
      <c r="C107" s="389" t="str">
        <f>IF(計算資料!H100=0," ",計算資料!H100)</f>
        <v>結構用混凝土，預拌，210kgf/cm2</v>
      </c>
      <c r="D107" s="188"/>
      <c r="E107" s="188"/>
      <c r="F107" s="188"/>
      <c r="G107" s="188"/>
      <c r="H107" s="386"/>
      <c r="I107" s="372" t="s">
        <v>2</v>
      </c>
      <c r="J107" s="491" t="str">
        <f>IF(計算資料!BL64=0," ",計算資料!BL64)</f>
        <v>鋼筋，SD280W.</v>
      </c>
      <c r="K107" s="304"/>
      <c r="L107" s="304"/>
      <c r="M107" s="304"/>
      <c r="N107" s="304"/>
      <c r="O107" s="386"/>
      <c r="P107" s="372" t="s">
        <v>2</v>
      </c>
      <c r="Q107" s="389"/>
      <c r="R107" s="304"/>
      <c r="S107" s="304"/>
      <c r="T107" s="304"/>
      <c r="U107" s="304"/>
      <c r="V107" s="386"/>
      <c r="W107" s="372" t="s">
        <v>2</v>
      </c>
      <c r="AO107" s="433"/>
      <c r="AT107" s="400"/>
    </row>
    <row r="108" spans="2:46">
      <c r="B108" s="385"/>
      <c r="C108" s="390" t="str">
        <f>IF(計算資料!H101=0," ",計算資料!H101)</f>
        <v>(0.9*(0.47+0.2)-(0.22*0.5)-((0.25^2)*3.14*0.5))*1.05</v>
      </c>
      <c r="H108" s="386"/>
      <c r="I108" s="372" t="s">
        <v>2</v>
      </c>
      <c r="J108" s="390" t="str">
        <f>IF(計算資料!BL65=0," ",計算資料!BL65)</f>
        <v>13.92+15.9</v>
      </c>
      <c r="K108" s="304"/>
      <c r="L108" s="304"/>
      <c r="M108" s="304"/>
      <c r="N108" s="304"/>
      <c r="O108" s="386"/>
      <c r="P108" s="372" t="s">
        <v>2</v>
      </c>
      <c r="Q108" s="493"/>
      <c r="R108" s="304"/>
      <c r="S108" s="304"/>
      <c r="T108" s="304"/>
      <c r="U108" s="304"/>
      <c r="V108" s="386"/>
      <c r="W108" s="372" t="s">
        <v>2</v>
      </c>
      <c r="AO108" s="433"/>
      <c r="AT108" s="400"/>
    </row>
    <row r="109" spans="2:46">
      <c r="B109" s="385"/>
      <c r="C109" s="389" t="str">
        <f>IF(計算資料!H102=0," ",計算資料!H102)</f>
        <v>鋼製模板，U型溝用，W=40cm，L=120cm.</v>
      </c>
      <c r="H109" s="386"/>
      <c r="I109" s="372" t="s">
        <v>2</v>
      </c>
      <c r="J109" s="491" t="str">
        <f>IF(計算資料!BL66=0," ",計算資料!BL66)</f>
        <v>(免拆模板，鋼質)，厚3mm鋼模</v>
      </c>
      <c r="K109" s="304"/>
      <c r="L109" s="304"/>
      <c r="M109" s="304"/>
      <c r="N109" s="304"/>
      <c r="O109" s="386"/>
      <c r="P109" s="372" t="s">
        <v>2</v>
      </c>
      <c r="Q109" s="491"/>
      <c r="R109" s="304"/>
      <c r="S109" s="304"/>
      <c r="T109" s="304"/>
      <c r="U109" s="304"/>
      <c r="V109" s="386"/>
      <c r="W109" s="372" t="s">
        <v>2</v>
      </c>
      <c r="X109" s="239"/>
      <c r="Y109" s="239"/>
      <c r="Z109" s="239"/>
      <c r="AA109" s="239"/>
      <c r="AB109" s="239"/>
      <c r="AC109" s="239"/>
      <c r="AD109" s="239"/>
      <c r="AE109" s="239"/>
      <c r="AF109" s="239"/>
      <c r="AG109" s="239"/>
      <c r="AO109" s="433"/>
      <c r="AT109" s="400"/>
    </row>
    <row r="110" spans="2:46">
      <c r="B110" s="385"/>
      <c r="C110" s="390" t="str">
        <f>IF(計算資料!H103=0," ",計算資料!H103)</f>
        <v>1</v>
      </c>
      <c r="H110" s="386"/>
      <c r="I110" s="372" t="s">
        <v>2</v>
      </c>
      <c r="J110" s="390" t="str">
        <f>IF(計算資料!BL67=0," ",計算資料!BL67)</f>
        <v>0.7*1</v>
      </c>
      <c r="K110" s="304"/>
      <c r="L110" s="304"/>
      <c r="M110" s="304"/>
      <c r="N110" s="304"/>
      <c r="O110" s="386"/>
      <c r="P110" s="372" t="s">
        <v>2</v>
      </c>
      <c r="Q110" s="494"/>
      <c r="R110" s="304"/>
      <c r="S110" s="304"/>
      <c r="T110" s="304"/>
      <c r="U110" s="304"/>
      <c r="V110" s="386"/>
      <c r="W110" s="372" t="s">
        <v>2</v>
      </c>
      <c r="X110" s="239"/>
      <c r="Y110" s="239"/>
      <c r="Z110" s="239"/>
      <c r="AA110" s="239"/>
      <c r="AB110" s="239"/>
      <c r="AC110" s="239"/>
      <c r="AD110" s="239"/>
      <c r="AE110" s="239"/>
      <c r="AF110" s="239"/>
      <c r="AG110" s="239"/>
      <c r="AO110" s="433"/>
      <c r="AT110" s="400"/>
    </row>
    <row r="111" spans="2:46">
      <c r="B111" s="385"/>
      <c r="C111" s="389" t="str">
        <f>IF(計算資料!H104=0," ",計算資料!H104)</f>
        <v>鋼筋，SD280W.</v>
      </c>
      <c r="D111" s="188"/>
      <c r="E111" s="394"/>
      <c r="F111" s="188"/>
      <c r="G111" s="188"/>
      <c r="H111" s="386"/>
      <c r="I111" s="372" t="s">
        <v>2</v>
      </c>
      <c r="J111" s="491" t="str">
        <f>IF(計算資料!BL70=0," ",計算資料!BL70)</f>
        <v>瀝青混凝土舖面，粗粒料9.5mm，針入度60-70，緊急搶修工程用，舖築及滾壓另計</v>
      </c>
      <c r="K111" s="304"/>
      <c r="L111" s="304"/>
      <c r="M111" s="304"/>
      <c r="N111" s="304"/>
      <c r="O111" s="386"/>
      <c r="P111" s="372" t="s">
        <v>2</v>
      </c>
      <c r="Q111" s="491"/>
      <c r="R111" s="304"/>
      <c r="S111" s="304"/>
      <c r="T111" s="304"/>
      <c r="U111" s="304"/>
      <c r="V111" s="386"/>
      <c r="W111" s="372" t="s">
        <v>2</v>
      </c>
      <c r="X111" s="239"/>
      <c r="Y111" s="239"/>
      <c r="Z111" s="239"/>
      <c r="AA111" s="239"/>
      <c r="AB111" s="239"/>
      <c r="AC111" s="239"/>
      <c r="AD111" s="239"/>
      <c r="AE111" s="239"/>
      <c r="AF111" s="239"/>
      <c r="AG111" s="239"/>
      <c r="AO111" s="433"/>
      <c r="AT111" s="400"/>
    </row>
    <row r="112" spans="2:46">
      <c r="B112" s="385"/>
      <c r="C112" s="390" t="str">
        <f>IF(計算資料!H105=0," ",計算資料!H105)</f>
        <v>28.83+11.93</v>
      </c>
      <c r="E112" s="254"/>
      <c r="H112" s="386"/>
      <c r="I112" s="372" t="s">
        <v>2</v>
      </c>
      <c r="J112" s="495" t="str">
        <f>IF(計算資料!BL71=0," ",計算資料!BL71)</f>
        <v>0.9*0.05</v>
      </c>
      <c r="K112" s="304"/>
      <c r="L112" s="304"/>
      <c r="M112" s="304"/>
      <c r="N112" s="304"/>
      <c r="O112" s="386"/>
      <c r="P112" s="372" t="s">
        <v>2</v>
      </c>
      <c r="Q112" s="494"/>
      <c r="R112" s="304"/>
      <c r="S112" s="304"/>
      <c r="T112" s="304"/>
      <c r="U112" s="304"/>
      <c r="V112" s="386"/>
      <c r="W112" s="372" t="s">
        <v>2</v>
      </c>
      <c r="X112" s="239"/>
      <c r="Y112" s="239"/>
      <c r="Z112" s="239"/>
      <c r="AA112" s="239"/>
      <c r="AB112" s="239"/>
      <c r="AC112" s="239"/>
      <c r="AD112" s="239"/>
      <c r="AE112" s="239"/>
      <c r="AF112" s="239"/>
      <c r="AG112" s="239"/>
      <c r="AO112" s="433"/>
      <c r="AT112" s="400"/>
    </row>
    <row r="113" spans="2:46">
      <c r="B113" s="385"/>
      <c r="C113" s="389" t="str">
        <f>IF(計算資料!H106=0," ",計算資料!H106)</f>
        <v xml:space="preserve"> </v>
      </c>
      <c r="E113" s="254"/>
      <c r="H113" s="386"/>
      <c r="I113" s="372" t="s">
        <v>2</v>
      </c>
      <c r="J113" s="491" t="str">
        <f>IF(計算資料!BL72=0," ",計算資料!BL72)</f>
        <v xml:space="preserve"> </v>
      </c>
      <c r="K113" s="304"/>
      <c r="L113" s="304"/>
      <c r="M113" s="304"/>
      <c r="N113" s="304"/>
      <c r="O113" s="386"/>
      <c r="P113" s="372" t="s">
        <v>2</v>
      </c>
      <c r="Q113" s="491"/>
      <c r="R113" s="304"/>
      <c r="S113" s="304"/>
      <c r="T113" s="304"/>
      <c r="U113" s="304"/>
      <c r="V113" s="386"/>
      <c r="W113" s="372" t="s">
        <v>2</v>
      </c>
      <c r="X113" s="239"/>
      <c r="Y113" s="239"/>
      <c r="Z113" s="239"/>
      <c r="AA113" s="239"/>
      <c r="AB113" s="239"/>
      <c r="AC113" s="239"/>
      <c r="AD113" s="239"/>
      <c r="AE113" s="239"/>
      <c r="AF113" s="239"/>
      <c r="AG113" s="239"/>
      <c r="AO113" s="433"/>
      <c r="AT113" s="400"/>
    </row>
    <row r="114" spans="2:46">
      <c r="B114" s="385"/>
      <c r="C114" s="390" t="str">
        <f>IF(計算資料!H107=0," ",計算資料!H107)</f>
        <v xml:space="preserve"> </v>
      </c>
      <c r="E114" s="254"/>
      <c r="H114" s="386"/>
      <c r="I114" s="372" t="s">
        <v>2</v>
      </c>
      <c r="J114" s="495" t="str">
        <f>IF(計算資料!BL73=0," ",計算資料!BL73)</f>
        <v xml:space="preserve"> </v>
      </c>
      <c r="O114" s="386"/>
      <c r="P114" s="372" t="s">
        <v>2</v>
      </c>
      <c r="Q114" s="493"/>
      <c r="V114" s="386"/>
      <c r="W114" s="372" t="s">
        <v>2</v>
      </c>
      <c r="X114" s="239"/>
      <c r="Y114" s="239"/>
      <c r="Z114" s="239"/>
      <c r="AA114" s="239"/>
      <c r="AB114" s="239"/>
      <c r="AC114" s="239"/>
      <c r="AD114" s="239"/>
      <c r="AE114" s="239"/>
      <c r="AF114" s="239"/>
      <c r="AG114" s="239"/>
      <c r="AO114" s="433"/>
      <c r="AT114" s="400"/>
    </row>
    <row r="115" spans="2:46">
      <c r="B115" s="385"/>
      <c r="C115" s="389" t="str">
        <f>IF(計算資料!H108=0," ",計算資料!H108)</f>
        <v xml:space="preserve"> </v>
      </c>
      <c r="D115" s="188"/>
      <c r="E115" s="394"/>
      <c r="F115" s="188"/>
      <c r="G115" s="188"/>
      <c r="H115" s="388"/>
      <c r="I115" s="372" t="s">
        <v>2</v>
      </c>
      <c r="J115" s="491" t="str">
        <f>IF(計算資料!BL74=0," ",計算資料!BL74)</f>
        <v xml:space="preserve"> </v>
      </c>
      <c r="O115" s="386"/>
      <c r="P115" s="372" t="s">
        <v>2</v>
      </c>
      <c r="Q115" s="429"/>
      <c r="V115" s="386"/>
      <c r="W115" s="372" t="s">
        <v>2</v>
      </c>
      <c r="X115" s="239"/>
      <c r="Y115" s="239"/>
      <c r="Z115" s="239"/>
      <c r="AA115" s="239"/>
      <c r="AB115" s="239"/>
      <c r="AC115" s="239"/>
      <c r="AD115" s="239"/>
      <c r="AE115" s="239"/>
      <c r="AF115" s="239"/>
      <c r="AG115" s="239"/>
      <c r="AO115" s="433"/>
      <c r="AT115" s="400"/>
    </row>
    <row r="116" spans="2:46">
      <c r="B116" s="385"/>
      <c r="C116" s="390" t="str">
        <f>IF(計算資料!H109=0," ",計算資料!H109)</f>
        <v xml:space="preserve"> </v>
      </c>
      <c r="E116" s="254"/>
      <c r="H116" s="388"/>
      <c r="I116" s="372" t="s">
        <v>2</v>
      </c>
      <c r="J116" s="495" t="str">
        <f>IF(計算資料!BL75=0," ",計算資料!BL75)</f>
        <v xml:space="preserve"> </v>
      </c>
      <c r="O116" s="386"/>
      <c r="P116" s="372" t="s">
        <v>2</v>
      </c>
      <c r="Q116" s="407"/>
      <c r="V116" s="386"/>
      <c r="W116" s="372" t="s">
        <v>2</v>
      </c>
      <c r="X116" s="239"/>
      <c r="Y116" s="239"/>
      <c r="Z116" s="239"/>
      <c r="AA116" s="239"/>
      <c r="AB116" s="239"/>
      <c r="AC116" s="239"/>
      <c r="AD116" s="239"/>
      <c r="AE116" s="239"/>
      <c r="AF116" s="239"/>
      <c r="AG116" s="239"/>
      <c r="AO116" s="433"/>
      <c r="AT116" s="400"/>
    </row>
    <row r="117" spans="2:46">
      <c r="B117" s="385"/>
      <c r="C117" s="389" t="str">
        <f>IF(計算資料!H110=0," ",計算資料!H110)</f>
        <v xml:space="preserve"> </v>
      </c>
      <c r="E117" s="254"/>
      <c r="H117" s="388"/>
      <c r="I117" s="496" t="s">
        <v>2</v>
      </c>
      <c r="J117" s="491" t="str">
        <f>IF(計算資料!BL76=0," ",計算資料!BL76)</f>
        <v xml:space="preserve"> </v>
      </c>
      <c r="O117" s="386"/>
      <c r="P117" s="496" t="s">
        <v>2</v>
      </c>
      <c r="Q117" s="429"/>
      <c r="V117" s="386"/>
      <c r="W117" s="496" t="s">
        <v>2</v>
      </c>
      <c r="X117" s="239"/>
      <c r="Y117" s="239"/>
      <c r="Z117" s="239"/>
      <c r="AA117" s="239"/>
      <c r="AB117" s="239"/>
      <c r="AC117" s="239"/>
      <c r="AD117" s="239"/>
      <c r="AE117" s="239"/>
      <c r="AF117" s="239"/>
      <c r="AG117" s="239"/>
      <c r="AO117" s="433"/>
      <c r="AT117" s="400"/>
    </row>
    <row r="118" spans="2:46">
      <c r="B118" s="385"/>
      <c r="C118" s="390" t="str">
        <f>IF(計算資料!H111=0," ",計算資料!H111)</f>
        <v xml:space="preserve"> </v>
      </c>
      <c r="D118" s="254"/>
      <c r="G118" s="254"/>
      <c r="H118" s="388"/>
      <c r="I118" s="372" t="s">
        <v>2</v>
      </c>
      <c r="J118" s="495" t="str">
        <f>IF(計算資料!BL77=0," ",計算資料!BL77)</f>
        <v xml:space="preserve"> </v>
      </c>
      <c r="O118" s="386"/>
      <c r="P118" s="372" t="s">
        <v>2</v>
      </c>
      <c r="Q118" s="407"/>
      <c r="V118" s="386"/>
      <c r="W118" s="372" t="s">
        <v>2</v>
      </c>
      <c r="X118" s="239"/>
      <c r="Y118" s="239"/>
      <c r="Z118" s="239"/>
      <c r="AA118" s="239"/>
      <c r="AB118" s="239"/>
      <c r="AC118" s="239"/>
      <c r="AD118" s="239"/>
      <c r="AE118" s="239"/>
      <c r="AF118" s="239"/>
      <c r="AG118" s="239"/>
      <c r="AO118" s="433"/>
      <c r="AT118" s="400"/>
    </row>
    <row r="119" spans="2:46">
      <c r="B119" s="385"/>
      <c r="C119" s="389" t="str">
        <f>IF(計算資料!H112=0," ",計算資料!H112)</f>
        <v xml:space="preserve"> </v>
      </c>
      <c r="D119" s="254"/>
      <c r="G119" s="254"/>
      <c r="H119" s="388"/>
      <c r="I119" s="372" t="s">
        <v>2</v>
      </c>
      <c r="J119" s="491" t="str">
        <f>IF(計算資料!BL76=0," ",計算資料!BL76)</f>
        <v xml:space="preserve"> </v>
      </c>
      <c r="O119" s="386"/>
      <c r="P119" s="372" t="s">
        <v>2</v>
      </c>
      <c r="Q119" s="429"/>
      <c r="V119" s="386"/>
      <c r="W119" s="372" t="s">
        <v>2</v>
      </c>
      <c r="X119" s="239"/>
      <c r="Y119" s="239"/>
      <c r="Z119" s="239"/>
      <c r="AA119" s="239"/>
      <c r="AO119" s="433"/>
      <c r="AT119" s="400"/>
    </row>
    <row r="120" spans="2:46">
      <c r="B120" s="385"/>
      <c r="C120" s="390" t="str">
        <f>IF(計算資料!H113=0," ",計算資料!H113)</f>
        <v xml:space="preserve"> </v>
      </c>
      <c r="D120" s="254"/>
      <c r="G120" s="254"/>
      <c r="H120" s="388"/>
      <c r="I120" s="372" t="s">
        <v>2</v>
      </c>
      <c r="J120" s="390" t="str">
        <f>IF(計算資料!BL77=0," ",計算資料!BL77)</f>
        <v xml:space="preserve"> </v>
      </c>
      <c r="O120" s="386"/>
      <c r="P120" s="372" t="s">
        <v>2</v>
      </c>
      <c r="Q120" s="407"/>
      <c r="V120" s="386"/>
      <c r="W120" s="372" t="s">
        <v>2</v>
      </c>
      <c r="X120" s="239"/>
      <c r="Y120" s="239"/>
      <c r="Z120" s="239"/>
      <c r="AA120" s="239"/>
      <c r="AO120" s="433"/>
      <c r="AT120" s="400"/>
    </row>
    <row r="121" spans="2:46" ht="17.25" thickBot="1">
      <c r="B121" s="402"/>
      <c r="C121" s="403"/>
      <c r="D121" s="404"/>
      <c r="E121" s="403"/>
      <c r="F121" s="403"/>
      <c r="G121" s="404"/>
      <c r="H121" s="406"/>
      <c r="I121" s="402"/>
      <c r="J121" s="403"/>
      <c r="K121" s="403"/>
      <c r="L121" s="403"/>
      <c r="M121" s="403"/>
      <c r="N121" s="403"/>
      <c r="O121" s="459"/>
      <c r="P121" s="402"/>
      <c r="Q121" s="403"/>
      <c r="R121" s="403"/>
      <c r="S121" s="403"/>
      <c r="T121" s="403"/>
      <c r="U121" s="403"/>
      <c r="V121" s="459"/>
      <c r="W121" s="239"/>
      <c r="X121" s="239"/>
      <c r="Y121" s="239"/>
      <c r="Z121" s="239"/>
      <c r="AA121" s="239"/>
      <c r="AO121" s="433"/>
      <c r="AT121" s="400"/>
    </row>
    <row r="122" spans="2:46" ht="17.25" thickBot="1">
      <c r="D122" s="254"/>
      <c r="G122" s="254"/>
      <c r="H122" s="254"/>
      <c r="I122" s="372"/>
      <c r="Q122" s="372"/>
      <c r="V122" s="239"/>
      <c r="W122" s="239"/>
      <c r="X122" s="239"/>
      <c r="Y122" s="239"/>
      <c r="Z122" s="239"/>
      <c r="AA122" s="239"/>
      <c r="AO122" s="433"/>
      <c r="AT122" s="400"/>
    </row>
    <row r="123" spans="2:46">
      <c r="B123" s="1434" t="s">
        <v>3801</v>
      </c>
      <c r="C123" s="1435"/>
      <c r="D123" s="1448" t="s">
        <v>3802</v>
      </c>
      <c r="E123" s="1449"/>
      <c r="F123" s="435" t="s">
        <v>3803</v>
      </c>
      <c r="G123" s="435" t="s">
        <v>3804</v>
      </c>
      <c r="H123" s="436" t="s">
        <v>3755</v>
      </c>
      <c r="I123" s="1400" t="s">
        <v>3805</v>
      </c>
      <c r="J123" s="1450"/>
      <c r="K123" s="497" t="s">
        <v>3692</v>
      </c>
      <c r="L123" s="497" t="s">
        <v>3806</v>
      </c>
      <c r="M123" s="435" t="s">
        <v>3747</v>
      </c>
      <c r="N123" s="1452" t="s">
        <v>3807</v>
      </c>
      <c r="O123" s="1453"/>
      <c r="P123" s="498" t="s">
        <v>3696</v>
      </c>
      <c r="AO123" s="399"/>
      <c r="AT123" s="391"/>
    </row>
    <row r="124" spans="2:46" ht="17.25" thickBot="1">
      <c r="B124" s="1442"/>
      <c r="C124" s="1447"/>
      <c r="D124" s="1454" t="s">
        <v>3808</v>
      </c>
      <c r="E124" s="1455"/>
      <c r="F124" s="499">
        <v>2.2999999999999998</v>
      </c>
      <c r="G124" s="380">
        <v>13</v>
      </c>
      <c r="H124" s="442" t="s">
        <v>2984</v>
      </c>
      <c r="I124" s="1445"/>
      <c r="J124" s="1451"/>
      <c r="K124" s="439" t="s">
        <v>3763</v>
      </c>
      <c r="L124" s="439" t="s">
        <v>2982</v>
      </c>
      <c r="M124" s="441" t="s">
        <v>2981</v>
      </c>
      <c r="N124" s="1457" t="s">
        <v>3809</v>
      </c>
      <c r="O124" s="1458"/>
      <c r="P124" s="500" t="str">
        <f>計算資料!CI5</f>
        <v>37.1m2</v>
      </c>
    </row>
    <row r="125" spans="2:46">
      <c r="B125" s="382"/>
      <c r="C125" s="383"/>
      <c r="D125" s="254"/>
      <c r="G125" s="254"/>
      <c r="H125" s="386"/>
      <c r="I125" s="385"/>
      <c r="P125" s="386"/>
    </row>
    <row r="126" spans="2:46">
      <c r="B126" s="385"/>
      <c r="C126" s="254">
        <f>計算資料!BU182</f>
        <v>0</v>
      </c>
      <c r="H126" s="386"/>
      <c r="I126" s="424" t="s">
        <v>2</v>
      </c>
      <c r="J126" s="254" t="e">
        <f>計算資料!CD6</f>
        <v>#VALUE!</v>
      </c>
      <c r="P126" s="386"/>
      <c r="Q126" s="446" t="s">
        <v>3708</v>
      </c>
      <c r="T126" s="255"/>
    </row>
    <row r="127" spans="2:46">
      <c r="B127" s="385"/>
      <c r="C127" s="429" t="str">
        <f>計算資料!BU186</f>
        <v>基地及路幅開挖，未含運費，(機械挖，0.7-0.79m3開挖機).</v>
      </c>
      <c r="H127" s="386"/>
      <c r="I127" s="424" t="s">
        <v>2</v>
      </c>
      <c r="J127" s="429" t="str">
        <f>IF(計算資料!CD7=0, " ", 計算資料!CD7)</f>
        <v>瀝青混凝土面層刨除，刨除機1.2m寬，緊急搶修工程用，未含刨除料運費</v>
      </c>
      <c r="P127" s="386"/>
      <c r="Q127" s="446" t="s">
        <v>3708</v>
      </c>
      <c r="T127" s="255"/>
    </row>
    <row r="128" spans="2:46">
      <c r="B128" s="385"/>
      <c r="C128" s="407" t="str">
        <f>計算資料!BU187</f>
        <v>5*0.1*0.15</v>
      </c>
      <c r="H128" s="386"/>
      <c r="I128" s="501" t="s">
        <v>2</v>
      </c>
      <c r="J128" s="407" t="str">
        <f>IF(計算資料!CD8=0, " ", 計算資料!CD8)</f>
        <v>1</v>
      </c>
      <c r="P128" s="386"/>
      <c r="Q128" s="446" t="s">
        <v>3708</v>
      </c>
    </row>
    <row r="129" spans="2:30">
      <c r="B129" s="385"/>
      <c r="C129" s="429" t="str">
        <f>計算資料!BU188</f>
        <v>餘方自行處理(含水土保持)，總重15t以下傾卸貨車</v>
      </c>
      <c r="H129" s="386"/>
      <c r="I129" s="424" t="s">
        <v>2</v>
      </c>
      <c r="J129" s="429" t="str">
        <f>IF(計算資料!CD9=0, " ", 計算資料!CD9)</f>
        <v>瀝青混凝土面層刨除，刨除料運費.</v>
      </c>
      <c r="P129" s="386"/>
      <c r="Q129" s="446" t="s">
        <v>3708</v>
      </c>
      <c r="AD129" s="238"/>
    </row>
    <row r="130" spans="2:30">
      <c r="B130" s="502"/>
      <c r="C130" s="407" t="str">
        <f>計算資料!BU189</f>
        <v>5*0.1*0.15</v>
      </c>
      <c r="H130" s="386"/>
      <c r="I130" s="424" t="s">
        <v>2</v>
      </c>
      <c r="J130" s="407" t="str">
        <f>IF(計算資料!CD10=0, " ", 計算資料!CD10)</f>
        <v>((7*5.3))*0.05</v>
      </c>
      <c r="P130" s="386"/>
      <c r="Q130" s="446" t="s">
        <v>3708</v>
      </c>
    </row>
    <row r="131" spans="2:30">
      <c r="B131" s="385"/>
      <c r="C131" s="429" t="str">
        <f>計算資料!BU190</f>
        <v>瀝青黏層，快凝油溶瀝青，RC-70</v>
      </c>
      <c r="H131" s="386"/>
      <c r="I131" s="424" t="s">
        <v>2</v>
      </c>
      <c r="J131" s="429" t="str">
        <f>IF(計算資料!CD11=0, " ", 計算資料!CD11)</f>
        <v>瀝青混凝土舖面，舖築及滾壓，緊急搶修工程用，鋪設面積≦50m2適用</v>
      </c>
      <c r="P131" s="386"/>
      <c r="Q131" s="446" t="s">
        <v>3708</v>
      </c>
      <c r="AD131" s="304"/>
    </row>
    <row r="132" spans="2:30">
      <c r="B132" s="385"/>
      <c r="C132" s="407" t="str">
        <f>計算資料!BU191</f>
        <v>5*0.1</v>
      </c>
      <c r="H132" s="386"/>
      <c r="I132" s="424" t="s">
        <v>2</v>
      </c>
      <c r="J132" s="407" t="str">
        <f>IF(計算資料!CD12=0, " ", 計算資料!CD12)</f>
        <v>1</v>
      </c>
      <c r="P132" s="386"/>
      <c r="Q132" s="446" t="s">
        <v>3708</v>
      </c>
    </row>
    <row r="133" spans="2:30">
      <c r="B133" s="385"/>
      <c r="C133" s="429" t="str">
        <f>計算資料!BU192</f>
        <v>瀝青混凝土舖面，粗粒料9.5mm，黏度AC(1)-20，零星工程用</v>
      </c>
      <c r="H133" s="386"/>
      <c r="I133" s="424" t="s">
        <v>2</v>
      </c>
      <c r="J133" s="429" t="str">
        <f>IF(計算資料!CD13=0, " ", 計算資料!CD13)</f>
        <v>瀝青混凝土面，再生粒料，粗粒料9.5mm，緊急搶修工程用，舖築及滾壓另計</v>
      </c>
      <c r="P133" s="386"/>
      <c r="Q133" s="446" t="s">
        <v>3708</v>
      </c>
    </row>
    <row r="134" spans="2:30">
      <c r="B134" s="385"/>
      <c r="C134" s="407" t="str">
        <f>計算資料!BU193</f>
        <v>5*0.1*0.15</v>
      </c>
      <c r="H134" s="386"/>
      <c r="I134" s="424" t="s">
        <v>2</v>
      </c>
      <c r="J134" s="407" t="str">
        <f>IF(計算資料!CD14=0, " ", 計算資料!CD14)</f>
        <v>((7*5.3))*0.05</v>
      </c>
      <c r="P134" s="386"/>
      <c r="Q134" s="446" t="s">
        <v>3708</v>
      </c>
    </row>
    <row r="135" spans="2:30">
      <c r="B135" s="385"/>
      <c r="C135" s="429" t="str">
        <f>計算資料!BU194</f>
        <v xml:space="preserve"> </v>
      </c>
      <c r="H135" s="386"/>
      <c r="I135" s="424" t="s">
        <v>2</v>
      </c>
      <c r="J135" s="429" t="str">
        <f>IF(計算資料!CD15=0, " ", 計算資料!CD15)</f>
        <v>瀝青黏層，快凝油溶瀝青，RC-70</v>
      </c>
      <c r="P135" s="386"/>
      <c r="Q135" s="446" t="s">
        <v>3708</v>
      </c>
      <c r="V135" s="239"/>
      <c r="W135" s="239"/>
      <c r="X135" s="239"/>
      <c r="Y135" s="239"/>
      <c r="Z135" s="239"/>
      <c r="AA135" s="239"/>
    </row>
    <row r="136" spans="2:30">
      <c r="B136" s="385"/>
      <c r="H136" s="386"/>
      <c r="I136" s="424" t="s">
        <v>2</v>
      </c>
      <c r="J136" s="428" t="str">
        <f>IF(計算資料!CD16=0, " ", 計算資料!CD16)</f>
        <v>((7*5.3))</v>
      </c>
      <c r="P136" s="386"/>
      <c r="Q136" s="446" t="s">
        <v>3708</v>
      </c>
    </row>
    <row r="137" spans="2:30">
      <c r="B137" s="385"/>
      <c r="H137" s="386"/>
      <c r="I137" s="424" t="s">
        <v>2</v>
      </c>
      <c r="J137" s="429" t="str">
        <f>IF(計算資料!CD17=0, " ", 計算資料!CD17)</f>
        <v>搬運費，AC施工機械(面積2000m2以下適用)</v>
      </c>
      <c r="P137" s="386"/>
      <c r="Q137" s="446" t="s">
        <v>3708</v>
      </c>
    </row>
    <row r="138" spans="2:30">
      <c r="B138" s="387"/>
      <c r="F138" s="6"/>
      <c r="G138" s="371"/>
      <c r="H138" s="386"/>
      <c r="I138" s="424" t="s">
        <v>2</v>
      </c>
      <c r="J138" s="428" t="str">
        <f>IF(計算資料!CD18=0, " ", 計算資料!CD18)</f>
        <v>1</v>
      </c>
      <c r="P138" s="386"/>
      <c r="Q138" s="446" t="s">
        <v>3708</v>
      </c>
    </row>
    <row r="139" spans="2:30">
      <c r="B139" s="503"/>
      <c r="C139" s="371"/>
      <c r="D139" s="371"/>
      <c r="H139" s="504"/>
      <c r="I139" s="424" t="s">
        <v>2</v>
      </c>
      <c r="J139" s="429" t="str">
        <f>IF(計算資料!CD19=0, " ", 計算資料!CD19)</f>
        <v>開挖機，0.70-0.79m3</v>
      </c>
      <c r="P139" s="386"/>
      <c r="Q139" s="446"/>
    </row>
    <row r="140" spans="2:30">
      <c r="B140" s="505"/>
      <c r="C140" s="506"/>
      <c r="D140" s="506"/>
      <c r="E140" s="507"/>
      <c r="F140" s="507"/>
      <c r="G140" s="507"/>
      <c r="H140" s="508"/>
      <c r="I140" s="424" t="s">
        <v>2</v>
      </c>
      <c r="J140" s="428">
        <f>IF(計算資料!CD20=0, " ", 計算資料!CD20)</f>
        <v>1</v>
      </c>
      <c r="P140" s="386"/>
    </row>
    <row r="141" spans="2:30">
      <c r="B141" s="503"/>
      <c r="C141" s="371"/>
      <c r="F141" s="371"/>
      <c r="G141" s="371"/>
      <c r="H141" s="386"/>
      <c r="I141" s="424" t="s">
        <v>2</v>
      </c>
      <c r="J141" s="429" t="str">
        <f>IF(計算資料!CD21=0, " ", 計算資料!CD21)</f>
        <v>操作手，重機械</v>
      </c>
      <c r="P141" s="386"/>
    </row>
    <row r="142" spans="2:30">
      <c r="B142" s="505"/>
      <c r="C142" s="506"/>
      <c r="D142" s="506"/>
      <c r="E142" s="507"/>
      <c r="F142" s="507"/>
      <c r="G142" s="507"/>
      <c r="H142" s="508"/>
      <c r="I142" s="424" t="s">
        <v>2</v>
      </c>
      <c r="J142" s="429">
        <f>IF(計算資料!CD22=0, " ", 計算資料!CD22)</f>
        <v>1</v>
      </c>
      <c r="P142" s="386"/>
    </row>
    <row r="143" spans="2:30">
      <c r="B143" s="385"/>
      <c r="H143" s="386"/>
      <c r="I143" s="509" t="s">
        <v>2</v>
      </c>
      <c r="J143" s="429" t="str">
        <f>IF(計算資料!CD23=0, " ", 計算資料!CD23)</f>
        <v xml:space="preserve"> </v>
      </c>
      <c r="P143" s="386"/>
    </row>
    <row r="144" spans="2:30">
      <c r="B144" s="385"/>
      <c r="H144" s="386"/>
      <c r="I144" s="424" t="s">
        <v>2</v>
      </c>
      <c r="J144" s="429" t="str">
        <f>IF(計算資料!CD24=0, " ", 計算資料!CD24)</f>
        <v xml:space="preserve"> </v>
      </c>
      <c r="P144" s="386"/>
    </row>
    <row r="145" spans="2:34">
      <c r="B145" s="385"/>
      <c r="H145" s="386"/>
      <c r="I145" s="424" t="s">
        <v>2</v>
      </c>
      <c r="P145" s="386"/>
    </row>
    <row r="146" spans="2:34" ht="17.25" thickBot="1">
      <c r="B146" s="402"/>
      <c r="C146" s="403"/>
      <c r="D146" s="403"/>
      <c r="E146" s="403"/>
      <c r="F146" s="403"/>
      <c r="G146" s="403"/>
      <c r="H146" s="459"/>
      <c r="I146" s="402"/>
      <c r="J146" s="403"/>
      <c r="K146" s="403"/>
      <c r="L146" s="403"/>
      <c r="M146" s="403"/>
      <c r="N146" s="403"/>
      <c r="O146" s="403"/>
      <c r="P146" s="459"/>
    </row>
    <row r="147" spans="2:34" ht="17.25" thickBot="1">
      <c r="I147" s="372" t="s">
        <v>2</v>
      </c>
      <c r="Q147" s="496" t="s">
        <v>2</v>
      </c>
    </row>
    <row r="148" spans="2:34">
      <c r="B148" s="1434" t="s">
        <v>3810</v>
      </c>
      <c r="C148" s="1441"/>
      <c r="D148" s="460" t="s">
        <v>3692</v>
      </c>
      <c r="E148" s="435" t="s">
        <v>3811</v>
      </c>
      <c r="F148" s="435" t="s">
        <v>3803</v>
      </c>
      <c r="G148" s="435" t="s">
        <v>3804</v>
      </c>
      <c r="H148" s="436" t="s">
        <v>3755</v>
      </c>
      <c r="I148" s="372" t="s">
        <v>2</v>
      </c>
      <c r="Q148" s="372" t="s">
        <v>2</v>
      </c>
    </row>
    <row r="149" spans="2:34" ht="17.25" thickBot="1">
      <c r="B149" s="1442"/>
      <c r="C149" s="1443"/>
      <c r="D149" s="463" t="s">
        <v>3787</v>
      </c>
      <c r="E149" s="499">
        <v>2</v>
      </c>
      <c r="F149" s="499">
        <v>2</v>
      </c>
      <c r="G149" s="380">
        <v>15</v>
      </c>
      <c r="H149" s="442" t="s">
        <v>2984</v>
      </c>
      <c r="Q149" s="372" t="s">
        <v>2</v>
      </c>
      <c r="AE149" s="255"/>
      <c r="AF149" s="255"/>
      <c r="AG149" s="255"/>
      <c r="AH149" s="255"/>
    </row>
    <row r="150" spans="2:34">
      <c r="B150" s="382"/>
      <c r="C150" s="383"/>
      <c r="D150" s="254"/>
      <c r="G150" s="254"/>
      <c r="H150" s="386"/>
      <c r="Q150" s="372" t="s">
        <v>2</v>
      </c>
    </row>
    <row r="151" spans="2:34">
      <c r="B151" s="385"/>
      <c r="C151" s="254"/>
      <c r="H151" s="386"/>
      <c r="J151" s="254"/>
    </row>
    <row r="152" spans="2:34">
      <c r="B152" s="385"/>
      <c r="C152" s="429"/>
      <c r="H152" s="386"/>
      <c r="O152" s="304"/>
    </row>
    <row r="153" spans="2:34">
      <c r="B153" s="385"/>
      <c r="C153" s="407"/>
      <c r="H153" s="386"/>
      <c r="J153" s="188"/>
      <c r="K153" s="188"/>
      <c r="L153" s="188"/>
      <c r="M153" s="188"/>
      <c r="N153" s="188"/>
      <c r="O153" s="304"/>
      <c r="AE153" s="255"/>
      <c r="AF153" s="255"/>
      <c r="AG153" s="255"/>
      <c r="AH153" s="255"/>
    </row>
    <row r="154" spans="2:34">
      <c r="B154" s="385"/>
      <c r="C154" s="429"/>
      <c r="H154" s="386"/>
      <c r="J154" s="188"/>
      <c r="K154" s="188"/>
      <c r="L154" s="188"/>
      <c r="M154" s="510"/>
      <c r="N154" s="188"/>
      <c r="O154" s="451"/>
    </row>
    <row r="155" spans="2:34">
      <c r="B155" s="502"/>
      <c r="C155" s="407"/>
      <c r="H155" s="386"/>
      <c r="N155" s="304"/>
      <c r="O155" s="451"/>
    </row>
    <row r="156" spans="2:34">
      <c r="B156" s="385"/>
      <c r="C156" s="429"/>
      <c r="H156" s="386"/>
      <c r="Q156" s="446">
        <v>0</v>
      </c>
    </row>
    <row r="157" spans="2:34">
      <c r="B157" s="385"/>
      <c r="C157" s="407"/>
      <c r="H157" s="386"/>
      <c r="I157" s="446"/>
      <c r="J157" s="446"/>
      <c r="K157" s="429"/>
      <c r="Q157" s="446">
        <v>0</v>
      </c>
    </row>
    <row r="158" spans="2:34">
      <c r="B158" s="385"/>
      <c r="C158" s="429"/>
      <c r="H158" s="386"/>
      <c r="K158" s="407"/>
      <c r="Q158" s="446"/>
    </row>
    <row r="159" spans="2:34">
      <c r="B159" s="385"/>
      <c r="C159" s="407"/>
      <c r="H159" s="386"/>
      <c r="K159" s="429"/>
      <c r="Q159" s="446"/>
    </row>
    <row r="160" spans="2:34">
      <c r="B160" s="385"/>
      <c r="C160" s="429"/>
      <c r="H160" s="386"/>
      <c r="K160" s="407"/>
      <c r="Q160" s="446"/>
    </row>
    <row r="161" spans="2:44">
      <c r="B161" s="385"/>
      <c r="H161" s="386"/>
      <c r="K161" s="429"/>
      <c r="Q161" s="446">
        <v>0</v>
      </c>
    </row>
    <row r="162" spans="2:44">
      <c r="B162" s="385"/>
      <c r="H162" s="386"/>
      <c r="K162" s="407"/>
      <c r="Q162" s="446">
        <v>0</v>
      </c>
    </row>
    <row r="163" spans="2:44">
      <c r="B163" s="387"/>
      <c r="F163" s="6"/>
      <c r="G163" s="371"/>
      <c r="H163" s="386"/>
      <c r="K163" s="429"/>
      <c r="Q163" s="446">
        <v>0</v>
      </c>
    </row>
    <row r="164" spans="2:44">
      <c r="B164" s="503"/>
      <c r="C164" s="371"/>
      <c r="D164" s="371"/>
      <c r="H164" s="504"/>
      <c r="K164" s="407"/>
      <c r="Q164" s="446">
        <v>0</v>
      </c>
    </row>
    <row r="165" spans="2:44">
      <c r="B165" s="505"/>
      <c r="C165" s="506"/>
      <c r="D165" s="506"/>
      <c r="E165" s="507"/>
      <c r="F165" s="507"/>
      <c r="G165" s="507"/>
      <c r="H165" s="508"/>
      <c r="K165" s="429"/>
      <c r="Q165" s="446">
        <v>0</v>
      </c>
    </row>
    <row r="166" spans="2:44">
      <c r="B166" s="503"/>
      <c r="C166" s="371"/>
      <c r="F166" s="371"/>
      <c r="G166" s="371"/>
      <c r="H166" s="386"/>
      <c r="K166" s="407"/>
      <c r="M166" s="304"/>
      <c r="N166" s="451"/>
      <c r="Q166" s="446">
        <v>0</v>
      </c>
    </row>
    <row r="167" spans="2:44">
      <c r="B167" s="505"/>
      <c r="C167" s="506"/>
      <c r="D167" s="506"/>
      <c r="E167" s="507"/>
      <c r="F167" s="507"/>
      <c r="G167" s="507"/>
      <c r="H167" s="508"/>
      <c r="K167" s="429"/>
      <c r="M167" s="304"/>
      <c r="N167" s="451"/>
      <c r="Q167" s="446"/>
      <c r="AD167" s="332"/>
      <c r="AI167" s="238"/>
      <c r="AN167" s="238"/>
    </row>
    <row r="168" spans="2:44">
      <c r="B168" s="385"/>
      <c r="H168" s="386"/>
      <c r="K168" s="407"/>
      <c r="Q168" s="446"/>
      <c r="AD168" s="511"/>
      <c r="AI168" s="363"/>
      <c r="AN168" s="391"/>
    </row>
    <row r="169" spans="2:44">
      <c r="B169" s="385"/>
      <c r="H169" s="386"/>
      <c r="K169" s="429"/>
      <c r="N169" s="451"/>
      <c r="Q169" s="446"/>
      <c r="AA169" s="237"/>
      <c r="AD169" s="332"/>
      <c r="AI169" s="238"/>
      <c r="AN169" s="238"/>
    </row>
    <row r="170" spans="2:44">
      <c r="B170" s="385"/>
      <c r="H170" s="386"/>
      <c r="K170" s="407"/>
      <c r="N170" s="451"/>
      <c r="Q170" s="446"/>
      <c r="AD170" s="511"/>
      <c r="AI170" s="363"/>
      <c r="AJ170" s="255"/>
      <c r="AK170" s="255"/>
      <c r="AL170" s="255"/>
      <c r="AM170" s="255"/>
      <c r="AN170" s="391"/>
      <c r="AO170" s="255"/>
      <c r="AP170" s="255"/>
      <c r="AQ170" s="255"/>
      <c r="AR170" s="255"/>
    </row>
    <row r="171" spans="2:44" ht="17.25" thickBot="1">
      <c r="B171" s="402"/>
      <c r="C171" s="403"/>
      <c r="D171" s="403"/>
      <c r="E171" s="403"/>
      <c r="F171" s="403"/>
      <c r="G171" s="403"/>
      <c r="H171" s="459"/>
      <c r="K171" s="429"/>
      <c r="N171" s="451"/>
      <c r="Q171" s="446"/>
      <c r="AD171" s="332"/>
      <c r="AI171" s="238"/>
      <c r="AN171" s="332"/>
    </row>
    <row r="172" spans="2:44">
      <c r="K172" s="407"/>
      <c r="N172" s="451"/>
      <c r="Q172" s="446"/>
      <c r="AD172" s="511"/>
      <c r="AI172" s="363"/>
      <c r="AJ172" s="392"/>
      <c r="AN172" s="391"/>
    </row>
    <row r="173" spans="2:44">
      <c r="K173" s="429"/>
      <c r="N173" s="451"/>
      <c r="Q173" s="446"/>
      <c r="AD173" s="332"/>
      <c r="AI173" s="238"/>
      <c r="AN173" s="332"/>
    </row>
    <row r="174" spans="2:44">
      <c r="K174" s="429"/>
      <c r="N174" s="451"/>
      <c r="Q174" s="446"/>
      <c r="AD174" s="511"/>
      <c r="AI174" s="363"/>
      <c r="AJ174" s="255"/>
      <c r="AK174" s="255"/>
      <c r="AL174" s="255"/>
      <c r="AM174" s="255"/>
      <c r="AN174" s="391"/>
      <c r="AO174" s="255"/>
      <c r="AP174" s="255"/>
      <c r="AQ174" s="255"/>
      <c r="AR174" s="255"/>
    </row>
    <row r="175" spans="2:44">
      <c r="N175" s="451"/>
      <c r="Q175" s="446"/>
      <c r="AD175" s="332"/>
      <c r="AI175" s="238"/>
      <c r="AN175" s="332"/>
    </row>
    <row r="176" spans="2:44">
      <c r="N176" s="451"/>
      <c r="Q176" s="446"/>
      <c r="AB176" s="392"/>
      <c r="AD176" s="511"/>
      <c r="AI176" s="398"/>
      <c r="AN176" s="398"/>
    </row>
    <row r="177" spans="4:44">
      <c r="M177" s="451"/>
      <c r="AD177" s="332"/>
      <c r="AI177" s="238"/>
      <c r="AN177" s="332"/>
    </row>
    <row r="178" spans="4:44">
      <c r="L178" s="188"/>
      <c r="M178" s="451"/>
      <c r="AD178" s="400"/>
      <c r="AI178" s="399"/>
      <c r="AJ178" s="255"/>
      <c r="AK178" s="255"/>
      <c r="AL178" s="255"/>
      <c r="AM178" s="255"/>
      <c r="AN178" s="400"/>
      <c r="AP178" s="255"/>
      <c r="AQ178" s="255"/>
      <c r="AR178" s="255"/>
    </row>
    <row r="179" spans="4:44">
      <c r="M179" s="451"/>
      <c r="AB179" s="512"/>
      <c r="AD179" s="332"/>
      <c r="AI179" s="238"/>
      <c r="AN179" s="332"/>
    </row>
    <row r="180" spans="4:44">
      <c r="M180" s="451"/>
      <c r="AD180" s="400"/>
      <c r="AI180" s="398"/>
      <c r="AN180" s="391"/>
    </row>
    <row r="181" spans="4:44">
      <c r="M181" s="451"/>
      <c r="AD181" s="332"/>
      <c r="AI181" s="238"/>
      <c r="AN181" s="332"/>
    </row>
    <row r="182" spans="4:44">
      <c r="L182" s="188"/>
      <c r="M182" s="451"/>
      <c r="AA182" s="400"/>
      <c r="AD182" s="400"/>
      <c r="AI182" s="433"/>
      <c r="AN182" s="433"/>
    </row>
    <row r="183" spans="4:44">
      <c r="M183" s="451"/>
      <c r="AA183" s="511"/>
    </row>
    <row r="184" spans="4:44">
      <c r="M184" s="451"/>
    </row>
    <row r="185" spans="4:44">
      <c r="G185" s="254"/>
      <c r="M185" s="451"/>
    </row>
    <row r="186" spans="4:44">
      <c r="L186" s="304"/>
      <c r="M186" s="451"/>
    </row>
    <row r="187" spans="4:44">
      <c r="D187" s="242"/>
      <c r="H187" s="254"/>
      <c r="L187" s="304"/>
      <c r="M187" s="451"/>
    </row>
    <row r="202" spans="7:7">
      <c r="G202" s="304"/>
    </row>
    <row r="217" spans="7:7">
      <c r="G217" s="304"/>
    </row>
  </sheetData>
  <mergeCells count="42">
    <mergeCell ref="B148:C149"/>
    <mergeCell ref="P94:Q95"/>
    <mergeCell ref="B98:D98"/>
    <mergeCell ref="E98:G98"/>
    <mergeCell ref="I98:K98"/>
    <mergeCell ref="L98:N98"/>
    <mergeCell ref="B123:C124"/>
    <mergeCell ref="D123:E123"/>
    <mergeCell ref="I123:J124"/>
    <mergeCell ref="N123:O123"/>
    <mergeCell ref="D124:E124"/>
    <mergeCell ref="B94:C95"/>
    <mergeCell ref="I94:J95"/>
    <mergeCell ref="N124:O124"/>
    <mergeCell ref="L42:M43"/>
    <mergeCell ref="N42:O43"/>
    <mergeCell ref="B66:C67"/>
    <mergeCell ref="B68:B69"/>
    <mergeCell ref="B70:B71"/>
    <mergeCell ref="L40:M41"/>
    <mergeCell ref="N40:O41"/>
    <mergeCell ref="B41:D41"/>
    <mergeCell ref="E41:G41"/>
    <mergeCell ref="H41:J41"/>
    <mergeCell ref="B12:D12"/>
    <mergeCell ref="E12:G12"/>
    <mergeCell ref="U13:V14"/>
    <mergeCell ref="W13:X14"/>
    <mergeCell ref="B37:C38"/>
    <mergeCell ref="L37:O37"/>
    <mergeCell ref="L38:M39"/>
    <mergeCell ref="N38:O39"/>
    <mergeCell ref="U8:X8"/>
    <mergeCell ref="U9:V10"/>
    <mergeCell ref="W9:X10"/>
    <mergeCell ref="U11:V12"/>
    <mergeCell ref="W11:X12"/>
    <mergeCell ref="B2:G2"/>
    <mergeCell ref="J2:R5"/>
    <mergeCell ref="B3:C3"/>
    <mergeCell ref="D3:G3"/>
    <mergeCell ref="B8:C9"/>
  </mergeCells>
  <phoneticPr fontId="3" type="noConversion"/>
  <dataValidations count="22">
    <dataValidation type="list" allowBlank="1" showInputMessage="1" showErrorMessage="1" sqref="L124" xr:uid="{00000000-0002-0000-0700-000000000000}">
      <formula1>"一般瀝青,再生瀝青,改質瀝青"</formula1>
    </dataValidation>
    <dataValidation type="list" allowBlank="1" showInputMessage="1" showErrorMessage="1" sqref="P97" xr:uid="{00000000-0002-0000-0700-000001000000}">
      <formula1>"RCP 600,RCP 800,RCP 1000,FRP 500,FRP 600,FRP 800,FRP 1000"</formula1>
    </dataValidation>
    <dataValidation type="list" allowBlank="1" showInputMessage="1" showErrorMessage="1" sqref="J97" xr:uid="{00000000-0002-0000-0700-000002000000}">
      <formula1>"20cm"</formula1>
    </dataValidation>
    <dataValidation type="list" allowBlank="1" showInputMessage="1" showErrorMessage="1" sqref="M95" xr:uid="{00000000-0002-0000-0700-000003000000}">
      <formula1>"無清掃孔"</formula1>
    </dataValidation>
    <dataValidation type="list" allowBlank="1" showInputMessage="1" showErrorMessage="1" sqref="K97 U95" xr:uid="{00000000-0002-0000-0700-000004000000}">
      <formula1>"銑鋪復舊,5cm臨補,10cm臨補"</formula1>
    </dataValidation>
    <dataValidation type="list" allowBlank="1" showInputMessage="1" showErrorMessage="1" sqref="F95" xr:uid="{00000000-0002-0000-0700-000005000000}">
      <formula1>"無既有溝,U型暗溝,矩形暗溝"</formula1>
    </dataValidation>
    <dataValidation type="list" allowBlank="1" showInputMessage="1" showErrorMessage="1" sqref="G9 G38 G95" xr:uid="{00000000-0002-0000-0700-000006000000}">
      <formula1>"有,無"</formula1>
    </dataValidation>
    <dataValidation type="list" allowBlank="1" showInputMessage="1" showErrorMessage="1" sqref="F38" xr:uid="{00000000-0002-0000-0700-000007000000}">
      <formula1>"無既有溝,既有井,矩形溝,U型溝"</formula1>
    </dataValidation>
    <dataValidation type="list" allowBlank="1" showInputMessage="1" showErrorMessage="1" sqref="F9" xr:uid="{00000000-0002-0000-0700-000008000000}">
      <formula1>"無既有溝,矩形溝,U型溝"</formula1>
    </dataValidation>
    <dataValidation type="list" allowBlank="1" showInputMessage="1" showErrorMessage="1" sqref="D124:E124" xr:uid="{00000000-0002-0000-0700-000009000000}">
      <formula1>"樹脂混凝土修復,AC回填復舊,RC回填修復"</formula1>
    </dataValidation>
    <dataValidation type="list" allowBlank="1" showInputMessage="1" showErrorMessage="1" sqref="D149 D9 D38 D95 K95 D67 R95 K124" xr:uid="{00000000-0002-0000-0700-00000A000000}">
      <formula1>"一般案,搶修案"</formula1>
    </dataValidation>
    <dataValidation type="list" allowBlank="1" showInputMessage="1" showErrorMessage="1" sqref="L67" xr:uid="{00000000-0002-0000-0700-00000B000000}">
      <formula1>"無標線,紅線"</formula1>
    </dataValidation>
    <dataValidation type="list" allowBlank="1" showInputMessage="1" showErrorMessage="1" sqref="K67" xr:uid="{00000000-0002-0000-0700-00000C000000}">
      <formula1>"一般型,細目型"</formula1>
    </dataValidation>
    <dataValidation type="list" allowBlank="1" showInputMessage="1" showErrorMessage="1" sqref="E138:F138 E163:F163" xr:uid="{00000000-0002-0000-0700-00000D000000}">
      <formula1>"無標線復舊,需標線復舊"</formula1>
    </dataValidation>
    <dataValidation type="list" allowBlank="1" showInputMessage="1" showErrorMessage="1" sqref="D3:G3" xr:uid="{00000000-0002-0000-0700-00000E000000}">
      <formula1>"道路寬8m上(總重35t傾卸貨車),道路寬8m下(總重15t傾卸貨車),總餘方量小餘2m3(總重3-3.9T貨車),總餘方量小餘4m3(總重8-8.9T傾卸貨車)"</formula1>
    </dataValidation>
    <dataValidation type="list" allowBlank="1" showInputMessage="1" showErrorMessage="1" sqref="E67 E9 E38 E95 L95 S95" xr:uid="{00000000-0002-0000-0700-00000F000000}">
      <formula1>"更新,新設"</formula1>
    </dataValidation>
    <dataValidation type="list" allowBlank="1" showInputMessage="1" showErrorMessage="1" sqref="M124 M154 H124 N95 T95 H149" xr:uid="{00000000-0002-0000-0700-000010000000}">
      <formula1>"5cm,10cm"</formula1>
    </dataValidation>
    <dataValidation type="list" allowBlank="1" showInputMessage="1" showErrorMessage="1" sqref="J67 N67" xr:uid="{00000000-0002-0000-0700-000011000000}">
      <formula1>"40cm,50cm,60cm"</formula1>
    </dataValidation>
    <dataValidation type="list" allowBlank="1" showInputMessage="1" showErrorMessage="1" sqref="I67 I97" xr:uid="{00000000-0002-0000-0700-000012000000}">
      <formula1>"80cm,90cm,100cm"</formula1>
    </dataValidation>
    <dataValidation type="list" allowBlank="1" showInputMessage="1" showErrorMessage="1" sqref="H67" xr:uid="{00000000-0002-0000-0700-000013000000}">
      <formula1>"場鑄,預鑄"</formula1>
    </dataValidation>
    <dataValidation type="list" allowBlank="1" showInputMessage="1" showErrorMessage="1" sqref="G67" xr:uid="{00000000-0002-0000-0700-000014000000}">
      <formula1>"13cm,15cm"</formula1>
    </dataValidation>
    <dataValidation type="list" allowBlank="1" showInputMessage="1" showErrorMessage="1" sqref="F67" xr:uid="{00000000-0002-0000-0700-000015000000}">
      <formula1>"S型,L型"</formula1>
    </dataValidation>
  </dataValidation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5"/>
  </sheetPr>
  <dimension ref="A2:X282"/>
  <sheetViews>
    <sheetView view="pageBreakPreview" topLeftCell="A217" zoomScaleNormal="100" zoomScaleSheetLayoutView="100" workbookViewId="0">
      <selection activeCell="C229" sqref="C229:C244"/>
    </sheetView>
  </sheetViews>
  <sheetFormatPr defaultRowHeight="16.5"/>
  <cols>
    <col min="1" max="1" width="5.25" style="985" customWidth="1"/>
    <col min="2" max="3" width="9.125" style="986" customWidth="1"/>
    <col min="4" max="4" width="9.125" style="987" customWidth="1"/>
    <col min="5" max="5" width="9.125" style="986" customWidth="1"/>
    <col min="6" max="7" width="9.125" style="988" customWidth="1"/>
    <col min="8" max="9" width="9.125" style="986" customWidth="1"/>
    <col min="10" max="10" width="9.125" style="944" customWidth="1"/>
    <col min="11" max="11" width="9.125" style="114" customWidth="1"/>
    <col min="12" max="13" width="9" style="1"/>
    <col min="14" max="14" width="9.5" style="1" bestFit="1" customWidth="1"/>
    <col min="15" max="15" width="5.5" style="1" hidden="1" customWidth="1"/>
    <col min="16" max="16" width="9.5" style="1" bestFit="1" customWidth="1"/>
    <col min="17" max="16384" width="9" style="1"/>
  </cols>
  <sheetData>
    <row r="2" spans="2:15">
      <c r="B2" s="1"/>
      <c r="C2" s="1155" t="s">
        <v>3760</v>
      </c>
      <c r="D2" s="1490" t="s">
        <v>4363</v>
      </c>
      <c r="E2" s="1490"/>
      <c r="F2" s="1490"/>
      <c r="G2" s="1491"/>
      <c r="H2" s="1492"/>
      <c r="I2" s="1492"/>
      <c r="J2" s="1493"/>
      <c r="K2" s="704"/>
    </row>
    <row r="3" spans="2:15" ht="17.25" thickBot="1">
      <c r="B3" s="1"/>
      <c r="C3" s="1156" t="s">
        <v>3984</v>
      </c>
      <c r="D3" s="1494" t="str">
        <f>合約!A4</f>
        <v>工程名稱：114年度續約-113年度雨水下水道預約維護工程(士林、大同區)</v>
      </c>
      <c r="E3" s="1495"/>
      <c r="F3" s="1495"/>
      <c r="G3" s="1495"/>
      <c r="H3" s="1495"/>
      <c r="I3" s="1495"/>
      <c r="J3" s="1496"/>
      <c r="K3" s="704"/>
    </row>
    <row r="4" spans="2:15">
      <c r="B4" s="1153"/>
      <c r="C4" s="1153"/>
      <c r="D4" s="1153"/>
      <c r="E4" s="1153"/>
      <c r="F4" s="1153"/>
      <c r="G4" s="1153"/>
      <c r="H4" s="1153"/>
      <c r="I4" s="1153"/>
      <c r="J4" s="961"/>
      <c r="K4" s="704"/>
    </row>
    <row r="5" spans="2:15">
      <c r="B5" s="1498" t="s">
        <v>4356</v>
      </c>
      <c r="C5" s="1499"/>
      <c r="D5" s="1499"/>
      <c r="E5" s="1499"/>
      <c r="F5" s="1499"/>
      <c r="G5" s="1499"/>
      <c r="H5" s="1499"/>
      <c r="I5" s="1499"/>
      <c r="K5" s="1157" t="s">
        <v>3985</v>
      </c>
    </row>
    <row r="6" spans="2:15">
      <c r="B6" s="1499"/>
      <c r="C6" s="1499"/>
      <c r="D6" s="1499"/>
      <c r="E6" s="1499"/>
      <c r="F6" s="1499"/>
      <c r="G6" s="1499"/>
      <c r="H6" s="1499"/>
      <c r="I6" s="1499"/>
      <c r="K6" s="560" t="s">
        <v>3990</v>
      </c>
    </row>
    <row r="7" spans="2:15">
      <c r="B7" s="1499"/>
      <c r="C7" s="1499"/>
      <c r="D7" s="1499"/>
      <c r="E7" s="1499"/>
      <c r="F7" s="1499"/>
      <c r="G7" s="1499"/>
      <c r="H7" s="1499"/>
      <c r="I7" s="1499"/>
      <c r="K7" s="1158" t="s">
        <v>3989</v>
      </c>
    </row>
    <row r="8" spans="2:15">
      <c r="B8" s="1500"/>
      <c r="C8" s="1500"/>
      <c r="D8" s="1500"/>
      <c r="E8" s="1500"/>
      <c r="F8" s="1500"/>
      <c r="G8" s="1500"/>
      <c r="H8" s="1500"/>
      <c r="I8" s="1500"/>
      <c r="K8" s="1159" t="s">
        <v>3988</v>
      </c>
    </row>
    <row r="9" spans="2:15" ht="17.25" thickBot="1">
      <c r="B9" s="990"/>
      <c r="C9" s="990"/>
      <c r="D9" s="990"/>
      <c r="E9" s="990"/>
      <c r="F9" s="990"/>
      <c r="G9" s="990"/>
      <c r="H9" s="990"/>
      <c r="J9" s="961" t="s">
        <v>3991</v>
      </c>
      <c r="K9" s="1160" t="s">
        <v>3986</v>
      </c>
    </row>
    <row r="10" spans="2:15">
      <c r="B10" s="1486" t="s">
        <v>3684</v>
      </c>
      <c r="C10" s="1501"/>
      <c r="D10" s="1154" t="s">
        <v>3811</v>
      </c>
      <c r="E10" s="992" t="s">
        <v>3692</v>
      </c>
      <c r="F10" s="993" t="s">
        <v>3693</v>
      </c>
      <c r="G10" s="993" t="s">
        <v>3694</v>
      </c>
      <c r="H10" s="994" t="s">
        <v>3695</v>
      </c>
      <c r="J10" s="961" t="s">
        <v>3991</v>
      </c>
      <c r="K10" s="1161" t="s">
        <v>3987</v>
      </c>
      <c r="M10" s="1391"/>
      <c r="N10" s="1507"/>
      <c r="O10" s="1507"/>
    </row>
    <row r="11" spans="2:15" ht="16.5" customHeight="1">
      <c r="B11" s="1502"/>
      <c r="C11" s="1503"/>
      <c r="D11" s="995">
        <v>5</v>
      </c>
      <c r="E11" s="996" t="str">
        <f>自主檢查表!$E$2</f>
        <v>搶修案</v>
      </c>
      <c r="F11" s="997" t="s">
        <v>2977</v>
      </c>
      <c r="G11" s="997" t="s">
        <v>3764</v>
      </c>
      <c r="H11" s="998" t="s">
        <v>3679</v>
      </c>
      <c r="J11" s="1"/>
      <c r="K11" s="1"/>
      <c r="M11" s="1507"/>
      <c r="N11" s="1507"/>
      <c r="O11" s="1507"/>
    </row>
    <row r="12" spans="2:15">
      <c r="B12" s="999" t="s">
        <v>3698</v>
      </c>
      <c r="C12" s="989" t="s">
        <v>3697</v>
      </c>
      <c r="D12" s="1000" t="s">
        <v>3699</v>
      </c>
      <c r="E12" s="989" t="s">
        <v>3701</v>
      </c>
      <c r="F12" s="989" t="s">
        <v>3700</v>
      </c>
      <c r="G12" s="989" t="s">
        <v>3702</v>
      </c>
      <c r="H12" s="1001"/>
      <c r="J12" s="1"/>
      <c r="K12" s="1"/>
      <c r="M12" s="1507"/>
      <c r="N12" s="1507"/>
      <c r="O12" s="1507"/>
    </row>
    <row r="13" spans="2:15" ht="17.25" thickBot="1">
      <c r="B13" s="1002">
        <v>40</v>
      </c>
      <c r="C13" s="1003">
        <v>58</v>
      </c>
      <c r="D13" s="1003">
        <v>20</v>
      </c>
      <c r="E13" s="1003">
        <v>40</v>
      </c>
      <c r="F13" s="1003">
        <v>58</v>
      </c>
      <c r="G13" s="1003">
        <v>20</v>
      </c>
      <c r="H13" s="1004"/>
      <c r="J13" s="1"/>
      <c r="K13" s="1"/>
    </row>
    <row r="14" spans="2:15" ht="17.25" customHeight="1" thickBot="1">
      <c r="B14" s="1473" t="s">
        <v>3734</v>
      </c>
      <c r="C14" s="1474"/>
      <c r="D14" s="1475"/>
      <c r="E14" s="1476" t="s">
        <v>3767</v>
      </c>
      <c r="F14" s="1477"/>
      <c r="G14" s="1478"/>
      <c r="H14" s="1005"/>
      <c r="J14" s="1"/>
      <c r="K14" s="1"/>
    </row>
    <row r="15" spans="2:15">
      <c r="B15" s="1006" t="s">
        <v>3739</v>
      </c>
      <c r="C15" s="1007" t="s">
        <v>3740</v>
      </c>
      <c r="D15" s="1008" t="s">
        <v>3768</v>
      </c>
      <c r="E15" s="1006" t="s">
        <v>3739</v>
      </c>
      <c r="F15" s="1007" t="s">
        <v>3740</v>
      </c>
      <c r="G15" s="1008" t="s">
        <v>3768</v>
      </c>
      <c r="H15" s="1009" t="s">
        <v>3742</v>
      </c>
      <c r="J15" s="1"/>
      <c r="K15" s="1"/>
    </row>
    <row r="16" spans="2:15" ht="17.25" thickBot="1">
      <c r="B16" s="1010">
        <f>IF(D13=15,(B13+20)+(C13+10)*2,(B13+30)+(C13+10)*2)</f>
        <v>206</v>
      </c>
      <c r="C16" s="1011">
        <v>7</v>
      </c>
      <c r="D16" s="1012">
        <f>ROUND((B16/100)*C16*0.994,2)</f>
        <v>14.33</v>
      </c>
      <c r="E16" s="1010">
        <v>100</v>
      </c>
      <c r="F16" s="1011">
        <f>((ROUND((B13+30)/25,0))+1)+(ROUND((C13+10)/25,0))*2</f>
        <v>10</v>
      </c>
      <c r="G16" s="1012">
        <f>ROUND((E16/100)*F16*0.56,2)</f>
        <v>5.6</v>
      </c>
      <c r="H16" s="1013">
        <f>D16+G16</f>
        <v>19.93</v>
      </c>
      <c r="J16" s="1"/>
      <c r="K16" s="1"/>
      <c r="M16" s="688"/>
    </row>
    <row r="18" spans="1:11">
      <c r="A18" s="43" t="s">
        <v>2945</v>
      </c>
      <c r="B18" s="1014" t="str">
        <f>"側溝"&amp;D20&amp;"-溝寬"&amp; D22 &amp;"m*平均溝深" &amp; D21 &amp;"m 頂板另計"</f>
        <v>側溝更新-溝寬0.4m*平均溝深0.58m 頂板另計</v>
      </c>
      <c r="C18" s="1014"/>
      <c r="D18" s="1015"/>
      <c r="E18" s="1016"/>
      <c r="F18" s="1017"/>
      <c r="G18" s="1017"/>
      <c r="H18" s="1018" t="s">
        <v>2959</v>
      </c>
      <c r="I18" s="1019" t="s">
        <v>19</v>
      </c>
      <c r="J18" s="122">
        <v>1</v>
      </c>
      <c r="K18" s="121" t="s">
        <v>2934</v>
      </c>
    </row>
    <row r="19" spans="1:11">
      <c r="A19" s="110"/>
      <c r="B19" s="1020"/>
      <c r="C19" s="1018" t="s">
        <v>2862</v>
      </c>
      <c r="D19" s="568">
        <f>D11</f>
        <v>5</v>
      </c>
      <c r="E19" s="1021" t="str">
        <f>K18</f>
        <v>m</v>
      </c>
      <c r="F19" s="1022"/>
      <c r="G19" s="1022"/>
      <c r="H19" s="1018"/>
      <c r="I19" s="1023"/>
      <c r="J19" s="943"/>
      <c r="K19" s="108"/>
    </row>
    <row r="20" spans="1:11">
      <c r="A20" s="110"/>
      <c r="B20" s="1020"/>
      <c r="C20" s="1018" t="s">
        <v>2976</v>
      </c>
      <c r="D20" s="976" t="str">
        <f>F11</f>
        <v>更新</v>
      </c>
      <c r="E20" s="1021"/>
      <c r="F20" s="1022"/>
      <c r="G20" s="1022"/>
      <c r="H20" s="1018"/>
      <c r="I20" s="1023"/>
      <c r="J20" s="943"/>
      <c r="K20" s="108"/>
    </row>
    <row r="21" spans="1:11">
      <c r="A21" s="110"/>
      <c r="B21" s="1020"/>
      <c r="C21" s="1018" t="s">
        <v>3670</v>
      </c>
      <c r="D21" s="568">
        <f>C13*0.01</f>
        <v>0.57999999999999996</v>
      </c>
      <c r="E21" s="1021" t="s">
        <v>2974</v>
      </c>
      <c r="F21" s="1018"/>
      <c r="G21" s="1018" t="str">
        <f>IF($G$11="無既有溝"," ","既有溝深=")</f>
        <v>既有溝深=</v>
      </c>
      <c r="H21" s="1025">
        <f>IF($G$11="無既有溝"," ",F13*0.01)</f>
        <v>0.57999999999999996</v>
      </c>
      <c r="I21" s="1021" t="str">
        <f>IF($G$11="無既有溝"," ","m")</f>
        <v>m</v>
      </c>
      <c r="K21" s="108"/>
    </row>
    <row r="22" spans="1:11">
      <c r="A22" s="110"/>
      <c r="B22" s="1020"/>
      <c r="C22" s="1018" t="s">
        <v>2969</v>
      </c>
      <c r="D22" s="568">
        <f>B13*0.01</f>
        <v>0.4</v>
      </c>
      <c r="E22" s="1021" t="s">
        <v>2974</v>
      </c>
      <c r="F22" s="1018"/>
      <c r="G22" s="1018" t="str">
        <f>IF($G$11="無既有溝"," ","既有溝寬=")</f>
        <v>既有溝寬=</v>
      </c>
      <c r="H22" s="1025">
        <f>IF($G$11="無既有溝"," ",E13*0.01)</f>
        <v>0.4</v>
      </c>
      <c r="I22" s="1021" t="str">
        <f>IF($G$11="無既有溝"," ","m")</f>
        <v>m</v>
      </c>
      <c r="J22" s="943"/>
      <c r="K22" s="108"/>
    </row>
    <row r="23" spans="1:11">
      <c r="A23" s="110"/>
      <c r="B23" s="1020"/>
      <c r="C23" s="1018" t="s">
        <v>2975</v>
      </c>
      <c r="D23" s="568">
        <f>D13*0.01</f>
        <v>0.2</v>
      </c>
      <c r="E23" s="1021" t="s">
        <v>2974</v>
      </c>
      <c r="F23" s="1018"/>
      <c r="G23" s="1018" t="str">
        <f>IF($G$11="無既有溝"," ","既有牆寬=")</f>
        <v>既有牆寬=</v>
      </c>
      <c r="H23" s="1025">
        <f>IF($G$11="無既有溝"," ",G13*0.01)</f>
        <v>0.2</v>
      </c>
      <c r="I23" s="1021" t="str">
        <f>IF($G$11="無既有溝"," ","m")</f>
        <v>m</v>
      </c>
      <c r="J23" s="943"/>
      <c r="K23" s="108"/>
    </row>
    <row r="24" spans="1:11">
      <c r="A24" s="110"/>
      <c r="B24" s="1026" t="str">
        <f>IF(C24=" "," ",VLOOKUP(C24,合約!B:I,7,FALSE))</f>
        <v>0232340003</v>
      </c>
      <c r="C24" s="113" t="str">
        <f>IF(計算資料!H16=0, " ", 計算資料!H16)</f>
        <v>餘方自行處理(含水土保持)，總重15t以下傾卸貨車</v>
      </c>
      <c r="D24" s="1027"/>
      <c r="E24" s="1020"/>
      <c r="F24" s="1028"/>
      <c r="G24" s="1028"/>
      <c r="H24" s="1024"/>
      <c r="I24" s="1029" t="str">
        <f>IF(C24=" "," ","=")</f>
        <v>=</v>
      </c>
      <c r="J24" s="945">
        <f>IF(C25=" "," ",kk)</f>
        <v>0.44919999999999999</v>
      </c>
      <c r="K24" s="108" t="str">
        <f>IF(C25=" "," ",VLOOKUP(C24,合約!B:H,2,FALSE))</f>
        <v>B.M3</v>
      </c>
    </row>
    <row r="25" spans="1:11">
      <c r="A25" s="110"/>
      <c r="B25" s="1020"/>
      <c r="C25" s="1030" t="str">
        <f>IF(計算資料!H17=0, " ", 計算資料!H17)</f>
        <v>(0.8*(0.58+0.25)-(0.38*0.4)-((0.2^2)*3.14*0.5))</v>
      </c>
      <c r="D25" s="1027"/>
      <c r="E25" s="1031"/>
      <c r="F25" s="1028"/>
      <c r="G25" s="1028"/>
      <c r="H25" s="1024"/>
      <c r="I25" s="1029"/>
      <c r="J25" s="945"/>
      <c r="K25" s="108"/>
    </row>
    <row r="26" spans="1:11">
      <c r="A26" s="110"/>
      <c r="B26" s="1026" t="str">
        <f>IF(C26=" "," ",VLOOKUP(C26,合約!B:I,7,FALSE))</f>
        <v>0331023003</v>
      </c>
      <c r="C26" s="113" t="str">
        <f>IF(計算資料!H18=0, " ", 計算資料!H18)</f>
        <v>結構用混凝土，預拌，140kgf/cm2</v>
      </c>
      <c r="D26" s="1027"/>
      <c r="E26" s="1020"/>
      <c r="F26" s="1028"/>
      <c r="G26" s="1028"/>
      <c r="H26" s="1024"/>
      <c r="I26" s="1029" t="str">
        <f>IF(C26=" "," ","=")</f>
        <v>=</v>
      </c>
      <c r="J26" s="945">
        <f>IF(C27=" "," ",kk)</f>
        <v>4.0000000000000008E-2</v>
      </c>
      <c r="K26" s="108" t="str">
        <f>IF(C27=" "," ",VLOOKUP(C26,合約!B:H,2,FALSE))</f>
        <v>M3</v>
      </c>
    </row>
    <row r="27" spans="1:11">
      <c r="A27" s="110"/>
      <c r="B27" s="1020"/>
      <c r="C27" s="1030" t="str">
        <f>IF(計算資料!H19=0, " ", 計算資料!H19)</f>
        <v>(0.4+0.2+0.2)*0.05</v>
      </c>
      <c r="D27" s="1027"/>
      <c r="E27" s="1031"/>
      <c r="F27" s="1028"/>
      <c r="G27" s="1028"/>
      <c r="H27" s="1024"/>
      <c r="I27" s="1029"/>
      <c r="J27" s="945"/>
      <c r="K27" s="108"/>
    </row>
    <row r="28" spans="1:11">
      <c r="A28" s="110"/>
      <c r="B28" s="1026" t="str">
        <f>IF(C28=" "," ",VLOOKUP(C28,合約!B:I,7,FALSE))</f>
        <v>0331025003</v>
      </c>
      <c r="C28" s="113" t="str">
        <f>IF(計算資料!H20=0, " ", 計算資料!H20)</f>
        <v>結構用混凝土，預拌，210kgf/cm2</v>
      </c>
      <c r="D28" s="1027"/>
      <c r="E28" s="1020"/>
      <c r="F28" s="1028"/>
      <c r="G28" s="1028"/>
      <c r="H28" s="1024"/>
      <c r="I28" s="1029" t="str">
        <f>IF(C28=" "," ","=")</f>
        <v>=</v>
      </c>
      <c r="J28" s="945">
        <f>IF(C29=" "," ",kk)</f>
        <v>0.4296600000000001</v>
      </c>
      <c r="K28" s="108" t="str">
        <f>IF(C29=" "," ",VLOOKUP(C28,合約!B:H,2,FALSE))</f>
        <v>M3</v>
      </c>
    </row>
    <row r="29" spans="1:11">
      <c r="A29" s="110"/>
      <c r="B29" s="1020"/>
      <c r="C29" s="1030" t="str">
        <f>IF(計算資料!H21=0, " ", 計算資料!H21)</f>
        <v>(0.8*(0.58+0.2)-(0.38*0.4)-((0.2^2)*3.14*0.5))*1.05</v>
      </c>
      <c r="D29" s="1027"/>
      <c r="E29" s="1031"/>
      <c r="F29" s="1028"/>
      <c r="G29" s="1028"/>
      <c r="H29" s="1024"/>
      <c r="I29" s="1029"/>
      <c r="J29" s="945"/>
      <c r="K29" s="108"/>
    </row>
    <row r="30" spans="1:11">
      <c r="A30" s="110"/>
      <c r="B30" s="1026" t="str">
        <f>IF(C30=" "," ",VLOOKUP(C30,合約!B:I,7,FALSE))</f>
        <v>03110900a1</v>
      </c>
      <c r="C30" s="113" t="str">
        <f>IF(計算資料!H22=0, " ", 計算資料!H22)</f>
        <v>鋼製模板，U型溝用，W=40cm，L=120cm.</v>
      </c>
      <c r="D30" s="1027"/>
      <c r="E30" s="1020"/>
      <c r="F30" s="1028"/>
      <c r="G30" s="1028"/>
      <c r="H30" s="1024"/>
      <c r="I30" s="1029" t="str">
        <f>IF(C30=" "," ","=")</f>
        <v>=</v>
      </c>
      <c r="J30" s="945">
        <f>IF(C31=" "," ",kk)</f>
        <v>1</v>
      </c>
      <c r="K30" s="108" t="str">
        <f>IF(C31=" "," ",VLOOKUP(C30,合約!B:H,2,FALSE))</f>
        <v>M</v>
      </c>
    </row>
    <row r="31" spans="1:11">
      <c r="A31" s="110"/>
      <c r="B31" s="1020"/>
      <c r="C31" s="1030" t="str">
        <f>IF(計算資料!H23=0, " ", 計算資料!H23)</f>
        <v>1</v>
      </c>
      <c r="D31" s="1027"/>
      <c r="E31" s="1024"/>
      <c r="F31" s="1032"/>
      <c r="G31" s="1032"/>
      <c r="H31" s="1024"/>
      <c r="I31" s="1029"/>
      <c r="J31" s="945"/>
      <c r="K31" s="108"/>
    </row>
    <row r="32" spans="1:11">
      <c r="A32" s="110"/>
      <c r="B32" s="1026" t="str">
        <f>IF(C32=" "," ",VLOOKUP(C32,合約!B:I,7,FALSE))</f>
        <v>0321041009</v>
      </c>
      <c r="C32" s="113" t="str">
        <f>IF(計算資料!H24=0, " ", 計算資料!H24)</f>
        <v>鋼筋，SD280W.</v>
      </c>
      <c r="D32" s="1027"/>
      <c r="E32" s="1020"/>
      <c r="F32" s="1032"/>
      <c r="G32" s="1032"/>
      <c r="H32" s="1024"/>
      <c r="I32" s="1029" t="str">
        <f>IF(C32=" "," ","=")</f>
        <v>=</v>
      </c>
      <c r="J32" s="945">
        <f>IF(C33=" "," ",kk)</f>
        <v>19.93</v>
      </c>
      <c r="K32" s="108" t="str">
        <f>IF(C33=" "," ",VLOOKUP(C32,合約!B:H,2,FALSE))</f>
        <v>KG</v>
      </c>
    </row>
    <row r="33" spans="1:22">
      <c r="A33" s="110"/>
      <c r="B33" s="1020"/>
      <c r="C33" s="1030" t="str">
        <f>IF(計算資料!H25=0, " ", 計算資料!H25)</f>
        <v>14.33+5.6</v>
      </c>
      <c r="D33" s="1027"/>
      <c r="E33" s="1024"/>
      <c r="F33" s="1032"/>
      <c r="G33" s="1033"/>
      <c r="H33" s="1024"/>
      <c r="I33" s="1029"/>
      <c r="J33" s="945"/>
      <c r="K33" s="108"/>
    </row>
    <row r="34" spans="1:22">
      <c r="A34" s="110"/>
      <c r="B34" s="1026" t="str">
        <f>IF(C34=" "," ",VLOOKUP(C34,合約!B:I,7,FALSE))</f>
        <v xml:space="preserve"> </v>
      </c>
      <c r="C34" s="113" t="str">
        <f>IF(計算資料!H26=0, " ", 計算資料!H26)</f>
        <v xml:space="preserve"> </v>
      </c>
      <c r="D34" s="1027"/>
      <c r="E34" s="1020"/>
      <c r="F34" s="1032"/>
      <c r="G34" s="1032"/>
      <c r="H34" s="1024"/>
      <c r="I34" s="1029" t="str">
        <f>IF(C34=" "," ","=")</f>
        <v xml:space="preserve"> </v>
      </c>
      <c r="J34" s="945" t="str">
        <f>IF(C35=" "," ",kk)</f>
        <v xml:space="preserve"> </v>
      </c>
      <c r="K34" s="108" t="str">
        <f>IF(C35=" "," ",VLOOKUP(C34,合約!B:H,2,FALSE))</f>
        <v xml:space="preserve"> </v>
      </c>
    </row>
    <row r="35" spans="1:22">
      <c r="A35" s="110"/>
      <c r="B35" s="1020"/>
      <c r="C35" s="1030" t="str">
        <f>IF(計算資料!H27=0, " ", 計算資料!H27)</f>
        <v xml:space="preserve"> </v>
      </c>
      <c r="D35" s="1027"/>
      <c r="E35" s="1024"/>
      <c r="F35" s="1032"/>
      <c r="G35" s="1032"/>
      <c r="H35" s="1024"/>
      <c r="I35" s="1029"/>
      <c r="J35" s="945"/>
      <c r="K35" s="108"/>
    </row>
    <row r="36" spans="1:22">
      <c r="A36" s="110"/>
      <c r="B36" s="1026" t="str">
        <f>IF(C36=" "," ",VLOOKUP(C36,合約!B:I,7,FALSE))</f>
        <v xml:space="preserve"> </v>
      </c>
      <c r="C36" s="113" t="str">
        <f>IF(計算資料!H28=0, " ", 計算資料!H28)</f>
        <v xml:space="preserve"> </v>
      </c>
      <c r="D36" s="1027"/>
      <c r="E36" s="1020"/>
      <c r="F36" s="1028"/>
      <c r="G36" s="1028"/>
      <c r="H36" s="1024"/>
      <c r="I36" s="1029" t="str">
        <f>IF(C36=" "," ","=")</f>
        <v xml:space="preserve"> </v>
      </c>
      <c r="J36" s="945" t="str">
        <f>IF(C37=" "," ",kk)</f>
        <v xml:space="preserve"> </v>
      </c>
      <c r="K36" s="108" t="str">
        <f>IF(C37=" "," ",VLOOKUP(C36,合約!B:H,2,FALSE))</f>
        <v xml:space="preserve"> </v>
      </c>
    </row>
    <row r="37" spans="1:22">
      <c r="A37" s="110"/>
      <c r="B37" s="1020"/>
      <c r="C37" s="1030" t="str">
        <f>IF(計算資料!H29=0, " ", 計算資料!H29)</f>
        <v xml:space="preserve"> </v>
      </c>
      <c r="D37" s="1027"/>
      <c r="E37" s="1031"/>
      <c r="F37" s="1028"/>
      <c r="G37" s="1028"/>
      <c r="H37" s="1024"/>
      <c r="I37" s="1029"/>
      <c r="J37" s="945"/>
      <c r="K37" s="108"/>
    </row>
    <row r="38" spans="1:22">
      <c r="A38" s="110"/>
      <c r="B38" s="1026" t="str">
        <f>IF(C38=" "," ",VLOOKUP(C38,合約!B:I,7,FALSE))</f>
        <v xml:space="preserve"> </v>
      </c>
      <c r="C38" s="113" t="str">
        <f>IF(計算資料!H30=0, " ", 計算資料!H30)</f>
        <v xml:space="preserve"> </v>
      </c>
      <c r="D38" s="1027"/>
      <c r="E38" s="1020"/>
      <c r="F38" s="1028"/>
      <c r="G38" s="1028"/>
      <c r="H38" s="1024"/>
      <c r="I38" s="1029" t="str">
        <f>IF(C38=" "," ","=")</f>
        <v xml:space="preserve"> </v>
      </c>
      <c r="J38" s="945" t="str">
        <f>IF(C39=" "," ",kk)</f>
        <v xml:space="preserve"> </v>
      </c>
      <c r="K38" s="108" t="str">
        <f>IF(C39=" "," ",VLOOKUP(C38,合約!B:H,2,FALSE))</f>
        <v xml:space="preserve"> </v>
      </c>
    </row>
    <row r="39" spans="1:22">
      <c r="A39" s="110"/>
      <c r="B39" s="1020"/>
      <c r="C39" s="1030" t="str">
        <f>IF(計算資料!H31=0, " ", 計算資料!H31)</f>
        <v xml:space="preserve"> </v>
      </c>
      <c r="I39" s="1029"/>
      <c r="J39" s="945"/>
      <c r="K39" s="108"/>
      <c r="T39" s="239"/>
      <c r="U39" s="239"/>
      <c r="V39" s="6"/>
    </row>
    <row r="40" spans="1:22">
      <c r="A40" s="110"/>
      <c r="B40" s="1026" t="str">
        <f>IF(C40=" "," ",VLOOKUP(C40,合約!B:I,7,FALSE))</f>
        <v xml:space="preserve"> </v>
      </c>
      <c r="C40" s="113" t="str">
        <f>IF(計算資料!H32=0, " ", 計算資料!H32)</f>
        <v xml:space="preserve"> </v>
      </c>
      <c r="I40" s="1029" t="str">
        <f>IF(C40=" "," ","=")</f>
        <v xml:space="preserve"> </v>
      </c>
      <c r="J40" s="945" t="str">
        <f>IF(C41=" "," ",kk)</f>
        <v xml:space="preserve"> </v>
      </c>
      <c r="K40" s="108" t="str">
        <f>IF(C41=" "," ",VLOOKUP(C40,合約!B:H,2,FALSE))</f>
        <v xml:space="preserve"> </v>
      </c>
      <c r="T40" s="239"/>
      <c r="U40" s="239"/>
      <c r="V40" s="6"/>
    </row>
    <row r="41" spans="1:22">
      <c r="A41" s="110"/>
      <c r="B41" s="1020"/>
      <c r="C41" s="1030" t="str">
        <f>IF(計算資料!H33=0, " ", 計算資料!H33)</f>
        <v xml:space="preserve"> </v>
      </c>
      <c r="D41" s="1034"/>
      <c r="I41" s="1029"/>
      <c r="J41" s="945"/>
      <c r="K41" s="108"/>
      <c r="P41" s="390"/>
      <c r="Q41" s="239"/>
      <c r="R41" s="239"/>
      <c r="S41" s="372"/>
      <c r="T41" s="239"/>
      <c r="U41" s="239"/>
      <c r="V41" s="6"/>
    </row>
    <row r="42" spans="1:22">
      <c r="A42" s="110"/>
      <c r="C42" s="113" t="str">
        <f>IF(計算資料!H34=0, " ", 計算資料!H34)</f>
        <v xml:space="preserve"> </v>
      </c>
      <c r="I42" s="1029" t="str">
        <f>IF(C42=" "," ","=")</f>
        <v xml:space="preserve"> </v>
      </c>
      <c r="J42" s="945" t="str">
        <f>IF(C43=" "," ",kk)</f>
        <v xml:space="preserve"> </v>
      </c>
      <c r="K42" s="108" t="str">
        <f>IF(C43=" "," ",VLOOKUP(C42,合約!B:H,2,FALSE))</f>
        <v xml:space="preserve"> </v>
      </c>
      <c r="P42" s="390"/>
      <c r="Q42" s="239"/>
      <c r="R42" s="239"/>
      <c r="S42" s="372"/>
      <c r="T42" s="239"/>
      <c r="U42" s="239"/>
      <c r="V42" s="6"/>
    </row>
    <row r="43" spans="1:22">
      <c r="A43" s="110"/>
      <c r="C43" s="113" t="str">
        <f>IF(計算資料!H35=0, " ", 計算資料!H35)</f>
        <v xml:space="preserve"> </v>
      </c>
      <c r="I43" s="1029"/>
      <c r="J43" s="945"/>
      <c r="K43" s="108"/>
      <c r="P43" s="390"/>
      <c r="Q43" s="239"/>
      <c r="R43" s="239"/>
      <c r="S43" s="372"/>
      <c r="T43" s="239"/>
      <c r="U43" s="239"/>
      <c r="V43" s="6"/>
    </row>
    <row r="44" spans="1:22" ht="17.25" thickBot="1">
      <c r="A44" s="110"/>
      <c r="C44" s="1030"/>
      <c r="P44" s="390"/>
      <c r="Q44" s="239"/>
      <c r="R44" s="239"/>
      <c r="S44" s="372"/>
      <c r="T44" s="239"/>
      <c r="U44" s="239"/>
      <c r="V44" s="6"/>
    </row>
    <row r="45" spans="1:22">
      <c r="A45" s="110"/>
      <c r="B45" s="1459" t="s">
        <v>3727</v>
      </c>
      <c r="C45" s="1504"/>
      <c r="D45" s="991" t="s">
        <v>3811</v>
      </c>
      <c r="E45" s="993" t="s">
        <v>3692</v>
      </c>
      <c r="F45" s="993" t="s">
        <v>3693</v>
      </c>
      <c r="G45" s="993" t="s">
        <v>3694</v>
      </c>
      <c r="H45" s="993" t="s">
        <v>3695</v>
      </c>
      <c r="I45" s="1035">
        <v>0</v>
      </c>
      <c r="J45" s="408"/>
      <c r="K45" s="410"/>
      <c r="P45" s="239"/>
      <c r="Q45" s="239"/>
      <c r="R45" s="239"/>
      <c r="S45" s="372"/>
      <c r="T45" s="239"/>
      <c r="U45" s="239"/>
      <c r="V45" s="6"/>
    </row>
    <row r="46" spans="1:22">
      <c r="A46" s="110"/>
      <c r="B46" s="1505"/>
      <c r="C46" s="1506"/>
      <c r="D46" s="995">
        <v>1</v>
      </c>
      <c r="E46" s="996" t="str">
        <f>自主檢查表!$E$2</f>
        <v>搶修案</v>
      </c>
      <c r="F46" s="997" t="s">
        <v>3672</v>
      </c>
      <c r="G46" s="997" t="s">
        <v>6067</v>
      </c>
      <c r="H46" s="997" t="s">
        <v>3679</v>
      </c>
      <c r="I46" s="1036"/>
      <c r="J46" s="557"/>
      <c r="K46" s="558"/>
      <c r="P46" s="239"/>
      <c r="Q46" s="239"/>
      <c r="R46" s="239"/>
      <c r="S46" s="372"/>
      <c r="T46" s="239"/>
      <c r="U46" s="239"/>
      <c r="V46" s="6"/>
    </row>
    <row r="47" spans="1:22">
      <c r="A47" s="110"/>
      <c r="B47" s="999" t="s">
        <v>3953</v>
      </c>
      <c r="C47" s="989" t="s">
        <v>3954</v>
      </c>
      <c r="D47" s="1000" t="s">
        <v>3955</v>
      </c>
      <c r="E47" s="989" t="s">
        <v>3956</v>
      </c>
      <c r="F47" s="989" t="s">
        <v>3957</v>
      </c>
      <c r="G47" s="989" t="s">
        <v>3958</v>
      </c>
      <c r="H47" s="1037"/>
      <c r="I47" s="1036"/>
      <c r="J47" s="557"/>
      <c r="K47" s="558"/>
      <c r="P47" s="239"/>
      <c r="Q47" s="239"/>
      <c r="R47" s="239"/>
      <c r="S47" s="372"/>
      <c r="T47" s="239"/>
      <c r="U47" s="239"/>
      <c r="V47" s="6"/>
    </row>
    <row r="48" spans="1:22" ht="17.25" thickBot="1">
      <c r="A48" s="110"/>
      <c r="B48" s="1002">
        <v>50</v>
      </c>
      <c r="C48" s="1003">
        <v>75</v>
      </c>
      <c r="D48" s="1003">
        <v>15</v>
      </c>
      <c r="E48" s="1003">
        <v>40</v>
      </c>
      <c r="F48" s="1003">
        <v>60</v>
      </c>
      <c r="G48" s="1003">
        <v>20</v>
      </c>
      <c r="H48" s="1038"/>
      <c r="I48" s="1039"/>
      <c r="J48" s="563"/>
      <c r="K48" s="564"/>
      <c r="P48" s="239"/>
      <c r="Q48" s="239"/>
      <c r="R48" s="239"/>
      <c r="S48" s="372"/>
      <c r="T48" s="239"/>
      <c r="U48" s="239"/>
      <c r="V48" s="6"/>
    </row>
    <row r="49" spans="1:22" ht="17.25" thickBot="1">
      <c r="A49" s="110"/>
      <c r="B49" s="1473" t="s">
        <v>3734</v>
      </c>
      <c r="C49" s="1474"/>
      <c r="D49" s="1475"/>
      <c r="E49" s="1476" t="s">
        <v>3735</v>
      </c>
      <c r="F49" s="1477"/>
      <c r="G49" s="1478"/>
      <c r="H49" s="1415" t="s">
        <v>3774</v>
      </c>
      <c r="I49" s="1416"/>
      <c r="J49" s="1417"/>
      <c r="K49" s="416"/>
      <c r="P49" s="390"/>
      <c r="Q49" s="239"/>
      <c r="R49" s="239"/>
      <c r="S49" s="372"/>
      <c r="T49" s="239"/>
      <c r="U49" s="239"/>
      <c r="V49" s="6"/>
    </row>
    <row r="50" spans="1:22">
      <c r="A50" s="110"/>
      <c r="B50" s="1006" t="s">
        <v>3739</v>
      </c>
      <c r="C50" s="1007" t="s">
        <v>3740</v>
      </c>
      <c r="D50" s="1041" t="s">
        <v>3768</v>
      </c>
      <c r="E50" s="1006" t="s">
        <v>3739</v>
      </c>
      <c r="F50" s="1007" t="s">
        <v>3740</v>
      </c>
      <c r="G50" s="1008" t="s">
        <v>3768</v>
      </c>
      <c r="H50" s="1042" t="s">
        <v>3739</v>
      </c>
      <c r="I50" s="1007" t="s">
        <v>3740</v>
      </c>
      <c r="J50" s="519" t="s">
        <v>3768</v>
      </c>
      <c r="K50" s="565" t="s">
        <v>3742</v>
      </c>
      <c r="P50" s="390"/>
      <c r="Q50" s="239"/>
      <c r="R50" s="239"/>
      <c r="S50" s="372"/>
      <c r="T50" s="239"/>
      <c r="U50" s="239"/>
      <c r="V50" s="6"/>
    </row>
    <row r="51" spans="1:22" ht="17.25" thickBot="1">
      <c r="A51" s="110"/>
      <c r="B51" s="1010">
        <f>(B48+20)+(C48+5)*2</f>
        <v>230</v>
      </c>
      <c r="C51" s="1011">
        <v>7</v>
      </c>
      <c r="D51" s="1044">
        <f>ROUND((B51/100)*C51*0.994,2)</f>
        <v>16</v>
      </c>
      <c r="E51" s="1010">
        <v>140</v>
      </c>
      <c r="F51" s="1011">
        <v>5</v>
      </c>
      <c r="G51" s="1012">
        <v>6.96</v>
      </c>
      <c r="H51" s="1045">
        <v>100</v>
      </c>
      <c r="I51" s="1011">
        <f>(ROUND((C48+5)/25,0))*2</f>
        <v>6</v>
      </c>
      <c r="J51" s="566">
        <f>ROUND((H51/100)*I51*0.56,2)</f>
        <v>3.36</v>
      </c>
      <c r="K51" s="567">
        <f>D51+G51+J51</f>
        <v>26.32</v>
      </c>
      <c r="P51" s="390"/>
      <c r="Q51" s="239"/>
      <c r="R51" s="239"/>
      <c r="S51" s="372"/>
      <c r="T51" s="239"/>
      <c r="U51" s="239"/>
      <c r="V51" s="6"/>
    </row>
    <row r="52" spans="1:22">
      <c r="A52" s="112"/>
      <c r="B52" s="1046" t="s">
        <v>2</v>
      </c>
      <c r="C52" s="1047"/>
      <c r="D52" s="1047"/>
      <c r="E52" s="1047"/>
      <c r="F52" s="1047"/>
      <c r="G52" s="1047"/>
      <c r="H52" s="1047"/>
      <c r="I52" s="1047"/>
      <c r="J52" s="514"/>
      <c r="K52" s="514"/>
      <c r="P52" s="390"/>
      <c r="Q52" s="239"/>
      <c r="R52" s="239"/>
      <c r="S52" s="372"/>
      <c r="T52" s="239"/>
      <c r="U52" s="239"/>
      <c r="V52" s="6"/>
    </row>
    <row r="53" spans="1:22">
      <c r="A53" s="43">
        <v>2</v>
      </c>
      <c r="B53" s="1014" t="str">
        <f>"集水井"&amp;D55&amp;"-井寬"&amp; D57 &amp;"m*井深" &amp; D56 &amp;"m 頂板另計"</f>
        <v>集水井新設-井寬0.5m*井深0.75m 頂板另計</v>
      </c>
      <c r="C53" s="1014"/>
      <c r="D53" s="1015"/>
      <c r="E53" s="1016"/>
      <c r="F53" s="1017"/>
      <c r="G53" s="1017"/>
      <c r="H53" s="1018" t="s">
        <v>2959</v>
      </c>
      <c r="I53" s="1019" t="s">
        <v>19</v>
      </c>
      <c r="J53" s="122">
        <v>1</v>
      </c>
      <c r="K53" s="121" t="s">
        <v>3952</v>
      </c>
    </row>
    <row r="54" spans="1:22" s="114" customFormat="1">
      <c r="A54" s="110"/>
      <c r="B54" s="1020"/>
      <c r="C54" s="1018" t="s">
        <v>2862</v>
      </c>
      <c r="D54" s="976">
        <f>D46</f>
        <v>1</v>
      </c>
      <c r="E54" s="1021" t="str">
        <f>K53</f>
        <v>座</v>
      </c>
      <c r="F54" s="1020"/>
      <c r="G54" s="1020"/>
      <c r="H54" s="1024"/>
      <c r="I54" s="1029"/>
      <c r="J54" s="948"/>
      <c r="K54" s="108"/>
    </row>
    <row r="55" spans="1:22">
      <c r="A55" s="110"/>
      <c r="B55" s="1020"/>
      <c r="C55" s="1018" t="s">
        <v>2976</v>
      </c>
      <c r="D55" s="976" t="str">
        <f>F46</f>
        <v>新設</v>
      </c>
      <c r="E55" s="1021"/>
      <c r="F55" s="1022"/>
      <c r="G55" s="1022"/>
      <c r="H55" s="1018"/>
      <c r="I55" s="1023"/>
      <c r="J55" s="943"/>
      <c r="K55" s="108"/>
    </row>
    <row r="56" spans="1:22">
      <c r="A56" s="110"/>
      <c r="B56" s="1020"/>
      <c r="C56" s="1018" t="s">
        <v>2985</v>
      </c>
      <c r="D56" s="568">
        <f>C48*0.01</f>
        <v>0.75</v>
      </c>
      <c r="E56" s="1021" t="s">
        <v>2974</v>
      </c>
      <c r="F56" s="1048"/>
      <c r="G56" s="1018" t="str">
        <f>IF($G$46="無既有溝"," ","既有井深=")</f>
        <v xml:space="preserve"> </v>
      </c>
      <c r="H56" s="1025" t="str">
        <f>IF($G$46="無既有溝"," ",F48*0.01)</f>
        <v xml:space="preserve"> </v>
      </c>
      <c r="I56" s="1021" t="str">
        <f>IF($G$46="無既有溝"," ","m")</f>
        <v xml:space="preserve"> </v>
      </c>
      <c r="K56" s="108"/>
    </row>
    <row r="57" spans="1:22">
      <c r="A57" s="110"/>
      <c r="B57" s="1020"/>
      <c r="C57" s="1018" t="s">
        <v>2986</v>
      </c>
      <c r="D57" s="568">
        <f>B48*0.01</f>
        <v>0.5</v>
      </c>
      <c r="E57" s="1021" t="s">
        <v>2974</v>
      </c>
      <c r="F57" s="1022"/>
      <c r="G57" s="1018" t="str">
        <f>IF($G$46="無既有溝"," ","既有井寬=")</f>
        <v xml:space="preserve"> </v>
      </c>
      <c r="H57" s="1025" t="str">
        <f>IF($G$46="無既有溝"," ",E48*0.01)</f>
        <v xml:space="preserve"> </v>
      </c>
      <c r="I57" s="1021" t="str">
        <f>IF($G$46="無既有溝"," ","m")</f>
        <v xml:space="preserve"> </v>
      </c>
      <c r="J57" s="943"/>
      <c r="K57" s="108"/>
    </row>
    <row r="58" spans="1:22">
      <c r="A58" s="110"/>
      <c r="B58" s="1020"/>
      <c r="C58" s="1018" t="s">
        <v>2975</v>
      </c>
      <c r="D58" s="568">
        <f>D48*0.01</f>
        <v>0.15</v>
      </c>
      <c r="E58" s="1021" t="s">
        <v>2974</v>
      </c>
      <c r="F58" s="1022"/>
      <c r="G58" s="1018" t="str">
        <f>IF($G$46="無既有溝"," ","既有牆寬=")</f>
        <v xml:space="preserve"> </v>
      </c>
      <c r="H58" s="1025" t="str">
        <f>IF($G$46="無既有溝"," ",G48*0.01)</f>
        <v xml:space="preserve"> </v>
      </c>
      <c r="I58" s="1021" t="str">
        <f>IF($G$46="無既有溝"," ","m")</f>
        <v xml:space="preserve"> </v>
      </c>
      <c r="J58" s="943"/>
      <c r="K58" s="108"/>
    </row>
    <row r="59" spans="1:22">
      <c r="A59" s="110"/>
      <c r="B59" s="1026" t="str">
        <f>IF(C59=" "," ",VLOOKUP(C59,合約!B:I,7,FALSE))</f>
        <v>0232340003</v>
      </c>
      <c r="C59" s="113" t="str">
        <f>IF(計算資料!H56=0, " ", 計算資料!H56)</f>
        <v>餘方自行處理(含水土保持)，總重15t以下傾卸貨車</v>
      </c>
      <c r="D59" s="1027"/>
      <c r="E59" s="1020"/>
      <c r="F59" s="1028"/>
      <c r="G59" s="1028"/>
      <c r="H59" s="1024"/>
      <c r="I59" s="1029" t="str">
        <f>IF(C59=" "," ","=")</f>
        <v>=</v>
      </c>
      <c r="J59" s="945">
        <f>IF(C60=" "," ",kk)</f>
        <v>0.76</v>
      </c>
      <c r="K59" s="108" t="str">
        <f>IF(C60=" "," ",VLOOKUP(C59,合約!B:H,2,FALSE))</f>
        <v>B.M3</v>
      </c>
      <c r="P59" s="239"/>
      <c r="Q59" s="239"/>
      <c r="R59" s="239"/>
      <c r="S59" s="372"/>
      <c r="T59" s="239"/>
      <c r="U59" s="239"/>
      <c r="V59" s="6"/>
    </row>
    <row r="60" spans="1:22">
      <c r="A60" s="110"/>
      <c r="B60" s="1020"/>
      <c r="C60" s="1030" t="str">
        <f>IF(計算資料!H57=0, " ", 計算資料!H57)</f>
        <v>(0.8*(0.75+0.2))</v>
      </c>
      <c r="D60" s="1027"/>
      <c r="E60" s="1031"/>
      <c r="F60" s="1028"/>
      <c r="G60" s="1028"/>
      <c r="H60" s="1024"/>
      <c r="I60" s="1029"/>
      <c r="J60" s="945"/>
      <c r="K60" s="108"/>
      <c r="P60" s="239"/>
      <c r="Q60" s="239"/>
      <c r="R60" s="239"/>
      <c r="S60" s="372"/>
      <c r="T60" s="239"/>
      <c r="U60" s="239"/>
      <c r="V60" s="6"/>
    </row>
    <row r="61" spans="1:22">
      <c r="A61" s="110"/>
      <c r="B61" s="1026" t="str">
        <f>IF(C61=" "," ",VLOOKUP(C61,合約!B:I,7,FALSE))</f>
        <v>0331023003</v>
      </c>
      <c r="C61" s="113" t="str">
        <f>IF(計算資料!H58=0, " ", 計算資料!H58)</f>
        <v>結構用混凝土，預拌，140kgf/cm2</v>
      </c>
      <c r="D61" s="1027"/>
      <c r="E61" s="1020"/>
      <c r="F61" s="1028"/>
      <c r="G61" s="1028"/>
      <c r="H61" s="1024"/>
      <c r="I61" s="1029" t="str">
        <f>IF(C61=" "," ","=")</f>
        <v>=</v>
      </c>
      <c r="J61" s="945">
        <f>IF(C62=" "," ",kk)</f>
        <v>4.0000000000000008E-2</v>
      </c>
      <c r="K61" s="108" t="str">
        <f>IF(C62=" "," ",VLOOKUP(C61,合約!B:H,2,FALSE))</f>
        <v>M3</v>
      </c>
      <c r="P61" s="239"/>
      <c r="Q61" s="239"/>
      <c r="R61" s="239"/>
      <c r="S61" s="372"/>
      <c r="T61" s="239"/>
      <c r="U61" s="239"/>
      <c r="V61" s="6"/>
    </row>
    <row r="62" spans="1:22">
      <c r="A62" s="110"/>
      <c r="B62" s="1020"/>
      <c r="C62" s="1030" t="str">
        <f>IF(計算資料!H59=0, " ", 計算資料!H59)</f>
        <v>(0.5+0.15+0.15)*0.05</v>
      </c>
      <c r="D62" s="1027"/>
      <c r="E62" s="1031"/>
      <c r="F62" s="1028"/>
      <c r="G62" s="1028"/>
      <c r="H62" s="1024"/>
      <c r="I62" s="1029"/>
      <c r="J62" s="945"/>
      <c r="K62" s="108"/>
      <c r="P62" s="239"/>
      <c r="Q62" s="239"/>
      <c r="R62" s="239"/>
      <c r="S62" s="372"/>
      <c r="T62" s="239"/>
      <c r="U62" s="239"/>
      <c r="V62" s="6"/>
    </row>
    <row r="63" spans="1:22">
      <c r="A63" s="110"/>
      <c r="B63" s="1026" t="str">
        <f>IF(C63=" "," ",VLOOKUP(C63,合約!B:I,7,FALSE))</f>
        <v>0331025003</v>
      </c>
      <c r="C63" s="113" t="str">
        <f>IF(計算資料!H60=0, " ", 計算資料!H60)</f>
        <v>結構用混凝土，預拌，210kgf/cm2</v>
      </c>
      <c r="D63" s="1027"/>
      <c r="E63" s="1020"/>
      <c r="F63" s="1028"/>
      <c r="G63" s="1028"/>
      <c r="H63" s="1024"/>
      <c r="I63" s="1029" t="str">
        <f>IF(C63=" "," ","=")</f>
        <v>=</v>
      </c>
      <c r="J63" s="945">
        <f>IF(C64=" "," ",kk)</f>
        <v>0.48037500000000016</v>
      </c>
      <c r="K63" s="108" t="str">
        <f>IF(C64=" "," ",VLOOKUP(C63,合約!B:H,2,FALSE))</f>
        <v>M3</v>
      </c>
      <c r="P63" s="239"/>
      <c r="Q63" s="239"/>
      <c r="R63" s="239"/>
      <c r="S63" s="372"/>
      <c r="T63" s="239"/>
      <c r="U63" s="239"/>
      <c r="V63" s="6"/>
    </row>
    <row r="64" spans="1:22">
      <c r="A64" s="110"/>
      <c r="B64" s="1020"/>
      <c r="C64" s="1030" t="str">
        <f>IF(計算資料!H61=0, " ", 計算資料!H61)</f>
        <v>(0.8*(0.75+0.15)*(0.7+0.3)-(0.5*0.7*0.75))*1.05</v>
      </c>
      <c r="D64" s="1027"/>
      <c r="E64" s="1031"/>
      <c r="F64" s="1028"/>
      <c r="G64" s="1028"/>
      <c r="H64" s="1024"/>
      <c r="I64" s="1029"/>
      <c r="J64" s="945"/>
      <c r="K64" s="108"/>
      <c r="P64" s="239"/>
      <c r="Q64" s="239"/>
      <c r="R64" s="239"/>
      <c r="S64" s="372"/>
      <c r="T64" s="239"/>
      <c r="U64" s="239"/>
      <c r="V64" s="6"/>
    </row>
    <row r="65" spans="1:22">
      <c r="A65" s="110"/>
      <c r="B65" s="1026" t="str">
        <f>IF(C65=" "," ",VLOOKUP(C65,合約!B:I,7,FALSE))</f>
        <v>0311021312</v>
      </c>
      <c r="C65" s="113" t="str">
        <f>IF(計算資料!H62=0, " ", 計算資料!H62)</f>
        <v>場鑄結構混凝土用模板，清水模板，丙種.</v>
      </c>
      <c r="D65" s="1027"/>
      <c r="E65" s="1020"/>
      <c r="F65" s="1028"/>
      <c r="G65" s="1028"/>
      <c r="H65" s="1024"/>
      <c r="I65" s="1029" t="str">
        <f>IF(C65=" "," ","=")</f>
        <v>=</v>
      </c>
      <c r="J65" s="945">
        <f>IF(C66=" "," ",kk)</f>
        <v>1.7999999999999998</v>
      </c>
      <c r="K65" s="108" t="str">
        <f>IF(C66=" "," ",VLOOKUP(C65,合約!B:H,2,FALSE))</f>
        <v>M2</v>
      </c>
      <c r="P65" s="239"/>
      <c r="Q65" s="239"/>
      <c r="R65" s="239"/>
      <c r="S65" s="372"/>
      <c r="T65" s="239"/>
      <c r="U65" s="239"/>
      <c r="V65" s="6"/>
    </row>
    <row r="66" spans="1:22">
      <c r="A66" s="110"/>
      <c r="B66" s="1020"/>
      <c r="C66" s="1030" t="str">
        <f>IF(計算資料!H63=0, " ", 計算資料!H63)</f>
        <v>(0.5*0.75)*2+(0.7*0.75)*2</v>
      </c>
      <c r="D66" s="1027"/>
      <c r="E66" s="1031"/>
      <c r="F66" s="1028"/>
      <c r="G66" s="1028"/>
      <c r="H66" s="1024"/>
      <c r="I66" s="1029"/>
      <c r="J66" s="945"/>
      <c r="K66" s="108"/>
      <c r="P66" s="239"/>
      <c r="Q66" s="239"/>
      <c r="R66" s="239"/>
      <c r="S66" s="372"/>
      <c r="T66" s="239"/>
      <c r="U66" s="239"/>
      <c r="V66" s="6"/>
    </row>
    <row r="67" spans="1:22">
      <c r="A67" s="110"/>
      <c r="B67" s="1026" t="str">
        <f>IF(C67=" "," ",VLOOKUP(C67,合約!B:I,7,FALSE))</f>
        <v>0321041009</v>
      </c>
      <c r="C67" s="113" t="str">
        <f>IF(計算資料!H64=0, " ", 計算資料!H64)</f>
        <v>鋼筋，SD280W.</v>
      </c>
      <c r="D67" s="1027"/>
      <c r="E67" s="1020"/>
      <c r="F67" s="1028"/>
      <c r="G67" s="1028"/>
      <c r="H67" s="1024"/>
      <c r="I67" s="1029" t="str">
        <f>IF(C67=" "," ","=")</f>
        <v>=</v>
      </c>
      <c r="J67" s="945">
        <f>IF(C68=" "," ",kk)</f>
        <v>26.32</v>
      </c>
      <c r="K67" s="108" t="str">
        <f>IF(C68=" "," ",VLOOKUP(C67,合約!B:H,2,FALSE))</f>
        <v>KG</v>
      </c>
      <c r="P67" s="239"/>
      <c r="Q67" s="239"/>
      <c r="R67" s="239"/>
      <c r="S67" s="372"/>
      <c r="T67" s="239"/>
      <c r="U67" s="239"/>
      <c r="V67" s="6"/>
    </row>
    <row r="68" spans="1:22">
      <c r="A68" s="110"/>
      <c r="B68" s="1020"/>
      <c r="C68" s="1030" t="str">
        <f>IF(計算資料!H65=0, " ", 計算資料!H65)</f>
        <v>16+6.96+3.36</v>
      </c>
      <c r="D68" s="1027"/>
      <c r="E68" s="1031"/>
      <c r="F68" s="1028"/>
      <c r="H68" s="1024"/>
      <c r="I68" s="1029"/>
      <c r="J68" s="945"/>
      <c r="K68" s="108"/>
      <c r="P68" s="239"/>
      <c r="Q68" s="239"/>
      <c r="R68" s="239"/>
      <c r="S68" s="372"/>
      <c r="T68" s="239"/>
      <c r="U68" s="239"/>
      <c r="V68" s="6"/>
    </row>
    <row r="69" spans="1:22">
      <c r="A69" s="110"/>
      <c r="B69" s="1026" t="str">
        <f>IF(C69=" "," ",VLOOKUP(C69,合約!B:I,7,FALSE))</f>
        <v xml:space="preserve"> </v>
      </c>
      <c r="C69" s="113" t="str">
        <f>IF(計算資料!H66=0, " ", 計算資料!H66)</f>
        <v xml:space="preserve"> </v>
      </c>
      <c r="D69" s="1027"/>
      <c r="E69" s="1020"/>
      <c r="F69" s="1028"/>
      <c r="G69" s="1028"/>
      <c r="H69" s="1024"/>
      <c r="I69" s="1029" t="str">
        <f>IF(C69=" "," ","=")</f>
        <v xml:space="preserve"> </v>
      </c>
      <c r="J69" s="945" t="str">
        <f>IF(C70=" "," ",kk)</f>
        <v xml:space="preserve"> </v>
      </c>
      <c r="K69" s="108" t="str">
        <f>IF(C70=" "," ",VLOOKUP(C69,合約!B:H,2,FALSE))</f>
        <v xml:space="preserve"> </v>
      </c>
      <c r="P69" s="239"/>
      <c r="Q69" s="239"/>
      <c r="R69" s="239"/>
      <c r="S69" s="372"/>
      <c r="T69" s="239"/>
      <c r="U69" s="239"/>
      <c r="V69" s="6"/>
    </row>
    <row r="70" spans="1:22">
      <c r="A70" s="110"/>
      <c r="B70" s="1020"/>
      <c r="C70" s="1030" t="str">
        <f>IF(計算資料!H67=0, " ", 計算資料!H67)</f>
        <v xml:space="preserve"> </v>
      </c>
      <c r="D70" s="1027"/>
      <c r="E70" s="1031"/>
      <c r="F70" s="1028"/>
      <c r="G70" s="1028"/>
      <c r="H70" s="1024"/>
      <c r="I70" s="1029"/>
      <c r="J70" s="945"/>
      <c r="K70" s="108"/>
      <c r="P70" s="239"/>
      <c r="Q70" s="239"/>
      <c r="R70" s="239"/>
      <c r="S70" s="372"/>
      <c r="T70" s="239"/>
      <c r="U70" s="239"/>
      <c r="V70" s="6"/>
    </row>
    <row r="71" spans="1:22">
      <c r="A71" s="110"/>
      <c r="B71" s="1026" t="str">
        <f>IF(C71=" "," ",VLOOKUP(C71,合約!B:I,7,FALSE))</f>
        <v xml:space="preserve"> </v>
      </c>
      <c r="C71" s="113" t="str">
        <f>IF(計算資料!H68=0, " ", 計算資料!H68)</f>
        <v xml:space="preserve"> </v>
      </c>
      <c r="D71" s="1027"/>
      <c r="E71" s="1020"/>
      <c r="F71" s="1028"/>
      <c r="G71" s="1028"/>
      <c r="H71" s="1024"/>
      <c r="I71" s="1029" t="str">
        <f>IF(C71=" "," ","=")</f>
        <v xml:space="preserve"> </v>
      </c>
      <c r="J71" s="945" t="str">
        <f>IF(C72=" "," ",kk)</f>
        <v xml:space="preserve"> </v>
      </c>
      <c r="K71" s="108" t="str">
        <f>IF(C72=" "," ",VLOOKUP(C71,合約!B:H,2,FALSE))</f>
        <v xml:space="preserve"> </v>
      </c>
      <c r="P71" s="239"/>
      <c r="Q71" s="239"/>
      <c r="R71" s="239"/>
      <c r="S71" s="372"/>
      <c r="T71" s="239"/>
      <c r="U71" s="239"/>
      <c r="V71" s="6"/>
    </row>
    <row r="72" spans="1:22">
      <c r="A72" s="110"/>
      <c r="B72" s="1020"/>
      <c r="C72" s="1030" t="str">
        <f>IF(計算資料!H69=0, " ", 計算資料!H69)</f>
        <v xml:space="preserve"> </v>
      </c>
      <c r="D72" s="1027"/>
      <c r="E72" s="1031"/>
      <c r="F72" s="1028"/>
      <c r="G72" s="1028"/>
      <c r="H72" s="1024"/>
      <c r="I72" s="1029"/>
      <c r="J72" s="945"/>
      <c r="K72" s="108"/>
      <c r="P72" s="239"/>
      <c r="Q72" s="239"/>
      <c r="R72" s="239"/>
      <c r="S72" s="372"/>
      <c r="T72" s="239"/>
      <c r="U72" s="239"/>
      <c r="V72" s="6"/>
    </row>
    <row r="73" spans="1:22">
      <c r="A73" s="110"/>
      <c r="B73" s="1026" t="str">
        <f>IF(C73=" "," ",VLOOKUP(C73,合約!B:I,7,FALSE))</f>
        <v xml:space="preserve"> </v>
      </c>
      <c r="C73" s="113" t="str">
        <f>IF(計算資料!H70=0, " ", 計算資料!H70)</f>
        <v xml:space="preserve"> </v>
      </c>
      <c r="D73" s="1027"/>
      <c r="E73" s="1020"/>
      <c r="F73" s="1028"/>
      <c r="G73" s="1028"/>
      <c r="H73" s="1024"/>
      <c r="I73" s="1029" t="str">
        <f>IF(C73=" "," ","=")</f>
        <v xml:space="preserve"> </v>
      </c>
      <c r="J73" s="945" t="str">
        <f>IF(C74=" "," ",kk)</f>
        <v xml:space="preserve"> </v>
      </c>
      <c r="K73" s="108" t="str">
        <f>IF(C74=" "," ",VLOOKUP(C73,合約!B:H,2,FALSE))</f>
        <v xml:space="preserve"> </v>
      </c>
      <c r="T73" s="239"/>
      <c r="U73" s="239"/>
      <c r="V73" s="6"/>
    </row>
    <row r="74" spans="1:22">
      <c r="A74" s="110"/>
      <c r="B74" s="1020"/>
      <c r="C74" s="1030" t="str">
        <f>IF(計算資料!H71=0, " ", 計算資料!H71)</f>
        <v xml:space="preserve"> </v>
      </c>
      <c r="I74" s="1029"/>
      <c r="J74" s="945"/>
      <c r="K74" s="108"/>
      <c r="T74" s="239"/>
      <c r="U74" s="239"/>
      <c r="V74" s="6"/>
    </row>
    <row r="75" spans="1:22">
      <c r="A75" s="110"/>
      <c r="B75" s="1026" t="str">
        <f>IF(C75=" "," ",VLOOKUP(C75,合約!B:I,7,FALSE))</f>
        <v xml:space="preserve"> </v>
      </c>
      <c r="C75" s="113" t="str">
        <f>IF(計算資料!H72=0, " ", 計算資料!H72)</f>
        <v xml:space="preserve"> </v>
      </c>
      <c r="I75" s="1029" t="str">
        <f>IF(C75=" "," ","=")</f>
        <v xml:space="preserve"> </v>
      </c>
      <c r="J75" s="945" t="str">
        <f>IF(C76=" "," ",kk)</f>
        <v xml:space="preserve"> </v>
      </c>
      <c r="K75" s="108" t="str">
        <f>IF(C76=" "," ",VLOOKUP(C75,合約!B:H,2,FALSE))</f>
        <v xml:space="preserve"> </v>
      </c>
      <c r="P75" s="239"/>
      <c r="Q75" s="239"/>
      <c r="R75" s="239"/>
      <c r="S75" s="372"/>
      <c r="T75" s="239"/>
      <c r="U75" s="239"/>
      <c r="V75" s="6"/>
    </row>
    <row r="76" spans="1:22">
      <c r="A76" s="110"/>
      <c r="B76" s="1020"/>
      <c r="C76" s="1030" t="str">
        <f>IF(計算資料!H73=0, " ", 計算資料!H73)</f>
        <v xml:space="preserve"> </v>
      </c>
      <c r="I76" s="1029"/>
      <c r="J76" s="945"/>
      <c r="K76" s="108"/>
      <c r="P76" s="239"/>
      <c r="Q76" s="239"/>
      <c r="R76" s="239"/>
      <c r="S76" s="372"/>
      <c r="T76" s="239"/>
      <c r="U76" s="239"/>
      <c r="V76" s="6"/>
    </row>
    <row r="77" spans="1:22">
      <c r="A77" s="110"/>
      <c r="B77" s="1026" t="str">
        <f>IF(C77=" "," ",VLOOKUP(C77,合約!B:I,7,FALSE))</f>
        <v xml:space="preserve"> </v>
      </c>
      <c r="C77" s="113" t="str">
        <f>IF(計算資料!H74=0, " ", 計算資料!H74)</f>
        <v xml:space="preserve"> </v>
      </c>
      <c r="I77" s="1029" t="str">
        <f>IF(C77=" "," ","=")</f>
        <v xml:space="preserve"> </v>
      </c>
      <c r="J77" s="945" t="str">
        <f>IF(C78=" "," ",kk)</f>
        <v xml:space="preserve"> </v>
      </c>
      <c r="K77" s="108" t="str">
        <f>IF(C78=" "," ",VLOOKUP(C77,合約!B:H,2,FALSE))</f>
        <v xml:space="preserve"> </v>
      </c>
      <c r="P77" s="239"/>
      <c r="Q77" s="239"/>
      <c r="R77" s="239"/>
      <c r="S77" s="372"/>
      <c r="T77" s="239"/>
      <c r="U77" s="239"/>
      <c r="V77" s="6"/>
    </row>
    <row r="78" spans="1:22">
      <c r="A78" s="110"/>
      <c r="B78" s="1020"/>
      <c r="C78" s="1030" t="str">
        <f>IF(計算資料!H75=0, " ", 計算資料!H75)</f>
        <v xml:space="preserve"> </v>
      </c>
      <c r="I78" s="1029"/>
      <c r="J78" s="945"/>
      <c r="K78" s="108"/>
      <c r="P78" s="239"/>
      <c r="Q78" s="239"/>
      <c r="R78" s="239"/>
      <c r="S78" s="372"/>
      <c r="T78" s="239"/>
      <c r="U78" s="239"/>
      <c r="V78" s="6"/>
    </row>
    <row r="79" spans="1:22" ht="17.25" thickBot="1">
      <c r="A79" s="110"/>
      <c r="J79" s="117"/>
      <c r="P79" s="239"/>
      <c r="Q79" s="239"/>
      <c r="R79" s="239"/>
      <c r="S79" s="372"/>
      <c r="T79" s="239"/>
      <c r="U79" s="239"/>
      <c r="V79" s="6"/>
    </row>
    <row r="80" spans="1:22">
      <c r="A80" s="110"/>
      <c r="B80" s="1459" t="str">
        <f>H81&amp;"頂版"</f>
        <v>側溝頂版</v>
      </c>
      <c r="C80" s="1460"/>
      <c r="D80" s="1049" t="str">
        <f>IF(I81="S型","S1長","L1長")</f>
        <v>S1長</v>
      </c>
      <c r="E80" s="991" t="str">
        <f>IF(I81="S型","S2長","L2長")</f>
        <v>S2長</v>
      </c>
      <c r="F80" s="993" t="s">
        <v>3692</v>
      </c>
      <c r="G80" s="993" t="s">
        <v>3693</v>
      </c>
      <c r="H80" s="1050" t="s">
        <v>3985</v>
      </c>
      <c r="I80" s="991" t="s">
        <v>3746</v>
      </c>
      <c r="J80" s="584" t="s">
        <v>3738</v>
      </c>
      <c r="K80" s="436" t="s">
        <v>3737</v>
      </c>
    </row>
    <row r="81" spans="1:24" ht="17.25" thickBot="1">
      <c r="A81" s="110"/>
      <c r="B81" s="1471"/>
      <c r="C81" s="1472"/>
      <c r="D81" s="1052">
        <v>4</v>
      </c>
      <c r="E81" s="1053">
        <v>1</v>
      </c>
      <c r="F81" s="1054" t="str">
        <f>自主檢查表!$E$2</f>
        <v>搶修案</v>
      </c>
      <c r="G81" s="1055" t="s">
        <v>2977</v>
      </c>
      <c r="H81" s="1056" t="s">
        <v>6048</v>
      </c>
      <c r="I81" s="1057" t="s">
        <v>3776</v>
      </c>
      <c r="J81" s="696" t="s">
        <v>6049</v>
      </c>
      <c r="K81" s="587" t="s">
        <v>3778</v>
      </c>
    </row>
    <row r="82" spans="1:24" ht="16.5" customHeight="1">
      <c r="A82" s="110"/>
      <c r="B82" s="1479" t="str">
        <f>IF(I81="S型","S1鋼筋重","L1鋼筋重")</f>
        <v>S1鋼筋重</v>
      </c>
      <c r="C82" s="1058" t="str">
        <f>計算資料!AF121</f>
        <v>D10</v>
      </c>
      <c r="D82" s="1059" t="str">
        <f>計算資料!AG121</f>
        <v>D13</v>
      </c>
      <c r="E82" s="1060" t="str">
        <f>計算資料!AH121</f>
        <v>總重</v>
      </c>
      <c r="F82" s="1479" t="str">
        <f>IF(I81="S型","S2鋼筋重","L2鋼筋重")</f>
        <v>S2鋼筋重</v>
      </c>
      <c r="G82" s="1058" t="str">
        <f>計算資料!AF124</f>
        <v>D10</v>
      </c>
      <c r="H82" s="1059" t="str">
        <f>計算資料!AG124</f>
        <v>D13</v>
      </c>
      <c r="I82" s="1060" t="str">
        <f>計算資料!AH124</f>
        <v>總重</v>
      </c>
      <c r="J82" s="559" t="s">
        <v>3749</v>
      </c>
      <c r="K82" s="694" t="s">
        <v>3746</v>
      </c>
    </row>
    <row r="83" spans="1:24" ht="17.25" thickBot="1">
      <c r="A83" s="110"/>
      <c r="B83" s="1480"/>
      <c r="C83" s="1061" t="str">
        <f>IF(計算資料!AF122&gt;0,計算資料!AF122," ")</f>
        <v xml:space="preserve"> </v>
      </c>
      <c r="D83" s="1062">
        <f>計算資料!AG122</f>
        <v>24.09</v>
      </c>
      <c r="E83" s="1063">
        <f>計算資料!AH122</f>
        <v>24.09</v>
      </c>
      <c r="F83" s="1480"/>
      <c r="G83" s="1061">
        <f>計算資料!AF125</f>
        <v>7.71</v>
      </c>
      <c r="H83" s="1062">
        <f>計算資料!AG125</f>
        <v>25.85</v>
      </c>
      <c r="I83" s="1063">
        <f>計算資料!AH125</f>
        <v>33.56</v>
      </c>
      <c r="J83" s="696" t="s">
        <v>3779</v>
      </c>
      <c r="K83" s="587" t="s">
        <v>3780</v>
      </c>
    </row>
    <row r="84" spans="1:24">
      <c r="A84" s="110"/>
      <c r="B84" s="1479" t="str">
        <f>計算資料!V122&amp;"
鋼筋表"</f>
        <v>S1
鋼筋表</v>
      </c>
      <c r="C84" s="1058">
        <f>計算資料!X121</f>
        <v>1</v>
      </c>
      <c r="D84" s="1059">
        <f>計算資料!Y121</f>
        <v>2</v>
      </c>
      <c r="E84" s="1059" t="str">
        <f>IF(計算資料!Z122&gt;0,計算資料!Z121," ")</f>
        <v xml:space="preserve"> </v>
      </c>
      <c r="F84" s="1059" t="str">
        <f>IF(計算資料!AA122&gt;0,計算資料!AA121," ")</f>
        <v xml:space="preserve"> </v>
      </c>
      <c r="G84" s="1059"/>
      <c r="H84" s="1059"/>
      <c r="I84" s="1064"/>
      <c r="J84" s="559" t="s">
        <v>3748</v>
      </c>
      <c r="K84" s="694" t="s">
        <v>3750</v>
      </c>
    </row>
    <row r="85" spans="1:24">
      <c r="A85" s="110"/>
      <c r="B85" s="1497"/>
      <c r="C85" s="1065">
        <f>計算資料!X122</f>
        <v>14.15</v>
      </c>
      <c r="D85" s="1066">
        <f>計算資料!Y122</f>
        <v>9.94</v>
      </c>
      <c r="E85" s="1066" t="str">
        <f>IF(計算資料!Z122&gt;0,計算資料!Z122," ")</f>
        <v xml:space="preserve"> </v>
      </c>
      <c r="F85" s="1066" t="str">
        <f>IF(計算資料!AA122&gt;0,計算資料!AA122," ")</f>
        <v xml:space="preserve"> </v>
      </c>
      <c r="G85" s="1066"/>
      <c r="H85" s="1066"/>
      <c r="I85" s="1067"/>
      <c r="J85" s="696" t="s">
        <v>3680</v>
      </c>
      <c r="K85" s="587" t="s">
        <v>3781</v>
      </c>
    </row>
    <row r="86" spans="1:24">
      <c r="A86" s="110"/>
      <c r="B86" s="1497" t="str">
        <f>計算資料!V125&amp;"
鋼筋表"</f>
        <v>S2
鋼筋表</v>
      </c>
      <c r="C86" s="1065" t="str">
        <f>計算資料!Y124</f>
        <v>a</v>
      </c>
      <c r="D86" s="1066" t="str">
        <f>計算資料!Z124</f>
        <v>b</v>
      </c>
      <c r="E86" s="1066" t="str">
        <f>計算資料!AA124</f>
        <v>c</v>
      </c>
      <c r="F86" s="1066" t="str">
        <f>計算資料!AB124</f>
        <v>d</v>
      </c>
      <c r="G86" s="1066" t="str">
        <f>計算資料!AC124</f>
        <v>e</v>
      </c>
      <c r="H86" s="1066" t="str">
        <f>IF(計算資料!AD125&gt;0,計算資料!AD124," ")</f>
        <v xml:space="preserve"> </v>
      </c>
      <c r="I86" s="1068" t="str">
        <f>IF(計算資料!AE125&gt;0,計算資料!AE124," ")</f>
        <v xml:space="preserve"> </v>
      </c>
      <c r="J86" s="697"/>
      <c r="K86" s="582"/>
      <c r="M86" s="572"/>
      <c r="N86" s="514"/>
      <c r="O86" s="573"/>
      <c r="P86" s="514"/>
      <c r="Q86" s="569"/>
      <c r="R86" s="514"/>
      <c r="S86" s="514"/>
      <c r="T86" s="514"/>
      <c r="U86" s="514"/>
      <c r="V86" s="569"/>
      <c r="W86" s="138"/>
      <c r="X86" s="173"/>
    </row>
    <row r="87" spans="1:24" ht="17.25" thickBot="1">
      <c r="A87" s="110"/>
      <c r="B87" s="1480"/>
      <c r="C87" s="1061">
        <f>計算資料!Y125</f>
        <v>3.95</v>
      </c>
      <c r="D87" s="1062">
        <f>計算資料!Z125</f>
        <v>3.37</v>
      </c>
      <c r="E87" s="1062">
        <f>計算資料!AA125</f>
        <v>7.36</v>
      </c>
      <c r="F87" s="1062">
        <f>計算資料!AB125</f>
        <v>7.36</v>
      </c>
      <c r="G87" s="1062">
        <f>計算資料!AC125</f>
        <v>0.39</v>
      </c>
      <c r="H87" s="1062" t="str">
        <f>IF(計算資料!AD125&gt;0,計算資料!AD125," ")</f>
        <v xml:space="preserve"> </v>
      </c>
      <c r="I87" s="1069" t="str">
        <f>IF(計算資料!AE125&gt;0,計算資料!AE125," ")</f>
        <v xml:space="preserve"> </v>
      </c>
      <c r="J87" s="698"/>
      <c r="K87" s="583"/>
      <c r="N87" s="514"/>
      <c r="O87" s="574"/>
      <c r="P87" s="514"/>
      <c r="Q87" s="514"/>
      <c r="R87" s="514"/>
      <c r="S87" s="514"/>
      <c r="T87" s="514"/>
      <c r="U87" s="514"/>
      <c r="V87" s="514"/>
      <c r="W87" s="138"/>
      <c r="X87" s="173"/>
    </row>
    <row r="88" spans="1:24">
      <c r="A88" s="112"/>
      <c r="B88" s="1047"/>
      <c r="C88" s="1047"/>
      <c r="D88" s="1070"/>
      <c r="E88" s="1047"/>
      <c r="F88" s="1047"/>
      <c r="G88" s="1070"/>
      <c r="H88" s="1070"/>
      <c r="I88" s="1047"/>
      <c r="J88" s="514"/>
      <c r="K88" s="514"/>
      <c r="L88" s="173"/>
      <c r="M88" s="173"/>
      <c r="N88" s="173"/>
      <c r="O88" s="173"/>
      <c r="P88" s="173"/>
      <c r="Q88" s="514"/>
      <c r="R88" s="570"/>
      <c r="S88" s="514"/>
      <c r="T88" s="514"/>
      <c r="U88" s="514"/>
      <c r="V88" s="514"/>
      <c r="W88" s="138"/>
      <c r="X88" s="173"/>
    </row>
    <row r="89" spans="1:24">
      <c r="A89" s="43">
        <v>3</v>
      </c>
      <c r="B89" s="1014" t="str">
        <f>H81&amp;"頂板"&amp;D92&amp;"("&amp;D91&amp;")-頂板寬"&amp;G91&amp;"m*頂板厚"&amp;G92&amp;"m"</f>
        <v>側溝頂板更新(S1)-頂板寬0.8m*頂板厚0.15m</v>
      </c>
      <c r="C89" s="1014"/>
      <c r="D89" s="1015"/>
      <c r="E89" s="1016"/>
      <c r="F89" s="1017"/>
      <c r="G89" s="1017"/>
      <c r="H89" s="1018" t="s">
        <v>2959</v>
      </c>
      <c r="I89" s="1019" t="s">
        <v>19</v>
      </c>
      <c r="J89" s="122">
        <v>1</v>
      </c>
      <c r="K89" s="121" t="s">
        <v>2934</v>
      </c>
    </row>
    <row r="90" spans="1:24">
      <c r="A90" s="110"/>
      <c r="B90" s="1020"/>
      <c r="C90" s="1018" t="s">
        <v>20</v>
      </c>
      <c r="D90" s="1071">
        <f>D81</f>
        <v>4</v>
      </c>
      <c r="E90" s="1021" t="str">
        <f>K89</f>
        <v>m</v>
      </c>
      <c r="F90" s="1022"/>
      <c r="G90" s="1022"/>
      <c r="H90" s="1024"/>
      <c r="I90" s="1029"/>
      <c r="J90" s="946"/>
      <c r="K90" s="108"/>
    </row>
    <row r="91" spans="1:24">
      <c r="A91" s="110"/>
      <c r="B91" s="1020"/>
      <c r="C91" s="1072" t="s">
        <v>3682</v>
      </c>
      <c r="D91" s="1073" t="str">
        <f>IF($I$81="S型","S1",
IF($I$81="L型","L1",))</f>
        <v>S1</v>
      </c>
      <c r="E91" s="1021"/>
      <c r="F91" s="1018" t="s">
        <v>2987</v>
      </c>
      <c r="G91" s="588">
        <f>IF($K$81="80cm",0.8,
IF($K$81="90cm",0.9,
IF($K$81="100cm",1,)))</f>
        <v>0.8</v>
      </c>
      <c r="H91" s="1021" t="s">
        <v>2974</v>
      </c>
      <c r="K91" s="108"/>
    </row>
    <row r="92" spans="1:24" s="114" customFormat="1">
      <c r="A92" s="150"/>
      <c r="B92" s="1020"/>
      <c r="C92" s="1018" t="s">
        <v>2976</v>
      </c>
      <c r="D92" s="976" t="str">
        <f>$G$81</f>
        <v>更新</v>
      </c>
      <c r="E92" s="986"/>
      <c r="F92" s="1018" t="s">
        <v>2988</v>
      </c>
      <c r="G92" s="588">
        <f>IF($J$81="13cm",0.13,
IF($J$81="15cm",0.15,))</f>
        <v>0.15</v>
      </c>
      <c r="H92" s="1021" t="s">
        <v>2974</v>
      </c>
      <c r="I92" s="986"/>
      <c r="J92" s="947"/>
      <c r="K92" s="108"/>
      <c r="L92" s="109"/>
    </row>
    <row r="93" spans="1:24" s="114" customFormat="1">
      <c r="A93" s="150"/>
      <c r="B93" s="1020"/>
      <c r="C93" s="1072" t="s">
        <v>3681</v>
      </c>
      <c r="D93" s="1073" t="str">
        <f>$J$85</f>
        <v>場鑄</v>
      </c>
      <c r="E93" s="986"/>
      <c r="F93" s="1020"/>
      <c r="G93" s="1020"/>
      <c r="H93" s="1024"/>
      <c r="I93" s="1029"/>
      <c r="J93" s="948"/>
      <c r="K93" s="108"/>
      <c r="L93" s="109"/>
    </row>
    <row r="94" spans="1:24">
      <c r="A94" s="112"/>
      <c r="B94" s="1026" t="str">
        <f>IF(C94=" "," ",VLOOKUP(C94,合約!B:I,7,FALSE))</f>
        <v>0232340003</v>
      </c>
      <c r="C94" s="576" t="str">
        <f>IF(計算資料!H125=0," ",計算資料!H125)</f>
        <v>餘方自行處理(含水土保持)，總重15t以下傾卸貨車</v>
      </c>
      <c r="D94" s="1074"/>
      <c r="E94" s="1075"/>
      <c r="F94" s="1076"/>
      <c r="G94" s="1076"/>
      <c r="H94" s="1077"/>
      <c r="I94" s="1029" t="str">
        <f>IF(C94=" "," ","=")</f>
        <v>=</v>
      </c>
      <c r="J94" s="945">
        <f>IF(C95=" "," ",kk)</f>
        <v>0.12</v>
      </c>
      <c r="K94" s="108" t="str">
        <f>IF(C95=" "," ",VLOOKUP(C94,合約!B:H,2,FALSE))</f>
        <v>B.M3</v>
      </c>
      <c r="L94" s="173"/>
      <c r="M94" s="173"/>
      <c r="N94" s="173"/>
      <c r="O94" s="173"/>
      <c r="P94" s="173"/>
      <c r="Q94" s="514"/>
      <c r="R94" s="514"/>
      <c r="S94" s="514"/>
      <c r="T94" s="514"/>
      <c r="U94" s="514"/>
      <c r="V94" s="514"/>
      <c r="W94" s="138"/>
      <c r="X94" s="173"/>
    </row>
    <row r="95" spans="1:24">
      <c r="A95" s="112"/>
      <c r="B95" s="1020"/>
      <c r="C95" s="695" t="str">
        <f>IF(計算資料!H126=0," ",計算資料!H126)</f>
        <v>(0.8*0.15)</v>
      </c>
      <c r="D95" s="1074"/>
      <c r="E95" s="1078"/>
      <c r="F95" s="1076"/>
      <c r="G95" s="1076"/>
      <c r="H95" s="1077"/>
      <c r="I95" s="1029"/>
      <c r="J95" s="945"/>
      <c r="K95" s="108"/>
      <c r="L95" s="173"/>
      <c r="M95" s="173"/>
      <c r="N95" s="173"/>
      <c r="O95" s="173"/>
      <c r="P95" s="173"/>
      <c r="Q95" s="514"/>
      <c r="R95" s="514"/>
      <c r="S95" s="514"/>
      <c r="T95" s="514"/>
      <c r="U95" s="514"/>
      <c r="V95" s="514"/>
      <c r="W95" s="138"/>
      <c r="X95" s="173"/>
    </row>
    <row r="96" spans="1:24">
      <c r="A96" s="112"/>
      <c r="B96" s="1026" t="str">
        <f>IF(C96=" "," ",VLOOKUP(C96,合約!B:I,7,FALSE))</f>
        <v>0331027003</v>
      </c>
      <c r="C96" s="576" t="str">
        <f>IF(計算資料!H127=0," ",計算資料!H127)</f>
        <v>結構用混凝土，預拌，280kgf/cm2</v>
      </c>
      <c r="D96" s="1074"/>
      <c r="E96" s="1075"/>
      <c r="F96" s="1076"/>
      <c r="G96" s="1076"/>
      <c r="H96" s="1077"/>
      <c r="I96" s="1029" t="str">
        <f>IF(C96=" "," ","=")</f>
        <v>=</v>
      </c>
      <c r="J96" s="945">
        <f>IF(C97=" "," ",kk)</f>
        <v>0.12</v>
      </c>
      <c r="K96" s="108" t="str">
        <f>IF(C97=" "," ",VLOOKUP(C96,合約!B:H,2,FALSE))</f>
        <v>M3</v>
      </c>
      <c r="L96" s="173"/>
      <c r="M96" s="514"/>
      <c r="N96" s="514"/>
      <c r="O96" s="514"/>
      <c r="P96" s="555"/>
      <c r="Q96" s="571"/>
      <c r="R96" s="514"/>
      <c r="S96" s="514"/>
      <c r="T96" s="569"/>
      <c r="U96" s="514"/>
      <c r="V96" s="514"/>
      <c r="W96" s="514"/>
      <c r="X96" s="173"/>
    </row>
    <row r="97" spans="1:24">
      <c r="A97" s="112"/>
      <c r="B97" s="1020"/>
      <c r="C97" s="695" t="str">
        <f>IF(計算資料!H128=0," ",計算資料!H128)</f>
        <v>(0.8*0.15)</v>
      </c>
      <c r="D97" s="1074"/>
      <c r="E97" s="1078"/>
      <c r="F97" s="1076"/>
      <c r="G97" s="1076"/>
      <c r="H97" s="1077"/>
      <c r="I97" s="1029"/>
      <c r="J97" s="945"/>
      <c r="K97" s="108"/>
      <c r="L97" s="173"/>
      <c r="M97" s="554"/>
      <c r="N97" s="173"/>
      <c r="O97" s="173"/>
      <c r="P97" s="173"/>
      <c r="Q97" s="173"/>
      <c r="R97" s="173"/>
      <c r="S97" s="173"/>
      <c r="T97" s="173"/>
      <c r="U97" s="173"/>
      <c r="V97" s="173"/>
      <c r="W97" s="173"/>
      <c r="X97" s="173"/>
    </row>
    <row r="98" spans="1:24">
      <c r="A98" s="112"/>
      <c r="B98" s="1026" t="str">
        <f>IF(C98=" "," ",VLOOKUP(C98,合約!B:I,7,FALSE))</f>
        <v>0321041009</v>
      </c>
      <c r="C98" s="576" t="str">
        <f>IF(計算資料!H129=0," ",計算資料!H129)</f>
        <v>鋼筋，SD280W.</v>
      </c>
      <c r="D98" s="1074"/>
      <c r="E98" s="1075"/>
      <c r="F98" s="1076"/>
      <c r="G98" s="1076"/>
      <c r="H98" s="1077"/>
      <c r="I98" s="1029" t="str">
        <f>IF(C98=" "," ","=")</f>
        <v>=</v>
      </c>
      <c r="J98" s="945">
        <f>IF(C99=" "," ",kk)</f>
        <v>24.09</v>
      </c>
      <c r="K98" s="108" t="str">
        <f>IF(C99=" "," ",VLOOKUP(C98,合約!B:H,2,FALSE))</f>
        <v>KG</v>
      </c>
      <c r="L98" s="173"/>
      <c r="M98" s="554"/>
      <c r="N98" s="173"/>
      <c r="O98" s="173"/>
      <c r="P98" s="173"/>
      <c r="Q98" s="173"/>
      <c r="R98" s="173"/>
      <c r="S98" s="173"/>
      <c r="T98" s="173"/>
      <c r="U98" s="173"/>
      <c r="V98" s="173"/>
      <c r="W98" s="173"/>
      <c r="X98" s="173"/>
    </row>
    <row r="99" spans="1:24">
      <c r="A99" s="112"/>
      <c r="B99" s="1020"/>
      <c r="C99" s="695">
        <f>IF(計算資料!H130=0," ",計算資料!H130)</f>
        <v>24.09</v>
      </c>
      <c r="D99" s="1074"/>
      <c r="E99" s="1078"/>
      <c r="F99" s="1076"/>
      <c r="G99" s="1076"/>
      <c r="H99" s="1077"/>
      <c r="I99" s="1029"/>
      <c r="J99" s="945"/>
      <c r="K99" s="108"/>
      <c r="L99" s="173"/>
      <c r="M99" s="554"/>
      <c r="N99" s="173"/>
      <c r="P99" s="173"/>
      <c r="Q99" s="173"/>
      <c r="R99" s="173"/>
      <c r="S99" s="173"/>
      <c r="T99" s="173"/>
      <c r="U99" s="173"/>
      <c r="V99" s="173"/>
      <c r="W99" s="173"/>
      <c r="X99" s="173"/>
    </row>
    <row r="100" spans="1:24">
      <c r="A100" s="112"/>
      <c r="B100" s="1026" t="str">
        <f>IF(C100=" "," ",VLOOKUP(C100,合約!B:I,7,FALSE))</f>
        <v>03110700h2</v>
      </c>
      <c r="C100" s="576" t="str">
        <f>IF(計算資料!H131=0," ",計算資料!H131)</f>
        <v>(免拆模板，鋼質)，厚3mm鋼模</v>
      </c>
      <c r="D100" s="1074"/>
      <c r="E100" s="1075"/>
      <c r="F100" s="1076"/>
      <c r="G100" s="1076"/>
      <c r="H100" s="1077"/>
      <c r="I100" s="1029" t="str">
        <f>IF(C100=" "," ","=")</f>
        <v>=</v>
      </c>
      <c r="J100" s="945">
        <f>IF(C101=" "," ",kk)</f>
        <v>0.6</v>
      </c>
      <c r="K100" s="108" t="str">
        <f>IF(C101=" "," ",VLOOKUP(C100,合約!B:H,2,FALSE))</f>
        <v>M2</v>
      </c>
      <c r="L100" s="173"/>
      <c r="M100" s="554"/>
      <c r="N100" s="173"/>
      <c r="O100" s="173"/>
      <c r="P100" s="173"/>
      <c r="Q100" s="173"/>
      <c r="R100" s="173"/>
      <c r="S100" s="173"/>
      <c r="T100" s="173"/>
      <c r="U100" s="173"/>
      <c r="V100" s="173"/>
      <c r="W100" s="173"/>
      <c r="X100" s="173"/>
    </row>
    <row r="101" spans="1:24">
      <c r="A101" s="112"/>
      <c r="B101" s="1020"/>
      <c r="C101" s="695" t="str">
        <f>IF(計算資料!H132=0," ",計算資料!H132)</f>
        <v>0.6*1</v>
      </c>
      <c r="D101" s="1074"/>
      <c r="E101" s="1078"/>
      <c r="F101" s="1076"/>
      <c r="G101" s="1076"/>
      <c r="H101" s="1077"/>
      <c r="I101" s="1029"/>
      <c r="J101" s="945"/>
      <c r="K101" s="108"/>
      <c r="L101" s="173"/>
      <c r="M101" s="554"/>
      <c r="N101" s="173"/>
      <c r="O101" s="173"/>
      <c r="P101" s="173"/>
      <c r="Q101" s="173"/>
      <c r="R101" s="173"/>
      <c r="S101" s="173"/>
      <c r="T101" s="173"/>
      <c r="U101" s="173"/>
      <c r="V101" s="173"/>
      <c r="W101" s="173"/>
      <c r="X101" s="173"/>
    </row>
    <row r="102" spans="1:24">
      <c r="A102" s="112"/>
      <c r="B102" s="1026" t="str">
        <f>IF(C102=" "," ",VLOOKUP(C102,合約!B:I,7,FALSE))</f>
        <v>161323007041</v>
      </c>
      <c r="C102" s="576" t="str">
        <f>IF(計算資料!H133=0," ",計算資料!H133)</f>
        <v>導線管，硬質聚氯乙烯塑膠管，標稱52mm，接線及安裝，含尼龍繩</v>
      </c>
      <c r="D102" s="1074"/>
      <c r="E102" s="1075"/>
      <c r="F102" s="1076"/>
      <c r="G102" s="1076"/>
      <c r="H102" s="1077"/>
      <c r="I102" s="1029" t="str">
        <f>IF(C102=" "," ","=")</f>
        <v>=</v>
      </c>
      <c r="J102" s="945">
        <f>IF(C103=" "," ",kk)</f>
        <v>0.17</v>
      </c>
      <c r="K102" s="108" t="str">
        <f>IF(C103=" "," ",VLOOKUP(C102,合約!B:H,2,FALSE))</f>
        <v>M</v>
      </c>
      <c r="L102" s="173"/>
      <c r="M102" s="554"/>
      <c r="N102" s="173"/>
      <c r="O102" s="173"/>
      <c r="P102" s="173"/>
      <c r="Q102" s="173"/>
      <c r="R102" s="173"/>
      <c r="S102" s="173"/>
      <c r="T102" s="173"/>
      <c r="U102" s="173"/>
      <c r="V102" s="173"/>
      <c r="W102" s="173"/>
      <c r="X102" s="173"/>
    </row>
    <row r="103" spans="1:24">
      <c r="A103" s="112"/>
      <c r="B103" s="1020"/>
      <c r="C103" s="695">
        <f>IF(計算資料!H134=0," ",計算資料!H134)</f>
        <v>0.16999999999999998</v>
      </c>
      <c r="D103" s="1074"/>
      <c r="E103" s="1078"/>
      <c r="F103" s="1076"/>
      <c r="G103" s="1079"/>
      <c r="H103" s="1077"/>
      <c r="I103" s="1029"/>
      <c r="J103" s="945"/>
      <c r="K103" s="108"/>
      <c r="L103" s="173"/>
      <c r="M103" s="554"/>
      <c r="N103" s="173"/>
      <c r="O103" s="173"/>
      <c r="P103" s="173"/>
      <c r="Q103" s="173"/>
      <c r="R103" s="173"/>
      <c r="S103" s="173"/>
      <c r="T103" s="173"/>
      <c r="U103" s="173"/>
      <c r="V103" s="173"/>
      <c r="W103" s="173"/>
      <c r="X103" s="173"/>
    </row>
    <row r="104" spans="1:24">
      <c r="A104" s="112"/>
      <c r="B104" s="1026" t="str">
        <f>IF(C104=" "," ",VLOOKUP(C104,合約!B:I,7,FALSE))</f>
        <v>0311011312</v>
      </c>
      <c r="C104" s="576" t="str">
        <f>IF(計算資料!H135=0," ",計算資料!H135)</f>
        <v>場鑄結構混凝土用模板，普通模板，丙種.</v>
      </c>
      <c r="D104" s="1074"/>
      <c r="E104" s="1075"/>
      <c r="F104" s="1076"/>
      <c r="G104" s="1076"/>
      <c r="H104" s="1077"/>
      <c r="I104" s="1029" t="str">
        <f>IF(C104=" "," ","=")</f>
        <v>=</v>
      </c>
      <c r="J104" s="945">
        <f>IF(C105=" "," ",kk)</f>
        <v>0.15</v>
      </c>
      <c r="K104" s="108" t="str">
        <f>IF(C105=" "," ",VLOOKUP(C104,合約!B:H,2,FALSE))</f>
        <v>M2</v>
      </c>
      <c r="L104" s="173"/>
      <c r="M104" s="554"/>
      <c r="N104" s="173"/>
      <c r="O104" s="173"/>
      <c r="P104" s="173"/>
      <c r="Q104" s="173"/>
      <c r="R104" s="173"/>
      <c r="S104" s="173"/>
      <c r="T104" s="173"/>
      <c r="U104" s="173"/>
      <c r="V104" s="173"/>
      <c r="W104" s="173"/>
      <c r="X104" s="173"/>
    </row>
    <row r="105" spans="1:24">
      <c r="A105" s="112"/>
      <c r="B105" s="1020"/>
      <c r="C105" s="695" t="str">
        <f>IF(計算資料!H136=0," ",計算資料!H136)</f>
        <v>1*0.15</v>
      </c>
      <c r="D105" s="1074"/>
      <c r="E105" s="1078"/>
      <c r="F105" s="1076"/>
      <c r="G105" s="1076"/>
      <c r="H105" s="1077"/>
      <c r="I105" s="1029"/>
      <c r="J105" s="945"/>
      <c r="K105" s="108"/>
      <c r="L105" s="173"/>
      <c r="M105" s="554"/>
      <c r="N105" s="173"/>
      <c r="O105" s="173"/>
      <c r="P105" s="173"/>
      <c r="Q105" s="173"/>
      <c r="R105" s="173"/>
      <c r="S105" s="173"/>
      <c r="T105" s="173"/>
      <c r="U105" s="173"/>
      <c r="V105" s="173"/>
      <c r="W105" s="173"/>
      <c r="X105" s="173"/>
    </row>
    <row r="106" spans="1:24">
      <c r="A106" s="112"/>
      <c r="B106" s="1026" t="str">
        <f>IF(C106=" "," ",VLOOKUP(C106,合約!B:I,7,FALSE))</f>
        <v xml:space="preserve"> </v>
      </c>
      <c r="C106" s="576" t="str">
        <f>IF(計算資料!H137=0," ",計算資料!H137)</f>
        <v xml:space="preserve"> </v>
      </c>
      <c r="D106" s="1074"/>
      <c r="E106" s="1075"/>
      <c r="F106" s="1076"/>
      <c r="G106" s="1076"/>
      <c r="H106" s="1077"/>
      <c r="I106" s="1029" t="str">
        <f>IF(C106=" "," ","=")</f>
        <v xml:space="preserve"> </v>
      </c>
      <c r="J106" s="945" t="str">
        <f>IF(C107=" "," ",kk)</f>
        <v xml:space="preserve"> </v>
      </c>
      <c r="K106" s="108" t="str">
        <f>IF(C107=" "," ",VLOOKUP(C106,合約!B:H,2,FALSE))</f>
        <v xml:space="preserve"> </v>
      </c>
      <c r="L106" s="173"/>
      <c r="M106" s="575"/>
      <c r="N106" s="173"/>
      <c r="O106" s="173"/>
      <c r="P106" s="173"/>
      <c r="Q106" s="173"/>
      <c r="R106" s="173"/>
      <c r="S106" s="173"/>
      <c r="T106" s="173"/>
      <c r="U106" s="173"/>
      <c r="V106" s="173"/>
      <c r="W106" s="173"/>
      <c r="X106" s="173"/>
    </row>
    <row r="107" spans="1:24">
      <c r="A107" s="112"/>
      <c r="B107" s="1020"/>
      <c r="C107" s="695" t="str">
        <f>IF(計算資料!H138=0," ",計算資料!H138)</f>
        <v xml:space="preserve"> </v>
      </c>
      <c r="D107" s="1074"/>
      <c r="E107" s="1078"/>
      <c r="F107" s="1076"/>
      <c r="G107" s="1076"/>
      <c r="H107" s="1077"/>
      <c r="I107" s="1029"/>
      <c r="J107" s="945"/>
      <c r="K107" s="108"/>
      <c r="L107" s="173"/>
      <c r="M107" s="554"/>
      <c r="N107" s="173"/>
      <c r="O107" s="173"/>
      <c r="P107" s="173"/>
      <c r="Q107" s="173"/>
      <c r="R107" s="173"/>
      <c r="S107" s="173"/>
      <c r="T107" s="173"/>
      <c r="U107" s="173"/>
      <c r="V107" s="173"/>
      <c r="W107" s="173"/>
      <c r="X107" s="173"/>
    </row>
    <row r="108" spans="1:24">
      <c r="A108" s="112"/>
      <c r="B108" s="1026" t="str">
        <f>IF(C108=" "," ",VLOOKUP(C108,合約!B:I,7,FALSE))</f>
        <v xml:space="preserve"> </v>
      </c>
      <c r="C108" s="576" t="str">
        <f>IF(計算資料!H139=0," ",計算資料!H139)</f>
        <v xml:space="preserve"> </v>
      </c>
      <c r="D108" s="1074"/>
      <c r="E108" s="1075"/>
      <c r="F108" s="1076"/>
      <c r="G108" s="1076"/>
      <c r="H108" s="1077"/>
      <c r="I108" s="1029" t="str">
        <f>IF(C108=" "," ","=")</f>
        <v xml:space="preserve"> </v>
      </c>
      <c r="J108" s="945" t="str">
        <f>IF(C109=" "," ",kk)</f>
        <v xml:space="preserve"> </v>
      </c>
      <c r="K108" s="108" t="str">
        <f>IF(C109=" "," ",VLOOKUP(C108,合約!B:H,2,FALSE))</f>
        <v xml:space="preserve"> </v>
      </c>
      <c r="L108" s="173"/>
      <c r="M108" s="554"/>
      <c r="N108" s="173"/>
      <c r="O108" s="173"/>
      <c r="P108" s="173"/>
      <c r="Q108" s="173"/>
      <c r="R108" s="173"/>
      <c r="S108" s="173"/>
      <c r="T108" s="173"/>
      <c r="U108" s="173"/>
      <c r="V108" s="173"/>
      <c r="W108" s="173"/>
      <c r="X108" s="173"/>
    </row>
    <row r="109" spans="1:24">
      <c r="A109" s="112"/>
      <c r="B109" s="1020"/>
      <c r="C109" s="695" t="str">
        <f>IF(計算資料!H140=0," ",計算資料!H140)</f>
        <v xml:space="preserve"> </v>
      </c>
      <c r="D109" s="1080"/>
      <c r="E109" s="1081"/>
      <c r="F109" s="1079"/>
      <c r="G109" s="1079"/>
      <c r="H109" s="1081"/>
      <c r="I109" s="1029"/>
      <c r="J109" s="945"/>
      <c r="K109" s="108"/>
      <c r="L109" s="173"/>
      <c r="M109" s="554"/>
      <c r="N109" s="173"/>
      <c r="O109" s="173"/>
      <c r="P109" s="173"/>
      <c r="Q109" s="173"/>
      <c r="R109" s="173"/>
      <c r="S109" s="173"/>
      <c r="T109" s="173"/>
      <c r="U109" s="173"/>
      <c r="V109" s="173"/>
      <c r="W109" s="173"/>
      <c r="X109" s="173"/>
    </row>
    <row r="110" spans="1:24">
      <c r="A110" s="112"/>
      <c r="B110" s="1026" t="str">
        <f>IF(C110=" "," ",VLOOKUP(C110,合約!B:I,7,FALSE))</f>
        <v xml:space="preserve"> </v>
      </c>
      <c r="C110" s="576" t="str">
        <f>IF(計算資料!H141=0," ",計算資料!H141)</f>
        <v xml:space="preserve"> </v>
      </c>
      <c r="D110" s="1080"/>
      <c r="E110" s="1081"/>
      <c r="F110" s="1079"/>
      <c r="G110" s="1079"/>
      <c r="H110" s="1081"/>
      <c r="I110" s="1029" t="str">
        <f>IF(C110=" "," ","=")</f>
        <v xml:space="preserve"> </v>
      </c>
      <c r="J110" s="945" t="str">
        <f>IF(C111=" "," ",kk)</f>
        <v xml:space="preserve"> </v>
      </c>
      <c r="K110" s="108" t="str">
        <f>IF(C111=" "," ",VLOOKUP(C110,合約!B:H,2,FALSE))</f>
        <v xml:space="preserve"> </v>
      </c>
      <c r="L110" s="173"/>
      <c r="M110" s="575"/>
      <c r="N110" s="173"/>
      <c r="O110" s="173"/>
      <c r="P110" s="173"/>
      <c r="Q110" s="173"/>
      <c r="R110" s="173"/>
      <c r="S110" s="173"/>
      <c r="T110" s="173"/>
      <c r="U110" s="173"/>
      <c r="V110" s="173"/>
      <c r="W110" s="173"/>
      <c r="X110" s="173"/>
    </row>
    <row r="111" spans="1:24">
      <c r="A111" s="112"/>
      <c r="B111" s="1020"/>
      <c r="C111" s="1082" t="str">
        <f>IF(計算資料!H142=0," ",計算資料!H142)</f>
        <v xml:space="preserve"> </v>
      </c>
      <c r="D111" s="1080"/>
      <c r="E111" s="1081"/>
      <c r="F111" s="1079"/>
      <c r="G111" s="1079"/>
      <c r="H111" s="1081"/>
      <c r="I111" s="1029"/>
      <c r="J111" s="945"/>
      <c r="K111" s="108"/>
      <c r="L111" s="173"/>
      <c r="M111" s="554"/>
      <c r="N111" s="173"/>
      <c r="O111" s="173"/>
      <c r="P111" s="173"/>
      <c r="Q111" s="173"/>
      <c r="R111" s="173"/>
      <c r="S111" s="173"/>
      <c r="T111" s="173"/>
      <c r="U111" s="173"/>
      <c r="V111" s="173"/>
      <c r="W111" s="173"/>
      <c r="X111" s="173"/>
    </row>
    <row r="112" spans="1:24">
      <c r="A112" s="112"/>
      <c r="B112" s="1047"/>
      <c r="C112" s="1083"/>
      <c r="D112" s="1047"/>
      <c r="E112" s="1047"/>
      <c r="F112" s="1047"/>
      <c r="G112" s="1047"/>
      <c r="H112" s="1084"/>
      <c r="I112" s="1070"/>
      <c r="J112" s="960"/>
      <c r="K112" s="554"/>
      <c r="L112" s="173"/>
      <c r="M112" s="554"/>
      <c r="N112" s="173"/>
      <c r="O112" s="173"/>
      <c r="P112" s="173"/>
      <c r="Q112" s="173"/>
      <c r="R112" s="173"/>
      <c r="S112" s="173"/>
      <c r="T112" s="173"/>
      <c r="U112" s="173"/>
      <c r="V112" s="173"/>
      <c r="W112" s="173"/>
      <c r="X112" s="173"/>
    </row>
    <row r="113" spans="1:24">
      <c r="A113" s="43">
        <v>4</v>
      </c>
      <c r="B113" s="1014" t="str">
        <f>H81&amp;"頂板"&amp;D116&amp;"("&amp;D115&amp;")-頂板寬"&amp;G115&amp;"m*頂板厚"&amp;G116&amp;"m"</f>
        <v>側溝頂板更新(S2)-頂板寬0.8m*頂板厚0.15m</v>
      </c>
      <c r="C113" s="1014"/>
      <c r="D113" s="1015"/>
      <c r="E113" s="1016"/>
      <c r="F113" s="1017"/>
      <c r="G113" s="1017"/>
      <c r="H113" s="1018" t="s">
        <v>2959</v>
      </c>
      <c r="I113" s="1019" t="s">
        <v>19</v>
      </c>
      <c r="J113" s="122">
        <v>1</v>
      </c>
      <c r="K113" s="121" t="s">
        <v>2934</v>
      </c>
    </row>
    <row r="114" spans="1:24">
      <c r="A114" s="110"/>
      <c r="B114" s="1020"/>
      <c r="C114" s="1018" t="s">
        <v>20</v>
      </c>
      <c r="D114" s="1071">
        <f>E81</f>
        <v>1</v>
      </c>
      <c r="E114" s="1021" t="str">
        <f>K113</f>
        <v>m</v>
      </c>
      <c r="F114" s="1022"/>
      <c r="G114" s="1022"/>
      <c r="H114" s="1024"/>
      <c r="I114" s="1029"/>
      <c r="J114" s="946"/>
      <c r="K114" s="108"/>
    </row>
    <row r="115" spans="1:24">
      <c r="A115" s="110"/>
      <c r="B115" s="1020"/>
      <c r="C115" s="1072" t="s">
        <v>3682</v>
      </c>
      <c r="D115" s="1073" t="str">
        <f>IF($I$81="S型","S2",
IF($I$81="L型","L2",))</f>
        <v>S2</v>
      </c>
      <c r="E115" s="1021"/>
      <c r="F115" s="1018" t="s">
        <v>2987</v>
      </c>
      <c r="G115" s="588">
        <f>IF($K$81="80cm",0.8,
IF($K$81="90cm",0.9,
IF($K$81="100cm",1,)))</f>
        <v>0.8</v>
      </c>
      <c r="H115" s="1021" t="s">
        <v>2974</v>
      </c>
      <c r="K115" s="108"/>
    </row>
    <row r="116" spans="1:24" s="114" customFormat="1">
      <c r="A116" s="150"/>
      <c r="B116" s="1020"/>
      <c r="C116" s="1018" t="s">
        <v>2976</v>
      </c>
      <c r="D116" s="976" t="str">
        <f>$G$81</f>
        <v>更新</v>
      </c>
      <c r="E116" s="986"/>
      <c r="F116" s="1018" t="s">
        <v>2988</v>
      </c>
      <c r="G116" s="588">
        <f>IF($J$81="13cm",0.13,
IF($J$81="15cm",0.15,))</f>
        <v>0.15</v>
      </c>
      <c r="H116" s="1021" t="s">
        <v>2974</v>
      </c>
      <c r="I116" s="986"/>
      <c r="J116" s="947"/>
      <c r="K116" s="108"/>
      <c r="L116" s="109"/>
    </row>
    <row r="117" spans="1:24" s="114" customFormat="1">
      <c r="A117" s="150"/>
      <c r="B117" s="1020"/>
      <c r="C117" s="1072" t="s">
        <v>3681</v>
      </c>
      <c r="D117" s="1073" t="str">
        <f>$J$85</f>
        <v>場鑄</v>
      </c>
      <c r="E117" s="986"/>
      <c r="F117" s="1020"/>
      <c r="G117" s="1020"/>
      <c r="H117" s="1024"/>
      <c r="I117" s="1029"/>
      <c r="J117" s="948"/>
      <c r="K117" s="108"/>
      <c r="L117" s="109"/>
    </row>
    <row r="118" spans="1:24">
      <c r="A118" s="112"/>
      <c r="B118" s="1026" t="str">
        <f>IF(C118=" "," ",VLOOKUP(C118,合約!B:I,7,FALSE))</f>
        <v>0232340003</v>
      </c>
      <c r="C118" s="576" t="str">
        <f>IF(計算資料!H150=0," ",計算資料!H150)</f>
        <v>餘方自行處理(含水土保持)，總重15t以下傾卸貨車</v>
      </c>
      <c r="D118" s="1085"/>
      <c r="E118" s="1085"/>
      <c r="F118" s="1047"/>
      <c r="G118" s="1047"/>
      <c r="H118" s="1083"/>
      <c r="I118" s="1029" t="str">
        <f>IF(C118=" "," ","=")</f>
        <v>=</v>
      </c>
      <c r="J118" s="945">
        <f>IF(C119=" "," ",kk)</f>
        <v>7.6124999999999998E-2</v>
      </c>
      <c r="K118" s="108" t="str">
        <f>IF(C119=" "," ",VLOOKUP(C118,合約!B:H,2,FALSE))</f>
        <v>B.M3</v>
      </c>
      <c r="L118" s="173"/>
      <c r="M118" s="554"/>
      <c r="N118" s="514"/>
      <c r="O118" s="555"/>
      <c r="P118" s="555"/>
      <c r="Q118" s="571"/>
      <c r="R118" s="514"/>
      <c r="S118" s="514"/>
      <c r="T118" s="514"/>
      <c r="U118" s="554"/>
      <c r="V118" s="514"/>
      <c r="W118" s="554"/>
      <c r="X118" s="173"/>
    </row>
    <row r="119" spans="1:24">
      <c r="A119" s="112"/>
      <c r="B119" s="1020"/>
      <c r="C119" s="695" t="str">
        <f>IF(計算資料!H151=0," ",計算資料!H151)</f>
        <v>(0.8*0.15-0.45*0.65*0.15)</v>
      </c>
      <c r="D119" s="1047"/>
      <c r="E119" s="1047"/>
      <c r="F119" s="1047"/>
      <c r="G119" s="1047"/>
      <c r="H119" s="1083"/>
      <c r="I119" s="1029"/>
      <c r="J119" s="945"/>
      <c r="K119" s="108"/>
      <c r="L119" s="173"/>
      <c r="M119" s="554"/>
      <c r="N119" s="514"/>
      <c r="O119" s="555"/>
      <c r="P119" s="555"/>
      <c r="Q119" s="571"/>
      <c r="R119" s="514"/>
      <c r="S119" s="514"/>
      <c r="T119" s="514"/>
      <c r="U119" s="554"/>
      <c r="V119" s="514"/>
      <c r="W119" s="554"/>
      <c r="X119" s="173"/>
    </row>
    <row r="120" spans="1:24">
      <c r="A120" s="112"/>
      <c r="B120" s="1026" t="str">
        <f>IF(C120=" "," ",VLOOKUP(C120,合約!B:I,7,FALSE))</f>
        <v>0331027003</v>
      </c>
      <c r="C120" s="576" t="str">
        <f>IF(計算資料!H152=0," ",計算資料!H152)</f>
        <v>結構用混凝土，預拌，280kgf/cm2</v>
      </c>
      <c r="D120" s="1047"/>
      <c r="E120" s="1047"/>
      <c r="F120" s="1047"/>
      <c r="G120" s="1047"/>
      <c r="H120" s="1083"/>
      <c r="I120" s="1029" t="str">
        <f>IF(C120=" "," ","=")</f>
        <v>=</v>
      </c>
      <c r="J120" s="945">
        <f>IF(C121=" "," ",kk)</f>
        <v>7.6124999999999998E-2</v>
      </c>
      <c r="K120" s="108" t="str">
        <f>IF(C121=" "," ",VLOOKUP(C120,合約!B:H,2,FALSE))</f>
        <v>M3</v>
      </c>
      <c r="L120" s="554"/>
      <c r="M120" s="554"/>
      <c r="N120" s="514"/>
      <c r="O120" s="555"/>
      <c r="P120" s="555"/>
      <c r="Q120" s="571"/>
      <c r="R120" s="514"/>
      <c r="S120" s="514"/>
      <c r="T120" s="514"/>
      <c r="U120" s="554"/>
      <c r="V120" s="514"/>
      <c r="W120" s="554"/>
      <c r="X120" s="173"/>
    </row>
    <row r="121" spans="1:24">
      <c r="A121" s="112"/>
      <c r="B121" s="1020"/>
      <c r="C121" s="695" t="str">
        <f>IF(計算資料!H153=0," ",計算資料!H153)</f>
        <v>(0.8*0.15-0.45*0.65*0.15)</v>
      </c>
      <c r="D121" s="1047"/>
      <c r="E121" s="1047"/>
      <c r="F121" s="1047"/>
      <c r="G121" s="1047"/>
      <c r="H121" s="1047"/>
      <c r="I121" s="1029"/>
      <c r="J121" s="945"/>
      <c r="K121" s="108"/>
      <c r="L121" s="554"/>
      <c r="M121" s="554"/>
      <c r="N121" s="514"/>
      <c r="O121" s="555"/>
      <c r="P121" s="555"/>
      <c r="Q121" s="571"/>
      <c r="R121" s="514"/>
      <c r="S121" s="514"/>
      <c r="T121" s="514"/>
      <c r="U121" s="554"/>
      <c r="V121" s="514"/>
      <c r="W121" s="554"/>
      <c r="X121" s="173"/>
    </row>
    <row r="122" spans="1:24">
      <c r="A122" s="112"/>
      <c r="B122" s="1026" t="str">
        <f>IF(C122=" "," ",VLOOKUP(C122,合約!B:I,7,FALSE))</f>
        <v>0321041009</v>
      </c>
      <c r="C122" s="576" t="str">
        <f>IF(計算資料!H154=0," ",計算資料!H154)</f>
        <v>鋼筋，SD280W.</v>
      </c>
      <c r="D122" s="1085"/>
      <c r="E122" s="1085"/>
      <c r="F122" s="1047"/>
      <c r="G122" s="1047"/>
      <c r="H122" s="1047"/>
      <c r="I122" s="1029" t="str">
        <f>IF(C122=" "," ","=")</f>
        <v>=</v>
      </c>
      <c r="J122" s="945">
        <f>IF(C123=" "," ",kk)</f>
        <v>33.56</v>
      </c>
      <c r="K122" s="108" t="str">
        <f>IF(C123=" "," ",VLOOKUP(C122,合約!B:H,2,FALSE))</f>
        <v>KG</v>
      </c>
      <c r="L122" s="554"/>
      <c r="M122" s="554"/>
      <c r="N122" s="514"/>
      <c r="O122" s="555"/>
      <c r="P122" s="555"/>
      <c r="Q122" s="571"/>
      <c r="R122" s="514"/>
      <c r="S122" s="514"/>
      <c r="T122" s="514"/>
      <c r="U122" s="554"/>
      <c r="V122" s="514"/>
      <c r="W122" s="554"/>
      <c r="X122" s="173"/>
    </row>
    <row r="123" spans="1:24">
      <c r="A123" s="112"/>
      <c r="B123" s="1020"/>
      <c r="C123" s="695" t="str">
        <f>IF(計算資料!H155=0," ",計算資料!H155)</f>
        <v>7.71+25.85</v>
      </c>
      <c r="D123" s="1047"/>
      <c r="E123" s="1047"/>
      <c r="F123" s="1047"/>
      <c r="G123" s="1047"/>
      <c r="H123" s="1047"/>
      <c r="I123" s="1029"/>
      <c r="J123" s="945"/>
      <c r="K123" s="108"/>
      <c r="L123" s="554"/>
      <c r="M123" s="554"/>
      <c r="N123" s="514"/>
      <c r="O123" s="555"/>
      <c r="P123" s="555"/>
      <c r="Q123" s="571"/>
      <c r="R123" s="514"/>
      <c r="S123" s="514"/>
      <c r="T123" s="514"/>
      <c r="U123" s="554"/>
      <c r="V123" s="514"/>
      <c r="W123" s="554"/>
      <c r="X123" s="173"/>
    </row>
    <row r="124" spans="1:24">
      <c r="A124" s="112"/>
      <c r="B124" s="1026" t="str">
        <f>IF(C124=" "," ",VLOOKUP(C124,合約!B:I,7,FALSE))</f>
        <v>03110700h2</v>
      </c>
      <c r="C124" s="576" t="str">
        <f>IF(計算資料!H156=0," ",計算資料!H156)</f>
        <v>(免拆模板，鋼質)，厚3mm鋼模</v>
      </c>
      <c r="D124" s="1047"/>
      <c r="E124" s="1047"/>
      <c r="F124" s="1047"/>
      <c r="G124" s="1047"/>
      <c r="H124" s="1047"/>
      <c r="I124" s="1029" t="str">
        <f>IF(C124=" "," ","=")</f>
        <v>=</v>
      </c>
      <c r="J124" s="945">
        <f>IF(C125=" "," ",kk)</f>
        <v>0.30749999999999994</v>
      </c>
      <c r="K124" s="108" t="str">
        <f>IF(C125=" "," ",VLOOKUP(C124,合約!B:H,2,FALSE))</f>
        <v>M2</v>
      </c>
      <c r="L124" s="554"/>
      <c r="M124" s="514"/>
      <c r="N124" s="555"/>
      <c r="O124" s="555"/>
      <c r="P124" s="571"/>
      <c r="Q124" s="514"/>
      <c r="R124" s="514"/>
      <c r="S124" s="514"/>
      <c r="T124" s="554"/>
      <c r="U124" s="514"/>
      <c r="V124" s="554"/>
    </row>
    <row r="125" spans="1:24">
      <c r="A125" s="112"/>
      <c r="B125" s="1020"/>
      <c r="C125" s="695" t="str">
        <f>IF(計算資料!H157=0," ",計算資料!H157)</f>
        <v>0.6*1-0.45*0.65</v>
      </c>
      <c r="D125" s="1047"/>
      <c r="E125" s="1047"/>
      <c r="F125" s="1047"/>
      <c r="G125" s="1047"/>
      <c r="H125" s="1047"/>
      <c r="I125" s="1029"/>
      <c r="J125" s="945"/>
      <c r="K125" s="108"/>
      <c r="L125" s="554"/>
      <c r="M125" s="514"/>
      <c r="N125" s="555"/>
      <c r="O125" s="555"/>
      <c r="P125" s="571"/>
      <c r="Q125" s="514"/>
      <c r="R125" s="514"/>
      <c r="S125" s="514"/>
      <c r="T125" s="554"/>
      <c r="U125" s="514"/>
      <c r="V125" s="554"/>
    </row>
    <row r="126" spans="1:24">
      <c r="A126" s="112"/>
      <c r="B126" s="1026" t="str">
        <f>IF(C126=" "," ",VLOOKUP(C126,合約!B:I,7,FALSE))</f>
        <v>0553072008</v>
      </c>
      <c r="C126" s="576" t="str">
        <f>IF(計算資料!H158=0," ",計算資料!H158)</f>
        <v>鍍鋅格柵板及框座，(框53.6cm，蓋45cm)</v>
      </c>
      <c r="D126" s="1085"/>
      <c r="E126" s="1085"/>
      <c r="F126" s="1047"/>
      <c r="G126" s="1047"/>
      <c r="H126" s="1047"/>
      <c r="I126" s="1029" t="str">
        <f>IF(C126=" "," ","=")</f>
        <v>=</v>
      </c>
      <c r="J126" s="945">
        <f>IF(C127=" "," ",kk)</f>
        <v>1</v>
      </c>
      <c r="K126" s="108" t="str">
        <f>IF(C127=" "," ",VLOOKUP(C126,合約!B:H,2,FALSE))</f>
        <v>組</v>
      </c>
      <c r="L126" s="554"/>
      <c r="M126" s="514"/>
      <c r="N126" s="555"/>
      <c r="O126" s="555"/>
      <c r="P126" s="571"/>
      <c r="Q126" s="514"/>
      <c r="R126" s="514"/>
      <c r="S126" s="514"/>
      <c r="T126" s="554"/>
      <c r="U126" s="514"/>
      <c r="V126" s="554"/>
    </row>
    <row r="127" spans="1:24">
      <c r="A127" s="112"/>
      <c r="B127" s="1020"/>
      <c r="C127" s="695" t="str">
        <f>IF(計算資料!H159=0," ",計算資料!H159)</f>
        <v>1</v>
      </c>
      <c r="D127" s="1047"/>
      <c r="E127" s="1047"/>
      <c r="F127" s="1047"/>
      <c r="G127" s="1047"/>
      <c r="H127" s="1047"/>
      <c r="I127" s="1029"/>
      <c r="J127" s="945"/>
      <c r="K127" s="108"/>
      <c r="L127" s="554"/>
      <c r="M127" s="514"/>
      <c r="N127" s="555"/>
      <c r="O127" s="555"/>
      <c r="P127" s="571"/>
      <c r="Q127" s="514"/>
      <c r="R127" s="514"/>
      <c r="S127" s="514"/>
      <c r="T127" s="554"/>
      <c r="U127" s="514"/>
      <c r="V127" s="554"/>
    </row>
    <row r="128" spans="1:24">
      <c r="A128" s="112"/>
      <c r="B128" s="1026" t="str">
        <f>IF(C128=" "," ",VLOOKUP(C128,合約!B:I,7,FALSE))</f>
        <v>0311011312</v>
      </c>
      <c r="C128" s="576" t="str">
        <f>IF(計算資料!H160=0," ",計算資料!H160)</f>
        <v>場鑄結構混凝土用模板，普通模板，丙種.</v>
      </c>
      <c r="D128" s="1047"/>
      <c r="E128" s="1047"/>
      <c r="F128" s="1047"/>
      <c r="G128" s="1047"/>
      <c r="H128" s="1047"/>
      <c r="I128" s="1029" t="str">
        <f>IF(C128=" "," ","=")</f>
        <v>=</v>
      </c>
      <c r="J128" s="945">
        <f>IF(C129=" "," ",kk)</f>
        <v>0.48</v>
      </c>
      <c r="K128" s="108" t="str">
        <f>IF(C129=" "," ",VLOOKUP(C128,合約!B:H,2,FALSE))</f>
        <v>M2</v>
      </c>
      <c r="L128" s="554"/>
      <c r="M128" s="514"/>
      <c r="N128" s="555"/>
      <c r="O128" s="555"/>
      <c r="P128" s="571"/>
      <c r="Q128" s="514"/>
      <c r="R128" s="514"/>
      <c r="S128" s="514"/>
      <c r="T128" s="554"/>
      <c r="U128" s="514"/>
      <c r="V128" s="554"/>
    </row>
    <row r="129" spans="1:22">
      <c r="A129" s="112"/>
      <c r="B129" s="1020"/>
      <c r="C129" s="695" t="str">
        <f>IF(計算資料!H161=0," ",計算資料!H161)</f>
        <v>(0.45+0.65)*0.15*2+1*0.15</v>
      </c>
      <c r="D129" s="1047"/>
      <c r="E129" s="1047"/>
      <c r="F129" s="1047"/>
      <c r="G129" s="1047"/>
      <c r="H129" s="1047"/>
      <c r="I129" s="1029"/>
      <c r="J129" s="945"/>
      <c r="K129" s="108"/>
      <c r="L129" s="554"/>
      <c r="M129" s="514"/>
      <c r="N129" s="555"/>
      <c r="O129" s="555"/>
      <c r="P129" s="571"/>
      <c r="Q129" s="514"/>
      <c r="R129" s="514"/>
      <c r="S129" s="514"/>
      <c r="T129" s="554"/>
      <c r="U129" s="514"/>
      <c r="V129" s="554"/>
    </row>
    <row r="130" spans="1:22">
      <c r="A130" s="112"/>
      <c r="B130" s="1026" t="str">
        <f>IF(C130=" "," ",VLOOKUP(C130,合約!B:I,7,FALSE))</f>
        <v xml:space="preserve"> </v>
      </c>
      <c r="C130" s="576" t="str">
        <f>IF(計算資料!H162=0," ",計算資料!H162)</f>
        <v xml:space="preserve"> </v>
      </c>
      <c r="D130" s="1047"/>
      <c r="E130" s="1085"/>
      <c r="F130" s="1047"/>
      <c r="G130" s="1047"/>
      <c r="H130" s="1047"/>
      <c r="I130" s="1029" t="str">
        <f>IF(C130=" "," ","=")</f>
        <v xml:space="preserve"> </v>
      </c>
      <c r="J130" s="945" t="str">
        <f>IF(C131=" "," ",kk)</f>
        <v xml:space="preserve"> </v>
      </c>
      <c r="K130" s="108" t="str">
        <f>IF(C131=" "," ",VLOOKUP(C130,合約!B:H,2,FALSE))</f>
        <v xml:space="preserve"> </v>
      </c>
      <c r="L130" s="554"/>
      <c r="M130" s="514"/>
      <c r="N130" s="555"/>
      <c r="O130" s="555"/>
      <c r="P130" s="571"/>
      <c r="Q130" s="514"/>
      <c r="R130" s="514"/>
      <c r="S130" s="514"/>
      <c r="T130" s="554"/>
      <c r="U130" s="514"/>
      <c r="V130" s="554"/>
    </row>
    <row r="131" spans="1:22">
      <c r="A131" s="112"/>
      <c r="B131" s="1020"/>
      <c r="C131" s="695" t="str">
        <f>IF(計算資料!H163=0," ",計算資料!H163)</f>
        <v xml:space="preserve"> </v>
      </c>
      <c r="D131" s="1047"/>
      <c r="E131" s="1047"/>
      <c r="F131" s="1047"/>
      <c r="G131" s="1047"/>
      <c r="H131" s="1047"/>
      <c r="I131" s="1029"/>
      <c r="J131" s="945"/>
      <c r="K131" s="108"/>
      <c r="L131" s="554"/>
      <c r="M131" s="514"/>
      <c r="N131" s="555"/>
      <c r="O131" s="555"/>
      <c r="P131" s="571"/>
      <c r="Q131" s="514"/>
      <c r="R131" s="514"/>
      <c r="S131" s="514"/>
      <c r="T131" s="554"/>
      <c r="U131" s="514"/>
      <c r="V131" s="554"/>
    </row>
    <row r="132" spans="1:22">
      <c r="A132" s="112"/>
      <c r="B132" s="1026" t="str">
        <f>IF(C132=" "," ",VLOOKUP(C132,合約!B:I,7,FALSE))</f>
        <v xml:space="preserve"> </v>
      </c>
      <c r="C132" s="576" t="str">
        <f>IF(計算資料!H164=0," ",計算資料!H164)</f>
        <v xml:space="preserve"> </v>
      </c>
      <c r="D132" s="1086"/>
      <c r="E132" s="1086"/>
      <c r="F132" s="1047"/>
      <c r="G132" s="1047"/>
      <c r="H132" s="1047"/>
      <c r="I132" s="1029" t="str">
        <f>IF(C132=" "," ","=")</f>
        <v xml:space="preserve"> </v>
      </c>
      <c r="J132" s="945" t="str">
        <f>IF(C133=" "," ",kk)</f>
        <v xml:space="preserve"> </v>
      </c>
      <c r="K132" s="108" t="str">
        <f>IF(C133=" "," ",VLOOKUP(C132,合約!B:H,2,FALSE))</f>
        <v xml:space="preserve"> </v>
      </c>
      <c r="L132" s="554"/>
      <c r="M132" s="514"/>
      <c r="N132" s="555"/>
      <c r="O132" s="555"/>
      <c r="P132" s="571"/>
      <c r="Q132" s="514"/>
      <c r="R132" s="514"/>
      <c r="S132" s="514"/>
      <c r="T132" s="554"/>
      <c r="U132" s="514"/>
      <c r="V132" s="554"/>
    </row>
    <row r="133" spans="1:22">
      <c r="A133" s="112"/>
      <c r="B133" s="1020"/>
      <c r="C133" s="695" t="str">
        <f>IF(計算資料!H165=0," ",計算資料!H165)</f>
        <v xml:space="preserve"> </v>
      </c>
      <c r="D133" s="1086"/>
      <c r="E133" s="1086"/>
      <c r="F133" s="1047"/>
      <c r="G133" s="1047"/>
      <c r="H133" s="1047"/>
      <c r="I133" s="1029"/>
      <c r="J133" s="945"/>
      <c r="K133" s="108"/>
      <c r="L133" s="554"/>
      <c r="M133" s="514"/>
      <c r="N133" s="555"/>
      <c r="O133" s="555"/>
      <c r="P133" s="571"/>
      <c r="Q133" s="514"/>
      <c r="R133" s="514"/>
      <c r="S133" s="514"/>
      <c r="T133" s="554"/>
      <c r="U133" s="514"/>
      <c r="V133" s="554"/>
    </row>
    <row r="134" spans="1:22">
      <c r="A134" s="112"/>
      <c r="B134" s="1026" t="str">
        <f>IF(C134=" "," ",VLOOKUP(C134,合約!B:I,7,FALSE))</f>
        <v xml:space="preserve"> </v>
      </c>
      <c r="C134" s="576" t="str">
        <f>IF(計算資料!H166=0," ",計算資料!H166)</f>
        <v xml:space="preserve"> </v>
      </c>
      <c r="D134" s="1086"/>
      <c r="E134" s="1086"/>
      <c r="F134" s="1047"/>
      <c r="G134" s="1047"/>
      <c r="H134" s="1047"/>
      <c r="I134" s="1029" t="str">
        <f>IF(C134=" "," ","=")</f>
        <v xml:space="preserve"> </v>
      </c>
      <c r="J134" s="945" t="str">
        <f>IF(C135=" "," ",kk)</f>
        <v xml:space="preserve"> </v>
      </c>
      <c r="K134" s="108" t="str">
        <f>IF(C135=" "," ",VLOOKUP(C134,合約!B:H,2,FALSE))</f>
        <v xml:space="preserve"> </v>
      </c>
      <c r="L134" s="554"/>
      <c r="M134" s="514"/>
      <c r="N134" s="555"/>
      <c r="O134" s="555"/>
      <c r="P134" s="571"/>
      <c r="Q134" s="514"/>
      <c r="R134" s="514"/>
      <c r="S134" s="514"/>
      <c r="T134" s="554"/>
      <c r="U134" s="514"/>
      <c r="V134" s="554"/>
    </row>
    <row r="135" spans="1:22">
      <c r="A135" s="112"/>
      <c r="B135" s="1020"/>
      <c r="C135" s="1082" t="str">
        <f>IF(計算資料!H167=0," ",計算資料!H167)</f>
        <v xml:space="preserve"> </v>
      </c>
      <c r="D135" s="1086"/>
      <c r="E135" s="1086"/>
      <c r="F135" s="1047"/>
      <c r="G135" s="1047"/>
      <c r="H135" s="1047"/>
      <c r="I135" s="1029"/>
      <c r="J135" s="945"/>
      <c r="K135" s="108"/>
      <c r="L135" s="554"/>
      <c r="M135" s="514"/>
      <c r="N135" s="555"/>
      <c r="O135" s="555"/>
      <c r="P135" s="571"/>
      <c r="Q135" s="514"/>
      <c r="R135" s="514"/>
      <c r="S135" s="514"/>
      <c r="T135" s="554"/>
      <c r="U135" s="514"/>
      <c r="V135" s="554"/>
    </row>
    <row r="136" spans="1:22">
      <c r="A136" s="112"/>
      <c r="B136" s="1047"/>
      <c r="C136" s="1086"/>
      <c r="D136" s="1086"/>
      <c r="E136" s="1086"/>
      <c r="F136" s="1047"/>
      <c r="G136" s="1047"/>
      <c r="H136" s="1047"/>
      <c r="I136" s="1070"/>
      <c r="J136" s="960"/>
      <c r="K136" s="554"/>
      <c r="L136" s="554"/>
      <c r="M136" s="514"/>
      <c r="N136" s="555"/>
      <c r="O136" s="555"/>
      <c r="P136" s="571"/>
      <c r="Q136" s="514"/>
      <c r="R136" s="514"/>
      <c r="S136" s="514"/>
      <c r="T136" s="554"/>
      <c r="U136" s="514"/>
      <c r="V136" s="554"/>
    </row>
    <row r="137" spans="1:22">
      <c r="A137" s="112"/>
      <c r="B137" s="1047"/>
      <c r="C137" s="1083"/>
      <c r="D137" s="1047"/>
      <c r="E137" s="1047"/>
      <c r="F137" s="1047"/>
      <c r="G137" s="1047"/>
      <c r="H137" s="1084"/>
      <c r="I137" s="1070"/>
      <c r="J137" s="960"/>
      <c r="K137" s="554"/>
      <c r="L137" s="554"/>
      <c r="M137" s="514"/>
      <c r="N137" s="555"/>
      <c r="O137" s="555"/>
      <c r="P137" s="571"/>
      <c r="Q137" s="514"/>
      <c r="R137" s="514"/>
      <c r="S137" s="514"/>
      <c r="T137" s="554"/>
      <c r="U137" s="514"/>
      <c r="V137" s="554"/>
    </row>
    <row r="138" spans="1:22" ht="17.25" thickBot="1">
      <c r="A138" s="112"/>
      <c r="B138" s="1047"/>
      <c r="C138" s="1083"/>
      <c r="D138" s="1047"/>
      <c r="E138" s="1047"/>
      <c r="F138" s="1047"/>
      <c r="G138" s="1047"/>
      <c r="H138" s="1084"/>
      <c r="I138" s="1070"/>
      <c r="J138" s="960"/>
      <c r="K138" s="554"/>
      <c r="L138" s="554"/>
      <c r="M138" s="514"/>
      <c r="N138" s="555"/>
      <c r="O138" s="555"/>
      <c r="P138" s="571"/>
      <c r="Q138" s="514"/>
      <c r="R138" s="514"/>
      <c r="S138" s="514"/>
      <c r="T138" s="554"/>
      <c r="U138" s="514"/>
      <c r="V138" s="554"/>
    </row>
    <row r="139" spans="1:22">
      <c r="A139" s="112"/>
      <c r="B139" s="1459" t="s">
        <v>3733</v>
      </c>
      <c r="C139" s="1481"/>
      <c r="D139" s="991" t="s">
        <v>3811</v>
      </c>
      <c r="E139" s="992" t="s">
        <v>3692</v>
      </c>
      <c r="F139" s="993" t="s">
        <v>3693</v>
      </c>
      <c r="G139" s="993" t="s">
        <v>3694</v>
      </c>
      <c r="H139" s="993" t="s">
        <v>3695</v>
      </c>
      <c r="I139" s="1070"/>
      <c r="J139" s="960"/>
      <c r="K139" s="554"/>
      <c r="L139" s="554"/>
      <c r="M139" s="514"/>
      <c r="N139" s="555"/>
      <c r="O139" s="555"/>
      <c r="P139" s="571"/>
      <c r="Q139" s="514"/>
      <c r="R139" s="514"/>
      <c r="S139" s="514"/>
      <c r="T139" s="554"/>
      <c r="U139" s="514"/>
      <c r="V139" s="554"/>
    </row>
    <row r="140" spans="1:22" ht="17.25" thickBot="1">
      <c r="A140" s="112"/>
      <c r="B140" s="1461"/>
      <c r="C140" s="1462"/>
      <c r="D140" s="995">
        <v>1.5</v>
      </c>
      <c r="E140" s="996" t="str">
        <f>自主檢查表!$E$2</f>
        <v>搶修案</v>
      </c>
      <c r="F140" s="997" t="s">
        <v>3672</v>
      </c>
      <c r="G140" s="997" t="s">
        <v>3788</v>
      </c>
      <c r="H140" s="997" t="s">
        <v>3679</v>
      </c>
      <c r="I140" s="1070"/>
      <c r="J140" s="960"/>
      <c r="K140" s="554"/>
      <c r="L140" s="554"/>
      <c r="M140" s="514"/>
      <c r="S140" s="514"/>
      <c r="T140" s="554"/>
      <c r="U140" s="514"/>
      <c r="V140" s="554"/>
    </row>
    <row r="141" spans="1:22">
      <c r="A141" s="110"/>
      <c r="B141" s="1087" t="s">
        <v>3698</v>
      </c>
      <c r="C141" s="1000" t="s">
        <v>3697</v>
      </c>
      <c r="D141" s="989" t="s">
        <v>3699</v>
      </c>
      <c r="E141" s="989" t="s">
        <v>3701</v>
      </c>
      <c r="F141" s="989" t="s">
        <v>3700</v>
      </c>
      <c r="G141" s="989" t="s">
        <v>3702</v>
      </c>
      <c r="H141" s="1088"/>
      <c r="I141" s="1070"/>
      <c r="J141" s="960"/>
      <c r="K141" s="554"/>
      <c r="L141" s="554"/>
      <c r="M141" s="514"/>
      <c r="S141" s="514"/>
      <c r="T141" s="554"/>
      <c r="U141" s="514"/>
      <c r="V141" s="554"/>
    </row>
    <row r="142" spans="1:22" ht="17.25" thickBot="1">
      <c r="A142" s="110"/>
      <c r="B142" s="1002">
        <v>50</v>
      </c>
      <c r="C142" s="1003">
        <v>47</v>
      </c>
      <c r="D142" s="1003">
        <v>20</v>
      </c>
      <c r="E142" s="1003">
        <v>0</v>
      </c>
      <c r="F142" s="1003">
        <v>0</v>
      </c>
      <c r="G142" s="1003">
        <v>0</v>
      </c>
      <c r="H142" s="1089"/>
      <c r="I142" s="1070"/>
      <c r="J142" s="960"/>
      <c r="K142" s="554"/>
      <c r="L142" s="554"/>
      <c r="M142" s="514"/>
      <c r="N142" s="555"/>
      <c r="O142" s="555"/>
      <c r="S142" s="514"/>
      <c r="T142" s="554"/>
      <c r="U142" s="514"/>
      <c r="V142" s="554"/>
    </row>
    <row r="143" spans="1:22" ht="17.25" thickBot="1">
      <c r="A143" s="110"/>
      <c r="B143" s="1473" t="s">
        <v>3799</v>
      </c>
      <c r="C143" s="1474"/>
      <c r="D143" s="1475"/>
      <c r="E143" s="1476" t="s">
        <v>3735</v>
      </c>
      <c r="F143" s="1477"/>
      <c r="G143" s="1478"/>
      <c r="H143" s="1040"/>
      <c r="I143" s="1070"/>
      <c r="J143" s="960"/>
      <c r="K143" s="554"/>
      <c r="L143" s="554"/>
      <c r="M143" s="514"/>
      <c r="N143" s="555"/>
      <c r="O143" s="555"/>
      <c r="P143" s="571"/>
      <c r="Q143" s="514"/>
      <c r="R143" s="514"/>
      <c r="S143" s="514"/>
      <c r="T143" s="554"/>
      <c r="U143" s="514"/>
      <c r="V143" s="554"/>
    </row>
    <row r="144" spans="1:22">
      <c r="A144" s="110"/>
      <c r="B144" s="1006" t="s">
        <v>3739</v>
      </c>
      <c r="C144" s="1007" t="s">
        <v>3740</v>
      </c>
      <c r="D144" s="1008" t="s">
        <v>3768</v>
      </c>
      <c r="E144" s="1006" t="s">
        <v>3739</v>
      </c>
      <c r="F144" s="1007" t="s">
        <v>3740</v>
      </c>
      <c r="G144" s="1008" t="s">
        <v>3768</v>
      </c>
      <c r="H144" s="1043" t="s">
        <v>3742</v>
      </c>
      <c r="I144" s="1070"/>
      <c r="J144" s="960"/>
      <c r="K144" s="554"/>
      <c r="L144" s="554"/>
      <c r="M144" s="514"/>
      <c r="N144" s="555"/>
      <c r="O144" s="555"/>
      <c r="P144" s="571"/>
      <c r="Q144" s="514"/>
      <c r="R144" s="514"/>
      <c r="S144" s="514"/>
      <c r="T144" s="554"/>
      <c r="U144" s="514"/>
      <c r="V144" s="554"/>
    </row>
    <row r="145" spans="1:22" ht="17.25" thickBot="1">
      <c r="A145" s="110"/>
      <c r="B145" s="1010">
        <f>(B142+30)+(C142+30)*2+(15*2)</f>
        <v>264</v>
      </c>
      <c r="C145" s="1011">
        <v>7</v>
      </c>
      <c r="D145" s="1012">
        <f>ROUND((B145/100)*C145*1.56,2)</f>
        <v>28.83</v>
      </c>
      <c r="E145" s="1010">
        <v>100</v>
      </c>
      <c r="F145" s="1011">
        <f>((ROUND((B142)/15,0))+1)+(ROUND((C142+15)/15,0))*2</f>
        <v>12</v>
      </c>
      <c r="G145" s="1012">
        <f>ROUND((E145/100)*F145*0.994,2)</f>
        <v>11.93</v>
      </c>
      <c r="H145" s="1013">
        <f>D145+G145</f>
        <v>40.76</v>
      </c>
      <c r="I145" s="1070"/>
      <c r="J145" s="960"/>
      <c r="K145" s="554"/>
      <c r="L145" s="554"/>
      <c r="M145" s="514"/>
      <c r="N145" s="555"/>
      <c r="O145" s="555"/>
      <c r="P145" s="571"/>
      <c r="Q145" s="514"/>
      <c r="R145" s="514"/>
      <c r="S145" s="514"/>
      <c r="T145" s="554"/>
      <c r="U145" s="514"/>
      <c r="V145" s="554"/>
    </row>
    <row r="146" spans="1:22">
      <c r="A146" s="110"/>
      <c r="B146" s="1047"/>
      <c r="C146" s="1047"/>
      <c r="D146" s="1070"/>
      <c r="E146" s="1047"/>
      <c r="F146" s="1047"/>
      <c r="G146" s="1070"/>
      <c r="H146" s="1070"/>
      <c r="I146" s="1070"/>
      <c r="J146" s="960"/>
      <c r="K146" s="554"/>
      <c r="L146" s="554"/>
      <c r="M146" s="514"/>
      <c r="N146" s="555"/>
      <c r="O146" s="555"/>
      <c r="P146" s="571"/>
      <c r="Q146" s="514"/>
      <c r="R146" s="514"/>
      <c r="S146" s="514"/>
      <c r="T146" s="554"/>
      <c r="U146" s="514"/>
      <c r="V146" s="554"/>
    </row>
    <row r="147" spans="1:22">
      <c r="A147" s="43">
        <v>5</v>
      </c>
      <c r="B147" s="1014" t="str">
        <f>"暗溝"&amp;D149&amp;"-溝寬"&amp; D151 &amp;"m*溝深" &amp; D150 &amp;"m 頂板另計"</f>
        <v>暗溝新設-溝寬0.5m*溝深0.47m 頂板另計</v>
      </c>
      <c r="C147" s="1014"/>
      <c r="D147" s="1015"/>
      <c r="E147" s="1016"/>
      <c r="F147" s="1017"/>
      <c r="G147" s="1017"/>
      <c r="H147" s="1018" t="s">
        <v>2959</v>
      </c>
      <c r="I147" s="1019" t="s">
        <v>19</v>
      </c>
      <c r="J147" s="122">
        <v>1</v>
      </c>
      <c r="K147" s="121" t="s">
        <v>2934</v>
      </c>
    </row>
    <row r="148" spans="1:22" s="114" customFormat="1">
      <c r="A148" s="150"/>
      <c r="B148" s="1020"/>
      <c r="C148" s="1018" t="s">
        <v>20</v>
      </c>
      <c r="D148" s="588">
        <f>D140</f>
        <v>1.5</v>
      </c>
      <c r="E148" s="1021" t="str">
        <f>K147</f>
        <v>m</v>
      </c>
      <c r="F148" s="1020"/>
      <c r="G148" s="1020"/>
      <c r="H148" s="1024"/>
      <c r="I148" s="1029"/>
      <c r="J148" s="948"/>
      <c r="K148" s="108"/>
      <c r="L148" s="109"/>
    </row>
    <row r="149" spans="1:22">
      <c r="A149" s="110"/>
      <c r="B149" s="1020"/>
      <c r="C149" s="1018" t="s">
        <v>2976</v>
      </c>
      <c r="D149" s="976" t="str">
        <f>F140</f>
        <v>新設</v>
      </c>
      <c r="E149" s="1021"/>
      <c r="F149" s="1022"/>
      <c r="G149" s="1022"/>
      <c r="H149" s="1018"/>
      <c r="I149" s="1023"/>
      <c r="J149" s="943"/>
      <c r="K149" s="108"/>
    </row>
    <row r="150" spans="1:22" s="114" customFormat="1">
      <c r="A150" s="150"/>
      <c r="B150" s="1020"/>
      <c r="C150" s="1018" t="s">
        <v>2968</v>
      </c>
      <c r="D150" s="568">
        <f>C142*0.01</f>
        <v>0.47000000000000003</v>
      </c>
      <c r="E150" s="1021" t="s">
        <v>2974</v>
      </c>
      <c r="F150" s="986"/>
      <c r="G150" s="1018" t="str">
        <f>IF($G$140="無既有溝"," ","既有溝深=")</f>
        <v>既有溝深=</v>
      </c>
      <c r="H150" s="1025">
        <f>IF($G$140="無既有溝"," ",F142*0.01)</f>
        <v>0</v>
      </c>
      <c r="I150" s="1021" t="str">
        <f>IF($G$140="無既有溝"," ","m")</f>
        <v>m</v>
      </c>
      <c r="J150" s="948"/>
      <c r="K150" s="108"/>
      <c r="L150" s="109"/>
    </row>
    <row r="151" spans="1:22" s="114" customFormat="1">
      <c r="A151" s="150"/>
      <c r="B151" s="1020"/>
      <c r="C151" s="1018" t="s">
        <v>2969</v>
      </c>
      <c r="D151" s="568">
        <f>B142*0.01</f>
        <v>0.5</v>
      </c>
      <c r="E151" s="1021" t="s">
        <v>2974</v>
      </c>
      <c r="F151" s="986"/>
      <c r="G151" s="1018" t="str">
        <f>IF($G$140="無既有溝"," ","既有溝寬=")</f>
        <v>既有溝寬=</v>
      </c>
      <c r="H151" s="1025">
        <f>IF($G$140="無既有溝"," ",E142*0.01)</f>
        <v>0</v>
      </c>
      <c r="I151" s="1021" t="str">
        <f>IF($G$140="無既有溝"," ","m")</f>
        <v>m</v>
      </c>
      <c r="J151" s="948"/>
      <c r="K151" s="108"/>
    </row>
    <row r="152" spans="1:22" s="114" customFormat="1">
      <c r="A152" s="150"/>
      <c r="B152" s="1020"/>
      <c r="C152" s="1018" t="s">
        <v>2975</v>
      </c>
      <c r="D152" s="568">
        <f>D142*0.01</f>
        <v>0.2</v>
      </c>
      <c r="E152" s="1021" t="s">
        <v>2974</v>
      </c>
      <c r="F152" s="986"/>
      <c r="G152" s="1018" t="str">
        <f>IF($G$140="無既有溝"," ","既有牆寬=")</f>
        <v>既有牆寬=</v>
      </c>
      <c r="H152" s="1025">
        <f>IF($G$140="無既有溝"," ",G142*0.01)</f>
        <v>0</v>
      </c>
      <c r="I152" s="1021" t="str">
        <f>IF($G$140="無既有溝"," ","m")</f>
        <v>m</v>
      </c>
      <c r="J152" s="948"/>
      <c r="K152" s="108"/>
      <c r="L152" s="109"/>
    </row>
    <row r="153" spans="1:22">
      <c r="A153" s="110"/>
      <c r="B153" s="1026" t="str">
        <f>IF(C153=" "," ",VLOOKUP(C153,合約!B:I,7,FALSE))</f>
        <v>0232340003</v>
      </c>
      <c r="C153" s="576" t="str">
        <f>IF(計算資料!H96=0," ",計算資料!H96)</f>
        <v>餘方自行處理(含水土保持)，總重15t以下傾卸貨車</v>
      </c>
      <c r="D153" s="1085"/>
      <c r="E153" s="1085"/>
      <c r="F153" s="1085"/>
      <c r="G153" s="1085"/>
      <c r="H153" s="1047"/>
      <c r="I153" s="1029" t="str">
        <f>IF(C153=" "," ","=")</f>
        <v>=</v>
      </c>
      <c r="J153" s="945">
        <f>IF(C154=" "," ",kk)</f>
        <v>0.64800000000000002</v>
      </c>
      <c r="K153" s="108" t="str">
        <f>IF(C154=" "," ",VLOOKUP(C153,合約!B:H,2,FALSE))</f>
        <v>B.M3</v>
      </c>
      <c r="L153" s="554"/>
      <c r="M153" s="514"/>
      <c r="N153" s="555"/>
      <c r="O153" s="555"/>
      <c r="P153" s="571"/>
      <c r="Q153" s="514"/>
      <c r="R153" s="514"/>
      <c r="S153" s="514"/>
      <c r="T153" s="554"/>
      <c r="U153" s="514"/>
      <c r="V153" s="554"/>
    </row>
    <row r="154" spans="1:22">
      <c r="A154" s="110"/>
      <c r="B154" s="1020"/>
      <c r="C154" s="1082" t="str">
        <f>IF(計算資料!H97=0," ",計算資料!H97)</f>
        <v>(0.9*(0.47+0.25))</v>
      </c>
      <c r="D154" s="1047"/>
      <c r="E154" s="1047"/>
      <c r="F154" s="1047"/>
      <c r="G154" s="1047"/>
      <c r="H154" s="1047"/>
      <c r="I154" s="1029"/>
      <c r="J154" s="945"/>
      <c r="K154" s="108"/>
      <c r="L154" s="554"/>
      <c r="M154" s="514"/>
      <c r="N154" s="555"/>
      <c r="O154" s="555"/>
      <c r="P154" s="571"/>
      <c r="Q154" s="514"/>
      <c r="R154" s="514"/>
      <c r="S154" s="514"/>
      <c r="T154" s="554"/>
      <c r="U154" s="514"/>
      <c r="V154" s="554"/>
    </row>
    <row r="155" spans="1:22">
      <c r="A155" s="110"/>
      <c r="B155" s="1026" t="str">
        <f>IF(C155=" "," ",VLOOKUP(C155,合約!B:I,7,FALSE))</f>
        <v>0331023003</v>
      </c>
      <c r="C155" s="576" t="str">
        <f>IF(計算資料!H98=0," ",計算資料!H98)</f>
        <v>結構用混凝土，預拌，140kgf/cm2</v>
      </c>
      <c r="D155" s="1047"/>
      <c r="E155" s="1047"/>
      <c r="F155" s="1047"/>
      <c r="G155" s="1047"/>
      <c r="H155" s="1047"/>
      <c r="I155" s="1029" t="str">
        <f>IF(C155=" "," ","=")</f>
        <v>=</v>
      </c>
      <c r="J155" s="945">
        <f>IF(C156=" "," ",kk)</f>
        <v>4.4999999999999998E-2</v>
      </c>
      <c r="K155" s="108" t="str">
        <f>IF(C156=" "," ",VLOOKUP(C155,合約!B:H,2,FALSE))</f>
        <v>M3</v>
      </c>
      <c r="L155" s="554"/>
      <c r="M155" s="514"/>
      <c r="N155" s="555"/>
      <c r="O155" s="555"/>
      <c r="P155" s="571"/>
      <c r="Q155" s="514"/>
      <c r="R155" s="514"/>
      <c r="S155" s="514"/>
      <c r="T155" s="554"/>
      <c r="U155" s="514"/>
      <c r="V155" s="554"/>
    </row>
    <row r="156" spans="1:22">
      <c r="A156" s="110"/>
      <c r="B156" s="1020"/>
      <c r="C156" s="1082" t="str">
        <f>IF(計算資料!H99=0," ",計算資料!H99)</f>
        <v>(0.5+0.2+0.2)*0.05</v>
      </c>
      <c r="D156" s="1047"/>
      <c r="E156" s="1047"/>
      <c r="F156" s="1047"/>
      <c r="G156" s="1047"/>
      <c r="H156" s="1047"/>
      <c r="I156" s="1029"/>
      <c r="J156" s="945"/>
      <c r="K156" s="108"/>
      <c r="L156" s="554"/>
      <c r="M156" s="514"/>
      <c r="N156" s="555"/>
      <c r="O156" s="555"/>
      <c r="P156" s="571"/>
      <c r="Q156" s="514"/>
      <c r="R156" s="514"/>
      <c r="S156" s="514"/>
      <c r="T156" s="554"/>
      <c r="U156" s="514"/>
      <c r="V156" s="554"/>
    </row>
    <row r="157" spans="1:22">
      <c r="A157" s="110"/>
      <c r="B157" s="1026" t="str">
        <f>IF(C157=" "," ",VLOOKUP(C157,合約!B:I,7,FALSE))</f>
        <v>0331025003</v>
      </c>
      <c r="C157" s="576" t="str">
        <f>IF(計算資料!H100=0," ",計算資料!H100)</f>
        <v>結構用混凝土，預拌，210kgf/cm2</v>
      </c>
      <c r="D157" s="1085"/>
      <c r="E157" s="1085"/>
      <c r="F157" s="1085"/>
      <c r="G157" s="1085"/>
      <c r="H157" s="1047"/>
      <c r="I157" s="1029" t="str">
        <f>IF(C157=" "," ","=")</f>
        <v>=</v>
      </c>
      <c r="J157" s="945">
        <f>IF(C158=" "," ",kk)</f>
        <v>0.41461874999999998</v>
      </c>
      <c r="K157" s="108" t="str">
        <f>IF(C158=" "," ",VLOOKUP(C157,合約!B:H,2,FALSE))</f>
        <v>M3</v>
      </c>
      <c r="L157" s="554"/>
      <c r="M157" s="514"/>
      <c r="N157" s="555"/>
      <c r="O157" s="555"/>
      <c r="P157" s="571"/>
      <c r="Q157" s="514"/>
      <c r="R157" s="514"/>
      <c r="S157" s="514"/>
      <c r="T157" s="554"/>
      <c r="U157" s="514"/>
      <c r="V157" s="554"/>
    </row>
    <row r="158" spans="1:22">
      <c r="A158" s="110"/>
      <c r="B158" s="1020"/>
      <c r="C158" s="1082" t="str">
        <f>IF(計算資料!H101=0," ",計算資料!H101)</f>
        <v>(0.9*(0.47+0.2)-(0.22*0.5)-((0.25^2)*3.14*0.5))*1.05</v>
      </c>
      <c r="D158" s="1047"/>
      <c r="E158" s="1047"/>
      <c r="F158" s="1047"/>
      <c r="G158" s="1047"/>
      <c r="H158" s="1047"/>
      <c r="I158" s="1029"/>
      <c r="J158" s="945"/>
      <c r="K158" s="108"/>
      <c r="L158" s="239"/>
      <c r="M158" s="239"/>
      <c r="N158" s="239"/>
      <c r="O158" s="239"/>
      <c r="P158" s="239"/>
      <c r="Q158" s="446" t="s">
        <v>3782</v>
      </c>
      <c r="R158" s="239"/>
      <c r="S158" s="239"/>
      <c r="T158" s="239"/>
      <c r="U158" s="239"/>
      <c r="V158" s="6"/>
    </row>
    <row r="159" spans="1:22">
      <c r="A159" s="110"/>
      <c r="B159" s="1026" t="str">
        <f>IF(C159=" "," ",VLOOKUP(C159,合約!B:I,7,FALSE))</f>
        <v>03110900a1</v>
      </c>
      <c r="C159" s="576" t="str">
        <f>IF(計算資料!H102=0," ",計算資料!H102)</f>
        <v>鋼製模板，U型溝用，W=40cm，L=120cm.</v>
      </c>
      <c r="D159" s="1047"/>
      <c r="E159" s="1047"/>
      <c r="F159" s="1047"/>
      <c r="G159" s="1047"/>
      <c r="H159" s="1047"/>
      <c r="I159" s="1029" t="str">
        <f>IF(C159=" "," ","=")</f>
        <v>=</v>
      </c>
      <c r="J159" s="945">
        <f>IF(C160=" "," ",kk)</f>
        <v>1</v>
      </c>
      <c r="K159" s="108" t="str">
        <f>IF(C160=" "," ",VLOOKUP(C159,合約!B:H,2,FALSE))</f>
        <v>M</v>
      </c>
    </row>
    <row r="160" spans="1:22">
      <c r="A160" s="110"/>
      <c r="B160" s="1020"/>
      <c r="C160" s="1082" t="str">
        <f>IF(計算資料!H103=0," ",計算資料!H103)</f>
        <v>1</v>
      </c>
      <c r="D160" s="1047"/>
      <c r="E160" s="1047"/>
      <c r="F160" s="1047"/>
      <c r="G160" s="1047"/>
      <c r="H160" s="1047"/>
      <c r="I160" s="1029"/>
      <c r="J160" s="945"/>
      <c r="K160" s="108"/>
    </row>
    <row r="161" spans="1:11">
      <c r="A161" s="110"/>
      <c r="B161" s="1026" t="str">
        <f>IF(C161=" "," ",VLOOKUP(C161,合約!B:I,7,FALSE))</f>
        <v>0321041009</v>
      </c>
      <c r="C161" s="576" t="str">
        <f>IF(計算資料!H104=0," ",計算資料!H104)</f>
        <v>鋼筋，SD280W.</v>
      </c>
      <c r="D161" s="1085"/>
      <c r="E161" s="1090"/>
      <c r="F161" s="1085"/>
      <c r="G161" s="1085"/>
      <c r="H161" s="1047"/>
      <c r="I161" s="1029" t="str">
        <f>IF(C161=" "," ","=")</f>
        <v>=</v>
      </c>
      <c r="J161" s="945">
        <f>IF(C162=" "," ",kk)</f>
        <v>40.76</v>
      </c>
      <c r="K161" s="108" t="str">
        <f>IF(C162=" "," ",VLOOKUP(C161,合約!B:H,2,FALSE))</f>
        <v>KG</v>
      </c>
    </row>
    <row r="162" spans="1:11">
      <c r="A162" s="110"/>
      <c r="B162" s="1020"/>
      <c r="C162" s="1082" t="str">
        <f>IF(計算資料!H105=0," ",計算資料!H105)</f>
        <v>28.83+11.93</v>
      </c>
      <c r="D162" s="1047"/>
      <c r="E162" s="1070"/>
      <c r="F162" s="1047"/>
      <c r="G162" s="1047"/>
      <c r="H162" s="1047"/>
      <c r="I162" s="1029"/>
      <c r="J162" s="945"/>
      <c r="K162" s="108"/>
    </row>
    <row r="163" spans="1:11">
      <c r="A163" s="110"/>
      <c r="B163" s="1026" t="str">
        <f>IF(C163=" "," ",VLOOKUP(C163,合約!B:I,7,FALSE))</f>
        <v xml:space="preserve"> </v>
      </c>
      <c r="C163" s="576" t="str">
        <f>IF(計算資料!H106=0," ",計算資料!H106)</f>
        <v xml:space="preserve"> </v>
      </c>
      <c r="D163" s="1047"/>
      <c r="E163" s="1070"/>
      <c r="F163" s="1047"/>
      <c r="G163" s="1047"/>
      <c r="H163" s="1047"/>
      <c r="I163" s="1029" t="str">
        <f>IF(C163=" "," ","=")</f>
        <v xml:space="preserve"> </v>
      </c>
      <c r="J163" s="945" t="str">
        <f>IF(C164=" "," ",kk)</f>
        <v xml:space="preserve"> </v>
      </c>
      <c r="K163" s="108" t="str">
        <f>IF(C164=" "," ",VLOOKUP(C163,合約!B:H,2,FALSE))</f>
        <v xml:space="preserve"> </v>
      </c>
    </row>
    <row r="164" spans="1:11">
      <c r="A164" s="110"/>
      <c r="B164" s="1020"/>
      <c r="C164" s="1082" t="str">
        <f>IF(計算資料!H107=0," ",計算資料!H107)</f>
        <v xml:space="preserve"> </v>
      </c>
      <c r="D164" s="1047"/>
      <c r="E164" s="1070"/>
      <c r="F164" s="1047"/>
      <c r="G164" s="1047"/>
      <c r="H164" s="1047"/>
      <c r="I164" s="1029"/>
      <c r="J164" s="945"/>
      <c r="K164" s="108"/>
    </row>
    <row r="165" spans="1:11">
      <c r="A165" s="110"/>
      <c r="B165" s="1026" t="str">
        <f>IF(C165=" "," ",VLOOKUP(C165,合約!B:I,7,FALSE))</f>
        <v xml:space="preserve"> </v>
      </c>
      <c r="C165" s="576" t="str">
        <f>IF(計算資料!H108=0," ",計算資料!H108)</f>
        <v xml:space="preserve"> </v>
      </c>
      <c r="D165" s="1085"/>
      <c r="E165" s="1090"/>
      <c r="F165" s="1085"/>
      <c r="G165" s="1085"/>
      <c r="H165" s="1070"/>
      <c r="I165" s="1029" t="str">
        <f>IF(C165=" "," ","=")</f>
        <v xml:space="preserve"> </v>
      </c>
      <c r="J165" s="945" t="str">
        <f>IF(C166=" "," ",kk)</f>
        <v xml:space="preserve"> </v>
      </c>
      <c r="K165" s="108" t="str">
        <f>IF(C166=" "," ",VLOOKUP(C165,合約!B:H,2,FALSE))</f>
        <v xml:space="preserve"> </v>
      </c>
    </row>
    <row r="166" spans="1:11">
      <c r="A166" s="43"/>
      <c r="B166" s="1020"/>
      <c r="C166" s="1082" t="str">
        <f>IF(計算資料!H109=0," ",計算資料!H109)</f>
        <v xml:space="preserve"> </v>
      </c>
      <c r="D166" s="1047"/>
      <c r="E166" s="1070"/>
      <c r="F166" s="1047"/>
      <c r="G166" s="1047"/>
      <c r="H166" s="1070"/>
      <c r="I166" s="1029"/>
      <c r="J166" s="945"/>
      <c r="K166" s="108"/>
    </row>
    <row r="167" spans="1:11">
      <c r="A167" s="110"/>
      <c r="B167" s="1026" t="str">
        <f>IF(C167=" "," ",VLOOKUP(C167,合約!B:I,7,FALSE))</f>
        <v xml:space="preserve"> </v>
      </c>
      <c r="C167" s="576" t="str">
        <f>IF(計算資料!H110=0," ",計算資料!H110)</f>
        <v xml:space="preserve"> </v>
      </c>
      <c r="D167" s="1047"/>
      <c r="E167" s="1070"/>
      <c r="F167" s="1047"/>
      <c r="G167" s="1047"/>
      <c r="H167" s="1070"/>
      <c r="I167" s="1029" t="str">
        <f>IF(C167=" "," ","=")</f>
        <v xml:space="preserve"> </v>
      </c>
      <c r="J167" s="945" t="str">
        <f>IF(C168=" "," ",kk)</f>
        <v xml:space="preserve"> </v>
      </c>
      <c r="K167" s="108" t="str">
        <f>IF(C168=" "," ",VLOOKUP(C167,合約!B:H,2,FALSE))</f>
        <v xml:space="preserve"> </v>
      </c>
    </row>
    <row r="168" spans="1:11">
      <c r="A168" s="110"/>
      <c r="B168" s="1020"/>
      <c r="C168" s="1082" t="str">
        <f>IF(計算資料!H111=0," ",計算資料!H111)</f>
        <v xml:space="preserve"> </v>
      </c>
      <c r="D168" s="1070"/>
      <c r="E168" s="1047"/>
      <c r="F168" s="1047"/>
      <c r="G168" s="1070"/>
      <c r="H168" s="1070"/>
      <c r="I168" s="1029"/>
      <c r="J168" s="945"/>
      <c r="K168" s="108"/>
    </row>
    <row r="169" spans="1:11">
      <c r="A169" s="110"/>
      <c r="B169" s="1047"/>
      <c r="C169" s="576" t="str">
        <f>IF(計算資料!H112=0," ",計算資料!H112)</f>
        <v xml:space="preserve"> </v>
      </c>
      <c r="D169" s="1070"/>
      <c r="E169" s="1047"/>
      <c r="F169" s="1047"/>
      <c r="G169" s="1070"/>
      <c r="H169" s="1070"/>
      <c r="I169" s="1029" t="str">
        <f>IF(C169=" "," ","=")</f>
        <v xml:space="preserve"> </v>
      </c>
      <c r="J169" s="945" t="str">
        <f>IF(C170=" "," ",kk)</f>
        <v xml:space="preserve"> </v>
      </c>
      <c r="K169" s="108" t="str">
        <f>IF(C170=" "," ",VLOOKUP(C169,合約!B:H,2,FALSE))</f>
        <v xml:space="preserve"> </v>
      </c>
    </row>
    <row r="170" spans="1:11">
      <c r="A170" s="110"/>
      <c r="B170" s="1047"/>
      <c r="C170" s="1082" t="str">
        <f>IF(計算資料!H113=0," ",計算資料!H113)</f>
        <v xml:space="preserve"> </v>
      </c>
      <c r="D170" s="1070"/>
      <c r="E170" s="1047"/>
      <c r="F170" s="1047"/>
      <c r="G170" s="1070"/>
      <c r="H170" s="1070"/>
      <c r="I170" s="1029"/>
      <c r="J170" s="945"/>
      <c r="K170" s="108"/>
    </row>
    <row r="171" spans="1:11" ht="17.25" thickBot="1">
      <c r="A171" s="110"/>
      <c r="B171" s="1047"/>
      <c r="C171" s="1047"/>
      <c r="D171" s="1070"/>
      <c r="E171" s="1047"/>
      <c r="F171" s="1047"/>
      <c r="G171" s="1070"/>
      <c r="H171" s="1070"/>
    </row>
    <row r="172" spans="1:11">
      <c r="A172" s="110"/>
      <c r="B172" s="1459" t="s">
        <v>3783</v>
      </c>
      <c r="C172" s="1460"/>
      <c r="D172" s="991" t="s">
        <v>3811</v>
      </c>
      <c r="E172" s="992" t="s">
        <v>3692</v>
      </c>
      <c r="F172" s="993" t="s">
        <v>3693</v>
      </c>
      <c r="G172" s="993" t="s">
        <v>3746</v>
      </c>
      <c r="H172" s="994" t="s">
        <v>3784</v>
      </c>
      <c r="I172" s="1034"/>
    </row>
    <row r="173" spans="1:11" ht="17.25" thickBot="1">
      <c r="A173" s="110"/>
      <c r="B173" s="1461"/>
      <c r="C173" s="1462"/>
      <c r="D173" s="995">
        <v>1</v>
      </c>
      <c r="E173" s="996" t="str">
        <f>自主檢查表!$E$2</f>
        <v>搶修案</v>
      </c>
      <c r="F173" s="997" t="s">
        <v>3672</v>
      </c>
      <c r="G173" s="997" t="s">
        <v>3789</v>
      </c>
      <c r="H173" s="998" t="s">
        <v>2984</v>
      </c>
      <c r="I173" s="1034"/>
    </row>
    <row r="174" spans="1:11">
      <c r="A174" s="110"/>
      <c r="B174" s="1091" t="s">
        <v>3737</v>
      </c>
      <c r="C174" s="1092" t="s">
        <v>3738</v>
      </c>
      <c r="D174" s="1093" t="s">
        <v>3786</v>
      </c>
      <c r="E174" s="1094"/>
      <c r="F174" s="1094"/>
      <c r="G174" s="1094"/>
      <c r="H174" s="1088"/>
      <c r="I174" s="1034"/>
    </row>
    <row r="175" spans="1:11" ht="17.25" thickBot="1">
      <c r="A175" s="110"/>
      <c r="B175" s="1095" t="s">
        <v>4406</v>
      </c>
      <c r="C175" s="1096" t="s">
        <v>3796</v>
      </c>
      <c r="D175" s="1096" t="s">
        <v>3797</v>
      </c>
      <c r="E175" s="1011"/>
      <c r="F175" s="1011"/>
      <c r="G175" s="1011"/>
      <c r="H175" s="1089"/>
      <c r="I175" s="1034"/>
    </row>
    <row r="176" spans="1:11" ht="17.25" thickBot="1">
      <c r="A176" s="110"/>
      <c r="B176" s="1473" t="s">
        <v>3734</v>
      </c>
      <c r="C176" s="1474"/>
      <c r="D176" s="1475"/>
      <c r="E176" s="1476" t="s">
        <v>3735</v>
      </c>
      <c r="F176" s="1477"/>
      <c r="G176" s="1478"/>
      <c r="H176" s="1040"/>
      <c r="I176" s="1034"/>
    </row>
    <row r="177" spans="1:12">
      <c r="A177" s="110"/>
      <c r="B177" s="1006" t="s">
        <v>3739</v>
      </c>
      <c r="C177" s="1007" t="s">
        <v>3740</v>
      </c>
      <c r="D177" s="1008" t="s">
        <v>3768</v>
      </c>
      <c r="E177" s="1006" t="s">
        <v>3739</v>
      </c>
      <c r="F177" s="1007" t="s">
        <v>3740</v>
      </c>
      <c r="G177" s="1008" t="s">
        <v>3768</v>
      </c>
      <c r="H177" s="1043" t="s">
        <v>3742</v>
      </c>
      <c r="I177" s="1034"/>
    </row>
    <row r="178" spans="1:12" ht="17.25" thickBot="1">
      <c r="A178" s="110"/>
      <c r="B178" s="1010">
        <f>計算資料!BN88</f>
        <v>100</v>
      </c>
      <c r="C178" s="1097" t="str">
        <f>計算資料!BO88</f>
        <v>14</v>
      </c>
      <c r="D178" s="1012">
        <f>計算資料!BP88</f>
        <v>13.92</v>
      </c>
      <c r="E178" s="1010">
        <f>計算資料!BQ88</f>
        <v>100</v>
      </c>
      <c r="F178" s="1011">
        <f>計算資料!BR88</f>
        <v>16</v>
      </c>
      <c r="G178" s="1012">
        <f>計算資料!BS88</f>
        <v>15.9</v>
      </c>
      <c r="H178" s="1013">
        <f>計算資料!BT88</f>
        <v>29.82</v>
      </c>
      <c r="I178" s="1034"/>
    </row>
    <row r="179" spans="1:12">
      <c r="A179" s="110"/>
      <c r="C179" s="1047"/>
      <c r="D179" s="1047"/>
      <c r="E179" s="1086"/>
      <c r="F179" s="1086"/>
      <c r="G179" s="1086"/>
      <c r="H179" s="1086"/>
      <c r="I179" s="1047"/>
    </row>
    <row r="180" spans="1:12">
      <c r="A180" s="43">
        <v>6</v>
      </c>
      <c r="B180" s="1014" t="str">
        <f>"暗溝頂板"&amp;D182&amp;"-頂板寬"&amp;D183&amp;"m*頂板厚"&amp;D184&amp;"m"</f>
        <v>暗溝頂板更新-頂板寬0.9m*頂板厚0.2m</v>
      </c>
      <c r="C180" s="1014"/>
      <c r="D180" s="1015"/>
      <c r="E180" s="1016"/>
      <c r="F180" s="1017"/>
      <c r="G180" s="1017"/>
      <c r="H180" s="1098" t="s">
        <v>2959</v>
      </c>
      <c r="I180" s="1099" t="s">
        <v>19</v>
      </c>
      <c r="J180" s="122">
        <v>1</v>
      </c>
      <c r="K180" s="121" t="s">
        <v>2934</v>
      </c>
    </row>
    <row r="181" spans="1:12" s="114" customFormat="1">
      <c r="A181" s="150"/>
      <c r="B181" s="1020"/>
      <c r="C181" s="1018" t="s">
        <v>20</v>
      </c>
      <c r="D181" s="588">
        <f>D173</f>
        <v>1</v>
      </c>
      <c r="E181" s="1100" t="str">
        <f>K180</f>
        <v>m</v>
      </c>
      <c r="F181" s="1101"/>
      <c r="G181" s="1101"/>
      <c r="H181" s="1102"/>
      <c r="I181" s="1103"/>
      <c r="J181" s="957"/>
      <c r="K181" s="108"/>
    </row>
    <row r="182" spans="1:12">
      <c r="A182" s="110"/>
      <c r="B182" s="1020"/>
      <c r="C182" s="1018" t="s">
        <v>2976</v>
      </c>
      <c r="D182" s="976" t="s">
        <v>2977</v>
      </c>
      <c r="E182" s="1100"/>
      <c r="F182" s="1104"/>
      <c r="G182" s="1104"/>
      <c r="H182" s="1098"/>
      <c r="I182" s="1023"/>
      <c r="J182" s="958"/>
      <c r="K182" s="108"/>
    </row>
    <row r="183" spans="1:12" s="114" customFormat="1">
      <c r="A183" s="150"/>
      <c r="B183" s="1020"/>
      <c r="C183" s="1018" t="s">
        <v>2987</v>
      </c>
      <c r="D183" s="588">
        <f>IF($B$175="80cm",0.8,
IF($B$175="90cm",0.9,
IF($B$175="100cm",1,)))</f>
        <v>0.9</v>
      </c>
      <c r="E183" s="1100" t="s">
        <v>2974</v>
      </c>
      <c r="F183" s="1101"/>
      <c r="G183" s="1101"/>
      <c r="H183" s="1102"/>
      <c r="I183" s="1103"/>
      <c r="J183" s="957"/>
      <c r="K183" s="108"/>
      <c r="L183" s="109"/>
    </row>
    <row r="184" spans="1:12" s="114" customFormat="1">
      <c r="A184" s="150"/>
      <c r="B184" s="1020"/>
      <c r="C184" s="1018" t="s">
        <v>2988</v>
      </c>
      <c r="D184" s="588">
        <f>IF($C$175="15cm",0.15,
IF($C$175="20cm",0.2,))</f>
        <v>0.2</v>
      </c>
      <c r="E184" s="1100" t="s">
        <v>2974</v>
      </c>
      <c r="F184" s="1101"/>
      <c r="G184" s="1101"/>
      <c r="H184" s="1102"/>
      <c r="I184" s="1103"/>
      <c r="J184" s="957"/>
      <c r="K184" s="108"/>
      <c r="L184" s="109"/>
    </row>
    <row r="185" spans="1:12">
      <c r="A185" s="110"/>
      <c r="B185" s="1026" t="str">
        <f>IF(C185=" "," ",VLOOKUP(C185,合約!B:I,7,FALSE))</f>
        <v>0232340003</v>
      </c>
      <c r="C185" s="576" t="str">
        <f>IF(計算資料!BL60=0," ",計算資料!BL60)</f>
        <v>餘方自行處理(含水土保持)，總重15t以下傾卸貨車</v>
      </c>
      <c r="D185" s="1085"/>
      <c r="E185" s="1085"/>
      <c r="F185" s="1085"/>
      <c r="G185" s="1085"/>
      <c r="H185" s="1047"/>
      <c r="I185" s="1029" t="str">
        <f>IF(C185=" "," ","=")</f>
        <v>=</v>
      </c>
      <c r="J185" s="945">
        <f>IF(C186=" "," ",kk)</f>
        <v>0.27000000000000007</v>
      </c>
      <c r="K185" s="108" t="str">
        <f>IF(C186=" "," ",VLOOKUP(C185,合約!B:H,2,FALSE))</f>
        <v>B.M3</v>
      </c>
    </row>
    <row r="186" spans="1:12">
      <c r="A186" s="110"/>
      <c r="B186" s="1020"/>
      <c r="C186" s="1082" t="str">
        <f>IF(計算資料!BL61=0," ",計算資料!BL61)</f>
        <v>(0.9*(0.2+0.1))</v>
      </c>
      <c r="D186" s="1047"/>
      <c r="E186" s="1047"/>
      <c r="F186" s="1047"/>
      <c r="G186" s="1047"/>
      <c r="H186" s="1047"/>
      <c r="I186" s="1029"/>
      <c r="J186" s="945"/>
      <c r="K186" s="108"/>
    </row>
    <row r="187" spans="1:12">
      <c r="A187" s="110"/>
      <c r="B187" s="1026" t="str">
        <f>IF(C187=" "," ",VLOOKUP(C187,合約!B:I,7,FALSE))</f>
        <v>0331025003</v>
      </c>
      <c r="C187" s="576" t="str">
        <f>IF(計算資料!BL62=0," ",計算資料!BL62)</f>
        <v>結構用混凝土，預拌，210kgf/cm2</v>
      </c>
      <c r="D187" s="1047"/>
      <c r="E187" s="1047"/>
      <c r="F187" s="1047"/>
      <c r="G187" s="1047"/>
      <c r="H187" s="1047"/>
      <c r="I187" s="1029" t="str">
        <f>IF(C187=" "," ","=")</f>
        <v>=</v>
      </c>
      <c r="J187" s="945">
        <f>IF(C188=" "," ",kk)</f>
        <v>0.18000000000000002</v>
      </c>
      <c r="K187" s="108" t="str">
        <f>IF(C188=" "," ",VLOOKUP(C187,合約!B:H,2,FALSE))</f>
        <v>M3</v>
      </c>
    </row>
    <row r="188" spans="1:12">
      <c r="A188" s="110"/>
      <c r="B188" s="1020"/>
      <c r="C188" s="1082" t="str">
        <f>IF(計算資料!BL63=0," ",計算資料!BL63)</f>
        <v>(0.9*(0.2))</v>
      </c>
      <c r="D188" s="1047"/>
      <c r="E188" s="1047"/>
      <c r="F188" s="1047"/>
      <c r="G188" s="1047"/>
      <c r="H188" s="1047"/>
      <c r="I188" s="1029"/>
      <c r="J188" s="945"/>
      <c r="K188" s="108"/>
    </row>
    <row r="189" spans="1:12">
      <c r="A189" s="110"/>
      <c r="B189" s="1026" t="str">
        <f>IF(C189=" "," ",VLOOKUP(C189,合約!B:I,7,FALSE))</f>
        <v>0321041009</v>
      </c>
      <c r="C189" s="576" t="str">
        <f>IF(計算資料!BL64=0," ",計算資料!BL64)</f>
        <v>鋼筋，SD280W.</v>
      </c>
      <c r="D189" s="1085"/>
      <c r="E189" s="1085"/>
      <c r="F189" s="1085"/>
      <c r="G189" s="1085"/>
      <c r="H189" s="1047"/>
      <c r="I189" s="1029" t="str">
        <f>IF(C189=" "," ","=")</f>
        <v>=</v>
      </c>
      <c r="J189" s="945">
        <f>IF(C190=" "," ",kk)</f>
        <v>29.82</v>
      </c>
      <c r="K189" s="108" t="str">
        <f>IF(C190=" "," ",VLOOKUP(C189,合約!B:H,2,FALSE))</f>
        <v>KG</v>
      </c>
    </row>
    <row r="190" spans="1:12">
      <c r="A190" s="110"/>
      <c r="B190" s="1020"/>
      <c r="C190" s="1082" t="str">
        <f>IF(計算資料!BL65=0," ",計算資料!BL65)</f>
        <v>13.92+15.9</v>
      </c>
      <c r="D190" s="1047"/>
      <c r="E190" s="1047"/>
      <c r="F190" s="1047"/>
      <c r="G190" s="1047"/>
      <c r="H190" s="1047"/>
      <c r="I190" s="1029"/>
      <c r="J190" s="945"/>
      <c r="K190" s="108"/>
    </row>
    <row r="191" spans="1:12">
      <c r="A191" s="110"/>
      <c r="B191" s="1026" t="str">
        <f>IF(C191=" "," ",VLOOKUP(C191,合約!B:I,7,FALSE))</f>
        <v>03110700h2</v>
      </c>
      <c r="C191" s="576" t="str">
        <f>IF(計算資料!BL66=0," ",計算資料!BL66)</f>
        <v>(免拆模板，鋼質)，厚3mm鋼模</v>
      </c>
      <c r="D191" s="1047"/>
      <c r="E191" s="1047"/>
      <c r="F191" s="1047"/>
      <c r="G191" s="1047"/>
      <c r="H191" s="1047"/>
      <c r="I191" s="1029" t="str">
        <f>IF(C191=" "," ","=")</f>
        <v>=</v>
      </c>
      <c r="J191" s="945">
        <f>IF(C192=" "," ",kk)</f>
        <v>0.7</v>
      </c>
      <c r="K191" s="108" t="str">
        <f>IF(C192=" "," ",VLOOKUP(C191,合約!B:H,2,FALSE))</f>
        <v>M2</v>
      </c>
    </row>
    <row r="192" spans="1:12">
      <c r="A192" s="110"/>
      <c r="B192" s="1020"/>
      <c r="C192" s="1082" t="str">
        <f>IF(計算資料!BL67=0," ",計算資料!BL67)</f>
        <v>0.7*1</v>
      </c>
      <c r="D192" s="1047"/>
      <c r="E192" s="1047"/>
      <c r="F192" s="1047"/>
      <c r="G192" s="1047"/>
      <c r="H192" s="1047"/>
      <c r="I192" s="1029"/>
      <c r="J192" s="945"/>
      <c r="K192" s="108"/>
    </row>
    <row r="193" spans="1:22">
      <c r="A193" s="110"/>
      <c r="B193" s="1026" t="e">
        <f>IF(C193=" "," ",VLOOKUP(C193,合約!B:I,7,FALSE))</f>
        <v>#N/A</v>
      </c>
      <c r="C193" s="576" t="str">
        <f>IF(計算資料!BL70=0," ",計算資料!BL70)</f>
        <v>瀝青混凝土舖面，粗粒料9.5mm，針入度60-70，緊急搶修工程用，舖築及滾壓另計</v>
      </c>
      <c r="D193" s="1085"/>
      <c r="E193" s="1090"/>
      <c r="F193" s="1085"/>
      <c r="G193" s="1085"/>
      <c r="H193" s="1047"/>
      <c r="I193" s="1029" t="str">
        <f>IF(C193=" "," ","=")</f>
        <v>=</v>
      </c>
      <c r="J193" s="945">
        <f>IF(C194=" "," ",kk)</f>
        <v>4.5000000000000005E-2</v>
      </c>
      <c r="K193" s="108" t="e">
        <f>IF(C194=" "," ",VLOOKUP(C193,合約!B:H,2,FALSE))</f>
        <v>#N/A</v>
      </c>
    </row>
    <row r="194" spans="1:22">
      <c r="A194" s="110"/>
      <c r="B194" s="1020"/>
      <c r="C194" s="1082" t="str">
        <f>IF(計算資料!BL71=0," ",計算資料!BL71)</f>
        <v>0.9*0.05</v>
      </c>
      <c r="D194" s="1047"/>
      <c r="E194" s="1070"/>
      <c r="F194" s="1047"/>
      <c r="G194" s="1047"/>
      <c r="H194" s="1047"/>
      <c r="I194" s="1029"/>
      <c r="J194" s="945"/>
      <c r="K194" s="108"/>
    </row>
    <row r="195" spans="1:22">
      <c r="A195" s="110"/>
      <c r="B195" s="1026" t="str">
        <f>IF(C195=" "," ",VLOOKUP(C195,合約!B:I,7,FALSE))</f>
        <v xml:space="preserve"> </v>
      </c>
      <c r="C195" s="576" t="str">
        <f>IF(計算資料!BL72=0," ",計算資料!BL72)</f>
        <v xml:space="preserve"> </v>
      </c>
      <c r="D195" s="1047"/>
      <c r="E195" s="1070"/>
      <c r="F195" s="1047"/>
      <c r="G195" s="1047"/>
      <c r="H195" s="1047"/>
      <c r="I195" s="1029" t="str">
        <f>IF(C195=" "," ","=")</f>
        <v xml:space="preserve"> </v>
      </c>
      <c r="J195" s="945" t="str">
        <f>IF(C196=" "," ",kk)</f>
        <v xml:space="preserve"> </v>
      </c>
      <c r="K195" s="108" t="str">
        <f>IF(C196=" "," ",VLOOKUP(C195,合約!B:H,2,FALSE))</f>
        <v xml:space="preserve"> </v>
      </c>
    </row>
    <row r="196" spans="1:22">
      <c r="A196" s="110"/>
      <c r="B196" s="1020"/>
      <c r="C196" s="1082" t="str">
        <f>IF(計算資料!BL73=0," ",計算資料!BL73)</f>
        <v xml:space="preserve"> </v>
      </c>
      <c r="D196" s="1047"/>
      <c r="E196" s="1070"/>
      <c r="F196" s="1047"/>
      <c r="G196" s="1047"/>
      <c r="H196" s="1047"/>
      <c r="I196" s="1029"/>
      <c r="J196" s="945"/>
      <c r="K196" s="108"/>
    </row>
    <row r="197" spans="1:22">
      <c r="A197" s="110"/>
      <c r="B197" s="1026" t="str">
        <f>IF(C197=" "," ",VLOOKUP(C197,合約!B:I,7,FALSE))</f>
        <v xml:space="preserve"> </v>
      </c>
      <c r="C197" s="576" t="str">
        <f>IF(計算資料!BL74=0," ",計算資料!BL74)</f>
        <v xml:space="preserve"> </v>
      </c>
      <c r="D197" s="1085"/>
      <c r="E197" s="1090"/>
      <c r="F197" s="1085"/>
      <c r="G197" s="1085"/>
      <c r="H197" s="1070"/>
      <c r="I197" s="1029" t="str">
        <f>IF(C197=" "," ","=")</f>
        <v xml:space="preserve"> </v>
      </c>
      <c r="J197" s="945" t="str">
        <f>IF(C198=" "," ",kk)</f>
        <v xml:space="preserve"> </v>
      </c>
      <c r="K197" s="108" t="str">
        <f>IF(C198=" "," ",VLOOKUP(C197,合約!B:H,2,FALSE))</f>
        <v xml:space="preserve"> </v>
      </c>
    </row>
    <row r="198" spans="1:22">
      <c r="A198" s="43"/>
      <c r="B198" s="1020"/>
      <c r="C198" s="1082" t="str">
        <f>IF(計算資料!BL75=0," ",計算資料!BL75)</f>
        <v xml:space="preserve"> </v>
      </c>
      <c r="D198" s="1047"/>
      <c r="E198" s="1070"/>
      <c r="F198" s="1047"/>
      <c r="G198" s="1047"/>
      <c r="H198" s="1070"/>
      <c r="I198" s="1029"/>
      <c r="J198" s="945"/>
      <c r="K198" s="108"/>
    </row>
    <row r="199" spans="1:22">
      <c r="A199" s="110"/>
      <c r="B199" s="1026" t="str">
        <f>IF(C199=" "," ",VLOOKUP(C199,合約!B:I,7,FALSE))</f>
        <v xml:space="preserve"> </v>
      </c>
      <c r="C199" s="576" t="str">
        <f>IF(計算資料!BL76=0," ",計算資料!BL76)</f>
        <v xml:space="preserve"> </v>
      </c>
      <c r="D199" s="1047"/>
      <c r="E199" s="1070"/>
      <c r="F199" s="1047"/>
      <c r="G199" s="1047"/>
      <c r="H199" s="1070"/>
      <c r="I199" s="1029" t="str">
        <f>IF(C199=" "," ","=")</f>
        <v xml:space="preserve"> </v>
      </c>
      <c r="J199" s="945" t="str">
        <f>IF(C200=" "," ",kk)</f>
        <v xml:space="preserve"> </v>
      </c>
      <c r="K199" s="108" t="str">
        <f>IF(C200=" "," ",VLOOKUP(C199,合約!B:H,2,FALSE))</f>
        <v xml:space="preserve"> </v>
      </c>
    </row>
    <row r="200" spans="1:22">
      <c r="A200" s="110"/>
      <c r="B200" s="1020"/>
      <c r="C200" s="1082" t="str">
        <f>IF(計算資料!BL77=0," ",計算資料!BL77)</f>
        <v xml:space="preserve"> </v>
      </c>
      <c r="D200" s="1070"/>
      <c r="E200" s="1047"/>
      <c r="F200" s="1047"/>
      <c r="G200" s="1070"/>
      <c r="H200" s="1070"/>
      <c r="I200" s="1029"/>
      <c r="J200" s="945"/>
      <c r="K200" s="108"/>
    </row>
    <row r="201" spans="1:22">
      <c r="A201" s="110"/>
      <c r="B201" s="1026" t="str">
        <f>IF(C201=" "," ",VLOOKUP(C201,合約!B:I,7,FALSE))</f>
        <v xml:space="preserve"> </v>
      </c>
      <c r="C201" s="576" t="str">
        <f>IF(計算資料!BL76=0," ",計算資料!BL76)</f>
        <v xml:space="preserve"> </v>
      </c>
      <c r="D201" s="1070"/>
      <c r="E201" s="1047"/>
      <c r="F201" s="1047"/>
      <c r="G201" s="1070"/>
      <c r="H201" s="1070"/>
      <c r="I201" s="1029" t="str">
        <f>IF(C201=" "," ","=")</f>
        <v xml:space="preserve"> </v>
      </c>
      <c r="J201" s="945" t="str">
        <f>IF(C202=" "," ",kk)</f>
        <v xml:space="preserve"> </v>
      </c>
      <c r="K201" s="108" t="str">
        <f>IF(C202=" "," ",VLOOKUP(C201,合約!B:H,2,FALSE))</f>
        <v xml:space="preserve"> </v>
      </c>
    </row>
    <row r="202" spans="1:22">
      <c r="A202" s="110"/>
      <c r="B202" s="1020"/>
      <c r="C202" s="1082" t="str">
        <f>IF(計算資料!BL77=0," ",計算資料!BL77)</f>
        <v xml:space="preserve"> </v>
      </c>
      <c r="D202" s="1070"/>
      <c r="E202" s="1047"/>
      <c r="F202" s="1047"/>
      <c r="G202" s="1070"/>
      <c r="H202" s="1070"/>
      <c r="I202" s="1029"/>
      <c r="J202" s="945"/>
      <c r="K202" s="108"/>
    </row>
    <row r="203" spans="1:22">
      <c r="A203" s="110"/>
      <c r="C203" s="1047"/>
      <c r="D203" s="1034"/>
      <c r="E203" s="1047"/>
      <c r="F203" s="1047"/>
      <c r="G203" s="1047"/>
      <c r="H203" s="1047"/>
      <c r="I203" s="1047"/>
    </row>
    <row r="204" spans="1:22" ht="17.25" thickBot="1">
      <c r="A204" s="110"/>
      <c r="B204" s="990"/>
      <c r="C204" s="990"/>
      <c r="D204" s="1105"/>
      <c r="E204" s="990"/>
      <c r="F204" s="990"/>
      <c r="G204" s="1105"/>
      <c r="H204" s="1105"/>
      <c r="I204" s="1106"/>
      <c r="J204" s="959"/>
      <c r="K204" s="239"/>
      <c r="L204" s="239"/>
      <c r="R204" s="239"/>
      <c r="S204" s="239"/>
      <c r="T204" s="239"/>
      <c r="U204" s="239"/>
      <c r="V204" s="239"/>
    </row>
    <row r="205" spans="1:22">
      <c r="A205" s="110"/>
      <c r="B205" s="1486" t="s">
        <v>3801</v>
      </c>
      <c r="C205" s="1487"/>
      <c r="D205" s="1049" t="s">
        <v>3692</v>
      </c>
      <c r="E205" s="1467" t="s">
        <v>3802</v>
      </c>
      <c r="F205" s="1470"/>
      <c r="G205" s="991" t="s">
        <v>3803</v>
      </c>
      <c r="H205" s="991" t="s">
        <v>3804</v>
      </c>
      <c r="I205" s="1051" t="s">
        <v>3755</v>
      </c>
      <c r="R205" s="239"/>
      <c r="S205" s="239"/>
    </row>
    <row r="206" spans="1:22" ht="17.25" thickBot="1">
      <c r="A206" s="110"/>
      <c r="B206" s="1488"/>
      <c r="C206" s="1489"/>
      <c r="D206" s="1107" t="str">
        <f>自主檢查表!$E$2</f>
        <v>搶修案</v>
      </c>
      <c r="E206" s="1484" t="s">
        <v>6063</v>
      </c>
      <c r="F206" s="1466"/>
      <c r="G206" s="1003">
        <v>5</v>
      </c>
      <c r="H206" s="1003">
        <v>15</v>
      </c>
      <c r="I206" s="1108" t="s">
        <v>2984</v>
      </c>
      <c r="Q206" s="239"/>
      <c r="R206" s="239"/>
      <c r="S206" s="239"/>
    </row>
    <row r="207" spans="1:22">
      <c r="A207" s="110"/>
      <c r="B207" s="1047"/>
      <c r="C207" s="1047"/>
      <c r="D207" s="1070"/>
      <c r="E207" s="1047"/>
      <c r="F207" s="1047"/>
      <c r="G207" s="1070"/>
      <c r="H207" s="1047"/>
      <c r="Q207" s="239"/>
      <c r="R207" s="239"/>
      <c r="S207" s="239"/>
    </row>
    <row r="208" spans="1:22">
      <c r="A208" s="43"/>
      <c r="B208" s="1014" t="str">
        <f>"道路銑鋪復舊-採用"&amp;D210&amp;"，復舊厚度為"&amp;D211</f>
        <v>道路銑鋪復舊-採用AC回填，復舊厚度為5cm</v>
      </c>
      <c r="C208" s="1014"/>
      <c r="D208" s="1015"/>
      <c r="E208" s="1016"/>
      <c r="F208" s="1017"/>
      <c r="G208" s="1017"/>
      <c r="H208" s="1018" t="s">
        <v>2959</v>
      </c>
      <c r="I208" s="1019" t="s">
        <v>19</v>
      </c>
      <c r="J208" s="122">
        <v>1</v>
      </c>
      <c r="K208" s="121" t="s">
        <v>461</v>
      </c>
    </row>
    <row r="209" spans="1:19">
      <c r="A209" s="110"/>
      <c r="B209" s="1020"/>
      <c r="C209" s="1018" t="s">
        <v>20</v>
      </c>
      <c r="D209" s="1071">
        <v>1</v>
      </c>
      <c r="E209" s="1021" t="str">
        <f>K208</f>
        <v>式</v>
      </c>
      <c r="F209" s="1022"/>
      <c r="G209" s="1022"/>
      <c r="H209" s="1024"/>
      <c r="I209" s="1029"/>
      <c r="J209" s="946"/>
      <c r="K209" s="108"/>
    </row>
    <row r="210" spans="1:19">
      <c r="A210" s="110"/>
      <c r="B210" s="1020"/>
      <c r="C210" s="1018" t="s">
        <v>2980</v>
      </c>
      <c r="D210" s="1109" t="str">
        <f>IF(E206="AC回填復舊(111)","AC回填",
IF(E206="AC回填復舊(112)","AC回填",
IF(E206="樹脂混凝土修復","樹脂混凝土",
IF(E206="RC回填修復","RC回填",))))</f>
        <v>AC回填</v>
      </c>
      <c r="E210" s="1021"/>
      <c r="F210" s="1022"/>
      <c r="G210" s="1022"/>
      <c r="H210" s="1018"/>
      <c r="I210" s="1023"/>
      <c r="J210" s="943"/>
      <c r="K210" s="108"/>
    </row>
    <row r="211" spans="1:19">
      <c r="A211" s="110"/>
      <c r="B211" s="1020"/>
      <c r="C211" s="1018" t="s">
        <v>2979</v>
      </c>
      <c r="D211" s="976" t="s">
        <v>2981</v>
      </c>
      <c r="E211" s="1021"/>
      <c r="F211" s="1022"/>
      <c r="G211" s="1022"/>
      <c r="H211" s="1018"/>
      <c r="I211" s="1023"/>
      <c r="J211" s="943"/>
      <c r="K211" s="108"/>
    </row>
    <row r="212" spans="1:19">
      <c r="A212" s="110"/>
      <c r="B212" s="1026" t="str">
        <f>IF(C212=" "," ",VLOOKUP(C212,合約!B:I,7,FALSE))</f>
        <v>023210E00A</v>
      </c>
      <c r="C212" s="576" t="str">
        <f>計算資料!BO186</f>
        <v>基地及路幅開挖，未含運費，(機械挖，0.7-0.79m3開挖機).</v>
      </c>
      <c r="D212" s="1085"/>
      <c r="E212" s="1085"/>
      <c r="F212" s="1085"/>
      <c r="G212" s="1085"/>
      <c r="H212" s="1047"/>
      <c r="I212" s="1029" t="str">
        <f>IF(C212=" "," ","=")</f>
        <v>=</v>
      </c>
      <c r="J212" s="945">
        <f>IF(C213=" "," ",kk)</f>
        <v>7.4999999999999997E-2</v>
      </c>
      <c r="K212" s="108" t="str">
        <f>IF(C213=" "," ",VLOOKUP(C212,合約!B:H,2,FALSE))</f>
        <v>B.M3</v>
      </c>
      <c r="Q212" s="446"/>
      <c r="R212" s="239"/>
      <c r="S212" s="239"/>
    </row>
    <row r="213" spans="1:19">
      <c r="A213" s="110"/>
      <c r="B213" s="1020"/>
      <c r="C213" s="1082" t="str">
        <f>計算資料!BO187</f>
        <v>5*0.1*0.15</v>
      </c>
      <c r="D213" s="1047"/>
      <c r="E213" s="1047"/>
      <c r="F213" s="1047"/>
      <c r="G213" s="1047"/>
      <c r="H213" s="1047"/>
      <c r="I213" s="1029"/>
      <c r="J213" s="945"/>
      <c r="K213" s="108"/>
      <c r="Q213" s="446"/>
      <c r="R213" s="239"/>
      <c r="S213" s="239"/>
    </row>
    <row r="214" spans="1:19">
      <c r="A214" s="110"/>
      <c r="B214" s="1026" t="str">
        <f>IF(C214=" "," ",VLOOKUP(C214,合約!B:I,7,FALSE))</f>
        <v>0232340003</v>
      </c>
      <c r="C214" s="576" t="str">
        <f>計算資料!BO188</f>
        <v>餘方自行處理(含水土保持)，總重15t以下傾卸貨車</v>
      </c>
      <c r="D214" s="1047"/>
      <c r="E214" s="1047"/>
      <c r="F214" s="1047"/>
      <c r="G214" s="1047"/>
      <c r="H214" s="1047"/>
      <c r="I214" s="1029" t="str">
        <f>IF(C214=" "," ","=")</f>
        <v>=</v>
      </c>
      <c r="J214" s="945">
        <f>IF(C215=" "," ",kk)</f>
        <v>7.4999999999999997E-2</v>
      </c>
      <c r="K214" s="108" t="str">
        <f>IF(C215=" "," ",VLOOKUP(C214,合約!B:H,2,FALSE))</f>
        <v>B.M3</v>
      </c>
      <c r="Q214" s="446"/>
      <c r="R214" s="239"/>
      <c r="S214" s="239"/>
    </row>
    <row r="215" spans="1:19">
      <c r="A215" s="110"/>
      <c r="B215" s="1020"/>
      <c r="C215" s="1082" t="str">
        <f>計算資料!BO189</f>
        <v>5*0.1*0.15</v>
      </c>
      <c r="D215" s="1047"/>
      <c r="E215" s="1047"/>
      <c r="F215" s="1047"/>
      <c r="G215" s="1047"/>
      <c r="H215" s="1047"/>
      <c r="I215" s="1029"/>
      <c r="J215" s="945"/>
      <c r="K215" s="108"/>
      <c r="Q215" s="446"/>
      <c r="R215" s="239"/>
      <c r="S215" s="239"/>
    </row>
    <row r="216" spans="1:19">
      <c r="A216" s="110"/>
      <c r="B216" s="1026" t="str">
        <f>IF(C216=" "," ",VLOOKUP(C216,合約!B:I,7,FALSE))</f>
        <v>0274711002</v>
      </c>
      <c r="C216" s="576" t="str">
        <f>計算資料!BO190</f>
        <v>瀝青黏層，快凝油溶瀝青，RC-70</v>
      </c>
      <c r="D216" s="1085"/>
      <c r="E216" s="1085"/>
      <c r="F216" s="1085"/>
      <c r="G216" s="1085"/>
      <c r="H216" s="1047"/>
      <c r="I216" s="1029" t="str">
        <f>IF(C216=" "," ","=")</f>
        <v>=</v>
      </c>
      <c r="J216" s="945">
        <f>IF(C217=" "," ",kk)</f>
        <v>0.5</v>
      </c>
      <c r="K216" s="108" t="str">
        <f>IF(C217=" "," ",VLOOKUP(C216,合約!B:H,2,FALSE))</f>
        <v>M2</v>
      </c>
      <c r="Q216" s="446"/>
      <c r="R216" s="239"/>
      <c r="S216" s="239"/>
    </row>
    <row r="217" spans="1:19">
      <c r="A217" s="110"/>
      <c r="B217" s="1020"/>
      <c r="C217" s="1082" t="str">
        <f>計算資料!BO191</f>
        <v>5*0.1</v>
      </c>
      <c r="D217" s="1047"/>
      <c r="E217" s="1047"/>
      <c r="F217" s="1047"/>
      <c r="G217" s="1047"/>
      <c r="H217" s="1047"/>
      <c r="I217" s="1029"/>
      <c r="J217" s="945"/>
      <c r="K217" s="108"/>
      <c r="Q217" s="446"/>
      <c r="R217" s="239"/>
      <c r="S217" s="239"/>
    </row>
    <row r="218" spans="1:19">
      <c r="A218" s="110"/>
      <c r="B218" s="1026"/>
      <c r="C218" s="576" t="str">
        <f>計算資料!BO192</f>
        <v>瀝青混凝土舖面，粗粒料9.5mm，黏度AC(1)-20，零星工程用</v>
      </c>
      <c r="D218" s="1047"/>
      <c r="E218" s="1047"/>
      <c r="F218" s="1047"/>
      <c r="G218" s="1047"/>
      <c r="H218" s="1047"/>
      <c r="I218" s="1029" t="str">
        <f>IF(C218=" "," ","=")</f>
        <v>=</v>
      </c>
      <c r="J218" s="945"/>
      <c r="K218" s="108"/>
      <c r="Q218" s="446"/>
      <c r="R218" s="239"/>
      <c r="S218" s="239"/>
    </row>
    <row r="219" spans="1:19">
      <c r="A219" s="110"/>
      <c r="B219" s="1020"/>
      <c r="C219" s="1082" t="str">
        <f>計算資料!BO193</f>
        <v>5*0.1*0.15</v>
      </c>
      <c r="D219" s="1047"/>
      <c r="E219" s="1047"/>
      <c r="F219" s="1047"/>
      <c r="G219" s="1047"/>
      <c r="H219" s="1047"/>
      <c r="I219" s="1029"/>
      <c r="J219" s="945"/>
      <c r="K219" s="108"/>
      <c r="Q219" s="446"/>
      <c r="R219" s="239"/>
      <c r="S219" s="239"/>
    </row>
    <row r="220" spans="1:19">
      <c r="A220" s="110"/>
      <c r="B220" s="1047"/>
      <c r="C220" s="1047"/>
      <c r="D220" s="1047"/>
      <c r="E220" s="1047"/>
      <c r="F220" s="1047"/>
      <c r="G220" s="1047"/>
      <c r="H220" s="1047"/>
      <c r="Q220" s="239"/>
      <c r="R220" s="239"/>
      <c r="S220" s="239"/>
    </row>
    <row r="221" spans="1:19" ht="17.25" thickBot="1">
      <c r="A221" s="110"/>
      <c r="B221" s="1047"/>
      <c r="C221" s="1047"/>
      <c r="D221" s="1047"/>
      <c r="E221" s="1047"/>
      <c r="F221" s="1047"/>
      <c r="G221" s="1047"/>
      <c r="H221" s="1047"/>
      <c r="Q221" s="239"/>
      <c r="R221" s="239"/>
      <c r="S221" s="239"/>
    </row>
    <row r="222" spans="1:19">
      <c r="A222" s="110"/>
      <c r="B222" s="1459" t="s">
        <v>3805</v>
      </c>
      <c r="C222" s="1460"/>
      <c r="D222" s="1049" t="s">
        <v>3692</v>
      </c>
      <c r="E222" s="1463" t="s">
        <v>3806</v>
      </c>
      <c r="F222" s="1485"/>
      <c r="G222" s="991" t="s">
        <v>3747</v>
      </c>
      <c r="H222" s="1463" t="s">
        <v>3807</v>
      </c>
      <c r="I222" s="1464"/>
      <c r="J222" s="586" t="s">
        <v>3696</v>
      </c>
      <c r="O222" s="1">
        <f>kk</f>
        <v>37.1</v>
      </c>
      <c r="Q222" s="239"/>
      <c r="R222" s="239"/>
      <c r="S222" s="239"/>
    </row>
    <row r="223" spans="1:19" ht="17.25" thickBot="1">
      <c r="A223" s="110"/>
      <c r="B223" s="1461"/>
      <c r="C223" s="1462"/>
      <c r="D223" s="1107" t="str">
        <f>自主檢查表!$E$2</f>
        <v>搶修案</v>
      </c>
      <c r="E223" s="1482" t="s">
        <v>2982</v>
      </c>
      <c r="F223" s="1483"/>
      <c r="G223" s="1096" t="s">
        <v>2981</v>
      </c>
      <c r="H223" s="1465" t="s">
        <v>6038</v>
      </c>
      <c r="I223" s="1466"/>
      <c r="J223" s="693" t="str">
        <f>O222&amp;"m2"</f>
        <v>37.1m2</v>
      </c>
      <c r="Q223" s="239"/>
      <c r="R223" s="239"/>
      <c r="S223" s="239"/>
    </row>
    <row r="224" spans="1:19">
      <c r="A224" s="112"/>
      <c r="B224" s="1047"/>
      <c r="C224" s="1047"/>
      <c r="D224" s="1047"/>
      <c r="E224" s="1047"/>
      <c r="F224" s="1047"/>
      <c r="G224" s="1047"/>
      <c r="H224" s="1047"/>
      <c r="I224" s="1047"/>
      <c r="J224" s="117"/>
    </row>
    <row r="225" spans="1:15">
      <c r="A225" s="589" t="s">
        <v>2978</v>
      </c>
      <c r="B225" s="1110" t="str">
        <f>"道路銑鋪復舊-採用"&amp;D227&amp;"，復舊厚度為"&amp;D228</f>
        <v>道路銑鋪復舊-採用再生瀝青，復舊厚度為5cm</v>
      </c>
      <c r="C225" s="1110"/>
      <c r="D225" s="1111"/>
      <c r="E225" s="1112"/>
      <c r="F225" s="1113"/>
      <c r="G225" s="1113"/>
      <c r="H225" s="1072" t="s">
        <v>2959</v>
      </c>
      <c r="I225" s="1114" t="s">
        <v>19</v>
      </c>
      <c r="J225" s="122">
        <v>1</v>
      </c>
      <c r="K225" s="121" t="s">
        <v>461</v>
      </c>
    </row>
    <row r="226" spans="1:15">
      <c r="A226" s="112"/>
      <c r="B226" s="1075"/>
      <c r="C226" s="1072" t="s">
        <v>20</v>
      </c>
      <c r="D226" s="1115">
        <v>1</v>
      </c>
      <c r="E226" s="1116" t="str">
        <f>K225</f>
        <v>式</v>
      </c>
      <c r="F226" s="730"/>
      <c r="G226" s="730"/>
      <c r="H226" s="1077"/>
      <c r="I226" s="1117"/>
      <c r="J226" s="946"/>
      <c r="K226" s="108"/>
    </row>
    <row r="227" spans="1:15">
      <c r="A227" s="112"/>
      <c r="B227" s="1075"/>
      <c r="C227" s="1072" t="s">
        <v>2980</v>
      </c>
      <c r="D227" s="699" t="str">
        <f>IF(E223="一般瀝青(111)","一般瀝青",
IF(E223="一般瀝青(112)","一般瀝青",
IF(E223="改質瀝青","改質III型",
IF(E223="再生瀝青","再生瀝青",))))</f>
        <v>再生瀝青</v>
      </c>
      <c r="E227" s="1116"/>
      <c r="F227" s="730"/>
      <c r="G227" s="730"/>
      <c r="H227" s="1072"/>
      <c r="I227" s="1118"/>
      <c r="J227" s="943"/>
      <c r="K227" s="108"/>
    </row>
    <row r="228" spans="1:15">
      <c r="A228" s="112"/>
      <c r="B228" s="1075"/>
      <c r="C228" s="1072" t="s">
        <v>2979</v>
      </c>
      <c r="D228" s="1073" t="str">
        <f>G223</f>
        <v>5cm</v>
      </c>
      <c r="E228" s="1116"/>
      <c r="F228" s="730"/>
      <c r="G228" s="730"/>
      <c r="H228" s="1072"/>
      <c r="I228" s="1118"/>
      <c r="J228" s="943"/>
      <c r="K228" s="108"/>
    </row>
    <row r="229" spans="1:15">
      <c r="A229" s="112"/>
      <c r="B229" s="1026" t="str">
        <f>IF(C229=" "," ",VLOOKUP(C229,合約!B:I,7,FALSE))</f>
        <v>0296150001</v>
      </c>
      <c r="C229" s="576" t="str">
        <f>計算資料!BW7</f>
        <v>瀝青混凝土面層刨除，刨除機1.2m寬，緊急搶修工程用，未含刨除料運費</v>
      </c>
      <c r="D229" s="1085"/>
      <c r="E229" s="1085"/>
      <c r="F229" s="1085"/>
      <c r="G229" s="1085"/>
      <c r="H229" s="1047"/>
      <c r="I229" s="1029" t="str">
        <f>IF(C229=" "," ","=")</f>
        <v>=</v>
      </c>
      <c r="J229" s="945">
        <f>IF(C230=" "," ",kk)</f>
        <v>1</v>
      </c>
      <c r="K229" s="108" t="str">
        <f>IF(C230=" "," ",VLOOKUP(C229,合約!B:H,2,FALSE))</f>
        <v>處</v>
      </c>
    </row>
    <row r="230" spans="1:15">
      <c r="A230" s="112"/>
      <c r="B230" s="1020"/>
      <c r="C230" s="695" t="str">
        <f>計算資料!BW8</f>
        <v>1</v>
      </c>
      <c r="D230" s="1047"/>
      <c r="E230" s="1047"/>
      <c r="F230" s="1047"/>
      <c r="G230" s="1047"/>
      <c r="H230" s="1047"/>
      <c r="I230" s="1029"/>
      <c r="J230" s="945"/>
      <c r="K230" s="108"/>
    </row>
    <row r="231" spans="1:15">
      <c r="A231" s="112"/>
      <c r="B231" s="1026" t="str">
        <f>IF(C231=" "," ",VLOOKUP(C231,合約!B:I,7,FALSE))</f>
        <v>0296103023</v>
      </c>
      <c r="C231" s="576" t="str">
        <f>計算資料!BW9</f>
        <v>瀝青混凝土面層刨除，刨除料運費.</v>
      </c>
      <c r="D231" s="1047"/>
      <c r="E231" s="1047"/>
      <c r="F231" s="1047"/>
      <c r="G231" s="1047"/>
      <c r="H231" s="1047"/>
      <c r="I231" s="1029" t="str">
        <f>IF(C231=" "," ","=")</f>
        <v>=</v>
      </c>
      <c r="J231" s="945">
        <f>IF(C232=" "," ",kk)</f>
        <v>1.8550000000000002</v>
      </c>
      <c r="K231" s="108" t="str">
        <f>IF(C232=" "," ",VLOOKUP(C231,合約!B:H,2,FALSE))</f>
        <v>M3</v>
      </c>
    </row>
    <row r="232" spans="1:15">
      <c r="A232" s="112"/>
      <c r="B232" s="1020"/>
      <c r="C232" s="695" t="str">
        <f>計算資料!BW10</f>
        <v>((7*5.3))*0.05</v>
      </c>
      <c r="D232" s="1047"/>
      <c r="E232" s="1047"/>
      <c r="F232" s="1047"/>
      <c r="G232" s="1047"/>
      <c r="H232" s="1047"/>
      <c r="I232" s="1029"/>
      <c r="J232" s="945"/>
      <c r="K232" s="108"/>
    </row>
    <row r="233" spans="1:15">
      <c r="A233" s="112"/>
      <c r="B233" s="1026" t="str">
        <f>IF(C233=" "," ",VLOOKUP(C233,合約!B:I,7,FALSE))</f>
        <v>02742000S3</v>
      </c>
      <c r="C233" s="576" t="str">
        <f>計算資料!BW11</f>
        <v>瀝青混凝土舖面，舖築及滾壓，緊急搶修工程用，鋪設面積≦50m2適用</v>
      </c>
      <c r="D233" s="1085"/>
      <c r="E233" s="1085"/>
      <c r="F233" s="1085"/>
      <c r="G233" s="1085"/>
      <c r="H233" s="1047"/>
      <c r="I233" s="1029" t="str">
        <f>IF(C233=" "," ","=")</f>
        <v>=</v>
      </c>
      <c r="J233" s="945">
        <f>IF(C234=" "," ",kk)</f>
        <v>1</v>
      </c>
      <c r="K233" s="108" t="str">
        <f>IF(C234=" "," ",VLOOKUP(C233,合約!B:H,2,FALSE))</f>
        <v>處</v>
      </c>
    </row>
    <row r="234" spans="1:15">
      <c r="A234" s="112"/>
      <c r="B234" s="1020"/>
      <c r="C234" s="695" t="str">
        <f>計算資料!BW12</f>
        <v>1</v>
      </c>
      <c r="D234" s="1047"/>
      <c r="E234" s="1047"/>
      <c r="F234" s="1047"/>
      <c r="G234" s="1047"/>
      <c r="H234" s="1047"/>
      <c r="I234" s="1029"/>
      <c r="J234" s="945"/>
      <c r="K234" s="108"/>
    </row>
    <row r="235" spans="1:15">
      <c r="A235" s="112"/>
      <c r="B235" s="1026" t="str">
        <f>IF(C235=" "," ",VLOOKUP(C235,合約!B:I,7,FALSE))</f>
        <v>02742D5003</v>
      </c>
      <c r="C235" s="576" t="str">
        <f>計算資料!BW13</f>
        <v>瀝青混凝土面，再生粒料，粗粒料9.5mm，緊急搶修工程用，舖築及滾壓另計</v>
      </c>
      <c r="D235" s="1047"/>
      <c r="E235" s="1047"/>
      <c r="F235" s="1047"/>
      <c r="G235" s="1047"/>
      <c r="H235" s="1047"/>
      <c r="I235" s="1029" t="str">
        <f>IF(C235=" "," ","=")</f>
        <v>=</v>
      </c>
      <c r="J235" s="945">
        <f>IF(C236=" "," ",kk)</f>
        <v>1.8550000000000002</v>
      </c>
      <c r="K235" s="108" t="str">
        <f>IF(C236=" "," ",VLOOKUP(C235,合約!B:H,2,FALSE))</f>
        <v>M3</v>
      </c>
    </row>
    <row r="236" spans="1:15">
      <c r="A236" s="589"/>
      <c r="B236" s="1020"/>
      <c r="C236" s="695" t="str">
        <f>計算資料!BW14</f>
        <v>((7*5.3))*0.05</v>
      </c>
      <c r="D236" s="1047"/>
      <c r="E236" s="1047"/>
      <c r="F236" s="1047"/>
      <c r="G236" s="1047"/>
      <c r="H236" s="1047"/>
      <c r="I236" s="1029"/>
      <c r="J236" s="945"/>
      <c r="K236" s="108"/>
    </row>
    <row r="237" spans="1:15">
      <c r="A237" s="112"/>
      <c r="B237" s="1026" t="str">
        <f>IF(C237=" "," ",VLOOKUP(C237,合約!B:I,7,FALSE))</f>
        <v>0274711002</v>
      </c>
      <c r="C237" s="576" t="str">
        <f>計算資料!BW15</f>
        <v>瀝青黏層，快凝油溶瀝青，RC-70</v>
      </c>
      <c r="D237" s="1085"/>
      <c r="E237" s="1090"/>
      <c r="F237" s="1085"/>
      <c r="G237" s="1085"/>
      <c r="H237" s="1047"/>
      <c r="I237" s="1029" t="str">
        <f>IF(C237=" "," ","=")</f>
        <v>=</v>
      </c>
      <c r="J237" s="945">
        <f>IF(C238=" "," ",kk)</f>
        <v>37.1</v>
      </c>
      <c r="K237" s="108" t="str">
        <f>IF(C238=" "," ",VLOOKUP(C237,合約!B:H,2,FALSE))</f>
        <v>M2</v>
      </c>
    </row>
    <row r="238" spans="1:15">
      <c r="A238" s="112"/>
      <c r="B238" s="1020"/>
      <c r="C238" s="695" t="str">
        <f>計算資料!BW16</f>
        <v>((7*5.3))</v>
      </c>
      <c r="D238" s="1047"/>
      <c r="E238" s="1070"/>
      <c r="F238" s="1047"/>
      <c r="G238" s="1047"/>
      <c r="H238" s="1047"/>
      <c r="I238" s="1029"/>
      <c r="J238" s="945"/>
      <c r="K238" s="108"/>
      <c r="M238" s="173"/>
      <c r="N238" s="173"/>
      <c r="O238" s="173"/>
    </row>
    <row r="239" spans="1:15" s="114" customFormat="1">
      <c r="A239" s="594"/>
      <c r="B239" s="1026" t="str">
        <f>IF(C239=" "," ",VLOOKUP(C239,合約!B:I,7,FALSE))</f>
        <v>012714000A</v>
      </c>
      <c r="C239" s="576" t="str">
        <f>計算資料!BW17</f>
        <v>搬運費，AC施工機械(面積2000m2以下適用)</v>
      </c>
      <c r="D239" s="1047"/>
      <c r="E239" s="1070"/>
      <c r="F239" s="1047"/>
      <c r="G239" s="1047"/>
      <c r="H239" s="1047"/>
      <c r="I239" s="1029" t="str">
        <f>IF(C239=" "," ","=")</f>
        <v>=</v>
      </c>
      <c r="J239" s="945">
        <f>IF(C240=" "," ",kk)</f>
        <v>1</v>
      </c>
      <c r="K239" s="108" t="str">
        <f>IF(C240=" "," ",VLOOKUP(C239,合約!B:H,2,FALSE))</f>
        <v>次</v>
      </c>
      <c r="M239" s="580"/>
      <c r="N239" s="716"/>
      <c r="O239" s="580"/>
    </row>
    <row r="240" spans="1:15" s="114" customFormat="1">
      <c r="A240" s="594"/>
      <c r="B240" s="1020"/>
      <c r="C240" s="695" t="str">
        <f>計算資料!BW18</f>
        <v>1</v>
      </c>
      <c r="D240" s="1047"/>
      <c r="E240" s="1070"/>
      <c r="F240" s="1047"/>
      <c r="G240" s="1047"/>
      <c r="H240" s="1047"/>
      <c r="I240" s="1029"/>
      <c r="J240" s="945"/>
      <c r="K240" s="108"/>
      <c r="M240" s="580"/>
      <c r="N240" s="581"/>
      <c r="O240" s="580"/>
    </row>
    <row r="241" spans="1:19">
      <c r="A241" s="112"/>
      <c r="B241" s="1026" t="str">
        <f>IF(C241=" "," ",VLOOKUP(C241,合約!B:I,7,FALSE))</f>
        <v>E000004407001</v>
      </c>
      <c r="C241" s="576" t="str">
        <f>計算資料!BW19</f>
        <v>開挖機，0.70-0.79m3</v>
      </c>
      <c r="D241" s="1085"/>
      <c r="E241" s="1090"/>
      <c r="F241" s="1085"/>
      <c r="G241" s="1085"/>
      <c r="H241" s="1070"/>
      <c r="I241" s="1029" t="str">
        <f>IF(C241=" "," ","=")</f>
        <v>=</v>
      </c>
      <c r="J241" s="945">
        <f>IF(C242=" "," ",kk)</f>
        <v>1</v>
      </c>
      <c r="K241" s="108" t="str">
        <f>IF(C242=" "," ",VLOOKUP(C241,合約!B:H,2,FALSE))</f>
        <v>時</v>
      </c>
      <c r="M241" s="173"/>
      <c r="N241" s="173"/>
      <c r="O241" s="173"/>
      <c r="Q241" s="239"/>
      <c r="R241" s="239"/>
      <c r="S241" s="239"/>
    </row>
    <row r="242" spans="1:19">
      <c r="A242" s="112"/>
      <c r="B242" s="1020"/>
      <c r="C242" s="695">
        <f>計算資料!BW20</f>
        <v>1</v>
      </c>
      <c r="D242" s="1047"/>
      <c r="E242" s="1070"/>
      <c r="F242" s="1047"/>
      <c r="G242" s="1047"/>
      <c r="H242" s="1070"/>
      <c r="I242" s="1029"/>
      <c r="J242" s="945"/>
      <c r="K242" s="108"/>
      <c r="M242" s="173"/>
      <c r="N242" s="173"/>
      <c r="O242" s="173"/>
      <c r="Q242" s="239"/>
      <c r="R242" s="239"/>
      <c r="S242" s="239"/>
    </row>
    <row r="243" spans="1:19">
      <c r="A243" s="112"/>
      <c r="B243" s="1026" t="str">
        <f>IF(C243=" "," ",VLOOKUP(C243,合約!B:I,7,FALSE))</f>
        <v>L0000051000Q1</v>
      </c>
      <c r="C243" s="576" t="str">
        <f>計算資料!BW21</f>
        <v>操作手，重機械</v>
      </c>
      <c r="D243" s="1085"/>
      <c r="E243" s="1090"/>
      <c r="F243" s="1085"/>
      <c r="G243" s="1085"/>
      <c r="H243" s="1070"/>
      <c r="I243" s="1029" t="str">
        <f>IF(C243=" "," ","=")</f>
        <v>=</v>
      </c>
      <c r="J243" s="945">
        <f>IF(C244=" "," ",kk)</f>
        <v>1</v>
      </c>
      <c r="K243" s="108" t="str">
        <f>IF(C244=" "," ",VLOOKUP(C243,合約!B:H,2,FALSE))</f>
        <v>時</v>
      </c>
      <c r="M243" s="173"/>
      <c r="N243" s="173"/>
      <c r="O243" s="173"/>
    </row>
    <row r="244" spans="1:19">
      <c r="A244" s="112"/>
      <c r="B244" s="1020"/>
      <c r="C244" s="695">
        <f>計算資料!BW22</f>
        <v>1</v>
      </c>
      <c r="D244" s="1047"/>
      <c r="E244" s="1070"/>
      <c r="F244" s="1047"/>
      <c r="G244" s="1047"/>
      <c r="H244" s="1070"/>
      <c r="I244" s="1029"/>
      <c r="J244" s="945"/>
      <c r="K244" s="108"/>
      <c r="M244" s="572"/>
      <c r="N244" s="173"/>
      <c r="O244" s="173"/>
    </row>
    <row r="245" spans="1:19">
      <c r="A245" s="112"/>
      <c r="B245" s="1026" t="str">
        <f>IF(C245=" "," ",VLOOKUP(C245,合約!B:I,7,FALSE))</f>
        <v xml:space="preserve"> </v>
      </c>
      <c r="C245" s="576" t="str">
        <f>計算資料!BW23</f>
        <v xml:space="preserve"> </v>
      </c>
      <c r="D245" s="1085"/>
      <c r="E245" s="1090"/>
      <c r="F245" s="1085"/>
      <c r="G245" s="1085"/>
      <c r="H245" s="1070"/>
      <c r="I245" s="1029" t="str">
        <f>IF(C245=" "," ","=")</f>
        <v xml:space="preserve"> </v>
      </c>
      <c r="J245" s="945" t="str">
        <f>IF(C246=" "," ",kk)</f>
        <v xml:space="preserve"> </v>
      </c>
      <c r="K245" s="108" t="str">
        <f>IF(C246=" "," ",VLOOKUP(C245,合約!B:H,2,FALSE))</f>
        <v xml:space="preserve"> </v>
      </c>
      <c r="M245" s="717"/>
      <c r="N245" s="173"/>
      <c r="O245" s="173"/>
    </row>
    <row r="246" spans="1:19">
      <c r="A246" s="112"/>
      <c r="B246" s="1020"/>
      <c r="C246" s="695" t="str">
        <f>計算資料!BW24</f>
        <v xml:space="preserve"> </v>
      </c>
      <c r="D246" s="1047"/>
      <c r="E246" s="1070"/>
      <c r="F246" s="1047"/>
      <c r="G246" s="1047"/>
      <c r="H246" s="1070"/>
      <c r="I246" s="1029"/>
      <c r="J246" s="945"/>
      <c r="K246" s="108"/>
      <c r="M246" s="173"/>
      <c r="N246" s="173"/>
      <c r="O246" s="173"/>
    </row>
    <row r="247" spans="1:19" ht="17.25" hidden="1" thickBot="1">
      <c r="A247" s="112"/>
      <c r="B247" s="1026"/>
      <c r="C247" s="576"/>
      <c r="D247" s="1085"/>
      <c r="E247" s="1085"/>
      <c r="F247" s="1085"/>
      <c r="G247" s="1085"/>
      <c r="H247" s="1047"/>
      <c r="I247" s="1029"/>
      <c r="J247" s="945"/>
      <c r="K247" s="108"/>
      <c r="M247" s="173"/>
      <c r="N247" s="173"/>
      <c r="O247" s="173"/>
    </row>
    <row r="248" spans="1:19" hidden="1">
      <c r="A248" s="112"/>
      <c r="B248" s="1459" t="s">
        <v>3810</v>
      </c>
      <c r="C248" s="1460"/>
      <c r="D248" s="1119" t="s">
        <v>3692</v>
      </c>
      <c r="E248" s="1467" t="s">
        <v>4002</v>
      </c>
      <c r="F248" s="1468"/>
      <c r="G248" s="1049" t="s">
        <v>3995</v>
      </c>
      <c r="H248" s="991" t="s">
        <v>4000</v>
      </c>
      <c r="I248" s="1452" t="s">
        <v>3997</v>
      </c>
      <c r="J248" s="1453"/>
      <c r="K248" s="108"/>
      <c r="M248" s="718"/>
      <c r="N248" s="173"/>
      <c r="O248" s="701"/>
    </row>
    <row r="249" spans="1:19" ht="17.25" hidden="1" thickBot="1">
      <c r="A249" s="110"/>
      <c r="B249" s="1461"/>
      <c r="C249" s="1462"/>
      <c r="D249" s="1120" t="str">
        <f>自主檢查表!$E$2</f>
        <v>搶修案</v>
      </c>
      <c r="E249" s="1469" t="e">
        <f>SUM(#REF!)</f>
        <v>#REF!</v>
      </c>
      <c r="F249" s="1462"/>
      <c r="G249" s="1121">
        <v>2.2999999999999998</v>
      </c>
      <c r="H249" s="1003">
        <v>14</v>
      </c>
      <c r="I249" s="1457" t="s">
        <v>3809</v>
      </c>
      <c r="J249" s="1458"/>
      <c r="K249" s="108"/>
      <c r="M249" s="173"/>
      <c r="N249" s="173"/>
      <c r="O249" s="719"/>
    </row>
    <row r="250" spans="1:19" hidden="1">
      <c r="A250" s="110"/>
      <c r="B250" s="991" t="s">
        <v>3994</v>
      </c>
      <c r="C250" s="991" t="s">
        <v>3996</v>
      </c>
      <c r="D250" s="1027"/>
      <c r="E250" s="1031"/>
      <c r="F250" s="1028"/>
      <c r="G250" s="1508" t="s">
        <v>3993</v>
      </c>
      <c r="H250" s="1509"/>
      <c r="I250" s="1452" t="s">
        <v>3999</v>
      </c>
      <c r="J250" s="1453"/>
      <c r="K250" s="703"/>
      <c r="M250" s="173"/>
      <c r="N250" s="173"/>
      <c r="O250" s="719"/>
    </row>
    <row r="251" spans="1:19" s="10" customFormat="1" ht="17.25" hidden="1" thickBot="1">
      <c r="A251" s="112"/>
      <c r="B251" s="1095" t="s">
        <v>3998</v>
      </c>
      <c r="C251" s="1122" t="s">
        <v>4001</v>
      </c>
      <c r="D251" s="1123"/>
      <c r="E251" s="1124"/>
      <c r="F251" s="1125"/>
      <c r="G251" s="1510" t="s">
        <v>3809</v>
      </c>
      <c r="H251" s="1511"/>
      <c r="I251" s="1457" t="s">
        <v>3809</v>
      </c>
      <c r="J251" s="1458"/>
      <c r="K251" s="120"/>
      <c r="M251" s="720"/>
      <c r="N251" s="720"/>
      <c r="O251" s="719"/>
    </row>
    <row r="252" spans="1:19" s="10" customFormat="1" hidden="1">
      <c r="A252" s="1127"/>
      <c r="B252" s="1128"/>
      <c r="C252" s="1129"/>
      <c r="D252" s="1123"/>
      <c r="E252" s="1130"/>
      <c r="F252" s="1125"/>
      <c r="G252" s="1125"/>
      <c r="H252" s="1126"/>
      <c r="I252" s="1131"/>
      <c r="J252" s="952"/>
      <c r="K252" s="120"/>
      <c r="M252" s="702"/>
      <c r="N252" s="720"/>
      <c r="O252" s="702"/>
    </row>
    <row r="253" spans="1:19" s="10" customFormat="1" hidden="1">
      <c r="A253" s="111"/>
      <c r="B253" s="1132"/>
      <c r="C253" s="1132"/>
      <c r="D253" s="1123"/>
      <c r="E253" s="1124"/>
      <c r="F253" s="1133"/>
      <c r="G253" s="1133"/>
      <c r="H253" s="1134"/>
      <c r="I253" s="1134"/>
      <c r="J253" s="953"/>
      <c r="M253" s="720"/>
      <c r="N253" s="720"/>
      <c r="O253" s="702"/>
    </row>
    <row r="254" spans="1:19" s="10" customFormat="1" hidden="1">
      <c r="A254" s="112"/>
      <c r="B254" s="1124"/>
      <c r="C254" s="1135"/>
      <c r="D254" s="1136"/>
      <c r="E254" s="1137"/>
      <c r="F254" s="1138"/>
      <c r="G254" s="1138"/>
      <c r="H254" s="1134"/>
      <c r="I254" s="1134"/>
      <c r="J254" s="953"/>
      <c r="M254" s="720"/>
      <c r="N254" s="720"/>
      <c r="O254" s="702"/>
    </row>
    <row r="255" spans="1:19" s="10" customFormat="1" hidden="1">
      <c r="A255" s="112"/>
      <c r="B255" s="1128"/>
      <c r="C255" s="115"/>
      <c r="D255" s="1123"/>
      <c r="E255" s="1124"/>
      <c r="F255" s="1125"/>
      <c r="G255" s="1125"/>
      <c r="H255" s="1134"/>
      <c r="I255" s="1131"/>
      <c r="J255" s="952"/>
      <c r="K255" s="120"/>
      <c r="M255" s="720"/>
      <c r="N255" s="720"/>
      <c r="O255" s="720"/>
    </row>
    <row r="256" spans="1:19" s="10" customFormat="1" hidden="1">
      <c r="A256" s="1127"/>
      <c r="B256" s="1128"/>
      <c r="C256" s="1129"/>
      <c r="D256" s="1123"/>
      <c r="E256" s="1130"/>
      <c r="F256" s="1125"/>
      <c r="G256" s="1125"/>
      <c r="H256" s="1134"/>
      <c r="I256" s="1131"/>
      <c r="J256" s="952"/>
      <c r="K256" s="120"/>
      <c r="M256" s="720"/>
      <c r="N256" s="720"/>
      <c r="O256" s="702"/>
    </row>
    <row r="257" spans="1:15" s="10" customFormat="1" hidden="1">
      <c r="A257" s="112"/>
      <c r="B257" s="1128"/>
      <c r="C257" s="115"/>
      <c r="D257" s="1123"/>
      <c r="E257" s="1124"/>
      <c r="F257" s="1125"/>
      <c r="G257" s="1125"/>
      <c r="H257" s="1134"/>
      <c r="I257" s="1131"/>
      <c r="J257" s="952"/>
      <c r="K257" s="120"/>
      <c r="M257" s="720"/>
      <c r="N257" s="720"/>
      <c r="O257" s="720"/>
    </row>
    <row r="258" spans="1:15" s="10" customFormat="1" hidden="1">
      <c r="A258" s="1127"/>
      <c r="B258" s="1128"/>
      <c r="C258" s="1129"/>
      <c r="D258" s="1123"/>
      <c r="E258" s="1130"/>
      <c r="F258" s="1125"/>
      <c r="G258" s="1125"/>
      <c r="H258" s="1134"/>
      <c r="I258" s="1131"/>
      <c r="J258" s="952"/>
      <c r="K258" s="120"/>
      <c r="M258" s="720"/>
      <c r="N258" s="720"/>
      <c r="O258" s="720"/>
    </row>
    <row r="259" spans="1:15" s="10" customFormat="1" hidden="1">
      <c r="A259" s="112"/>
      <c r="B259" s="1128"/>
      <c r="C259" s="115"/>
      <c r="D259" s="1123"/>
      <c r="E259" s="1124"/>
      <c r="F259" s="1125"/>
      <c r="G259" s="1125"/>
      <c r="H259" s="1134"/>
      <c r="I259" s="1131"/>
      <c r="J259" s="952"/>
      <c r="K259" s="120"/>
      <c r="M259" s="720"/>
      <c r="N259" s="720"/>
      <c r="O259" s="720"/>
    </row>
    <row r="260" spans="1:15" s="10" customFormat="1" hidden="1">
      <c r="A260" s="1127"/>
      <c r="B260" s="1128"/>
      <c r="C260" s="1129"/>
      <c r="D260" s="1123"/>
      <c r="E260" s="1130"/>
      <c r="F260" s="1125"/>
      <c r="G260" s="1125"/>
      <c r="H260" s="1134"/>
      <c r="I260" s="1131"/>
      <c r="J260" s="952"/>
      <c r="K260" s="120"/>
      <c r="M260" s="720"/>
      <c r="N260" s="720"/>
      <c r="O260" s="720"/>
    </row>
    <row r="261" spans="1:15" s="10" customFormat="1" hidden="1">
      <c r="A261" s="111"/>
      <c r="B261" s="1139"/>
      <c r="C261" s="1139"/>
      <c r="D261" s="1123"/>
      <c r="E261" s="1124"/>
      <c r="F261" s="1138"/>
      <c r="G261" s="1138"/>
      <c r="H261" s="1134"/>
      <c r="I261" s="1140"/>
      <c r="J261" s="954"/>
      <c r="K261" s="118"/>
      <c r="M261" s="720"/>
      <c r="N261" s="720"/>
      <c r="O261" s="720"/>
    </row>
    <row r="262" spans="1:15" s="10" customFormat="1" hidden="1">
      <c r="A262" s="112"/>
      <c r="B262" s="1124"/>
      <c r="C262" s="1135"/>
      <c r="D262" s="1136"/>
      <c r="E262" s="1137"/>
      <c r="F262" s="1138"/>
      <c r="G262" s="1138"/>
      <c r="H262" s="1126"/>
      <c r="I262" s="1131"/>
      <c r="J262" s="955"/>
      <c r="K262" s="120"/>
      <c r="M262" s="720"/>
      <c r="N262" s="720"/>
      <c r="O262" s="720"/>
    </row>
    <row r="263" spans="1:15" s="10" customFormat="1" hidden="1">
      <c r="A263" s="112"/>
      <c r="B263" s="1128"/>
      <c r="C263" s="115"/>
      <c r="D263" s="1123"/>
      <c r="E263" s="1124"/>
      <c r="F263" s="1125"/>
      <c r="G263" s="1141"/>
      <c r="H263" s="1126"/>
      <c r="I263" s="1131"/>
      <c r="J263" s="952"/>
      <c r="K263" s="120"/>
      <c r="M263" s="720"/>
      <c r="N263" s="720"/>
      <c r="O263" s="720"/>
    </row>
    <row r="264" spans="1:15" s="10" customFormat="1" hidden="1">
      <c r="A264" s="1127"/>
      <c r="B264" s="1128"/>
      <c r="C264" s="1129"/>
      <c r="D264" s="1123"/>
      <c r="E264" s="1130"/>
      <c r="F264" s="1125"/>
      <c r="G264" s="1125"/>
      <c r="H264" s="1126"/>
      <c r="I264" s="1131"/>
      <c r="J264" s="952"/>
      <c r="K264" s="120"/>
      <c r="M264" s="720"/>
      <c r="N264" s="720"/>
      <c r="O264" s="720"/>
    </row>
    <row r="265" spans="1:15" s="10" customFormat="1" hidden="1">
      <c r="A265" s="112"/>
      <c r="B265" s="1128"/>
      <c r="C265" s="115"/>
      <c r="D265" s="1123"/>
      <c r="E265" s="1124"/>
      <c r="F265" s="1125"/>
      <c r="G265" s="1125"/>
      <c r="H265" s="1126"/>
      <c r="I265" s="1131"/>
      <c r="J265" s="952"/>
      <c r="K265" s="120"/>
    </row>
    <row r="266" spans="1:15" s="10" customFormat="1" hidden="1">
      <c r="A266" s="1127"/>
      <c r="B266" s="1128"/>
      <c r="C266" s="1129"/>
      <c r="D266" s="1123"/>
      <c r="E266" s="1130"/>
      <c r="F266" s="1125"/>
      <c r="G266" s="1125"/>
      <c r="H266" s="1126"/>
      <c r="I266" s="1131"/>
      <c r="J266" s="952"/>
      <c r="K266" s="120"/>
    </row>
    <row r="267" spans="1:15" s="10" customFormat="1" hidden="1">
      <c r="A267" s="112"/>
      <c r="B267" s="1128"/>
      <c r="C267" s="115"/>
      <c r="D267" s="1123"/>
      <c r="E267" s="1124"/>
      <c r="F267" s="1125"/>
      <c r="G267" s="1125"/>
      <c r="H267" s="1126"/>
      <c r="I267" s="1131"/>
      <c r="J267" s="952"/>
      <c r="K267" s="120"/>
    </row>
    <row r="268" spans="1:15" s="10" customFormat="1" hidden="1">
      <c r="A268" s="1127"/>
      <c r="B268" s="1128"/>
      <c r="C268" s="1129"/>
      <c r="D268" s="1123"/>
      <c r="E268" s="1130"/>
      <c r="F268" s="1125"/>
      <c r="G268" s="1125"/>
      <c r="H268" s="1126"/>
      <c r="I268" s="1131"/>
      <c r="J268" s="952"/>
      <c r="K268" s="120"/>
    </row>
    <row r="269" spans="1:15" s="10" customFormat="1" hidden="1">
      <c r="A269" s="112"/>
      <c r="B269" s="1128"/>
      <c r="C269" s="115"/>
      <c r="D269" s="1123"/>
      <c r="E269" s="1124"/>
      <c r="F269" s="1125"/>
      <c r="G269" s="1125"/>
      <c r="H269" s="1126"/>
      <c r="I269" s="1131"/>
      <c r="J269" s="952"/>
      <c r="K269" s="120"/>
    </row>
    <row r="270" spans="1:15" s="10" customFormat="1" hidden="1">
      <c r="A270" s="1127"/>
      <c r="B270" s="1128"/>
      <c r="C270" s="1129"/>
      <c r="D270" s="1123"/>
      <c r="E270" s="1130"/>
      <c r="F270" s="1125"/>
      <c r="G270" s="1125"/>
      <c r="H270" s="1126"/>
      <c r="I270" s="1131"/>
      <c r="J270" s="952"/>
      <c r="K270" s="120"/>
    </row>
    <row r="271" spans="1:15" s="10" customFormat="1" hidden="1">
      <c r="A271" s="112"/>
      <c r="B271" s="1128"/>
      <c r="C271" s="115"/>
      <c r="D271" s="1123"/>
      <c r="E271" s="1124"/>
      <c r="F271" s="1125"/>
      <c r="G271" s="1125"/>
      <c r="H271" s="1126"/>
      <c r="I271" s="1131"/>
      <c r="J271" s="952"/>
      <c r="K271" s="120"/>
    </row>
    <row r="272" spans="1:15" s="10" customFormat="1" hidden="1">
      <c r="A272" s="1127"/>
      <c r="B272" s="1128"/>
      <c r="C272" s="1129"/>
      <c r="D272" s="1123"/>
      <c r="E272" s="1130"/>
      <c r="F272" s="1125"/>
      <c r="G272" s="1125"/>
      <c r="H272" s="1126"/>
      <c r="I272" s="1131"/>
      <c r="J272" s="952"/>
      <c r="K272" s="120"/>
    </row>
    <row r="273" spans="1:11" s="10" customFormat="1" hidden="1">
      <c r="A273" s="112"/>
      <c r="B273" s="1128"/>
      <c r="C273" s="115"/>
      <c r="D273" s="1123"/>
      <c r="E273" s="1124"/>
      <c r="F273" s="1125"/>
      <c r="G273" s="1125"/>
      <c r="H273" s="1126"/>
      <c r="I273" s="1131"/>
      <c r="J273" s="952"/>
      <c r="K273" s="120"/>
    </row>
    <row r="274" spans="1:11" s="10" customFormat="1" hidden="1">
      <c r="A274" s="1127"/>
      <c r="B274" s="1128"/>
      <c r="C274" s="1129"/>
      <c r="D274" s="1123"/>
      <c r="E274" s="1130"/>
      <c r="F274" s="1125"/>
      <c r="G274" s="1125"/>
      <c r="H274" s="1126"/>
      <c r="I274" s="1131"/>
      <c r="J274" s="952"/>
      <c r="K274" s="120"/>
    </row>
    <row r="275" spans="1:11" s="10" customFormat="1" hidden="1">
      <c r="A275" s="112"/>
      <c r="B275" s="1128"/>
      <c r="C275" s="115"/>
      <c r="D275" s="1123"/>
      <c r="E275" s="1124"/>
      <c r="F275" s="1125"/>
      <c r="G275" s="1125"/>
      <c r="H275" s="1126"/>
      <c r="I275" s="1131"/>
      <c r="J275" s="952"/>
      <c r="K275" s="120"/>
    </row>
    <row r="276" spans="1:11" s="10" customFormat="1" hidden="1">
      <c r="A276" s="1127"/>
      <c r="B276" s="1128"/>
      <c r="C276" s="1129"/>
      <c r="D276" s="1123"/>
      <c r="E276" s="1130"/>
      <c r="F276" s="1125"/>
      <c r="G276" s="1125"/>
      <c r="H276" s="1126"/>
      <c r="I276" s="1131"/>
      <c r="J276" s="952"/>
      <c r="K276" s="120"/>
    </row>
    <row r="277" spans="1:11" s="10" customFormat="1" hidden="1">
      <c r="A277" s="112"/>
      <c r="B277" s="1128"/>
      <c r="C277" s="115"/>
      <c r="D277" s="1123"/>
      <c r="E277" s="1124"/>
      <c r="F277" s="1125"/>
      <c r="G277" s="1125"/>
      <c r="H277" s="1126"/>
      <c r="I277" s="1131"/>
      <c r="J277" s="952"/>
      <c r="K277" s="120"/>
    </row>
    <row r="278" spans="1:11" s="10" customFormat="1" hidden="1">
      <c r="A278" s="1127"/>
      <c r="B278" s="1128"/>
      <c r="C278" s="1129"/>
      <c r="D278" s="1123"/>
      <c r="E278" s="1130"/>
      <c r="F278" s="1125"/>
      <c r="G278" s="1125"/>
      <c r="H278" s="1126"/>
      <c r="I278" s="1131"/>
      <c r="J278" s="952"/>
      <c r="K278" s="120"/>
    </row>
    <row r="279" spans="1:11" s="10" customFormat="1" hidden="1">
      <c r="A279" s="112"/>
      <c r="B279" s="1128"/>
      <c r="C279" s="115"/>
      <c r="D279" s="1123"/>
      <c r="E279" s="1124"/>
      <c r="F279" s="1125"/>
      <c r="G279" s="1125"/>
      <c r="H279" s="1126"/>
      <c r="I279" s="1131"/>
      <c r="J279" s="952"/>
      <c r="K279" s="120"/>
    </row>
    <row r="280" spans="1:11" s="10" customFormat="1">
      <c r="A280" s="1127"/>
      <c r="B280" s="1128"/>
      <c r="C280" s="1129"/>
      <c r="D280" s="1123"/>
      <c r="E280" s="1130"/>
      <c r="F280" s="1125"/>
      <c r="G280" s="1125"/>
      <c r="H280" s="1126"/>
      <c r="I280" s="1131"/>
      <c r="J280" s="952"/>
      <c r="K280" s="120"/>
    </row>
    <row r="281" spans="1:11" s="10" customFormat="1">
      <c r="A281" s="985"/>
      <c r="B281" s="1142"/>
      <c r="C281" s="1142"/>
      <c r="D281" s="1143"/>
      <c r="E281" s="1142"/>
      <c r="F281" s="1144"/>
      <c r="G281" s="1144"/>
      <c r="H281" s="1142"/>
      <c r="I281" s="1142"/>
      <c r="J281" s="956"/>
      <c r="K281" s="116"/>
    </row>
    <row r="282" spans="1:11" s="10" customFormat="1">
      <c r="A282" s="985"/>
      <c r="B282" s="1142"/>
      <c r="C282" s="1142"/>
      <c r="D282" s="1143"/>
      <c r="E282" s="1142"/>
      <c r="F282" s="1144"/>
      <c r="G282" s="1144"/>
      <c r="H282" s="1142"/>
      <c r="I282" s="1142"/>
      <c r="J282" s="956"/>
      <c r="K282" s="116"/>
    </row>
  </sheetData>
  <mergeCells count="39">
    <mergeCell ref="M10:O12"/>
    <mergeCell ref="G250:H250"/>
    <mergeCell ref="G251:H251"/>
    <mergeCell ref="I250:J250"/>
    <mergeCell ref="I251:J251"/>
    <mergeCell ref="D2:J2"/>
    <mergeCell ref="D3:J3"/>
    <mergeCell ref="B176:D176"/>
    <mergeCell ref="E176:G176"/>
    <mergeCell ref="B84:B85"/>
    <mergeCell ref="B86:B87"/>
    <mergeCell ref="F82:F83"/>
    <mergeCell ref="B5:I8"/>
    <mergeCell ref="B172:C173"/>
    <mergeCell ref="B10:C11"/>
    <mergeCell ref="B14:D14"/>
    <mergeCell ref="E14:G14"/>
    <mergeCell ref="B45:C46"/>
    <mergeCell ref="B222:C223"/>
    <mergeCell ref="E223:F223"/>
    <mergeCell ref="E206:F206"/>
    <mergeCell ref="E222:F222"/>
    <mergeCell ref="B205:C206"/>
    <mergeCell ref="B248:C249"/>
    <mergeCell ref="I248:J248"/>
    <mergeCell ref="I249:J249"/>
    <mergeCell ref="H222:I222"/>
    <mergeCell ref="H49:J49"/>
    <mergeCell ref="H223:I223"/>
    <mergeCell ref="E248:F248"/>
    <mergeCell ref="E249:F249"/>
    <mergeCell ref="E205:F205"/>
    <mergeCell ref="B80:C81"/>
    <mergeCell ref="B143:D143"/>
    <mergeCell ref="E143:G143"/>
    <mergeCell ref="B49:D49"/>
    <mergeCell ref="E49:G49"/>
    <mergeCell ref="B82:B83"/>
    <mergeCell ref="B139:C140"/>
  </mergeCells>
  <phoneticPr fontId="58" type="noConversion"/>
  <dataValidations count="27">
    <dataValidation type="list" allowBlank="1" showInputMessage="1" showErrorMessage="1" sqref="D91 D115" xr:uid="{00000000-0002-0000-0800-000000000000}">
      <formula1>"S1,S2,L1,L2,其他"</formula1>
    </dataValidation>
    <dataValidation type="list" allowBlank="1" showInputMessage="1" showErrorMessage="1" sqref="D93 D117" xr:uid="{00000000-0002-0000-0800-000001000000}">
      <formula1>"無,預鑄,場鑄"</formula1>
    </dataValidation>
    <dataValidation type="list" allowBlank="1" showInputMessage="1" showErrorMessage="1" sqref="M245" xr:uid="{00000000-0002-0000-0800-000002000000}">
      <formula1>"一般瀝青,再生瀝青,改質瀝青"</formula1>
    </dataValidation>
    <dataValidation type="list" allowBlank="1" showInputMessage="1" showErrorMessage="1" sqref="D211 D228" xr:uid="{00000000-0002-0000-0800-000003000000}">
      <formula1>"5cm,10cm,15cm,20cm"</formula1>
    </dataValidation>
    <dataValidation type="list" allowBlank="1" showInputMessage="1" showErrorMessage="1" sqref="D20 D55 D92 D116 D149 D182" xr:uid="{00000000-0002-0000-0800-000004000000}">
      <formula1>"新設,更新,修復"</formula1>
    </dataValidation>
    <dataValidation type="list" allowBlank="1" showInputMessage="1" showErrorMessage="1" sqref="F11 G81 F46 F140 F173" xr:uid="{00000000-0002-0000-0800-000005000000}">
      <formula1>"更新,新設"</formula1>
    </dataValidation>
    <dataValidation type="list" allowBlank="1" showInputMessage="1" showErrorMessage="1" sqref="G11" xr:uid="{00000000-0002-0000-0800-000006000000}">
      <formula1>"無既有溝,矩形溝,U型溝"</formula1>
    </dataValidation>
    <dataValidation type="list" allowBlank="1" showInputMessage="1" showErrorMessage="1" sqref="H11 H46 H140" xr:uid="{00000000-0002-0000-0800-000007000000}">
      <formula1>"有,無"</formula1>
    </dataValidation>
    <dataValidation type="list" allowBlank="1" showInputMessage="1" showErrorMessage="1" sqref="I81" xr:uid="{00000000-0002-0000-0800-000008000000}">
      <formula1>"S型,L型"</formula1>
    </dataValidation>
    <dataValidation type="list" allowBlank="1" showInputMessage="1" showErrorMessage="1" sqref="J81" xr:uid="{00000000-0002-0000-0800-000009000000}">
      <formula1>"13cm,15cm"</formula1>
    </dataValidation>
    <dataValidation type="list" allowBlank="1" showInputMessage="1" showErrorMessage="1" sqref="J85" xr:uid="{00000000-0002-0000-0800-00000A000000}">
      <formula1>"場鑄,預鑄"</formula1>
    </dataValidation>
    <dataValidation type="list" allowBlank="1" showInputMessage="1" showErrorMessage="1" sqref="K81 B175" xr:uid="{00000000-0002-0000-0800-00000B000000}">
      <formula1>"80cm,90cm,100cm"</formula1>
    </dataValidation>
    <dataValidation type="list" allowBlank="1" showInputMessage="1" showErrorMessage="1" sqref="J83 O87" xr:uid="{00000000-0002-0000-0800-00000C000000}">
      <formula1>"40cm,50cm,60cm"</formula1>
    </dataValidation>
    <dataValidation type="list" allowBlank="1" showInputMessage="1" showErrorMessage="1" sqref="G223 I206 H173" xr:uid="{00000000-0002-0000-0800-00000D000000}">
      <formula1>"5cm,10cm"</formula1>
    </dataValidation>
    <dataValidation type="list" allowBlank="1" showInputMessage="1" showErrorMessage="1" sqref="K83" xr:uid="{00000000-0002-0000-0800-00000E000000}">
      <formula1>"一般型,細目型"</formula1>
    </dataValidation>
    <dataValidation type="list" allowBlank="1" showInputMessage="1" showErrorMessage="1" sqref="K85" xr:uid="{00000000-0002-0000-0800-00000F000000}">
      <formula1>"無標線,紅線"</formula1>
    </dataValidation>
    <dataValidation type="list" allowBlank="1" showInputMessage="1" showErrorMessage="1" sqref="E206:F206" xr:uid="{00000000-0002-0000-0800-000010000000}">
      <formula1>"樹脂混凝土修復,AC回填復舊(111),AC回填復舊(112),RC回填修復"</formula1>
    </dataValidation>
    <dataValidation type="list" allowBlank="1" showInputMessage="1" showErrorMessage="1" sqref="G46" xr:uid="{00000000-0002-0000-0800-000011000000}">
      <formula1>"無既有溝,既有井,矩形溝,U型溝"</formula1>
    </dataValidation>
    <dataValidation type="list" allowBlank="1" showInputMessage="1" showErrorMessage="1" sqref="G140" xr:uid="{00000000-0002-0000-0800-000012000000}">
      <formula1>"無既有溝,U型暗溝,矩形暗溝"</formula1>
    </dataValidation>
    <dataValidation type="list" allowBlank="1" showInputMessage="1" showErrorMessage="1" sqref="D175" xr:uid="{00000000-0002-0000-0800-000013000000}">
      <formula1>"銑鋪復舊,5cm臨補,10cm臨補"</formula1>
    </dataValidation>
    <dataValidation type="list" allowBlank="1" showInputMessage="1" showErrorMessage="1" sqref="G173" xr:uid="{00000000-0002-0000-0800-000014000000}">
      <formula1>"無清掃孔"</formula1>
    </dataValidation>
    <dataValidation type="list" allowBlank="1" showInputMessage="1" showErrorMessage="1" sqref="C175" xr:uid="{00000000-0002-0000-0800-000015000000}">
      <formula1>"20cm"</formula1>
    </dataValidation>
    <dataValidation type="list" allowBlank="1" showInputMessage="1" showErrorMessage="1" sqref="E223" xr:uid="{00000000-0002-0000-0800-000016000000}">
      <formula1>"一般瀝青(111),一般瀝青(112),再生瀝青,改質瀝青"</formula1>
    </dataValidation>
    <dataValidation type="list" allowBlank="1" showInputMessage="1" showErrorMessage="1" sqref="H81" xr:uid="{00000000-0002-0000-0800-000017000000}">
      <formula1>"側溝,集水井"</formula1>
    </dataValidation>
    <dataValidation type="list" allowBlank="1" showInputMessage="1" showErrorMessage="1" sqref="B251" xr:uid="{00000000-0002-0000-0800-000018000000}">
      <formula1>"8m以下,8m以上"</formula1>
    </dataValidation>
    <dataValidation type="list" allowBlank="1" showInputMessage="1" showErrorMessage="1" sqref="C251" xr:uid="{00000000-0002-0000-0800-000019000000}">
      <formula1>"無圍排水,開立"</formula1>
    </dataValidation>
    <dataValidation type="list" allowBlank="1" showInputMessage="1" showErrorMessage="1" sqref="D2:G2" xr:uid="{00000000-0002-0000-0800-00001A000000}">
      <formula1>"(111)餘方自行處理(含水土保持)，總重3-3.9t貨車,(111)餘方自行處理(含水土保持)，總重8-8.9t傾卸貨車,(112)餘方自行處理(含水土保持)，總重15t以下傾卸貨車,(112)餘方自行處理(含水土保持)，總重15t傾卸貨車"</formula1>
    </dataValidation>
  </dataValidations>
  <pageMargins left="0.84166666666666701" right="0.29166666666666702" top="1.3779527559055118" bottom="0.98425196850393704" header="0.511811023622047" footer="0.511811023622047"/>
  <pageSetup paperSize="9" scale="80" fitToHeight="0" orientation="portrait" r:id="rId1"/>
  <headerFooter alignWithMargins="0">
    <oddHeader>&amp;L
&amp;"標楷體,標準" 工程名稱：111年度雨水下水道緊急搶修預約維護工程(北區) (112年度續約)&amp;C&amp;"標楷體,Regula"&amp;18臺北市政府工務局水利工程處
數量計算表&amp;R&amp;"Times New Roman,標準"
&amp;"標楷體,標準"第&amp;"Times New Roman,標準"&amp;P&amp;"標楷體,標準"頁&amp;"Times New Roman,標準",&amp;"標楷體,標準"共&amp;"Times New Roman,標準"&amp;N&amp;"標楷體,標準"頁</oddHeader>
    <oddFooter>&amp;L&amp;"標楷體,標準"&amp;8&amp;F&amp;C&amp;"標楷體,標準"校&amp;"Times New Roman,標準"                         &amp;"標楷體,標準"編&amp;"Times New Roman,標準"
&amp;"標楷體,標準"核&amp;"Times New Roman,標準"                         &amp;"標楷體,標準"製</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5">
    <tabColor rgb="FF00B0F0"/>
  </sheetPr>
  <dimension ref="A1:DW326"/>
  <sheetViews>
    <sheetView topLeftCell="E1" zoomScale="70" zoomScaleNormal="70" workbookViewId="0">
      <selection activeCell="AD133" sqref="AD133"/>
    </sheetView>
  </sheetViews>
  <sheetFormatPr defaultRowHeight="16.5"/>
  <cols>
    <col min="1" max="5" width="9" style="6"/>
    <col min="6" max="6" width="10" style="6" bestFit="1" customWidth="1"/>
    <col min="7" max="15" width="9" style="6"/>
    <col min="16" max="16" width="9.5" style="6" bestFit="1" customWidth="1"/>
    <col min="17" max="22" width="9" style="6"/>
    <col min="23" max="23" width="10.5" style="6" bestFit="1" customWidth="1"/>
    <col min="24" max="24" width="9.625" style="6" bestFit="1" customWidth="1"/>
    <col min="25" max="26" width="9" style="6"/>
    <col min="27" max="27" width="10.375" style="6" bestFit="1" customWidth="1"/>
    <col min="28" max="29" width="9" style="6"/>
    <col min="30" max="30" width="9.5" style="6" bestFit="1" customWidth="1"/>
    <col min="31" max="33" width="9" style="6"/>
    <col min="34" max="34" width="10.5" style="6" bestFit="1" customWidth="1"/>
    <col min="35" max="69" width="9" style="6"/>
    <col min="70" max="70" width="9.5" style="6" bestFit="1" customWidth="1"/>
    <col min="71" max="116" width="9" style="6"/>
    <col min="117" max="124" width="8.875" style="6" customWidth="1"/>
    <col min="125" max="127" width="9" style="6"/>
  </cols>
  <sheetData>
    <row r="1" spans="7:116" ht="17.25" thickBot="1">
      <c r="BT1" s="340"/>
      <c r="BU1" s="340"/>
      <c r="BV1" s="340"/>
      <c r="BW1" s="340"/>
      <c r="BX1" s="340"/>
      <c r="BY1" s="340"/>
      <c r="BZ1" s="340"/>
      <c r="CA1" s="340"/>
      <c r="CB1" s="340"/>
      <c r="CC1" s="340"/>
      <c r="CD1" s="611"/>
      <c r="CE1" s="611"/>
      <c r="CF1" s="611"/>
      <c r="CG1" s="611"/>
      <c r="CH1" s="611"/>
      <c r="CI1" s="611"/>
      <c r="CJ1" s="611"/>
      <c r="CK1" s="611"/>
      <c r="CL1" s="611"/>
      <c r="CM1" s="611"/>
      <c r="CN1" s="611"/>
      <c r="CO1" s="611"/>
      <c r="CP1" s="611"/>
      <c r="CQ1" s="611"/>
      <c r="CR1" s="611"/>
      <c r="CS1" s="611"/>
      <c r="CT1" s="611"/>
      <c r="CU1" s="611"/>
      <c r="CV1" s="611"/>
      <c r="CW1" s="611"/>
      <c r="CX1" s="611"/>
      <c r="CY1" s="611"/>
      <c r="CZ1" s="611"/>
      <c r="DA1" s="611"/>
      <c r="DB1" s="611"/>
      <c r="DC1" s="611"/>
      <c r="DD1" s="611"/>
      <c r="DE1" s="611"/>
      <c r="DF1" s="611"/>
      <c r="DG1" s="611"/>
      <c r="DH1" s="611"/>
      <c r="DI1" s="611"/>
    </row>
    <row r="2" spans="7:116" ht="17.25" thickBot="1">
      <c r="G2" s="185" t="s">
        <v>3684</v>
      </c>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c r="BT2" s="340"/>
      <c r="BU2" s="340"/>
      <c r="BV2" s="340"/>
      <c r="BW2" s="1532"/>
      <c r="BX2" s="1533"/>
      <c r="BY2" s="1533"/>
      <c r="BZ2" s="1533"/>
      <c r="CA2" s="1533"/>
      <c r="CB2" s="1534"/>
      <c r="CC2" s="689">
        <v>0</v>
      </c>
      <c r="CD2" s="1532" t="e">
        <f>#VALUE!</f>
        <v>#VALUE!</v>
      </c>
      <c r="CE2" s="1533"/>
      <c r="CF2" s="1533"/>
      <c r="CG2" s="1533"/>
      <c r="CH2" s="1533"/>
      <c r="CI2" s="1534"/>
      <c r="CJ2" s="190"/>
      <c r="CK2" s="1532" t="s">
        <v>3959</v>
      </c>
      <c r="CL2" s="1533"/>
      <c r="CM2" s="1533"/>
      <c r="CN2" s="1533"/>
      <c r="CO2" s="1533"/>
      <c r="CP2" s="1533"/>
      <c r="CQ2" s="1533"/>
      <c r="CR2" s="1533"/>
      <c r="CS2" s="1533"/>
      <c r="CT2" s="1533"/>
      <c r="CU2" s="1533"/>
      <c r="CV2" s="1534"/>
      <c r="CW2" s="647"/>
      <c r="CX2" s="1532" t="s">
        <v>3960</v>
      </c>
      <c r="CY2" s="1533"/>
      <c r="CZ2" s="1533"/>
      <c r="DA2" s="1533"/>
      <c r="DB2" s="1533"/>
      <c r="DC2" s="1533"/>
      <c r="DD2" s="1533"/>
      <c r="DE2" s="1533"/>
      <c r="DF2" s="1533"/>
      <c r="DG2" s="1533"/>
      <c r="DH2" s="1533"/>
      <c r="DI2" s="1534"/>
      <c r="DJ2" s="520"/>
      <c r="DK2" s="520"/>
      <c r="DL2" s="520"/>
    </row>
    <row r="3" spans="7:116" ht="17.25" thickBot="1">
      <c r="G3" s="185"/>
      <c r="H3" s="185"/>
      <c r="I3" s="185"/>
      <c r="J3" s="185"/>
      <c r="K3" s="185"/>
      <c r="L3" s="185"/>
      <c r="M3" s="185"/>
      <c r="N3" s="185"/>
      <c r="O3" s="185"/>
      <c r="P3" s="185"/>
      <c r="Q3" s="185"/>
      <c r="R3" s="185"/>
      <c r="S3" s="185"/>
      <c r="T3" s="185"/>
      <c r="U3" s="185"/>
      <c r="V3" s="185"/>
      <c r="W3" s="185"/>
      <c r="X3" s="185"/>
      <c r="Y3" s="185"/>
      <c r="Z3" s="185"/>
      <c r="AA3" s="185"/>
      <c r="AB3" s="185"/>
      <c r="AC3" s="185"/>
      <c r="AD3" s="185"/>
      <c r="AE3" s="185"/>
      <c r="AF3" s="185"/>
      <c r="AG3" s="185"/>
      <c r="BT3" s="340"/>
      <c r="BU3" s="340"/>
      <c r="BV3" s="340"/>
      <c r="BW3" s="189" t="s">
        <v>3686</v>
      </c>
      <c r="BX3" s="612" t="s">
        <v>3687</v>
      </c>
      <c r="BY3" s="613" t="s">
        <v>3688</v>
      </c>
      <c r="BZ3" s="1532" t="s">
        <v>3689</v>
      </c>
      <c r="CA3" s="1533"/>
      <c r="CB3" s="1534"/>
      <c r="CC3" s="689">
        <v>0</v>
      </c>
      <c r="CD3" s="189" t="s">
        <v>3686</v>
      </c>
      <c r="CE3" s="612" t="s">
        <v>3687</v>
      </c>
      <c r="CF3" s="613" t="s">
        <v>3688</v>
      </c>
      <c r="CG3" s="1532" t="s">
        <v>3689</v>
      </c>
      <c r="CH3" s="1533"/>
      <c r="CI3" s="1534"/>
      <c r="CJ3" s="190"/>
      <c r="CK3" s="614" t="s">
        <v>3690</v>
      </c>
      <c r="CL3" s="621"/>
      <c r="CM3" s="621"/>
      <c r="CN3" s="621"/>
      <c r="CO3" s="621"/>
      <c r="CP3" s="622"/>
      <c r="CQ3" s="623" t="s">
        <v>3691</v>
      </c>
      <c r="CR3" s="621"/>
      <c r="CS3" s="624"/>
      <c r="CT3" s="621"/>
      <c r="CU3" s="621"/>
      <c r="CV3" s="625"/>
      <c r="CW3" s="647"/>
      <c r="CX3" s="614" t="s">
        <v>3690</v>
      </c>
      <c r="CY3" s="621"/>
      <c r="CZ3" s="621"/>
      <c r="DA3" s="621"/>
      <c r="DB3" s="621"/>
      <c r="DC3" s="622"/>
      <c r="DD3" s="623" t="s">
        <v>3691</v>
      </c>
      <c r="DE3" s="621"/>
      <c r="DF3" s="624"/>
      <c r="DG3" s="621"/>
      <c r="DH3" s="621"/>
      <c r="DI3" s="625"/>
      <c r="DJ3" s="520"/>
      <c r="DK3" s="520"/>
      <c r="DL3" s="520"/>
    </row>
    <row r="4" spans="7:116">
      <c r="G4" s="185"/>
      <c r="H4" s="186" t="s">
        <v>3692</v>
      </c>
      <c r="I4" s="186" t="s">
        <v>3693</v>
      </c>
      <c r="J4" s="186" t="s">
        <v>3694</v>
      </c>
      <c r="K4" s="186" t="s">
        <v>3695</v>
      </c>
      <c r="L4" s="186"/>
      <c r="M4" s="186"/>
      <c r="N4" s="186"/>
      <c r="O4" s="186"/>
      <c r="P4" s="186"/>
      <c r="Q4" s="187" t="s">
        <v>2</v>
      </c>
      <c r="R4" s="185"/>
      <c r="S4" s="185"/>
      <c r="T4" s="185"/>
      <c r="U4" s="185"/>
      <c r="V4" s="185"/>
      <c r="W4" s="185"/>
      <c r="X4" s="185"/>
      <c r="Y4" s="185"/>
      <c r="Z4" s="185"/>
      <c r="AA4" s="185"/>
      <c r="AB4" s="185"/>
      <c r="AC4" s="185"/>
      <c r="AD4" s="185"/>
      <c r="AE4" s="185"/>
      <c r="AF4" s="185"/>
      <c r="AG4" s="185"/>
      <c r="BT4" s="340"/>
      <c r="BU4" s="340"/>
      <c r="BV4" s="340"/>
      <c r="BW4" s="614" t="str">
        <f>CD4</f>
        <v>搶修案</v>
      </c>
      <c r="BX4" s="614" t="str">
        <f>CE4</f>
        <v>再生瀝青</v>
      </c>
      <c r="BY4" s="614" t="str">
        <f>CF4</f>
        <v>5cm</v>
      </c>
      <c r="BZ4" s="1535" t="str">
        <f>CG4</f>
        <v>(7*5.3)</v>
      </c>
      <c r="CA4" s="1536"/>
      <c r="CB4" s="1537"/>
      <c r="CC4" s="689">
        <v>0</v>
      </c>
      <c r="CD4" s="614" t="str">
        <f>數量計算!D223</f>
        <v>搶修案</v>
      </c>
      <c r="CE4" s="614" t="str">
        <f>數量計算!E223</f>
        <v>再生瀝青</v>
      </c>
      <c r="CF4" s="614" t="str">
        <f>數量計算!G223</f>
        <v>5cm</v>
      </c>
      <c r="CG4" s="1535" t="str">
        <f>數量計算!H223</f>
        <v>(7*5.3)</v>
      </c>
      <c r="CH4" s="1536"/>
      <c r="CI4" s="1537"/>
      <c r="CJ4" s="190"/>
      <c r="CK4" s="612"/>
      <c r="CL4" s="626"/>
      <c r="CM4" s="626"/>
      <c r="CN4" s="626"/>
      <c r="CO4" s="626"/>
      <c r="CP4" s="613"/>
      <c r="CQ4" s="612"/>
      <c r="CR4" s="626"/>
      <c r="CS4" s="626"/>
      <c r="CT4" s="626"/>
      <c r="CU4" s="626"/>
      <c r="CV4" s="627"/>
      <c r="CW4" s="647">
        <v>0</v>
      </c>
      <c r="CX4" s="612"/>
      <c r="CY4" s="626"/>
      <c r="CZ4" s="626"/>
      <c r="DA4" s="626"/>
      <c r="DB4" s="626"/>
      <c r="DC4" s="613"/>
      <c r="DD4" s="612"/>
      <c r="DE4" s="626"/>
      <c r="DF4" s="626"/>
      <c r="DG4" s="626"/>
      <c r="DH4" s="626"/>
      <c r="DI4" s="627"/>
      <c r="DJ4" s="645">
        <v>0</v>
      </c>
      <c r="DK4" s="520"/>
      <c r="DL4" s="520"/>
    </row>
    <row r="5" spans="7:116" ht="17.25" thickBot="1">
      <c r="G5" s="185"/>
      <c r="H5" s="186" t="str">
        <f>數量計算!E11</f>
        <v>搶修案</v>
      </c>
      <c r="I5" s="186" t="str">
        <f>數量計算!F11</f>
        <v>更新</v>
      </c>
      <c r="J5" s="186" t="str">
        <f>IF(I5="新設","無既有溝",數量計算!G11)</f>
        <v>U型溝</v>
      </c>
      <c r="K5" s="186" t="str">
        <f>數量計算!H11</f>
        <v>無</v>
      </c>
      <c r="L5" s="186"/>
      <c r="M5" s="186"/>
      <c r="N5" s="186"/>
      <c r="O5" s="186"/>
      <c r="P5" s="186"/>
      <c r="Q5" s="185"/>
      <c r="R5" s="185"/>
      <c r="S5" s="185"/>
      <c r="T5" s="185"/>
      <c r="U5" s="185"/>
      <c r="V5" s="185"/>
      <c r="W5" s="185"/>
      <c r="X5" s="185"/>
      <c r="Y5" s="185"/>
      <c r="Z5" s="185"/>
      <c r="AA5" s="185"/>
      <c r="AB5" s="185"/>
      <c r="AC5" s="185"/>
      <c r="AD5" s="185"/>
      <c r="AE5" s="185"/>
      <c r="AF5" s="185"/>
      <c r="AG5" s="185"/>
      <c r="BT5" s="340"/>
      <c r="BU5" s="340"/>
      <c r="BV5" s="340"/>
      <c r="BW5" s="615"/>
      <c r="BX5" s="616"/>
      <c r="BY5" s="617"/>
      <c r="BZ5" s="617" t="s">
        <v>3696</v>
      </c>
      <c r="CA5" s="617">
        <f>CH5</f>
        <v>37.1</v>
      </c>
      <c r="CB5" s="618" t="str">
        <f>CA5&amp;"m2"</f>
        <v>37.1m2</v>
      </c>
      <c r="CC5" s="689">
        <v>0</v>
      </c>
      <c r="CD5" s="615"/>
      <c r="CE5" s="616"/>
      <c r="CF5" s="617"/>
      <c r="CG5" s="617" t="s">
        <v>3696</v>
      </c>
      <c r="CH5" s="617">
        <f>數量計算!O222</f>
        <v>37.1</v>
      </c>
      <c r="CI5" s="618" t="str">
        <f>CH5&amp;"m2"</f>
        <v>37.1m2</v>
      </c>
      <c r="CJ5" s="190"/>
      <c r="CK5" s="628"/>
      <c r="CL5" s="629"/>
      <c r="CM5" s="629"/>
      <c r="CN5" s="629"/>
      <c r="CO5" s="629"/>
      <c r="CP5" s="630"/>
      <c r="CQ5" s="628"/>
      <c r="CR5" s="629"/>
      <c r="CS5" s="629"/>
      <c r="CT5" s="629"/>
      <c r="CU5" s="629"/>
      <c r="CV5" s="631"/>
      <c r="CW5" s="647">
        <v>0</v>
      </c>
      <c r="CX5" s="628"/>
      <c r="CY5" s="629"/>
      <c r="CZ5" s="629"/>
      <c r="DA5" s="629"/>
      <c r="DB5" s="629"/>
      <c r="DC5" s="630"/>
      <c r="DD5" s="628"/>
      <c r="DE5" s="629"/>
      <c r="DF5" s="629"/>
      <c r="DG5" s="629"/>
      <c r="DH5" s="629"/>
      <c r="DI5" s="631"/>
      <c r="DJ5" s="645">
        <v>0</v>
      </c>
      <c r="DK5" s="520"/>
      <c r="DL5" s="520"/>
    </row>
    <row r="6" spans="7:116">
      <c r="G6" s="185"/>
      <c r="H6" s="186" t="s">
        <v>3697</v>
      </c>
      <c r="I6" s="186" t="s">
        <v>3698</v>
      </c>
      <c r="J6" s="186" t="s">
        <v>3699</v>
      </c>
      <c r="K6" s="186" t="s">
        <v>3700</v>
      </c>
      <c r="L6" s="186" t="s">
        <v>3701</v>
      </c>
      <c r="M6" s="186" t="s">
        <v>3702</v>
      </c>
      <c r="N6" s="186"/>
      <c r="O6" s="186"/>
      <c r="P6" s="186"/>
      <c r="Q6" s="185"/>
      <c r="R6" s="186" t="s">
        <v>3703</v>
      </c>
      <c r="S6" s="186" t="s">
        <v>3704</v>
      </c>
      <c r="T6" s="186" t="s">
        <v>3705</v>
      </c>
      <c r="U6" s="185"/>
      <c r="V6" s="185"/>
      <c r="W6" s="185"/>
      <c r="X6" s="185"/>
      <c r="Y6" s="185"/>
      <c r="Z6" s="185"/>
      <c r="AA6" s="185"/>
      <c r="AB6" s="185"/>
      <c r="AC6" s="185"/>
      <c r="AD6" s="185"/>
      <c r="AE6" s="185"/>
      <c r="AF6" s="185"/>
      <c r="AG6" s="185"/>
      <c r="BT6" s="340"/>
      <c r="BU6" s="340"/>
      <c r="BV6" s="340"/>
      <c r="BW6" s="1538">
        <f>BW2</f>
        <v>0</v>
      </c>
      <c r="BX6" s="1539"/>
      <c r="BY6" s="1539"/>
      <c r="BZ6" s="1539"/>
      <c r="CA6" s="1539"/>
      <c r="CB6" s="1540"/>
      <c r="CC6" s="689">
        <v>0</v>
      </c>
      <c r="CD6" s="1538" t="e">
        <f>CD2</f>
        <v>#VALUE!</v>
      </c>
      <c r="CE6" s="1539"/>
      <c r="CF6" s="1539"/>
      <c r="CG6" s="1539"/>
      <c r="CH6" s="1539"/>
      <c r="CI6" s="1540"/>
      <c r="CJ6" s="649"/>
      <c r="CK6" s="632" t="s">
        <v>3706</v>
      </c>
      <c r="CL6" s="633"/>
      <c r="CM6" s="633"/>
      <c r="CN6" s="633"/>
      <c r="CO6" s="633"/>
      <c r="CP6" s="634"/>
      <c r="CQ6" s="633" t="s">
        <v>3707</v>
      </c>
      <c r="CR6" s="633"/>
      <c r="CS6" s="633"/>
      <c r="CT6" s="633"/>
      <c r="CU6" s="633"/>
      <c r="CV6" s="634"/>
      <c r="CW6" s="647">
        <v>0</v>
      </c>
      <c r="CX6" s="632" t="s">
        <v>3724</v>
      </c>
      <c r="CY6" s="633"/>
      <c r="CZ6" s="633"/>
      <c r="DA6" s="633"/>
      <c r="DB6" s="633"/>
      <c r="DC6" s="634"/>
      <c r="DD6" s="633" t="s">
        <v>3725</v>
      </c>
      <c r="DE6" s="633"/>
      <c r="DF6" s="633"/>
      <c r="DG6" s="633"/>
      <c r="DH6" s="633"/>
      <c r="DI6" s="634"/>
      <c r="DJ6" s="645">
        <v>0</v>
      </c>
      <c r="DK6" s="520"/>
      <c r="DL6" s="520"/>
    </row>
    <row r="7" spans="7:116">
      <c r="G7" s="185"/>
      <c r="H7" s="186">
        <f>數量計算!$C$13*0.01</f>
        <v>0.57999999999999996</v>
      </c>
      <c r="I7" s="186">
        <f>數量計算!$B$13*0.01</f>
        <v>0.4</v>
      </c>
      <c r="J7" s="186">
        <f>數量計算!$D$13*0.01</f>
        <v>0.2</v>
      </c>
      <c r="K7" s="186">
        <f>數量計算!F13*0.01</f>
        <v>0.57999999999999996</v>
      </c>
      <c r="L7" s="186">
        <f>數量計算!E13*0.01</f>
        <v>0.4</v>
      </c>
      <c r="M7" s="186">
        <f>數量計算!$G$13*0.01</f>
        <v>0.2</v>
      </c>
      <c r="N7" s="186"/>
      <c r="O7" s="186"/>
      <c r="P7" s="186"/>
      <c r="Q7" s="185"/>
      <c r="R7" s="186">
        <f>數量計算!T11</f>
        <v>0</v>
      </c>
      <c r="S7" s="186" t="e">
        <f>ROUND(SUM(Q17:Q33),2)</f>
        <v>#REF!</v>
      </c>
      <c r="T7" s="186" t="e">
        <f>ROUND((R7*S7),2)</f>
        <v>#REF!</v>
      </c>
      <c r="U7" s="185"/>
      <c r="V7" s="185"/>
      <c r="W7" s="185"/>
      <c r="X7" s="185"/>
      <c r="Y7" s="185"/>
      <c r="Z7" s="185"/>
      <c r="AA7" s="185"/>
      <c r="AB7" s="185"/>
      <c r="AC7" s="185"/>
      <c r="AD7" s="185"/>
      <c r="AE7" s="185"/>
      <c r="AF7" s="185"/>
      <c r="AG7" s="185"/>
      <c r="BT7" s="340"/>
      <c r="BU7" s="340"/>
      <c r="BV7" s="340"/>
      <c r="BW7" s="690" t="str">
        <f>IF(CD7&lt;&gt;0,CD7," ")</f>
        <v>瀝青混凝土面層刨除，刨除機1.2m寬，緊急搶修工程用，未含刨除料運費</v>
      </c>
      <c r="BX7" s="650"/>
      <c r="BY7" s="650"/>
      <c r="BZ7" s="650"/>
      <c r="CA7" s="650"/>
      <c r="CB7" s="619"/>
      <c r="CC7" s="689">
        <v>0</v>
      </c>
      <c r="CD7" s="652" t="str">
        <f t="shared" ref="CD7:CD26" si="0">IF(AND($CD$4="一般案",$CF$4="5cm"),CK7,
IF(AND($CD$4="一般案",$CF$4="10cm"),CX7,
IF(AND($CD$4="搶修案",$CF$4="5cm"),CQ7,
IF(AND($CD$4="搶修案",$CF$4="10cm"),DD7))))</f>
        <v>瀝青混凝土面層刨除，刨除機1.2m寬，緊急搶修工程用，未含刨除料運費</v>
      </c>
      <c r="CE7" s="650"/>
      <c r="CF7" s="650"/>
      <c r="CG7" s="650"/>
      <c r="CH7" s="650"/>
      <c r="CI7" s="619"/>
      <c r="CJ7" s="649" t="s">
        <v>3708</v>
      </c>
      <c r="CK7" s="189" t="str">
        <f>IF($CE$4="再生瀝青",CK35,
IF($CE$4="一般瀝青(111)",CK63,
IF($CE$4="一般瀝青(112)",CK121,
IF($CE$4="改質瀝青",CK91))))</f>
        <v>瀝青混凝土面層刨除，厚5cm，刨除機1.2m寬，未含運費</v>
      </c>
      <c r="CL7" s="190"/>
      <c r="CM7" s="190"/>
      <c r="CN7" s="190"/>
      <c r="CO7" s="190"/>
      <c r="CP7" s="619"/>
      <c r="CQ7" s="190" t="str">
        <f>IF($CE$4="再生瀝青",CQ35,
IF($CE$4="一般瀝青(111)",CQ63,
IF($CE$4="一般瀝青(112)",CQ121,
IF($CE$4="改質瀝青",CQ91))))</f>
        <v>瀝青混凝土面層刨除，刨除機1.2m寬，緊急搶修工程用，未含刨除料運費</v>
      </c>
      <c r="CR7" s="190"/>
      <c r="CS7" s="190"/>
      <c r="CT7" s="190"/>
      <c r="CU7" s="190"/>
      <c r="CV7" s="619"/>
      <c r="CW7" s="647">
        <v>0</v>
      </c>
      <c r="CX7" s="189" t="str">
        <f>IF($CE$4="再生瀝青",CX35,
IF($CE$4="一般瀝青(111)",CX63,
IF($CE$4="一般瀝青(112)",CX121,
IF($CE$4="改質瀝青",CX91))))</f>
        <v>瀝青混凝土面層刨除，厚10cm，刨除機1.2m寬，未含運費</v>
      </c>
      <c r="CY7" s="190"/>
      <c r="CZ7" s="190"/>
      <c r="DA7" s="190"/>
      <c r="DB7" s="190"/>
      <c r="DC7" s="619"/>
      <c r="DD7" s="190" t="str">
        <f>IF($CE$4="再生瀝青",DD35,
IF($CE$4="一般瀝青(111)",DD63,
IF($CE$4="一般瀝青(112)",DD121,
IF($CE$4="改質瀝青",DD91))))</f>
        <v>瀝青混凝土面層刨除，刨除機1.2m寬，緊急搶修工程用，未含刨除料運費</v>
      </c>
      <c r="DE7" s="190"/>
      <c r="DF7" s="190"/>
      <c r="DG7" s="190"/>
      <c r="DH7" s="190"/>
      <c r="DI7" s="619"/>
      <c r="DJ7" s="645">
        <v>0</v>
      </c>
      <c r="DK7" s="520"/>
      <c r="DL7" s="520"/>
    </row>
    <row r="8" spans="7:116">
      <c r="G8" s="185"/>
      <c r="H8" s="191" t="s">
        <v>3709</v>
      </c>
      <c r="I8" s="186" t="s">
        <v>3710</v>
      </c>
      <c r="J8" s="186" t="s">
        <v>3711</v>
      </c>
      <c r="K8" s="186" t="s">
        <v>3712</v>
      </c>
      <c r="L8" s="186" t="s">
        <v>3713</v>
      </c>
      <c r="M8" s="186" t="s">
        <v>3714</v>
      </c>
      <c r="N8" s="186" t="s">
        <v>3715</v>
      </c>
      <c r="O8" s="186" t="s">
        <v>3716</v>
      </c>
      <c r="P8" s="186"/>
      <c r="Q8" s="185"/>
      <c r="R8" s="185"/>
      <c r="S8" s="185"/>
      <c r="T8" s="185"/>
      <c r="U8" s="185"/>
      <c r="V8" s="185"/>
      <c r="W8" s="185"/>
      <c r="X8" s="185"/>
      <c r="Y8" s="185"/>
      <c r="Z8" s="185"/>
      <c r="AA8" s="185"/>
      <c r="AB8" s="185"/>
      <c r="AC8" s="185"/>
      <c r="AD8" s="185"/>
      <c r="AE8" s="185"/>
      <c r="AF8" s="185"/>
      <c r="AG8" s="185"/>
      <c r="BT8" s="340"/>
      <c r="BU8" s="340"/>
      <c r="BV8" s="340"/>
      <c r="BW8" s="690" t="str">
        <f t="shared" ref="BW8:BW26" si="1">IF(CD8&lt;&gt;0,CD8," ")</f>
        <v>1</v>
      </c>
      <c r="BX8" s="650"/>
      <c r="BY8" s="650"/>
      <c r="BZ8" s="650"/>
      <c r="CA8" s="650"/>
      <c r="CB8" s="619"/>
      <c r="CC8" s="689">
        <v>0</v>
      </c>
      <c r="CD8" s="652" t="str">
        <f t="shared" si="0"/>
        <v>1</v>
      </c>
      <c r="CE8" s="650"/>
      <c r="CF8" s="650"/>
      <c r="CG8" s="650"/>
      <c r="CH8" s="650"/>
      <c r="CI8" s="619"/>
      <c r="CJ8" s="649" t="s">
        <v>3708</v>
      </c>
      <c r="CK8" s="189" t="str">
        <f t="shared" ref="CK8:CK25" si="2">IF($CE$4="再生瀝青",CK36,
IF($CE$4="一般瀝青(111)",CK64,
IF($CE$4="一般瀝青(112)",CK122,
IF($CE$4="改質瀝青",CK92))))</f>
        <v>(7*5.3)</v>
      </c>
      <c r="CL8" s="190"/>
      <c r="CM8" s="190"/>
      <c r="CN8" s="190"/>
      <c r="CO8" s="190"/>
      <c r="CP8" s="619"/>
      <c r="CQ8" s="190" t="str">
        <f t="shared" ref="CQ8:CQ25" si="3">IF($CE$4="再生瀝青",CQ36,
IF($CE$4="一般瀝青(111)",CQ64,
IF($CE$4="一般瀝青(112)",CQ122,
IF($CE$4="改質瀝青",CQ92))))</f>
        <v>1</v>
      </c>
      <c r="CR8" s="190"/>
      <c r="CS8" s="190"/>
      <c r="CT8" s="190"/>
      <c r="CU8" s="190"/>
      <c r="CV8" s="619"/>
      <c r="CW8" s="647">
        <v>0</v>
      </c>
      <c r="CX8" s="189" t="str">
        <f t="shared" ref="CX8:CX25" si="4">IF($CE$4="再生瀝青",CX36,
IF($CE$4="一般瀝青(111)",CX64,
IF($CE$4="一般瀝青(112)",CX122,
IF($CE$4="改質瀝青",CX92))))</f>
        <v>(7*5.3)</v>
      </c>
      <c r="CY8" s="190"/>
      <c r="CZ8" s="190"/>
      <c r="DA8" s="190"/>
      <c r="DB8" s="190"/>
      <c r="DC8" s="619"/>
      <c r="DD8" s="190" t="str">
        <f t="shared" ref="DD8:DD25" si="5">IF($CE$4="再生瀝青",DD36,
IF($CE$4="一般瀝青(111)",DD64,
IF($CE$4="一般瀝青(112)",DD122,
IF($CE$4="改質瀝青",DD92))))</f>
        <v>1</v>
      </c>
      <c r="DE8" s="190"/>
      <c r="DF8" s="190"/>
      <c r="DG8" s="190"/>
      <c r="DH8" s="190"/>
      <c r="DI8" s="619"/>
      <c r="DJ8" s="645">
        <v>0</v>
      </c>
      <c r="DK8" s="520"/>
      <c r="DL8" s="520"/>
    </row>
    <row r="9" spans="7:116">
      <c r="G9" s="185"/>
      <c r="H9" s="186">
        <f>$I$7+$J$7+$J$7</f>
        <v>0.8</v>
      </c>
      <c r="I9" s="186">
        <f>0.25</f>
        <v>0.25</v>
      </c>
      <c r="J9" s="186">
        <v>0.2</v>
      </c>
      <c r="K9" s="186">
        <f>($H$7-($I$7*0.5))</f>
        <v>0.37999999999999995</v>
      </c>
      <c r="L9" s="186">
        <f>($I$7*0.5)</f>
        <v>0.2</v>
      </c>
      <c r="M9" s="186">
        <f>數量計算!$G$16</f>
        <v>5.6</v>
      </c>
      <c r="N9" s="186">
        <f>數量計算!$D$16</f>
        <v>14.33</v>
      </c>
      <c r="O9" s="186">
        <f>H7-K7</f>
        <v>0</v>
      </c>
      <c r="P9" s="186"/>
      <c r="Q9" s="185"/>
      <c r="R9" s="185"/>
      <c r="S9" s="185"/>
      <c r="T9" s="185"/>
      <c r="U9" s="185"/>
      <c r="V9" s="185"/>
      <c r="W9" s="185"/>
      <c r="X9" s="185"/>
      <c r="Y9" s="185"/>
      <c r="Z9" s="185"/>
      <c r="AA9" s="185"/>
      <c r="AB9" s="185"/>
      <c r="AC9" s="185"/>
      <c r="AD9" s="185"/>
      <c r="AE9" s="185"/>
      <c r="AF9" s="185"/>
      <c r="AG9" s="185"/>
      <c r="BT9" s="340"/>
      <c r="BU9" s="340"/>
      <c r="BV9" s="340"/>
      <c r="BW9" s="690" t="str">
        <f t="shared" si="1"/>
        <v>瀝青混凝土面層刨除，刨除料運費.</v>
      </c>
      <c r="BX9" s="650"/>
      <c r="BY9" s="650"/>
      <c r="BZ9" s="650"/>
      <c r="CA9" s="650"/>
      <c r="CB9" s="619"/>
      <c r="CC9" s="689">
        <v>0</v>
      </c>
      <c r="CD9" s="652" t="str">
        <f t="shared" si="0"/>
        <v>瀝青混凝土面層刨除，刨除料運費.</v>
      </c>
      <c r="CE9" s="650"/>
      <c r="CF9" s="650"/>
      <c r="CG9" s="650"/>
      <c r="CH9" s="650"/>
      <c r="CI9" s="619"/>
      <c r="CJ9" s="649" t="s">
        <v>3708</v>
      </c>
      <c r="CK9" s="189" t="str">
        <f t="shared" si="2"/>
        <v>瀝青混凝土面層刨除，刨除料運費.</v>
      </c>
      <c r="CL9" s="190"/>
      <c r="CM9" s="190"/>
      <c r="CN9" s="190"/>
      <c r="CO9" s="190"/>
      <c r="CP9" s="619"/>
      <c r="CQ9" s="190" t="str">
        <f t="shared" si="3"/>
        <v>瀝青混凝土面層刨除，刨除料運費.</v>
      </c>
      <c r="CR9" s="190"/>
      <c r="CS9" s="190"/>
      <c r="CT9" s="190"/>
      <c r="CU9" s="190"/>
      <c r="CV9" s="619"/>
      <c r="CW9" s="647">
        <v>0</v>
      </c>
      <c r="CX9" s="189" t="str">
        <f t="shared" si="4"/>
        <v>瀝青混凝土面層刨除，刨除料運費.</v>
      </c>
      <c r="CY9" s="190"/>
      <c r="CZ9" s="190"/>
      <c r="DA9" s="190"/>
      <c r="DB9" s="190"/>
      <c r="DC9" s="619"/>
      <c r="DD9" s="190" t="str">
        <f t="shared" si="5"/>
        <v>瀝青混凝土面層刨除，刨除料運費.</v>
      </c>
      <c r="DE9" s="190"/>
      <c r="DF9" s="190"/>
      <c r="DG9" s="190"/>
      <c r="DH9" s="190"/>
      <c r="DI9" s="619"/>
      <c r="DJ9" s="645">
        <v>0</v>
      </c>
      <c r="DK9" s="520"/>
      <c r="DL9" s="520"/>
    </row>
    <row r="10" spans="7:116">
      <c r="G10" s="185"/>
      <c r="H10" s="191" t="s">
        <v>3709</v>
      </c>
      <c r="I10" s="186" t="s">
        <v>3710</v>
      </c>
      <c r="J10" s="186" t="s">
        <v>3711</v>
      </c>
      <c r="K10" s="186" t="s">
        <v>3712</v>
      </c>
      <c r="L10" s="186" t="s">
        <v>3713</v>
      </c>
      <c r="M10" s="186"/>
      <c r="N10" s="186"/>
      <c r="O10" s="186"/>
      <c r="P10" s="186"/>
      <c r="Q10" s="185"/>
      <c r="R10" s="185"/>
      <c r="S10" s="185"/>
      <c r="T10" s="185"/>
      <c r="U10" s="185"/>
      <c r="V10" s="185"/>
      <c r="W10" s="185"/>
      <c r="X10" s="185"/>
      <c r="Y10" s="185"/>
      <c r="Z10" s="185"/>
      <c r="AA10" s="185"/>
      <c r="AB10" s="185"/>
      <c r="AC10" s="185"/>
      <c r="AD10" s="185"/>
      <c r="AE10" s="185"/>
      <c r="AF10" s="185"/>
      <c r="AG10" s="185"/>
      <c r="BT10" s="340"/>
      <c r="BU10" s="340"/>
      <c r="BV10" s="340"/>
      <c r="BW10" s="690" t="str">
        <f t="shared" si="1"/>
        <v>((7*5.3))*0.05</v>
      </c>
      <c r="BX10" s="650"/>
      <c r="BY10" s="650"/>
      <c r="BZ10" s="650"/>
      <c r="CA10" s="650"/>
      <c r="CB10" s="619"/>
      <c r="CC10" s="689">
        <v>0</v>
      </c>
      <c r="CD10" s="652" t="str">
        <f t="shared" si="0"/>
        <v>((7*5.3))*0.05</v>
      </c>
      <c r="CE10" s="650"/>
      <c r="CF10" s="650"/>
      <c r="CG10" s="650"/>
      <c r="CH10" s="650"/>
      <c r="CI10" s="619"/>
      <c r="CJ10" s="649" t="s">
        <v>3708</v>
      </c>
      <c r="CK10" s="189" t="str">
        <f t="shared" si="2"/>
        <v>((7*5.3))*0.05</v>
      </c>
      <c r="CL10" s="190"/>
      <c r="CM10" s="190"/>
      <c r="CN10" s="190"/>
      <c r="CO10" s="190"/>
      <c r="CP10" s="619"/>
      <c r="CQ10" s="190" t="str">
        <f t="shared" si="3"/>
        <v>((7*5.3))*0.05</v>
      </c>
      <c r="CR10" s="190"/>
      <c r="CS10" s="190"/>
      <c r="CT10" s="190"/>
      <c r="CU10" s="190"/>
      <c r="CV10" s="619"/>
      <c r="CW10" s="647">
        <v>0</v>
      </c>
      <c r="CX10" s="189" t="str">
        <f t="shared" si="4"/>
        <v>((7*5.3))*0.1</v>
      </c>
      <c r="CY10" s="190"/>
      <c r="CZ10" s="190"/>
      <c r="DA10" s="190"/>
      <c r="DB10" s="190"/>
      <c r="DC10" s="619"/>
      <c r="DD10" s="190" t="str">
        <f t="shared" si="5"/>
        <v>((7*5.3))*0.1</v>
      </c>
      <c r="DE10" s="190"/>
      <c r="DF10" s="190"/>
      <c r="DG10" s="190"/>
      <c r="DH10" s="190"/>
      <c r="DI10" s="619"/>
      <c r="DJ10" s="645">
        <v>0</v>
      </c>
      <c r="DK10" s="520"/>
      <c r="DL10" s="520"/>
    </row>
    <row r="11" spans="7:116">
      <c r="G11" s="185"/>
      <c r="H11" s="186">
        <f>$L$7+$M$7+$M$7</f>
        <v>0.8</v>
      </c>
      <c r="I11" s="186">
        <f>0.25</f>
        <v>0.25</v>
      </c>
      <c r="J11" s="186">
        <v>0.2</v>
      </c>
      <c r="K11" s="186">
        <f>($K$7-($L$7*0.5))</f>
        <v>0.37999999999999995</v>
      </c>
      <c r="L11" s="186">
        <f>($L$7*0.5)</f>
        <v>0.2</v>
      </c>
      <c r="M11" s="186"/>
      <c r="N11" s="186"/>
      <c r="O11" s="186"/>
      <c r="P11" s="186"/>
      <c r="Q11" s="185"/>
      <c r="R11" s="185"/>
      <c r="S11" s="185"/>
      <c r="T11" s="185"/>
      <c r="U11" s="185"/>
      <c r="V11" s="185"/>
      <c r="W11" s="185"/>
      <c r="X11" s="185"/>
      <c r="Y11" s="185"/>
      <c r="Z11" s="185"/>
      <c r="AA11" s="185"/>
      <c r="AB11" s="185"/>
      <c r="AC11" s="185"/>
      <c r="AD11" s="185"/>
      <c r="AE11" s="185"/>
      <c r="AF11" s="185"/>
      <c r="AG11" s="185"/>
      <c r="BT11" s="340"/>
      <c r="BU11" s="340"/>
      <c r="BV11" s="340"/>
      <c r="BW11" s="690" t="str">
        <f t="shared" si="1"/>
        <v>瀝青混凝土舖面，舖築及滾壓，緊急搶修工程用，鋪設面積≦50m2適用</v>
      </c>
      <c r="BX11" s="650"/>
      <c r="BY11" s="650"/>
      <c r="BZ11" s="650"/>
      <c r="CA11" s="650"/>
      <c r="CB11" s="619"/>
      <c r="CC11" s="689">
        <v>0</v>
      </c>
      <c r="CD11" s="652" t="str">
        <f t="shared" si="0"/>
        <v>瀝青混凝土舖面，舖築及滾壓，緊急搶修工程用，鋪設面積≦50m2適用</v>
      </c>
      <c r="CE11" s="650"/>
      <c r="CF11" s="650"/>
      <c r="CG11" s="650"/>
      <c r="CH11" s="650"/>
      <c r="CI11" s="619"/>
      <c r="CJ11" s="649" t="s">
        <v>3708</v>
      </c>
      <c r="CK11" s="189" t="str">
        <f t="shared" si="2"/>
        <v>瀝青黏層，快凝油溶瀝青，RC-70</v>
      </c>
      <c r="CL11" s="190"/>
      <c r="CM11" s="190"/>
      <c r="CN11" s="190"/>
      <c r="CO11" s="190"/>
      <c r="CP11" s="619"/>
      <c r="CQ11" s="190" t="str">
        <f t="shared" si="3"/>
        <v>瀝青混凝土舖面，舖築及滾壓，緊急搶修工程用，鋪設面積≦50m2適用</v>
      </c>
      <c r="CR11" s="190"/>
      <c r="CS11" s="190"/>
      <c r="CT11" s="190"/>
      <c r="CU11" s="190"/>
      <c r="CV11" s="619"/>
      <c r="CW11" s="647">
        <v>0</v>
      </c>
      <c r="CX11" s="189" t="str">
        <f t="shared" si="4"/>
        <v>瀝青黏層，快凝油溶瀝青，RC-70</v>
      </c>
      <c r="CY11" s="190"/>
      <c r="CZ11" s="190"/>
      <c r="DA11" s="190"/>
      <c r="DB11" s="190"/>
      <c r="DC11" s="619"/>
      <c r="DD11" s="190" t="str">
        <f t="shared" si="5"/>
        <v>瀝青混凝土舖面，舖築及滾壓，緊急搶修工程用，鋪設面積≦50m2適用</v>
      </c>
      <c r="DE11" s="190"/>
      <c r="DF11" s="190"/>
      <c r="DG11" s="190"/>
      <c r="DH11" s="190"/>
      <c r="DI11" s="619"/>
      <c r="DJ11" s="645">
        <v>0</v>
      </c>
      <c r="DK11" s="520"/>
      <c r="DL11" s="520"/>
    </row>
    <row r="12" spans="7:116">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7" t="s">
        <v>2</v>
      </c>
      <c r="AE12" s="185"/>
      <c r="AF12" s="185"/>
      <c r="AG12" s="185"/>
      <c r="BT12" s="340"/>
      <c r="BU12" s="340"/>
      <c r="BV12" s="340"/>
      <c r="BW12" s="690" t="str">
        <f t="shared" si="1"/>
        <v>1</v>
      </c>
      <c r="BX12" s="650"/>
      <c r="BY12" s="650"/>
      <c r="BZ12" s="650"/>
      <c r="CA12" s="650"/>
      <c r="CB12" s="619"/>
      <c r="CC12" s="689">
        <v>0</v>
      </c>
      <c r="CD12" s="652" t="str">
        <f t="shared" si="0"/>
        <v>1</v>
      </c>
      <c r="CE12" s="650"/>
      <c r="CF12" s="650"/>
      <c r="CG12" s="650"/>
      <c r="CH12" s="650"/>
      <c r="CI12" s="619"/>
      <c r="CJ12" s="649" t="s">
        <v>3708</v>
      </c>
      <c r="CK12" s="189" t="str">
        <f t="shared" si="2"/>
        <v>((7*5.3))</v>
      </c>
      <c r="CL12" s="190"/>
      <c r="CM12" s="190"/>
      <c r="CN12" s="190"/>
      <c r="CO12" s="190"/>
      <c r="CP12" s="619"/>
      <c r="CQ12" s="190" t="str">
        <f t="shared" si="3"/>
        <v>1</v>
      </c>
      <c r="CR12" s="190"/>
      <c r="CS12" s="190"/>
      <c r="CT12" s="190"/>
      <c r="CU12" s="190"/>
      <c r="CV12" s="619"/>
      <c r="CW12" s="647">
        <v>0</v>
      </c>
      <c r="CX12" s="189" t="str">
        <f t="shared" si="4"/>
        <v>((7*5.3))*2</v>
      </c>
      <c r="CY12" s="190"/>
      <c r="CZ12" s="190"/>
      <c r="DA12" s="190"/>
      <c r="DB12" s="190"/>
      <c r="DC12" s="619"/>
      <c r="DD12" s="190" t="str">
        <f t="shared" si="5"/>
        <v>1</v>
      </c>
      <c r="DE12" s="190"/>
      <c r="DF12" s="190"/>
      <c r="DG12" s="190"/>
      <c r="DH12" s="190"/>
      <c r="DI12" s="619"/>
      <c r="DJ12" s="645">
        <v>0</v>
      </c>
      <c r="DK12" s="520"/>
      <c r="DL12" s="520"/>
    </row>
    <row r="13" spans="7:116">
      <c r="G13" s="185"/>
      <c r="H13" s="185"/>
      <c r="I13" s="185"/>
      <c r="J13" s="185"/>
      <c r="K13" s="185"/>
      <c r="L13" s="185"/>
      <c r="M13" s="185"/>
      <c r="N13" s="185"/>
      <c r="O13" s="185"/>
      <c r="P13" s="185"/>
      <c r="Q13" s="185"/>
      <c r="R13" s="185"/>
      <c r="S13" s="185"/>
      <c r="T13" s="185"/>
      <c r="U13" s="185"/>
      <c r="V13" s="185"/>
      <c r="W13" s="185"/>
      <c r="X13" s="185"/>
      <c r="Y13" s="185"/>
      <c r="Z13" s="185"/>
      <c r="AA13" s="185"/>
      <c r="AB13" s="185"/>
      <c r="AC13" s="185"/>
      <c r="AD13" s="187" t="s">
        <v>2</v>
      </c>
      <c r="AE13" s="185"/>
      <c r="AF13" s="185"/>
      <c r="AG13" s="185"/>
      <c r="BT13" s="340"/>
      <c r="BU13" s="340"/>
      <c r="BV13" s="340"/>
      <c r="BW13" s="690" t="str">
        <f t="shared" si="1"/>
        <v>瀝青混凝土面，再生粒料，粗粒料9.5mm，緊急搶修工程用，舖築及滾壓另計</v>
      </c>
      <c r="BX13" s="650"/>
      <c r="BY13" s="650"/>
      <c r="BZ13" s="650"/>
      <c r="CA13" s="650"/>
      <c r="CB13" s="619"/>
      <c r="CC13" s="689">
        <v>0</v>
      </c>
      <c r="CD13" s="652" t="str">
        <f t="shared" si="0"/>
        <v>瀝青混凝土面，再生粒料，粗粒料9.5mm，緊急搶修工程用，舖築及滾壓另計</v>
      </c>
      <c r="CE13" s="650"/>
      <c r="CF13" s="650"/>
      <c r="CG13" s="650"/>
      <c r="CH13" s="650"/>
      <c r="CI13" s="619"/>
      <c r="CJ13" s="649" t="s">
        <v>3708</v>
      </c>
      <c r="CK13" s="189" t="str">
        <f t="shared" si="2"/>
        <v>再生瀝青混凝土鋪面，(密級配，30%回收料)，粗粒料9.5mm，零星工程用</v>
      </c>
      <c r="CL13" s="190"/>
      <c r="CM13" s="190"/>
      <c r="CN13" s="190"/>
      <c r="CO13" s="190"/>
      <c r="CP13" s="619"/>
      <c r="CQ13" s="190" t="str">
        <f t="shared" si="3"/>
        <v>瀝青混凝土面，再生粒料，粗粒料9.5mm，緊急搶修工程用，舖築及滾壓另計</v>
      </c>
      <c r="CR13" s="190"/>
      <c r="CS13" s="190"/>
      <c r="CT13" s="190"/>
      <c r="CU13" s="190"/>
      <c r="CV13" s="619"/>
      <c r="CW13" s="647">
        <v>0</v>
      </c>
      <c r="CX13" s="189" t="str">
        <f t="shared" si="4"/>
        <v>再生瀝青混凝土鋪面，(密級配，30%回收料)，粗粒料9.5mm，零星工程用</v>
      </c>
      <c r="CY13" s="190"/>
      <c r="CZ13" s="190"/>
      <c r="DA13" s="190"/>
      <c r="DB13" s="190"/>
      <c r="DC13" s="619"/>
      <c r="DD13" s="190" t="str">
        <f t="shared" si="5"/>
        <v>瀝青混凝土面，再生粒料，粗粒料9.5mm，緊急搶修工程用，舖築及滾壓另計</v>
      </c>
      <c r="DE13" s="190"/>
      <c r="DF13" s="190"/>
      <c r="DG13" s="190"/>
      <c r="DH13" s="190"/>
      <c r="DI13" s="619"/>
      <c r="DJ13" s="645">
        <v>0</v>
      </c>
      <c r="DK13" s="520"/>
      <c r="DL13" s="520"/>
    </row>
    <row r="14" spans="7:116" ht="17.25" thickBot="1">
      <c r="G14" s="185"/>
      <c r="H14" s="185"/>
      <c r="I14" s="185"/>
      <c r="J14" s="185"/>
      <c r="K14" s="185"/>
      <c r="L14" s="185"/>
      <c r="M14" s="185"/>
      <c r="N14" s="185"/>
      <c r="O14" s="185"/>
      <c r="P14" s="185"/>
      <c r="Q14" s="185"/>
      <c r="R14" s="185"/>
      <c r="S14" s="185"/>
      <c r="T14" s="185"/>
      <c r="U14" s="185"/>
      <c r="V14" s="185"/>
      <c r="W14" s="185"/>
      <c r="X14" s="185"/>
      <c r="Y14" s="185"/>
      <c r="Z14" s="185"/>
      <c r="AA14" s="185"/>
      <c r="AB14" s="185"/>
      <c r="AC14" s="185"/>
      <c r="AD14" s="187" t="s">
        <v>2</v>
      </c>
      <c r="AE14" s="185"/>
      <c r="AF14" s="185"/>
      <c r="AG14" s="185"/>
      <c r="BT14" s="340"/>
      <c r="BU14" s="340"/>
      <c r="BV14" s="340"/>
      <c r="BW14" s="690" t="str">
        <f t="shared" si="1"/>
        <v>((7*5.3))*0.05</v>
      </c>
      <c r="BX14" s="650"/>
      <c r="BY14" s="650"/>
      <c r="BZ14" s="650"/>
      <c r="CA14" s="650"/>
      <c r="CB14" s="619"/>
      <c r="CC14" s="689">
        <v>0</v>
      </c>
      <c r="CD14" s="652" t="str">
        <f t="shared" si="0"/>
        <v>((7*5.3))*0.05</v>
      </c>
      <c r="CE14" s="650"/>
      <c r="CF14" s="650"/>
      <c r="CG14" s="650"/>
      <c r="CH14" s="650"/>
      <c r="CI14" s="619"/>
      <c r="CJ14" s="649" t="s">
        <v>3708</v>
      </c>
      <c r="CK14" s="189" t="str">
        <f t="shared" si="2"/>
        <v>((7*5.3))*0.05</v>
      </c>
      <c r="CL14" s="190"/>
      <c r="CM14" s="190"/>
      <c r="CN14" s="190"/>
      <c r="CO14" s="190"/>
      <c r="CP14" s="619"/>
      <c r="CQ14" s="190" t="str">
        <f t="shared" si="3"/>
        <v>((7*5.3))*0.05</v>
      </c>
      <c r="CR14" s="190"/>
      <c r="CS14" s="190"/>
      <c r="CT14" s="190"/>
      <c r="CU14" s="190"/>
      <c r="CV14" s="619"/>
      <c r="CW14" s="647">
        <v>0</v>
      </c>
      <c r="CX14" s="189" t="str">
        <f t="shared" si="4"/>
        <v>((7*5.3))*0.05</v>
      </c>
      <c r="CY14" s="190"/>
      <c r="CZ14" s="190"/>
      <c r="DA14" s="190"/>
      <c r="DB14" s="190"/>
      <c r="DC14" s="619"/>
      <c r="DD14" s="190" t="str">
        <f t="shared" si="5"/>
        <v>((7*5.3))*0.05</v>
      </c>
      <c r="DE14" s="190"/>
      <c r="DF14" s="190"/>
      <c r="DG14" s="190"/>
      <c r="DH14" s="190"/>
      <c r="DI14" s="619"/>
      <c r="DJ14" s="645">
        <v>0</v>
      </c>
      <c r="DK14" s="520"/>
      <c r="DL14" s="520"/>
    </row>
    <row r="15" spans="7:116" ht="17.25" thickBot="1">
      <c r="G15" s="185"/>
      <c r="H15" s="1517" t="str">
        <f>IF($I$5="更新","側溝更新 寬"&amp;$I$7*100&amp;"cm*平均深"&amp;$H$7*100&amp;"cm",
IF($I$5="新設","新設側溝 寬"&amp;$I$7*100&amp;"cm*平均深"&amp;$H$7*100&amp;"cm"))</f>
        <v>側溝更新 寬40cm*平均深58cm</v>
      </c>
      <c r="I15" s="1518"/>
      <c r="J15" s="1518"/>
      <c r="K15" s="1518"/>
      <c r="L15" s="1518"/>
      <c r="M15" s="1519"/>
      <c r="N15" s="193" t="s">
        <v>3718</v>
      </c>
      <c r="O15" s="194" t="s">
        <v>3719</v>
      </c>
      <c r="P15" s="195" t="s">
        <v>3720</v>
      </c>
      <c r="Q15" s="196" t="s">
        <v>3721</v>
      </c>
      <c r="R15" s="185"/>
      <c r="S15" s="185"/>
      <c r="T15" s="1520" t="str">
        <f>IF($I$5="更新","側溝更新 寬"&amp;$I$7*100&amp;"cm*平均深"&amp;$H$7*100&amp;"cm",
IF($I$5="新設","新設側溝 寬"&amp;$I$7*100&amp;"cm*平均深"&amp;$H$7*100&amp;"cm"))</f>
        <v>側溝更新 寬40cm*平均深58cm</v>
      </c>
      <c r="U15" s="1521"/>
      <c r="V15" s="1521"/>
      <c r="W15" s="1521"/>
      <c r="X15" s="1521"/>
      <c r="Y15" s="1521"/>
      <c r="Z15" s="1522"/>
      <c r="AA15" s="1520" t="str">
        <f>IF($I$5="更新","側溝更新 寬"&amp;$I$7*100&amp;"cm*平均深"&amp;$H$7*100&amp;"cm",
IF($I$5="新設","新設側溝 寬"&amp;$I$7*100&amp;"cm*平均深"&amp;$H$7*100&amp;"cm"))</f>
        <v>側溝更新 寬40cm*平均深58cm</v>
      </c>
      <c r="AB15" s="1521"/>
      <c r="AC15" s="1521"/>
      <c r="AD15" s="1521"/>
      <c r="AE15" s="1521"/>
      <c r="AF15" s="1521"/>
      <c r="AG15" s="1522"/>
      <c r="BT15" s="340"/>
      <c r="BU15" s="340"/>
      <c r="BV15" s="340"/>
      <c r="BW15" s="690" t="str">
        <f t="shared" si="1"/>
        <v>瀝青黏層，快凝油溶瀝青，RC-70</v>
      </c>
      <c r="BX15" s="650"/>
      <c r="BY15" s="650"/>
      <c r="BZ15" s="650"/>
      <c r="CA15" s="650"/>
      <c r="CB15" s="619"/>
      <c r="CC15" s="689">
        <v>0</v>
      </c>
      <c r="CD15" s="652" t="str">
        <f t="shared" si="0"/>
        <v>瀝青黏層，快凝油溶瀝青，RC-70</v>
      </c>
      <c r="CE15" s="650"/>
      <c r="CF15" s="650"/>
      <c r="CG15" s="650"/>
      <c r="CH15" s="650"/>
      <c r="CI15" s="619"/>
      <c r="CJ15" s="649" t="s">
        <v>3708</v>
      </c>
      <c r="CK15" s="189" t="str">
        <f t="shared" si="2"/>
        <v>搬運費，AC施工機械(面積2000m2以下適用)</v>
      </c>
      <c r="CL15" s="190"/>
      <c r="CM15" s="190"/>
      <c r="CN15" s="190"/>
      <c r="CO15" s="190"/>
      <c r="CP15" s="619"/>
      <c r="CQ15" s="190" t="str">
        <f t="shared" si="3"/>
        <v>瀝青黏層，快凝油溶瀝青，RC-70</v>
      </c>
      <c r="CR15" s="190"/>
      <c r="CS15" s="190"/>
      <c r="CT15" s="190"/>
      <c r="CU15" s="190"/>
      <c r="CV15" s="619"/>
      <c r="CW15" s="647">
        <v>0</v>
      </c>
      <c r="CX15" s="189" t="str">
        <f t="shared" si="4"/>
        <v>再生瀝青混凝土鋪面，(密級配，30%回收料)，粗粒料19.0mm，零星工程用</v>
      </c>
      <c r="CY15" s="190"/>
      <c r="CZ15" s="190"/>
      <c r="DA15" s="190"/>
      <c r="DB15" s="190"/>
      <c r="DC15" s="619"/>
      <c r="DD15" s="190" t="str">
        <f t="shared" si="5"/>
        <v>瀝青混凝土面，再生粒料，粗粒料19.0mm，緊急搶修工程用，舖築及滾壓另計</v>
      </c>
      <c r="DE15" s="190"/>
      <c r="DF15" s="190"/>
      <c r="DG15" s="190"/>
      <c r="DH15" s="190"/>
      <c r="DI15" s="619"/>
      <c r="DJ15" s="645">
        <v>0</v>
      </c>
      <c r="DK15" s="520"/>
      <c r="DL15" s="520"/>
    </row>
    <row r="16" spans="7:116">
      <c r="G16" s="185"/>
      <c r="H16" s="197" t="str">
        <f t="shared" ref="H16:H31" si="6">IF($H$5="搶修案",T20,
IF(AND($H$5="一般案",$J$5="無既有溝",OR($I$5="新設",$I$5="更新")),T16,
IF(AND($H$5="一般案",$J$5="U型溝",$H$7=$K$7,$I$7=$L$7,$J$7=$M$7),T16,
IF(AND($H$5="一般案",$I$5="更新",OR($J$5="矩形溝",$J$5="U型溝")),AA16
))))</f>
        <v>餘方自行處理(含水土保持)，總重15t以下傾卸貨車</v>
      </c>
      <c r="I16" s="198"/>
      <c r="J16" s="198"/>
      <c r="K16" s="198"/>
      <c r="L16" s="198"/>
      <c r="M16" s="198"/>
      <c r="N16" s="199"/>
      <c r="O16" s="200"/>
      <c r="P16" s="201"/>
      <c r="Q16" s="202"/>
      <c r="R16" s="185"/>
      <c r="S16" s="185"/>
      <c r="T16" s="203" t="str">
        <f>IF(數量計算!$F$11="更新","機械拆除，鋼筋混凝土，未含運費.","基地及路幅開挖，未含運費，(機械挖，0.7-0.79m3開挖機).")</f>
        <v>機械拆除，鋼筋混凝土，未含運費.</v>
      </c>
      <c r="U16" s="185"/>
      <c r="V16" s="185"/>
      <c r="W16" s="185"/>
      <c r="X16" s="185"/>
      <c r="Y16" s="185"/>
      <c r="Z16" s="185"/>
      <c r="AA16" s="204" t="s">
        <v>3637</v>
      </c>
      <c r="AB16" s="205"/>
      <c r="AC16" s="205"/>
      <c r="AD16" s="205"/>
      <c r="AE16" s="205"/>
      <c r="AF16" s="205"/>
      <c r="AG16" s="206"/>
      <c r="BT16" s="340"/>
      <c r="BU16" s="340"/>
      <c r="BV16" s="340"/>
      <c r="BW16" s="690" t="str">
        <f t="shared" si="1"/>
        <v>((7*5.3))</v>
      </c>
      <c r="BX16" s="650"/>
      <c r="BY16" s="650"/>
      <c r="BZ16" s="650"/>
      <c r="CA16" s="650"/>
      <c r="CB16" s="619"/>
      <c r="CC16" s="689">
        <v>0</v>
      </c>
      <c r="CD16" s="652" t="str">
        <f t="shared" si="0"/>
        <v>((7*5.3))</v>
      </c>
      <c r="CE16" s="650"/>
      <c r="CF16" s="650"/>
      <c r="CG16" s="650"/>
      <c r="CH16" s="650"/>
      <c r="CI16" s="619"/>
      <c r="CJ16" s="649"/>
      <c r="CK16" s="189">
        <f t="shared" si="2"/>
        <v>1</v>
      </c>
      <c r="CL16" s="190"/>
      <c r="CM16" s="190"/>
      <c r="CN16" s="190"/>
      <c r="CO16" s="190"/>
      <c r="CP16" s="619"/>
      <c r="CQ16" s="190" t="str">
        <f t="shared" si="3"/>
        <v>((7*5.3))</v>
      </c>
      <c r="CR16" s="190"/>
      <c r="CS16" s="190"/>
      <c r="CT16" s="190"/>
      <c r="CU16" s="190"/>
      <c r="CV16" s="619"/>
      <c r="CW16" s="647">
        <v>0</v>
      </c>
      <c r="CX16" s="189" t="str">
        <f t="shared" si="4"/>
        <v>((7*5.3))*0.05</v>
      </c>
      <c r="CY16" s="190"/>
      <c r="CZ16" s="190"/>
      <c r="DA16" s="190"/>
      <c r="DB16" s="190"/>
      <c r="DC16" s="619"/>
      <c r="DD16" s="190" t="str">
        <f t="shared" si="5"/>
        <v>((7*5.3))*0.05</v>
      </c>
      <c r="DE16" s="190"/>
      <c r="DF16" s="190"/>
      <c r="DG16" s="190"/>
      <c r="DH16" s="190"/>
      <c r="DI16" s="619"/>
      <c r="DJ16" s="645">
        <v>0</v>
      </c>
      <c r="DK16" s="520"/>
      <c r="DL16" s="520"/>
    </row>
    <row r="17" spans="7:124">
      <c r="G17" s="185"/>
      <c r="H17" s="207" t="str">
        <f t="shared" si="6"/>
        <v>(0.8*(0.58+0.25)-(0.38*0.4)-((0.2^2)*3.14*0.5))</v>
      </c>
      <c r="I17" s="185"/>
      <c r="J17" s="185"/>
      <c r="K17" s="185"/>
      <c r="L17" s="185"/>
      <c r="M17" s="185"/>
      <c r="N17" s="199" t="e">
        <f t="array" ref="N17">cal</f>
        <v>#REF!</v>
      </c>
      <c r="O17" s="199" t="e">
        <v>#REF!</v>
      </c>
      <c r="P17" s="208" t="e">
        <v>#REF!</v>
      </c>
      <c r="Q17" s="202" t="e">
        <f>ROUND(IF(N17=0,"",N17*P17),2)</f>
        <v>#REF!</v>
      </c>
      <c r="R17" s="185"/>
      <c r="S17" s="185"/>
      <c r="T17" s="207" t="str">
        <f>IF(數量計算!$F$11="更新","("&amp;""&amp;$H$9&amp;"*("&amp;$H$7&amp;"+"&amp;$I$9&amp;")-("&amp;$K$9&amp;"*"&amp;$I$7&amp;")-(("&amp;$L$9&amp;"^2)*3.14*0.5))*0.8","("&amp;""&amp;$H$9&amp;"*("&amp;$H$7&amp;"+"&amp;$I$9&amp;"))*0.8")</f>
        <v>(0.8*(0.58+0.25)-(0.38*0.4)-((0.2^2)*3.14*0.5))*0.8</v>
      </c>
      <c r="U17" s="185"/>
      <c r="V17" s="185"/>
      <c r="W17" s="185"/>
      <c r="X17" s="185"/>
      <c r="Y17" s="185"/>
      <c r="Z17" s="185"/>
      <c r="AA17" s="207" t="str">
        <f>IF(AND($I$5="更新",J5="U型溝"),"("&amp;$H$11&amp;"*("&amp;$K$7&amp;"+"&amp;$I$11&amp;")-("&amp;$K$11&amp;"*"&amp;$L$7&amp;")-(("&amp;$L$11&amp;"^2)*3.14*0.5))*0.8",
IF(AND($I$5="更新",J5="矩形溝"),"("&amp;$H$11&amp;"*("&amp;$K$7&amp;"+"&amp;$I$11&amp;")-("&amp;$K$7&amp;"*"&amp;$L$7&amp;"))*0.8"))</f>
        <v>(0.8*(0.58+0.25)-(0.38*0.4)-((0.2^2)*3.14*0.5))*0.8</v>
      </c>
      <c r="AB17" s="209"/>
      <c r="AC17" s="209"/>
      <c r="AD17" s="209"/>
      <c r="AE17" s="209"/>
      <c r="AF17" s="209"/>
      <c r="AG17" s="210"/>
      <c r="BT17" s="340"/>
      <c r="BU17" s="340"/>
      <c r="BV17" s="340"/>
      <c r="BW17" s="690" t="str">
        <f t="shared" si="1"/>
        <v>搬運費，AC施工機械(面積2000m2以下適用)</v>
      </c>
      <c r="BX17" s="650"/>
      <c r="BY17" s="650"/>
      <c r="BZ17" s="650"/>
      <c r="CA17" s="650"/>
      <c r="CB17" s="619"/>
      <c r="CC17" s="689">
        <v>0</v>
      </c>
      <c r="CD17" s="652" t="str">
        <f t="shared" si="0"/>
        <v>搬運費，AC施工機械(面積2000m2以下適用)</v>
      </c>
      <c r="CE17" s="650"/>
      <c r="CF17" s="650"/>
      <c r="CG17" s="650"/>
      <c r="CH17" s="650"/>
      <c r="CI17" s="619"/>
      <c r="CJ17" s="649"/>
      <c r="CK17" s="189" t="str">
        <f t="shared" si="2"/>
        <v>開挖機，0.70-0.79m3</v>
      </c>
      <c r="CL17" s="190"/>
      <c r="CM17" s="190"/>
      <c r="CN17" s="190"/>
      <c r="CO17" s="190"/>
      <c r="CP17" s="619"/>
      <c r="CQ17" s="190" t="str">
        <f t="shared" si="3"/>
        <v>搬運費，AC施工機械(面積2000m2以下適用)</v>
      </c>
      <c r="CR17" s="190"/>
      <c r="CS17" s="190"/>
      <c r="CT17" s="190"/>
      <c r="CU17" s="190"/>
      <c r="CV17" s="619"/>
      <c r="CW17" s="647">
        <v>0</v>
      </c>
      <c r="CX17" s="189" t="str">
        <f t="shared" si="4"/>
        <v>搬運費，AC施工機械(面積2000m2以下適用)</v>
      </c>
      <c r="CY17" s="190"/>
      <c r="CZ17" s="190"/>
      <c r="DA17" s="190"/>
      <c r="DB17" s="190"/>
      <c r="DC17" s="619"/>
      <c r="DD17" s="190" t="str">
        <f t="shared" si="5"/>
        <v>瀝青黏層，快凝油溶瀝青，RC-70</v>
      </c>
      <c r="DE17" s="190"/>
      <c r="DF17" s="190"/>
      <c r="DG17" s="190"/>
      <c r="DH17" s="190"/>
      <c r="DI17" s="619"/>
      <c r="DJ17" s="645">
        <v>0</v>
      </c>
      <c r="DK17" s="520"/>
      <c r="DL17" s="520"/>
    </row>
    <row r="18" spans="7:124">
      <c r="G18" s="185"/>
      <c r="H18" s="207" t="str">
        <f t="shared" si="6"/>
        <v>結構用混凝土，預拌，140kgf/cm2</v>
      </c>
      <c r="I18" s="185"/>
      <c r="J18" s="185"/>
      <c r="K18" s="185"/>
      <c r="L18" s="185"/>
      <c r="M18" s="185"/>
      <c r="N18" s="199"/>
      <c r="O18" s="199"/>
      <c r="P18" s="208"/>
      <c r="Q18" s="202"/>
      <c r="R18" s="185"/>
      <c r="S18" s="185"/>
      <c r="T18" s="203" t="str">
        <f>IF(數量計算!$F$11="更新","人工拆除，鋼筋混凝土，含裝車未含運費.","構造物開挖，(人工挖，未含抽水)，未含運費(含裝車).")</f>
        <v>人工拆除，鋼筋混凝土，含裝車未含運費.</v>
      </c>
      <c r="U18" s="185"/>
      <c r="V18" s="185"/>
      <c r="W18" s="185"/>
      <c r="X18" s="185"/>
      <c r="Y18" s="185"/>
      <c r="Z18" s="185"/>
      <c r="AA18" s="203" t="s">
        <v>3636</v>
      </c>
      <c r="AB18" s="209"/>
      <c r="AC18" s="209"/>
      <c r="AD18" s="209"/>
      <c r="AE18" s="209"/>
      <c r="AF18" s="209"/>
      <c r="AG18" s="210"/>
      <c r="BT18" s="340"/>
      <c r="BU18" s="340"/>
      <c r="BV18" s="340"/>
      <c r="BW18" s="690" t="str">
        <f t="shared" si="1"/>
        <v>1</v>
      </c>
      <c r="BX18" s="650"/>
      <c r="BY18" s="650"/>
      <c r="BZ18" s="650"/>
      <c r="CA18" s="650"/>
      <c r="CB18" s="619"/>
      <c r="CC18" s="689">
        <v>0</v>
      </c>
      <c r="CD18" s="652" t="str">
        <f t="shared" si="0"/>
        <v>1</v>
      </c>
      <c r="CE18" s="650"/>
      <c r="CF18" s="650"/>
      <c r="CG18" s="650"/>
      <c r="CH18" s="650"/>
      <c r="CI18" s="619"/>
      <c r="CJ18" s="649"/>
      <c r="CK18" s="189">
        <f t="shared" si="2"/>
        <v>1</v>
      </c>
      <c r="CL18" s="190"/>
      <c r="CM18" s="190"/>
      <c r="CN18" s="190"/>
      <c r="CO18" s="190"/>
      <c r="CP18" s="619"/>
      <c r="CQ18" s="190" t="str">
        <f t="shared" si="3"/>
        <v>1</v>
      </c>
      <c r="CR18" s="190"/>
      <c r="CS18" s="190"/>
      <c r="CT18" s="190"/>
      <c r="CU18" s="190"/>
      <c r="CV18" s="619"/>
      <c r="CW18" s="647">
        <v>0</v>
      </c>
      <c r="CX18" s="189">
        <f t="shared" si="4"/>
        <v>1</v>
      </c>
      <c r="CY18" s="190"/>
      <c r="CZ18" s="190"/>
      <c r="DA18" s="190"/>
      <c r="DB18" s="190"/>
      <c r="DC18" s="619"/>
      <c r="DD18" s="190" t="str">
        <f t="shared" si="5"/>
        <v>((7*5.3))*2</v>
      </c>
      <c r="DE18" s="190"/>
      <c r="DF18" s="190"/>
      <c r="DG18" s="190"/>
      <c r="DH18" s="190"/>
      <c r="DI18" s="619"/>
      <c r="DJ18" s="645">
        <v>0</v>
      </c>
      <c r="DK18" s="520"/>
      <c r="DL18" s="520"/>
    </row>
    <row r="19" spans="7:124">
      <c r="G19" s="185"/>
      <c r="H19" s="207" t="str">
        <f t="shared" si="6"/>
        <v>(0.4+0.2+0.2)*0.05</v>
      </c>
      <c r="I19" s="185"/>
      <c r="J19" s="185"/>
      <c r="K19" s="211"/>
      <c r="L19" s="185"/>
      <c r="M19" s="185"/>
      <c r="N19" s="199" t="e">
        <f t="array" ref="N19">cal</f>
        <v>#REF!</v>
      </c>
      <c r="O19" s="199" t="e">
        <v>#REF!</v>
      </c>
      <c r="P19" s="208" t="e">
        <v>#REF!</v>
      </c>
      <c r="Q19" s="202" t="e">
        <f>ROUND(IF(N19=0,"",N19*P19),2)</f>
        <v>#REF!</v>
      </c>
      <c r="R19" s="185"/>
      <c r="S19" s="185"/>
      <c r="T19" s="207" t="str">
        <f>IF(數量計算!$F$11="更新","("&amp;""&amp;$H$9&amp;"*("&amp;$H$7&amp;"+"&amp;$I$9&amp;")-("&amp;$K$9&amp;"*"&amp;$I$7&amp;")-(("&amp;$L$9&amp;"^2)*3.14*0.5))*0.2","("&amp;""&amp;$H$9&amp;"*("&amp;$H$7&amp;"+"&amp;$I$9&amp;"))*0.2")</f>
        <v>(0.8*(0.58+0.25)-(0.38*0.4)-((0.2^2)*3.14*0.5))*0.2</v>
      </c>
      <c r="U19" s="185"/>
      <c r="V19" s="185"/>
      <c r="W19" s="185"/>
      <c r="X19" s="185"/>
      <c r="Y19" s="185"/>
      <c r="Z19" s="185"/>
      <c r="AA19" s="207" t="str">
        <f>IF(AND($I$5="更新",J5="U型溝"),"("&amp;$H$11&amp;"*("&amp;$K$7&amp;"+"&amp;$I$11&amp;")-("&amp;$K$11&amp;"*"&amp;$L$7&amp;")-(("&amp;$L$11&amp;"^2)*3.14*0.5))*0.2",
IF(AND($I$5="更新",J5="矩形溝"),"("&amp;$H$11&amp;"*("&amp;$K$7&amp;"+"&amp;$I$11&amp;")-("&amp;$K$7&amp;"*"&amp;$L$7&amp;"))*0.2"))</f>
        <v>(0.8*(0.58+0.25)-(0.38*0.4)-((0.2^2)*3.14*0.5))*0.2</v>
      </c>
      <c r="AB19" s="209"/>
      <c r="AC19" s="209"/>
      <c r="AD19" s="209"/>
      <c r="AE19" s="209"/>
      <c r="AF19" s="209"/>
      <c r="AG19" s="210"/>
      <c r="BT19" s="340"/>
      <c r="BU19" s="340"/>
      <c r="BV19" s="340"/>
      <c r="BW19" s="690" t="str">
        <f t="shared" si="1"/>
        <v>開挖機，0.70-0.79m3</v>
      </c>
      <c r="BX19" s="650"/>
      <c r="BY19" s="650"/>
      <c r="BZ19" s="650"/>
      <c r="CA19" s="650"/>
      <c r="CB19" s="619"/>
      <c r="CC19" s="689">
        <v>0</v>
      </c>
      <c r="CD19" s="652" t="str">
        <f t="shared" si="0"/>
        <v>開挖機，0.70-0.79m3</v>
      </c>
      <c r="CE19" s="650"/>
      <c r="CF19" s="650"/>
      <c r="CG19" s="650"/>
      <c r="CH19" s="650"/>
      <c r="CI19" s="619"/>
      <c r="CJ19" s="649"/>
      <c r="CK19" s="189" t="str">
        <f t="shared" si="2"/>
        <v>操作手，重機械</v>
      </c>
      <c r="CL19" s="190"/>
      <c r="CM19" s="190"/>
      <c r="CN19" s="190"/>
      <c r="CO19" s="190"/>
      <c r="CP19" s="619"/>
      <c r="CQ19" s="190" t="str">
        <f t="shared" si="3"/>
        <v>開挖機，0.70-0.79m3</v>
      </c>
      <c r="CR19" s="190"/>
      <c r="CS19" s="190"/>
      <c r="CT19" s="190"/>
      <c r="CU19" s="190"/>
      <c r="CV19" s="619"/>
      <c r="CW19" s="647">
        <v>0</v>
      </c>
      <c r="CX19" s="189" t="str">
        <f t="shared" si="4"/>
        <v>開挖機，0.70-0.79m3</v>
      </c>
      <c r="CY19" s="190"/>
      <c r="CZ19" s="190"/>
      <c r="DA19" s="190"/>
      <c r="DB19" s="190"/>
      <c r="DC19" s="619"/>
      <c r="DD19" s="190" t="str">
        <f t="shared" si="5"/>
        <v>搬運費，AC施工機械(面積2000m2以下適用)</v>
      </c>
      <c r="DE19" s="190"/>
      <c r="DF19" s="190"/>
      <c r="DG19" s="190"/>
      <c r="DH19" s="190"/>
      <c r="DI19" s="619"/>
      <c r="DJ19" s="645"/>
      <c r="DK19" s="520"/>
      <c r="DL19" s="520"/>
    </row>
    <row r="20" spans="7:124">
      <c r="G20" s="185"/>
      <c r="H20" s="207" t="str">
        <f t="shared" si="6"/>
        <v>結構用混凝土，預拌，210kgf/cm2</v>
      </c>
      <c r="I20" s="185"/>
      <c r="J20" s="185"/>
      <c r="K20" s="211"/>
      <c r="L20" s="185"/>
      <c r="M20" s="185"/>
      <c r="N20" s="199"/>
      <c r="O20" s="199"/>
      <c r="P20" s="208"/>
      <c r="Q20" s="202"/>
      <c r="R20" s="185"/>
      <c r="S20" s="185"/>
      <c r="T20" s="203"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U20" s="185"/>
      <c r="V20" s="185"/>
      <c r="W20" s="185"/>
      <c r="X20" s="185"/>
      <c r="Y20" s="185"/>
      <c r="Z20" s="185"/>
      <c r="AA20" s="203" t="s">
        <v>4011</v>
      </c>
      <c r="AB20" s="209"/>
      <c r="AC20" s="209"/>
      <c r="AD20" s="209"/>
      <c r="AE20" s="209"/>
      <c r="AF20" s="209"/>
      <c r="AG20" s="210"/>
      <c r="BT20" s="340"/>
      <c r="BU20" s="340"/>
      <c r="BV20" s="340"/>
      <c r="BW20" s="690">
        <f t="shared" si="1"/>
        <v>1</v>
      </c>
      <c r="BX20" s="650"/>
      <c r="BY20" s="650"/>
      <c r="BZ20" s="650"/>
      <c r="CA20" s="650"/>
      <c r="CB20" s="619"/>
      <c r="CC20" s="689">
        <v>0</v>
      </c>
      <c r="CD20" s="652">
        <f t="shared" si="0"/>
        <v>1</v>
      </c>
      <c r="CE20" s="650"/>
      <c r="CF20" s="650"/>
      <c r="CG20" s="650"/>
      <c r="CH20" s="650"/>
      <c r="CI20" s="619"/>
      <c r="CJ20" s="649"/>
      <c r="CK20" s="189">
        <f t="shared" si="2"/>
        <v>1</v>
      </c>
      <c r="CL20" s="190"/>
      <c r="CM20" s="190"/>
      <c r="CN20" s="190"/>
      <c r="CO20" s="190"/>
      <c r="CP20" s="619"/>
      <c r="CQ20" s="190">
        <f t="shared" si="3"/>
        <v>1</v>
      </c>
      <c r="CR20" s="190"/>
      <c r="CS20" s="190"/>
      <c r="CT20" s="190"/>
      <c r="CU20" s="190"/>
      <c r="CV20" s="619"/>
      <c r="CW20" s="647"/>
      <c r="CX20" s="189">
        <f t="shared" si="4"/>
        <v>1</v>
      </c>
      <c r="CY20" s="190"/>
      <c r="CZ20" s="190"/>
      <c r="DA20" s="190"/>
      <c r="DB20" s="190"/>
      <c r="DC20" s="619"/>
      <c r="DD20" s="190" t="str">
        <f t="shared" si="5"/>
        <v>1</v>
      </c>
      <c r="DE20" s="190"/>
      <c r="DF20" s="190"/>
      <c r="DG20" s="190"/>
      <c r="DH20" s="190"/>
      <c r="DI20" s="619"/>
      <c r="DJ20" s="645"/>
      <c r="DK20" s="520"/>
      <c r="DL20" s="520"/>
      <c r="DM20" s="188"/>
      <c r="DN20" s="188"/>
      <c r="DO20" s="188"/>
      <c r="DP20" s="188"/>
      <c r="DQ20" s="188"/>
    </row>
    <row r="21" spans="7:124">
      <c r="G21" s="185"/>
      <c r="H21" s="207" t="str">
        <f t="shared" si="6"/>
        <v>(0.8*(0.58+0.2)-(0.38*0.4)-((0.2^2)*3.14*0.5))*1.05</v>
      </c>
      <c r="I21" s="185"/>
      <c r="J21" s="185"/>
      <c r="K21" s="211"/>
      <c r="L21" s="185"/>
      <c r="M21" s="185"/>
      <c r="N21" s="199" t="e">
        <f t="array" ref="N21">cal</f>
        <v>#REF!</v>
      </c>
      <c r="O21" s="199" t="e">
        <v>#REF!</v>
      </c>
      <c r="P21" s="208" t="e">
        <v>#REF!</v>
      </c>
      <c r="Q21" s="202" t="e">
        <f>ROUND(IF(N21=0,"",N21*P21),2)</f>
        <v>#REF!</v>
      </c>
      <c r="R21" s="185"/>
      <c r="S21" s="185"/>
      <c r="T21" s="207" t="str">
        <f>IF($I$5="更新","("&amp;""&amp;$H$9&amp;"*("&amp;$H$7&amp;"+"&amp;$I$9&amp;")-("&amp;$K$9&amp;"*"&amp;$I$7&amp;")-(("&amp;$L$9&amp;"^2)*3.14*0.5))","("&amp;""&amp;$H$9&amp;"*("&amp;$H$7&amp;"+"&amp;$I$9&amp;"))")</f>
        <v>(0.8*(0.58+0.25)-(0.38*0.4)-((0.2^2)*3.14*0.5))</v>
      </c>
      <c r="U21" s="185"/>
      <c r="V21" s="185"/>
      <c r="W21" s="185"/>
      <c r="X21" s="185"/>
      <c r="Y21" s="185"/>
      <c r="Z21" s="185"/>
      <c r="AA21" s="207" t="str">
        <f>IF($H$9=$H$11,( "("&amp;$H$9&amp;"*("&amp;$H$7&amp;"-"&amp;$K$7&amp;"))*0.8" ),
IF($H$9&gt;$H$11,("("&amp;$H$11&amp;"*("&amp;$H$7&amp;"-"&amp;($K$7&amp;")+(("&amp;$H$9&amp;"-"&amp;$H$11&amp;")*("&amp;$H$7&amp;"+"&amp;$I$9)&amp;")))*0.8")))</f>
        <v>(0.8*(0.58-0.58))*0.8</v>
      </c>
      <c r="AB21" s="209"/>
      <c r="AC21" s="209"/>
      <c r="AD21" s="209"/>
      <c r="AE21" s="209"/>
      <c r="AF21" s="209"/>
      <c r="AG21" s="210"/>
      <c r="BT21" s="340"/>
      <c r="BU21" s="340"/>
      <c r="BV21" s="340"/>
      <c r="BW21" s="690" t="str">
        <f t="shared" si="1"/>
        <v>操作手，重機械</v>
      </c>
      <c r="BX21" s="650"/>
      <c r="BY21" s="650"/>
      <c r="BZ21" s="650"/>
      <c r="CA21" s="650"/>
      <c r="CB21" s="619"/>
      <c r="CC21" s="689">
        <v>0</v>
      </c>
      <c r="CD21" s="652" t="str">
        <f t="shared" si="0"/>
        <v>操作手，重機械</v>
      </c>
      <c r="CE21" s="650"/>
      <c r="CF21" s="650"/>
      <c r="CG21" s="650"/>
      <c r="CH21" s="650"/>
      <c r="CI21" s="619"/>
      <c r="CJ21" s="190"/>
      <c r="CK21" s="189">
        <f t="shared" si="2"/>
        <v>0</v>
      </c>
      <c r="CL21" s="190"/>
      <c r="CM21" s="190"/>
      <c r="CN21" s="190"/>
      <c r="CO21" s="190"/>
      <c r="CP21" s="619"/>
      <c r="CQ21" s="190" t="str">
        <f t="shared" si="3"/>
        <v>操作手，重機械</v>
      </c>
      <c r="CR21" s="190"/>
      <c r="CS21" s="190"/>
      <c r="CT21" s="190"/>
      <c r="CU21" s="190"/>
      <c r="CV21" s="619"/>
      <c r="CW21" s="647"/>
      <c r="CX21" s="189" t="str">
        <f t="shared" si="4"/>
        <v>操作手，重機械</v>
      </c>
      <c r="CY21" s="190"/>
      <c r="CZ21" s="190"/>
      <c r="DA21" s="190"/>
      <c r="DB21" s="190"/>
      <c r="DC21" s="619"/>
      <c r="DD21" s="190" t="str">
        <f t="shared" si="5"/>
        <v>開挖機，0.70-0.79m3</v>
      </c>
      <c r="DE21" s="190"/>
      <c r="DF21" s="190"/>
      <c r="DG21" s="190"/>
      <c r="DH21" s="190"/>
      <c r="DI21" s="619"/>
      <c r="DJ21" s="645"/>
      <c r="DK21" s="520"/>
      <c r="DL21" s="520"/>
      <c r="DM21" s="515"/>
      <c r="DN21" s="515"/>
      <c r="DO21" s="515"/>
      <c r="DP21" s="515"/>
      <c r="DQ21" s="515"/>
      <c r="DT21" s="6" t="s">
        <v>3722</v>
      </c>
    </row>
    <row r="22" spans="7:124">
      <c r="G22" s="185"/>
      <c r="H22" s="207" t="str">
        <f t="shared" si="6"/>
        <v>鋼製模板，U型溝用，W=40cm，L=120cm.</v>
      </c>
      <c r="I22" s="185"/>
      <c r="J22" s="185"/>
      <c r="K22" s="185"/>
      <c r="L22" s="185"/>
      <c r="M22" s="185"/>
      <c r="N22" s="199"/>
      <c r="O22" s="199"/>
      <c r="P22" s="208"/>
      <c r="Q22" s="202"/>
      <c r="R22" s="185"/>
      <c r="S22" s="185"/>
      <c r="T22" s="203" t="s">
        <v>540</v>
      </c>
      <c r="U22" s="185"/>
      <c r="V22" s="185"/>
      <c r="W22" s="185"/>
      <c r="X22" s="185"/>
      <c r="Y22" s="185"/>
      <c r="Z22" s="185"/>
      <c r="AA22" s="203" t="s">
        <v>3638</v>
      </c>
      <c r="AB22" s="209"/>
      <c r="AC22" s="209"/>
      <c r="AD22" s="209"/>
      <c r="AE22" s="209"/>
      <c r="AF22" s="209"/>
      <c r="AG22" s="210"/>
      <c r="BT22" s="340"/>
      <c r="BU22" s="340"/>
      <c r="BV22" s="340"/>
      <c r="BW22" s="690">
        <f t="shared" si="1"/>
        <v>1</v>
      </c>
      <c r="BX22" s="650"/>
      <c r="BY22" s="650"/>
      <c r="BZ22" s="650"/>
      <c r="CA22" s="650"/>
      <c r="CB22" s="619"/>
      <c r="CC22" s="689">
        <v>0</v>
      </c>
      <c r="CD22" s="652">
        <f t="shared" si="0"/>
        <v>1</v>
      </c>
      <c r="CE22" s="650"/>
      <c r="CF22" s="650"/>
      <c r="CG22" s="650"/>
      <c r="CH22" s="650"/>
      <c r="CI22" s="619"/>
      <c r="CJ22" s="190"/>
      <c r="CK22" s="189">
        <f t="shared" si="2"/>
        <v>0</v>
      </c>
      <c r="CL22" s="190"/>
      <c r="CM22" s="190"/>
      <c r="CN22" s="190"/>
      <c r="CO22" s="190"/>
      <c r="CP22" s="619"/>
      <c r="CQ22" s="190">
        <f t="shared" si="3"/>
        <v>1</v>
      </c>
      <c r="CR22" s="190"/>
      <c r="CS22" s="190"/>
      <c r="CT22" s="190"/>
      <c r="CU22" s="190"/>
      <c r="CV22" s="619"/>
      <c r="CW22" s="647"/>
      <c r="CX22" s="189">
        <f t="shared" si="4"/>
        <v>1</v>
      </c>
      <c r="CY22" s="190"/>
      <c r="CZ22" s="190"/>
      <c r="DA22" s="190"/>
      <c r="DB22" s="190"/>
      <c r="DC22" s="619"/>
      <c r="DD22" s="190">
        <f t="shared" si="5"/>
        <v>1</v>
      </c>
      <c r="DE22" s="190"/>
      <c r="DF22" s="190"/>
      <c r="DG22" s="190"/>
      <c r="DH22" s="190"/>
      <c r="DI22" s="619"/>
      <c r="DJ22" s="645"/>
      <c r="DK22" s="520"/>
      <c r="DL22" s="520"/>
      <c r="DM22" s="515"/>
      <c r="DN22" s="515"/>
      <c r="DO22" s="515"/>
      <c r="DP22" s="515"/>
      <c r="DQ22" s="515"/>
      <c r="DT22" s="6" t="s">
        <v>3722</v>
      </c>
    </row>
    <row r="23" spans="7:124">
      <c r="G23" s="185"/>
      <c r="H23" s="207" t="str">
        <f t="shared" si="6"/>
        <v>1</v>
      </c>
      <c r="I23" s="185"/>
      <c r="J23" s="185"/>
      <c r="K23" s="211"/>
      <c r="L23" s="185"/>
      <c r="M23" s="185"/>
      <c r="N23" s="199" t="e">
        <f t="array" ref="N23">cal</f>
        <v>#REF!</v>
      </c>
      <c r="O23" s="199" t="e">
        <v>#REF!</v>
      </c>
      <c r="P23" s="208" t="e">
        <v>#REF!</v>
      </c>
      <c r="Q23" s="202" t="e">
        <f>ROUND(IF(N23=0,"",N23*P23),2)</f>
        <v>#REF!</v>
      </c>
      <c r="R23" s="185"/>
      <c r="S23" s="185"/>
      <c r="T23" s="207" t="str">
        <f>"("&amp;$I$7&amp;"+"&amp;($J$7)&amp;"+"&amp;($J$7)&amp;")*0.05"</f>
        <v>(0.4+0.2+0.2)*0.05</v>
      </c>
      <c r="U23" s="185"/>
      <c r="V23" s="185"/>
      <c r="W23" s="185"/>
      <c r="X23" s="185"/>
      <c r="Y23" s="185"/>
      <c r="Z23" s="185"/>
      <c r="AA23" s="207" t="str">
        <f>IF($H$9=$H$11,( "("&amp;$H$9&amp;"*("&amp;$H$7&amp;"-"&amp;$K$7&amp;"))*0.2" ),
IF($H$9&gt;$H$11,("("&amp;$H$11&amp;"*("&amp;$H$7&amp;"-"&amp;($K$7&amp;")+(("&amp;$H$9&amp;"-"&amp;$H$11&amp;")*("&amp;$H$7&amp;"+"&amp;$I$9)&amp;")))*0.2")))</f>
        <v>(0.8*(0.58-0.58))*0.2</v>
      </c>
      <c r="AB23" s="209"/>
      <c r="AC23" s="209"/>
      <c r="AD23" s="209"/>
      <c r="AE23" s="209"/>
      <c r="AF23" s="209"/>
      <c r="AG23" s="210"/>
      <c r="BT23" s="340"/>
      <c r="BU23" s="340"/>
      <c r="BV23" s="340"/>
      <c r="BW23" s="690" t="str">
        <f t="shared" si="1"/>
        <v xml:space="preserve"> </v>
      </c>
      <c r="BX23" s="650"/>
      <c r="BY23" s="650"/>
      <c r="BZ23" s="650"/>
      <c r="CA23" s="650"/>
      <c r="CB23" s="619"/>
      <c r="CC23" s="689">
        <v>0</v>
      </c>
      <c r="CD23" s="652">
        <f t="shared" si="0"/>
        <v>0</v>
      </c>
      <c r="CE23" s="650"/>
      <c r="CF23" s="650"/>
      <c r="CG23" s="650"/>
      <c r="CH23" s="650"/>
      <c r="CI23" s="619"/>
      <c r="CJ23" s="190"/>
      <c r="CK23" s="189">
        <f t="shared" si="2"/>
        <v>0</v>
      </c>
      <c r="CL23" s="190"/>
      <c r="CM23" s="190"/>
      <c r="CN23" s="190"/>
      <c r="CO23" s="190"/>
      <c r="CP23" s="619"/>
      <c r="CQ23" s="190">
        <f t="shared" si="3"/>
        <v>0</v>
      </c>
      <c r="CR23" s="190"/>
      <c r="CS23" s="190"/>
      <c r="CT23" s="190"/>
      <c r="CU23" s="190"/>
      <c r="CV23" s="619"/>
      <c r="CW23" s="647"/>
      <c r="CX23" s="189">
        <f t="shared" si="4"/>
        <v>0</v>
      </c>
      <c r="CY23" s="190"/>
      <c r="CZ23" s="190"/>
      <c r="DA23" s="190"/>
      <c r="DB23" s="190"/>
      <c r="DC23" s="619"/>
      <c r="DD23" s="190" t="str">
        <f t="shared" si="5"/>
        <v>操作手，重機械</v>
      </c>
      <c r="DE23" s="190"/>
      <c r="DF23" s="190"/>
      <c r="DG23" s="190"/>
      <c r="DH23" s="190"/>
      <c r="DI23" s="619"/>
      <c r="DJ23" s="645"/>
      <c r="DK23" s="520"/>
      <c r="DL23" s="520"/>
      <c r="DM23" s="515"/>
      <c r="DN23" s="515"/>
      <c r="DO23" s="515"/>
      <c r="DP23" s="515"/>
      <c r="DQ23" s="515"/>
      <c r="DT23" s="6" t="s">
        <v>3722</v>
      </c>
    </row>
    <row r="24" spans="7:124">
      <c r="G24" s="185"/>
      <c r="H24" s="207" t="str">
        <f t="shared" si="6"/>
        <v>鋼筋，SD280W.</v>
      </c>
      <c r="I24" s="185"/>
      <c r="J24" s="185"/>
      <c r="K24" s="211"/>
      <c r="L24" s="185"/>
      <c r="M24" s="185"/>
      <c r="N24" s="199"/>
      <c r="O24" s="217"/>
      <c r="P24" s="208"/>
      <c r="Q24" s="202"/>
      <c r="R24" s="185"/>
      <c r="S24" s="185"/>
      <c r="T24" s="203" t="str">
        <f>IF(J7&lt;0.2,"結構用混凝土，預拌，280kgf/cm2","結構用混凝土，預拌，210kgf/cm2")</f>
        <v>結構用混凝土，預拌，210kgf/cm2</v>
      </c>
      <c r="U24" s="185"/>
      <c r="V24" s="185"/>
      <c r="W24" s="185"/>
      <c r="X24" s="185"/>
      <c r="Y24" s="185"/>
      <c r="Z24" s="185"/>
      <c r="AA24" s="203"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AB24" s="209"/>
      <c r="AC24" s="209"/>
      <c r="AD24" s="209"/>
      <c r="AE24" s="209"/>
      <c r="AF24" s="209"/>
      <c r="AG24" s="210"/>
      <c r="BT24" s="340"/>
      <c r="BU24" s="340"/>
      <c r="BV24" s="340"/>
      <c r="BW24" s="690" t="str">
        <f t="shared" si="1"/>
        <v xml:space="preserve"> </v>
      </c>
      <c r="BX24" s="650"/>
      <c r="BY24" s="650"/>
      <c r="BZ24" s="650"/>
      <c r="CA24" s="650"/>
      <c r="CB24" s="619"/>
      <c r="CC24" s="689">
        <v>0</v>
      </c>
      <c r="CD24" s="652">
        <f t="shared" si="0"/>
        <v>0</v>
      </c>
      <c r="CE24" s="650"/>
      <c r="CF24" s="650"/>
      <c r="CG24" s="650"/>
      <c r="CH24" s="650"/>
      <c r="CI24" s="619"/>
      <c r="CJ24" s="190"/>
      <c r="CK24" s="189">
        <f t="shared" si="2"/>
        <v>0</v>
      </c>
      <c r="CL24" s="190"/>
      <c r="CM24" s="190"/>
      <c r="CN24" s="190"/>
      <c r="CO24" s="190"/>
      <c r="CP24" s="619"/>
      <c r="CQ24" s="190">
        <f t="shared" si="3"/>
        <v>0</v>
      </c>
      <c r="CR24" s="190"/>
      <c r="CS24" s="190"/>
      <c r="CT24" s="190"/>
      <c r="CU24" s="190"/>
      <c r="CV24" s="619"/>
      <c r="CW24" s="647"/>
      <c r="CX24" s="189">
        <f t="shared" si="4"/>
        <v>0</v>
      </c>
      <c r="CY24" s="190"/>
      <c r="CZ24" s="190"/>
      <c r="DA24" s="190"/>
      <c r="DB24" s="190"/>
      <c r="DC24" s="619"/>
      <c r="DD24" s="190">
        <f t="shared" si="5"/>
        <v>1</v>
      </c>
      <c r="DE24" s="190"/>
      <c r="DF24" s="190"/>
      <c r="DG24" s="190"/>
      <c r="DH24" s="190"/>
      <c r="DI24" s="619"/>
      <c r="DJ24" s="645"/>
      <c r="DK24" s="520"/>
      <c r="DL24" s="520"/>
      <c r="DM24" s="515"/>
      <c r="DN24" s="515"/>
      <c r="DO24" s="515"/>
      <c r="DP24" s="515"/>
      <c r="DQ24" s="515"/>
      <c r="DT24" s="6" t="s">
        <v>3722</v>
      </c>
    </row>
    <row r="25" spans="7:124">
      <c r="G25" s="185"/>
      <c r="H25" s="207" t="str">
        <f t="shared" si="6"/>
        <v>14.33+5.6</v>
      </c>
      <c r="I25" s="185"/>
      <c r="J25" s="185"/>
      <c r="K25" s="219"/>
      <c r="L25" s="185"/>
      <c r="M25" s="185"/>
      <c r="N25" s="199" t="e">
        <f t="array" ref="N25">cal</f>
        <v>#REF!</v>
      </c>
      <c r="O25" s="199" t="e">
        <v>#REF!</v>
      </c>
      <c r="P25" s="208" t="e">
        <v>#REF!</v>
      </c>
      <c r="Q25" s="202" t="e">
        <f>ROUND(IF(N25=0,"",N25*P25),2)</f>
        <v>#REF!</v>
      </c>
      <c r="R25" s="185"/>
      <c r="S25" s="185"/>
      <c r="T25" s="207" t="str">
        <f>IF($K$5="有","("&amp;""&amp;$H$9&amp;"*("&amp;$H$7&amp;"+"&amp;$J$9&amp;")-("&amp;$K$9&amp;"*"&amp;$I$7&amp;")-(("&amp;$L$9&amp;"^2)*3.14*0.5))",
"("&amp;""&amp;$H$9&amp;"*("&amp;$H$7&amp;"+"&amp;$J$9&amp;")-("&amp;$K$9&amp;"*"&amp;$I$7&amp;")-(("&amp;$L$9&amp;"^2)*3.14*0.5))*1.05")</f>
        <v>(0.8*(0.58+0.2)-(0.38*0.4)-((0.2^2)*3.14*0.5))*1.05</v>
      </c>
      <c r="U25" s="185"/>
      <c r="V25" s="185"/>
      <c r="W25" s="185"/>
      <c r="X25" s="185"/>
      <c r="Y25" s="185"/>
      <c r="Z25" s="185"/>
      <c r="AA25" s="207" t="str">
        <f>IF(AND($I$5="更新",$J$5="U型溝",$H$9=$H$11),"("&amp;$H$11&amp;"*("&amp;$K$7&amp;"+"&amp;$I$11&amp;")-("&amp;$K$11&amp;"*"&amp;$L$7&amp;")-(("&amp;$L$11&amp;"^2)*3.14*0.5))+("&amp;$H$9&amp;"*("&amp;$H$7&amp;"-"&amp;$K$7&amp;"))",
IF(AND($I$5="更新",$J$5="矩形溝",$H$9=$H$11),"("&amp;$H$11&amp;"*("&amp;$K$7&amp;"+"&amp;$I$11&amp;")-("&amp;$K$7&amp;"*"&amp;$L$7&amp;"))+("&amp;$H$9&amp;"*("&amp;$H$7&amp;"-"&amp;$K$7&amp;"))",
IF(AND($I$5="更新",$J$5="U型溝",$H$9&gt;$H$11),"("&amp;$H$11&amp;"*("&amp;$K$7&amp;"+"&amp;$I$11&amp;")-("&amp;$K$11&amp;"*"&amp;$L$7&amp;")-(("&amp;$L$11&amp;"^2)*3.14*0.5))+("&amp;$H$11&amp;"*("&amp;$H$7&amp;"-"&amp;($K$7&amp;")+(("&amp;$H$9&amp;"-"&amp;$H$11&amp;")*("&amp;$H$7&amp;"+"&amp;$I$9)&amp;")))",
IF(AND($I$5="更新",$J$5="矩形溝",$H$9&gt;$H$11),"("&amp;$H$11&amp;"*("&amp;$K$7&amp;"+"&amp;$I$11&amp;")-("&amp;$K$7&amp;"*"&amp;$L$7&amp;"))+("&amp;$H$11&amp;"*("&amp;$H$7&amp;"-"&amp;($K$7&amp;")+(("&amp;$H$9&amp;"-"&amp;$H$11&amp;")*("&amp;$H$7&amp;"+"&amp;$I$9)&amp;")))",
))))</f>
        <v>(0.8*(0.58+0.25)-(0.38*0.4)-((0.2^2)*3.14*0.5))+(0.8*(0.58-0.58))</v>
      </c>
      <c r="AB25" s="209"/>
      <c r="AC25" s="209"/>
      <c r="AD25" s="209"/>
      <c r="AE25" s="209"/>
      <c r="AF25" s="209"/>
      <c r="AG25" s="210"/>
      <c r="BT25" s="340"/>
      <c r="BU25" s="340"/>
      <c r="BV25" s="340"/>
      <c r="BW25" s="690" t="str">
        <f t="shared" si="1"/>
        <v xml:space="preserve"> </v>
      </c>
      <c r="BX25" s="650"/>
      <c r="BY25" s="650"/>
      <c r="BZ25" s="650"/>
      <c r="CA25" s="650"/>
      <c r="CB25" s="619"/>
      <c r="CC25" s="689">
        <v>0</v>
      </c>
      <c r="CD25" s="652">
        <f t="shared" si="0"/>
        <v>0</v>
      </c>
      <c r="CE25" s="650"/>
      <c r="CF25" s="650"/>
      <c r="CG25" s="650"/>
      <c r="CH25" s="650"/>
      <c r="CI25" s="619"/>
      <c r="CJ25" s="190"/>
      <c r="CK25" s="189">
        <f t="shared" si="2"/>
        <v>0</v>
      </c>
      <c r="CL25" s="190"/>
      <c r="CM25" s="190"/>
      <c r="CN25" s="190"/>
      <c r="CO25" s="190"/>
      <c r="CP25" s="619"/>
      <c r="CQ25" s="190">
        <f t="shared" si="3"/>
        <v>0</v>
      </c>
      <c r="CR25" s="190"/>
      <c r="CS25" s="190"/>
      <c r="CT25" s="190"/>
      <c r="CU25" s="190"/>
      <c r="CV25" s="619"/>
      <c r="CW25" s="647"/>
      <c r="CX25" s="189">
        <f t="shared" si="4"/>
        <v>0</v>
      </c>
      <c r="CY25" s="190"/>
      <c r="CZ25" s="190"/>
      <c r="DA25" s="190"/>
      <c r="DB25" s="190"/>
      <c r="DC25" s="619"/>
      <c r="DD25" s="190">
        <f t="shared" si="5"/>
        <v>0</v>
      </c>
      <c r="DE25" s="190"/>
      <c r="DF25" s="190"/>
      <c r="DG25" s="190"/>
      <c r="DH25" s="190"/>
      <c r="DI25" s="619"/>
      <c r="DJ25" s="645"/>
      <c r="DK25" s="520"/>
      <c r="DL25" s="520"/>
      <c r="DM25" s="515"/>
      <c r="DN25" s="515"/>
      <c r="DO25" s="515"/>
      <c r="DP25" s="515"/>
      <c r="DQ25" s="515"/>
      <c r="DT25" s="6" t="s">
        <v>3722</v>
      </c>
    </row>
    <row r="26" spans="7:124" ht="17.25" thickBot="1">
      <c r="G26" s="185"/>
      <c r="H26" s="207">
        <f t="shared" si="6"/>
        <v>0</v>
      </c>
      <c r="I26" s="185"/>
      <c r="J26" s="185"/>
      <c r="K26" s="185"/>
      <c r="L26" s="185"/>
      <c r="M26" s="185"/>
      <c r="N26" s="199"/>
      <c r="O26" s="199"/>
      <c r="P26" s="208"/>
      <c r="Q26" s="202"/>
      <c r="R26" s="185"/>
      <c r="S26" s="185"/>
      <c r="T26" s="203" t="str">
        <f>IF(AND($I$7=0.4,$H$7&lt;=0.8),"鋼製模板，U型溝用，W=40cm，L=120cm.",
IF(AND($I$7=0.4,$H$7&gt;0.8),"鋼製模板，U型溝用，W=40cm，L=120cm，H&gt;80cm.",
IF(AND($I$7=0.5,$H$7&lt;=0.8),"鋼製模板，U型溝用，W=50cm，L=120cm.",
IF(AND($I$7=0.5,$H$7&gt;0.8),"鋼製模板，U型溝用，W=50cm，L=120cm，H&gt;80cm.",
IF(AND($I$7=0.6,$H$7&lt;=0.8),"鋼製模板，U型溝用，W=60cm，L=120cm.",
IF(AND($I$7=0.6,$H$7&gt;0.8),"鋼製模板，U型溝用，W=60cm，L=120cm，H&gt;80cm."))))))</f>
        <v>鋼製模板，U型溝用，W=40cm，L=120cm.</v>
      </c>
      <c r="U26" s="185"/>
      <c r="V26" s="185"/>
      <c r="W26" s="185"/>
      <c r="X26" s="185"/>
      <c r="Y26" s="185"/>
      <c r="Z26" s="185"/>
      <c r="AA26" s="203" t="s">
        <v>540</v>
      </c>
      <c r="AB26" s="209"/>
      <c r="AC26" s="209"/>
      <c r="AD26" s="209"/>
      <c r="AE26" s="209"/>
      <c r="AF26" s="209"/>
      <c r="AG26" s="210"/>
      <c r="BT26" s="340"/>
      <c r="BU26" s="340"/>
      <c r="BV26" s="340"/>
      <c r="BW26" s="691" t="str">
        <f t="shared" si="1"/>
        <v/>
      </c>
      <c r="BX26" s="616"/>
      <c r="BY26" s="616"/>
      <c r="BZ26" s="616"/>
      <c r="CA26" s="616"/>
      <c r="CB26" s="620"/>
      <c r="CC26" s="689">
        <v>0</v>
      </c>
      <c r="CD26" s="653" t="str">
        <f t="shared" si="0"/>
        <v/>
      </c>
      <c r="CE26" s="616"/>
      <c r="CF26" s="616"/>
      <c r="CG26" s="616"/>
      <c r="CH26" s="616"/>
      <c r="CI26" s="620"/>
      <c r="CJ26" s="190"/>
      <c r="CK26" s="615"/>
      <c r="CL26" s="616"/>
      <c r="CM26" s="616"/>
      <c r="CN26" s="616"/>
      <c r="CO26" s="616"/>
      <c r="CP26" s="620"/>
      <c r="CQ26" s="637" t="s">
        <v>2</v>
      </c>
      <c r="CR26" s="616"/>
      <c r="CS26" s="616"/>
      <c r="CT26" s="616"/>
      <c r="CU26" s="616"/>
      <c r="CV26" s="620"/>
      <c r="CW26" s="647"/>
      <c r="CX26" s="638" t="s">
        <v>2</v>
      </c>
      <c r="CY26" s="616"/>
      <c r="CZ26" s="616"/>
      <c r="DA26" s="616"/>
      <c r="DB26" s="616"/>
      <c r="DC26" s="620"/>
      <c r="DD26" s="637" t="s">
        <v>2</v>
      </c>
      <c r="DE26" s="616"/>
      <c r="DF26" s="616"/>
      <c r="DG26" s="616"/>
      <c r="DH26" s="616"/>
      <c r="DI26" s="620"/>
      <c r="DJ26" s="645"/>
      <c r="DK26" s="520"/>
      <c r="DL26" s="520"/>
      <c r="DM26" s="515"/>
      <c r="DN26" s="515"/>
      <c r="DO26" s="515"/>
      <c r="DP26" s="515"/>
      <c r="DQ26" s="515"/>
      <c r="DT26" s="6" t="s">
        <v>3722</v>
      </c>
    </row>
    <row r="27" spans="7:124">
      <c r="G27" s="185"/>
      <c r="H27" s="207">
        <f t="shared" si="6"/>
        <v>0</v>
      </c>
      <c r="I27" s="185"/>
      <c r="J27" s="185"/>
      <c r="K27" s="185"/>
      <c r="L27" s="185"/>
      <c r="M27" s="185"/>
      <c r="N27" s="199" t="e">
        <f t="array" ref="N27">cal</f>
        <v>#REF!</v>
      </c>
      <c r="O27" s="199" t="e">
        <v>#REF!</v>
      </c>
      <c r="P27" s="208" t="e">
        <v>#REF!</v>
      </c>
      <c r="Q27" s="202" t="e">
        <f>ROUND(IF(N27=0,"",N27*P27),2)</f>
        <v>#REF!</v>
      </c>
      <c r="R27" s="185"/>
      <c r="S27" s="185"/>
      <c r="T27" s="220" t="str">
        <f>IF($H$7&lt;=0.8,"1","("&amp;$K$9&amp;"*2)+("&amp;$L$9*2&amp;"*3.14*0.5)")</f>
        <v>1</v>
      </c>
      <c r="U27" s="185"/>
      <c r="V27" s="185"/>
      <c r="W27" s="185"/>
      <c r="X27" s="185"/>
      <c r="Y27" s="185"/>
      <c r="Z27" s="185"/>
      <c r="AA27" s="207" t="str">
        <f>"("&amp;$I$7&amp;"+"&amp;($J$7)&amp;"+"&amp;($J$7)&amp;")*0.05"</f>
        <v>(0.4+0.2+0.2)*0.05</v>
      </c>
      <c r="AB27" s="209"/>
      <c r="AC27" s="209"/>
      <c r="AD27" s="209"/>
      <c r="AE27" s="209"/>
      <c r="AF27" s="209"/>
      <c r="AG27" s="210"/>
      <c r="BT27" s="340"/>
      <c r="BU27" s="340"/>
      <c r="BV27" s="340"/>
      <c r="BW27" s="340"/>
      <c r="BX27" s="340"/>
      <c r="BY27" s="340"/>
      <c r="BZ27" s="340"/>
      <c r="CA27" s="340"/>
      <c r="CB27" s="340"/>
      <c r="CC27" s="340"/>
      <c r="CD27" s="190"/>
      <c r="CE27" s="190"/>
      <c r="CF27" s="190"/>
      <c r="CG27" s="190"/>
      <c r="CH27" s="190"/>
      <c r="CI27" s="190"/>
      <c r="CJ27" s="190"/>
      <c r="CK27" s="611"/>
      <c r="CL27" s="611"/>
      <c r="CM27" s="611"/>
      <c r="CN27" s="611"/>
      <c r="CO27" s="611"/>
      <c r="CP27" s="611"/>
      <c r="CQ27" s="611"/>
      <c r="CR27" s="611"/>
      <c r="CS27" s="611"/>
      <c r="CT27" s="611"/>
      <c r="CU27" s="611"/>
      <c r="CV27" s="611"/>
      <c r="CW27" s="647"/>
      <c r="CX27" s="644"/>
      <c r="CY27" s="644"/>
      <c r="CZ27" s="644"/>
      <c r="DA27" s="644"/>
      <c r="DB27" s="644"/>
      <c r="DC27" s="644"/>
      <c r="DD27" s="644"/>
      <c r="DE27" s="644"/>
      <c r="DF27" s="644"/>
      <c r="DG27" s="644"/>
      <c r="DH27" s="644"/>
      <c r="DI27" s="644"/>
      <c r="DJ27" s="645"/>
      <c r="DK27" s="520"/>
      <c r="DL27" s="520"/>
      <c r="DM27" s="515"/>
      <c r="DN27" s="515"/>
      <c r="DO27" s="515"/>
      <c r="DP27" s="515"/>
      <c r="DQ27" s="515"/>
    </row>
    <row r="28" spans="7:124">
      <c r="G28" s="185"/>
      <c r="H28" s="207">
        <f t="shared" si="6"/>
        <v>0</v>
      </c>
      <c r="I28" s="185"/>
      <c r="J28" s="185"/>
      <c r="K28" s="185"/>
      <c r="L28" s="185"/>
      <c r="M28" s="185"/>
      <c r="N28" s="199"/>
      <c r="O28" s="217"/>
      <c r="P28" s="208"/>
      <c r="Q28" s="202"/>
      <c r="R28" s="185"/>
      <c r="S28" s="185"/>
      <c r="T28" s="203" t="s">
        <v>2939</v>
      </c>
      <c r="U28" s="185"/>
      <c r="V28" s="185"/>
      <c r="W28" s="185"/>
      <c r="X28" s="185"/>
      <c r="Y28" s="185"/>
      <c r="Z28" s="185"/>
      <c r="AA28" s="203" t="str">
        <f>IF(J7&lt;0.2,"結構用混凝土，預拌，280kgf/cm2","結構用混凝土，預拌，210kgf/cm2")</f>
        <v>結構用混凝土，預拌，210kgf/cm2</v>
      </c>
      <c r="AB28" s="209"/>
      <c r="AC28" s="185"/>
      <c r="AD28" s="185"/>
      <c r="AE28" s="185"/>
      <c r="AF28" s="185"/>
      <c r="AG28" s="202"/>
      <c r="CD28" s="190"/>
      <c r="CE28" s="190"/>
      <c r="CF28" s="190"/>
      <c r="CG28" s="190"/>
      <c r="CH28" s="190"/>
      <c r="CI28" s="190"/>
      <c r="CJ28" s="190"/>
      <c r="CK28" s="611"/>
      <c r="CL28" s="611"/>
      <c r="CM28" s="611"/>
      <c r="CN28" s="611"/>
      <c r="CO28" s="611"/>
      <c r="CP28" s="611"/>
      <c r="CQ28" s="611"/>
      <c r="CR28" s="611"/>
      <c r="CS28" s="611"/>
      <c r="CT28" s="611"/>
      <c r="CU28" s="611"/>
      <c r="CV28" s="611"/>
      <c r="CW28" s="647"/>
      <c r="CX28" s="644"/>
      <c r="CY28" s="644"/>
      <c r="CZ28" s="644"/>
      <c r="DA28" s="644"/>
      <c r="DB28" s="644"/>
      <c r="DC28" s="644"/>
      <c r="DD28" s="644"/>
      <c r="DE28" s="644"/>
      <c r="DF28" s="644"/>
      <c r="DG28" s="644"/>
      <c r="DH28" s="644"/>
      <c r="DI28" s="644"/>
      <c r="DJ28" s="645"/>
      <c r="DK28" s="520"/>
      <c r="DL28" s="520"/>
      <c r="DM28" s="515"/>
      <c r="DN28" s="515"/>
      <c r="DO28" s="515"/>
      <c r="DP28" s="515"/>
      <c r="DQ28" s="515"/>
    </row>
    <row r="29" spans="7:124" ht="17.25" thickBot="1">
      <c r="G29" s="185"/>
      <c r="H29" s="207">
        <f t="shared" si="6"/>
        <v>0</v>
      </c>
      <c r="I29" s="185"/>
      <c r="J29" s="185"/>
      <c r="K29" s="185"/>
      <c r="L29" s="185"/>
      <c r="M29" s="185"/>
      <c r="N29" s="199" t="e">
        <f t="array" ref="N29">cal</f>
        <v>#REF!</v>
      </c>
      <c r="O29" s="199" t="e">
        <v>#REF!</v>
      </c>
      <c r="P29" s="208" t="e">
        <v>#REF!</v>
      </c>
      <c r="Q29" s="202" t="e">
        <f>ROUND(IF(N29=0,"",N29*P29),2)</f>
        <v>#REF!</v>
      </c>
      <c r="R29" s="185"/>
      <c r="S29" s="185"/>
      <c r="T29" s="207" t="str">
        <f>$N$9&amp;"+"&amp;$M$9</f>
        <v>14.33+5.6</v>
      </c>
      <c r="U29" s="185"/>
      <c r="V29" s="209"/>
      <c r="W29" s="209"/>
      <c r="X29" s="209"/>
      <c r="Y29" s="209"/>
      <c r="Z29" s="209"/>
      <c r="AA29" s="207" t="str">
        <f>IF($K$5="有","("&amp;""&amp;$H$9&amp;"*("&amp;$H$7&amp;"+"&amp;$J$9&amp;")-("&amp;$K$9&amp;"*"&amp;$I$7&amp;")-(("&amp;$L$9&amp;"^2)*3.14*0.5))",
"("&amp;""&amp;$H$9&amp;"*("&amp;$H$7&amp;"+"&amp;$J$9&amp;")-("&amp;$K$9&amp;"*"&amp;$I$7&amp;")-(("&amp;$L$9&amp;"^2)*3.14*0.5))*1.05")</f>
        <v>(0.8*(0.58+0.2)-(0.38*0.4)-((0.2^2)*3.14*0.5))*1.05</v>
      </c>
      <c r="AB29" s="209"/>
      <c r="AC29" s="185"/>
      <c r="AD29" s="185"/>
      <c r="AE29" s="185"/>
      <c r="AF29" s="185"/>
      <c r="AG29" s="202"/>
      <c r="CD29" s="190"/>
      <c r="CE29" s="190"/>
      <c r="CF29" s="190"/>
      <c r="CG29" s="190"/>
      <c r="CH29" s="190"/>
      <c r="CI29" s="190"/>
      <c r="CJ29" s="190"/>
      <c r="CK29" s="611"/>
      <c r="CL29" s="611"/>
      <c r="CM29" s="611"/>
      <c r="CN29" s="611"/>
      <c r="CO29" s="611"/>
      <c r="CP29" s="611"/>
      <c r="CQ29" s="611"/>
      <c r="CR29" s="611"/>
      <c r="CS29" s="611"/>
      <c r="CT29" s="611"/>
      <c r="CU29" s="611"/>
      <c r="CV29" s="611"/>
      <c r="CW29" s="647"/>
      <c r="CX29" s="644"/>
      <c r="CY29" s="644"/>
      <c r="CZ29" s="644"/>
      <c r="DA29" s="644"/>
      <c r="DB29" s="644"/>
      <c r="DC29" s="644"/>
      <c r="DD29" s="644"/>
      <c r="DE29" s="644"/>
      <c r="DF29" s="644"/>
      <c r="DG29" s="644"/>
      <c r="DH29" s="644"/>
      <c r="DI29" s="644"/>
      <c r="DJ29" s="645"/>
      <c r="DK29" s="520"/>
      <c r="DL29" s="520"/>
      <c r="DM29" s="515"/>
      <c r="DN29" s="515"/>
      <c r="DO29" s="515"/>
      <c r="DP29" s="515"/>
      <c r="DQ29" s="515"/>
    </row>
    <row r="30" spans="7:124" ht="17.25" thickBot="1">
      <c r="G30" s="185"/>
      <c r="H30" s="207">
        <f t="shared" si="6"/>
        <v>0</v>
      </c>
      <c r="I30" s="185"/>
      <c r="J30" s="185"/>
      <c r="K30" s="185"/>
      <c r="L30" s="185"/>
      <c r="M30" s="185"/>
      <c r="N30" s="199"/>
      <c r="O30" s="217"/>
      <c r="P30" s="208"/>
      <c r="Q30" s="202"/>
      <c r="R30" s="185"/>
      <c r="S30" s="185"/>
      <c r="T30" s="207"/>
      <c r="U30" s="185"/>
      <c r="V30" s="185"/>
      <c r="W30" s="185"/>
      <c r="X30" s="185"/>
      <c r="Y30" s="185"/>
      <c r="Z30" s="185"/>
      <c r="AA30" s="203" t="str">
        <f>IF(AND($I$7=0.4,$H$7&lt;=0.8),"鋼製模板，U型溝用，W=40cm，L=120cm.",
IF(AND($I$7=0.4,$H$7&gt;0.8),"鋼製模板，U型溝用，W=40cm，L=120cm，H&gt;80cm.",
IF(AND($I$7=0.5,$H$7&lt;=0.8),"鋼製模板，U型溝用，W=50cm，L=120cm.",
IF(AND($I$7=0.5,$H$7&gt;0.8),"鋼製模板，U型溝用，W=50cm，L=120cm，H&gt;80cm.",
IF(AND($I$7=0.6,$H$7&lt;=0.8),"鋼製模板，U型溝用，W=60cm，L=120cm.",
IF(AND($I$7=0.6,$H$7&gt;0.8),"鋼製模板，U型溝用，W=60cm，L=120cm，H&gt;80cm."))))))</f>
        <v>鋼製模板，U型溝用，W=40cm，L=120cm.</v>
      </c>
      <c r="AB30" s="185"/>
      <c r="AC30" s="185"/>
      <c r="AD30" s="185"/>
      <c r="AE30" s="185"/>
      <c r="AF30" s="185"/>
      <c r="AG30" s="202"/>
      <c r="CD30" s="190"/>
      <c r="CE30" s="190"/>
      <c r="CF30" s="190"/>
      <c r="CG30" s="190"/>
      <c r="CH30" s="190"/>
      <c r="CI30" s="190"/>
      <c r="CJ30" s="190"/>
      <c r="CK30" s="1532" t="s">
        <v>3729</v>
      </c>
      <c r="CL30" s="1533"/>
      <c r="CM30" s="1533"/>
      <c r="CN30" s="1533"/>
      <c r="CO30" s="1533"/>
      <c r="CP30" s="1533"/>
      <c r="CQ30" s="1533"/>
      <c r="CR30" s="1533"/>
      <c r="CS30" s="1533"/>
      <c r="CT30" s="1533"/>
      <c r="CU30" s="1533"/>
      <c r="CV30" s="1534"/>
      <c r="CW30" s="647"/>
      <c r="CX30" s="1532" t="s">
        <v>3736</v>
      </c>
      <c r="CY30" s="1533"/>
      <c r="CZ30" s="1533"/>
      <c r="DA30" s="1533"/>
      <c r="DB30" s="1533"/>
      <c r="DC30" s="1533"/>
      <c r="DD30" s="1533"/>
      <c r="DE30" s="1533"/>
      <c r="DF30" s="1533"/>
      <c r="DG30" s="1533"/>
      <c r="DH30" s="1533"/>
      <c r="DI30" s="1534"/>
      <c r="DJ30" s="645"/>
      <c r="DK30" s="520"/>
      <c r="DL30" s="520"/>
      <c r="DM30" s="515"/>
      <c r="DN30" s="515"/>
      <c r="DO30" s="515"/>
      <c r="DP30" s="515"/>
      <c r="DQ30" s="515"/>
    </row>
    <row r="31" spans="7:124">
      <c r="G31" s="185"/>
      <c r="H31" s="207">
        <f t="shared" si="6"/>
        <v>0</v>
      </c>
      <c r="I31" s="185"/>
      <c r="J31" s="185"/>
      <c r="K31" s="185"/>
      <c r="L31" s="185"/>
      <c r="M31" s="185"/>
      <c r="N31" s="199" t="e">
        <f t="array" ref="N31">cal</f>
        <v>#REF!</v>
      </c>
      <c r="O31" s="199" t="e">
        <v>#REF!</v>
      </c>
      <c r="P31" s="208" t="e">
        <v>#REF!</v>
      </c>
      <c r="Q31" s="202" t="e">
        <f>ROUND(IF(N31=0,"",N31*P31),2)</f>
        <v>#REF!</v>
      </c>
      <c r="R31" s="185"/>
      <c r="S31" s="185"/>
      <c r="T31" s="221"/>
      <c r="U31" s="209"/>
      <c r="V31" s="209"/>
      <c r="W31" s="209"/>
      <c r="X31" s="209"/>
      <c r="Y31" s="209"/>
      <c r="Z31" s="209"/>
      <c r="AA31" s="220" t="str">
        <f>IF($H$7&lt;=0.8,"1","("&amp;$K$9&amp;"*2)+("&amp;$L$9*2&amp;"*3.14*0.5)")</f>
        <v>1</v>
      </c>
      <c r="AB31" s="209"/>
      <c r="AC31" s="185"/>
      <c r="AD31" s="185"/>
      <c r="AE31" s="185"/>
      <c r="AF31" s="185"/>
      <c r="AG31" s="202"/>
      <c r="CD31" s="190"/>
      <c r="CE31" s="190"/>
      <c r="CF31" s="190"/>
      <c r="CG31" s="190"/>
      <c r="CH31" s="190"/>
      <c r="CI31" s="190"/>
      <c r="CJ31" s="190"/>
      <c r="CK31" s="614" t="s">
        <v>3690</v>
      </c>
      <c r="CL31" s="621"/>
      <c r="CM31" s="621"/>
      <c r="CN31" s="621"/>
      <c r="CO31" s="621"/>
      <c r="CP31" s="622"/>
      <c r="CQ31" s="623" t="s">
        <v>3691</v>
      </c>
      <c r="CR31" s="621"/>
      <c r="CS31" s="624"/>
      <c r="CT31" s="621"/>
      <c r="CU31" s="621"/>
      <c r="CV31" s="625"/>
      <c r="CW31" s="647"/>
      <c r="CX31" s="614" t="s">
        <v>3690</v>
      </c>
      <c r="CY31" s="621"/>
      <c r="CZ31" s="621"/>
      <c r="DA31" s="621"/>
      <c r="DB31" s="621"/>
      <c r="DC31" s="622"/>
      <c r="DD31" s="623" t="s">
        <v>3691</v>
      </c>
      <c r="DE31" s="621"/>
      <c r="DF31" s="624"/>
      <c r="DG31" s="621"/>
      <c r="DH31" s="621"/>
      <c r="DI31" s="625"/>
      <c r="DJ31" s="645"/>
      <c r="DK31" s="520"/>
      <c r="DL31" s="520"/>
      <c r="DM31" s="515"/>
      <c r="DN31" s="515"/>
      <c r="DO31" s="515"/>
      <c r="DP31" s="515"/>
      <c r="DQ31" s="515"/>
    </row>
    <row r="32" spans="7:124">
      <c r="G32" s="185"/>
      <c r="H32" s="207">
        <f>IF($H$5="搶修案",P36,
IF(AND($H$5="一般案",$J$5="無既有溝",OR($I$5="新設",$I$5="更新")),T32,
IF(AND($H$5="一般案",$J$5="U型溝",$H$7=$K$7,$I$7=$L$7,$J$7=$M$7),T32,
IF(AND($H$5="一般案",$I$5="更新",OR($J$5="矩形溝",$J$5="U型溝")),AA32
))))</f>
        <v>0</v>
      </c>
      <c r="I32" s="185"/>
      <c r="J32" s="185"/>
      <c r="K32" s="185"/>
      <c r="L32" s="185"/>
      <c r="M32" s="185"/>
      <c r="N32" s="199"/>
      <c r="O32" s="217"/>
      <c r="P32" s="208"/>
      <c r="Q32" s="202"/>
      <c r="R32" s="185"/>
      <c r="S32" s="185"/>
      <c r="T32" s="221"/>
      <c r="U32" s="209"/>
      <c r="V32" s="209"/>
      <c r="W32" s="209"/>
      <c r="X32" s="209"/>
      <c r="Y32" s="209"/>
      <c r="Z32" s="209"/>
      <c r="AA32" s="203" t="s">
        <v>2939</v>
      </c>
      <c r="AB32" s="209"/>
      <c r="AC32" s="185"/>
      <c r="AD32" s="185"/>
      <c r="AE32" s="185"/>
      <c r="AF32" s="185"/>
      <c r="AG32" s="202"/>
      <c r="CD32" s="190"/>
      <c r="CE32" s="190"/>
      <c r="CF32" s="190"/>
      <c r="CG32" s="190"/>
      <c r="CH32" s="190"/>
      <c r="CI32" s="190"/>
      <c r="CJ32" s="190"/>
      <c r="CK32" s="612"/>
      <c r="CL32" s="626"/>
      <c r="CM32" s="626"/>
      <c r="CN32" s="626"/>
      <c r="CO32" s="626"/>
      <c r="CP32" s="613"/>
      <c r="CQ32" s="612"/>
      <c r="CR32" s="626"/>
      <c r="CS32" s="626"/>
      <c r="CT32" s="626"/>
      <c r="CU32" s="626"/>
      <c r="CV32" s="627"/>
      <c r="CW32" s="647">
        <v>0</v>
      </c>
      <c r="CX32" s="612"/>
      <c r="CY32" s="626"/>
      <c r="CZ32" s="626"/>
      <c r="DA32" s="626"/>
      <c r="DB32" s="626"/>
      <c r="DC32" s="613"/>
      <c r="DD32" s="612"/>
      <c r="DE32" s="626"/>
      <c r="DF32" s="626"/>
      <c r="DG32" s="626"/>
      <c r="DH32" s="626"/>
      <c r="DI32" s="627"/>
      <c r="DJ32" s="645">
        <v>0</v>
      </c>
      <c r="DK32" s="520"/>
      <c r="DL32" s="520"/>
      <c r="DM32" s="515"/>
      <c r="DN32" s="515"/>
      <c r="DO32" s="515"/>
      <c r="DP32" s="515"/>
      <c r="DQ32" s="515"/>
    </row>
    <row r="33" spans="7:121" ht="17.25" thickBot="1">
      <c r="G33" s="185"/>
      <c r="H33" s="207">
        <f>IF($H$5="搶修案",P37,
IF(AND($H$5="一般案",$J$5="無既有溝",OR($I$5="新設",$I$5="更新")),T33,
IF(AND($H$5="一般案",$J$5="U型溝",$H$7=$K$7,$I$7=$L$7,$J$7=$M$7),T33,
IF(AND($H$5="一般案",$I$5="更新",OR($J$5="矩形溝",$J$5="U型溝")),AA33
))))</f>
        <v>0</v>
      </c>
      <c r="I33" s="185"/>
      <c r="J33" s="185"/>
      <c r="K33" s="185"/>
      <c r="L33" s="185"/>
      <c r="M33" s="185"/>
      <c r="N33" s="199" t="e">
        <f t="array" ref="N33">cal</f>
        <v>#REF!</v>
      </c>
      <c r="O33" s="199" t="e">
        <v>#REF!</v>
      </c>
      <c r="P33" s="208" t="e">
        <v>#REF!</v>
      </c>
      <c r="Q33" s="202" t="e">
        <f>ROUND(IF(N33=0,"",N33*P33),2)</f>
        <v>#REF!</v>
      </c>
      <c r="R33" s="185"/>
      <c r="S33" s="185"/>
      <c r="T33" s="207"/>
      <c r="U33" s="185"/>
      <c r="V33" s="185"/>
      <c r="W33" s="185"/>
      <c r="X33" s="185"/>
      <c r="Y33" s="185"/>
      <c r="Z33" s="185"/>
      <c r="AA33" s="207" t="str">
        <f>$N$9&amp;"+"&amp;$M$9</f>
        <v>14.33+5.6</v>
      </c>
      <c r="AB33" s="185"/>
      <c r="AC33" s="185"/>
      <c r="AD33" s="185"/>
      <c r="AE33" s="185"/>
      <c r="AF33" s="185"/>
      <c r="AG33" s="202"/>
      <c r="CD33" s="190"/>
      <c r="CE33" s="190"/>
      <c r="CF33" s="190"/>
      <c r="CG33" s="190"/>
      <c r="CH33" s="190"/>
      <c r="CI33" s="190"/>
      <c r="CJ33" s="190"/>
      <c r="CK33" s="628"/>
      <c r="CL33" s="629"/>
      <c r="CM33" s="629"/>
      <c r="CN33" s="629"/>
      <c r="CO33" s="629"/>
      <c r="CP33" s="630"/>
      <c r="CQ33" s="628"/>
      <c r="CR33" s="629"/>
      <c r="CS33" s="629"/>
      <c r="CT33" s="629"/>
      <c r="CU33" s="629"/>
      <c r="CV33" s="631"/>
      <c r="CW33" s="647">
        <v>0</v>
      </c>
      <c r="CX33" s="628"/>
      <c r="CY33" s="629"/>
      <c r="CZ33" s="629"/>
      <c r="DA33" s="629"/>
      <c r="DB33" s="629"/>
      <c r="DC33" s="630"/>
      <c r="DD33" s="628"/>
      <c r="DE33" s="629"/>
      <c r="DF33" s="629"/>
      <c r="DG33" s="629"/>
      <c r="DH33" s="629"/>
      <c r="DI33" s="631"/>
      <c r="DJ33" s="645">
        <v>0</v>
      </c>
      <c r="DK33" s="520"/>
      <c r="DL33" s="520"/>
      <c r="DM33" s="515"/>
      <c r="DN33" s="515"/>
      <c r="DO33" s="515"/>
      <c r="DP33" s="515"/>
      <c r="DQ33" s="515"/>
    </row>
    <row r="34" spans="7:121">
      <c r="G34" s="185"/>
      <c r="H34" s="207"/>
      <c r="I34" s="185"/>
      <c r="J34" s="185"/>
      <c r="K34" s="185"/>
      <c r="L34" s="185"/>
      <c r="M34" s="185"/>
      <c r="N34" s="199"/>
      <c r="O34" s="217"/>
      <c r="P34" s="208"/>
      <c r="Q34" s="202"/>
      <c r="R34" s="185"/>
      <c r="S34" s="185"/>
      <c r="T34" s="222"/>
      <c r="U34" s="223"/>
      <c r="V34" s="223"/>
      <c r="W34" s="223"/>
      <c r="X34" s="223"/>
      <c r="Y34" s="223"/>
      <c r="Z34" s="223"/>
      <c r="AA34" s="222"/>
      <c r="AB34" s="223"/>
      <c r="AC34" s="223"/>
      <c r="AD34" s="223"/>
      <c r="AE34" s="223"/>
      <c r="AF34" s="223"/>
      <c r="AG34" s="224"/>
      <c r="CD34" s="190"/>
      <c r="CE34" s="190"/>
      <c r="CF34" s="190"/>
      <c r="CG34" s="190"/>
      <c r="CH34" s="190"/>
      <c r="CI34" s="190"/>
      <c r="CJ34" s="190"/>
      <c r="CK34" s="632" t="s">
        <v>3706</v>
      </c>
      <c r="CL34" s="633"/>
      <c r="CM34" s="633"/>
      <c r="CN34" s="633"/>
      <c r="CO34" s="633"/>
      <c r="CP34" s="634"/>
      <c r="CQ34" s="633" t="s">
        <v>3707</v>
      </c>
      <c r="CR34" s="633"/>
      <c r="CS34" s="633"/>
      <c r="CT34" s="633"/>
      <c r="CU34" s="633"/>
      <c r="CV34" s="634"/>
      <c r="CW34" s="647">
        <v>0</v>
      </c>
      <c r="CX34" s="632" t="s">
        <v>3724</v>
      </c>
      <c r="CY34" s="633"/>
      <c r="CZ34" s="633"/>
      <c r="DA34" s="633"/>
      <c r="DB34" s="633"/>
      <c r="DC34" s="634"/>
      <c r="DD34" s="633" t="s">
        <v>3725</v>
      </c>
      <c r="DE34" s="633"/>
      <c r="DF34" s="633"/>
      <c r="DG34" s="633"/>
      <c r="DH34" s="633"/>
      <c r="DI34" s="634"/>
      <c r="DJ34" s="645">
        <v>0</v>
      </c>
      <c r="DK34" s="520"/>
      <c r="DL34" s="520"/>
      <c r="DM34" s="515"/>
      <c r="DN34" s="515"/>
      <c r="DO34" s="515"/>
      <c r="DP34" s="515"/>
      <c r="DQ34" s="515"/>
    </row>
    <row r="35" spans="7:121" ht="17.25" thickBot="1">
      <c r="G35" s="185"/>
      <c r="H35" s="225"/>
      <c r="I35" s="226"/>
      <c r="J35" s="226"/>
      <c r="K35" s="226"/>
      <c r="L35" s="226"/>
      <c r="M35" s="226"/>
      <c r="N35" s="227"/>
      <c r="O35" s="228"/>
      <c r="P35" s="229"/>
      <c r="Q35" s="230"/>
      <c r="R35" s="185"/>
      <c r="S35" s="185"/>
      <c r="T35" s="231"/>
      <c r="U35" s="232"/>
      <c r="V35" s="232"/>
      <c r="W35" s="232"/>
      <c r="X35" s="232"/>
      <c r="Y35" s="232"/>
      <c r="Z35" s="232"/>
      <c r="AA35" s="231"/>
      <c r="AB35" s="232"/>
      <c r="AC35" s="232"/>
      <c r="AD35" s="232"/>
      <c r="AE35" s="232"/>
      <c r="AF35" s="232"/>
      <c r="AG35" s="233"/>
      <c r="CD35" s="190"/>
      <c r="CE35" s="190"/>
      <c r="CF35" s="190"/>
      <c r="CG35" s="190"/>
      <c r="CH35" s="190"/>
      <c r="CI35" s="190"/>
      <c r="CJ35" s="190"/>
      <c r="CK35" s="189" t="s">
        <v>1215</v>
      </c>
      <c r="CL35" s="190"/>
      <c r="CM35" s="190"/>
      <c r="CN35" s="190"/>
      <c r="CO35" s="190"/>
      <c r="CP35" s="619"/>
      <c r="CQ35" s="190" t="s">
        <v>2556</v>
      </c>
      <c r="CR35" s="190"/>
      <c r="CS35" s="190"/>
      <c r="CT35" s="190"/>
      <c r="CU35" s="190"/>
      <c r="CV35" s="619"/>
      <c r="CW35" s="647">
        <v>0</v>
      </c>
      <c r="CX35" s="189" t="s">
        <v>3726</v>
      </c>
      <c r="CY35" s="190"/>
      <c r="CZ35" s="190"/>
      <c r="DA35" s="190"/>
      <c r="DB35" s="190"/>
      <c r="DC35" s="619"/>
      <c r="DD35" s="190" t="s">
        <v>2556</v>
      </c>
      <c r="DE35" s="190"/>
      <c r="DF35" s="190"/>
      <c r="DG35" s="190"/>
      <c r="DH35" s="190"/>
      <c r="DI35" s="619"/>
      <c r="DJ35" s="645">
        <v>0</v>
      </c>
      <c r="DK35" s="520"/>
      <c r="DL35" s="520"/>
      <c r="DM35" s="515"/>
      <c r="DN35" s="515"/>
      <c r="DO35" s="515"/>
      <c r="DP35" s="515"/>
      <c r="DQ35" s="515"/>
    </row>
    <row r="36" spans="7:121">
      <c r="G36" s="185"/>
      <c r="H36" s="185"/>
      <c r="I36" s="185"/>
      <c r="J36" s="234"/>
      <c r="K36" s="234"/>
      <c r="L36" s="234"/>
      <c r="M36" s="234"/>
      <c r="N36" s="209"/>
      <c r="O36" s="209"/>
      <c r="P36" s="209"/>
      <c r="Q36" s="209"/>
      <c r="R36" s="209"/>
      <c r="S36" s="209"/>
      <c r="T36" s="185"/>
      <c r="U36" s="185"/>
      <c r="V36" s="185"/>
      <c r="W36" s="185"/>
      <c r="X36" s="185"/>
      <c r="Y36" s="185"/>
      <c r="Z36" s="185"/>
      <c r="AA36" s="185"/>
      <c r="AB36" s="185"/>
      <c r="AC36" s="185"/>
      <c r="AD36" s="185"/>
      <c r="AE36" s="185"/>
      <c r="AF36" s="185"/>
      <c r="AG36" s="185"/>
      <c r="CD36" s="190"/>
      <c r="CE36" s="190"/>
      <c r="CF36" s="190"/>
      <c r="CG36" s="190"/>
      <c r="CH36" s="190"/>
      <c r="CI36" s="190"/>
      <c r="CJ36" s="190"/>
      <c r="CK36" s="189" t="str">
        <f>$CG$4</f>
        <v>(7*5.3)</v>
      </c>
      <c r="CL36" s="190"/>
      <c r="CM36" s="190"/>
      <c r="CN36" s="190"/>
      <c r="CO36" s="190"/>
      <c r="CP36" s="619"/>
      <c r="CQ36" s="190" t="s">
        <v>465</v>
      </c>
      <c r="CR36" s="190"/>
      <c r="CS36" s="190"/>
      <c r="CT36" s="190"/>
      <c r="CU36" s="190"/>
      <c r="CV36" s="619"/>
      <c r="CW36" s="647">
        <v>0</v>
      </c>
      <c r="CX36" s="189" t="str">
        <f>$CG$4</f>
        <v>(7*5.3)</v>
      </c>
      <c r="CY36" s="190"/>
      <c r="CZ36" s="190"/>
      <c r="DA36" s="190"/>
      <c r="DB36" s="190"/>
      <c r="DC36" s="619"/>
      <c r="DD36" s="190" t="s">
        <v>465</v>
      </c>
      <c r="DE36" s="190"/>
      <c r="DF36" s="190"/>
      <c r="DG36" s="190"/>
      <c r="DH36" s="190"/>
      <c r="DI36" s="619"/>
      <c r="DJ36" s="645">
        <v>0</v>
      </c>
      <c r="DK36" s="520"/>
      <c r="DL36" s="520"/>
    </row>
    <row r="37" spans="7:121">
      <c r="G37" s="234"/>
      <c r="H37" s="234"/>
      <c r="I37" s="185"/>
      <c r="J37" s="185"/>
      <c r="K37" s="185"/>
      <c r="L37" s="185"/>
      <c r="M37" s="185"/>
      <c r="N37" s="209"/>
      <c r="O37" s="209"/>
      <c r="P37" s="209"/>
      <c r="Q37" s="209"/>
      <c r="R37" s="209"/>
      <c r="S37" s="209"/>
      <c r="T37" s="185"/>
      <c r="U37" s="185"/>
      <c r="V37" s="185"/>
      <c r="W37" s="185"/>
      <c r="X37" s="185"/>
      <c r="Y37" s="185"/>
      <c r="Z37" s="185"/>
      <c r="AA37" s="185"/>
      <c r="AB37" s="185"/>
      <c r="AC37" s="185"/>
      <c r="AD37" s="185"/>
      <c r="AE37" s="185"/>
      <c r="AF37" s="185"/>
      <c r="AG37" s="185"/>
      <c r="CD37" s="190"/>
      <c r="CE37" s="190"/>
      <c r="CF37" s="190"/>
      <c r="CG37" s="190"/>
      <c r="CH37" s="190"/>
      <c r="CI37" s="190"/>
      <c r="CJ37" s="190"/>
      <c r="CK37" s="189" t="s">
        <v>578</v>
      </c>
      <c r="CL37" s="190"/>
      <c r="CM37" s="190"/>
      <c r="CN37" s="190"/>
      <c r="CO37" s="190"/>
      <c r="CP37" s="619"/>
      <c r="CQ37" s="189" t="s">
        <v>578</v>
      </c>
      <c r="CR37" s="190"/>
      <c r="CS37" s="190"/>
      <c r="CT37" s="190"/>
      <c r="CU37" s="190"/>
      <c r="CV37" s="619"/>
      <c r="CW37" s="647">
        <v>0</v>
      </c>
      <c r="CX37" s="189" t="s">
        <v>578</v>
      </c>
      <c r="CY37" s="190"/>
      <c r="CZ37" s="190"/>
      <c r="DA37" s="190"/>
      <c r="DB37" s="190"/>
      <c r="DC37" s="619"/>
      <c r="DD37" s="189" t="s">
        <v>578</v>
      </c>
      <c r="DE37" s="190"/>
      <c r="DF37" s="190"/>
      <c r="DG37" s="190"/>
      <c r="DH37" s="190"/>
      <c r="DI37" s="619"/>
      <c r="DJ37" s="645">
        <v>0</v>
      </c>
      <c r="DK37" s="520"/>
      <c r="DL37" s="520"/>
    </row>
    <row r="38" spans="7:121">
      <c r="N38" s="515"/>
      <c r="O38" s="515"/>
      <c r="P38" s="515"/>
      <c r="CD38" s="190"/>
      <c r="CE38" s="190"/>
      <c r="CF38" s="190"/>
      <c r="CG38" s="190"/>
      <c r="CH38" s="190"/>
      <c r="CI38" s="190"/>
      <c r="CJ38" s="190"/>
      <c r="CK38" s="189" t="str">
        <f>"("&amp;$CG$4&amp;")*0.05"</f>
        <v>((7*5.3))*0.05</v>
      </c>
      <c r="CL38" s="190"/>
      <c r="CM38" s="190"/>
      <c r="CN38" s="190"/>
      <c r="CO38" s="190"/>
      <c r="CP38" s="619"/>
      <c r="CQ38" s="190" t="str">
        <f>"("&amp;$CG$4&amp;")*0.05"</f>
        <v>((7*5.3))*0.05</v>
      </c>
      <c r="CR38" s="190"/>
      <c r="CS38" s="190"/>
      <c r="CT38" s="190"/>
      <c r="CU38" s="190"/>
      <c r="CV38" s="619"/>
      <c r="CW38" s="647">
        <v>0</v>
      </c>
      <c r="CX38" s="189" t="str">
        <f>"("&amp;$CG$4&amp;")*0.1"</f>
        <v>((7*5.3))*0.1</v>
      </c>
      <c r="CY38" s="190"/>
      <c r="CZ38" s="190"/>
      <c r="DA38" s="190"/>
      <c r="DB38" s="190"/>
      <c r="DC38" s="619"/>
      <c r="DD38" s="190" t="str">
        <f>"("&amp;$CG$4&amp;")*0.1"</f>
        <v>((7*5.3))*0.1</v>
      </c>
      <c r="DE38" s="190"/>
      <c r="DF38" s="190"/>
      <c r="DG38" s="190"/>
      <c r="DH38" s="190"/>
      <c r="DI38" s="619"/>
      <c r="DJ38" s="645">
        <v>0</v>
      </c>
      <c r="DK38" s="520"/>
      <c r="DL38" s="520"/>
    </row>
    <row r="39" spans="7:121">
      <c r="CD39" s="190"/>
      <c r="CE39" s="190"/>
      <c r="CF39" s="190"/>
      <c r="CG39" s="190"/>
      <c r="CH39" s="190"/>
      <c r="CI39" s="190"/>
      <c r="CJ39" s="190"/>
      <c r="CK39" s="189" t="s">
        <v>1149</v>
      </c>
      <c r="CL39" s="190"/>
      <c r="CM39" s="190"/>
      <c r="CN39" s="190"/>
      <c r="CO39" s="190"/>
      <c r="CP39" s="619"/>
      <c r="CQ39" s="190" t="str">
        <f>IF($CH$5&lt;50,"瀝青混凝土舖面，舖築及滾壓，緊急搶修工程用，鋪設面積≦50m2適用","瀝青混凝土舖面，舖築及滾壓，緊急搶修工程用，鋪設面積＞50m2適用")</f>
        <v>瀝青混凝土舖面，舖築及滾壓，緊急搶修工程用，鋪設面積≦50m2適用</v>
      </c>
      <c r="CR39" s="190"/>
      <c r="CS39" s="190"/>
      <c r="CT39" s="190"/>
      <c r="CU39" s="190"/>
      <c r="CV39" s="619"/>
      <c r="CW39" s="647">
        <v>0</v>
      </c>
      <c r="CX39" s="189" t="s">
        <v>1149</v>
      </c>
      <c r="CY39" s="190"/>
      <c r="CZ39" s="190"/>
      <c r="DA39" s="190"/>
      <c r="DB39" s="190"/>
      <c r="DC39" s="619"/>
      <c r="DD39" s="190" t="str">
        <f>IF($CH$5&lt;50,"瀝青混凝土舖面，舖築及滾壓，緊急搶修工程用，鋪設面積≦50m2適用","瀝青混凝土舖面，舖築及滾壓，緊急搶修工程用，鋪設面積＞50m2適用")</f>
        <v>瀝青混凝土舖面，舖築及滾壓，緊急搶修工程用，鋪設面積≦50m2適用</v>
      </c>
      <c r="DE39" s="190"/>
      <c r="DF39" s="190"/>
      <c r="DG39" s="190"/>
      <c r="DH39" s="190"/>
      <c r="DI39" s="619"/>
      <c r="DJ39" s="645">
        <v>0</v>
      </c>
      <c r="DK39" s="520"/>
      <c r="DL39" s="520"/>
    </row>
    <row r="40" spans="7:121">
      <c r="CD40" s="190"/>
      <c r="CE40" s="190"/>
      <c r="CF40" s="190"/>
      <c r="CG40" s="190"/>
      <c r="CH40" s="190"/>
      <c r="CI40" s="190"/>
      <c r="CJ40" s="190"/>
      <c r="CK40" s="189" t="str">
        <f>"("&amp;$CG$4&amp;")"</f>
        <v>((7*5.3))</v>
      </c>
      <c r="CL40" s="190"/>
      <c r="CM40" s="190"/>
      <c r="CN40" s="190"/>
      <c r="CO40" s="190"/>
      <c r="CP40" s="619"/>
      <c r="CQ40" s="190" t="s">
        <v>465</v>
      </c>
      <c r="CR40" s="190"/>
      <c r="CS40" s="190"/>
      <c r="CT40" s="190"/>
      <c r="CU40" s="190"/>
      <c r="CV40" s="619"/>
      <c r="CW40" s="647">
        <v>0</v>
      </c>
      <c r="CX40" s="189" t="str">
        <f>"("&amp;$CG$4&amp;")*2"</f>
        <v>((7*5.3))*2</v>
      </c>
      <c r="CY40" s="190"/>
      <c r="CZ40" s="190"/>
      <c r="DA40" s="190"/>
      <c r="DB40" s="190"/>
      <c r="DC40" s="619"/>
      <c r="DD40" s="190" t="s">
        <v>465</v>
      </c>
      <c r="DE40" s="190"/>
      <c r="DF40" s="190"/>
      <c r="DG40" s="190"/>
      <c r="DH40" s="190"/>
      <c r="DI40" s="619"/>
      <c r="DJ40" s="645">
        <v>0</v>
      </c>
      <c r="DK40" s="520"/>
      <c r="DL40" s="520"/>
    </row>
    <row r="41" spans="7:121">
      <c r="G41" s="235" t="s">
        <v>3837</v>
      </c>
      <c r="H41" s="235"/>
      <c r="I41" s="235"/>
      <c r="J41" s="235"/>
      <c r="K41" s="235"/>
      <c r="L41" s="235"/>
      <c r="M41" s="235"/>
      <c r="N41" s="235"/>
      <c r="O41" s="235"/>
      <c r="P41" s="235"/>
      <c r="Q41" s="235"/>
      <c r="R41" s="235"/>
      <c r="S41" s="235"/>
      <c r="T41" s="235"/>
      <c r="U41" s="235"/>
      <c r="V41" s="235"/>
      <c r="W41" s="235"/>
      <c r="X41" s="235"/>
      <c r="Y41" s="235"/>
      <c r="Z41" s="235"/>
      <c r="AA41" s="235"/>
      <c r="AB41" s="235"/>
      <c r="AC41" s="235"/>
      <c r="AD41" s="235"/>
      <c r="CD41" s="190"/>
      <c r="CE41" s="190"/>
      <c r="CF41" s="190"/>
      <c r="CG41" s="190"/>
      <c r="CH41" s="190"/>
      <c r="CI41" s="190"/>
      <c r="CJ41" s="190"/>
      <c r="CK41" s="189" t="s">
        <v>4278</v>
      </c>
      <c r="CL41" s="190"/>
      <c r="CM41" s="190"/>
      <c r="CN41" s="190"/>
      <c r="CO41" s="190"/>
      <c r="CP41" s="619"/>
      <c r="CQ41" s="190" t="s">
        <v>3731</v>
      </c>
      <c r="CR41" s="190"/>
      <c r="CS41" s="190"/>
      <c r="CT41" s="190"/>
      <c r="CU41" s="190"/>
      <c r="CV41" s="619"/>
      <c r="CW41" s="647">
        <v>0</v>
      </c>
      <c r="CX41" s="189" t="s">
        <v>4278</v>
      </c>
      <c r="CY41" s="190"/>
      <c r="CZ41" s="190"/>
      <c r="DA41" s="190"/>
      <c r="DB41" s="190"/>
      <c r="DC41" s="619"/>
      <c r="DD41" s="190" t="s">
        <v>3731</v>
      </c>
      <c r="DE41" s="190"/>
      <c r="DF41" s="190"/>
      <c r="DG41" s="190"/>
      <c r="DH41" s="190"/>
      <c r="DI41" s="619"/>
      <c r="DJ41" s="645">
        <v>0</v>
      </c>
      <c r="DK41" s="520"/>
      <c r="DL41" s="520"/>
    </row>
    <row r="42" spans="7:121">
      <c r="G42" s="235"/>
      <c r="H42" s="235"/>
      <c r="I42" s="235"/>
      <c r="J42" s="235"/>
      <c r="K42" s="235"/>
      <c r="L42" s="235"/>
      <c r="M42" s="235"/>
      <c r="N42" s="235"/>
      <c r="O42" s="235"/>
      <c r="P42" s="235"/>
      <c r="Q42" s="235"/>
      <c r="R42" s="235"/>
      <c r="S42" s="235"/>
      <c r="T42" s="235"/>
      <c r="U42" s="235"/>
      <c r="V42" s="235"/>
      <c r="W42" s="235"/>
      <c r="X42" s="235"/>
      <c r="Y42" s="235"/>
      <c r="Z42" s="235"/>
      <c r="AA42" s="235"/>
      <c r="AB42" s="235"/>
      <c r="AC42" s="235"/>
      <c r="AD42" s="235"/>
      <c r="CD42" s="190"/>
      <c r="CE42" s="190"/>
      <c r="CF42" s="190"/>
      <c r="CG42" s="190"/>
      <c r="CH42" s="190"/>
      <c r="CI42" s="190"/>
      <c r="CJ42" s="190"/>
      <c r="CK42" s="189" t="str">
        <f>"("&amp;$CG$4&amp;")*0.05"</f>
        <v>((7*5.3))*0.05</v>
      </c>
      <c r="CL42" s="190"/>
      <c r="CM42" s="190"/>
      <c r="CN42" s="190"/>
      <c r="CO42" s="190"/>
      <c r="CP42" s="619"/>
      <c r="CQ42" s="190" t="str">
        <f>"("&amp;$CG$4&amp;")*0.05"</f>
        <v>((7*5.3))*0.05</v>
      </c>
      <c r="CR42" s="190"/>
      <c r="CS42" s="190"/>
      <c r="CT42" s="190"/>
      <c r="CU42" s="190"/>
      <c r="CV42" s="619"/>
      <c r="CW42" s="647">
        <v>0</v>
      </c>
      <c r="CX42" s="189" t="str">
        <f>"("&amp;$CG$4&amp;")*0.05"</f>
        <v>((7*5.3))*0.05</v>
      </c>
      <c r="CY42" s="190"/>
      <c r="CZ42" s="190"/>
      <c r="DA42" s="190"/>
      <c r="DB42" s="190"/>
      <c r="DC42" s="619"/>
      <c r="DD42" s="190" t="str">
        <f>"("&amp;$CG$4&amp;")*0.05"</f>
        <v>((7*5.3))*0.05</v>
      </c>
      <c r="DE42" s="190"/>
      <c r="DF42" s="190"/>
      <c r="DG42" s="190"/>
      <c r="DH42" s="190"/>
      <c r="DI42" s="619"/>
      <c r="DJ42" s="645">
        <v>0</v>
      </c>
      <c r="DK42" s="520"/>
      <c r="DL42" s="520"/>
    </row>
    <row r="43" spans="7:121">
      <c r="G43" s="235"/>
      <c r="H43" s="522" t="s">
        <v>3812</v>
      </c>
      <c r="I43" s="522" t="s">
        <v>3813</v>
      </c>
      <c r="J43" s="522" t="s">
        <v>3814</v>
      </c>
      <c r="K43" s="522" t="s">
        <v>3815</v>
      </c>
      <c r="L43" s="522"/>
      <c r="M43" s="522"/>
      <c r="N43" s="522"/>
      <c r="O43" s="522"/>
      <c r="P43" s="522"/>
      <c r="Q43" s="235"/>
      <c r="R43" s="235"/>
      <c r="S43" s="235"/>
      <c r="T43" s="235"/>
      <c r="U43" s="235"/>
      <c r="V43" s="235"/>
      <c r="W43" s="235"/>
      <c r="X43" s="235"/>
      <c r="Y43" s="235"/>
      <c r="Z43" s="235"/>
      <c r="AA43" s="235"/>
      <c r="AB43" s="235"/>
      <c r="AC43" s="235"/>
      <c r="AD43" s="235"/>
      <c r="CD43" s="190"/>
      <c r="CE43" s="190"/>
      <c r="CF43" s="190"/>
      <c r="CG43" s="190"/>
      <c r="CH43" s="190"/>
      <c r="CI43" s="190"/>
      <c r="CJ43" s="190"/>
      <c r="CK43" s="189" t="s">
        <v>2954</v>
      </c>
      <c r="CL43" s="190"/>
      <c r="CM43" s="190"/>
      <c r="CN43" s="190"/>
      <c r="CO43" s="190"/>
      <c r="CP43" s="619"/>
      <c r="CQ43" s="190" t="s">
        <v>1149</v>
      </c>
      <c r="CR43" s="190"/>
      <c r="CS43" s="190"/>
      <c r="CT43" s="190"/>
      <c r="CU43" s="190"/>
      <c r="CV43" s="619"/>
      <c r="CW43" s="647">
        <v>0</v>
      </c>
      <c r="CX43" s="189" t="s">
        <v>4279</v>
      </c>
      <c r="CY43" s="190"/>
      <c r="CZ43" s="190"/>
      <c r="DA43" s="190"/>
      <c r="DB43" s="190"/>
      <c r="DC43" s="619"/>
      <c r="DD43" s="190" t="s">
        <v>3743</v>
      </c>
      <c r="DE43" s="190"/>
      <c r="DF43" s="190"/>
      <c r="DG43" s="190"/>
      <c r="DH43" s="190"/>
      <c r="DI43" s="619"/>
      <c r="DJ43" s="645">
        <v>0</v>
      </c>
      <c r="DK43" s="520"/>
      <c r="DL43" s="520"/>
    </row>
    <row r="44" spans="7:121">
      <c r="G44" s="235"/>
      <c r="H44" s="522" t="str">
        <f>數量計算!E46</f>
        <v>搶修案</v>
      </c>
      <c r="I44" s="522" t="str">
        <f>數量計算!F46</f>
        <v>新設</v>
      </c>
      <c r="J44" s="522" t="str">
        <f>數量計算!G46</f>
        <v>無既有溝</v>
      </c>
      <c r="K44" s="522" t="str">
        <f>數量計算!H46</f>
        <v>無</v>
      </c>
      <c r="L44" s="522"/>
      <c r="M44" s="522"/>
      <c r="N44" s="522"/>
      <c r="O44" s="522"/>
      <c r="P44" s="522"/>
      <c r="Q44" s="235"/>
      <c r="R44" s="235"/>
      <c r="S44" s="235"/>
      <c r="T44" s="235"/>
      <c r="U44" s="235"/>
      <c r="V44" s="235"/>
      <c r="W44" s="235"/>
      <c r="X44" s="235"/>
      <c r="Y44" s="235"/>
      <c r="Z44" s="235"/>
      <c r="AA44" s="235"/>
      <c r="AB44" s="235"/>
      <c r="AC44" s="235"/>
      <c r="AD44" s="235"/>
      <c r="AF44" s="236"/>
      <c r="AG44" s="236"/>
      <c r="AH44" s="236"/>
      <c r="AI44" s="236"/>
      <c r="AJ44" s="236"/>
      <c r="AK44" s="236"/>
      <c r="AL44" s="236"/>
      <c r="CD44" s="190"/>
      <c r="CE44" s="190"/>
      <c r="CF44" s="190"/>
      <c r="CG44" s="190"/>
      <c r="CH44" s="190"/>
      <c r="CI44" s="190"/>
      <c r="CJ44" s="190"/>
      <c r="CK44" s="635">
        <v>1</v>
      </c>
      <c r="CL44" s="190"/>
      <c r="CM44" s="190"/>
      <c r="CN44" s="190"/>
      <c r="CO44" s="190"/>
      <c r="CP44" s="619"/>
      <c r="CQ44" s="189" t="str">
        <f>"("&amp;$CG$4&amp;")"</f>
        <v>((7*5.3))</v>
      </c>
      <c r="CR44" s="190"/>
      <c r="CS44" s="190"/>
      <c r="CT44" s="190"/>
      <c r="CU44" s="190"/>
      <c r="CV44" s="619"/>
      <c r="CW44" s="647">
        <v>0</v>
      </c>
      <c r="CX44" s="189" t="str">
        <f>"("&amp;$CG$4&amp;")*0.05"</f>
        <v>((7*5.3))*0.05</v>
      </c>
      <c r="CY44" s="190"/>
      <c r="CZ44" s="190"/>
      <c r="DA44" s="190"/>
      <c r="DB44" s="190"/>
      <c r="DC44" s="619"/>
      <c r="DD44" s="190" t="str">
        <f>"("&amp;$CG$4&amp;")*0.05"</f>
        <v>((7*5.3))*0.05</v>
      </c>
      <c r="DE44" s="190"/>
      <c r="DF44" s="190"/>
      <c r="DG44" s="190"/>
      <c r="DH44" s="190"/>
      <c r="DI44" s="619"/>
      <c r="DJ44" s="645">
        <v>0</v>
      </c>
      <c r="DK44" s="520"/>
      <c r="DL44" s="520"/>
    </row>
    <row r="45" spans="7:121">
      <c r="G45" s="235"/>
      <c r="H45" s="522" t="s">
        <v>3816</v>
      </c>
      <c r="I45" s="522" t="s">
        <v>3817</v>
      </c>
      <c r="J45" s="522" t="s">
        <v>3818</v>
      </c>
      <c r="K45" s="522" t="s">
        <v>3819</v>
      </c>
      <c r="L45" s="522" t="s">
        <v>3820</v>
      </c>
      <c r="M45" s="522" t="s">
        <v>3821</v>
      </c>
      <c r="N45" s="522"/>
      <c r="O45" s="522"/>
      <c r="P45" s="522"/>
      <c r="Q45" s="235"/>
      <c r="R45" s="521" t="s">
        <v>3822</v>
      </c>
      <c r="S45" s="521" t="s">
        <v>3823</v>
      </c>
      <c r="T45" s="521" t="s">
        <v>3824</v>
      </c>
      <c r="U45" s="235"/>
      <c r="V45" s="235"/>
      <c r="W45" s="235"/>
      <c r="X45" s="235"/>
      <c r="Y45" s="235"/>
      <c r="Z45" s="235"/>
      <c r="AA45" s="235"/>
      <c r="AB45" s="235"/>
      <c r="AC45" s="235"/>
      <c r="AD45" s="235"/>
      <c r="AF45" s="236"/>
      <c r="AG45" s="236"/>
      <c r="AH45" s="236"/>
      <c r="AI45" s="236"/>
      <c r="AJ45" s="236"/>
      <c r="AK45" s="236"/>
      <c r="AL45" s="236"/>
      <c r="CD45" s="190"/>
      <c r="CE45" s="190"/>
      <c r="CF45" s="190"/>
      <c r="CG45" s="190"/>
      <c r="CH45" s="190"/>
      <c r="CI45" s="190"/>
      <c r="CJ45" s="190"/>
      <c r="CK45" s="636" t="s">
        <v>801</v>
      </c>
      <c r="CL45" s="190"/>
      <c r="CM45" s="190"/>
      <c r="CN45" s="190"/>
      <c r="CO45" s="190"/>
      <c r="CP45" s="619"/>
      <c r="CQ45" s="190" t="s">
        <v>2954</v>
      </c>
      <c r="CR45" s="190"/>
      <c r="CS45" s="190"/>
      <c r="CT45" s="190"/>
      <c r="CU45" s="190"/>
      <c r="CV45" s="619"/>
      <c r="CW45" s="647">
        <v>0</v>
      </c>
      <c r="CX45" s="189" t="s">
        <v>2954</v>
      </c>
      <c r="CY45" s="190"/>
      <c r="CZ45" s="190"/>
      <c r="DA45" s="190"/>
      <c r="DB45" s="190"/>
      <c r="DC45" s="619"/>
      <c r="DD45" s="189" t="s">
        <v>1149</v>
      </c>
      <c r="DE45" s="190"/>
      <c r="DF45" s="190"/>
      <c r="DG45" s="190"/>
      <c r="DH45" s="190"/>
      <c r="DI45" s="619"/>
      <c r="DJ45" s="645">
        <v>0</v>
      </c>
      <c r="DK45" s="520"/>
      <c r="DL45" s="520"/>
    </row>
    <row r="46" spans="7:121">
      <c r="G46" s="235"/>
      <c r="H46" s="522">
        <f>數量計算!C48*0.01</f>
        <v>0.75</v>
      </c>
      <c r="I46" s="522">
        <f>數量計算!B48*0.01</f>
        <v>0.5</v>
      </c>
      <c r="J46" s="522">
        <f>數量計算!D48*0.01</f>
        <v>0.15</v>
      </c>
      <c r="K46" s="522">
        <f>數量計算!F48*0.01</f>
        <v>0.6</v>
      </c>
      <c r="L46" s="522">
        <f>數量計算!E48*0.01</f>
        <v>0.4</v>
      </c>
      <c r="M46" s="522">
        <f>數量計算!G48*0.01</f>
        <v>0.2</v>
      </c>
      <c r="N46" s="522"/>
      <c r="O46" s="522"/>
      <c r="P46" s="522"/>
      <c r="Q46" s="235"/>
      <c r="R46" s="521" t="e">
        <f>數量計算!#REF!</f>
        <v>#REF!</v>
      </c>
      <c r="S46" s="521" t="e">
        <f>ROUND(SUM(Q56:Q75),2)</f>
        <v>#REF!</v>
      </c>
      <c r="T46" s="521" t="e">
        <f>ROUND((R46*S46),2)</f>
        <v>#REF!</v>
      </c>
      <c r="U46" s="235"/>
      <c r="V46" s="235"/>
      <c r="W46" s="235"/>
      <c r="X46" s="235"/>
      <c r="Y46" s="235"/>
      <c r="Z46" s="235"/>
      <c r="AA46" s="235"/>
      <c r="AB46" s="235"/>
      <c r="AC46" s="235"/>
      <c r="AD46" s="235"/>
      <c r="CD46" s="190"/>
      <c r="CE46" s="190"/>
      <c r="CF46" s="190"/>
      <c r="CG46" s="190"/>
      <c r="CH46" s="190"/>
      <c r="CI46" s="190"/>
      <c r="CJ46" s="190"/>
      <c r="CK46" s="692">
        <v>1</v>
      </c>
      <c r="CL46" s="190"/>
      <c r="CM46" s="190"/>
      <c r="CN46" s="190"/>
      <c r="CO46" s="190"/>
      <c r="CP46" s="619"/>
      <c r="CQ46" s="190" t="s">
        <v>465</v>
      </c>
      <c r="CR46" s="190"/>
      <c r="CS46" s="190"/>
      <c r="CT46" s="190"/>
      <c r="CU46" s="190"/>
      <c r="CV46" s="619"/>
      <c r="CW46" s="647">
        <v>0</v>
      </c>
      <c r="CX46" s="635">
        <v>1</v>
      </c>
      <c r="CY46" s="190"/>
      <c r="CZ46" s="190"/>
      <c r="DA46" s="190"/>
      <c r="DB46" s="190"/>
      <c r="DC46" s="619"/>
      <c r="DD46" s="189" t="str">
        <f>"("&amp;$CG$4&amp;")*2"</f>
        <v>((7*5.3))*2</v>
      </c>
      <c r="DE46" s="190"/>
      <c r="DF46" s="190"/>
      <c r="DG46" s="190"/>
      <c r="DH46" s="190"/>
      <c r="DI46" s="619"/>
      <c r="DJ46" s="645">
        <v>0</v>
      </c>
      <c r="DK46" s="520"/>
      <c r="DL46" s="520"/>
    </row>
    <row r="47" spans="7:121">
      <c r="G47" s="235"/>
      <c r="H47" s="523" t="s">
        <v>3709</v>
      </c>
      <c r="I47" s="522" t="s">
        <v>3825</v>
      </c>
      <c r="J47" s="522" t="s">
        <v>3826</v>
      </c>
      <c r="K47" s="522" t="s">
        <v>3838</v>
      </c>
      <c r="L47" s="522" t="s">
        <v>3828</v>
      </c>
      <c r="M47" s="522" t="s">
        <v>3839</v>
      </c>
      <c r="N47" s="522" t="s">
        <v>3840</v>
      </c>
      <c r="O47" s="522" t="s">
        <v>3841</v>
      </c>
      <c r="P47" s="522"/>
      <c r="Q47" s="235"/>
      <c r="R47" s="235"/>
      <c r="S47" s="235"/>
      <c r="T47" s="235"/>
      <c r="U47" s="235"/>
      <c r="V47" s="235"/>
      <c r="W47" s="235"/>
      <c r="X47" s="235"/>
      <c r="Y47" s="235"/>
      <c r="Z47" s="235"/>
      <c r="AA47" s="235"/>
      <c r="AB47" s="235"/>
      <c r="AC47" s="235"/>
      <c r="AD47" s="235"/>
      <c r="AF47" s="237"/>
      <c r="AH47" s="238"/>
      <c r="BA47" s="239"/>
      <c r="BB47" s="239"/>
      <c r="BC47" s="239"/>
      <c r="BD47" s="239"/>
      <c r="BE47" s="239"/>
      <c r="BF47" s="239"/>
      <c r="BG47" s="239"/>
      <c r="BH47" s="239"/>
      <c r="BI47" s="239"/>
      <c r="BJ47" s="239"/>
      <c r="BK47" s="239"/>
      <c r="BL47" s="239"/>
      <c r="BM47" s="239"/>
      <c r="BN47" s="239"/>
      <c r="CD47" s="190"/>
      <c r="CE47" s="190"/>
      <c r="CF47" s="190"/>
      <c r="CG47" s="190"/>
      <c r="CH47" s="190"/>
      <c r="CI47" s="190"/>
      <c r="CJ47" s="190"/>
      <c r="CK47" s="692" t="s">
        <v>2996</v>
      </c>
      <c r="CL47" s="190"/>
      <c r="CM47" s="190"/>
      <c r="CN47" s="190"/>
      <c r="CO47" s="190"/>
      <c r="CP47" s="619"/>
      <c r="CQ47" s="636" t="s">
        <v>801</v>
      </c>
      <c r="CR47" s="190"/>
      <c r="CS47" s="190"/>
      <c r="CT47" s="190"/>
      <c r="CU47" s="190"/>
      <c r="CV47" s="619"/>
      <c r="CW47" s="647">
        <v>0</v>
      </c>
      <c r="CX47" s="636" t="s">
        <v>801</v>
      </c>
      <c r="CY47" s="190"/>
      <c r="CZ47" s="190"/>
      <c r="DA47" s="190"/>
      <c r="DB47" s="190"/>
      <c r="DC47" s="619"/>
      <c r="DD47" s="190" t="s">
        <v>2954</v>
      </c>
      <c r="DE47" s="190"/>
      <c r="DF47" s="190"/>
      <c r="DG47" s="190"/>
      <c r="DH47" s="190"/>
      <c r="DI47" s="619"/>
      <c r="DJ47" s="645">
        <v>0</v>
      </c>
      <c r="DK47" s="520"/>
      <c r="DL47" s="520"/>
    </row>
    <row r="48" spans="7:121">
      <c r="G48" s="235"/>
      <c r="H48" s="522">
        <f>$I$46+$J$46+$J$46</f>
        <v>0.8</v>
      </c>
      <c r="I48" s="522">
        <v>0.2</v>
      </c>
      <c r="J48" s="522">
        <v>0.15</v>
      </c>
      <c r="K48" s="522">
        <f>1-($J$46*2)</f>
        <v>0.7</v>
      </c>
      <c r="L48" s="522">
        <f>($I$7*0.5)</f>
        <v>0.2</v>
      </c>
      <c r="M48" s="522">
        <f>數量計算!D51</f>
        <v>16</v>
      </c>
      <c r="N48" s="522">
        <f>數量計算!G51</f>
        <v>6.96</v>
      </c>
      <c r="O48" s="522">
        <f>數量計算!J51</f>
        <v>3.36</v>
      </c>
      <c r="P48" s="522"/>
      <c r="Q48" s="235"/>
      <c r="R48" s="235"/>
      <c r="S48" s="235"/>
      <c r="T48" s="235"/>
      <c r="U48" s="235"/>
      <c r="V48" s="235"/>
      <c r="W48" s="235"/>
      <c r="X48" s="235"/>
      <c r="Y48" s="235"/>
      <c r="Z48" s="235"/>
      <c r="AA48" s="235"/>
      <c r="AB48" s="235"/>
      <c r="AC48" s="235"/>
      <c r="AD48" s="235"/>
      <c r="AH48" s="240"/>
      <c r="BA48" s="239"/>
      <c r="BB48" s="239"/>
      <c r="BC48" s="239"/>
      <c r="BD48" s="239"/>
      <c r="BE48" s="239"/>
      <c r="BF48" s="239"/>
      <c r="BG48" s="239"/>
      <c r="BH48" s="239"/>
      <c r="BI48" s="239"/>
      <c r="BJ48" s="239"/>
      <c r="BK48" s="239"/>
      <c r="BL48" s="239"/>
      <c r="BM48" s="239"/>
      <c r="BN48" s="239"/>
      <c r="CD48" s="190"/>
      <c r="CE48" s="190"/>
      <c r="CF48" s="190"/>
      <c r="CG48" s="190"/>
      <c r="CH48" s="190"/>
      <c r="CI48" s="190"/>
      <c r="CJ48" s="190"/>
      <c r="CK48" s="692">
        <v>1</v>
      </c>
      <c r="CL48" s="190"/>
      <c r="CM48" s="190"/>
      <c r="CN48" s="190"/>
      <c r="CO48" s="190"/>
      <c r="CP48" s="619"/>
      <c r="CQ48" s="692">
        <v>1</v>
      </c>
      <c r="CR48" s="190"/>
      <c r="CS48" s="190"/>
      <c r="CT48" s="190"/>
      <c r="CU48" s="190"/>
      <c r="CV48" s="619"/>
      <c r="CW48" s="647"/>
      <c r="CX48" s="692">
        <v>1</v>
      </c>
      <c r="CY48" s="190"/>
      <c r="CZ48" s="190"/>
      <c r="DA48" s="190"/>
      <c r="DB48" s="190"/>
      <c r="DC48" s="619"/>
      <c r="DD48" s="190" t="s">
        <v>465</v>
      </c>
      <c r="DE48" s="190"/>
      <c r="DF48" s="190"/>
      <c r="DG48" s="190"/>
      <c r="DH48" s="190"/>
      <c r="DI48" s="619"/>
      <c r="DJ48" s="645"/>
      <c r="DK48" s="520"/>
      <c r="DL48" s="520"/>
    </row>
    <row r="49" spans="7:116">
      <c r="G49" s="235"/>
      <c r="H49" s="523" t="s">
        <v>3709</v>
      </c>
      <c r="I49" s="522" t="s">
        <v>3825</v>
      </c>
      <c r="J49" s="522" t="s">
        <v>3826</v>
      </c>
      <c r="K49" s="522" t="s">
        <v>3838</v>
      </c>
      <c r="L49" s="522" t="s">
        <v>3827</v>
      </c>
      <c r="M49" s="522" t="s">
        <v>3828</v>
      </c>
      <c r="N49" s="522"/>
      <c r="O49" s="522"/>
      <c r="P49" s="522"/>
      <c r="Q49" s="235"/>
      <c r="R49" s="235"/>
      <c r="S49" s="235"/>
      <c r="T49" s="235"/>
      <c r="U49" s="235"/>
      <c r="V49" s="235"/>
      <c r="W49" s="235"/>
      <c r="X49" s="235"/>
      <c r="Y49" s="235"/>
      <c r="Z49" s="235"/>
      <c r="AA49" s="235"/>
      <c r="AB49" s="235"/>
      <c r="AC49" s="235"/>
      <c r="AD49" s="235"/>
      <c r="AH49" s="238"/>
      <c r="BA49" s="239"/>
      <c r="BB49" s="239"/>
      <c r="BC49" s="239"/>
      <c r="BD49" s="239"/>
      <c r="BE49" s="239"/>
      <c r="BF49" s="239"/>
      <c r="BG49" s="239"/>
      <c r="BH49" s="239"/>
      <c r="BI49" s="239"/>
      <c r="BJ49" s="239"/>
      <c r="BK49" s="239"/>
      <c r="BL49" s="239"/>
      <c r="BM49" s="239"/>
      <c r="BN49" s="239"/>
      <c r="CD49" s="190"/>
      <c r="CE49" s="190"/>
      <c r="CF49" s="190"/>
      <c r="CG49" s="190"/>
      <c r="CH49" s="190"/>
      <c r="CI49" s="190"/>
      <c r="CJ49" s="190"/>
      <c r="CK49" s="636"/>
      <c r="CL49" s="190"/>
      <c r="CM49" s="190"/>
      <c r="CN49" s="190"/>
      <c r="CO49" s="190"/>
      <c r="CP49" s="619"/>
      <c r="CQ49" s="692" t="s">
        <v>2996</v>
      </c>
      <c r="CR49" s="190"/>
      <c r="CS49" s="190"/>
      <c r="CT49" s="190"/>
      <c r="CU49" s="190"/>
      <c r="CV49" s="619"/>
      <c r="CW49" s="647"/>
      <c r="CX49" s="692" t="s">
        <v>2996</v>
      </c>
      <c r="CY49" s="190"/>
      <c r="CZ49" s="190"/>
      <c r="DA49" s="190"/>
      <c r="DB49" s="190"/>
      <c r="DC49" s="619"/>
      <c r="DD49" s="636" t="s">
        <v>801</v>
      </c>
      <c r="DE49" s="190"/>
      <c r="DF49" s="190"/>
      <c r="DG49" s="190"/>
      <c r="DH49" s="190"/>
      <c r="DI49" s="619"/>
      <c r="DJ49" s="645"/>
      <c r="DK49" s="520"/>
      <c r="DL49" s="520"/>
    </row>
    <row r="50" spans="7:116">
      <c r="G50" s="235"/>
      <c r="H50" s="522">
        <f>$L$46+$M$46+$M$46</f>
        <v>0.8</v>
      </c>
      <c r="I50" s="524" t="str">
        <f>IF($J$44="既有井","0.2","0.25")</f>
        <v>0.25</v>
      </c>
      <c r="J50" s="524" t="str">
        <f>IF($J$44="既有井","0.15","0.2")</f>
        <v>0.2</v>
      </c>
      <c r="K50" s="522">
        <f>1-($M$46*2)</f>
        <v>0.6</v>
      </c>
      <c r="L50" s="522">
        <f>($K$7-($L$7*0.5))</f>
        <v>0.37999999999999995</v>
      </c>
      <c r="M50" s="522">
        <f>($L$7*0.5)</f>
        <v>0.2</v>
      </c>
      <c r="N50" s="522"/>
      <c r="O50" s="522"/>
      <c r="P50" s="522"/>
      <c r="Q50" s="235"/>
      <c r="R50" s="235"/>
      <c r="S50" s="235"/>
      <c r="T50" s="235"/>
      <c r="U50" s="235"/>
      <c r="V50" s="235"/>
      <c r="W50" s="235"/>
      <c r="X50" s="235"/>
      <c r="Y50" s="235"/>
      <c r="Z50" s="235"/>
      <c r="AA50" s="235"/>
      <c r="AB50" s="235"/>
      <c r="AC50" s="235"/>
      <c r="AD50" s="235"/>
      <c r="BA50" s="239"/>
      <c r="BB50" s="239"/>
      <c r="BC50" s="239"/>
      <c r="BD50" s="239"/>
      <c r="CD50" s="190"/>
      <c r="CE50" s="190"/>
      <c r="CF50" s="190"/>
      <c r="CG50" s="190"/>
      <c r="CH50" s="190"/>
      <c r="CI50" s="190"/>
      <c r="CJ50" s="190"/>
      <c r="CK50" s="636"/>
      <c r="CL50" s="190"/>
      <c r="CM50" s="190"/>
      <c r="CN50" s="190"/>
      <c r="CO50" s="190"/>
      <c r="CP50" s="619"/>
      <c r="CQ50" s="692">
        <v>1</v>
      </c>
      <c r="CR50" s="190"/>
      <c r="CS50" s="190"/>
      <c r="CT50" s="190"/>
      <c r="CU50" s="190"/>
      <c r="CV50" s="619"/>
      <c r="CW50" s="647"/>
      <c r="CX50" s="692">
        <v>1</v>
      </c>
      <c r="CY50" s="190"/>
      <c r="CZ50" s="190"/>
      <c r="DA50" s="190"/>
      <c r="DB50" s="190"/>
      <c r="DC50" s="619"/>
      <c r="DD50" s="692">
        <v>1</v>
      </c>
      <c r="DE50" s="190"/>
      <c r="DF50" s="190"/>
      <c r="DG50" s="190"/>
      <c r="DH50" s="190"/>
      <c r="DI50" s="619"/>
      <c r="DJ50" s="645"/>
      <c r="DK50" s="520"/>
      <c r="DL50" s="520"/>
    </row>
    <row r="51" spans="7:116">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BA51" s="239"/>
      <c r="BB51" s="239"/>
      <c r="BC51" s="239"/>
      <c r="BD51" s="239"/>
      <c r="CD51" s="190"/>
      <c r="CE51" s="190"/>
      <c r="CF51" s="190"/>
      <c r="CG51" s="190"/>
      <c r="CH51" s="190"/>
      <c r="CI51" s="190"/>
      <c r="CJ51" s="190"/>
      <c r="CK51" s="636"/>
      <c r="CL51" s="190"/>
      <c r="CM51" s="190"/>
      <c r="CN51" s="190"/>
      <c r="CO51" s="190"/>
      <c r="CP51" s="619"/>
      <c r="CQ51" s="241"/>
      <c r="CR51" s="190"/>
      <c r="CS51" s="190"/>
      <c r="CT51" s="190"/>
      <c r="CU51" s="190"/>
      <c r="CV51" s="619"/>
      <c r="CW51" s="647"/>
      <c r="CX51" s="636"/>
      <c r="CY51" s="190"/>
      <c r="CZ51" s="190"/>
      <c r="DA51" s="190"/>
      <c r="DB51" s="190"/>
      <c r="DC51" s="619"/>
      <c r="DD51" s="692" t="s">
        <v>2996</v>
      </c>
      <c r="DE51" s="190"/>
      <c r="DF51" s="190"/>
      <c r="DG51" s="190"/>
      <c r="DH51" s="190"/>
      <c r="DI51" s="619"/>
      <c r="DJ51" s="645"/>
      <c r="DK51" s="520"/>
      <c r="DL51" s="520"/>
    </row>
    <row r="52" spans="7:116">
      <c r="G52" s="235"/>
      <c r="H52" s="235"/>
      <c r="I52" s="235"/>
      <c r="J52" s="235"/>
      <c r="K52" s="235"/>
      <c r="L52" s="235"/>
      <c r="M52" s="235"/>
      <c r="N52" s="235"/>
      <c r="O52" s="235"/>
      <c r="P52" s="235"/>
      <c r="Q52" s="235"/>
      <c r="R52" s="235"/>
      <c r="S52" s="235"/>
      <c r="T52" s="235"/>
      <c r="U52" s="235"/>
      <c r="V52" s="235"/>
      <c r="W52" s="235"/>
      <c r="X52" s="235"/>
      <c r="Y52" s="235"/>
      <c r="Z52" s="235"/>
      <c r="AA52" s="235"/>
      <c r="AB52" s="235"/>
      <c r="AC52" s="235"/>
      <c r="AD52" s="235"/>
      <c r="BA52" s="239"/>
      <c r="BB52" s="239"/>
      <c r="BC52" s="239"/>
      <c r="BD52" s="239"/>
      <c r="CD52" s="190"/>
      <c r="CE52" s="190"/>
      <c r="CF52" s="190"/>
      <c r="CG52" s="190"/>
      <c r="CH52" s="190"/>
      <c r="CI52" s="190"/>
      <c r="CJ52" s="190"/>
      <c r="CK52" s="636"/>
      <c r="CL52" s="190"/>
      <c r="CM52" s="190"/>
      <c r="CN52" s="190"/>
      <c r="CO52" s="190"/>
      <c r="CP52" s="619"/>
      <c r="CQ52" s="241"/>
      <c r="CR52" s="190"/>
      <c r="CS52" s="190"/>
      <c r="CT52" s="190"/>
      <c r="CU52" s="190"/>
      <c r="CV52" s="619"/>
      <c r="CW52" s="647"/>
      <c r="CX52" s="636"/>
      <c r="CY52" s="190"/>
      <c r="CZ52" s="190"/>
      <c r="DA52" s="190"/>
      <c r="DB52" s="190"/>
      <c r="DC52" s="619"/>
      <c r="DD52" s="692">
        <v>1</v>
      </c>
      <c r="DE52" s="190"/>
      <c r="DF52" s="190"/>
      <c r="DG52" s="190"/>
      <c r="DH52" s="190"/>
      <c r="DI52" s="619"/>
      <c r="DJ52" s="645"/>
      <c r="DK52" s="520"/>
      <c r="DL52" s="520"/>
    </row>
    <row r="53" spans="7:116">
      <c r="G53" s="235"/>
      <c r="H53" s="235"/>
      <c r="I53" s="235"/>
      <c r="J53" s="235"/>
      <c r="K53" s="235"/>
      <c r="L53" s="235"/>
      <c r="M53" s="235"/>
      <c r="N53" s="235"/>
      <c r="O53" s="235"/>
      <c r="P53" s="235"/>
      <c r="Q53" s="235"/>
      <c r="R53" s="235"/>
      <c r="S53" s="235"/>
      <c r="T53" s="235"/>
      <c r="U53" s="235"/>
      <c r="V53" s="235"/>
      <c r="W53" s="235"/>
      <c r="X53" s="235"/>
      <c r="Y53" s="235"/>
      <c r="Z53" s="235"/>
      <c r="AA53" s="235"/>
      <c r="AB53" s="235"/>
      <c r="AC53" s="235"/>
      <c r="AD53" s="235"/>
      <c r="BA53" s="239"/>
      <c r="BB53" s="239"/>
      <c r="BC53" s="239"/>
      <c r="BD53" s="239"/>
      <c r="CD53" s="190"/>
      <c r="CE53" s="190"/>
      <c r="CF53" s="190"/>
      <c r="CG53" s="190"/>
      <c r="CH53" s="190"/>
      <c r="CI53" s="190"/>
      <c r="CJ53" s="190"/>
      <c r="CK53" s="636"/>
      <c r="CL53" s="190"/>
      <c r="CM53" s="190"/>
      <c r="CN53" s="190"/>
      <c r="CO53" s="190"/>
      <c r="CP53" s="619"/>
      <c r="CQ53" s="241"/>
      <c r="CR53" s="190"/>
      <c r="CS53" s="190"/>
      <c r="CT53" s="190"/>
      <c r="CU53" s="190"/>
      <c r="CV53" s="619"/>
      <c r="CW53" s="647"/>
      <c r="CX53" s="636"/>
      <c r="CY53" s="190"/>
      <c r="CZ53" s="190"/>
      <c r="DA53" s="190"/>
      <c r="DB53" s="190"/>
      <c r="DC53" s="619"/>
      <c r="DD53" s="241"/>
      <c r="DE53" s="190"/>
      <c r="DF53" s="190"/>
      <c r="DG53" s="190"/>
      <c r="DH53" s="190"/>
      <c r="DI53" s="619"/>
      <c r="DJ53" s="645"/>
      <c r="DK53" s="520"/>
      <c r="DL53" s="520"/>
    </row>
    <row r="54" spans="7:116" ht="17.25" thickBot="1">
      <c r="G54" s="235"/>
      <c r="H54" s="235"/>
      <c r="I54" s="235"/>
      <c r="J54" s="235"/>
      <c r="K54" s="235"/>
      <c r="L54" s="235"/>
      <c r="M54" s="235"/>
      <c r="N54" s="235"/>
      <c r="O54" s="235"/>
      <c r="P54" s="235"/>
      <c r="Q54" s="235"/>
      <c r="R54" s="235"/>
      <c r="S54" s="235"/>
      <c r="T54" s="235"/>
      <c r="U54" s="235"/>
      <c r="V54" s="235"/>
      <c r="W54" s="235"/>
      <c r="X54" s="235"/>
      <c r="Y54" s="235"/>
      <c r="Z54" s="235"/>
      <c r="AA54" s="235"/>
      <c r="AB54" s="235"/>
      <c r="AC54" s="235"/>
      <c r="AD54" s="235"/>
      <c r="AZ54" s="242"/>
      <c r="CD54" s="190"/>
      <c r="CE54" s="190"/>
      <c r="CF54" s="190"/>
      <c r="CG54" s="190"/>
      <c r="CH54" s="190"/>
      <c r="CI54" s="190"/>
      <c r="CJ54" s="190"/>
      <c r="CK54" s="615"/>
      <c r="CL54" s="616"/>
      <c r="CM54" s="616"/>
      <c r="CN54" s="616"/>
      <c r="CO54" s="616"/>
      <c r="CP54" s="620"/>
      <c r="CQ54" s="637"/>
      <c r="CR54" s="616"/>
      <c r="CS54" s="616"/>
      <c r="CT54" s="616"/>
      <c r="CU54" s="616"/>
      <c r="CV54" s="620"/>
      <c r="CW54" s="647"/>
      <c r="CX54" s="638"/>
      <c r="CY54" s="616"/>
      <c r="CZ54" s="616"/>
      <c r="DA54" s="616"/>
      <c r="DB54" s="616"/>
      <c r="DC54" s="620"/>
      <c r="DD54" s="637"/>
      <c r="DE54" s="616"/>
      <c r="DF54" s="616"/>
      <c r="DG54" s="616"/>
      <c r="DH54" s="616"/>
      <c r="DI54" s="620"/>
      <c r="DJ54" s="645"/>
      <c r="DK54" s="520"/>
      <c r="DL54" s="520"/>
    </row>
    <row r="55" spans="7:116" ht="17.25" thickBot="1">
      <c r="G55" s="235"/>
      <c r="H55" s="1523" t="str">
        <f>IF($I$44="更新","集水井更新 寬"&amp;I46*100&amp;"cm*平均深"&amp;H46*100&amp;"cm",
IF($I$44="新設","新設集水井 寬"&amp;I46*100&amp;"cm*平均深"&amp;H46*100&amp;"cm"))</f>
        <v>新設集水井 寬50cm*平均深75cm</v>
      </c>
      <c r="I55" s="1524"/>
      <c r="J55" s="1524"/>
      <c r="K55" s="1524"/>
      <c r="L55" s="1524"/>
      <c r="M55" s="1525"/>
      <c r="N55" s="194" t="s">
        <v>3833</v>
      </c>
      <c r="O55" s="193" t="s">
        <v>3832</v>
      </c>
      <c r="P55" s="195" t="s">
        <v>3834</v>
      </c>
      <c r="Q55" s="196" t="s">
        <v>3835</v>
      </c>
      <c r="T55" s="1526" t="str">
        <f>IF($I$44="更新","側溝更新 寬"&amp;$I$46*100&amp;"cm*平均深"&amp;$H$46*100&amp;"cm",
IF($I$44="新設","新設側溝 寬"&amp;$I$46*100&amp;"cm*平均深"&amp;$H$46*100&amp;"cm"))</f>
        <v>新設側溝 寬50cm*平均深75cm</v>
      </c>
      <c r="U55" s="1527"/>
      <c r="V55" s="1527"/>
      <c r="W55" s="1527"/>
      <c r="X55" s="1527"/>
      <c r="Y55" s="1527"/>
      <c r="Z55" s="1528"/>
      <c r="AA55" s="1529" t="str">
        <f>IF(數量計算!$F$11="更新","側溝更新 寬"&amp;CJ48*100&amp;"cm*平均深"&amp;CE48*100&amp;"cm",
IF(數量計算!$F$11="新設","新設側溝 寬"&amp;CJ48*100&amp;"cm*平均深"&amp;CE48*100&amp;"cm"))</f>
        <v>側溝更新 寬0cm*平均深0cm</v>
      </c>
      <c r="AB55" s="1530"/>
      <c r="AC55" s="1530"/>
      <c r="AD55" s="1530"/>
      <c r="AE55" s="1530"/>
      <c r="AF55" s="1530"/>
      <c r="AG55" s="1531"/>
      <c r="CD55" s="190"/>
      <c r="CE55" s="190"/>
      <c r="CF55" s="190"/>
      <c r="CG55" s="190"/>
      <c r="CH55" s="190"/>
      <c r="CI55" s="190"/>
      <c r="CJ55" s="190"/>
      <c r="CK55" s="190"/>
      <c r="CL55" s="190"/>
      <c r="CM55" s="190"/>
      <c r="CN55" s="190"/>
      <c r="CO55" s="190"/>
      <c r="CP55" s="190"/>
      <c r="CQ55" s="190"/>
      <c r="CR55" s="190"/>
      <c r="CS55" s="190"/>
      <c r="CT55" s="190"/>
      <c r="CU55" s="190"/>
      <c r="CV55" s="190"/>
      <c r="CW55" s="647"/>
      <c r="CX55" s="644"/>
      <c r="CY55" s="644"/>
      <c r="CZ55" s="644"/>
      <c r="DA55" s="644"/>
      <c r="DB55" s="644"/>
      <c r="DC55" s="644"/>
      <c r="DD55" s="644"/>
      <c r="DE55" s="644"/>
      <c r="DF55" s="644"/>
      <c r="DG55" s="644"/>
      <c r="DH55" s="644"/>
      <c r="DI55" s="644"/>
      <c r="DJ55" s="645"/>
      <c r="DK55" s="520"/>
      <c r="DL55" s="520"/>
    </row>
    <row r="56" spans="7:116">
      <c r="G56" s="235"/>
      <c r="H56" s="243" t="str">
        <f t="shared" ref="H56:H71" si="7">IF($H$44="搶修案",T60,
IF(AND($H$44="一般案",$I$44="新設"),T56,
IF(AND($H$44="一般案",$J$44="無既有溝",OR($I$44="新設",$I$44="更新")),T56,
IF(AND($H$44="一般案",$J$44="既有井",$H$46=$K$46,$I$46=$L$46,$J$46=$M$46),T56,
IF(AND($H$44="一般案",$I$44="更新",OR($J$44="矩形溝",$J$44="U型溝",$J$44="既有井")),AA56)))))</f>
        <v>餘方自行處理(含水土保持)，總重15t以下傾卸貨車</v>
      </c>
      <c r="I56" s="244"/>
      <c r="J56" s="244"/>
      <c r="K56" s="244"/>
      <c r="L56" s="244"/>
      <c r="M56" s="244"/>
      <c r="N56" s="200"/>
      <c r="O56" s="199"/>
      <c r="P56" s="201"/>
      <c r="Q56" s="202"/>
      <c r="T56" s="245" t="str">
        <f>IF($I$44="更新","機械拆除，鋼筋混凝土，未含運費.","基地及路幅開挖，未含運費，(機械挖，0.7-0.79m3開挖機).")</f>
        <v>基地及路幅開挖，未含運費，(機械挖，0.7-0.79m3開挖機).</v>
      </c>
      <c r="U56" s="235"/>
      <c r="V56" s="235"/>
      <c r="W56" s="235"/>
      <c r="X56" s="235"/>
      <c r="Y56" s="235"/>
      <c r="Z56" s="235"/>
      <c r="AA56" s="246" t="s">
        <v>3637</v>
      </c>
      <c r="AB56" s="247"/>
      <c r="AC56" s="247"/>
      <c r="AD56" s="247"/>
      <c r="AE56" s="247"/>
      <c r="AF56" s="247"/>
      <c r="AG56" s="248"/>
      <c r="BL56" s="214" t="str">
        <f>數量計算!E172</f>
        <v>案件類型</v>
      </c>
      <c r="BM56" s="124" t="str">
        <f>數量計算!F172</f>
        <v>施工類型</v>
      </c>
      <c r="BN56" s="124" t="str">
        <f>數量計算!G172</f>
        <v>型式</v>
      </c>
      <c r="BO56" s="124" t="str">
        <f>數量計算!D174</f>
        <v>道路復舊</v>
      </c>
      <c r="BP56" s="124" t="str">
        <f>數量計算!B174</f>
        <v>頂板寬</v>
      </c>
      <c r="BQ56" s="213" t="str">
        <f>數量計算!C174</f>
        <v>頂板厚</v>
      </c>
      <c r="BR56" s="213" t="str">
        <f>數量計算!H172</f>
        <v>既有AC厚</v>
      </c>
      <c r="CD56" s="190"/>
      <c r="CE56" s="190"/>
      <c r="CF56" s="190"/>
      <c r="CG56" s="190"/>
      <c r="CH56" s="190"/>
      <c r="CI56" s="190"/>
      <c r="CJ56" s="190"/>
      <c r="CK56" s="190"/>
      <c r="CL56" s="190"/>
      <c r="CM56" s="190"/>
      <c r="CN56" s="190"/>
      <c r="CO56" s="190"/>
      <c r="CP56" s="190"/>
      <c r="CQ56" s="190"/>
      <c r="CR56" s="190"/>
      <c r="CS56" s="190"/>
      <c r="CT56" s="190"/>
      <c r="CU56" s="190"/>
      <c r="CV56" s="190"/>
      <c r="CW56" s="647"/>
      <c r="CX56" s="644"/>
      <c r="CY56" s="644"/>
      <c r="CZ56" s="644"/>
      <c r="DA56" s="644"/>
      <c r="DB56" s="644"/>
      <c r="DC56" s="644"/>
      <c r="DD56" s="644"/>
      <c r="DE56" s="644"/>
      <c r="DF56" s="644"/>
      <c r="DG56" s="644"/>
      <c r="DH56" s="644"/>
      <c r="DI56" s="644"/>
      <c r="DJ56" s="645"/>
      <c r="DK56" s="520"/>
      <c r="DL56" s="520"/>
    </row>
    <row r="57" spans="7:116" ht="17.25" thickBot="1">
      <c r="G57" s="235"/>
      <c r="H57" s="249" t="str">
        <f t="shared" si="7"/>
        <v>(0.8*(0.75+0.2))</v>
      </c>
      <c r="I57" s="235"/>
      <c r="J57" s="235"/>
      <c r="K57" s="235"/>
      <c r="L57" s="235"/>
      <c r="M57" s="235"/>
      <c r="N57" s="199" t="e">
        <v>#REF!</v>
      </c>
      <c r="O57" s="199" t="e">
        <f t="array" ref="O57">cal</f>
        <v>#REF!</v>
      </c>
      <c r="P57" s="208" t="e">
        <v>#REF!</v>
      </c>
      <c r="Q57" s="202" t="e">
        <f>ROUND(IF(O57=0,"",O57*P57),2)</f>
        <v>#REF!</v>
      </c>
      <c r="T57" s="249" t="str">
        <f>IF($I$44="更新","("&amp;$H$48&amp;"*("&amp;$H$46&amp;"+"&amp;$I$48&amp;")*("&amp;$K$48&amp;"+"&amp;($J$46*2)&amp;")-("&amp;$I$46&amp;"*"&amp;$K$48&amp;"*"&amp;$H$46&amp;"))*0.8","("&amp;$H$48&amp;"*("&amp;$H$46&amp;"+"&amp;$I$48&amp;"))*0.8")</f>
        <v>(0.8*(0.75+0.2))*0.8</v>
      </c>
      <c r="U57" s="235"/>
      <c r="V57" s="235"/>
      <c r="W57" s="235"/>
      <c r="X57" s="235"/>
      <c r="Y57" s="235"/>
      <c r="Z57" s="235"/>
      <c r="AA57" s="249" t="b">
        <f>IF(AND($I$44="更新",$J$44="U型溝"),"("&amp;$H$50&amp;"*("&amp;$K$46&amp;"+"&amp;$I$50&amp;")-("&amp;$L$50&amp;"*"&amp;$L$46&amp;")-(("&amp;$M$50&amp;"^2)*3.14*0.5))*0.8",
IF(AND($I$44="更新",$J$44="矩形溝"),"("&amp;$H$50&amp;"*("&amp;$K$46&amp;"+"&amp;$I$50&amp;")-("&amp;$K$46&amp;"*"&amp;$L$46&amp;"))*0.8",
IF(AND($I$44="更新",$J$44="既有井"),"("&amp;$H$50&amp;"*("&amp;$K$46&amp;"+"&amp;$I$50&amp;")*("&amp;$K$50&amp;"+"&amp;($M$46*2)&amp;")-("&amp;$L$46&amp;"*"&amp;$K$50&amp;"*"&amp;$K$46&amp;"))*0.8")))</f>
        <v>0</v>
      </c>
      <c r="AB57" s="250"/>
      <c r="AC57" s="250"/>
      <c r="AD57" s="250"/>
      <c r="AE57" s="250"/>
      <c r="AF57" s="250"/>
      <c r="AG57" s="251"/>
      <c r="BL57" s="216" t="str">
        <f>數量計算!E173</f>
        <v>搶修案</v>
      </c>
      <c r="BM57" s="128" t="str">
        <f>數量計算!F173</f>
        <v>新設</v>
      </c>
      <c r="BN57" s="128" t="str">
        <f>數量計算!G173</f>
        <v>無清掃孔</v>
      </c>
      <c r="BO57" s="128" t="str">
        <f>數量計算!D175</f>
        <v>5cm臨補</v>
      </c>
      <c r="BP57" s="128" t="str">
        <f>IF(數量計算!B175="80cm","0.8",
IF(數量計算!B175="90cm","0.9",
IF(數量計算!B175="100cm","1.0")))</f>
        <v>0.9</v>
      </c>
      <c r="BQ57" s="129" t="str">
        <f>IF(數量計算!C175="20cm","0.2")</f>
        <v>0.2</v>
      </c>
      <c r="BR57" s="129" t="str">
        <f>IF(數量計算!H173="5cm","0.05",
IF(數量計算!H173="10cm","0.1",
))</f>
        <v>0.1</v>
      </c>
      <c r="CD57" s="190"/>
      <c r="CE57" s="190"/>
      <c r="CF57" s="190"/>
      <c r="CG57" s="190"/>
      <c r="CH57" s="190"/>
      <c r="CI57" s="190"/>
      <c r="CJ57" s="190"/>
      <c r="CK57" s="190"/>
      <c r="CL57" s="190"/>
      <c r="CM57" s="190"/>
      <c r="CN57" s="190"/>
      <c r="CO57" s="190"/>
      <c r="CP57" s="190"/>
      <c r="CQ57" s="190"/>
      <c r="CR57" s="190"/>
      <c r="CS57" s="190"/>
      <c r="CT57" s="190"/>
      <c r="CU57" s="190"/>
      <c r="CV57" s="190"/>
      <c r="CW57" s="647"/>
      <c r="CX57" s="644"/>
      <c r="CY57" s="644"/>
      <c r="CZ57" s="644"/>
      <c r="DA57" s="644"/>
      <c r="DB57" s="644"/>
      <c r="DC57" s="644"/>
      <c r="DD57" s="644"/>
      <c r="DE57" s="644"/>
      <c r="DF57" s="644"/>
      <c r="DG57" s="644"/>
      <c r="DH57" s="644"/>
      <c r="DI57" s="644"/>
      <c r="DJ57" s="645"/>
      <c r="DK57" s="520"/>
      <c r="DL57" s="520"/>
    </row>
    <row r="58" spans="7:116" ht="17.25" thickBot="1">
      <c r="G58" s="235"/>
      <c r="H58" s="249" t="str">
        <f t="shared" si="7"/>
        <v>結構用混凝土，預拌，140kgf/cm2</v>
      </c>
      <c r="I58" s="235"/>
      <c r="J58" s="235"/>
      <c r="K58" s="235"/>
      <c r="L58" s="235"/>
      <c r="M58" s="235"/>
      <c r="N58" s="199"/>
      <c r="O58" s="199"/>
      <c r="P58" s="208"/>
      <c r="Q58" s="202"/>
      <c r="T58" s="245" t="str">
        <f>IF($I$44="更新","人工拆除，鋼筋混凝土，含裝車未含運費.","構造物開挖，(人工挖，未含抽水)，未含運費(含裝車).")</f>
        <v>構造物開挖，(人工挖，未含抽水)，未含運費(含裝車).</v>
      </c>
      <c r="U58" s="235"/>
      <c r="V58" s="235"/>
      <c r="W58" s="235"/>
      <c r="X58" s="235"/>
      <c r="Y58" s="235"/>
      <c r="Z58" s="235"/>
      <c r="AA58" s="245" t="s">
        <v>3636</v>
      </c>
      <c r="AB58" s="250"/>
      <c r="AC58" s="250"/>
      <c r="AD58" s="250"/>
      <c r="AE58" s="250"/>
      <c r="AF58" s="250"/>
      <c r="AG58" s="251"/>
      <c r="CD58" s="190"/>
      <c r="CE58" s="190"/>
      <c r="CF58" s="190"/>
      <c r="CG58" s="190"/>
      <c r="CH58" s="190"/>
      <c r="CI58" s="190"/>
      <c r="CJ58" s="190"/>
      <c r="CK58" s="1532" t="s">
        <v>3685</v>
      </c>
      <c r="CL58" s="1533"/>
      <c r="CM58" s="1533"/>
      <c r="CN58" s="1533"/>
      <c r="CO58" s="1533"/>
      <c r="CP58" s="1533"/>
      <c r="CQ58" s="1533"/>
      <c r="CR58" s="1533"/>
      <c r="CS58" s="1533"/>
      <c r="CT58" s="1533"/>
      <c r="CU58" s="1533"/>
      <c r="CV58" s="1534"/>
      <c r="CW58" s="647"/>
      <c r="CX58" s="1532" t="s">
        <v>3723</v>
      </c>
      <c r="CY58" s="1533"/>
      <c r="CZ58" s="1533"/>
      <c r="DA58" s="1533"/>
      <c r="DB58" s="1533"/>
      <c r="DC58" s="1533"/>
      <c r="DD58" s="1533"/>
      <c r="DE58" s="1533"/>
      <c r="DF58" s="1533"/>
      <c r="DG58" s="1533"/>
      <c r="DH58" s="1533"/>
      <c r="DI58" s="1534"/>
      <c r="DJ58" s="645"/>
      <c r="DK58" s="520"/>
      <c r="DL58" s="520"/>
    </row>
    <row r="59" spans="7:116" ht="17.25" thickBot="1">
      <c r="G59" s="235"/>
      <c r="H59" s="249" t="str">
        <f t="shared" si="7"/>
        <v>(0.5+0.15+0.15)*0.05</v>
      </c>
      <c r="I59" s="235"/>
      <c r="J59" s="235"/>
      <c r="K59" s="525"/>
      <c r="L59" s="235"/>
      <c r="M59" s="235"/>
      <c r="N59" s="199" t="e">
        <v>#REF!</v>
      </c>
      <c r="O59" s="199" t="e">
        <f t="array" ref="O59">cal</f>
        <v>#REF!</v>
      </c>
      <c r="P59" s="208" t="e">
        <v>#REF!</v>
      </c>
      <c r="Q59" s="202" t="e">
        <f>ROUND(IF(O59=0,"",O59*P59),2)</f>
        <v>#REF!</v>
      </c>
      <c r="T59" s="249" t="str">
        <f>IF($I$44="更新","("&amp;$H$48&amp;"*("&amp;$H$46&amp;"+"&amp;$I$48&amp;")*("&amp;$K$48&amp;"+"&amp;($J$46*2)&amp;")-("&amp;$I$46&amp;"*"&amp;$K$48&amp;"*"&amp;$H$46&amp;"))*0.2","("&amp;$H$48&amp;"*("&amp;$H$46&amp;"+"&amp;$I$48&amp;"))*0.2")</f>
        <v>(0.8*(0.75+0.2))*0.2</v>
      </c>
      <c r="U59" s="235"/>
      <c r="V59" s="235"/>
      <c r="W59" s="235"/>
      <c r="X59" s="235"/>
      <c r="Y59" s="235"/>
      <c r="Z59" s="235"/>
      <c r="AA59" s="249" t="b">
        <f>IF(AND($I$44="更新",$J$44="U型溝"),"("&amp;$H$50&amp;"*("&amp;$K$46&amp;"+"&amp;$I$50&amp;")-("&amp;$L$50&amp;"*"&amp;$L$46&amp;")-(("&amp;$M$50&amp;"^2)*3.14*0.5))*0.2",
IF(AND($I$44="更新",$J$44="矩形溝"),"("&amp;$H$50&amp;"*("&amp;$K$46&amp;"+"&amp;$I$50&amp;")-("&amp;$K$46&amp;"*"&amp;$L$46&amp;"))*0.2",
IF(AND($I$44="更新",$J$44="既有井"),"("&amp;$H$50&amp;"*("&amp;$K$46&amp;"+"&amp;$I$50&amp;")*("&amp;$K$50&amp;"+"&amp;($M$46*2)&amp;")-("&amp;$L$46&amp;"*"&amp;$K$50&amp;"*"&amp;$K$46&amp;"))*0.2")))</f>
        <v>0</v>
      </c>
      <c r="AB59" s="250"/>
      <c r="AC59" s="250"/>
      <c r="AD59" s="250"/>
      <c r="AE59" s="250"/>
      <c r="AF59" s="250"/>
      <c r="AG59" s="251"/>
      <c r="BL59" s="1512"/>
      <c r="BM59" s="1513"/>
      <c r="BN59" s="1513"/>
      <c r="BO59" s="1513"/>
      <c r="BP59" s="1513"/>
      <c r="BQ59" s="1514"/>
      <c r="BS59" s="1512"/>
      <c r="BT59" s="1513"/>
      <c r="BU59" s="1513"/>
      <c r="BV59" s="1513"/>
      <c r="BW59" s="1513"/>
      <c r="BX59" s="1514"/>
      <c r="CD59" s="190"/>
      <c r="CE59" s="190"/>
      <c r="CF59" s="190"/>
      <c r="CG59" s="190"/>
      <c r="CH59" s="190"/>
      <c r="CI59" s="190"/>
      <c r="CJ59" s="190"/>
      <c r="CK59" s="614" t="s">
        <v>3690</v>
      </c>
      <c r="CL59" s="621"/>
      <c r="CM59" s="621"/>
      <c r="CN59" s="621"/>
      <c r="CO59" s="621"/>
      <c r="CP59" s="622"/>
      <c r="CQ59" s="623" t="s">
        <v>3691</v>
      </c>
      <c r="CR59" s="621"/>
      <c r="CS59" s="624"/>
      <c r="CT59" s="621"/>
      <c r="CU59" s="621"/>
      <c r="CV59" s="625"/>
      <c r="CW59" s="647"/>
      <c r="CX59" s="614" t="s">
        <v>3690</v>
      </c>
      <c r="CY59" s="621"/>
      <c r="CZ59" s="621"/>
      <c r="DA59" s="621"/>
      <c r="DB59" s="621"/>
      <c r="DC59" s="622"/>
      <c r="DD59" s="623" t="s">
        <v>3691</v>
      </c>
      <c r="DE59" s="621"/>
      <c r="DF59" s="624"/>
      <c r="DG59" s="621"/>
      <c r="DH59" s="621"/>
      <c r="DI59" s="625"/>
      <c r="DJ59" s="645"/>
      <c r="DK59" s="520"/>
      <c r="DL59" s="520"/>
    </row>
    <row r="60" spans="7:116">
      <c r="G60" s="235"/>
      <c r="H60" s="249" t="str">
        <f t="shared" si="7"/>
        <v>結構用混凝土，預拌，210kgf/cm2</v>
      </c>
      <c r="I60" s="235"/>
      <c r="J60" s="235"/>
      <c r="K60" s="525"/>
      <c r="L60" s="235"/>
      <c r="M60" s="235"/>
      <c r="N60" s="199"/>
      <c r="O60" s="199"/>
      <c r="P60" s="208"/>
      <c r="Q60" s="202"/>
      <c r="T60" s="24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U60" s="235"/>
      <c r="V60" s="235"/>
      <c r="W60" s="235"/>
      <c r="X60" s="235"/>
      <c r="Y60" s="235"/>
      <c r="Z60" s="235"/>
      <c r="AA60" s="245" t="s">
        <v>4011</v>
      </c>
      <c r="AB60" s="250"/>
      <c r="AC60" s="250"/>
      <c r="AD60" s="250"/>
      <c r="AE60" s="250"/>
      <c r="AF60" s="250"/>
      <c r="AG60" s="251"/>
      <c r="BL60" s="130" t="str">
        <f t="shared" ref="BL60:BL77" si="8">IF($BL$57="搶修案",BS64,
IF($BL$57="一般案",BS60))</f>
        <v>餘方自行處理(含水土保持)，總重15t以下傾卸貨車</v>
      </c>
      <c r="BQ60" s="131"/>
      <c r="BS60" s="130" t="str">
        <f>IF($BM$57="新設","基地及路幅開挖，未含運費，(機械挖，0.7-0.79m3開挖機).",
IF($BM$57="更新","機械拆除，鋼筋混凝土，未含運費."))</f>
        <v>基地及路幅開挖，未含運費，(機械挖，0.7-0.79m3開挖機).</v>
      </c>
      <c r="BX60" s="131"/>
      <c r="CD60" s="190"/>
      <c r="CE60" s="190"/>
      <c r="CF60" s="190"/>
      <c r="CG60" s="190"/>
      <c r="CH60" s="190"/>
      <c r="CI60" s="190"/>
      <c r="CJ60" s="190"/>
      <c r="CK60" s="612"/>
      <c r="CL60" s="626"/>
      <c r="CM60" s="626"/>
      <c r="CN60" s="626"/>
      <c r="CO60" s="626"/>
      <c r="CP60" s="613"/>
      <c r="CQ60" s="612"/>
      <c r="CR60" s="626"/>
      <c r="CS60" s="626"/>
      <c r="CT60" s="626"/>
      <c r="CU60" s="626"/>
      <c r="CV60" s="627"/>
      <c r="CW60" s="647">
        <v>0</v>
      </c>
      <c r="CX60" s="612"/>
      <c r="CY60" s="626"/>
      <c r="CZ60" s="626"/>
      <c r="DA60" s="626"/>
      <c r="DB60" s="626"/>
      <c r="DC60" s="613"/>
      <c r="DD60" s="612"/>
      <c r="DE60" s="626"/>
      <c r="DF60" s="626"/>
      <c r="DG60" s="626"/>
      <c r="DH60" s="626"/>
      <c r="DI60" s="627"/>
      <c r="DJ60" s="645">
        <v>0</v>
      </c>
      <c r="DK60" s="520"/>
      <c r="DL60" s="520"/>
    </row>
    <row r="61" spans="7:116" ht="17.25" thickBot="1">
      <c r="G61" s="235"/>
      <c r="H61" s="249" t="str">
        <f t="shared" si="7"/>
        <v>(0.8*(0.75+0.15)*(0.7+0.3)-(0.5*0.7*0.75))*1.05</v>
      </c>
      <c r="I61" s="235"/>
      <c r="J61" s="235"/>
      <c r="K61" s="525"/>
      <c r="L61" s="235"/>
      <c r="M61" s="235"/>
      <c r="N61" s="199" t="e">
        <v>#REF!</v>
      </c>
      <c r="O61" s="199" t="e">
        <f t="array" ref="O61">cal</f>
        <v>#REF!</v>
      </c>
      <c r="P61" s="208" t="e">
        <v>#REF!</v>
      </c>
      <c r="Q61" s="202" t="e">
        <f>ROUND(IF(O61=0,"",O61*P61),2)</f>
        <v>#REF!</v>
      </c>
      <c r="T61" s="249" t="str">
        <f>IF($I$44="更新","("&amp;$H$48&amp;"*("&amp;$H$46&amp;"+"&amp;$I$48&amp;")*("&amp;$K$48&amp;"+"&amp;($J$46*2)&amp;")-("&amp;$I$46&amp;"*"&amp;$K$48&amp;"*"&amp;$H$46&amp;"))","("&amp;$H$48&amp;"*("&amp;$H$46&amp;"+"&amp;$I$48&amp;"))")</f>
        <v>(0.8*(0.75+0.2))</v>
      </c>
      <c r="U61" s="235"/>
      <c r="V61" s="235"/>
      <c r="W61" s="235"/>
      <c r="X61" s="235"/>
      <c r="Y61" s="235"/>
      <c r="Z61" s="235"/>
      <c r="AA61" s="249" t="str">
        <f>IF($H$48=$H$50,( "("&amp;$H$48&amp;"*("&amp;$H$46&amp;"-"&amp;$K$46&amp;"))*0.8" ),
IF($H$48&gt;$H$50,("("&amp;$H$50&amp;"*("&amp;$H$46&amp;"-"&amp;($K$46&amp;")+(("&amp;$H$48&amp;"-"&amp;$H$50&amp;")*("&amp;$H$46&amp;"+"&amp;$I$48)&amp;")))*0.8")))</f>
        <v>(0.8*(0.75-0.6))*0.8</v>
      </c>
      <c r="AB61" s="250"/>
      <c r="AC61" s="250"/>
      <c r="AD61" s="250"/>
      <c r="AE61" s="250"/>
      <c r="AF61" s="250"/>
      <c r="AG61" s="251"/>
      <c r="BL61" s="130" t="str">
        <f t="shared" si="8"/>
        <v>(0.9*(0.2+0.1))</v>
      </c>
      <c r="BQ61" s="131"/>
      <c r="BS61" s="130" t="str">
        <f>"("&amp;$BP$57&amp;"*("&amp;$BQ$57&amp;"+"&amp;$BR$57&amp;"))*0.8"</f>
        <v>(0.9*(0.2+0.1))*0.8</v>
      </c>
      <c r="BX61" s="131"/>
      <c r="CD61" s="190"/>
      <c r="CE61" s="190"/>
      <c r="CF61" s="190"/>
      <c r="CG61" s="190"/>
      <c r="CH61" s="190"/>
      <c r="CI61" s="190"/>
      <c r="CJ61" s="190"/>
      <c r="CK61" s="628"/>
      <c r="CL61" s="629"/>
      <c r="CM61" s="629"/>
      <c r="CN61" s="629"/>
      <c r="CO61" s="629"/>
      <c r="CP61" s="630"/>
      <c r="CQ61" s="628"/>
      <c r="CR61" s="629"/>
      <c r="CS61" s="629"/>
      <c r="CT61" s="629"/>
      <c r="CU61" s="629"/>
      <c r="CV61" s="631"/>
      <c r="CW61" s="647">
        <v>0</v>
      </c>
      <c r="CX61" s="628"/>
      <c r="CY61" s="629"/>
      <c r="CZ61" s="629"/>
      <c r="DA61" s="629"/>
      <c r="DB61" s="629"/>
      <c r="DC61" s="630"/>
      <c r="DD61" s="628"/>
      <c r="DE61" s="629"/>
      <c r="DF61" s="629"/>
      <c r="DG61" s="629"/>
      <c r="DH61" s="629"/>
      <c r="DI61" s="631"/>
      <c r="DJ61" s="645">
        <v>0</v>
      </c>
      <c r="DK61" s="520"/>
      <c r="DL61" s="520"/>
    </row>
    <row r="62" spans="7:116">
      <c r="G62" s="235"/>
      <c r="H62" s="249" t="str">
        <f t="shared" si="7"/>
        <v>場鑄結構混凝土用模板，清水模板，丙種.</v>
      </c>
      <c r="I62" s="235"/>
      <c r="J62" s="235"/>
      <c r="K62" s="235"/>
      <c r="L62" s="235"/>
      <c r="M62" s="235"/>
      <c r="N62" s="199"/>
      <c r="O62" s="199"/>
      <c r="P62" s="208"/>
      <c r="Q62" s="202"/>
      <c r="T62" s="245" t="s">
        <v>464</v>
      </c>
      <c r="U62" s="235"/>
      <c r="V62" s="235"/>
      <c r="W62" s="235"/>
      <c r="X62" s="235"/>
      <c r="Y62" s="235"/>
      <c r="Z62" s="235"/>
      <c r="AA62" s="245" t="s">
        <v>3638</v>
      </c>
      <c r="AB62" s="250"/>
      <c r="AC62" s="250"/>
      <c r="AD62" s="250"/>
      <c r="AE62" s="250"/>
      <c r="AF62" s="250"/>
      <c r="AG62" s="251"/>
      <c r="BL62" s="130" t="str">
        <f t="shared" si="8"/>
        <v>結構用混凝土，預拌，210kgf/cm2</v>
      </c>
      <c r="BQ62" s="131"/>
      <c r="BS62" s="130" t="str">
        <f>IF($BM$57="新設","構造物開挖，(人工挖，未含抽水)，未含運費(含裝車).",
IF($BM$57="更新","人工拆除，鋼筋混凝土，含裝車未含運費."))</f>
        <v>構造物開挖，(人工挖，未含抽水)，未含運費(含裝車).</v>
      </c>
      <c r="BX62" s="131"/>
      <c r="CD62" s="190"/>
      <c r="CE62" s="190"/>
      <c r="CF62" s="190"/>
      <c r="CG62" s="190"/>
      <c r="CH62" s="190"/>
      <c r="CI62" s="190"/>
      <c r="CJ62" s="190"/>
      <c r="CK62" s="632" t="s">
        <v>3706</v>
      </c>
      <c r="CL62" s="633"/>
      <c r="CM62" s="633"/>
      <c r="CN62" s="633"/>
      <c r="CO62" s="633"/>
      <c r="CP62" s="634"/>
      <c r="CQ62" s="633" t="s">
        <v>3707</v>
      </c>
      <c r="CR62" s="633"/>
      <c r="CS62" s="633"/>
      <c r="CT62" s="633"/>
      <c r="CU62" s="633"/>
      <c r="CV62" s="634"/>
      <c r="CW62" s="647">
        <v>0</v>
      </c>
      <c r="CX62" s="632" t="s">
        <v>3724</v>
      </c>
      <c r="CY62" s="633"/>
      <c r="CZ62" s="633"/>
      <c r="DA62" s="633"/>
      <c r="DB62" s="633"/>
      <c r="DC62" s="634"/>
      <c r="DD62" s="633" t="s">
        <v>3725</v>
      </c>
      <c r="DE62" s="633"/>
      <c r="DF62" s="633"/>
      <c r="DG62" s="633"/>
      <c r="DH62" s="633"/>
      <c r="DI62" s="634"/>
      <c r="DJ62" s="645">
        <v>0</v>
      </c>
      <c r="DK62" s="520"/>
      <c r="DL62" s="520"/>
    </row>
    <row r="63" spans="7:116">
      <c r="G63" s="235"/>
      <c r="H63" s="249" t="str">
        <f t="shared" si="7"/>
        <v>(0.5*0.75)*2+(0.7*0.75)*2</v>
      </c>
      <c r="I63" s="235"/>
      <c r="J63" s="235"/>
      <c r="K63" s="525"/>
      <c r="L63" s="235"/>
      <c r="M63" s="235"/>
      <c r="N63" s="199" t="e">
        <v>#REF!</v>
      </c>
      <c r="O63" s="199" t="e">
        <f t="array" ref="O63">cal</f>
        <v>#REF!</v>
      </c>
      <c r="P63" s="208" t="e">
        <v>#REF!</v>
      </c>
      <c r="Q63" s="202" t="e">
        <f>ROUND(IF(O63=0,"",O63*P63),2)</f>
        <v>#REF!</v>
      </c>
      <c r="T63" s="249" t="str">
        <f>"("&amp;$I$46&amp;"+"&amp;$J$46&amp;"+"&amp;$J$46&amp;")*0.05"</f>
        <v>(0.5+0.15+0.15)*0.05</v>
      </c>
      <c r="U63" s="235"/>
      <c r="V63" s="235"/>
      <c r="W63" s="235"/>
      <c r="X63" s="235"/>
      <c r="Y63" s="235"/>
      <c r="Z63" s="235"/>
      <c r="AA63" s="249" t="str">
        <f>IF($H$48=$H$50,( "("&amp;$H$48&amp;"*("&amp;$H$46&amp;"-"&amp;$K$46&amp;"))*0.2" ),
IF($H$48&gt;$H$50,("("&amp;$H$50&amp;"*("&amp;$H$46&amp;"-"&amp;($K$46&amp;")+(("&amp;$H$48&amp;"-"&amp;$H$50&amp;")*("&amp;$H$46&amp;"+"&amp;$I$48)&amp;")))*0.2")))</f>
        <v>(0.8*(0.75-0.6))*0.2</v>
      </c>
      <c r="AB63" s="250"/>
      <c r="AC63" s="250"/>
      <c r="AD63" s="250"/>
      <c r="AE63" s="250"/>
      <c r="AF63" s="250"/>
      <c r="AG63" s="251"/>
      <c r="BL63" s="130" t="str">
        <f t="shared" si="8"/>
        <v>(0.9*(0.2))</v>
      </c>
      <c r="BQ63" s="131"/>
      <c r="BS63" s="130" t="str">
        <f>"("&amp;$BP$57&amp;"*("&amp;$BQ$57&amp;"+"&amp;$BR$57&amp;"))*0.2"</f>
        <v>(0.9*(0.2+0.1))*0.2</v>
      </c>
      <c r="BX63" s="131"/>
      <c r="CD63" s="190"/>
      <c r="CE63" s="190"/>
      <c r="CF63" s="190"/>
      <c r="CG63" s="190"/>
      <c r="CH63" s="190"/>
      <c r="CI63" s="190"/>
      <c r="CJ63" s="190"/>
      <c r="CK63" s="189" t="s">
        <v>1215</v>
      </c>
      <c r="CL63" s="190"/>
      <c r="CM63" s="190"/>
      <c r="CN63" s="190"/>
      <c r="CO63" s="190"/>
      <c r="CP63" s="619"/>
      <c r="CQ63" s="190" t="s">
        <v>2556</v>
      </c>
      <c r="CR63" s="190"/>
      <c r="CS63" s="190"/>
      <c r="CT63" s="190"/>
      <c r="CU63" s="190"/>
      <c r="CV63" s="619"/>
      <c r="CW63" s="647">
        <v>0</v>
      </c>
      <c r="CX63" s="189" t="s">
        <v>3726</v>
      </c>
      <c r="CY63" s="190"/>
      <c r="CZ63" s="190"/>
      <c r="DA63" s="190"/>
      <c r="DB63" s="190"/>
      <c r="DC63" s="619"/>
      <c r="DD63" s="190" t="s">
        <v>2556</v>
      </c>
      <c r="DE63" s="190"/>
      <c r="DF63" s="190"/>
      <c r="DG63" s="190"/>
      <c r="DH63" s="190"/>
      <c r="DI63" s="619"/>
      <c r="DJ63" s="645">
        <v>0</v>
      </c>
      <c r="DK63" s="520"/>
      <c r="DL63" s="520"/>
    </row>
    <row r="64" spans="7:116">
      <c r="G64" s="235"/>
      <c r="H64" s="249" t="str">
        <f t="shared" si="7"/>
        <v>鋼筋，SD280W.</v>
      </c>
      <c r="I64" s="235"/>
      <c r="J64" s="235"/>
      <c r="K64" s="525"/>
      <c r="L64" s="235"/>
      <c r="M64" s="235"/>
      <c r="N64" s="217"/>
      <c r="O64" s="199"/>
      <c r="P64" s="208"/>
      <c r="Q64" s="202"/>
      <c r="T64" s="245" t="s">
        <v>1275</v>
      </c>
      <c r="U64" s="235"/>
      <c r="V64" s="235"/>
      <c r="W64" s="235"/>
      <c r="X64" s="235"/>
      <c r="Y64" s="235"/>
      <c r="Z64" s="235"/>
      <c r="AA64" s="24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AB64" s="250"/>
      <c r="AC64" s="250"/>
      <c r="AD64" s="250"/>
      <c r="AE64" s="250"/>
      <c r="AF64" s="250"/>
      <c r="AG64" s="251"/>
      <c r="BL64" s="130" t="str">
        <f t="shared" si="8"/>
        <v>鋼筋，SD280W.</v>
      </c>
      <c r="BQ64" s="131"/>
      <c r="BS64" s="130"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BX64" s="131"/>
      <c r="CD64" s="190"/>
      <c r="CE64" s="190"/>
      <c r="CF64" s="190"/>
      <c r="CG64" s="190"/>
      <c r="CH64" s="190"/>
      <c r="CI64" s="190"/>
      <c r="CJ64" s="190"/>
      <c r="CK64" s="189" t="str">
        <f>$CG$4</f>
        <v>(7*5.3)</v>
      </c>
      <c r="CL64" s="190"/>
      <c r="CM64" s="190"/>
      <c r="CN64" s="190"/>
      <c r="CO64" s="190"/>
      <c r="CP64" s="619"/>
      <c r="CQ64" s="190" t="s">
        <v>465</v>
      </c>
      <c r="CR64" s="190"/>
      <c r="CS64" s="190"/>
      <c r="CT64" s="190"/>
      <c r="CU64" s="190"/>
      <c r="CV64" s="619"/>
      <c r="CW64" s="647">
        <v>0</v>
      </c>
      <c r="CX64" s="189" t="str">
        <f>$CG$4</f>
        <v>(7*5.3)</v>
      </c>
      <c r="CY64" s="190"/>
      <c r="CZ64" s="190"/>
      <c r="DA64" s="190"/>
      <c r="DB64" s="190"/>
      <c r="DC64" s="619"/>
      <c r="DD64" s="190" t="s">
        <v>465</v>
      </c>
      <c r="DE64" s="190"/>
      <c r="DF64" s="190"/>
      <c r="DG64" s="190"/>
      <c r="DH64" s="190"/>
      <c r="DI64" s="619"/>
      <c r="DJ64" s="645">
        <v>0</v>
      </c>
      <c r="DK64" s="520"/>
      <c r="DL64" s="520"/>
    </row>
    <row r="65" spans="7:116">
      <c r="G65" s="235"/>
      <c r="H65" s="249" t="str">
        <f t="shared" si="7"/>
        <v>16+6.96+3.36</v>
      </c>
      <c r="I65" s="235"/>
      <c r="J65" s="235"/>
      <c r="K65" s="526"/>
      <c r="L65" s="235"/>
      <c r="M65" s="235"/>
      <c r="N65" s="199" t="e">
        <v>#REF!</v>
      </c>
      <c r="O65" s="199" t="e">
        <f t="array" ref="O65">cal</f>
        <v>#REF!</v>
      </c>
      <c r="P65" s="208" t="e">
        <v>#REF!</v>
      </c>
      <c r="Q65" s="202" t="e">
        <f>ROUND(IF(O65=0,"",O65*P65),2)</f>
        <v>#REF!</v>
      </c>
      <c r="T65" s="249" t="str">
        <f>IF($K$44="有","("&amp;$H$48&amp;"*("&amp;$H$46&amp;"+"&amp;$J$48&amp;")*("&amp;$K$48&amp;"+"&amp;($J$46*2)&amp;")-("&amp;$I$46&amp;"*"&amp;$K$48&amp;"*"&amp;$H$46&amp;"))",
"("&amp;$H$48&amp;"*("&amp;$H$46&amp;"+"&amp;$J$48&amp;")*("&amp;$K$48&amp;"+"&amp;($J$46*2)&amp;")-("&amp;$I$46&amp;"*"&amp;$K$48&amp;"*"&amp;$H$46&amp;"))*1.05")</f>
        <v>(0.8*(0.75+0.15)*(0.7+0.3)-(0.5*0.7*0.75))*1.05</v>
      </c>
      <c r="U65" s="235"/>
      <c r="V65" s="235"/>
      <c r="W65" s="235"/>
      <c r="X65" s="235"/>
      <c r="Y65" s="235"/>
      <c r="Z65" s="235"/>
      <c r="AA65" s="249">
        <f>IF(AND($I$44="更新",$J$44="U型溝",$H$48=$H$50),"("&amp;$H$50&amp;"*("&amp;$K$46&amp;"+"&amp;$I$50&amp;")-("&amp;$L$50&amp;"*"&amp;$L$46&amp;")-(("&amp;$M$50&amp;"^2)*3.14*0.5))+("&amp;$H$48&amp;"*("&amp;$H$46&amp;"-"&amp;$K$46&amp;"))",
IF(AND($I$44="更新",$J$44="矩形溝",$H$48=$H$50),"("&amp;$H$50&amp;"*("&amp;$K$46&amp;"+"&amp;$I$50&amp;")-("&amp;$K$46&amp;"*"&amp;$L$46&amp;"))+("&amp;$H$48&amp;"*("&amp;$H$46&amp;"-"&amp;$K$46&amp;"))",
IF(AND($I$44="更新",$J$44="既有井",$H$48=$H$50),"("&amp;$H$50&amp;"*("&amp;$K$46&amp;"+"&amp;$I$50&amp;")*("&amp;$K$50&amp;"+"&amp;($M$46*2)&amp;")-("&amp;$L$46&amp;"*"&amp;$K$50&amp;"*"&amp;$K$46&amp;"))+("&amp;$H$48&amp;"*("&amp;$H$46&amp;"-"&amp;$K$46&amp;"))",
IF(AND($I$44="更新",$J$44="U型溝",$H$48&gt;$H$50),"("&amp;$H$50&amp;"*("&amp;$K$46&amp;"+"&amp;$I$50&amp;")-("&amp;$L$50&amp;"*"&amp;$L$46&amp;")-(("&amp;$M$50&amp;"^2)*3.14*0.5))+ ("&amp;$H$50&amp;"*("&amp;$H$46&amp;"-"&amp;($K$46&amp;")+(("&amp;$H$48&amp;"-"&amp;$H$50&amp;")*("&amp;$H$46&amp;"+"&amp;$I$48)&amp;"))) ",
IF(AND($I$44="更新",$J$44="矩形溝",$H$48&gt;$H$50),"("&amp;$H$50&amp;"*("&amp;$K$46&amp;"+"&amp;$I$50&amp;")-("&amp;$K$46&amp;"*"&amp;$L$46&amp;"))+ ("&amp;$H$50&amp;"*("&amp;$H$46&amp;"-"&amp;($K$46&amp;")+(("&amp;$H$48&amp;"-"&amp;$H$50&amp;")*("&amp;$H$46&amp;"+"&amp;$I$48)&amp;"))) ",
IF(AND($I$44="更新",$J$44="既有井",$H$48&gt;$H$50),"("&amp;$H$50&amp;"*("&amp;$K$46&amp;"+"&amp;$I$50&amp;")*("&amp;$K$50&amp;"+"&amp;($M$46*2)&amp;")-("&amp;$L$46&amp;"*"&amp;$K$50&amp;"*"&amp;$K$46&amp;"))+ ("&amp;$H$50&amp;"*("&amp;$H$46&amp;"-"&amp;($K$46&amp;")+(("&amp;$H$48&amp;"-"&amp;$H$50&amp;")*("&amp;$H$46&amp;"+"&amp;$I$48)&amp;"))) ",
))))))</f>
        <v>0</v>
      </c>
      <c r="AB65" s="250"/>
      <c r="AC65" s="250"/>
      <c r="AD65" s="250"/>
      <c r="AE65" s="250"/>
      <c r="AF65" s="250"/>
      <c r="AG65" s="251"/>
      <c r="BL65" s="130" t="str">
        <f t="shared" si="8"/>
        <v>13.92+15.9</v>
      </c>
      <c r="BQ65" s="131"/>
      <c r="BS65" s="130" t="str">
        <f>"("&amp;$BP$57&amp;"*("&amp;$BQ$57&amp;"+"&amp;$BR$57&amp;"))"</f>
        <v>(0.9*(0.2+0.1))</v>
      </c>
      <c r="BX65" s="131"/>
      <c r="CD65" s="190"/>
      <c r="CE65" s="190"/>
      <c r="CF65" s="190"/>
      <c r="CG65" s="190"/>
      <c r="CH65" s="190"/>
      <c r="CI65" s="190"/>
      <c r="CJ65" s="190"/>
      <c r="CK65" s="189" t="s">
        <v>578</v>
      </c>
      <c r="CL65" s="190"/>
      <c r="CM65" s="190"/>
      <c r="CN65" s="190"/>
      <c r="CO65" s="190"/>
      <c r="CP65" s="619"/>
      <c r="CQ65" s="189" t="s">
        <v>578</v>
      </c>
      <c r="CR65" s="190"/>
      <c r="CS65" s="190"/>
      <c r="CT65" s="190"/>
      <c r="CU65" s="190"/>
      <c r="CV65" s="619"/>
      <c r="CW65" s="647">
        <v>0</v>
      </c>
      <c r="CX65" s="189" t="s">
        <v>578</v>
      </c>
      <c r="CY65" s="190"/>
      <c r="CZ65" s="190"/>
      <c r="DA65" s="190"/>
      <c r="DB65" s="190"/>
      <c r="DC65" s="619"/>
      <c r="DD65" s="189" t="s">
        <v>578</v>
      </c>
      <c r="DE65" s="190"/>
      <c r="DF65" s="190"/>
      <c r="DG65" s="190"/>
      <c r="DH65" s="190"/>
      <c r="DI65" s="619"/>
      <c r="DJ65" s="645">
        <v>0</v>
      </c>
      <c r="DK65" s="520"/>
      <c r="DL65" s="520"/>
    </row>
    <row r="66" spans="7:116">
      <c r="G66" s="235"/>
      <c r="H66" s="249">
        <f t="shared" si="7"/>
        <v>0</v>
      </c>
      <c r="I66" s="235"/>
      <c r="J66" s="235"/>
      <c r="K66" s="235"/>
      <c r="L66" s="235"/>
      <c r="M66" s="235"/>
      <c r="N66" s="199"/>
      <c r="O66" s="199"/>
      <c r="P66" s="208"/>
      <c r="Q66" s="202"/>
      <c r="T66" s="245" t="s">
        <v>2970</v>
      </c>
      <c r="U66" s="235"/>
      <c r="V66" s="235"/>
      <c r="W66" s="235"/>
      <c r="X66" s="235"/>
      <c r="Y66" s="235"/>
      <c r="Z66" s="235"/>
      <c r="AA66" s="245" t="s">
        <v>540</v>
      </c>
      <c r="AB66" s="250"/>
      <c r="AC66" s="250"/>
      <c r="AD66" s="250"/>
      <c r="AE66" s="250"/>
      <c r="AF66" s="250"/>
      <c r="AG66" s="251"/>
      <c r="BL66" s="130" t="str">
        <f t="shared" si="8"/>
        <v>(免拆模板，鋼質)，厚3mm鋼模</v>
      </c>
      <c r="BQ66" s="131"/>
      <c r="BS66" s="130" t="s">
        <v>3730</v>
      </c>
      <c r="BX66" s="131"/>
      <c r="CD66" s="190"/>
      <c r="CE66" s="190"/>
      <c r="CF66" s="190"/>
      <c r="CG66" s="190"/>
      <c r="CH66" s="190"/>
      <c r="CI66" s="190"/>
      <c r="CJ66" s="190"/>
      <c r="CK66" s="189" t="str">
        <f>"("&amp;$CG$4&amp;")*0.05"</f>
        <v>((7*5.3))*0.05</v>
      </c>
      <c r="CL66" s="190"/>
      <c r="CM66" s="190"/>
      <c r="CN66" s="190"/>
      <c r="CO66" s="190"/>
      <c r="CP66" s="619"/>
      <c r="CQ66" s="190" t="str">
        <f>"("&amp;$CG$4&amp;")*0.05"</f>
        <v>((7*5.3))*0.05</v>
      </c>
      <c r="CR66" s="190"/>
      <c r="CS66" s="190"/>
      <c r="CT66" s="190"/>
      <c r="CU66" s="190"/>
      <c r="CV66" s="619"/>
      <c r="CW66" s="647">
        <v>0</v>
      </c>
      <c r="CX66" s="189" t="str">
        <f>"("&amp;$CG$4&amp;")*0.1"</f>
        <v>((7*5.3))*0.1</v>
      </c>
      <c r="CY66" s="190"/>
      <c r="CZ66" s="190"/>
      <c r="DA66" s="190"/>
      <c r="DB66" s="190"/>
      <c r="DC66" s="619"/>
      <c r="DD66" s="190" t="str">
        <f>"("&amp;$CG$4&amp;")*0.1"</f>
        <v>((7*5.3))*0.1</v>
      </c>
      <c r="DE66" s="190"/>
      <c r="DF66" s="190"/>
      <c r="DG66" s="190"/>
      <c r="DH66" s="190"/>
      <c r="DI66" s="619"/>
      <c r="DJ66" s="645">
        <v>0</v>
      </c>
      <c r="DK66" s="520"/>
      <c r="DL66" s="520"/>
    </row>
    <row r="67" spans="7:116">
      <c r="G67" s="235"/>
      <c r="H67" s="249">
        <f t="shared" si="7"/>
        <v>0</v>
      </c>
      <c r="I67" s="235"/>
      <c r="J67" s="235"/>
      <c r="K67" s="235"/>
      <c r="L67" s="235"/>
      <c r="M67" s="235"/>
      <c r="N67" s="199" t="e">
        <v>#REF!</v>
      </c>
      <c r="O67" s="199" t="e">
        <f t="array" ref="O67">cal</f>
        <v>#REF!</v>
      </c>
      <c r="P67" s="208" t="e">
        <v>#REF!</v>
      </c>
      <c r="Q67" s="202" t="e">
        <f>ROUND(IF(O67=0,"",O67*P67),2)</f>
        <v>#REF!</v>
      </c>
      <c r="T67" s="252" t="str">
        <f>"("&amp;$I$46&amp;"*"&amp;$H$46&amp;")*2+("&amp;$K$48&amp;"*"&amp;$H$46&amp;")*2"</f>
        <v>(0.5*0.75)*2+(0.7*0.75)*2</v>
      </c>
      <c r="U67" s="235"/>
      <c r="V67" s="235"/>
      <c r="W67" s="235"/>
      <c r="X67" s="235"/>
      <c r="Y67" s="235"/>
      <c r="Z67" s="235"/>
      <c r="AA67" s="249" t="str">
        <f>"("&amp;$I$46&amp;"+"&amp;$J$46&amp;"+"&amp;$J$46&amp;")*0.05"</f>
        <v>(0.5+0.15+0.15)*0.05</v>
      </c>
      <c r="AB67" s="250"/>
      <c r="AC67" s="250"/>
      <c r="AD67" s="250"/>
      <c r="AE67" s="250"/>
      <c r="AF67" s="250"/>
      <c r="AG67" s="251"/>
      <c r="BL67" s="130" t="str">
        <f t="shared" si="8"/>
        <v>0.7*1</v>
      </c>
      <c r="BQ67" s="131"/>
      <c r="BR67" s="212">
        <v>0</v>
      </c>
      <c r="BS67" s="130" t="str">
        <f>"("&amp;$BP$57&amp;"*("&amp;$BQ$57&amp;"))"</f>
        <v>(0.9*(0.2))</v>
      </c>
      <c r="BX67" s="131"/>
      <c r="CD67" s="190"/>
      <c r="CE67" s="190"/>
      <c r="CF67" s="190"/>
      <c r="CG67" s="190"/>
      <c r="CH67" s="190"/>
      <c r="CI67" s="190"/>
      <c r="CJ67" s="190"/>
      <c r="CK67" s="189" t="s">
        <v>1149</v>
      </c>
      <c r="CL67" s="190"/>
      <c r="CM67" s="190"/>
      <c r="CN67" s="190"/>
      <c r="CO67" s="190"/>
      <c r="CP67" s="619"/>
      <c r="CQ67" s="190" t="str">
        <f>IF($CH$5&lt;50,"瀝青混凝土舖面，舖築及滾壓，緊急搶修工程用，鋪設面積≦50m2適用","瀝青混凝土舖面，舖築及滾壓，緊急搶修工程用，鋪設面積＞50m2適用")</f>
        <v>瀝青混凝土舖面，舖築及滾壓，緊急搶修工程用，鋪設面積≦50m2適用</v>
      </c>
      <c r="CR67" s="190"/>
      <c r="CS67" s="190"/>
      <c r="CT67" s="190"/>
      <c r="CU67" s="190"/>
      <c r="CV67" s="619"/>
      <c r="CW67" s="647">
        <v>0</v>
      </c>
      <c r="CX67" s="189" t="s">
        <v>1149</v>
      </c>
      <c r="CY67" s="190"/>
      <c r="CZ67" s="190"/>
      <c r="DA67" s="190"/>
      <c r="DB67" s="190"/>
      <c r="DC67" s="619"/>
      <c r="DD67" s="190" t="str">
        <f>IF($CH$5&lt;50,"瀝青混凝土舖面，舖築及滾壓，緊急搶修工程用，鋪設面積≦50m2適用","瀝青混凝土舖面，舖築及滾壓，緊急搶修工程用，鋪設面積＞50m2適用")</f>
        <v>瀝青混凝土舖面，舖築及滾壓，緊急搶修工程用，鋪設面積≦50m2適用</v>
      </c>
      <c r="DE67" s="190"/>
      <c r="DF67" s="190"/>
      <c r="DG67" s="190"/>
      <c r="DH67" s="190"/>
      <c r="DI67" s="619"/>
      <c r="DJ67" s="645">
        <v>0</v>
      </c>
      <c r="DK67" s="520"/>
      <c r="DL67" s="520"/>
    </row>
    <row r="68" spans="7:116">
      <c r="G68" s="235"/>
      <c r="H68" s="249">
        <f t="shared" si="7"/>
        <v>0</v>
      </c>
      <c r="I68" s="235"/>
      <c r="J68" s="235"/>
      <c r="K68" s="235"/>
      <c r="L68" s="235"/>
      <c r="M68" s="235"/>
      <c r="N68" s="217"/>
      <c r="O68" s="199"/>
      <c r="P68" s="208"/>
      <c r="Q68" s="202"/>
      <c r="T68" s="245" t="s">
        <v>3843</v>
      </c>
      <c r="U68" s="235"/>
      <c r="V68" s="235"/>
      <c r="W68" s="235"/>
      <c r="X68" s="235"/>
      <c r="Y68" s="235"/>
      <c r="Z68" s="235"/>
      <c r="AA68" s="245" t="s">
        <v>1275</v>
      </c>
      <c r="AB68" s="250"/>
      <c r="AC68" s="235"/>
      <c r="AD68" s="235"/>
      <c r="AE68" s="235"/>
      <c r="AF68" s="235"/>
      <c r="AG68" s="253"/>
      <c r="BK68" s="239"/>
      <c r="BL68" s="130" t="str">
        <f t="shared" si="8"/>
        <v>瀝青黏層，快凝油溶瀝青，RC-70</v>
      </c>
      <c r="BQ68" s="131"/>
      <c r="BR68" s="212">
        <v>0</v>
      </c>
      <c r="BS68" s="130" t="s">
        <v>4311</v>
      </c>
      <c r="BX68" s="131"/>
      <c r="BY68" s="254"/>
      <c r="CD68" s="190"/>
      <c r="CE68" s="190"/>
      <c r="CF68" s="190"/>
      <c r="CG68" s="190"/>
      <c r="CH68" s="190"/>
      <c r="CI68" s="190"/>
      <c r="CJ68" s="190"/>
      <c r="CK68" s="189" t="str">
        <f>"("&amp;$CG$4&amp;")"</f>
        <v>((7*5.3))</v>
      </c>
      <c r="CL68" s="190"/>
      <c r="CM68" s="190"/>
      <c r="CN68" s="190"/>
      <c r="CO68" s="190"/>
      <c r="CP68" s="619"/>
      <c r="CQ68" s="190" t="s">
        <v>465</v>
      </c>
      <c r="CR68" s="190"/>
      <c r="CS68" s="190"/>
      <c r="CT68" s="190"/>
      <c r="CU68" s="190"/>
      <c r="CV68" s="619"/>
      <c r="CW68" s="647">
        <v>0</v>
      </c>
      <c r="CX68" s="189" t="str">
        <f>"("&amp;$CG$4&amp;")*2"</f>
        <v>((7*5.3))*2</v>
      </c>
      <c r="CY68" s="190"/>
      <c r="CZ68" s="190"/>
      <c r="DA68" s="190"/>
      <c r="DB68" s="190"/>
      <c r="DC68" s="619"/>
      <c r="DD68" s="190" t="s">
        <v>465</v>
      </c>
      <c r="DE68" s="190"/>
      <c r="DF68" s="190"/>
      <c r="DG68" s="190"/>
      <c r="DH68" s="190"/>
      <c r="DI68" s="619"/>
      <c r="DJ68" s="645">
        <v>0</v>
      </c>
      <c r="DK68" s="520"/>
      <c r="DL68" s="520"/>
    </row>
    <row r="69" spans="7:116">
      <c r="G69" s="235"/>
      <c r="H69" s="249">
        <f t="shared" si="7"/>
        <v>0</v>
      </c>
      <c r="I69" s="235"/>
      <c r="J69" s="235"/>
      <c r="K69" s="235"/>
      <c r="L69" s="235"/>
      <c r="M69" s="235"/>
      <c r="N69" s="199" t="e">
        <v>#REF!</v>
      </c>
      <c r="O69" s="199" t="e">
        <f t="array" ref="O69">cal</f>
        <v>#REF!</v>
      </c>
      <c r="P69" s="208" t="e">
        <v>#REF!</v>
      </c>
      <c r="Q69" s="202" t="e">
        <f>ROUND(IF(O69=0,"",O69*P69),2)</f>
        <v>#REF!</v>
      </c>
      <c r="T69" s="249" t="str">
        <f>$M$48&amp;"+"&amp;$N$48&amp;"+"&amp;$O$48</f>
        <v>16+6.96+3.36</v>
      </c>
      <c r="U69" s="235"/>
      <c r="V69" s="250"/>
      <c r="W69" s="250"/>
      <c r="X69" s="250"/>
      <c r="Y69" s="250"/>
      <c r="Z69" s="250"/>
      <c r="AA69" s="249" t="str">
        <f>IF($K$44="有","("&amp;$H$48&amp;"*("&amp;$H$46&amp;"+"&amp;$J$48&amp;")*("&amp;$K$48&amp;"+"&amp;($J$46*2)&amp;")-("&amp;$I$46&amp;"*"&amp;$K$48&amp;"*"&amp;$H$46&amp;"))",
"("&amp;$H$48&amp;"*("&amp;$H$46&amp;"+"&amp;$J$48&amp;")*("&amp;$K$48&amp;"+"&amp;($J$46*2)&amp;")-("&amp;$I$46&amp;"*"&amp;$K$48&amp;"*"&amp;$H$46&amp;"))*1.05")</f>
        <v>(0.8*(0.75+0.15)*(0.7+0.3)-(0.5*0.7*0.75))*1.05</v>
      </c>
      <c r="AB69" s="250"/>
      <c r="AC69" s="235"/>
      <c r="AD69" s="235"/>
      <c r="AE69" s="235"/>
      <c r="AF69" s="235"/>
      <c r="AG69" s="253"/>
      <c r="BK69" s="255"/>
      <c r="BL69" s="130" t="str">
        <f t="shared" si="8"/>
        <v>0.9*1*1</v>
      </c>
      <c r="BQ69" s="131"/>
      <c r="BR69" s="212">
        <v>0</v>
      </c>
      <c r="BS69" s="130" t="str">
        <f>$BP$88&amp;"+"&amp;$BS$88</f>
        <v>13.92+15.9</v>
      </c>
      <c r="BX69" s="131"/>
      <c r="BY69" s="255"/>
      <c r="BZ69" s="255"/>
      <c r="CC69" s="256"/>
      <c r="CD69" s="639"/>
      <c r="CE69" s="190"/>
      <c r="CF69" s="640"/>
      <c r="CG69" s="190"/>
      <c r="CH69" s="190"/>
      <c r="CI69" s="190"/>
      <c r="CJ69" s="190"/>
      <c r="CK69" s="189" t="s">
        <v>3717</v>
      </c>
      <c r="CL69" s="190"/>
      <c r="CM69" s="190"/>
      <c r="CN69" s="190"/>
      <c r="CO69" s="190"/>
      <c r="CP69" s="619"/>
      <c r="CQ69" s="190" t="s">
        <v>2971</v>
      </c>
      <c r="CR69" s="190"/>
      <c r="CS69" s="190"/>
      <c r="CT69" s="190"/>
      <c r="CU69" s="190"/>
      <c r="CV69" s="619"/>
      <c r="CW69" s="647">
        <v>0</v>
      </c>
      <c r="CX69" s="189" t="s">
        <v>3717</v>
      </c>
      <c r="CY69" s="190"/>
      <c r="CZ69" s="190"/>
      <c r="DA69" s="190"/>
      <c r="DB69" s="190"/>
      <c r="DC69" s="619"/>
      <c r="DD69" s="190" t="s">
        <v>2971</v>
      </c>
      <c r="DE69" s="190"/>
      <c r="DF69" s="190"/>
      <c r="DG69" s="190"/>
      <c r="DH69" s="190"/>
      <c r="DI69" s="619"/>
      <c r="DJ69" s="645">
        <v>0</v>
      </c>
      <c r="DK69" s="520"/>
      <c r="DL69" s="520"/>
    </row>
    <row r="70" spans="7:116">
      <c r="G70" s="235"/>
      <c r="H70" s="249">
        <f t="shared" si="7"/>
        <v>0</v>
      </c>
      <c r="I70" s="235"/>
      <c r="J70" s="235"/>
      <c r="K70" s="235"/>
      <c r="L70" s="235"/>
      <c r="M70" s="235"/>
      <c r="N70" s="217"/>
      <c r="O70" s="199"/>
      <c r="P70" s="208"/>
      <c r="Q70" s="202"/>
      <c r="T70" s="249"/>
      <c r="U70" s="235"/>
      <c r="V70" s="235"/>
      <c r="W70" s="235"/>
      <c r="X70" s="235"/>
      <c r="Y70" s="235"/>
      <c r="Z70" s="235"/>
      <c r="AA70" s="245" t="s">
        <v>2970</v>
      </c>
      <c r="AB70" s="235"/>
      <c r="AC70" s="235"/>
      <c r="AD70" s="235"/>
      <c r="AE70" s="235"/>
      <c r="AF70" s="235"/>
      <c r="AG70" s="253"/>
      <c r="BL70" s="130" t="str">
        <f t="shared" si="8"/>
        <v>瀝青混凝土舖面，粗粒料9.5mm，針入度60-70，緊急搶修工程用，舖築及滾壓另計</v>
      </c>
      <c r="BQ70" s="131"/>
      <c r="BR70" s="212">
        <v>0</v>
      </c>
      <c r="BS70" s="130" t="s">
        <v>3732</v>
      </c>
      <c r="BX70" s="131"/>
      <c r="CC70" s="257"/>
      <c r="CD70" s="641"/>
      <c r="CE70" s="642"/>
      <c r="CF70" s="642"/>
      <c r="CG70" s="642"/>
      <c r="CH70" s="642"/>
      <c r="CI70" s="190"/>
      <c r="CJ70" s="190"/>
      <c r="CK70" s="189" t="str">
        <f>"("&amp;$CG$4&amp;")*0.05"</f>
        <v>((7*5.3))*0.05</v>
      </c>
      <c r="CL70" s="190"/>
      <c r="CM70" s="190"/>
      <c r="CN70" s="190"/>
      <c r="CO70" s="190"/>
      <c r="CP70" s="619"/>
      <c r="CQ70" s="190" t="str">
        <f>"("&amp;$CG$4&amp;")*0.05"</f>
        <v>((7*5.3))*0.05</v>
      </c>
      <c r="CR70" s="190"/>
      <c r="CS70" s="190"/>
      <c r="CT70" s="190"/>
      <c r="CU70" s="190"/>
      <c r="CV70" s="619"/>
      <c r="CW70" s="647">
        <v>0</v>
      </c>
      <c r="CX70" s="189" t="str">
        <f>"("&amp;$CG$4&amp;")*0.05"</f>
        <v>((7*5.3))*0.05</v>
      </c>
      <c r="CY70" s="190"/>
      <c r="CZ70" s="190"/>
      <c r="DA70" s="190"/>
      <c r="DB70" s="190"/>
      <c r="DC70" s="619"/>
      <c r="DD70" s="190" t="str">
        <f>"("&amp;$CG$4&amp;")*0.05"</f>
        <v>((7*5.3))*0.05</v>
      </c>
      <c r="DE70" s="190"/>
      <c r="DF70" s="190"/>
      <c r="DG70" s="190"/>
      <c r="DH70" s="190"/>
      <c r="DI70" s="619"/>
      <c r="DJ70" s="645">
        <v>0</v>
      </c>
      <c r="DK70" s="520"/>
      <c r="DL70" s="520"/>
    </row>
    <row r="71" spans="7:116">
      <c r="G71" s="235"/>
      <c r="H71" s="249">
        <f t="shared" si="7"/>
        <v>0</v>
      </c>
      <c r="I71" s="235"/>
      <c r="J71" s="235"/>
      <c r="K71" s="235"/>
      <c r="L71" s="235"/>
      <c r="M71" s="235"/>
      <c r="N71" s="199" t="e">
        <v>#REF!</v>
      </c>
      <c r="O71" s="199" t="e">
        <f t="array" ref="O71">cal</f>
        <v>#REF!</v>
      </c>
      <c r="P71" s="208" t="e">
        <v>#REF!</v>
      </c>
      <c r="Q71" s="202" t="e">
        <f>ROUND(IF(O71=0,"",O71*P71),2)</f>
        <v>#REF!</v>
      </c>
      <c r="T71" s="258"/>
      <c r="U71" s="250"/>
      <c r="V71" s="250"/>
      <c r="W71" s="250"/>
      <c r="X71" s="250"/>
      <c r="Y71" s="250"/>
      <c r="Z71" s="250"/>
      <c r="AA71" s="252" t="str">
        <f>"("&amp;$I$46&amp;"*"&amp;$H$46&amp;")*2+("&amp;$K$48&amp;"*"&amp;$H$46&amp;")*2"</f>
        <v>(0.5*0.75)*2+(0.7*0.75)*2</v>
      </c>
      <c r="AB71" s="250"/>
      <c r="AC71" s="235"/>
      <c r="AD71" s="235"/>
      <c r="AE71" s="235"/>
      <c r="AF71" s="235"/>
      <c r="AG71" s="253"/>
      <c r="BL71" s="130" t="str">
        <f t="shared" si="8"/>
        <v>0.9*0.05</v>
      </c>
      <c r="BQ71" s="131"/>
      <c r="BR71" s="212">
        <v>0</v>
      </c>
      <c r="BS71" s="130" t="str">
        <f>IF(BP57="0.8","0.6*1",
IF(BP57="0.9","0.7*1",
IF(BP57="1.0","0.8*1")))</f>
        <v>0.7*1</v>
      </c>
      <c r="BX71" s="131"/>
      <c r="CC71" s="433"/>
      <c r="CD71" s="190"/>
      <c r="CE71" s="190"/>
      <c r="CF71" s="190"/>
      <c r="CG71" s="190"/>
      <c r="CH71" s="190"/>
      <c r="CI71" s="190"/>
      <c r="CJ71" s="190"/>
      <c r="CK71" s="189" t="s">
        <v>2954</v>
      </c>
      <c r="CL71" s="190"/>
      <c r="CM71" s="190"/>
      <c r="CN71" s="190"/>
      <c r="CO71" s="190"/>
      <c r="CP71" s="619"/>
      <c r="CQ71" s="190" t="s">
        <v>1149</v>
      </c>
      <c r="CR71" s="190"/>
      <c r="CS71" s="190"/>
      <c r="CT71" s="190"/>
      <c r="CU71" s="190"/>
      <c r="CV71" s="619"/>
      <c r="CW71" s="647">
        <v>0</v>
      </c>
      <c r="CX71" s="189" t="s">
        <v>3728</v>
      </c>
      <c r="CY71" s="190"/>
      <c r="CZ71" s="190"/>
      <c r="DA71" s="190"/>
      <c r="DB71" s="190"/>
      <c r="DC71" s="619"/>
      <c r="DD71" s="190" t="s">
        <v>2896</v>
      </c>
      <c r="DE71" s="190"/>
      <c r="DF71" s="190"/>
      <c r="DG71" s="190"/>
      <c r="DH71" s="190"/>
      <c r="DI71" s="619"/>
      <c r="DJ71" s="645">
        <v>0</v>
      </c>
      <c r="DK71" s="520"/>
      <c r="DL71" s="520"/>
    </row>
    <row r="72" spans="7:116">
      <c r="G72" s="235"/>
      <c r="H72" s="249">
        <f>IF($H$44="搶修案",P76,
IF(AND($H$44="一般案",$I$44="新設"),T72,
IF(AND($H$44="一般案",$J$44="無既有溝",OR($I$44="新設",$I$44="更新")),T72,
IF(AND($H$44="一般案",$J$44="既有井",$H$46=$K$46,$I$46=$L$46,$J$46=$M$46),T72,
IF(AND($H$44="一般案",$I$44="更新",OR($J$44="矩形溝",$J$44="U型溝",$J$44="既有井")),AA72)))))</f>
        <v>0</v>
      </c>
      <c r="I72" s="235"/>
      <c r="J72" s="235"/>
      <c r="K72" s="235"/>
      <c r="L72" s="235"/>
      <c r="M72" s="235"/>
      <c r="N72" s="217"/>
      <c r="O72" s="199"/>
      <c r="P72" s="208"/>
      <c r="Q72" s="202"/>
      <c r="T72" s="258"/>
      <c r="U72" s="250"/>
      <c r="V72" s="250"/>
      <c r="W72" s="250"/>
      <c r="X72" s="250"/>
      <c r="Y72" s="250"/>
      <c r="Z72" s="250"/>
      <c r="AA72" s="245" t="s">
        <v>2939</v>
      </c>
      <c r="AB72" s="250"/>
      <c r="AC72" s="235"/>
      <c r="AD72" s="235"/>
      <c r="AE72" s="235"/>
      <c r="AF72" s="235"/>
      <c r="AG72" s="253"/>
      <c r="BL72" s="130" t="str">
        <f t="shared" si="8"/>
        <v xml:space="preserve"> </v>
      </c>
      <c r="BQ72" s="131"/>
      <c r="BR72" s="212">
        <v>0</v>
      </c>
      <c r="BS72" s="130" t="str">
        <f>IF($BO$57="銑鋪復舊"," ",
IF(OR($BO$57="5cm臨補",$BO$57="10cm臨補"),"瀝青黏層，快凝油溶瀝青，RC-70"))</f>
        <v>瀝青黏層，快凝油溶瀝青，RC-70</v>
      </c>
      <c r="BX72" s="131"/>
      <c r="CC72" s="257"/>
      <c r="CD72" s="641"/>
      <c r="CE72" s="190"/>
      <c r="CF72" s="190"/>
      <c r="CG72" s="190"/>
      <c r="CH72" s="190"/>
      <c r="CI72" s="190"/>
      <c r="CJ72" s="190"/>
      <c r="CK72" s="635">
        <v>1</v>
      </c>
      <c r="CL72" s="190"/>
      <c r="CM72" s="190"/>
      <c r="CN72" s="190"/>
      <c r="CO72" s="190"/>
      <c r="CP72" s="619"/>
      <c r="CQ72" s="189" t="str">
        <f>"("&amp;$CG$4&amp;")"</f>
        <v>((7*5.3))</v>
      </c>
      <c r="CR72" s="190"/>
      <c r="CS72" s="190"/>
      <c r="CT72" s="190"/>
      <c r="CU72" s="190"/>
      <c r="CV72" s="619"/>
      <c r="CW72" s="647">
        <v>0</v>
      </c>
      <c r="CX72" s="189" t="str">
        <f>"("&amp;$CG$4&amp;")*0.05"</f>
        <v>((7*5.3))*0.05</v>
      </c>
      <c r="CY72" s="190"/>
      <c r="CZ72" s="190"/>
      <c r="DA72" s="190"/>
      <c r="DB72" s="190"/>
      <c r="DC72" s="619"/>
      <c r="DD72" s="190" t="str">
        <f>"("&amp;$CG$4&amp;")*0.05"</f>
        <v>((7*5.3))*0.05</v>
      </c>
      <c r="DE72" s="190"/>
      <c r="DF72" s="190"/>
      <c r="DG72" s="190"/>
      <c r="DH72" s="190"/>
      <c r="DI72" s="619"/>
      <c r="DJ72" s="645">
        <v>0</v>
      </c>
      <c r="DK72" s="520"/>
      <c r="DL72" s="520"/>
    </row>
    <row r="73" spans="7:116">
      <c r="G73" s="235"/>
      <c r="H73" s="249">
        <f>IF($H$44="搶修案",P77,
IF(AND($H$44="一般案",$I$44="新設"),T73,
IF(AND($H$44="一般案",$J$44="無既有溝",OR($I$44="新設",$I$44="更新")),T73,
IF(AND($H$44="一般案",$J$44="既有井",$H$46=$K$46,$I$46=$L$46,$J$46=$M$46),T73,
IF(AND($H$44="一般案",$I$44="更新",OR($J$44="矩形溝",$J$44="U型溝",$J$44="既有井")),AA73)))))</f>
        <v>0</v>
      </c>
      <c r="I73" s="235"/>
      <c r="J73" s="235"/>
      <c r="K73" s="235"/>
      <c r="L73" s="235"/>
      <c r="M73" s="235"/>
      <c r="N73" s="199" t="e">
        <v>#REF!</v>
      </c>
      <c r="O73" s="199" t="e">
        <f t="array" ref="O73">cal</f>
        <v>#REF!</v>
      </c>
      <c r="P73" s="208" t="e">
        <v>#REF!</v>
      </c>
      <c r="Q73" s="202" t="e">
        <f>ROUND(IF(O73=0,"",O73*P73),2)</f>
        <v>#REF!</v>
      </c>
      <c r="T73" s="249"/>
      <c r="U73" s="235"/>
      <c r="V73" s="235"/>
      <c r="W73" s="235"/>
      <c r="X73" s="235"/>
      <c r="Y73" s="235"/>
      <c r="Z73" s="235"/>
      <c r="AA73" s="249" t="str">
        <f>$M$48&amp;"+"&amp;$N$48&amp;"+"&amp;$O$48</f>
        <v>16+6.96+3.36</v>
      </c>
      <c r="AB73" s="235"/>
      <c r="AC73" s="235"/>
      <c r="AD73" s="235"/>
      <c r="AE73" s="235"/>
      <c r="AF73" s="235"/>
      <c r="AG73" s="253"/>
      <c r="BK73" s="188"/>
      <c r="BL73" s="130" t="str">
        <f t="shared" si="8"/>
        <v xml:space="preserve"> </v>
      </c>
      <c r="BQ73" s="131"/>
      <c r="BR73" s="212">
        <v>0</v>
      </c>
      <c r="BS73" s="130" t="str">
        <f>IF($BO$57="銑鋪復舊"," ",
IF($BO$57="5cm臨補",$BP$57&amp;"*1*1",
IF($BO$57="10cm臨補",$BP$57&amp;"*1*2")))</f>
        <v>0.9*1*1</v>
      </c>
      <c r="BX73" s="131"/>
      <c r="BY73" s="255"/>
      <c r="BZ73" s="255"/>
      <c r="CC73" s="270"/>
      <c r="CD73" s="190"/>
      <c r="CE73" s="190"/>
      <c r="CF73" s="190"/>
      <c r="CG73" s="190"/>
      <c r="CH73" s="190"/>
      <c r="CI73" s="190"/>
      <c r="CJ73" s="190"/>
      <c r="CK73" s="636" t="s">
        <v>801</v>
      </c>
      <c r="CL73" s="190"/>
      <c r="CM73" s="190"/>
      <c r="CN73" s="190"/>
      <c r="CO73" s="190"/>
      <c r="CP73" s="619"/>
      <c r="CQ73" s="190" t="s">
        <v>2954</v>
      </c>
      <c r="CR73" s="190"/>
      <c r="CS73" s="190"/>
      <c r="CT73" s="190"/>
      <c r="CU73" s="190"/>
      <c r="CV73" s="619"/>
      <c r="CW73" s="647">
        <v>0</v>
      </c>
      <c r="CX73" s="189" t="s">
        <v>2954</v>
      </c>
      <c r="CY73" s="190"/>
      <c r="CZ73" s="190"/>
      <c r="DA73" s="190"/>
      <c r="DB73" s="190"/>
      <c r="DC73" s="619"/>
      <c r="DD73" s="189" t="s">
        <v>1149</v>
      </c>
      <c r="DE73" s="190"/>
      <c r="DF73" s="190"/>
      <c r="DG73" s="190"/>
      <c r="DH73" s="190"/>
      <c r="DI73" s="619"/>
      <c r="DJ73" s="645">
        <v>0</v>
      </c>
      <c r="DK73" s="520"/>
      <c r="DL73" s="520"/>
    </row>
    <row r="74" spans="7:116">
      <c r="G74" s="235"/>
      <c r="H74" s="249">
        <f>IF($H$44="搶修案",P78,
IF(AND($H$44="一般案",$I$44="新設"),T74,
IF(AND($H$44="一般案",$J$44="無既有溝",OR($I$44="新設",$I$44="更新")),T74,
IF(AND($H$44="一般案",$J$44="既有井",$H$46=$K$46,$I$46=$L$46,$J$46=$M$46),T74,
IF(AND($H$44="一般案",$I$44="更新",OR($J$44="矩形溝",$J$44="U型溝",$J$44="既有井")),AA74)))))</f>
        <v>0</v>
      </c>
      <c r="I74" s="235"/>
      <c r="J74" s="235"/>
      <c r="K74" s="235"/>
      <c r="L74" s="235"/>
      <c r="M74" s="235"/>
      <c r="N74" s="217"/>
      <c r="O74" s="199"/>
      <c r="P74" s="208"/>
      <c r="Q74" s="202"/>
      <c r="T74" s="259"/>
      <c r="U74" s="260"/>
      <c r="V74" s="260"/>
      <c r="W74" s="260"/>
      <c r="X74" s="260"/>
      <c r="Y74" s="260"/>
      <c r="Z74" s="260"/>
      <c r="AA74" s="259"/>
      <c r="AB74" s="260"/>
      <c r="AC74" s="260"/>
      <c r="AD74" s="260"/>
      <c r="AE74" s="260"/>
      <c r="AF74" s="260"/>
      <c r="AG74" s="261"/>
      <c r="BK74" s="239"/>
      <c r="BL74" s="130">
        <f t="shared" si="8"/>
        <v>0</v>
      </c>
      <c r="BQ74" s="131"/>
      <c r="BR74" s="212" t="s">
        <v>3708</v>
      </c>
      <c r="BS74" s="130" t="str">
        <f>IF($BO$57="銑鋪復舊"," ",
IF(OR($BO$57="5cm臨補",$BO$57="10cm臨補"),"瀝青混凝土舖面，粗粒料9.5mm，針入度60-70，緊急搶修工程用，舖築及滾壓另計"))</f>
        <v>瀝青混凝土舖面，粗粒料9.5mm，針入度60-70，緊急搶修工程用，舖築及滾壓另計</v>
      </c>
      <c r="BX74" s="131"/>
      <c r="CC74" s="257"/>
      <c r="CD74" s="641"/>
      <c r="CE74" s="642"/>
      <c r="CF74" s="643"/>
      <c r="CG74" s="642"/>
      <c r="CH74" s="642"/>
      <c r="CI74" s="190"/>
      <c r="CJ74" s="190"/>
      <c r="CK74" s="692">
        <v>1</v>
      </c>
      <c r="CL74" s="190"/>
      <c r="CM74" s="190"/>
      <c r="CN74" s="190"/>
      <c r="CO74" s="190"/>
      <c r="CP74" s="619"/>
      <c r="CQ74" s="190" t="s">
        <v>465</v>
      </c>
      <c r="CR74" s="190"/>
      <c r="CS74" s="190"/>
      <c r="CT74" s="190"/>
      <c r="CU74" s="190"/>
      <c r="CV74" s="619"/>
      <c r="CW74" s="647">
        <v>0</v>
      </c>
      <c r="CX74" s="635">
        <v>1</v>
      </c>
      <c r="CY74" s="190"/>
      <c r="CZ74" s="190"/>
      <c r="DA74" s="190"/>
      <c r="DB74" s="190"/>
      <c r="DC74" s="619"/>
      <c r="DD74" s="189" t="str">
        <f>"("&amp;$CG$4&amp;")*2"</f>
        <v>((7*5.3))*2</v>
      </c>
      <c r="DE74" s="190"/>
      <c r="DF74" s="190"/>
      <c r="DG74" s="190"/>
      <c r="DH74" s="190"/>
      <c r="DI74" s="619"/>
      <c r="DJ74" s="645">
        <v>0</v>
      </c>
      <c r="DK74" s="520"/>
      <c r="DL74" s="520"/>
    </row>
    <row r="75" spans="7:116" ht="17.25" thickBot="1">
      <c r="G75" s="235"/>
      <c r="H75" s="262">
        <f>IF($H$44="搶修案",P79,
IF(AND($H$44="一般案",$I$44="新設"),T75,
IF(AND($H$44="一般案",$J$44="無既有溝",OR($I$44="新設",$I$44="更新")),T75,
IF(AND($H$44="一般案",$J$44="既有井",$H$46=$K$46,$I$46=$L$46,$J$46=$M$46),T75,
IF(AND($H$44="一般案",$I$44="更新",OR($J$44="矩形溝",$J$44="U型溝",$J$44="既有井")),AA75)))))</f>
        <v>0</v>
      </c>
      <c r="I75" s="263"/>
      <c r="J75" s="263"/>
      <c r="K75" s="263"/>
      <c r="L75" s="263"/>
      <c r="M75" s="263"/>
      <c r="N75" s="228"/>
      <c r="O75" s="227"/>
      <c r="P75" s="229"/>
      <c r="Q75" s="230"/>
      <c r="T75" s="264"/>
      <c r="U75" s="265"/>
      <c r="V75" s="265"/>
      <c r="W75" s="265"/>
      <c r="X75" s="265"/>
      <c r="Y75" s="265"/>
      <c r="Z75" s="265"/>
      <c r="AA75" s="264"/>
      <c r="AB75" s="265"/>
      <c r="AC75" s="265"/>
      <c r="AD75" s="265"/>
      <c r="AE75" s="265"/>
      <c r="AF75" s="265"/>
      <c r="AG75" s="266"/>
      <c r="BK75" s="239"/>
      <c r="BL75" s="130">
        <f t="shared" si="8"/>
        <v>0</v>
      </c>
      <c r="BQ75" s="131"/>
      <c r="BR75" s="212" t="s">
        <v>3708</v>
      </c>
      <c r="BS75" s="130" t="str">
        <f>IF($BO$57="銑鋪復舊"," ",
IF(OR($BO$57="5cm臨補",$BO$57="10cm臨補"),$BP$57&amp;"*0.05"))</f>
        <v>0.9*0.05</v>
      </c>
      <c r="BX75" s="131"/>
      <c r="CC75" s="433"/>
      <c r="CD75" s="190"/>
      <c r="CE75" s="190"/>
      <c r="CF75" s="639"/>
      <c r="CG75" s="190"/>
      <c r="CH75" s="190"/>
      <c r="CI75" s="190"/>
      <c r="CJ75" s="190"/>
      <c r="CK75" s="692" t="s">
        <v>2996</v>
      </c>
      <c r="CL75" s="190"/>
      <c r="CM75" s="190"/>
      <c r="CN75" s="190"/>
      <c r="CO75" s="190"/>
      <c r="CP75" s="619"/>
      <c r="CQ75" s="636" t="s">
        <v>801</v>
      </c>
      <c r="CR75" s="190"/>
      <c r="CS75" s="190"/>
      <c r="CT75" s="190"/>
      <c r="CU75" s="190"/>
      <c r="CV75" s="619"/>
      <c r="CW75" s="647">
        <v>0</v>
      </c>
      <c r="CX75" s="636" t="s">
        <v>801</v>
      </c>
      <c r="CY75" s="190"/>
      <c r="CZ75" s="190"/>
      <c r="DA75" s="190"/>
      <c r="DB75" s="190"/>
      <c r="DC75" s="619"/>
      <c r="DD75" s="190" t="s">
        <v>2954</v>
      </c>
      <c r="DE75" s="190"/>
      <c r="DF75" s="190"/>
      <c r="DG75" s="190"/>
      <c r="DH75" s="190"/>
      <c r="DI75" s="619"/>
      <c r="DJ75" s="645">
        <v>0</v>
      </c>
      <c r="DK75" s="520"/>
      <c r="DL75" s="520"/>
    </row>
    <row r="76" spans="7:116">
      <c r="G76" s="235"/>
      <c r="H76" s="235"/>
      <c r="I76" s="235"/>
      <c r="J76" s="235"/>
      <c r="K76" s="235"/>
      <c r="L76" s="235"/>
      <c r="M76" s="235"/>
      <c r="N76" s="235"/>
      <c r="O76" s="235"/>
      <c r="P76" s="235"/>
      <c r="Q76" s="235"/>
      <c r="R76" s="235"/>
      <c r="S76" s="235"/>
      <c r="T76" s="235"/>
      <c r="U76" s="235"/>
      <c r="V76" s="235"/>
      <c r="W76" s="235"/>
      <c r="X76" s="235"/>
      <c r="Y76" s="235"/>
      <c r="Z76" s="235"/>
      <c r="AA76" s="235"/>
      <c r="AB76" s="235"/>
      <c r="AC76" s="235"/>
      <c r="AD76" s="235"/>
      <c r="AE76" s="267" t="s">
        <v>2</v>
      </c>
      <c r="BK76" s="239"/>
      <c r="BL76" s="130">
        <f t="shared" si="8"/>
        <v>0</v>
      </c>
      <c r="BQ76" s="131"/>
      <c r="BR76" s="212" t="s">
        <v>3708</v>
      </c>
      <c r="BS76" s="130" t="str">
        <f>IF(OR($BO$57="銑鋪復舊",$BO$57="5cm臨補")," ",
IF($BO$57="10cm臨補","瀝青混凝土舖面，粗粒料19.0mm，針入度60-70，緊急搶修工程用，舖築及滾壓另計"))</f>
        <v xml:space="preserve"> </v>
      </c>
      <c r="BX76" s="131"/>
      <c r="CC76" s="271"/>
      <c r="CD76" s="641"/>
      <c r="CE76" s="190"/>
      <c r="CF76" s="639"/>
      <c r="CG76" s="190"/>
      <c r="CH76" s="190"/>
      <c r="CI76" s="190"/>
      <c r="CJ76" s="190"/>
      <c r="CK76" s="692">
        <v>1</v>
      </c>
      <c r="CL76" s="190"/>
      <c r="CM76" s="190"/>
      <c r="CN76" s="190"/>
      <c r="CO76" s="190"/>
      <c r="CP76" s="619"/>
      <c r="CQ76" s="692">
        <v>1</v>
      </c>
      <c r="CR76" s="190"/>
      <c r="CS76" s="190"/>
      <c r="CT76" s="190"/>
      <c r="CU76" s="190"/>
      <c r="CV76" s="619"/>
      <c r="CW76" s="647"/>
      <c r="CX76" s="692">
        <v>1</v>
      </c>
      <c r="CY76" s="190"/>
      <c r="CZ76" s="190"/>
      <c r="DA76" s="190"/>
      <c r="DB76" s="190"/>
      <c r="DC76" s="619"/>
      <c r="DD76" s="190" t="s">
        <v>465</v>
      </c>
      <c r="DE76" s="190"/>
      <c r="DF76" s="190"/>
      <c r="DG76" s="190"/>
      <c r="DH76" s="190"/>
      <c r="DI76" s="619"/>
      <c r="DJ76" s="645"/>
      <c r="DK76" s="520"/>
      <c r="DL76" s="520"/>
    </row>
    <row r="77" spans="7:116">
      <c r="G77" s="235"/>
      <c r="H77" s="235"/>
      <c r="I77" s="235"/>
      <c r="J77" s="235"/>
      <c r="K77" s="235"/>
      <c r="L77" s="235"/>
      <c r="M77" s="235"/>
      <c r="N77" s="235"/>
      <c r="O77" s="235"/>
      <c r="P77" s="235"/>
      <c r="Q77" s="235"/>
      <c r="R77" s="235"/>
      <c r="S77" s="235"/>
      <c r="T77" s="235"/>
      <c r="U77" s="235"/>
      <c r="V77" s="235"/>
      <c r="W77" s="235"/>
      <c r="X77" s="235"/>
      <c r="Y77" s="235"/>
      <c r="Z77" s="235"/>
      <c r="AA77" s="235"/>
      <c r="AB77" s="235"/>
      <c r="AC77" s="235"/>
      <c r="AD77" s="235"/>
      <c r="AE77" s="267" t="s">
        <v>2</v>
      </c>
      <c r="BK77" s="188"/>
      <c r="BL77" s="130">
        <f t="shared" si="8"/>
        <v>0</v>
      </c>
      <c r="BQ77" s="131"/>
      <c r="BR77" s="212" t="s">
        <v>3708</v>
      </c>
      <c r="BS77" s="130" t="str">
        <f>IF(OR($BO$57="銑鋪復舊",$BO$57="5cm臨補")," ",
IF($BO$57="10cm臨補",$BP$57&amp;"*0.05"))</f>
        <v xml:space="preserve"> </v>
      </c>
      <c r="BX77" s="131"/>
      <c r="BY77" s="255"/>
      <c r="BZ77" s="255"/>
      <c r="CA77" s="255"/>
      <c r="CB77" s="255"/>
      <c r="CC77" s="433"/>
      <c r="CD77" s="640"/>
      <c r="CE77" s="190"/>
      <c r="CF77" s="639"/>
      <c r="CG77" s="190"/>
      <c r="CH77" s="190"/>
      <c r="CI77" s="190"/>
      <c r="CJ77" s="190"/>
      <c r="CK77" s="636"/>
      <c r="CL77" s="190"/>
      <c r="CM77" s="190"/>
      <c r="CN77" s="190"/>
      <c r="CO77" s="190"/>
      <c r="CP77" s="619"/>
      <c r="CQ77" s="692" t="s">
        <v>2996</v>
      </c>
      <c r="CR77" s="190"/>
      <c r="CS77" s="190"/>
      <c r="CT77" s="190"/>
      <c r="CU77" s="190"/>
      <c r="CV77" s="619"/>
      <c r="CW77" s="647"/>
      <c r="CX77" s="692" t="s">
        <v>2996</v>
      </c>
      <c r="CY77" s="190"/>
      <c r="CZ77" s="190"/>
      <c r="DA77" s="190"/>
      <c r="DB77" s="190"/>
      <c r="DC77" s="619"/>
      <c r="DD77" s="636" t="s">
        <v>801</v>
      </c>
      <c r="DE77" s="190"/>
      <c r="DF77" s="190"/>
      <c r="DG77" s="190"/>
      <c r="DH77" s="190"/>
      <c r="DI77" s="619"/>
      <c r="DJ77" s="645"/>
      <c r="DK77" s="520"/>
      <c r="DL77" s="520"/>
    </row>
    <row r="78" spans="7:116">
      <c r="AE78" s="267" t="s">
        <v>2</v>
      </c>
      <c r="AZ78" s="268"/>
      <c r="BA78" s="269"/>
      <c r="BB78" s="527"/>
      <c r="BG78" s="270"/>
      <c r="BI78" s="239"/>
      <c r="BJ78" s="254"/>
      <c r="BK78" s="239"/>
      <c r="BL78" s="130"/>
      <c r="BQ78" s="131"/>
      <c r="BR78" s="212" t="s">
        <v>3708</v>
      </c>
      <c r="BS78" s="130"/>
      <c r="BX78" s="131"/>
      <c r="CC78" s="271"/>
      <c r="CD78" s="641"/>
      <c r="CE78" s="642"/>
      <c r="CF78" s="643"/>
      <c r="CG78" s="642"/>
      <c r="CH78" s="642"/>
      <c r="CI78" s="190"/>
      <c r="CJ78" s="190"/>
      <c r="CK78" s="636"/>
      <c r="CL78" s="190"/>
      <c r="CM78" s="190"/>
      <c r="CN78" s="190"/>
      <c r="CO78" s="190"/>
      <c r="CP78" s="619"/>
      <c r="CQ78" s="692">
        <v>1</v>
      </c>
      <c r="CR78" s="190"/>
      <c r="CS78" s="190"/>
      <c r="CT78" s="190"/>
      <c r="CU78" s="190"/>
      <c r="CV78" s="619"/>
      <c r="CW78" s="647"/>
      <c r="CX78" s="692">
        <v>1</v>
      </c>
      <c r="CY78" s="190"/>
      <c r="CZ78" s="190"/>
      <c r="DA78" s="190"/>
      <c r="DB78" s="190"/>
      <c r="DC78" s="619"/>
      <c r="DD78" s="692">
        <v>1</v>
      </c>
      <c r="DE78" s="190"/>
      <c r="DF78" s="190"/>
      <c r="DG78" s="190"/>
      <c r="DH78" s="190"/>
      <c r="DI78" s="619"/>
      <c r="DJ78" s="645"/>
      <c r="DK78" s="520"/>
      <c r="DL78" s="520"/>
    </row>
    <row r="79" spans="7:116" ht="17.25" thickBot="1">
      <c r="AE79" s="267" t="s">
        <v>2</v>
      </c>
      <c r="BL79" s="139"/>
      <c r="BM79" s="141"/>
      <c r="BN79" s="141"/>
      <c r="BO79" s="141"/>
      <c r="BP79" s="141"/>
      <c r="BQ79" s="140"/>
      <c r="BR79" s="212"/>
      <c r="BS79" s="139"/>
      <c r="BT79" s="141"/>
      <c r="BU79" s="141"/>
      <c r="BV79" s="141"/>
      <c r="BW79" s="141"/>
      <c r="BX79" s="140"/>
      <c r="CC79" s="270"/>
      <c r="CD79" s="190"/>
      <c r="CE79" s="190"/>
      <c r="CF79" s="639"/>
      <c r="CG79" s="190"/>
      <c r="CH79" s="190"/>
      <c r="CI79" s="190"/>
      <c r="CJ79" s="190"/>
      <c r="CK79" s="636"/>
      <c r="CL79" s="190"/>
      <c r="CM79" s="190"/>
      <c r="CN79" s="190"/>
      <c r="CO79" s="190"/>
      <c r="CP79" s="619"/>
      <c r="CQ79" s="241"/>
      <c r="CR79" s="190"/>
      <c r="CS79" s="190"/>
      <c r="CT79" s="190"/>
      <c r="CU79" s="190"/>
      <c r="CV79" s="619"/>
      <c r="CW79" s="647"/>
      <c r="CX79" s="636"/>
      <c r="CY79" s="190"/>
      <c r="CZ79" s="190"/>
      <c r="DA79" s="190"/>
      <c r="DB79" s="190"/>
      <c r="DC79" s="619"/>
      <c r="DD79" s="692" t="s">
        <v>2996</v>
      </c>
      <c r="DE79" s="190"/>
      <c r="DF79" s="190"/>
      <c r="DG79" s="190"/>
      <c r="DH79" s="190"/>
      <c r="DI79" s="619"/>
      <c r="DJ79" s="645"/>
      <c r="DK79" s="520"/>
      <c r="DL79" s="520"/>
    </row>
    <row r="80" spans="7:116">
      <c r="BS80" s="515"/>
      <c r="CC80" s="271"/>
      <c r="CD80" s="639"/>
      <c r="CE80" s="190"/>
      <c r="CF80" s="640"/>
      <c r="CG80" s="190"/>
      <c r="CH80" s="190"/>
      <c r="CI80" s="190"/>
      <c r="CJ80" s="190"/>
      <c r="CK80" s="636"/>
      <c r="CL80" s="190"/>
      <c r="CM80" s="190"/>
      <c r="CN80" s="190"/>
      <c r="CO80" s="190"/>
      <c r="CP80" s="619"/>
      <c r="CQ80" s="241"/>
      <c r="CR80" s="190"/>
      <c r="CS80" s="190"/>
      <c r="CT80" s="190"/>
      <c r="CU80" s="190"/>
      <c r="CV80" s="619"/>
      <c r="CW80" s="648"/>
      <c r="CX80" s="636"/>
      <c r="CY80" s="190"/>
      <c r="CZ80" s="190"/>
      <c r="DA80" s="190"/>
      <c r="DB80" s="190"/>
      <c r="DC80" s="619"/>
      <c r="DD80" s="692">
        <v>1</v>
      </c>
      <c r="DE80" s="190"/>
      <c r="DF80" s="190"/>
      <c r="DG80" s="190"/>
      <c r="DH80" s="190"/>
      <c r="DI80" s="619"/>
      <c r="DJ80" s="646"/>
    </row>
    <row r="81" spans="7:116">
      <c r="G81" s="235" t="s">
        <v>3846</v>
      </c>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BS81" s="515"/>
      <c r="BY81" s="255"/>
      <c r="BZ81" s="255"/>
      <c r="CA81" s="255"/>
      <c r="CB81" s="255"/>
      <c r="CC81" s="433"/>
      <c r="CD81" s="639"/>
      <c r="CE81" s="190"/>
      <c r="CF81" s="640"/>
      <c r="CG81" s="190"/>
      <c r="CH81" s="190"/>
      <c r="CI81" s="190"/>
      <c r="CJ81" s="190"/>
      <c r="CK81" s="636"/>
      <c r="CL81" s="190"/>
      <c r="CM81" s="190"/>
      <c r="CN81" s="190"/>
      <c r="CO81" s="190"/>
      <c r="CP81" s="619"/>
      <c r="CQ81" s="241"/>
      <c r="CR81" s="190"/>
      <c r="CS81" s="190"/>
      <c r="CT81" s="190"/>
      <c r="CU81" s="190"/>
      <c r="CV81" s="619"/>
      <c r="CW81" s="648"/>
      <c r="CX81" s="636"/>
      <c r="CY81" s="190"/>
      <c r="CZ81" s="190"/>
      <c r="DA81" s="190"/>
      <c r="DB81" s="190"/>
      <c r="DC81" s="619"/>
      <c r="DD81" s="241"/>
      <c r="DE81" s="190"/>
      <c r="DF81" s="190"/>
      <c r="DG81" s="190"/>
      <c r="DH81" s="190"/>
      <c r="DI81" s="619"/>
      <c r="DJ81" s="646"/>
    </row>
    <row r="82" spans="7:116" ht="17.25" thickBot="1">
      <c r="G82" s="235"/>
      <c r="H82" s="235"/>
      <c r="I82" s="235"/>
      <c r="J82" s="235"/>
      <c r="K82" s="235"/>
      <c r="L82" s="235"/>
      <c r="M82" s="235"/>
      <c r="N82" s="235"/>
      <c r="O82" s="235"/>
      <c r="P82" s="235"/>
      <c r="Q82" s="235"/>
      <c r="R82" s="235"/>
      <c r="S82" s="235"/>
      <c r="T82" s="235"/>
      <c r="U82" s="235"/>
      <c r="V82" s="235"/>
      <c r="W82" s="235"/>
      <c r="X82" s="235"/>
      <c r="Y82" s="235"/>
      <c r="Z82" s="235"/>
      <c r="AA82" s="235"/>
      <c r="AB82" s="235"/>
      <c r="AC82" s="235"/>
      <c r="AD82" s="235"/>
      <c r="CC82" s="271"/>
      <c r="CD82" s="643"/>
      <c r="CE82" s="642"/>
      <c r="CF82" s="642"/>
      <c r="CG82" s="642"/>
      <c r="CH82" s="642"/>
      <c r="CI82" s="190"/>
      <c r="CJ82" s="190"/>
      <c r="CK82" s="615"/>
      <c r="CL82" s="616"/>
      <c r="CM82" s="616"/>
      <c r="CN82" s="616"/>
      <c r="CO82" s="616"/>
      <c r="CP82" s="620"/>
      <c r="CQ82" s="637"/>
      <c r="CR82" s="616"/>
      <c r="CS82" s="616"/>
      <c r="CT82" s="616"/>
      <c r="CU82" s="616"/>
      <c r="CV82" s="620"/>
      <c r="CW82" s="648"/>
      <c r="CX82" s="638"/>
      <c r="CY82" s="616"/>
      <c r="CZ82" s="616"/>
      <c r="DA82" s="616"/>
      <c r="DB82" s="616"/>
      <c r="DC82" s="620"/>
      <c r="DD82" s="637"/>
      <c r="DE82" s="616"/>
      <c r="DF82" s="616"/>
      <c r="DG82" s="616"/>
      <c r="DH82" s="616"/>
      <c r="DI82" s="620"/>
      <c r="DJ82" s="646"/>
    </row>
    <row r="83" spans="7:116">
      <c r="G83" s="235"/>
      <c r="H83" s="522" t="s">
        <v>3812</v>
      </c>
      <c r="I83" s="522" t="s">
        <v>3813</v>
      </c>
      <c r="J83" s="522" t="s">
        <v>3814</v>
      </c>
      <c r="K83" s="522" t="s">
        <v>3815</v>
      </c>
      <c r="L83" s="522"/>
      <c r="M83" s="522"/>
      <c r="N83" s="522"/>
      <c r="O83" s="522"/>
      <c r="P83" s="522"/>
      <c r="Q83" s="235"/>
      <c r="R83" s="235"/>
      <c r="S83" s="235"/>
      <c r="T83" s="235"/>
      <c r="U83" s="235"/>
      <c r="V83" s="235"/>
      <c r="W83" s="235"/>
      <c r="X83" s="235"/>
      <c r="Y83" s="235"/>
      <c r="Z83" s="235"/>
      <c r="AA83" s="235"/>
      <c r="AB83" s="235"/>
      <c r="AC83" s="235"/>
      <c r="AD83" s="235"/>
      <c r="BS83" s="188"/>
      <c r="BY83" s="257"/>
      <c r="BZ83" s="269"/>
      <c r="CA83" s="269"/>
      <c r="CB83" s="269"/>
      <c r="CC83" s="433"/>
      <c r="CD83" s="639"/>
      <c r="CE83" s="190"/>
      <c r="CF83" s="640"/>
      <c r="CG83" s="190"/>
      <c r="CH83" s="190"/>
      <c r="CI83" s="190"/>
      <c r="CJ83" s="190"/>
      <c r="CK83" s="190"/>
      <c r="CL83" s="190"/>
      <c r="CM83" s="190"/>
      <c r="CN83" s="190"/>
      <c r="CO83" s="190"/>
      <c r="CP83" s="190"/>
      <c r="CQ83" s="190"/>
      <c r="CR83" s="190"/>
      <c r="CS83" s="190"/>
      <c r="CT83" s="190"/>
      <c r="CU83" s="190"/>
      <c r="CV83" s="190"/>
      <c r="CW83" s="648"/>
      <c r="CX83" s="190"/>
      <c r="CY83" s="190"/>
      <c r="CZ83" s="190"/>
      <c r="DA83" s="190"/>
      <c r="DB83" s="190"/>
      <c r="DC83" s="190"/>
      <c r="DD83" s="190"/>
      <c r="DE83" s="190"/>
      <c r="DF83" s="190"/>
      <c r="DG83" s="190"/>
      <c r="DH83" s="190"/>
      <c r="DI83" s="190"/>
      <c r="DJ83" s="646"/>
    </row>
    <row r="84" spans="7:116">
      <c r="G84" s="235"/>
      <c r="H84" s="522" t="str">
        <f>數量計算!E140</f>
        <v>搶修案</v>
      </c>
      <c r="I84" s="522" t="str">
        <f>數量計算!F140</f>
        <v>新設</v>
      </c>
      <c r="J84" s="522" t="str">
        <f>數量計算!G140</f>
        <v>U型暗溝</v>
      </c>
      <c r="K84" s="522" t="str">
        <f>數量計算!H140</f>
        <v>無</v>
      </c>
      <c r="L84" s="522"/>
      <c r="M84" s="522"/>
      <c r="N84" s="522"/>
      <c r="O84" s="522"/>
      <c r="P84" s="522"/>
      <c r="Q84" s="235"/>
      <c r="R84" s="235"/>
      <c r="S84" s="235"/>
      <c r="T84" s="235"/>
      <c r="U84" s="235"/>
      <c r="V84" s="235"/>
      <c r="W84" s="235"/>
      <c r="X84" s="235"/>
      <c r="Y84" s="235"/>
      <c r="Z84" s="235"/>
      <c r="AA84" s="235"/>
      <c r="AB84" s="235"/>
      <c r="AC84" s="235"/>
      <c r="AD84" s="235"/>
      <c r="BS84" s="515"/>
      <c r="CC84" s="271"/>
      <c r="CD84" s="190"/>
      <c r="CE84" s="190"/>
      <c r="CF84" s="640"/>
      <c r="CG84" s="190"/>
      <c r="CH84" s="190"/>
      <c r="CI84" s="190"/>
      <c r="CJ84" s="190"/>
      <c r="CK84" s="190"/>
      <c r="CL84" s="190"/>
      <c r="CM84" s="190"/>
      <c r="CN84" s="190"/>
      <c r="CO84" s="190"/>
      <c r="CP84" s="190"/>
      <c r="CQ84" s="190"/>
      <c r="CR84" s="190"/>
      <c r="CS84" s="190"/>
      <c r="CT84" s="190"/>
      <c r="CU84" s="190"/>
      <c r="CV84" s="190"/>
      <c r="CW84" s="648"/>
      <c r="CX84" s="190"/>
      <c r="CY84" s="190"/>
      <c r="CZ84" s="190"/>
      <c r="DA84" s="190"/>
      <c r="DB84" s="190"/>
      <c r="DC84" s="190"/>
      <c r="DD84" s="190"/>
      <c r="DE84" s="190"/>
      <c r="DF84" s="190"/>
      <c r="DG84" s="190"/>
      <c r="DH84" s="190"/>
      <c r="DI84" s="190"/>
      <c r="DJ84" s="646"/>
    </row>
    <row r="85" spans="7:116" ht="17.25" thickBot="1">
      <c r="G85" s="235"/>
      <c r="H85" s="522" t="s">
        <v>3816</v>
      </c>
      <c r="I85" s="522" t="s">
        <v>3817</v>
      </c>
      <c r="J85" s="522" t="s">
        <v>3818</v>
      </c>
      <c r="K85" s="522" t="s">
        <v>3819</v>
      </c>
      <c r="L85" s="522" t="s">
        <v>3820</v>
      </c>
      <c r="M85" s="522" t="s">
        <v>3821</v>
      </c>
      <c r="N85" s="522"/>
      <c r="O85" s="522"/>
      <c r="P85" s="522"/>
      <c r="Q85" s="235"/>
      <c r="R85" s="235"/>
      <c r="S85" s="235"/>
      <c r="T85" s="235"/>
      <c r="U85" s="235"/>
      <c r="V85" s="235"/>
      <c r="W85" s="235"/>
      <c r="X85" s="235"/>
      <c r="Y85" s="235"/>
      <c r="Z85" s="235"/>
      <c r="AA85" s="235"/>
      <c r="AB85" s="235"/>
      <c r="AC85" s="235"/>
      <c r="AD85" s="235"/>
      <c r="BS85" s="515"/>
      <c r="BY85" s="254"/>
      <c r="CC85" s="433"/>
      <c r="CD85" s="639"/>
      <c r="CE85" s="190"/>
      <c r="CF85" s="640"/>
      <c r="CG85" s="190"/>
      <c r="CH85" s="190"/>
      <c r="CI85" s="190"/>
      <c r="CJ85" s="190"/>
      <c r="CK85" s="190"/>
      <c r="CL85" s="190"/>
      <c r="CM85" s="190"/>
      <c r="CN85" s="190"/>
      <c r="CO85" s="190"/>
      <c r="CP85" s="190"/>
      <c r="CQ85" s="190"/>
      <c r="CR85" s="190"/>
      <c r="CS85" s="190"/>
      <c r="CT85" s="190"/>
      <c r="CU85" s="190"/>
      <c r="CV85" s="190"/>
      <c r="CW85" s="648"/>
      <c r="CX85" s="190"/>
      <c r="CY85" s="190"/>
      <c r="CZ85" s="190"/>
      <c r="DA85" s="190"/>
      <c r="DB85" s="190"/>
      <c r="DC85" s="190"/>
      <c r="DD85" s="190"/>
      <c r="DE85" s="190"/>
      <c r="DF85" s="190"/>
      <c r="DG85" s="190"/>
      <c r="DH85" s="190"/>
      <c r="DI85" s="190"/>
      <c r="DJ85" s="646"/>
    </row>
    <row r="86" spans="7:116" ht="17.25" thickBot="1">
      <c r="G86" s="235"/>
      <c r="H86" s="522">
        <f>數量計算!C142*0.01</f>
        <v>0.47000000000000003</v>
      </c>
      <c r="I86" s="522">
        <f>數量計算!B142*0.01</f>
        <v>0.5</v>
      </c>
      <c r="J86" s="522">
        <f>數量計算!D142*0.01</f>
        <v>0.2</v>
      </c>
      <c r="K86" s="522">
        <f>數量計算!F142*0.01</f>
        <v>0</v>
      </c>
      <c r="L86" s="522">
        <f>數量計算!E142*0.01</f>
        <v>0</v>
      </c>
      <c r="M86" s="522">
        <f>數量計算!G142*0.01</f>
        <v>0</v>
      </c>
      <c r="N86" s="522"/>
      <c r="O86" s="522"/>
      <c r="P86" s="522"/>
      <c r="Q86" s="235"/>
      <c r="R86" s="235"/>
      <c r="S86" s="235"/>
      <c r="T86" s="235"/>
      <c r="U86" s="235"/>
      <c r="V86" s="235"/>
      <c r="W86" s="235"/>
      <c r="X86" s="235"/>
      <c r="Y86" s="235"/>
      <c r="Z86" s="235"/>
      <c r="AA86" s="235"/>
      <c r="AB86" s="235"/>
      <c r="AC86" s="235"/>
      <c r="AD86" s="235"/>
      <c r="BN86" s="1515" t="s">
        <v>3734</v>
      </c>
      <c r="BO86" s="1515"/>
      <c r="BP86" s="1515"/>
      <c r="BQ86" s="1516" t="s">
        <v>3735</v>
      </c>
      <c r="BR86" s="1516"/>
      <c r="BS86" s="1516"/>
      <c r="BY86" s="257"/>
      <c r="BZ86" s="257"/>
      <c r="CD86" s="190"/>
      <c r="CE86" s="190"/>
      <c r="CF86" s="190"/>
      <c r="CG86" s="190"/>
      <c r="CH86" s="190"/>
      <c r="CI86" s="190"/>
      <c r="CJ86" s="190"/>
      <c r="CK86" s="1532" t="s">
        <v>3745</v>
      </c>
      <c r="CL86" s="1533"/>
      <c r="CM86" s="1533"/>
      <c r="CN86" s="1533"/>
      <c r="CO86" s="1533"/>
      <c r="CP86" s="1533"/>
      <c r="CQ86" s="1533"/>
      <c r="CR86" s="1533"/>
      <c r="CS86" s="1533"/>
      <c r="CT86" s="1533"/>
      <c r="CU86" s="1533"/>
      <c r="CV86" s="1534"/>
      <c r="CW86" s="648"/>
      <c r="CX86" s="1532" t="s">
        <v>3753</v>
      </c>
      <c r="CY86" s="1533"/>
      <c r="CZ86" s="1533"/>
      <c r="DA86" s="1533"/>
      <c r="DB86" s="1533"/>
      <c r="DC86" s="1533"/>
      <c r="DD86" s="1533"/>
      <c r="DE86" s="1533"/>
      <c r="DF86" s="1533"/>
      <c r="DG86" s="1533"/>
      <c r="DH86" s="1533"/>
      <c r="DI86" s="1534"/>
      <c r="DJ86" s="646"/>
    </row>
    <row r="87" spans="7:116">
      <c r="G87" s="235"/>
      <c r="H87" s="523" t="s">
        <v>3709</v>
      </c>
      <c r="I87" s="522" t="s">
        <v>3825</v>
      </c>
      <c r="J87" s="522" t="s">
        <v>3826</v>
      </c>
      <c r="K87" s="522" t="s">
        <v>3827</v>
      </c>
      <c r="L87" s="522" t="s">
        <v>3828</v>
      </c>
      <c r="M87" s="522" t="s">
        <v>3847</v>
      </c>
      <c r="N87" s="522" t="s">
        <v>3830</v>
      </c>
      <c r="O87" s="522" t="s">
        <v>3831</v>
      </c>
      <c r="P87" s="522"/>
      <c r="Q87" s="235"/>
      <c r="R87" s="235"/>
      <c r="S87" s="235"/>
      <c r="T87" s="235"/>
      <c r="U87" s="235"/>
      <c r="V87" s="235"/>
      <c r="W87" s="235"/>
      <c r="X87" s="235"/>
      <c r="Y87" s="235"/>
      <c r="Z87" s="235"/>
      <c r="AA87" s="235"/>
      <c r="AB87" s="235"/>
      <c r="AC87" s="235"/>
      <c r="AD87" s="235"/>
      <c r="BL87" s="132" t="s">
        <v>3737</v>
      </c>
      <c r="BM87" s="132" t="s">
        <v>3738</v>
      </c>
      <c r="BN87" s="132" t="s">
        <v>3739</v>
      </c>
      <c r="BO87" s="132" t="s">
        <v>3740</v>
      </c>
      <c r="BP87" s="132" t="s">
        <v>3741</v>
      </c>
      <c r="BQ87" s="132" t="s">
        <v>3739</v>
      </c>
      <c r="BR87" s="132" t="s">
        <v>3740</v>
      </c>
      <c r="BS87" s="132" t="s">
        <v>3741</v>
      </c>
      <c r="BT87" s="132" t="s">
        <v>3742</v>
      </c>
      <c r="BY87" s="269"/>
      <c r="BZ87" s="269"/>
      <c r="CD87" s="190"/>
      <c r="CE87" s="190"/>
      <c r="CF87" s="190"/>
      <c r="CG87" s="190"/>
      <c r="CH87" s="190"/>
      <c r="CI87" s="190"/>
      <c r="CJ87" s="190"/>
      <c r="CK87" s="614" t="s">
        <v>3690</v>
      </c>
      <c r="CL87" s="621"/>
      <c r="CM87" s="621"/>
      <c r="CN87" s="621"/>
      <c r="CO87" s="621"/>
      <c r="CP87" s="622"/>
      <c r="CQ87" s="623" t="s">
        <v>3691</v>
      </c>
      <c r="CR87" s="621"/>
      <c r="CS87" s="624"/>
      <c r="CT87" s="621"/>
      <c r="CU87" s="621"/>
      <c r="CV87" s="625"/>
      <c r="CW87" s="648"/>
      <c r="CX87" s="614" t="s">
        <v>3690</v>
      </c>
      <c r="CY87" s="621"/>
      <c r="CZ87" s="621"/>
      <c r="DA87" s="621"/>
      <c r="DB87" s="621"/>
      <c r="DC87" s="622"/>
      <c r="DD87" s="623" t="s">
        <v>3691</v>
      </c>
      <c r="DE87" s="621"/>
      <c r="DF87" s="624"/>
      <c r="DG87" s="621"/>
      <c r="DH87" s="621"/>
      <c r="DI87" s="625"/>
      <c r="DJ87" s="646"/>
    </row>
    <row r="88" spans="7:116">
      <c r="G88" s="235"/>
      <c r="H88" s="522">
        <f>$I$86+$J$86+$J$86</f>
        <v>0.89999999999999991</v>
      </c>
      <c r="I88" s="522">
        <v>0.25</v>
      </c>
      <c r="J88" s="522">
        <v>0.2</v>
      </c>
      <c r="K88" s="522">
        <f>($H$86-($I$86*0.5))</f>
        <v>0.22000000000000003</v>
      </c>
      <c r="L88" s="522">
        <f>($I$86*0.5)</f>
        <v>0.25</v>
      </c>
      <c r="M88" s="522">
        <f>數量計算!D145</f>
        <v>28.83</v>
      </c>
      <c r="N88" s="522">
        <f>數量計算!G145</f>
        <v>11.93</v>
      </c>
      <c r="O88" s="522">
        <f>H86-K86</f>
        <v>0.47000000000000003</v>
      </c>
      <c r="P88" s="522"/>
      <c r="Q88" s="235"/>
      <c r="R88" s="235"/>
      <c r="S88" s="235"/>
      <c r="T88" s="235"/>
      <c r="U88" s="235"/>
      <c r="V88" s="235"/>
      <c r="W88" s="235"/>
      <c r="X88" s="235"/>
      <c r="Y88" s="235"/>
      <c r="Z88" s="235"/>
      <c r="AA88" s="235"/>
      <c r="AB88" s="235"/>
      <c r="AC88" s="235"/>
      <c r="AD88" s="235"/>
      <c r="BL88" s="132" t="str">
        <f>IF(BP57="0.8","80",
IF(BP57="0.9","90",
IF(BP57="1.0","100")))</f>
        <v>90</v>
      </c>
      <c r="BM88" s="132" t="str">
        <f>BQ57</f>
        <v>0.2</v>
      </c>
      <c r="BN88" s="132">
        <v>100</v>
      </c>
      <c r="BO88" s="272" t="str">
        <f>IF(BP57="0.8","12",
IF(BP57="0.9","14",
IF(BP57="1.0","14")))</f>
        <v>14</v>
      </c>
      <c r="BP88" s="132">
        <f>ROUND(BN88*0.01*BO88*0.994,2)</f>
        <v>13.92</v>
      </c>
      <c r="BQ88" s="132">
        <f>BL88-10+10*2</f>
        <v>100</v>
      </c>
      <c r="BR88" s="132">
        <v>16</v>
      </c>
      <c r="BS88" s="273">
        <f>ROUND(BQ88*0.01*BR88*0.994,2)</f>
        <v>15.9</v>
      </c>
      <c r="BT88" s="132">
        <f>BP88+BS88</f>
        <v>29.82</v>
      </c>
      <c r="BY88" s="255"/>
      <c r="BZ88" s="255"/>
      <c r="CD88" s="190"/>
      <c r="CE88" s="190"/>
      <c r="CF88" s="190"/>
      <c r="CG88" s="190"/>
      <c r="CH88" s="190"/>
      <c r="CI88" s="190"/>
      <c r="CJ88" s="190"/>
      <c r="CK88" s="612"/>
      <c r="CL88" s="626"/>
      <c r="CM88" s="626"/>
      <c r="CN88" s="626"/>
      <c r="CO88" s="626"/>
      <c r="CP88" s="613"/>
      <c r="CQ88" s="612"/>
      <c r="CR88" s="626"/>
      <c r="CS88" s="626"/>
      <c r="CT88" s="626"/>
      <c r="CU88" s="626"/>
      <c r="CV88" s="627"/>
      <c r="CW88" s="648"/>
      <c r="CX88" s="612"/>
      <c r="CY88" s="626"/>
      <c r="CZ88" s="626"/>
      <c r="DA88" s="626"/>
      <c r="DB88" s="626"/>
      <c r="DC88" s="613"/>
      <c r="DD88" s="612"/>
      <c r="DE88" s="626"/>
      <c r="DF88" s="626"/>
      <c r="DG88" s="626"/>
      <c r="DH88" s="626"/>
      <c r="DI88" s="627"/>
      <c r="DJ88" s="646"/>
    </row>
    <row r="89" spans="7:116" ht="17.25" thickBot="1">
      <c r="G89" s="235"/>
      <c r="H89" s="523" t="s">
        <v>3709</v>
      </c>
      <c r="I89" s="522" t="s">
        <v>3825</v>
      </c>
      <c r="J89" s="522" t="s">
        <v>3826</v>
      </c>
      <c r="K89" s="522" t="s">
        <v>3827</v>
      </c>
      <c r="L89" s="522" t="s">
        <v>3828</v>
      </c>
      <c r="M89" s="522"/>
      <c r="N89" s="522"/>
      <c r="O89" s="522"/>
      <c r="P89" s="522"/>
      <c r="Q89" s="235"/>
      <c r="R89" s="235"/>
      <c r="S89" s="235"/>
      <c r="T89" s="235"/>
      <c r="U89" s="235"/>
      <c r="V89" s="235"/>
      <c r="W89" s="235"/>
      <c r="X89" s="235"/>
      <c r="Y89" s="235"/>
      <c r="Z89" s="235"/>
      <c r="AA89" s="235"/>
      <c r="AB89" s="235"/>
      <c r="AC89" s="235"/>
      <c r="AD89" s="235"/>
      <c r="BX89" s="270"/>
      <c r="CD89" s="190"/>
      <c r="CE89" s="190"/>
      <c r="CF89" s="190"/>
      <c r="CG89" s="190"/>
      <c r="CH89" s="190"/>
      <c r="CI89" s="190"/>
      <c r="CJ89" s="190"/>
      <c r="CK89" s="628"/>
      <c r="CL89" s="629"/>
      <c r="CM89" s="629"/>
      <c r="CN89" s="629"/>
      <c r="CO89" s="629"/>
      <c r="CP89" s="630"/>
      <c r="CQ89" s="628"/>
      <c r="CR89" s="629"/>
      <c r="CS89" s="629"/>
      <c r="CT89" s="629"/>
      <c r="CU89" s="629"/>
      <c r="CV89" s="631"/>
      <c r="CW89" s="648"/>
      <c r="CX89" s="628"/>
      <c r="CY89" s="629"/>
      <c r="CZ89" s="629"/>
      <c r="DA89" s="629"/>
      <c r="DB89" s="629"/>
      <c r="DC89" s="630"/>
      <c r="DD89" s="628"/>
      <c r="DE89" s="629"/>
      <c r="DF89" s="629"/>
      <c r="DG89" s="629"/>
      <c r="DH89" s="629"/>
      <c r="DI89" s="631"/>
      <c r="DJ89" s="646"/>
    </row>
    <row r="90" spans="7:116">
      <c r="G90" s="235"/>
      <c r="H90" s="522">
        <f>$L$86+$M$86+$M$86</f>
        <v>0</v>
      </c>
      <c r="I90" s="524">
        <v>0.25</v>
      </c>
      <c r="J90" s="524">
        <v>0.2</v>
      </c>
      <c r="K90" s="522">
        <f>($K$86-($L$86*0.5))</f>
        <v>0</v>
      </c>
      <c r="L90" s="522">
        <f>($L$86*0.5)</f>
        <v>0</v>
      </c>
      <c r="M90" s="522"/>
      <c r="N90" s="522"/>
      <c r="O90" s="522"/>
      <c r="P90" s="522"/>
      <c r="Q90" s="235"/>
      <c r="R90" s="235"/>
      <c r="S90" s="235"/>
      <c r="T90" s="235"/>
      <c r="U90" s="235"/>
      <c r="V90" s="235"/>
      <c r="W90" s="235"/>
      <c r="X90" s="235"/>
      <c r="Y90" s="235"/>
      <c r="Z90" s="235"/>
      <c r="AA90" s="235"/>
      <c r="AB90" s="235"/>
      <c r="AC90" s="235"/>
      <c r="AD90" s="235"/>
      <c r="BX90" s="257"/>
      <c r="CD90" s="190"/>
      <c r="CE90" s="190"/>
      <c r="CF90" s="190"/>
      <c r="CG90" s="190"/>
      <c r="CH90" s="190"/>
      <c r="CI90" s="190"/>
      <c r="CJ90" s="190"/>
      <c r="CK90" s="632" t="s">
        <v>3706</v>
      </c>
      <c r="CL90" s="633"/>
      <c r="CM90" s="633"/>
      <c r="CN90" s="633"/>
      <c r="CO90" s="633"/>
      <c r="CP90" s="634"/>
      <c r="CQ90" s="633" t="s">
        <v>3707</v>
      </c>
      <c r="CR90" s="633"/>
      <c r="CS90" s="633"/>
      <c r="CT90" s="633"/>
      <c r="CU90" s="633"/>
      <c r="CV90" s="634"/>
      <c r="CW90" s="647">
        <v>0</v>
      </c>
      <c r="CX90" s="632" t="s">
        <v>3724</v>
      </c>
      <c r="CY90" s="633"/>
      <c r="CZ90" s="633"/>
      <c r="DA90" s="633"/>
      <c r="DB90" s="633"/>
      <c r="DC90" s="634"/>
      <c r="DD90" s="633" t="s">
        <v>3725</v>
      </c>
      <c r="DE90" s="633"/>
      <c r="DF90" s="633"/>
      <c r="DG90" s="633"/>
      <c r="DH90" s="633"/>
      <c r="DI90" s="634"/>
      <c r="DJ90" s="645">
        <v>0</v>
      </c>
      <c r="DK90" s="520"/>
      <c r="DL90" s="520"/>
    </row>
    <row r="91" spans="7:116">
      <c r="G91" s="235"/>
      <c r="H91" s="235"/>
      <c r="I91" s="235"/>
      <c r="J91" s="235"/>
      <c r="K91" s="235"/>
      <c r="L91" s="235"/>
      <c r="M91" s="235"/>
      <c r="N91" s="235"/>
      <c r="O91" s="235"/>
      <c r="P91" s="235"/>
      <c r="Q91" s="235"/>
      <c r="R91" s="235"/>
      <c r="S91" s="235"/>
      <c r="T91" s="235"/>
      <c r="U91" s="235"/>
      <c r="V91" s="235"/>
      <c r="W91" s="235"/>
      <c r="X91" s="235"/>
      <c r="Y91" s="235"/>
      <c r="Z91" s="235"/>
      <c r="AA91" s="235"/>
      <c r="AB91" s="235"/>
      <c r="AC91" s="235"/>
      <c r="AD91" s="235"/>
      <c r="BX91" s="270"/>
      <c r="CD91" s="190"/>
      <c r="CE91" s="190"/>
      <c r="CF91" s="190"/>
      <c r="CG91" s="190"/>
      <c r="CH91" s="190"/>
      <c r="CI91" s="190"/>
      <c r="CJ91" s="190"/>
      <c r="CK91" s="189" t="s">
        <v>1215</v>
      </c>
      <c r="CL91" s="190"/>
      <c r="CM91" s="190"/>
      <c r="CN91" s="190"/>
      <c r="CO91" s="190"/>
      <c r="CP91" s="619"/>
      <c r="CQ91" s="190" t="s">
        <v>2556</v>
      </c>
      <c r="CR91" s="190"/>
      <c r="CS91" s="190"/>
      <c r="CT91" s="190"/>
      <c r="CU91" s="190"/>
      <c r="CV91" s="619"/>
      <c r="CW91" s="647">
        <v>0</v>
      </c>
      <c r="CX91" s="189" t="s">
        <v>3726</v>
      </c>
      <c r="CY91" s="190"/>
      <c r="CZ91" s="190"/>
      <c r="DA91" s="190"/>
      <c r="DB91" s="190"/>
      <c r="DC91" s="619"/>
      <c r="DD91" s="190" t="s">
        <v>2556</v>
      </c>
      <c r="DE91" s="190"/>
      <c r="DF91" s="190"/>
      <c r="DG91" s="190"/>
      <c r="DH91" s="190"/>
      <c r="DI91" s="619"/>
      <c r="DJ91" s="645">
        <v>0</v>
      </c>
      <c r="DK91" s="520"/>
      <c r="DL91" s="520"/>
    </row>
    <row r="92" spans="7:116">
      <c r="G92" s="235"/>
      <c r="H92" s="235"/>
      <c r="I92" s="235"/>
      <c r="J92" s="235"/>
      <c r="K92" s="235"/>
      <c r="L92" s="235"/>
      <c r="M92" s="235"/>
      <c r="N92" s="235"/>
      <c r="O92" s="235"/>
      <c r="P92" s="235"/>
      <c r="Q92" s="235"/>
      <c r="R92" s="235"/>
      <c r="S92" s="235"/>
      <c r="T92" s="235"/>
      <c r="U92" s="235"/>
      <c r="V92" s="235"/>
      <c r="W92" s="235"/>
      <c r="X92" s="235"/>
      <c r="Y92" s="235"/>
      <c r="Z92" s="235"/>
      <c r="AA92" s="235"/>
      <c r="AB92" s="235"/>
      <c r="AC92" s="235"/>
      <c r="AD92" s="235"/>
      <c r="BX92" s="257"/>
      <c r="BY92" s="255"/>
      <c r="BZ92" s="255"/>
      <c r="CD92" s="190"/>
      <c r="CE92" s="190"/>
      <c r="CF92" s="190"/>
      <c r="CG92" s="190"/>
      <c r="CH92" s="190"/>
      <c r="CI92" s="190"/>
      <c r="CJ92" s="190"/>
      <c r="CK92" s="189" t="str">
        <f>$CG$4</f>
        <v>(7*5.3)</v>
      </c>
      <c r="CL92" s="190"/>
      <c r="CM92" s="190"/>
      <c r="CN92" s="190"/>
      <c r="CO92" s="190"/>
      <c r="CP92" s="619"/>
      <c r="CQ92" s="190" t="s">
        <v>465</v>
      </c>
      <c r="CR92" s="190"/>
      <c r="CS92" s="190"/>
      <c r="CT92" s="190"/>
      <c r="CU92" s="190"/>
      <c r="CV92" s="619"/>
      <c r="CW92" s="647">
        <v>0</v>
      </c>
      <c r="CX92" s="189" t="str">
        <f>$CG$4</f>
        <v>(7*5.3)</v>
      </c>
      <c r="CY92" s="190"/>
      <c r="CZ92" s="190"/>
      <c r="DA92" s="190"/>
      <c r="DB92" s="190"/>
      <c r="DC92" s="619"/>
      <c r="DD92" s="190" t="s">
        <v>465</v>
      </c>
      <c r="DE92" s="190"/>
      <c r="DF92" s="190"/>
      <c r="DG92" s="190"/>
      <c r="DH92" s="190"/>
      <c r="DI92" s="619"/>
      <c r="DJ92" s="645">
        <v>0</v>
      </c>
      <c r="DK92" s="520"/>
      <c r="DL92" s="520"/>
    </row>
    <row r="93" spans="7:116">
      <c r="G93" s="235"/>
      <c r="H93" s="235"/>
      <c r="I93" s="235"/>
      <c r="J93" s="235"/>
      <c r="K93" s="235"/>
      <c r="L93" s="235"/>
      <c r="M93" s="235"/>
      <c r="N93" s="235"/>
      <c r="O93" s="235"/>
      <c r="P93" s="235"/>
      <c r="Q93" s="235"/>
      <c r="R93" s="235"/>
      <c r="S93" s="235"/>
      <c r="T93" s="235"/>
      <c r="U93" s="235"/>
      <c r="V93" s="235"/>
      <c r="W93" s="235"/>
      <c r="X93" s="235"/>
      <c r="Y93" s="235"/>
      <c r="Z93" s="235"/>
      <c r="AA93" s="235"/>
      <c r="AB93" s="235"/>
      <c r="AC93" s="235"/>
      <c r="AD93" s="235"/>
      <c r="BX93" s="270"/>
      <c r="CD93" s="190"/>
      <c r="CE93" s="190"/>
      <c r="CF93" s="190"/>
      <c r="CG93" s="190"/>
      <c r="CH93" s="190"/>
      <c r="CI93" s="190"/>
      <c r="CJ93" s="190"/>
      <c r="CK93" s="189" t="s">
        <v>578</v>
      </c>
      <c r="CL93" s="190"/>
      <c r="CM93" s="190"/>
      <c r="CN93" s="190"/>
      <c r="CO93" s="190"/>
      <c r="CP93" s="619"/>
      <c r="CQ93" s="189" t="s">
        <v>578</v>
      </c>
      <c r="CR93" s="190"/>
      <c r="CS93" s="190"/>
      <c r="CT93" s="190"/>
      <c r="CU93" s="190"/>
      <c r="CV93" s="619"/>
      <c r="CW93" s="647">
        <v>0</v>
      </c>
      <c r="CX93" s="189" t="s">
        <v>578</v>
      </c>
      <c r="CY93" s="190"/>
      <c r="CZ93" s="190"/>
      <c r="DA93" s="190"/>
      <c r="DB93" s="190"/>
      <c r="DC93" s="619"/>
      <c r="DD93" s="189" t="s">
        <v>578</v>
      </c>
      <c r="DE93" s="190"/>
      <c r="DF93" s="190"/>
      <c r="DG93" s="190"/>
      <c r="DH93" s="190"/>
      <c r="DI93" s="619"/>
      <c r="DJ93" s="645">
        <v>0</v>
      </c>
      <c r="DK93" s="520"/>
      <c r="DL93" s="520"/>
    </row>
    <row r="94" spans="7:116" ht="17.25" thickBot="1">
      <c r="G94" s="235"/>
      <c r="H94" s="235"/>
      <c r="I94" s="235"/>
      <c r="J94" s="235"/>
      <c r="K94" s="235"/>
      <c r="L94" s="235"/>
      <c r="M94" s="235"/>
      <c r="N94" s="235"/>
      <c r="O94" s="235"/>
      <c r="P94" s="235"/>
      <c r="Q94" s="235"/>
      <c r="R94" s="235"/>
      <c r="S94" s="235"/>
      <c r="T94" s="235"/>
      <c r="U94" s="235"/>
      <c r="V94" s="235"/>
      <c r="W94" s="235"/>
      <c r="X94" s="235"/>
      <c r="Y94" s="235"/>
      <c r="Z94" s="235"/>
      <c r="AA94" s="235"/>
      <c r="AB94" s="235"/>
      <c r="AC94" s="235"/>
      <c r="AD94" s="235"/>
      <c r="BX94" s="257"/>
      <c r="CD94" s="190"/>
      <c r="CE94" s="190"/>
      <c r="CF94" s="190"/>
      <c r="CG94" s="190"/>
      <c r="CH94" s="190"/>
      <c r="CI94" s="190"/>
      <c r="CJ94" s="190"/>
      <c r="CK94" s="189" t="str">
        <f>"("&amp;$CG$4&amp;")*0.05"</f>
        <v>((7*5.3))*0.05</v>
      </c>
      <c r="CL94" s="190"/>
      <c r="CM94" s="190"/>
      <c r="CN94" s="190"/>
      <c r="CO94" s="190"/>
      <c r="CP94" s="619"/>
      <c r="CQ94" s="190" t="str">
        <f>"("&amp;$CG$4&amp;")*0.05"</f>
        <v>((7*5.3))*0.05</v>
      </c>
      <c r="CR94" s="190"/>
      <c r="CS94" s="190"/>
      <c r="CT94" s="190"/>
      <c r="CU94" s="190"/>
      <c r="CV94" s="619"/>
      <c r="CW94" s="647">
        <v>0</v>
      </c>
      <c r="CX94" s="189" t="str">
        <f>"("&amp;$CG$4&amp;")*0.1"</f>
        <v>((7*5.3))*0.1</v>
      </c>
      <c r="CY94" s="190"/>
      <c r="CZ94" s="190"/>
      <c r="DA94" s="190"/>
      <c r="DB94" s="190"/>
      <c r="DC94" s="619"/>
      <c r="DD94" s="190" t="str">
        <f>"("&amp;$CG$4&amp;")*0.1"</f>
        <v>((7*5.3))*0.1</v>
      </c>
      <c r="DE94" s="190"/>
      <c r="DF94" s="190"/>
      <c r="DG94" s="190"/>
      <c r="DH94" s="190"/>
      <c r="DI94" s="619"/>
      <c r="DJ94" s="645">
        <v>0</v>
      </c>
      <c r="DK94" s="520"/>
      <c r="DL94" s="520"/>
    </row>
    <row r="95" spans="7:116" ht="17.25" thickBot="1">
      <c r="G95" s="235"/>
      <c r="H95" s="1551" t="str">
        <f>IF($I$44="更新","暗溝更新 寬"&amp;I86*100&amp;"cm*平均深"&amp;H86*100&amp;"cm",
IF($I$44="新設","新設暗溝 寬"&amp;I86*100&amp;"cm*平均深"&amp;H86*100&amp;"cm"))</f>
        <v>新設暗溝 寬50cm*平均深47cm</v>
      </c>
      <c r="I95" s="1552"/>
      <c r="J95" s="1552"/>
      <c r="K95" s="1552"/>
      <c r="L95" s="1552"/>
      <c r="M95" s="1552"/>
      <c r="N95" s="1553"/>
      <c r="O95" s="235"/>
      <c r="P95" s="1526" t="str">
        <f>IF($I$44="更新","側溝更新 寬"&amp;$I$46*100&amp;"cm*平均深"&amp;$H$46*100&amp;"cm",
IF($I$44="新設","新設側溝 寬"&amp;$I$46*100&amp;"cm*平均深"&amp;$H$46*100&amp;"cm"))</f>
        <v>新設側溝 寬50cm*平均深75cm</v>
      </c>
      <c r="Q95" s="1527"/>
      <c r="R95" s="1527"/>
      <c r="S95" s="1527"/>
      <c r="T95" s="1527"/>
      <c r="U95" s="1527"/>
      <c r="V95" s="1528"/>
      <c r="W95" s="1529" t="str">
        <f>IF(數量計算!$F$11="更新","側溝更新 寬"&amp;CT60*100&amp;"cm*平均深"&amp;CO60*100&amp;"cm",
IF(數量計算!$F$11="新設","新設側溝 寬"&amp;CT60*100&amp;"cm*平均深"&amp;CO60*100&amp;"cm"))</f>
        <v>側溝更新 寬0cm*平均深0cm</v>
      </c>
      <c r="X95" s="1530"/>
      <c r="Y95" s="1530"/>
      <c r="Z95" s="1530"/>
      <c r="AA95" s="1530"/>
      <c r="AB95" s="1530"/>
      <c r="AC95" s="1531"/>
      <c r="AD95" s="235"/>
      <c r="BX95" s="270"/>
      <c r="CD95" s="190"/>
      <c r="CE95" s="190"/>
      <c r="CF95" s="190"/>
      <c r="CG95" s="190"/>
      <c r="CH95" s="190"/>
      <c r="CI95" s="190"/>
      <c r="CJ95" s="190"/>
      <c r="CK95" s="189" t="s">
        <v>1149</v>
      </c>
      <c r="CL95" s="190"/>
      <c r="CM95" s="190"/>
      <c r="CN95" s="190"/>
      <c r="CO95" s="190"/>
      <c r="CP95" s="619"/>
      <c r="CQ95" s="190" t="str">
        <f>IF($CH$5&lt;50,"瀝青混凝土舖面，舖築及滾壓，緊急搶修工程用，鋪設面積≦50m2適用","瀝青混凝土舖面，舖築及滾壓，緊急搶修工程用，鋪設面積＞50m2適用")</f>
        <v>瀝青混凝土舖面，舖築及滾壓，緊急搶修工程用，鋪設面積≦50m2適用</v>
      </c>
      <c r="CR95" s="190"/>
      <c r="CS95" s="190"/>
      <c r="CT95" s="190"/>
      <c r="CU95" s="190"/>
      <c r="CV95" s="619"/>
      <c r="CW95" s="647">
        <v>0</v>
      </c>
      <c r="CX95" s="189" t="s">
        <v>1149</v>
      </c>
      <c r="CY95" s="190"/>
      <c r="CZ95" s="190"/>
      <c r="DA95" s="190"/>
      <c r="DB95" s="190"/>
      <c r="DC95" s="619"/>
      <c r="DD95" s="190" t="s">
        <v>2518</v>
      </c>
      <c r="DE95" s="190"/>
      <c r="DF95" s="190"/>
      <c r="DG95" s="190"/>
      <c r="DH95" s="190"/>
      <c r="DI95" s="619"/>
      <c r="DJ95" s="645">
        <v>0</v>
      </c>
      <c r="DK95" s="520"/>
      <c r="DL95" s="520"/>
    </row>
    <row r="96" spans="7:116">
      <c r="G96" s="235"/>
      <c r="H96" s="243" t="str">
        <f>IF($H$84="搶修案",P100,
IF(AND($H$84="一般案",$J$84="無既有溝",OR($I$84="新設",$I$84="更新")),P96,
IF(AND($H$84="一般案",$J$84="U型暗溝",$H$86=$K$86,$I$86=$L$86,$J$86=$M$86),P96,
IF(AND($H$84="一般案",$I$84="更新",OR($J$84="矩形暗溝",$J$84="U型暗溝")),W96,
IF(AND($H$84="一般案",$I$84="新設",OR($J$84="矩形暗溝",$J$84="U型暗溝")),P96
)))))</f>
        <v>餘方自行處理(含水土保持)，總重15t以下傾卸貨車</v>
      </c>
      <c r="I96" s="244"/>
      <c r="J96" s="244"/>
      <c r="K96" s="244"/>
      <c r="L96" s="244"/>
      <c r="M96" s="244"/>
      <c r="N96" s="274"/>
      <c r="O96" s="235"/>
      <c r="P96" s="245" t="str">
        <f>IF($I$84="更新","機械拆除，鋼筋混凝土，未含運費.","基地及路幅開挖，未含運費，(機械挖，0.7-0.79m3開挖機).")</f>
        <v>基地及路幅開挖，未含運費，(機械挖，0.7-0.79m3開挖機).</v>
      </c>
      <c r="Q96" s="235"/>
      <c r="R96" s="235"/>
      <c r="S96" s="235"/>
      <c r="T96" s="235"/>
      <c r="U96" s="235"/>
      <c r="V96" s="235"/>
      <c r="W96" s="246" t="s">
        <v>3637</v>
      </c>
      <c r="X96" s="247"/>
      <c r="Y96" s="247"/>
      <c r="Z96" s="247"/>
      <c r="AA96" s="247"/>
      <c r="AB96" s="247"/>
      <c r="AC96" s="248"/>
      <c r="AD96" s="235"/>
      <c r="BX96" s="257"/>
      <c r="BY96" s="255"/>
      <c r="BZ96" s="255"/>
      <c r="CD96" s="190"/>
      <c r="CE96" s="190"/>
      <c r="CF96" s="190"/>
      <c r="CG96" s="190"/>
      <c r="CH96" s="190"/>
      <c r="CI96" s="190"/>
      <c r="CJ96" s="190"/>
      <c r="CK96" s="189" t="str">
        <f>"("&amp;$CG$4&amp;")"</f>
        <v>((7*5.3))</v>
      </c>
      <c r="CL96" s="190"/>
      <c r="CM96" s="190"/>
      <c r="CN96" s="190"/>
      <c r="CO96" s="190"/>
      <c r="CP96" s="619"/>
      <c r="CQ96" s="190" t="s">
        <v>465</v>
      </c>
      <c r="CR96" s="190"/>
      <c r="CS96" s="190"/>
      <c r="CT96" s="190"/>
      <c r="CU96" s="190"/>
      <c r="CV96" s="619"/>
      <c r="CW96" s="647">
        <v>0</v>
      </c>
      <c r="CX96" s="189" t="str">
        <f>"("&amp;$CG$4&amp;")*2"</f>
        <v>((7*5.3))*2</v>
      </c>
      <c r="CY96" s="190"/>
      <c r="CZ96" s="190"/>
      <c r="DA96" s="190"/>
      <c r="DB96" s="190"/>
      <c r="DC96" s="619"/>
      <c r="DD96" s="190" t="s">
        <v>465</v>
      </c>
      <c r="DE96" s="190"/>
      <c r="DF96" s="190"/>
      <c r="DG96" s="190"/>
      <c r="DH96" s="190"/>
      <c r="DI96" s="619"/>
      <c r="DJ96" s="645">
        <v>0</v>
      </c>
      <c r="DK96" s="520"/>
      <c r="DL96" s="520"/>
    </row>
    <row r="97" spans="7:116">
      <c r="G97" s="235"/>
      <c r="H97" s="249" t="str">
        <f t="shared" ref="H97:H115" si="9">IF($H$84="搶修案",P101,
IF(AND($H$84="一般案",$J$84="無既有溝",OR($I$84="新設",$I$84="更新")),P97,
IF(AND($H$84="一般案",$J$84="U型暗溝",$H$86=$K$86,$I$86=$L$86,$J$86=$M$86),P97,
IF(AND($H$84="一般案",$I$84="更新",OR($J$84="矩形暗溝",$J$84="U型暗溝")),W97,
IF(AND($H$84="一般案",$I$84="新設",OR($J$84="矩形暗溝",$J$84="U型暗溝")),P97
)))))</f>
        <v>(0.9*(0.47+0.25))</v>
      </c>
      <c r="I97" s="235"/>
      <c r="J97" s="235"/>
      <c r="K97" s="235"/>
      <c r="L97" s="235"/>
      <c r="M97" s="235"/>
      <c r="N97" s="253"/>
      <c r="O97" s="235"/>
      <c r="P97" s="249" t="str">
        <f>IF($I$84="更新","("&amp;""&amp;$H$88&amp;"*("&amp;$H$86&amp;"+"&amp;$I$88&amp;")-("&amp;$K$88&amp;"*"&amp;$I$86&amp;")-(("&amp;$L$88&amp;"^2)*3.14*0.5))*0.8","("&amp;""&amp;$H$88&amp;"*("&amp;$H$86&amp;"+"&amp;$I$88&amp;"))*0.8")</f>
        <v>(0.9*(0.47+0.25))*0.8</v>
      </c>
      <c r="Q97" s="235"/>
      <c r="R97" s="235"/>
      <c r="S97" s="235"/>
      <c r="T97" s="235"/>
      <c r="U97" s="235"/>
      <c r="V97" s="235"/>
      <c r="W97" s="249" t="b">
        <f>IF(AND($I$84="更新",J84="U型暗溝"),"("&amp;$H$90&amp;"*("&amp;$K$86&amp;"+"&amp;$I$90&amp;")-("&amp;$K$90&amp;"*"&amp;$L$86&amp;")-(("&amp;$L$90&amp;"^2)*3.14*0.5))*0.8",
IF(AND($I$84="更新",J84="矩形暗溝"),"("&amp;$H$90&amp;"*("&amp;$K$86&amp;"+"&amp;$I$90&amp;")-("&amp;$K$86&amp;"*"&amp;$L$86&amp;"))*0.8"))</f>
        <v>0</v>
      </c>
      <c r="X97" s="250"/>
      <c r="Y97" s="250"/>
      <c r="Z97" s="250"/>
      <c r="AA97" s="250"/>
      <c r="AB97" s="250"/>
      <c r="AC97" s="251"/>
      <c r="AD97" s="235"/>
      <c r="BX97" s="270"/>
      <c r="CD97" s="190"/>
      <c r="CE97" s="190"/>
      <c r="CF97" s="190"/>
      <c r="CG97" s="190"/>
      <c r="CH97" s="190"/>
      <c r="CI97" s="190"/>
      <c r="CJ97" s="190"/>
      <c r="CK97" s="189" t="s">
        <v>4280</v>
      </c>
      <c r="CL97" s="190"/>
      <c r="CM97" s="190"/>
      <c r="CN97" s="190"/>
      <c r="CO97" s="190"/>
      <c r="CP97" s="619"/>
      <c r="CQ97" s="190" t="s">
        <v>3751</v>
      </c>
      <c r="CR97" s="190"/>
      <c r="CS97" s="190"/>
      <c r="CT97" s="190"/>
      <c r="CU97" s="190"/>
      <c r="CV97" s="619"/>
      <c r="CW97" s="647">
        <v>0</v>
      </c>
      <c r="CX97" s="189" t="s">
        <v>4280</v>
      </c>
      <c r="CY97" s="190"/>
      <c r="CZ97" s="190"/>
      <c r="DA97" s="190"/>
      <c r="DB97" s="190"/>
      <c r="DC97" s="619"/>
      <c r="DD97" s="190" t="s">
        <v>3751</v>
      </c>
      <c r="DE97" s="190"/>
      <c r="DF97" s="190"/>
      <c r="DG97" s="190"/>
      <c r="DH97" s="190"/>
      <c r="DI97" s="619"/>
      <c r="DJ97" s="645">
        <v>0</v>
      </c>
      <c r="DK97" s="520"/>
      <c r="DL97" s="520"/>
    </row>
    <row r="98" spans="7:116">
      <c r="G98" s="235"/>
      <c r="H98" s="249" t="str">
        <f t="shared" si="9"/>
        <v>結構用混凝土，預拌，140kgf/cm2</v>
      </c>
      <c r="I98" s="235"/>
      <c r="J98" s="235"/>
      <c r="K98" s="235"/>
      <c r="L98" s="235"/>
      <c r="M98" s="235"/>
      <c r="N98" s="253"/>
      <c r="O98" s="235"/>
      <c r="P98" s="245" t="str">
        <f>IF($I$44="更新","人工拆除，鋼筋混凝土，含裝車未含運費.","構造物開挖，(人工挖，未含抽水)，未含運費(含裝車).")</f>
        <v>構造物開挖，(人工挖，未含抽水)，未含運費(含裝車).</v>
      </c>
      <c r="Q98" s="235"/>
      <c r="R98" s="235"/>
      <c r="S98" s="235"/>
      <c r="T98" s="235"/>
      <c r="U98" s="235"/>
      <c r="V98" s="235"/>
      <c r="W98" s="245" t="s">
        <v>3636</v>
      </c>
      <c r="X98" s="250"/>
      <c r="Y98" s="250"/>
      <c r="Z98" s="250"/>
      <c r="AA98" s="250"/>
      <c r="AB98" s="250"/>
      <c r="AC98" s="251"/>
      <c r="AD98" s="235"/>
      <c r="BX98" s="257"/>
      <c r="BY98" s="257"/>
      <c r="BZ98" s="269"/>
      <c r="CD98" s="190"/>
      <c r="CE98" s="190"/>
      <c r="CF98" s="190"/>
      <c r="CG98" s="190"/>
      <c r="CH98" s="190"/>
      <c r="CI98" s="190"/>
      <c r="CJ98" s="190"/>
      <c r="CK98" s="189" t="str">
        <f>"("&amp;$CG$4&amp;")*0.05"</f>
        <v>((7*5.3))*0.05</v>
      </c>
      <c r="CL98" s="190"/>
      <c r="CM98" s="190"/>
      <c r="CN98" s="190"/>
      <c r="CO98" s="190"/>
      <c r="CP98" s="619"/>
      <c r="CQ98" s="190" t="str">
        <f>"("&amp;$CG$4&amp;")*0.05"</f>
        <v>((7*5.3))*0.05</v>
      </c>
      <c r="CR98" s="190"/>
      <c r="CS98" s="190"/>
      <c r="CT98" s="190"/>
      <c r="CU98" s="190"/>
      <c r="CV98" s="619"/>
      <c r="CW98" s="647">
        <v>0</v>
      </c>
      <c r="CX98" s="189" t="str">
        <f>"("&amp;$CG$4&amp;")*0.1"</f>
        <v>((7*5.3))*0.1</v>
      </c>
      <c r="CY98" s="190"/>
      <c r="CZ98" s="190"/>
      <c r="DA98" s="190"/>
      <c r="DB98" s="190"/>
      <c r="DC98" s="619"/>
      <c r="DD98" s="190" t="str">
        <f>"("&amp;$CG$4&amp;")*0.1"</f>
        <v>((7*5.3))*0.1</v>
      </c>
      <c r="DE98" s="190"/>
      <c r="DF98" s="190"/>
      <c r="DG98" s="190"/>
      <c r="DH98" s="190"/>
      <c r="DI98" s="619"/>
      <c r="DJ98" s="645">
        <v>0</v>
      </c>
      <c r="DK98" s="520"/>
      <c r="DL98" s="520"/>
    </row>
    <row r="99" spans="7:116">
      <c r="G99" s="235"/>
      <c r="H99" s="249" t="str">
        <f t="shared" si="9"/>
        <v>(0.5+0.2+0.2)*0.05</v>
      </c>
      <c r="I99" s="235"/>
      <c r="J99" s="235"/>
      <c r="K99" s="525"/>
      <c r="L99" s="235"/>
      <c r="M99" s="235"/>
      <c r="N99" s="253"/>
      <c r="O99" s="235"/>
      <c r="P99" s="249" t="str">
        <f>IF($I$84="更新","("&amp;""&amp;$H$88&amp;"*("&amp;$H$86&amp;"+"&amp;$I$88&amp;")-("&amp;$K$88&amp;"*"&amp;$I$86&amp;")-(("&amp;$L$88&amp;"^2)*3.14*0.5))*0.8","("&amp;""&amp;$H$88&amp;"*("&amp;$H$86&amp;"+"&amp;$I$88&amp;"))*0.2")</f>
        <v>(0.9*(0.47+0.25))*0.2</v>
      </c>
      <c r="Q99" s="235"/>
      <c r="R99" s="235"/>
      <c r="S99" s="235"/>
      <c r="T99" s="235"/>
      <c r="U99" s="235"/>
      <c r="V99" s="235"/>
      <c r="W99" s="249" t="b">
        <f>IF(AND($I$84="更新",J84="U型暗溝"),"("&amp;$H$90&amp;"*("&amp;$K$86&amp;"+"&amp;$I$90&amp;")-("&amp;$K$90&amp;"*"&amp;$L$86&amp;")-(("&amp;$L$90&amp;"^2)*3.14*0.5))*0.2",
IF(AND($I$84="更新",J84="矩形暗溝"),"("&amp;$H$90&amp;"*("&amp;$K$86&amp;"+"&amp;$I$90&amp;")-("&amp;$K$86&amp;"*"&amp;$L$86&amp;"))*0.2"))</f>
        <v>0</v>
      </c>
      <c r="X99" s="250"/>
      <c r="Y99" s="250"/>
      <c r="Z99" s="250"/>
      <c r="AA99" s="250"/>
      <c r="AB99" s="250"/>
      <c r="AC99" s="251"/>
      <c r="AD99" s="235"/>
      <c r="BX99" s="270"/>
      <c r="CD99" s="190"/>
      <c r="CE99" s="190"/>
      <c r="CF99" s="190"/>
      <c r="CG99" s="190"/>
      <c r="CH99" s="190"/>
      <c r="CI99" s="190"/>
      <c r="CJ99" s="190"/>
      <c r="CK99" s="189" t="s">
        <v>2954</v>
      </c>
      <c r="CL99" s="190"/>
      <c r="CM99" s="190"/>
      <c r="CN99" s="190"/>
      <c r="CO99" s="190"/>
      <c r="CP99" s="619"/>
      <c r="CQ99" s="190" t="s">
        <v>1149</v>
      </c>
      <c r="CR99" s="190"/>
      <c r="CS99" s="190"/>
      <c r="CT99" s="190"/>
      <c r="CU99" s="190"/>
      <c r="CV99" s="619"/>
      <c r="CW99" s="647">
        <v>0</v>
      </c>
      <c r="CX99" s="189" t="s">
        <v>2954</v>
      </c>
      <c r="CY99" s="190"/>
      <c r="CZ99" s="190"/>
      <c r="DA99" s="190"/>
      <c r="DB99" s="190"/>
      <c r="DC99" s="619"/>
      <c r="DD99" s="189" t="s">
        <v>1149</v>
      </c>
      <c r="DE99" s="190"/>
      <c r="DF99" s="190"/>
      <c r="DG99" s="190"/>
      <c r="DH99" s="190"/>
      <c r="DI99" s="619"/>
      <c r="DJ99" s="645">
        <v>0</v>
      </c>
      <c r="DK99" s="520"/>
      <c r="DL99" s="520"/>
    </row>
    <row r="100" spans="7:116">
      <c r="G100" s="235"/>
      <c r="H100" s="249" t="str">
        <f t="shared" si="9"/>
        <v>結構用混凝土，預拌，210kgf/cm2</v>
      </c>
      <c r="I100" s="235"/>
      <c r="J100" s="235"/>
      <c r="K100" s="525"/>
      <c r="L100" s="235"/>
      <c r="M100" s="235"/>
      <c r="N100" s="253"/>
      <c r="O100" s="235"/>
      <c r="P100" s="24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Q100" s="235"/>
      <c r="R100" s="235"/>
      <c r="S100" s="235"/>
      <c r="T100" s="235"/>
      <c r="U100" s="235"/>
      <c r="V100" s="235"/>
      <c r="W100" s="245" t="s">
        <v>4011</v>
      </c>
      <c r="X100" s="250"/>
      <c r="Y100" s="250"/>
      <c r="Z100" s="250"/>
      <c r="AA100" s="250"/>
      <c r="AB100" s="250"/>
      <c r="AC100" s="251"/>
      <c r="AD100" s="235"/>
      <c r="CD100" s="190"/>
      <c r="CE100" s="190"/>
      <c r="CF100" s="190"/>
      <c r="CG100" s="190"/>
      <c r="CH100" s="190"/>
      <c r="CI100" s="190"/>
      <c r="CJ100" s="190"/>
      <c r="CK100" s="635">
        <v>1</v>
      </c>
      <c r="CL100" s="190"/>
      <c r="CM100" s="190"/>
      <c r="CN100" s="190"/>
      <c r="CO100" s="190"/>
      <c r="CP100" s="619"/>
      <c r="CQ100" s="189" t="str">
        <f>"("&amp;$CG$4&amp;")"</f>
        <v>((7*5.3))</v>
      </c>
      <c r="CR100" s="190"/>
      <c r="CS100" s="190"/>
      <c r="CT100" s="190"/>
      <c r="CU100" s="190"/>
      <c r="CV100" s="619"/>
      <c r="CW100" s="647">
        <v>0</v>
      </c>
      <c r="CX100" s="635">
        <v>1</v>
      </c>
      <c r="CY100" s="190"/>
      <c r="CZ100" s="190"/>
      <c r="DA100" s="190"/>
      <c r="DB100" s="190"/>
      <c r="DC100" s="619"/>
      <c r="DD100" s="189" t="str">
        <f>"("&amp;$CG$4&amp;")*2"</f>
        <v>((7*5.3))*2</v>
      </c>
      <c r="DE100" s="190"/>
      <c r="DF100" s="190"/>
      <c r="DG100" s="190"/>
      <c r="DH100" s="190"/>
      <c r="DI100" s="619"/>
      <c r="DJ100" s="645">
        <v>0</v>
      </c>
      <c r="DK100" s="520"/>
      <c r="DL100" s="520"/>
    </row>
    <row r="101" spans="7:116">
      <c r="G101" s="235"/>
      <c r="H101" s="249" t="str">
        <f t="shared" si="9"/>
        <v>(0.9*(0.47+0.2)-(0.22*0.5)-((0.25^2)*3.14*0.5))*1.05</v>
      </c>
      <c r="I101" s="235"/>
      <c r="J101" s="235"/>
      <c r="K101" s="525"/>
      <c r="L101" s="235"/>
      <c r="M101" s="235"/>
      <c r="N101" s="253"/>
      <c r="O101" s="235"/>
      <c r="P101" s="249" t="str">
        <f>IF($I$84="更新","("&amp;""&amp;$H$88&amp;"*("&amp;$H$86&amp;"+"&amp;$I$88&amp;")-("&amp;$K$88&amp;"*"&amp;$I$86&amp;")-(("&amp;$L$88&amp;"^2)*3.14*0.5))*0.8","("&amp;""&amp;$H$88&amp;"*("&amp;$H$86&amp;"+"&amp;$I$88&amp;"))")</f>
        <v>(0.9*(0.47+0.25))</v>
      </c>
      <c r="Q101" s="235"/>
      <c r="R101" s="235"/>
      <c r="S101" s="235"/>
      <c r="T101" s="235"/>
      <c r="U101" s="235"/>
      <c r="V101" s="235"/>
      <c r="W101" s="249" t="str">
        <f>IF($H$88=$H$90,( "("&amp;$H$88&amp;"*("&amp;$H$86&amp;"-"&amp;$K$86&amp;"))*0.8" ),
IF($H$88&gt;$H$90,("("&amp;$H$90&amp;"*("&amp;$H$86&amp;"-"&amp;($K$86&amp;")+(("&amp;$H$88&amp;"-"&amp;$H$90&amp;")*("&amp;$H$86&amp;"+"&amp;$I$88)&amp;")))*0.8")))</f>
        <v>(0*(0.47-0)+((0.9-0)*(0.47+0.25)))*0.8</v>
      </c>
      <c r="X101" s="250"/>
      <c r="Y101" s="250"/>
      <c r="Z101" s="250"/>
      <c r="AA101" s="250"/>
      <c r="AB101" s="250"/>
      <c r="AC101" s="251"/>
      <c r="AD101" s="235"/>
      <c r="CD101" s="190"/>
      <c r="CE101" s="190"/>
      <c r="CF101" s="190"/>
      <c r="CG101" s="190"/>
      <c r="CH101" s="190"/>
      <c r="CI101" s="190"/>
      <c r="CJ101" s="190"/>
      <c r="CK101" s="636" t="s">
        <v>801</v>
      </c>
      <c r="CL101" s="190"/>
      <c r="CM101" s="190"/>
      <c r="CN101" s="190"/>
      <c r="CO101" s="190"/>
      <c r="CP101" s="619"/>
      <c r="CQ101" s="190" t="s">
        <v>2954</v>
      </c>
      <c r="CR101" s="190"/>
      <c r="CS101" s="190"/>
      <c r="CT101" s="190"/>
      <c r="CU101" s="190"/>
      <c r="CV101" s="619"/>
      <c r="CW101" s="647">
        <v>0</v>
      </c>
      <c r="CX101" s="636" t="s">
        <v>801</v>
      </c>
      <c r="CY101" s="190"/>
      <c r="CZ101" s="190"/>
      <c r="DA101" s="190"/>
      <c r="DB101" s="190"/>
      <c r="DC101" s="619"/>
      <c r="DD101" s="190" t="s">
        <v>2954</v>
      </c>
      <c r="DE101" s="190"/>
      <c r="DF101" s="190"/>
      <c r="DG101" s="190"/>
      <c r="DH101" s="190"/>
      <c r="DI101" s="619"/>
      <c r="DJ101" s="645">
        <v>0</v>
      </c>
      <c r="DK101" s="520"/>
      <c r="DL101" s="520"/>
    </row>
    <row r="102" spans="7:116">
      <c r="G102" s="235"/>
      <c r="H102" s="249" t="str">
        <f t="shared" si="9"/>
        <v>鋼製模板，U型溝用，W=40cm，L=120cm.</v>
      </c>
      <c r="I102" s="235"/>
      <c r="J102" s="235"/>
      <c r="K102" s="235"/>
      <c r="L102" s="235"/>
      <c r="M102" s="235"/>
      <c r="N102" s="253"/>
      <c r="O102" s="235"/>
      <c r="P102" s="245" t="s">
        <v>540</v>
      </c>
      <c r="Q102" s="235"/>
      <c r="R102" s="235"/>
      <c r="S102" s="235"/>
      <c r="T102" s="235"/>
      <c r="U102" s="235"/>
      <c r="V102" s="235"/>
      <c r="W102" s="245" t="s">
        <v>3638</v>
      </c>
      <c r="X102" s="250"/>
      <c r="Y102" s="250"/>
      <c r="Z102" s="250"/>
      <c r="AA102" s="250"/>
      <c r="AB102" s="250"/>
      <c r="AC102" s="251"/>
      <c r="AD102" s="235"/>
      <c r="CD102" s="190"/>
      <c r="CE102" s="190"/>
      <c r="CF102" s="190"/>
      <c r="CG102" s="190"/>
      <c r="CH102" s="190"/>
      <c r="CI102" s="190"/>
      <c r="CJ102" s="190"/>
      <c r="CK102" s="692">
        <v>1</v>
      </c>
      <c r="CL102" s="190"/>
      <c r="CM102" s="190"/>
      <c r="CN102" s="190"/>
      <c r="CO102" s="190"/>
      <c r="CP102" s="619"/>
      <c r="CQ102" s="190" t="s">
        <v>465</v>
      </c>
      <c r="CR102" s="190"/>
      <c r="CS102" s="190"/>
      <c r="CT102" s="190"/>
      <c r="CU102" s="190"/>
      <c r="CV102" s="619"/>
      <c r="CW102" s="647">
        <v>0</v>
      </c>
      <c r="CX102" s="692">
        <v>1</v>
      </c>
      <c r="CY102" s="190"/>
      <c r="CZ102" s="190"/>
      <c r="DA102" s="190"/>
      <c r="DB102" s="190"/>
      <c r="DC102" s="619"/>
      <c r="DD102" s="190" t="s">
        <v>465</v>
      </c>
      <c r="DE102" s="190"/>
      <c r="DF102" s="190"/>
      <c r="DG102" s="190"/>
      <c r="DH102" s="190"/>
      <c r="DI102" s="619"/>
      <c r="DJ102" s="645">
        <v>0</v>
      </c>
      <c r="DK102" s="520"/>
      <c r="DL102" s="520"/>
    </row>
    <row r="103" spans="7:116">
      <c r="G103" s="235"/>
      <c r="H103" s="249" t="str">
        <f t="shared" si="9"/>
        <v>1</v>
      </c>
      <c r="I103" s="235"/>
      <c r="J103" s="235"/>
      <c r="K103" s="525"/>
      <c r="L103" s="235"/>
      <c r="M103" s="235"/>
      <c r="N103" s="251"/>
      <c r="O103" s="250"/>
      <c r="P103" s="249" t="str">
        <f>"("&amp;$I$86&amp;"+"&amp;($J$86)&amp;"+"&amp;($J$86)&amp;")*0.05"</f>
        <v>(0.5+0.2+0.2)*0.05</v>
      </c>
      <c r="Q103" s="235"/>
      <c r="R103" s="235"/>
      <c r="S103" s="235"/>
      <c r="T103" s="235"/>
      <c r="U103" s="235"/>
      <c r="V103" s="235"/>
      <c r="W103" s="249" t="str">
        <f>IF($H$88=$H$90,( "("&amp;$H$88&amp;"*("&amp;$H$86&amp;"-"&amp;$K$86&amp;"))*0.2" ),
IF($H$88&gt;$H$90,("("&amp;$H$90&amp;"*("&amp;$H$86&amp;"-"&amp;($K$86&amp;")+(("&amp;$H$88&amp;"-"&amp;$H$90&amp;")*("&amp;$H$86&amp;"+"&amp;$I$88)&amp;")))*0.2")))</f>
        <v>(0*(0.47-0)+((0.9-0)*(0.47+0.25)))*0.2</v>
      </c>
      <c r="X103" s="250"/>
      <c r="Y103" s="250"/>
      <c r="Z103" s="250"/>
      <c r="AA103" s="250"/>
      <c r="AB103" s="250"/>
      <c r="AC103" s="251"/>
      <c r="AD103" s="235"/>
      <c r="CD103" s="190"/>
      <c r="CE103" s="190"/>
      <c r="CF103" s="190"/>
      <c r="CG103" s="190"/>
      <c r="CH103" s="190"/>
      <c r="CI103" s="190"/>
      <c r="CJ103" s="190"/>
      <c r="CK103" s="692" t="s">
        <v>2996</v>
      </c>
      <c r="CL103" s="190"/>
      <c r="CM103" s="190"/>
      <c r="CN103" s="190"/>
      <c r="CO103" s="190"/>
      <c r="CP103" s="619"/>
      <c r="CQ103" s="636" t="s">
        <v>801</v>
      </c>
      <c r="CR103" s="190"/>
      <c r="CS103" s="190"/>
      <c r="CT103" s="190"/>
      <c r="CU103" s="190"/>
      <c r="CV103" s="619"/>
      <c r="CW103" s="647">
        <v>0</v>
      </c>
      <c r="CX103" s="692" t="s">
        <v>2996</v>
      </c>
      <c r="CY103" s="190"/>
      <c r="CZ103" s="190"/>
      <c r="DA103" s="190"/>
      <c r="DB103" s="190"/>
      <c r="DC103" s="619"/>
      <c r="DD103" s="636" t="s">
        <v>801</v>
      </c>
      <c r="DE103" s="190"/>
      <c r="DF103" s="190"/>
      <c r="DG103" s="190"/>
      <c r="DH103" s="190"/>
      <c r="DI103" s="619"/>
      <c r="DJ103" s="645">
        <v>0</v>
      </c>
      <c r="DK103" s="520"/>
      <c r="DL103" s="520"/>
    </row>
    <row r="104" spans="7:116">
      <c r="G104" s="235"/>
      <c r="H104" s="249" t="str">
        <f t="shared" si="9"/>
        <v>鋼筋，SD280W.</v>
      </c>
      <c r="I104" s="235"/>
      <c r="J104" s="235"/>
      <c r="K104" s="525"/>
      <c r="L104" s="235"/>
      <c r="M104" s="235"/>
      <c r="N104" s="251"/>
      <c r="O104" s="250"/>
      <c r="P104" s="245" t="str">
        <f>IF(J87&lt;0.2,"結構用混凝土，預拌，280kgf/cm2","結構用混凝土，預拌，210kgf/cm2")</f>
        <v>結構用混凝土，預拌，210kgf/cm2</v>
      </c>
      <c r="Q104" s="235"/>
      <c r="R104" s="235"/>
      <c r="S104" s="235"/>
      <c r="T104" s="235"/>
      <c r="U104" s="235"/>
      <c r="V104" s="235"/>
      <c r="W104" s="24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X104" s="250"/>
      <c r="Y104" s="250"/>
      <c r="Z104" s="250"/>
      <c r="AA104" s="250"/>
      <c r="AB104" s="250"/>
      <c r="AC104" s="251"/>
      <c r="AD104" s="235"/>
      <c r="CD104" s="190"/>
      <c r="CE104" s="190"/>
      <c r="CF104" s="190"/>
      <c r="CG104" s="190"/>
      <c r="CH104" s="190"/>
      <c r="CI104" s="190"/>
      <c r="CJ104" s="190"/>
      <c r="CK104" s="692">
        <v>1</v>
      </c>
      <c r="CL104" s="190"/>
      <c r="CM104" s="190"/>
      <c r="CN104" s="190"/>
      <c r="CO104" s="190"/>
      <c r="CP104" s="619"/>
      <c r="CQ104" s="692">
        <v>1</v>
      </c>
      <c r="CR104" s="190"/>
      <c r="CS104" s="190"/>
      <c r="CT104" s="190"/>
      <c r="CU104" s="190"/>
      <c r="CV104" s="619"/>
      <c r="CW104" s="647"/>
      <c r="CX104" s="692">
        <v>1</v>
      </c>
      <c r="CY104" s="190"/>
      <c r="CZ104" s="190"/>
      <c r="DA104" s="190"/>
      <c r="DB104" s="190"/>
      <c r="DC104" s="619"/>
      <c r="DD104" s="692">
        <v>1</v>
      </c>
      <c r="DE104" s="190"/>
      <c r="DF104" s="190"/>
      <c r="DG104" s="190"/>
      <c r="DH104" s="190"/>
      <c r="DI104" s="619"/>
      <c r="DJ104" s="645"/>
      <c r="DK104" s="520"/>
      <c r="DL104" s="520"/>
    </row>
    <row r="105" spans="7:116">
      <c r="G105" s="235"/>
      <c r="H105" s="249" t="str">
        <f t="shared" si="9"/>
        <v>28.83+11.93</v>
      </c>
      <c r="I105" s="235"/>
      <c r="J105" s="235"/>
      <c r="K105" s="526"/>
      <c r="L105" s="235"/>
      <c r="M105" s="235"/>
      <c r="N105" s="251"/>
      <c r="O105" s="275" t="s">
        <v>2</v>
      </c>
      <c r="P105" s="249" t="str">
        <f>IF($K$84="有","("&amp;""&amp;$H$88&amp;"*("&amp;$H$86&amp;"+"&amp;$J$88&amp;")-("&amp;$K$88&amp;"*"&amp;$I$86&amp;")-(("&amp;$L$88&amp;"^2)*3.14*0.5))",
"("&amp;""&amp;$H$88&amp;"*("&amp;$H$86&amp;"+"&amp;$J$88&amp;")-("&amp;$K$88&amp;"*"&amp;$I$86&amp;")-(("&amp;$L$88&amp;"^2)*3.14*0.5))*1.05")</f>
        <v>(0.9*(0.47+0.2)-(0.22*0.5)-((0.25^2)*3.14*0.5))*1.05</v>
      </c>
      <c r="Q105" s="235"/>
      <c r="R105" s="235"/>
      <c r="S105" s="235"/>
      <c r="T105" s="235"/>
      <c r="U105" s="235"/>
      <c r="V105" s="235"/>
      <c r="W105" s="249">
        <f>IF(AND($I$84="更新",$J$84="U型暗溝",$H$88=$H$90),"("&amp;$H$90&amp;"*("&amp;$K$86&amp;"+"&amp;$I$90&amp;")-("&amp;$K$90&amp;"*"&amp;$L$86&amp;")-(("&amp;$L$90&amp;"^2)*3.14*0.5))+("&amp;$H$88&amp;"*("&amp;$H$86&amp;"-"&amp;$K$86&amp;"))",
IF(AND($I$84="更新",$J$84="矩形暗溝",$H$88=$H$90),"("&amp;$H$90&amp;"*("&amp;$K$86&amp;"+"&amp;$I$90&amp;")-("&amp;$K$86&amp;"*"&amp;$L$86&amp;"))+("&amp;$H$88&amp;"*("&amp;$H$86&amp;"-"&amp;$K$86&amp;"))",
IF(AND($I$84="更新",$J$84="U型暗溝",$H$88&gt;$H$90),"("&amp;$H$90&amp;"*("&amp;$K$86&amp;"+"&amp;$I$90&amp;")-("&amp;$K$90&amp;"*"&amp;$L$86&amp;")-(("&amp;$L$90&amp;"^2)*3.14*0.5))+("&amp;$H$90&amp;"*("&amp;$H$86&amp;"-"&amp;($K$86&amp;")+(("&amp;$H$88&amp;"-"&amp;$H$90&amp;")*("&amp;$H$86&amp;"+"&amp;$I$88)&amp;")))",
IF(AND($I$84="更新",$J$84="矩形暗溝",$H$88&gt;$H$90),"("&amp;$H$90&amp;"*("&amp;$K$86&amp;"+"&amp;$I$90&amp;")-("&amp;$K$86&amp;"*"&amp;$L$86&amp;"))+("&amp;$H$90&amp;"*("&amp;$H$86&amp;"-"&amp;($K$86&amp;")+(("&amp;$H$88&amp;"-"&amp;$H$90&amp;")*("&amp;$H$86&amp;"+"&amp;$I$88)&amp;")))",
))))</f>
        <v>0</v>
      </c>
      <c r="X105" s="250"/>
      <c r="Y105" s="250"/>
      <c r="Z105" s="250"/>
      <c r="AA105" s="250"/>
      <c r="AB105" s="250"/>
      <c r="AC105" s="251"/>
      <c r="AD105" s="235"/>
      <c r="CD105" s="190"/>
      <c r="CE105" s="190"/>
      <c r="CF105" s="190"/>
      <c r="CG105" s="190"/>
      <c r="CH105" s="190"/>
      <c r="CI105" s="190"/>
      <c r="CJ105" s="190"/>
      <c r="CK105" s="636"/>
      <c r="CL105" s="190"/>
      <c r="CM105" s="190"/>
      <c r="CN105" s="190"/>
      <c r="CO105" s="190"/>
      <c r="CP105" s="619"/>
      <c r="CQ105" s="692" t="s">
        <v>2996</v>
      </c>
      <c r="CR105" s="190"/>
      <c r="CS105" s="190"/>
      <c r="CT105" s="190"/>
      <c r="CU105" s="190"/>
      <c r="CV105" s="619"/>
      <c r="CW105" s="647"/>
      <c r="CX105" s="636"/>
      <c r="CY105" s="190"/>
      <c r="CZ105" s="190"/>
      <c r="DA105" s="190"/>
      <c r="DB105" s="190"/>
      <c r="DC105" s="619"/>
      <c r="DD105" s="692" t="s">
        <v>2996</v>
      </c>
      <c r="DE105" s="190"/>
      <c r="DF105" s="190"/>
      <c r="DG105" s="190"/>
      <c r="DH105" s="190"/>
      <c r="DI105" s="619"/>
      <c r="DJ105" s="645"/>
      <c r="DK105" s="520"/>
      <c r="DL105" s="520"/>
    </row>
    <row r="106" spans="7:116">
      <c r="G106" s="235"/>
      <c r="H106" s="249">
        <f t="shared" si="9"/>
        <v>0</v>
      </c>
      <c r="I106" s="235"/>
      <c r="J106" s="235"/>
      <c r="K106" s="235"/>
      <c r="L106" s="235"/>
      <c r="M106" s="235"/>
      <c r="N106" s="253"/>
      <c r="O106" s="235"/>
      <c r="P106" s="245" t="str">
        <f>IF(AND($I$7=0.4,$H$7&lt;=0.8),"鋼製模板，U型溝用，W=40cm，L=120cm.",
IF(AND($I$7=0.4,$H$7&gt;0.8),"鋼製模板，U型溝用，W=40cm，L=120cm，H&gt;80cm.",
IF(AND($I$7=0.5,$H$7&lt;=0.8),"鋼製模板，U型溝用，W=50cm，L=120cm.",
IF(AND($I$7=0.5,$H$7&gt;0.8),"鋼製模板，U型溝用，W=50cm，L=120cm，H&gt;80cm.",
IF(AND($I$7=0.6,$H$7&lt;=0.8),"鋼製模板，U型溝用，W=60cm，L=120cm.",
IF(AND($I$7=0.6,$H$7&gt;0.8),"鋼製模板，U型溝用，W=60cm，L=120cm，H&gt;80cm."))))))</f>
        <v>鋼製模板，U型溝用，W=40cm，L=120cm.</v>
      </c>
      <c r="Q106" s="235"/>
      <c r="R106" s="235"/>
      <c r="S106" s="235"/>
      <c r="T106" s="235"/>
      <c r="U106" s="235"/>
      <c r="V106" s="235"/>
      <c r="W106" s="245" t="s">
        <v>540</v>
      </c>
      <c r="X106" s="250"/>
      <c r="Y106" s="250"/>
      <c r="Z106" s="250"/>
      <c r="AA106" s="250"/>
      <c r="AB106" s="250"/>
      <c r="AC106" s="251"/>
      <c r="AD106" s="235"/>
      <c r="CD106" s="190"/>
      <c r="CE106" s="190"/>
      <c r="CF106" s="190"/>
      <c r="CG106" s="190"/>
      <c r="CH106" s="190"/>
      <c r="CI106" s="190"/>
      <c r="CJ106" s="190"/>
      <c r="CK106" s="636"/>
      <c r="CL106" s="190"/>
      <c r="CM106" s="190"/>
      <c r="CN106" s="190"/>
      <c r="CO106" s="190"/>
      <c r="CP106" s="619"/>
      <c r="CQ106" s="692">
        <v>1</v>
      </c>
      <c r="CR106" s="190"/>
      <c r="CS106" s="190"/>
      <c r="CT106" s="190"/>
      <c r="CU106" s="190"/>
      <c r="CV106" s="619"/>
      <c r="CW106" s="647"/>
      <c r="CX106" s="636"/>
      <c r="CY106" s="190"/>
      <c r="CZ106" s="190"/>
      <c r="DA106" s="190"/>
      <c r="DB106" s="190"/>
      <c r="DC106" s="619"/>
      <c r="DD106" s="692">
        <v>1</v>
      </c>
      <c r="DE106" s="190"/>
      <c r="DF106" s="190"/>
      <c r="DG106" s="190"/>
      <c r="DH106" s="190"/>
      <c r="DI106" s="619"/>
      <c r="DJ106" s="520"/>
      <c r="DK106" s="520"/>
      <c r="DL106" s="520"/>
    </row>
    <row r="107" spans="7:116">
      <c r="G107" s="235"/>
      <c r="H107" s="249">
        <f t="shared" si="9"/>
        <v>0</v>
      </c>
      <c r="I107" s="235"/>
      <c r="J107" s="235"/>
      <c r="K107" s="235"/>
      <c r="L107" s="235"/>
      <c r="M107" s="235"/>
      <c r="N107" s="261"/>
      <c r="O107" s="260"/>
      <c r="P107" s="252" t="str">
        <f>IF($H$86&lt;=0.8,"1","("&amp;$K$88&amp;"*2)+("&amp;$L$88*2&amp;"*3.14*0.5)")</f>
        <v>1</v>
      </c>
      <c r="Q107" s="235"/>
      <c r="R107" s="235"/>
      <c r="S107" s="235"/>
      <c r="T107" s="235"/>
      <c r="U107" s="235"/>
      <c r="V107" s="235"/>
      <c r="W107" s="249" t="str">
        <f>"("&amp;$I$86&amp;"+"&amp;($J$86)&amp;"+"&amp;($J$86)&amp;")*0.05"</f>
        <v>(0.5+0.2+0.2)*0.05</v>
      </c>
      <c r="X107" s="250"/>
      <c r="Y107" s="250"/>
      <c r="Z107" s="250"/>
      <c r="AA107" s="250"/>
      <c r="AB107" s="250"/>
      <c r="AC107" s="251"/>
      <c r="AD107" s="235"/>
      <c r="CD107" s="190"/>
      <c r="CE107" s="190"/>
      <c r="CF107" s="190"/>
      <c r="CG107" s="190"/>
      <c r="CH107" s="190"/>
      <c r="CI107" s="190"/>
      <c r="CJ107" s="190"/>
      <c r="CK107" s="636"/>
      <c r="CL107" s="190"/>
      <c r="CM107" s="190"/>
      <c r="CN107" s="190"/>
      <c r="CO107" s="190"/>
      <c r="CP107" s="619"/>
      <c r="CQ107" s="241"/>
      <c r="CR107" s="190"/>
      <c r="CS107" s="190"/>
      <c r="CT107" s="190"/>
      <c r="CU107" s="190"/>
      <c r="CV107" s="619"/>
      <c r="CW107" s="647"/>
      <c r="CX107" s="636"/>
      <c r="CY107" s="190"/>
      <c r="CZ107" s="190"/>
      <c r="DA107" s="190"/>
      <c r="DB107" s="190"/>
      <c r="DC107" s="619"/>
      <c r="DD107" s="241"/>
      <c r="DE107" s="190"/>
      <c r="DF107" s="190"/>
      <c r="DG107" s="190"/>
      <c r="DH107" s="190"/>
      <c r="DI107" s="619"/>
      <c r="DJ107" s="520"/>
      <c r="DK107" s="520"/>
      <c r="DL107" s="520"/>
    </row>
    <row r="108" spans="7:116">
      <c r="G108" s="235"/>
      <c r="H108" s="249">
        <f t="shared" si="9"/>
        <v>0</v>
      </c>
      <c r="I108" s="235"/>
      <c r="J108" s="235"/>
      <c r="K108" s="235"/>
      <c r="L108" s="235"/>
      <c r="M108" s="235"/>
      <c r="N108" s="251"/>
      <c r="O108" s="250"/>
      <c r="P108" s="245" t="s">
        <v>2939</v>
      </c>
      <c r="Q108" s="235"/>
      <c r="R108" s="235"/>
      <c r="S108" s="235"/>
      <c r="T108" s="235"/>
      <c r="U108" s="235"/>
      <c r="V108" s="235"/>
      <c r="W108" s="245" t="str">
        <f>IF(J87&lt;0.2,"結構用混凝土，預拌，280kgf/cm2","結構用混凝土，預拌，210kgf/cm2")</f>
        <v>結構用混凝土，預拌，210kgf/cm2</v>
      </c>
      <c r="X108" s="250"/>
      <c r="Y108" s="235"/>
      <c r="Z108" s="235"/>
      <c r="AA108" s="235"/>
      <c r="AB108" s="235"/>
      <c r="AC108" s="253"/>
      <c r="AD108" s="235"/>
      <c r="CD108" s="190"/>
      <c r="CE108" s="190"/>
      <c r="CF108" s="190"/>
      <c r="CG108" s="190"/>
      <c r="CH108" s="190"/>
      <c r="CI108" s="190"/>
      <c r="CJ108" s="190"/>
      <c r="CK108" s="636"/>
      <c r="CL108" s="190"/>
      <c r="CM108" s="190"/>
      <c r="CN108" s="190"/>
      <c r="CO108" s="190"/>
      <c r="CP108" s="619"/>
      <c r="CQ108" s="241"/>
      <c r="CR108" s="190"/>
      <c r="CS108" s="190"/>
      <c r="CT108" s="190"/>
      <c r="CU108" s="190"/>
      <c r="CV108" s="619"/>
      <c r="CW108" s="648"/>
      <c r="CX108" s="636"/>
      <c r="CY108" s="190"/>
      <c r="CZ108" s="190"/>
      <c r="DA108" s="190"/>
      <c r="DB108" s="190"/>
      <c r="DC108" s="619"/>
      <c r="DD108" s="241"/>
      <c r="DE108" s="190"/>
      <c r="DF108" s="190"/>
      <c r="DG108" s="190"/>
      <c r="DH108" s="190"/>
      <c r="DI108" s="619"/>
    </row>
    <row r="109" spans="7:116">
      <c r="G109" s="235"/>
      <c r="H109" s="249">
        <f t="shared" si="9"/>
        <v>0</v>
      </c>
      <c r="I109" s="235"/>
      <c r="J109" s="235"/>
      <c r="K109" s="235"/>
      <c r="L109" s="235"/>
      <c r="M109" s="235"/>
      <c r="N109" s="251"/>
      <c r="O109" s="250"/>
      <c r="P109" s="249" t="str">
        <f>$M$88&amp;"+"&amp;$N$88</f>
        <v>28.83+11.93</v>
      </c>
      <c r="Q109" s="235"/>
      <c r="R109" s="250"/>
      <c r="S109" s="250"/>
      <c r="T109" s="250"/>
      <c r="U109" s="250"/>
      <c r="V109" s="250"/>
      <c r="W109" s="249" t="str">
        <f>IF($K$84="有","("&amp;""&amp;$H$88&amp;"*("&amp;$H$86&amp;"+"&amp;$J$88&amp;")-("&amp;$K$88&amp;"*"&amp;$I$86&amp;")-(("&amp;$L$88&amp;"^2)*3.14*0.5))",
"("&amp;""&amp;$H$88&amp;"*("&amp;$H$86&amp;"+"&amp;$J$88&amp;")-("&amp;$K$88&amp;"*"&amp;$I$86&amp;")-(("&amp;$L$88&amp;"^2)*3.14*0.5))*1.05")</f>
        <v>(0.9*(0.47+0.2)-(0.22*0.5)-((0.25^2)*3.14*0.5))*1.05</v>
      </c>
      <c r="X109" s="250"/>
      <c r="Y109" s="235"/>
      <c r="Z109" s="235"/>
      <c r="AA109" s="235"/>
      <c r="AB109" s="235"/>
      <c r="AC109" s="253"/>
      <c r="AD109" s="235"/>
      <c r="CD109" s="190"/>
      <c r="CE109" s="190"/>
      <c r="CF109" s="190"/>
      <c r="CG109" s="190"/>
      <c r="CH109" s="190"/>
      <c r="CI109" s="190"/>
      <c r="CJ109" s="190"/>
      <c r="CK109" s="636"/>
      <c r="CL109" s="190"/>
      <c r="CM109" s="190"/>
      <c r="CN109" s="190"/>
      <c r="CO109" s="190"/>
      <c r="CP109" s="619"/>
      <c r="CQ109" s="241"/>
      <c r="CR109" s="190"/>
      <c r="CS109" s="190"/>
      <c r="CT109" s="190"/>
      <c r="CU109" s="190"/>
      <c r="CV109" s="619"/>
      <c r="CW109" s="648"/>
      <c r="CX109" s="636"/>
      <c r="CY109" s="190"/>
      <c r="CZ109" s="190"/>
      <c r="DA109" s="190"/>
      <c r="DB109" s="190"/>
      <c r="DC109" s="619"/>
      <c r="DD109" s="241"/>
      <c r="DE109" s="190"/>
      <c r="DF109" s="190"/>
      <c r="DG109" s="190"/>
      <c r="DH109" s="190"/>
      <c r="DI109" s="619"/>
    </row>
    <row r="110" spans="7:116" ht="17.25" thickBot="1">
      <c r="G110" s="235"/>
      <c r="H110" s="252">
        <f t="shared" si="9"/>
        <v>0</v>
      </c>
      <c r="I110" s="235"/>
      <c r="J110" s="235"/>
      <c r="K110" s="235"/>
      <c r="L110" s="235"/>
      <c r="M110" s="235"/>
      <c r="N110" s="251"/>
      <c r="O110" s="250"/>
      <c r="P110" s="249"/>
      <c r="Q110" s="235"/>
      <c r="R110" s="235"/>
      <c r="S110" s="235"/>
      <c r="T110" s="235"/>
      <c r="U110" s="235"/>
      <c r="V110" s="235"/>
      <c r="W110" s="245" t="str">
        <f>IF(AND($I$7=0.4,$H$7&lt;=0.8),"鋼製模板，U型溝用，W=40cm，L=120cm.",
IF(AND($I$7=0.4,$H$7&gt;0.8),"鋼製模板，U型溝用，W=40cm，L=120cm，H&gt;80cm.",
IF(AND($I$7=0.5,$H$7&lt;=0.8),"鋼製模板，U型溝用，W=50cm，L=120cm.",
IF(AND($I$7=0.5,$H$7&gt;0.8),"鋼製模板，U型溝用，W=50cm，L=120cm，H&gt;80cm.",
IF(AND($I$7=0.6,$H$7&lt;=0.8),"鋼製模板，U型溝用，W=60cm，L=120cm.",
IF(AND($I$7=0.6,$H$7&gt;0.8),"鋼製模板，U型溝用，W=60cm，L=120cm，H&gt;80cm."))))))</f>
        <v>鋼製模板，U型溝用，W=40cm，L=120cm.</v>
      </c>
      <c r="X110" s="235"/>
      <c r="Y110" s="235"/>
      <c r="Z110" s="235"/>
      <c r="AA110" s="235"/>
      <c r="AB110" s="235"/>
      <c r="AC110" s="253"/>
      <c r="AD110" s="235"/>
      <c r="CD110" s="190"/>
      <c r="CE110" s="190"/>
      <c r="CF110" s="190"/>
      <c r="CG110" s="190"/>
      <c r="CH110" s="190"/>
      <c r="CI110" s="190"/>
      <c r="CJ110" s="190"/>
      <c r="CK110" s="615"/>
      <c r="CL110" s="616"/>
      <c r="CM110" s="616"/>
      <c r="CN110" s="616"/>
      <c r="CO110" s="616"/>
      <c r="CP110" s="620"/>
      <c r="CQ110" s="637"/>
      <c r="CR110" s="616"/>
      <c r="CS110" s="616"/>
      <c r="CT110" s="616"/>
      <c r="CU110" s="616"/>
      <c r="CV110" s="620"/>
      <c r="CW110" s="648"/>
      <c r="CX110" s="638"/>
      <c r="CY110" s="616"/>
      <c r="CZ110" s="616"/>
      <c r="DA110" s="616"/>
      <c r="DB110" s="616"/>
      <c r="DC110" s="620"/>
      <c r="DD110" s="637"/>
      <c r="DE110" s="616"/>
      <c r="DF110" s="616"/>
      <c r="DG110" s="616"/>
      <c r="DH110" s="616"/>
      <c r="DI110" s="620"/>
    </row>
    <row r="111" spans="7:116">
      <c r="G111" s="235"/>
      <c r="H111" s="252">
        <f t="shared" si="9"/>
        <v>0</v>
      </c>
      <c r="I111" s="235"/>
      <c r="J111" s="235"/>
      <c r="K111" s="235"/>
      <c r="L111" s="235"/>
      <c r="M111" s="235"/>
      <c r="N111" s="251"/>
      <c r="O111" s="250"/>
      <c r="P111" s="258"/>
      <c r="Q111" s="250"/>
      <c r="R111" s="250"/>
      <c r="S111" s="250"/>
      <c r="T111" s="250"/>
      <c r="U111" s="250"/>
      <c r="V111" s="250"/>
      <c r="W111" s="252" t="str">
        <f>IF($H$86&lt;=0.8,"1","("&amp;$K$88&amp;"*2)+("&amp;$L$88*2&amp;"*3.14*0.5)")</f>
        <v>1</v>
      </c>
      <c r="X111" s="250"/>
      <c r="Y111" s="235"/>
      <c r="Z111" s="235"/>
      <c r="AA111" s="235"/>
      <c r="AB111" s="235"/>
      <c r="AC111" s="253"/>
      <c r="AD111" s="235"/>
      <c r="CD111" s="190"/>
      <c r="CE111" s="190"/>
      <c r="CF111" s="190"/>
      <c r="CG111" s="190"/>
      <c r="CH111" s="190"/>
      <c r="CI111" s="190"/>
      <c r="CJ111" s="190"/>
      <c r="CK111" s="190"/>
      <c r="CL111" s="190"/>
      <c r="CM111" s="190"/>
      <c r="CN111" s="190"/>
      <c r="CO111" s="190"/>
      <c r="CP111" s="190"/>
      <c r="CQ111" s="190"/>
      <c r="CR111" s="190"/>
      <c r="CS111" s="190"/>
      <c r="CT111" s="190"/>
      <c r="CU111" s="190"/>
      <c r="CV111" s="190"/>
      <c r="CW111" s="648"/>
      <c r="CX111" s="611"/>
      <c r="CY111" s="611"/>
      <c r="CZ111" s="611"/>
      <c r="DA111" s="611"/>
      <c r="DB111" s="611"/>
      <c r="DC111" s="611"/>
      <c r="DD111" s="611"/>
      <c r="DE111" s="611"/>
      <c r="DF111" s="611"/>
      <c r="DG111" s="611"/>
      <c r="DH111" s="611"/>
      <c r="DI111" s="611"/>
    </row>
    <row r="112" spans="7:116">
      <c r="G112" s="235"/>
      <c r="H112" s="252">
        <f t="shared" si="9"/>
        <v>0</v>
      </c>
      <c r="I112" s="235"/>
      <c r="J112" s="235"/>
      <c r="K112" s="235"/>
      <c r="L112" s="235"/>
      <c r="M112" s="235"/>
      <c r="N112" s="251"/>
      <c r="O112" s="250"/>
      <c r="P112" s="258"/>
      <c r="Q112" s="250"/>
      <c r="R112" s="250"/>
      <c r="S112" s="250"/>
      <c r="T112" s="250"/>
      <c r="U112" s="250"/>
      <c r="V112" s="250"/>
      <c r="W112" s="245" t="s">
        <v>2939</v>
      </c>
      <c r="X112" s="250"/>
      <c r="Y112" s="235"/>
      <c r="Z112" s="235"/>
      <c r="AA112" s="235"/>
      <c r="AB112" s="235"/>
      <c r="AC112" s="253"/>
      <c r="AD112" s="235"/>
      <c r="CD112" s="611"/>
      <c r="CE112" s="611"/>
      <c r="CF112" s="611"/>
      <c r="CG112" s="611"/>
      <c r="CH112" s="611"/>
      <c r="CI112" s="611"/>
      <c r="CJ112" s="611"/>
      <c r="CK112" s="611"/>
      <c r="CL112" s="611"/>
      <c r="CM112" s="611"/>
      <c r="CN112" s="611"/>
      <c r="CO112" s="611"/>
      <c r="CP112" s="611"/>
      <c r="CQ112" s="611"/>
      <c r="CR112" s="611"/>
      <c r="CS112" s="611"/>
      <c r="CT112" s="611"/>
      <c r="CU112" s="611"/>
      <c r="CV112" s="611"/>
      <c r="CW112" s="611"/>
      <c r="CX112" s="611"/>
      <c r="CY112" s="611"/>
      <c r="CZ112" s="611"/>
      <c r="DA112" s="611"/>
      <c r="DB112" s="611"/>
      <c r="DC112" s="611"/>
      <c r="DD112" s="611"/>
      <c r="DE112" s="611"/>
      <c r="DF112" s="611"/>
      <c r="DG112" s="611"/>
      <c r="DH112" s="611"/>
      <c r="DI112" s="611"/>
    </row>
    <row r="113" spans="7:116">
      <c r="G113" s="235"/>
      <c r="H113" s="252">
        <f t="shared" si="9"/>
        <v>0</v>
      </c>
      <c r="I113" s="235"/>
      <c r="J113" s="235"/>
      <c r="K113" s="235"/>
      <c r="L113" s="235"/>
      <c r="M113" s="235"/>
      <c r="N113" s="251"/>
      <c r="O113" s="250"/>
      <c r="P113" s="249"/>
      <c r="Q113" s="235"/>
      <c r="R113" s="235"/>
      <c r="S113" s="235"/>
      <c r="T113" s="235"/>
      <c r="U113" s="235"/>
      <c r="V113" s="235"/>
      <c r="W113" s="249" t="str">
        <f>$M$88&amp;"+"&amp;$N$88</f>
        <v>28.83+11.93</v>
      </c>
      <c r="X113" s="235"/>
      <c r="Y113" s="235"/>
      <c r="Z113" s="235"/>
      <c r="AA113" s="235"/>
      <c r="AB113" s="235"/>
      <c r="AC113" s="253"/>
      <c r="AD113" s="235"/>
      <c r="CD113" s="611"/>
      <c r="CE113" s="611"/>
      <c r="CF113" s="611"/>
      <c r="CG113" s="611"/>
      <c r="CH113" s="611"/>
      <c r="CI113" s="611"/>
      <c r="CJ113" s="611"/>
      <c r="CK113" s="611"/>
      <c r="CL113" s="611"/>
      <c r="CM113" s="611"/>
      <c r="CN113" s="611"/>
      <c r="CO113" s="611"/>
      <c r="CP113" s="611"/>
      <c r="CQ113" s="611"/>
      <c r="CR113" s="611"/>
      <c r="CS113" s="611"/>
      <c r="CT113" s="611"/>
      <c r="CU113" s="611"/>
      <c r="CV113" s="611"/>
      <c r="CW113" s="611"/>
      <c r="CX113" s="611"/>
      <c r="CY113" s="611"/>
      <c r="CZ113" s="611"/>
      <c r="DA113" s="611"/>
      <c r="DB113" s="611"/>
      <c r="DC113" s="611"/>
      <c r="DD113" s="611"/>
      <c r="DE113" s="611"/>
      <c r="DF113" s="611"/>
      <c r="DG113" s="611"/>
      <c r="DH113" s="611"/>
      <c r="DI113" s="611"/>
    </row>
    <row r="114" spans="7:116">
      <c r="G114" s="235"/>
      <c r="H114" s="252">
        <f t="shared" si="9"/>
        <v>0</v>
      </c>
      <c r="I114" s="235"/>
      <c r="J114" s="235"/>
      <c r="K114" s="235"/>
      <c r="L114" s="235"/>
      <c r="M114" s="235"/>
      <c r="N114" s="251"/>
      <c r="O114" s="250"/>
      <c r="P114" s="259"/>
      <c r="Q114" s="260"/>
      <c r="R114" s="260"/>
      <c r="S114" s="260"/>
      <c r="T114" s="260"/>
      <c r="U114" s="260"/>
      <c r="V114" s="260"/>
      <c r="W114" s="259"/>
      <c r="X114" s="260"/>
      <c r="Y114" s="260"/>
      <c r="Z114" s="260"/>
      <c r="AA114" s="260"/>
      <c r="AB114" s="260"/>
      <c r="AC114" s="261"/>
      <c r="AD114" s="235"/>
      <c r="CD114" s="184"/>
      <c r="CE114" s="184"/>
      <c r="CF114" s="184"/>
      <c r="CG114" s="184"/>
      <c r="CH114" s="184"/>
      <c r="CI114" s="184"/>
      <c r="CJ114" s="184"/>
      <c r="CK114" s="184"/>
      <c r="CL114" s="184"/>
      <c r="CM114" s="184"/>
      <c r="CN114" s="184"/>
      <c r="CO114" s="184"/>
      <c r="CP114" s="184"/>
      <c r="CQ114" s="184"/>
      <c r="CR114" s="184"/>
      <c r="CS114" s="184"/>
      <c r="CT114" s="184"/>
      <c r="CU114" s="184"/>
      <c r="CV114" s="184"/>
      <c r="CW114" s="184"/>
      <c r="CX114" s="184"/>
      <c r="CY114" s="184"/>
      <c r="CZ114" s="184"/>
      <c r="DA114" s="184"/>
      <c r="DB114" s="184"/>
      <c r="DC114" s="184"/>
      <c r="DD114" s="184"/>
      <c r="DE114" s="184"/>
      <c r="DF114" s="184"/>
      <c r="DG114" s="184"/>
      <c r="DH114" s="184"/>
      <c r="DI114" s="184"/>
    </row>
    <row r="115" spans="7:116" ht="17.25" thickBot="1">
      <c r="G115" s="235"/>
      <c r="H115" s="276">
        <f t="shared" si="9"/>
        <v>0</v>
      </c>
      <c r="I115" s="263"/>
      <c r="J115" s="263"/>
      <c r="K115" s="263"/>
      <c r="L115" s="263"/>
      <c r="M115" s="263"/>
      <c r="N115" s="266"/>
      <c r="O115" s="250"/>
      <c r="P115" s="264"/>
      <c r="Q115" s="265"/>
      <c r="R115" s="265"/>
      <c r="S115" s="265"/>
      <c r="T115" s="265"/>
      <c r="U115" s="265"/>
      <c r="V115" s="265"/>
      <c r="W115" s="264"/>
      <c r="X115" s="265"/>
      <c r="Y115" s="265"/>
      <c r="Z115" s="265"/>
      <c r="AA115" s="265"/>
      <c r="AB115" s="265"/>
      <c r="AC115" s="266"/>
      <c r="AD115" s="235"/>
      <c r="CD115" s="184"/>
      <c r="CE115" s="184"/>
      <c r="CF115" s="184"/>
      <c r="CG115" s="184"/>
      <c r="CH115" s="184"/>
      <c r="CI115" s="184"/>
      <c r="CJ115" s="184"/>
      <c r="CK115" s="184"/>
      <c r="CL115" s="184"/>
      <c r="CM115" s="184"/>
      <c r="CN115" s="184"/>
      <c r="CO115" s="184"/>
      <c r="CP115" s="184"/>
      <c r="CQ115" s="184"/>
      <c r="CR115" s="184"/>
      <c r="CS115" s="184"/>
      <c r="CT115" s="184"/>
      <c r="CU115" s="184"/>
      <c r="CV115" s="184"/>
      <c r="CW115" s="184"/>
      <c r="CX115" s="184"/>
      <c r="CY115" s="184"/>
      <c r="CZ115" s="184"/>
      <c r="DA115" s="184"/>
      <c r="DB115" s="184"/>
      <c r="DC115" s="184"/>
      <c r="DD115" s="184"/>
      <c r="DE115" s="184"/>
      <c r="DF115" s="184"/>
      <c r="DG115" s="184"/>
      <c r="DH115" s="184"/>
      <c r="DI115" s="184"/>
    </row>
    <row r="116" spans="7:116" ht="17.25" thickBot="1">
      <c r="G116" s="235"/>
      <c r="H116" s="235"/>
      <c r="I116" s="235"/>
      <c r="J116" s="235"/>
      <c r="K116" s="235"/>
      <c r="L116" s="235"/>
      <c r="M116" s="235"/>
      <c r="N116" s="235"/>
      <c r="O116" s="235"/>
      <c r="P116" s="235"/>
      <c r="Q116" s="235"/>
      <c r="R116" s="235"/>
      <c r="S116" s="235"/>
      <c r="T116" s="235"/>
      <c r="U116" s="235"/>
      <c r="V116" s="235"/>
      <c r="W116" s="235"/>
      <c r="X116" s="235"/>
      <c r="Y116" s="235"/>
      <c r="Z116" s="235"/>
      <c r="AA116" s="235"/>
      <c r="AB116" s="235"/>
      <c r="AC116" s="235"/>
      <c r="AD116" s="235"/>
      <c r="CD116" s="184"/>
      <c r="CE116" s="184"/>
      <c r="CF116" s="184"/>
      <c r="CG116" s="184"/>
      <c r="CH116" s="184"/>
      <c r="CI116" s="184"/>
      <c r="CJ116" s="184"/>
      <c r="CK116" s="1532" t="s">
        <v>3982</v>
      </c>
      <c r="CL116" s="1533"/>
      <c r="CM116" s="1533"/>
      <c r="CN116" s="1533"/>
      <c r="CO116" s="1533"/>
      <c r="CP116" s="1533"/>
      <c r="CQ116" s="1533"/>
      <c r="CR116" s="1533"/>
      <c r="CS116" s="1533"/>
      <c r="CT116" s="1533"/>
      <c r="CU116" s="1533"/>
      <c r="CV116" s="1534"/>
      <c r="CW116" s="647"/>
      <c r="CX116" s="1532" t="s">
        <v>3983</v>
      </c>
      <c r="CY116" s="1533"/>
      <c r="CZ116" s="1533"/>
      <c r="DA116" s="1533"/>
      <c r="DB116" s="1533"/>
      <c r="DC116" s="1533"/>
      <c r="DD116" s="1533"/>
      <c r="DE116" s="1533"/>
      <c r="DF116" s="1533"/>
      <c r="DG116" s="1533"/>
      <c r="DH116" s="1533"/>
      <c r="DI116" s="1534"/>
      <c r="DJ116" s="646"/>
    </row>
    <row r="117" spans="7:116">
      <c r="G117" s="235"/>
      <c r="H117" s="235"/>
      <c r="I117" s="235"/>
      <c r="J117" s="235"/>
      <c r="K117" s="235"/>
      <c r="L117" s="235"/>
      <c r="M117" s="235"/>
      <c r="N117" s="235"/>
      <c r="O117" s="235"/>
      <c r="P117" s="235"/>
      <c r="Q117" s="235"/>
      <c r="R117" s="235"/>
      <c r="S117" s="235"/>
      <c r="T117" s="235"/>
      <c r="U117" s="235"/>
      <c r="V117" s="235"/>
      <c r="W117" s="235"/>
      <c r="X117" s="235"/>
      <c r="Y117" s="235"/>
      <c r="Z117" s="235"/>
      <c r="AA117" s="235"/>
      <c r="AB117" s="235"/>
      <c r="AC117" s="235"/>
      <c r="AD117" s="235"/>
      <c r="CD117" s="184"/>
      <c r="CE117" s="184"/>
      <c r="CF117" s="184"/>
      <c r="CG117" s="184"/>
      <c r="CH117" s="184"/>
      <c r="CI117" s="184"/>
      <c r="CJ117" s="184"/>
      <c r="CK117" s="614" t="s">
        <v>3690</v>
      </c>
      <c r="CL117" s="621"/>
      <c r="CM117" s="621"/>
      <c r="CN117" s="621"/>
      <c r="CO117" s="621"/>
      <c r="CP117" s="622"/>
      <c r="CQ117" s="623" t="s">
        <v>3691</v>
      </c>
      <c r="CR117" s="621"/>
      <c r="CS117" s="624"/>
      <c r="CT117" s="621"/>
      <c r="CU117" s="621"/>
      <c r="CV117" s="625"/>
      <c r="CW117" s="647"/>
      <c r="CX117" s="614" t="s">
        <v>3690</v>
      </c>
      <c r="CY117" s="621"/>
      <c r="CZ117" s="621"/>
      <c r="DA117" s="621"/>
      <c r="DB117" s="621"/>
      <c r="DC117" s="622"/>
      <c r="DD117" s="623" t="s">
        <v>3691</v>
      </c>
      <c r="DE117" s="621"/>
      <c r="DF117" s="624"/>
      <c r="DG117" s="621"/>
      <c r="DH117" s="621"/>
      <c r="DI117" s="625"/>
      <c r="DJ117" s="646"/>
    </row>
    <row r="118" spans="7:116">
      <c r="O118" s="516"/>
      <c r="P118" s="277"/>
      <c r="T118" s="267"/>
      <c r="CD118" s="184"/>
      <c r="CE118" s="184"/>
      <c r="CF118" s="184"/>
      <c r="CG118" s="184"/>
      <c r="CH118" s="184"/>
      <c r="CI118" s="184"/>
      <c r="CJ118" s="184"/>
      <c r="CK118" s="612"/>
      <c r="CL118" s="626"/>
      <c r="CM118" s="626"/>
      <c r="CN118" s="626"/>
      <c r="CO118" s="626"/>
      <c r="CP118" s="613"/>
      <c r="CQ118" s="612"/>
      <c r="CR118" s="626"/>
      <c r="CS118" s="626"/>
      <c r="CT118" s="626"/>
      <c r="CU118" s="626"/>
      <c r="CV118" s="627"/>
      <c r="CW118" s="647">
        <v>0</v>
      </c>
      <c r="CX118" s="612"/>
      <c r="CY118" s="626"/>
      <c r="CZ118" s="626"/>
      <c r="DA118" s="626"/>
      <c r="DB118" s="626"/>
      <c r="DC118" s="613"/>
      <c r="DD118" s="612"/>
      <c r="DE118" s="626"/>
      <c r="DF118" s="626"/>
      <c r="DG118" s="626"/>
      <c r="DH118" s="626"/>
      <c r="DI118" s="627"/>
      <c r="DJ118" s="646"/>
      <c r="DK118" s="520"/>
      <c r="DL118" s="520"/>
    </row>
    <row r="119" spans="7:116" ht="17.25" thickBot="1">
      <c r="CD119" s="184"/>
      <c r="CE119" s="184"/>
      <c r="CF119" s="184"/>
      <c r="CG119" s="184"/>
      <c r="CH119" s="184"/>
      <c r="CI119" s="184"/>
      <c r="CJ119" s="184"/>
      <c r="CK119" s="628"/>
      <c r="CL119" s="629"/>
      <c r="CM119" s="629"/>
      <c r="CN119" s="629"/>
      <c r="CO119" s="629"/>
      <c r="CP119" s="630"/>
      <c r="CQ119" s="628"/>
      <c r="CR119" s="629"/>
      <c r="CS119" s="629"/>
      <c r="CT119" s="629"/>
      <c r="CU119" s="629"/>
      <c r="CV119" s="631"/>
      <c r="CW119" s="647">
        <v>0</v>
      </c>
      <c r="CX119" s="628"/>
      <c r="CY119" s="629"/>
      <c r="CZ119" s="629"/>
      <c r="DA119" s="629"/>
      <c r="DB119" s="629"/>
      <c r="DC119" s="630"/>
      <c r="DD119" s="628"/>
      <c r="DE119" s="629"/>
      <c r="DF119" s="629"/>
      <c r="DG119" s="629"/>
      <c r="DH119" s="629"/>
      <c r="DI119" s="631"/>
      <c r="DJ119" s="646"/>
      <c r="DK119" s="520"/>
      <c r="DL119" s="520"/>
    </row>
    <row r="120" spans="7:116" ht="17.25" thickBot="1">
      <c r="H120" s="239"/>
      <c r="I120" s="239"/>
      <c r="J120" s="239"/>
      <c r="K120" s="239"/>
      <c r="L120" s="239"/>
      <c r="M120" s="239"/>
      <c r="N120" s="239"/>
      <c r="O120" s="239"/>
      <c r="P120" s="239"/>
      <c r="Q120" s="239"/>
      <c r="R120" s="239"/>
      <c r="S120" s="239"/>
      <c r="T120" s="239"/>
      <c r="U120" s="239"/>
      <c r="V120" s="239"/>
      <c r="W120" s="239"/>
      <c r="X120" s="239"/>
      <c r="Y120" s="239"/>
      <c r="Z120" s="239"/>
      <c r="AA120" s="239"/>
      <c r="AB120" s="239"/>
      <c r="AC120" s="239"/>
      <c r="AD120" s="239"/>
      <c r="AE120" s="239"/>
      <c r="AF120" s="239"/>
      <c r="AG120" s="239"/>
      <c r="AH120" s="239"/>
      <c r="CD120" s="184"/>
      <c r="CE120" s="184"/>
      <c r="CF120" s="184"/>
      <c r="CG120" s="184"/>
      <c r="CH120" s="184"/>
      <c r="CI120" s="184"/>
      <c r="CJ120" s="184"/>
      <c r="CK120" s="632" t="s">
        <v>3706</v>
      </c>
      <c r="CL120" s="633"/>
      <c r="CM120" s="633"/>
      <c r="CN120" s="633"/>
      <c r="CO120" s="633"/>
      <c r="CP120" s="634"/>
      <c r="CQ120" s="633" t="s">
        <v>3707</v>
      </c>
      <c r="CR120" s="633"/>
      <c r="CS120" s="633"/>
      <c r="CT120" s="633"/>
      <c r="CU120" s="633"/>
      <c r="CV120" s="634"/>
      <c r="CW120" s="647">
        <v>0</v>
      </c>
      <c r="CX120" s="632" t="s">
        <v>3724</v>
      </c>
      <c r="CY120" s="633"/>
      <c r="CZ120" s="633"/>
      <c r="DA120" s="633"/>
      <c r="DB120" s="633"/>
      <c r="DC120" s="634"/>
      <c r="DD120" s="633" t="s">
        <v>3725</v>
      </c>
      <c r="DE120" s="633"/>
      <c r="DF120" s="633"/>
      <c r="DG120" s="633"/>
      <c r="DH120" s="633"/>
      <c r="DI120" s="634"/>
      <c r="DJ120" s="645">
        <v>0</v>
      </c>
      <c r="DK120" s="520"/>
      <c r="DL120" s="520"/>
    </row>
    <row r="121" spans="7:116">
      <c r="H121" s="278" t="s">
        <v>3851</v>
      </c>
      <c r="I121" s="279" t="s">
        <v>3852</v>
      </c>
      <c r="J121" s="279" t="s">
        <v>3853</v>
      </c>
      <c r="K121" s="279" t="s">
        <v>3854</v>
      </c>
      <c r="L121" s="279" t="s">
        <v>3848</v>
      </c>
      <c r="M121" s="279" t="s">
        <v>3855</v>
      </c>
      <c r="N121" s="279" t="s">
        <v>3855</v>
      </c>
      <c r="O121" s="279" t="s">
        <v>3856</v>
      </c>
      <c r="P121" s="279" t="s">
        <v>3857</v>
      </c>
      <c r="Q121" s="280" t="s">
        <v>3848</v>
      </c>
      <c r="R121" s="280" t="s">
        <v>3853</v>
      </c>
      <c r="S121" s="279" t="s">
        <v>3858</v>
      </c>
      <c r="T121" s="281" t="s">
        <v>3859</v>
      </c>
      <c r="U121" s="282"/>
      <c r="V121" s="528" t="s">
        <v>3852</v>
      </c>
      <c r="W121" s="529" t="str">
        <f>W128</f>
        <v>頂板寬</v>
      </c>
      <c r="X121" s="529">
        <f>X128</f>
        <v>1</v>
      </c>
      <c r="Y121" s="529">
        <f>Y128</f>
        <v>2</v>
      </c>
      <c r="Z121" s="529" t="str">
        <f>Z128</f>
        <v>f</v>
      </c>
      <c r="AA121" s="529" t="str">
        <f>AA128</f>
        <v>g</v>
      </c>
      <c r="AB121" s="529"/>
      <c r="AC121" s="529"/>
      <c r="AD121" s="529"/>
      <c r="AE121" s="529"/>
      <c r="AF121" s="530" t="s">
        <v>3860</v>
      </c>
      <c r="AG121" s="531" t="s">
        <v>3861</v>
      </c>
      <c r="AH121" s="531" t="s">
        <v>3862</v>
      </c>
      <c r="CD121" s="184"/>
      <c r="CE121" s="184"/>
      <c r="CF121" s="184"/>
      <c r="CG121" s="184"/>
      <c r="CH121" s="184"/>
      <c r="CI121" s="184"/>
      <c r="CJ121" s="184"/>
      <c r="CK121" s="189" t="s">
        <v>1215</v>
      </c>
      <c r="CL121" s="190"/>
      <c r="CM121" s="190"/>
      <c r="CN121" s="190"/>
      <c r="CO121" s="190"/>
      <c r="CP121" s="619"/>
      <c r="CQ121" s="190" t="s">
        <v>2556</v>
      </c>
      <c r="CR121" s="190"/>
      <c r="CS121" s="190"/>
      <c r="CT121" s="190"/>
      <c r="CU121" s="190"/>
      <c r="CV121" s="619"/>
      <c r="CW121" s="647">
        <v>0</v>
      </c>
      <c r="CX121" s="189" t="s">
        <v>3726</v>
      </c>
      <c r="CY121" s="190"/>
      <c r="CZ121" s="190"/>
      <c r="DA121" s="190"/>
      <c r="DB121" s="190"/>
      <c r="DC121" s="619"/>
      <c r="DD121" s="190" t="s">
        <v>2556</v>
      </c>
      <c r="DE121" s="190"/>
      <c r="DF121" s="190"/>
      <c r="DG121" s="190"/>
      <c r="DH121" s="190"/>
      <c r="DI121" s="619"/>
      <c r="DJ121" s="645">
        <v>0</v>
      </c>
      <c r="DK121" s="520"/>
      <c r="DL121" s="520"/>
    </row>
    <row r="122" spans="7:116" ht="17.25" thickBot="1">
      <c r="H122" s="532" t="str">
        <f>數量計算!F81</f>
        <v>搶修案</v>
      </c>
      <c r="I122" s="533" t="str">
        <f>IF(數量計算!$I$81="L型","L型",
IF(數量計算!$I$81="S型","S型"))</f>
        <v>S型</v>
      </c>
      <c r="J122" s="533" t="str">
        <f>IF(數量計算!$J$81="15cm","15cm",
IF(數量計算!$J$81="13cm","13cm"))</f>
        <v>15cm</v>
      </c>
      <c r="K122" s="533" t="str">
        <f>IF(數量計算!$J$85="場鑄","場鑄",
IF(數量計算!$J$85="預鑄","預鑄"))</f>
        <v>場鑄</v>
      </c>
      <c r="L122" s="533" t="str">
        <f>數量計算!K81</f>
        <v>80cm</v>
      </c>
      <c r="M122" s="533" t="str">
        <f>數量計算!J83</f>
        <v>40cm</v>
      </c>
      <c r="N122" s="533" t="str">
        <f>數量計算!K83</f>
        <v>一般型</v>
      </c>
      <c r="O122" s="534" t="str">
        <f>數量計算!G81</f>
        <v>更新</v>
      </c>
      <c r="P122" s="534" t="str">
        <f>數量計算!K85</f>
        <v>無標線</v>
      </c>
      <c r="Q122" s="534" t="str">
        <f>IF($L$122="70cm","0.7",
IF($L$122="80cm","0.8",
IF($L$122="90cm","0.9",
IF($L$122="100cm","1.0",))))</f>
        <v>0.8</v>
      </c>
      <c r="R122" s="534" t="str">
        <f>IF($J$122="13cm","0.13",
IF($J$122="15cm","0.15"))</f>
        <v>0.15</v>
      </c>
      <c r="S122" s="534" t="str">
        <f>IF($M$122="40cm","0.45*0.65",
IF($M$122="50cm","0.55*0.65",
IF($M$122="60cm","0.65*0.65")))</f>
        <v>0.45*0.65</v>
      </c>
      <c r="T122" s="535" t="str">
        <f>IF($M$122="40cm","0.45+0.65",
IF($M$122="50cm","0.55+0.65",
IF($M$122="60cm","0.65+0.65")))</f>
        <v>0.45+0.65</v>
      </c>
      <c r="U122" s="283" t="s">
        <v>2</v>
      </c>
      <c r="V122" s="530" t="str">
        <f>IF($I$122="L型","L1",
IF($I$122="S型","S1"))</f>
        <v>S1</v>
      </c>
      <c r="W122" s="531">
        <f>ROUND(IF(AND($I$122="S型",$J$122="13cm"),W129,
IF(AND($I$122="S型",$J$122="15cm"),W130,
IF(AND($I$122="L型",$J$122="13cm"),W131,
IF(AND($I$122="L型",$J$122="15cm"),W132)))),2)</f>
        <v>80</v>
      </c>
      <c r="X122" s="531">
        <f>ROUND(IF(AND($I$122="S型",$J$122="13cm"),X129,
IF(AND($I$122="S型",$J$122="15cm"),X130,
IF(AND($I$122="L型",$J$122="13cm"),X131,
IF(AND($I$122="L型",$J$122="15cm"),X132)))),2)</f>
        <v>14.15</v>
      </c>
      <c r="Y122" s="531">
        <f>ROUND(IF(AND($I$122="S型",$J$122="13cm"),Y129,
IF(AND($I$122="S型",$J$122="15cm"),Y130,
IF(AND($I$122="L型",$J$122="13cm"),Y131,
IF(AND($I$122="L型",$J$122="15cm"),Y132)))),2)</f>
        <v>9.94</v>
      </c>
      <c r="Z122" s="531">
        <f>ROUND(IF(AND($I$122="S型",$J$122="13cm"),Z129,
IF(AND($I$122="S型",$J$122="15cm"),Z130,
IF(AND($I$122="L型",$J$122="13cm"),Z131,
IF(AND($I$122="L型",$J$122="15cm"),Z132)))),2)</f>
        <v>0</v>
      </c>
      <c r="AA122" s="531">
        <f>ROUND(IF(AND($I$122="S型",$J$122="13cm"),AA129,
IF(AND($I$122="S型",$J$122="15cm"),AA130,
IF(AND($I$122="L型",$J$122="13cm"),AA131,
IF(AND($I$122="L型",$J$122="15cm"),AA132)))),2)</f>
        <v>0</v>
      </c>
      <c r="AB122" s="529"/>
      <c r="AC122" s="529"/>
      <c r="AD122" s="529"/>
      <c r="AE122" s="529"/>
      <c r="AF122" s="531">
        <f>ROUND(IF(AND($I$122="S型",$J$122="13cm"),AB129,
IF(AND($I$122="S型",$J$122="15cm"),AB130,
IF(AND($I$122="L型",$J$122="13cm"),AB131,
IF(AND($I$122="L型",$J$122="15cm"),AB132)))),2)</f>
        <v>0</v>
      </c>
      <c r="AG122" s="531">
        <f>ROUND(IF(AND($I$122="S型",$J$122="13cm"),AC129,
IF(AND($I$122="S型",$J$122="15cm"),AC130,
IF(AND($I$122="L型",$J$122="13cm"),AC131,
IF(AND($I$122="L型",$J$122="15cm"),AC132)))),2)</f>
        <v>24.09</v>
      </c>
      <c r="AH122" s="531">
        <f>AF122+AG122</f>
        <v>24.09</v>
      </c>
      <c r="CD122" s="184"/>
      <c r="CE122" s="184"/>
      <c r="CF122" s="184"/>
      <c r="CG122" s="184"/>
      <c r="CH122" s="184"/>
      <c r="CI122" s="184"/>
      <c r="CJ122" s="184"/>
      <c r="CK122" s="189" t="str">
        <f>$CG$4</f>
        <v>(7*5.3)</v>
      </c>
      <c r="CL122" s="190"/>
      <c r="CM122" s="190"/>
      <c r="CN122" s="190"/>
      <c r="CO122" s="190"/>
      <c r="CP122" s="619"/>
      <c r="CQ122" s="190" t="s">
        <v>465</v>
      </c>
      <c r="CR122" s="190"/>
      <c r="CS122" s="190"/>
      <c r="CT122" s="190"/>
      <c r="CU122" s="190"/>
      <c r="CV122" s="619"/>
      <c r="CW122" s="647">
        <v>0</v>
      </c>
      <c r="CX122" s="189" t="str">
        <f>$CG$4</f>
        <v>(7*5.3)</v>
      </c>
      <c r="CY122" s="190"/>
      <c r="CZ122" s="190"/>
      <c r="DA122" s="190"/>
      <c r="DB122" s="190"/>
      <c r="DC122" s="619"/>
      <c r="DD122" s="190" t="s">
        <v>465</v>
      </c>
      <c r="DE122" s="190"/>
      <c r="DF122" s="190"/>
      <c r="DG122" s="190"/>
      <c r="DH122" s="190"/>
      <c r="DI122" s="619"/>
      <c r="DJ122" s="645">
        <v>0</v>
      </c>
      <c r="DK122" s="520"/>
      <c r="DL122" s="520"/>
    </row>
    <row r="123" spans="7:116" ht="17.25" thickBot="1">
      <c r="H123" s="282"/>
      <c r="I123" s="282"/>
      <c r="J123" s="282"/>
      <c r="K123" s="282"/>
      <c r="L123" s="282"/>
      <c r="M123" s="282"/>
      <c r="N123" s="282"/>
      <c r="O123" s="282"/>
      <c r="P123" s="282"/>
      <c r="Q123" s="282"/>
      <c r="R123" s="282"/>
      <c r="S123" s="282"/>
      <c r="T123" s="282"/>
      <c r="U123" s="282"/>
      <c r="V123" s="284"/>
      <c r="W123" s="284"/>
      <c r="X123" s="284"/>
      <c r="Y123" s="284"/>
      <c r="Z123" s="284"/>
      <c r="AA123" s="284"/>
      <c r="AB123" s="284"/>
      <c r="AC123" s="284"/>
      <c r="AD123" s="284"/>
      <c r="AE123" s="284"/>
      <c r="AF123" s="284"/>
      <c r="AG123" s="284"/>
      <c r="AH123" s="284"/>
      <c r="CD123" s="184"/>
      <c r="CE123" s="184"/>
      <c r="CF123" s="184"/>
      <c r="CG123" s="184"/>
      <c r="CH123" s="184"/>
      <c r="CI123" s="184"/>
      <c r="CJ123" s="184"/>
      <c r="CK123" s="189" t="s">
        <v>578</v>
      </c>
      <c r="CL123" s="190"/>
      <c r="CM123" s="190"/>
      <c r="CN123" s="190"/>
      <c r="CO123" s="190"/>
      <c r="CP123" s="619"/>
      <c r="CQ123" s="189" t="s">
        <v>578</v>
      </c>
      <c r="CR123" s="190"/>
      <c r="CS123" s="190"/>
      <c r="CT123" s="190"/>
      <c r="CU123" s="190"/>
      <c r="CV123" s="619"/>
      <c r="CW123" s="647">
        <v>0</v>
      </c>
      <c r="CX123" s="189" t="s">
        <v>578</v>
      </c>
      <c r="CY123" s="190"/>
      <c r="CZ123" s="190"/>
      <c r="DA123" s="190"/>
      <c r="DB123" s="190"/>
      <c r="DC123" s="619"/>
      <c r="DD123" s="189" t="s">
        <v>578</v>
      </c>
      <c r="DE123" s="190"/>
      <c r="DF123" s="190"/>
      <c r="DG123" s="190"/>
      <c r="DH123" s="190"/>
      <c r="DI123" s="619"/>
      <c r="DJ123" s="645">
        <v>0</v>
      </c>
      <c r="DK123" s="520"/>
      <c r="DL123" s="520"/>
    </row>
    <row r="124" spans="7:116" ht="17.25" thickBot="1">
      <c r="H124" s="285" t="str">
        <f>IF($K$122="場鑄",W143,W165)</f>
        <v>S1 15cm 頂板寬80cm  場鑄拆除</v>
      </c>
      <c r="I124" s="286"/>
      <c r="J124" s="286"/>
      <c r="K124" s="286"/>
      <c r="L124" s="287"/>
      <c r="M124" s="287"/>
      <c r="N124" s="287"/>
      <c r="O124" s="288"/>
      <c r="P124" s="289" t="s">
        <v>3832</v>
      </c>
      <c r="Q124" s="290" t="s">
        <v>3833</v>
      </c>
      <c r="R124" s="291" t="s">
        <v>3834</v>
      </c>
      <c r="S124" s="292" t="s">
        <v>3835</v>
      </c>
      <c r="T124" s="293"/>
      <c r="U124" s="293"/>
      <c r="V124" s="528" t="s">
        <v>3852</v>
      </c>
      <c r="W124" s="529" t="str">
        <f t="shared" ref="W124:AE124" si="10">W134</f>
        <v>頂板寬</v>
      </c>
      <c r="X124" s="529" t="str">
        <f t="shared" si="10"/>
        <v>格柵</v>
      </c>
      <c r="Y124" s="529" t="str">
        <f t="shared" si="10"/>
        <v>a</v>
      </c>
      <c r="Z124" s="529" t="str">
        <f t="shared" si="10"/>
        <v>b</v>
      </c>
      <c r="AA124" s="529" t="str">
        <f t="shared" si="10"/>
        <v>c</v>
      </c>
      <c r="AB124" s="529" t="str">
        <f t="shared" si="10"/>
        <v>d</v>
      </c>
      <c r="AC124" s="529" t="str">
        <f t="shared" si="10"/>
        <v>e</v>
      </c>
      <c r="AD124" s="529" t="str">
        <f t="shared" si="10"/>
        <v>f</v>
      </c>
      <c r="AE124" s="529" t="str">
        <f t="shared" si="10"/>
        <v>g</v>
      </c>
      <c r="AF124" s="531" t="s">
        <v>3860</v>
      </c>
      <c r="AG124" s="531" t="s">
        <v>3861</v>
      </c>
      <c r="AH124" s="531" t="s">
        <v>3862</v>
      </c>
      <c r="CD124" s="184"/>
      <c r="CE124" s="184"/>
      <c r="CF124" s="184"/>
      <c r="CG124" s="184"/>
      <c r="CH124" s="184"/>
      <c r="CI124" s="184"/>
      <c r="CJ124" s="184"/>
      <c r="CK124" s="189" t="str">
        <f>"("&amp;$CG$4&amp;")*0.05"</f>
        <v>((7*5.3))*0.05</v>
      </c>
      <c r="CL124" s="190"/>
      <c r="CM124" s="190"/>
      <c r="CN124" s="190"/>
      <c r="CO124" s="190"/>
      <c r="CP124" s="619"/>
      <c r="CQ124" s="190" t="str">
        <f>"("&amp;$CG$4&amp;")*0.05"</f>
        <v>((7*5.3))*0.05</v>
      </c>
      <c r="CR124" s="190"/>
      <c r="CS124" s="190"/>
      <c r="CT124" s="190"/>
      <c r="CU124" s="190"/>
      <c r="CV124" s="619"/>
      <c r="CW124" s="647">
        <v>0</v>
      </c>
      <c r="CX124" s="189" t="str">
        <f>"("&amp;$CG$4&amp;")*0.1"</f>
        <v>((7*5.3))*0.1</v>
      </c>
      <c r="CY124" s="190"/>
      <c r="CZ124" s="190"/>
      <c r="DA124" s="190"/>
      <c r="DB124" s="190"/>
      <c r="DC124" s="619"/>
      <c r="DD124" s="190" t="str">
        <f>"("&amp;$CG$4&amp;")*0.1"</f>
        <v>((7*5.3))*0.1</v>
      </c>
      <c r="DE124" s="190"/>
      <c r="DF124" s="190"/>
      <c r="DG124" s="190"/>
      <c r="DH124" s="190"/>
      <c r="DI124" s="619"/>
      <c r="DJ124" s="645">
        <v>0</v>
      </c>
      <c r="DK124" s="520"/>
      <c r="DL124" s="520"/>
    </row>
    <row r="125" spans="7:116">
      <c r="H125" s="294" t="str">
        <f t="shared" ref="H125:H138" si="11">IF($H$122="搶修案",W168,
IF(W168=0," ",
IF(AND($H$122="一般案",$K$122="場鑄",W144&lt;&gt;0),W144,
IF(W144=0," ",
IF(AND($H$122="一般案",$K$122="預鑄",W166&lt;&gt;0),W166,
IF(W166=0," ",
))))))</f>
        <v>餘方自行處理(含水土保持)，總重15t以下傾卸貨車</v>
      </c>
      <c r="I125" s="295"/>
      <c r="J125" s="295"/>
      <c r="K125" s="295"/>
      <c r="L125" s="291"/>
      <c r="M125" s="291"/>
      <c r="N125" s="291"/>
      <c r="O125" s="291"/>
      <c r="P125" s="291"/>
      <c r="Q125" s="291"/>
      <c r="R125" s="296"/>
      <c r="S125" s="292"/>
      <c r="T125" s="293"/>
      <c r="U125" s="293"/>
      <c r="V125" s="530" t="str">
        <f>IF($I$122="L型","L2",
IF($I$122="S型","S2"))</f>
        <v>S2</v>
      </c>
      <c r="W125" s="531">
        <f t="shared" ref="W125:AE125" si="12">ROUND(IF(AND($I$122="S型",$J$122="13cm"),W135,
IF(AND($I$122="S型",$J$122="15cm"),W136,
IF(AND($I$122="L型",$J$122="13cm"),W137,
IF(AND($I$122="L型",$J$122="15cm"),W138)))),2)</f>
        <v>80</v>
      </c>
      <c r="X125" s="531">
        <f t="shared" si="12"/>
        <v>40</v>
      </c>
      <c r="Y125" s="531">
        <f t="shared" si="12"/>
        <v>3.95</v>
      </c>
      <c r="Z125" s="531">
        <f t="shared" si="12"/>
        <v>3.37</v>
      </c>
      <c r="AA125" s="531">
        <f t="shared" si="12"/>
        <v>7.36</v>
      </c>
      <c r="AB125" s="531">
        <f t="shared" si="12"/>
        <v>7.36</v>
      </c>
      <c r="AC125" s="531">
        <f t="shared" si="12"/>
        <v>0.39</v>
      </c>
      <c r="AD125" s="531">
        <f t="shared" si="12"/>
        <v>0</v>
      </c>
      <c r="AE125" s="531">
        <f t="shared" si="12"/>
        <v>0</v>
      </c>
      <c r="AF125" s="531">
        <f>ROUND(IF(AND($I$122="S型",$J$122="13cm"),AG135,
IF(AND($I$122="S型",$J$122="15cm"),AG136,
IF(AND($I$122="L型",$J$122="13cm"),AG137,
IF(AND($I$122="L型",$J$122="15cm"),AG138)))),2)</f>
        <v>7.71</v>
      </c>
      <c r="AG125" s="531">
        <f>ROUND(IF(AND($I$122="S型",$J$122="13cm"),AH135,
IF(AND($I$122="S型",$J$122="15cm"),AH136,
IF(AND($I$122="L型",$J$122="13cm"),AH137,
IF(AND($I$122="L型",$J$122="15cm"),AH138)))),2)</f>
        <v>25.85</v>
      </c>
      <c r="AH125" s="531">
        <f>AF125+AG125</f>
        <v>33.56</v>
      </c>
      <c r="CD125" s="184"/>
      <c r="CE125" s="184"/>
      <c r="CF125" s="184"/>
      <c r="CG125" s="184"/>
      <c r="CH125" s="184"/>
      <c r="CI125" s="184"/>
      <c r="CJ125" s="184"/>
      <c r="CK125" s="189" t="s">
        <v>1149</v>
      </c>
      <c r="CL125" s="190"/>
      <c r="CM125" s="190"/>
      <c r="CN125" s="190"/>
      <c r="CO125" s="190"/>
      <c r="CP125" s="619"/>
      <c r="CQ125" s="190" t="str">
        <f>IF($CH$5&lt;50,"瀝青混凝土舖面，舖築及滾壓，緊急搶修工程用，鋪設面積≦50m2適用","瀝青混凝土舖面，舖築及滾壓，緊急搶修工程用，鋪設面積＞50m2適用")</f>
        <v>瀝青混凝土舖面，舖築及滾壓，緊急搶修工程用，鋪設面積≦50m2適用</v>
      </c>
      <c r="CR125" s="190"/>
      <c r="CS125" s="190"/>
      <c r="CT125" s="190"/>
      <c r="CU125" s="190"/>
      <c r="CV125" s="619"/>
      <c r="CW125" s="647">
        <v>0</v>
      </c>
      <c r="CX125" s="189" t="s">
        <v>1149</v>
      </c>
      <c r="CY125" s="190"/>
      <c r="CZ125" s="190"/>
      <c r="DA125" s="190"/>
      <c r="DB125" s="190"/>
      <c r="DC125" s="619"/>
      <c r="DD125" s="190" t="str">
        <f>IF($CH$5&lt;50,"瀝青混凝土舖面，舖築及滾壓，緊急搶修工程用，鋪設面積≦50m2適用","瀝青混凝土舖面，舖築及滾壓，緊急搶修工程用，鋪設面積＞50m2適用")</f>
        <v>瀝青混凝土舖面，舖築及滾壓，緊急搶修工程用，鋪設面積≦50m2適用</v>
      </c>
      <c r="DE125" s="190"/>
      <c r="DF125" s="190"/>
      <c r="DG125" s="190"/>
      <c r="DH125" s="190"/>
      <c r="DI125" s="619"/>
      <c r="DJ125" s="645">
        <v>0</v>
      </c>
      <c r="DK125" s="520"/>
      <c r="DL125" s="520"/>
    </row>
    <row r="126" spans="7:116">
      <c r="H126" s="297" t="str">
        <f t="shared" si="11"/>
        <v>(0.8*0.15)</v>
      </c>
      <c r="I126" s="298"/>
      <c r="J126" s="298"/>
      <c r="K126" s="298"/>
      <c r="L126" s="299"/>
      <c r="M126" s="299"/>
      <c r="N126" s="299"/>
      <c r="O126" s="299"/>
      <c r="P126" s="299" t="e">
        <f t="array" ref="P126">cal</f>
        <v>#REF!</v>
      </c>
      <c r="Q126" s="299" t="e">
        <v>#REF!</v>
      </c>
      <c r="R126" s="300" t="e">
        <v>#REF!</v>
      </c>
      <c r="S126" s="301" t="e">
        <f>ROUND(IF(P126=0,"",P126*R126),2)</f>
        <v>#REF!</v>
      </c>
      <c r="T126" s="293"/>
      <c r="U126" s="293"/>
      <c r="V126" s="293"/>
      <c r="W126" s="293"/>
      <c r="X126" s="293"/>
      <c r="Y126" s="293"/>
      <c r="Z126" s="293"/>
      <c r="AA126" s="293"/>
      <c r="AB126" s="293"/>
      <c r="AC126" s="293"/>
      <c r="AD126" s="293"/>
      <c r="AE126" s="293"/>
      <c r="AF126" s="293"/>
      <c r="AG126" s="293"/>
      <c r="AH126" s="293"/>
      <c r="CD126" s="184"/>
      <c r="CE126" s="184"/>
      <c r="CF126" s="184"/>
      <c r="CG126" s="184"/>
      <c r="CH126" s="184"/>
      <c r="CI126" s="184"/>
      <c r="CJ126" s="184"/>
      <c r="CK126" s="189" t="str">
        <f>$CG$4</f>
        <v>(7*5.3)</v>
      </c>
      <c r="CL126" s="190"/>
      <c r="CM126" s="190"/>
      <c r="CN126" s="190"/>
      <c r="CO126" s="190"/>
      <c r="CP126" s="619"/>
      <c r="CQ126" s="190" t="s">
        <v>465</v>
      </c>
      <c r="CR126" s="190"/>
      <c r="CS126" s="190"/>
      <c r="CT126" s="190"/>
      <c r="CU126" s="190"/>
      <c r="CV126" s="619"/>
      <c r="CW126" s="647">
        <v>0</v>
      </c>
      <c r="CX126" s="189" t="str">
        <f>$CG$4&amp;"*2"</f>
        <v>(7*5.3)*2</v>
      </c>
      <c r="CY126" s="190"/>
      <c r="CZ126" s="190"/>
      <c r="DA126" s="190"/>
      <c r="DB126" s="190"/>
      <c r="DC126" s="619"/>
      <c r="DD126" s="190" t="s">
        <v>465</v>
      </c>
      <c r="DE126" s="190"/>
      <c r="DF126" s="190"/>
      <c r="DG126" s="190"/>
      <c r="DH126" s="190"/>
      <c r="DI126" s="619"/>
      <c r="DJ126" s="645">
        <v>0</v>
      </c>
      <c r="DK126" s="520"/>
      <c r="DL126" s="520"/>
    </row>
    <row r="127" spans="7:116">
      <c r="H127" s="297" t="str">
        <f t="shared" si="11"/>
        <v>結構用混凝土，預拌，280kgf/cm2</v>
      </c>
      <c r="I127" s="298"/>
      <c r="J127" s="298"/>
      <c r="K127" s="298"/>
      <c r="L127" s="299"/>
      <c r="M127" s="299"/>
      <c r="N127" s="299"/>
      <c r="O127" s="299"/>
      <c r="P127" s="299"/>
      <c r="Q127" s="299"/>
      <c r="R127" s="300"/>
      <c r="S127" s="301"/>
      <c r="T127" s="293"/>
      <c r="U127" s="293"/>
      <c r="V127" s="293"/>
      <c r="W127" s="293"/>
      <c r="X127" s="293"/>
      <c r="Y127" s="293"/>
      <c r="Z127" s="293"/>
      <c r="AA127" s="293"/>
      <c r="AB127" s="293"/>
      <c r="AC127" s="293"/>
      <c r="AD127" s="293"/>
      <c r="AE127" s="293"/>
      <c r="AF127" s="293"/>
      <c r="AG127" s="293"/>
      <c r="AH127" s="293"/>
      <c r="AM127" s="192"/>
      <c r="AN127" s="192"/>
      <c r="AO127" s="192"/>
      <c r="CD127" s="184"/>
      <c r="CE127" s="184"/>
      <c r="CF127" s="184"/>
      <c r="CG127" s="184"/>
      <c r="CH127" s="184"/>
      <c r="CI127" s="184"/>
      <c r="CJ127" s="184"/>
      <c r="CK127" s="189" t="s">
        <v>3639</v>
      </c>
      <c r="CL127" s="190"/>
      <c r="CM127" s="190"/>
      <c r="CN127" s="190"/>
      <c r="CO127" s="190"/>
      <c r="CP127" s="619"/>
      <c r="CQ127" s="190" t="s">
        <v>2972</v>
      </c>
      <c r="CR127" s="190"/>
      <c r="CS127" s="190"/>
      <c r="CT127" s="190"/>
      <c r="CU127" s="190"/>
      <c r="CV127" s="619"/>
      <c r="CW127" s="647">
        <v>0</v>
      </c>
      <c r="CX127" s="189" t="s">
        <v>3639</v>
      </c>
      <c r="CY127" s="190"/>
      <c r="CZ127" s="190"/>
      <c r="DA127" s="190"/>
      <c r="DB127" s="190"/>
      <c r="DC127" s="619"/>
      <c r="DD127" s="190" t="s">
        <v>2971</v>
      </c>
      <c r="DE127" s="190"/>
      <c r="DF127" s="190"/>
      <c r="DG127" s="190"/>
      <c r="DH127" s="190"/>
      <c r="DI127" s="619"/>
      <c r="DJ127" s="645">
        <v>0</v>
      </c>
      <c r="DK127" s="520"/>
      <c r="DL127" s="520"/>
    </row>
    <row r="128" spans="7:116">
      <c r="H128" s="297" t="str">
        <f t="shared" si="11"/>
        <v>(0.8*0.15)</v>
      </c>
      <c r="I128" s="298"/>
      <c r="J128" s="298"/>
      <c r="K128" s="298"/>
      <c r="L128" s="299"/>
      <c r="M128" s="299"/>
      <c r="N128" s="299"/>
      <c r="O128" s="299"/>
      <c r="P128" s="299" t="e">
        <f t="array" ref="P128">cal</f>
        <v>#REF!</v>
      </c>
      <c r="Q128" s="299" t="e">
        <v>#REF!</v>
      </c>
      <c r="R128" s="300" t="e">
        <v>#REF!</v>
      </c>
      <c r="S128" s="301" t="e">
        <f>ROUND(IF(P128=0,"",P128*R128),2)</f>
        <v>#REF!</v>
      </c>
      <c r="T128" s="293"/>
      <c r="U128" s="293"/>
      <c r="V128" s="536"/>
      <c r="W128" s="536" t="s">
        <v>3848</v>
      </c>
      <c r="X128" s="530">
        <v>1</v>
      </c>
      <c r="Y128" s="530">
        <v>2</v>
      </c>
      <c r="Z128" s="530" t="s">
        <v>3863</v>
      </c>
      <c r="AA128" s="530" t="s">
        <v>3864</v>
      </c>
      <c r="AB128" s="536" t="s">
        <v>3860</v>
      </c>
      <c r="AC128" s="536" t="s">
        <v>3861</v>
      </c>
      <c r="AD128" s="302"/>
      <c r="AE128" s="293"/>
      <c r="AF128" s="293"/>
      <c r="AG128" s="293"/>
      <c r="AH128" s="293"/>
      <c r="AM128" s="192"/>
      <c r="AN128" s="192"/>
      <c r="AO128" s="192"/>
      <c r="CD128" s="184"/>
      <c r="CE128" s="184"/>
      <c r="CF128" s="184"/>
      <c r="CG128" s="184"/>
      <c r="CH128" s="184"/>
      <c r="CI128" s="184"/>
      <c r="CJ128" s="184"/>
      <c r="CK128" s="189" t="str">
        <f>"("&amp;$CG$4&amp;")*0.05"</f>
        <v>((7*5.3))*0.05</v>
      </c>
      <c r="CL128" s="190"/>
      <c r="CM128" s="190"/>
      <c r="CN128" s="190"/>
      <c r="CO128" s="190"/>
      <c r="CP128" s="619"/>
      <c r="CQ128" s="190" t="str">
        <f>"("&amp;$CG$4&amp;")*0.05"</f>
        <v>((7*5.3))*0.05</v>
      </c>
      <c r="CR128" s="190"/>
      <c r="CS128" s="190"/>
      <c r="CT128" s="190"/>
      <c r="CU128" s="190"/>
      <c r="CV128" s="619"/>
      <c r="CW128" s="647">
        <v>0</v>
      </c>
      <c r="CX128" s="189" t="str">
        <f>"("&amp;$CG$4&amp;")*0.05"</f>
        <v>((7*5.3))*0.05</v>
      </c>
      <c r="CY128" s="190"/>
      <c r="CZ128" s="190"/>
      <c r="DA128" s="190"/>
      <c r="DB128" s="190"/>
      <c r="DC128" s="619"/>
      <c r="DD128" s="190" t="str">
        <f>"("&amp;$CG$4&amp;")*0.05"</f>
        <v>((7*5.3))*0.05</v>
      </c>
      <c r="DE128" s="190"/>
      <c r="DF128" s="190"/>
      <c r="DG128" s="190"/>
      <c r="DH128" s="190"/>
      <c r="DI128" s="619"/>
      <c r="DJ128" s="645">
        <v>0</v>
      </c>
      <c r="DK128" s="520"/>
      <c r="DL128" s="520"/>
    </row>
    <row r="129" spans="8:116">
      <c r="H129" s="297" t="str">
        <f t="shared" si="11"/>
        <v>鋼筋，SD280W.</v>
      </c>
      <c r="I129" s="298"/>
      <c r="J129" s="298"/>
      <c r="K129" s="298"/>
      <c r="L129" s="299"/>
      <c r="M129" s="299"/>
      <c r="N129" s="299"/>
      <c r="O129" s="299"/>
      <c r="P129" s="299"/>
      <c r="Q129" s="299"/>
      <c r="R129" s="300"/>
      <c r="S129" s="301"/>
      <c r="T129" s="293"/>
      <c r="U129" s="293"/>
      <c r="V129" s="536" t="s">
        <v>3865</v>
      </c>
      <c r="W129" s="537" t="str">
        <f>IF($L$122="70cm","70",
IF($L$122="80cm","80",
IF($L$122="90cm","90",
IF($L$122="100cm","100"))))</f>
        <v>80</v>
      </c>
      <c r="X129" s="538">
        <f>(W129-10)*0.01*0.994*10</f>
        <v>6.9580000000000011</v>
      </c>
      <c r="Y129" s="538">
        <v>4.97</v>
      </c>
      <c r="Z129" s="538"/>
      <c r="AA129" s="538"/>
      <c r="AB129" s="538"/>
      <c r="AC129" s="538">
        <f>Y129+X129</f>
        <v>11.928000000000001</v>
      </c>
      <c r="AD129" s="303"/>
      <c r="AE129" s="293"/>
      <c r="AF129" s="293"/>
      <c r="AG129" s="293"/>
      <c r="AH129" s="293"/>
      <c r="AM129" s="192"/>
      <c r="AN129" s="192"/>
      <c r="AO129" s="192"/>
      <c r="BG129" s="271"/>
      <c r="BH129" s="254"/>
      <c r="BI129" s="239"/>
      <c r="BJ129" s="304"/>
      <c r="BK129" s="239"/>
      <c r="BM129" s="257"/>
      <c r="CD129" s="184"/>
      <c r="CE129" s="184"/>
      <c r="CF129" s="184"/>
      <c r="CG129" s="184"/>
      <c r="CH129" s="184"/>
      <c r="CI129" s="184"/>
      <c r="CJ129" s="184"/>
      <c r="CK129" s="189" t="s">
        <v>2954</v>
      </c>
      <c r="CL129" s="190"/>
      <c r="CM129" s="190"/>
      <c r="CN129" s="190"/>
      <c r="CO129" s="190"/>
      <c r="CP129" s="619"/>
      <c r="CQ129" s="190" t="s">
        <v>1149</v>
      </c>
      <c r="CR129" s="190"/>
      <c r="CS129" s="190"/>
      <c r="CT129" s="190"/>
      <c r="CU129" s="190"/>
      <c r="CV129" s="619"/>
      <c r="CW129" s="647">
        <v>0</v>
      </c>
      <c r="CX129" s="189" t="s">
        <v>3640</v>
      </c>
      <c r="CY129" s="190"/>
      <c r="CZ129" s="190"/>
      <c r="DA129" s="190"/>
      <c r="DB129" s="190"/>
      <c r="DC129" s="619"/>
      <c r="DD129" s="190" t="s">
        <v>2896</v>
      </c>
      <c r="DE129" s="190"/>
      <c r="DF129" s="190"/>
      <c r="DG129" s="190"/>
      <c r="DH129" s="190"/>
      <c r="DI129" s="619"/>
      <c r="DJ129" s="645">
        <v>0</v>
      </c>
      <c r="DK129" s="520"/>
      <c r="DL129" s="520"/>
    </row>
    <row r="130" spans="8:116">
      <c r="H130" s="297">
        <f t="shared" si="11"/>
        <v>24.09</v>
      </c>
      <c r="I130" s="298"/>
      <c r="J130" s="298"/>
      <c r="K130" s="298"/>
      <c r="L130" s="299"/>
      <c r="M130" s="299"/>
      <c r="N130" s="299"/>
      <c r="O130" s="299"/>
      <c r="P130" s="299" t="e">
        <f t="array" ref="P130">cal</f>
        <v>#REF!</v>
      </c>
      <c r="Q130" s="299" t="e">
        <v>#REF!</v>
      </c>
      <c r="R130" s="300" t="e">
        <v>#REF!</v>
      </c>
      <c r="S130" s="301" t="e">
        <f>ROUND(IF(P130=0,"",P130*R130),2)</f>
        <v>#REF!</v>
      </c>
      <c r="T130" s="293"/>
      <c r="U130" s="293"/>
      <c r="V130" s="536" t="s">
        <v>3866</v>
      </c>
      <c r="W130" s="537" t="str">
        <f>IF($L$122="70cm","70",
IF($L$122="80cm","80",
IF($L$122="90cm","90",
IF($L$122="100cm","100"))))</f>
        <v>80</v>
      </c>
      <c r="X130" s="538">
        <f>((W130-6)*2+10*3)*0.01*8*0.994</f>
        <v>14.15456</v>
      </c>
      <c r="Y130" s="538">
        <v>9.94</v>
      </c>
      <c r="Z130" s="539"/>
      <c r="AA130" s="539"/>
      <c r="AB130" s="539"/>
      <c r="AC130" s="538">
        <f>Y130+X130</f>
        <v>24.094560000000001</v>
      </c>
      <c r="AD130" s="303"/>
      <c r="AE130" s="293"/>
      <c r="AF130" s="293"/>
      <c r="AG130" s="293"/>
      <c r="AH130" s="293"/>
      <c r="AM130" s="192"/>
      <c r="AN130" s="192"/>
      <c r="AO130" s="192"/>
      <c r="CD130" s="184"/>
      <c r="CE130" s="184"/>
      <c r="CF130" s="184"/>
      <c r="CG130" s="184"/>
      <c r="CH130" s="184"/>
      <c r="CI130" s="184"/>
      <c r="CJ130" s="184"/>
      <c r="CK130" s="635">
        <v>1</v>
      </c>
      <c r="CL130" s="190"/>
      <c r="CM130" s="190"/>
      <c r="CN130" s="190"/>
      <c r="CO130" s="190"/>
      <c r="CP130" s="619"/>
      <c r="CQ130" s="190" t="str">
        <f>$CG$4</f>
        <v>(7*5.3)</v>
      </c>
      <c r="CR130" s="190"/>
      <c r="CS130" s="190"/>
      <c r="CT130" s="190"/>
      <c r="CU130" s="190"/>
      <c r="CV130" s="619"/>
      <c r="CW130" s="647">
        <v>0</v>
      </c>
      <c r="CX130" s="189" t="str">
        <f>"("&amp;$CG$4&amp;")*0.05"</f>
        <v>((7*5.3))*0.05</v>
      </c>
      <c r="CY130" s="190"/>
      <c r="CZ130" s="190"/>
      <c r="DA130" s="190"/>
      <c r="DB130" s="190"/>
      <c r="DC130" s="619"/>
      <c r="DD130" s="190" t="str">
        <f>"("&amp;$CG$4&amp;")*0.05"</f>
        <v>((7*5.3))*0.05</v>
      </c>
      <c r="DE130" s="190"/>
      <c r="DF130" s="190"/>
      <c r="DG130" s="190"/>
      <c r="DH130" s="190"/>
      <c r="DI130" s="619"/>
      <c r="DJ130" s="645">
        <v>0</v>
      </c>
      <c r="DK130" s="520"/>
      <c r="DL130" s="520"/>
    </row>
    <row r="131" spans="8:116">
      <c r="H131" s="297" t="str">
        <f t="shared" si="11"/>
        <v>(免拆模板，鋼質)，厚3mm鋼模</v>
      </c>
      <c r="I131" s="298"/>
      <c r="J131" s="298"/>
      <c r="K131" s="298"/>
      <c r="L131" s="299"/>
      <c r="M131" s="299"/>
      <c r="N131" s="299"/>
      <c r="O131" s="299"/>
      <c r="P131" s="299"/>
      <c r="Q131" s="299"/>
      <c r="R131" s="300"/>
      <c r="S131" s="301"/>
      <c r="T131" s="293"/>
      <c r="U131" s="293"/>
      <c r="V131" s="536" t="s">
        <v>3867</v>
      </c>
      <c r="W131" s="537" t="str">
        <f>IF($L$122="70cm","70",
IF($L$122="80cm","80",
IF($L$122="90cm","90",
IF($L$122="100cm","100"))))</f>
        <v>80</v>
      </c>
      <c r="X131" s="538">
        <f>(W131-10)*0.01*10*0.994</f>
        <v>6.9580000000000011</v>
      </c>
      <c r="Y131" s="538">
        <v>4.97</v>
      </c>
      <c r="Z131" s="538">
        <v>3.22</v>
      </c>
      <c r="AA131" s="538">
        <v>2.06</v>
      </c>
      <c r="AB131" s="539"/>
      <c r="AC131" s="538">
        <f>X131+Y131+Z131+AA131</f>
        <v>17.208000000000002</v>
      </c>
      <c r="AD131" s="303"/>
      <c r="AE131" s="293"/>
      <c r="AF131" s="293"/>
      <c r="AG131" s="293"/>
      <c r="AH131" s="293"/>
      <c r="AM131" s="192"/>
      <c r="AN131" s="192"/>
      <c r="AO131" s="192"/>
      <c r="CD131" s="184"/>
      <c r="CE131" s="184"/>
      <c r="CF131" s="184"/>
      <c r="CG131" s="184"/>
      <c r="CH131" s="184"/>
      <c r="CI131" s="184"/>
      <c r="CJ131" s="184"/>
      <c r="CK131" s="636" t="s">
        <v>801</v>
      </c>
      <c r="CL131" s="190"/>
      <c r="CM131" s="190"/>
      <c r="CN131" s="190"/>
      <c r="CO131" s="190"/>
      <c r="CP131" s="619"/>
      <c r="CQ131" s="190" t="s">
        <v>2954</v>
      </c>
      <c r="CR131" s="190"/>
      <c r="CS131" s="190"/>
      <c r="CT131" s="190"/>
      <c r="CU131" s="190"/>
      <c r="CV131" s="619"/>
      <c r="CW131" s="647">
        <v>0</v>
      </c>
      <c r="CX131" s="189" t="s">
        <v>2954</v>
      </c>
      <c r="CY131" s="190"/>
      <c r="CZ131" s="190"/>
      <c r="DA131" s="190"/>
      <c r="DB131" s="190"/>
      <c r="DC131" s="619"/>
      <c r="DD131" s="189" t="s">
        <v>1149</v>
      </c>
      <c r="DE131" s="190"/>
      <c r="DF131" s="190"/>
      <c r="DG131" s="190"/>
      <c r="DH131" s="190"/>
      <c r="DI131" s="619"/>
      <c r="DJ131" s="645">
        <v>0</v>
      </c>
      <c r="DK131" s="520"/>
      <c r="DL131" s="520"/>
    </row>
    <row r="132" spans="8:116">
      <c r="H132" s="297" t="str">
        <f t="shared" si="11"/>
        <v>0.6*1</v>
      </c>
      <c r="I132" s="298"/>
      <c r="J132" s="298"/>
      <c r="K132" s="298"/>
      <c r="L132" s="299"/>
      <c r="M132" s="299"/>
      <c r="N132" s="299"/>
      <c r="O132" s="299"/>
      <c r="P132" s="299" t="e">
        <f t="array" ref="P132">cal</f>
        <v>#REF!</v>
      </c>
      <c r="Q132" s="299" t="e">
        <v>#REF!</v>
      </c>
      <c r="R132" s="300" t="e">
        <v>#REF!</v>
      </c>
      <c r="S132" s="301" t="e">
        <f>ROUND(IF(P132=0,"",P132*R132),2)</f>
        <v>#REF!</v>
      </c>
      <c r="T132" s="293"/>
      <c r="U132" s="293"/>
      <c r="V132" s="536" t="s">
        <v>3868</v>
      </c>
      <c r="W132" s="537" t="str">
        <f>IF($L$122="70cm","70",
IF($L$122="80cm","80",
IF($L$122="90cm","90",
IF($L$122="100cm","100"))))</f>
        <v>80</v>
      </c>
      <c r="X132" s="538">
        <f>((W132-6)*2+10*3)*0.01*8*0.994</f>
        <v>14.15456</v>
      </c>
      <c r="Y132" s="538">
        <v>9.94</v>
      </c>
      <c r="Z132" s="538">
        <v>4.0199999999999996</v>
      </c>
      <c r="AA132" s="538">
        <v>2.06</v>
      </c>
      <c r="AB132" s="539"/>
      <c r="AC132" s="538">
        <f>X132+Y132+Z132+AA132</f>
        <v>30.17456</v>
      </c>
      <c r="AD132" s="305"/>
      <c r="AE132" s="293"/>
      <c r="AF132" s="293"/>
      <c r="AG132" s="293"/>
      <c r="AH132" s="293"/>
      <c r="CD132" s="184"/>
      <c r="CE132" s="184"/>
      <c r="CF132" s="184"/>
      <c r="CG132" s="184"/>
      <c r="CH132" s="184"/>
      <c r="CI132" s="184"/>
      <c r="CJ132" s="184"/>
      <c r="CK132" s="692">
        <v>1</v>
      </c>
      <c r="CL132" s="190"/>
      <c r="CM132" s="190"/>
      <c r="CN132" s="190"/>
      <c r="CO132" s="190"/>
      <c r="CP132" s="619"/>
      <c r="CQ132" s="190" t="s">
        <v>465</v>
      </c>
      <c r="CR132" s="190"/>
      <c r="CS132" s="190"/>
      <c r="CT132" s="190"/>
      <c r="CU132" s="190"/>
      <c r="CV132" s="619"/>
      <c r="CW132" s="647">
        <v>0</v>
      </c>
      <c r="CX132" s="635">
        <v>1</v>
      </c>
      <c r="CY132" s="190"/>
      <c r="CZ132" s="190"/>
      <c r="DA132" s="190"/>
      <c r="DB132" s="190"/>
      <c r="DC132" s="619"/>
      <c r="DD132" s="190" t="str">
        <f>$CG$4&amp;"*2"</f>
        <v>(7*5.3)*2</v>
      </c>
      <c r="DE132" s="190"/>
      <c r="DF132" s="190"/>
      <c r="DG132" s="190"/>
      <c r="DH132" s="190"/>
      <c r="DI132" s="619"/>
      <c r="DJ132" s="645">
        <v>0</v>
      </c>
      <c r="DK132" s="520"/>
      <c r="DL132" s="520"/>
    </row>
    <row r="133" spans="8:116" ht="17.25" thickBot="1">
      <c r="H133" s="297" t="str">
        <f t="shared" si="11"/>
        <v>導線管，硬質聚氯乙烯塑膠管，標稱52mm，接線及安裝，含尼龍繩</v>
      </c>
      <c r="I133" s="298"/>
      <c r="J133" s="298"/>
      <c r="K133" s="298"/>
      <c r="L133" s="299"/>
      <c r="M133" s="299"/>
      <c r="N133" s="299"/>
      <c r="O133" s="299"/>
      <c r="P133" s="299"/>
      <c r="Q133" s="306"/>
      <c r="R133" s="300"/>
      <c r="S133" s="301"/>
      <c r="T133" s="293"/>
      <c r="U133" s="293"/>
      <c r="V133" s="282"/>
      <c r="W133" s="307"/>
      <c r="X133" s="308"/>
      <c r="Y133" s="308"/>
      <c r="Z133" s="308"/>
      <c r="AA133" s="308"/>
      <c r="AB133" s="308"/>
      <c r="AC133" s="308"/>
      <c r="AD133" s="303"/>
      <c r="AE133" s="293"/>
      <c r="AF133" s="293"/>
      <c r="AG133" s="293"/>
      <c r="AH133" s="293"/>
      <c r="CD133" s="184"/>
      <c r="CE133" s="184"/>
      <c r="CF133" s="184"/>
      <c r="CG133" s="184"/>
      <c r="CH133" s="184"/>
      <c r="CI133" s="184"/>
      <c r="CJ133" s="184"/>
      <c r="CK133" s="692" t="s">
        <v>2996</v>
      </c>
      <c r="CL133" s="190"/>
      <c r="CM133" s="190"/>
      <c r="CN133" s="190"/>
      <c r="CO133" s="190"/>
      <c r="CP133" s="619"/>
      <c r="CQ133" s="636" t="s">
        <v>801</v>
      </c>
      <c r="CR133" s="190"/>
      <c r="CS133" s="190"/>
      <c r="CT133" s="190"/>
      <c r="CU133" s="190"/>
      <c r="CV133" s="619"/>
      <c r="CW133" s="647">
        <v>0</v>
      </c>
      <c r="CX133" s="636" t="s">
        <v>801</v>
      </c>
      <c r="CY133" s="190"/>
      <c r="CZ133" s="190"/>
      <c r="DA133" s="190"/>
      <c r="DB133" s="190"/>
      <c r="DC133" s="619"/>
      <c r="DD133" s="190" t="s">
        <v>2954</v>
      </c>
      <c r="DE133" s="190"/>
      <c r="DF133" s="190"/>
      <c r="DG133" s="190"/>
      <c r="DH133" s="190"/>
      <c r="DI133" s="619"/>
      <c r="DJ133" s="645">
        <v>0</v>
      </c>
      <c r="DK133" s="520"/>
      <c r="DL133" s="520"/>
    </row>
    <row r="134" spans="8:116">
      <c r="H134" s="297">
        <f t="shared" si="11"/>
        <v>0.16999999999999998</v>
      </c>
      <c r="I134" s="298"/>
      <c r="J134" s="298"/>
      <c r="K134" s="298"/>
      <c r="L134" s="299"/>
      <c r="M134" s="299"/>
      <c r="N134" s="299"/>
      <c r="O134" s="299"/>
      <c r="P134" s="299" t="e">
        <f t="array" ref="P134">cal</f>
        <v>#REF!</v>
      </c>
      <c r="Q134" s="299" t="e">
        <v>#REF!</v>
      </c>
      <c r="R134" s="300" t="e">
        <v>#REF!</v>
      </c>
      <c r="S134" s="301" t="e">
        <f>ROUND(IF(P134=0,"",P134*R134),2)</f>
        <v>#REF!</v>
      </c>
      <c r="T134" s="293"/>
      <c r="U134" s="293"/>
      <c r="V134" s="536"/>
      <c r="W134" s="536" t="s">
        <v>3848</v>
      </c>
      <c r="X134" s="540" t="s">
        <v>3869</v>
      </c>
      <c r="Y134" s="531" t="s">
        <v>3870</v>
      </c>
      <c r="Z134" s="531" t="s">
        <v>3871</v>
      </c>
      <c r="AA134" s="531" t="s">
        <v>3872</v>
      </c>
      <c r="AB134" s="531" t="s">
        <v>3873</v>
      </c>
      <c r="AC134" s="531" t="s">
        <v>3874</v>
      </c>
      <c r="AD134" s="531" t="s">
        <v>3863</v>
      </c>
      <c r="AE134" s="531" t="s">
        <v>3864</v>
      </c>
      <c r="AF134" s="531" t="s">
        <v>3875</v>
      </c>
      <c r="AG134" s="540" t="s">
        <v>3860</v>
      </c>
      <c r="AH134" s="540" t="s">
        <v>3861</v>
      </c>
      <c r="BO134" s="1541" t="s">
        <v>3943</v>
      </c>
      <c r="BP134" s="1542"/>
      <c r="BQ134" s="1542"/>
      <c r="BR134" s="1542"/>
      <c r="BS134" s="1542"/>
      <c r="BT134" s="1542"/>
      <c r="BU134" s="1543"/>
      <c r="CD134" s="184"/>
      <c r="CE134" s="184"/>
      <c r="CF134" s="184"/>
      <c r="CG134" s="184"/>
      <c r="CH134" s="184"/>
      <c r="CI134" s="184"/>
      <c r="CJ134" s="184"/>
      <c r="CK134" s="692">
        <v>1</v>
      </c>
      <c r="CL134" s="190"/>
      <c r="CM134" s="190"/>
      <c r="CN134" s="190"/>
      <c r="CO134" s="190"/>
      <c r="CP134" s="619"/>
      <c r="CQ134" s="692">
        <v>1</v>
      </c>
      <c r="CR134" s="190"/>
      <c r="CS134" s="190"/>
      <c r="CT134" s="190"/>
      <c r="CU134" s="190"/>
      <c r="CV134" s="619"/>
      <c r="CW134" s="647"/>
      <c r="CX134" s="692">
        <v>1</v>
      </c>
      <c r="CY134" s="190"/>
      <c r="CZ134" s="190"/>
      <c r="DA134" s="190"/>
      <c r="DB134" s="190"/>
      <c r="DC134" s="619"/>
      <c r="DD134" s="190" t="s">
        <v>465</v>
      </c>
      <c r="DE134" s="190"/>
      <c r="DF134" s="190"/>
      <c r="DG134" s="190"/>
      <c r="DH134" s="190"/>
      <c r="DI134" s="619"/>
      <c r="DJ134" s="645"/>
      <c r="DK134" s="520"/>
      <c r="DL134" s="520"/>
    </row>
    <row r="135" spans="8:116" ht="17.25" thickBot="1">
      <c r="H135" s="297" t="str">
        <f t="shared" si="11"/>
        <v>場鑄結構混凝土用模板，普通模板，丙種.</v>
      </c>
      <c r="I135" s="298"/>
      <c r="J135" s="298"/>
      <c r="K135" s="298"/>
      <c r="L135" s="299"/>
      <c r="M135" s="299"/>
      <c r="N135" s="299"/>
      <c r="O135" s="299"/>
      <c r="P135" s="299"/>
      <c r="Q135" s="299"/>
      <c r="R135" s="300"/>
      <c r="S135" s="301"/>
      <c r="T135" s="293"/>
      <c r="U135" s="293"/>
      <c r="V135" s="536" t="s">
        <v>3865</v>
      </c>
      <c r="W135" s="537" t="str">
        <f>IF($L$122="70cm","70",
IF($L$122="80cm","80",
IF($L$122="90cm","90",
IF($L$122="100cm","100"))))</f>
        <v>80</v>
      </c>
      <c r="X135" s="538" t="str">
        <f>IF($M$122="40cm","40",
IF($M$122="50cm","50",
IF($M$122="60cm","60")))</f>
        <v>40</v>
      </c>
      <c r="Y135" s="540">
        <f>(((W135-X135)*0.5)-8)*0.01*13*0.994</f>
        <v>1.55064</v>
      </c>
      <c r="Z135" s="540">
        <f>(((W135-X135)*0.5)-12)*0.01*13*0.994</f>
        <v>1.03376</v>
      </c>
      <c r="AA135" s="540">
        <v>2.4900000000000002</v>
      </c>
      <c r="AB135" s="540">
        <v>2.4900000000000002</v>
      </c>
      <c r="AC135" s="540">
        <v>0.45</v>
      </c>
      <c r="AD135" s="540"/>
      <c r="AE135" s="540"/>
      <c r="AF135" s="540">
        <v>5.56</v>
      </c>
      <c r="AG135" s="540">
        <f>AC135</f>
        <v>0.45</v>
      </c>
      <c r="AH135" s="540">
        <f>Y135+Z135+AA135+AB135+AF135</f>
        <v>13.124400000000001</v>
      </c>
      <c r="BO135" s="1544"/>
      <c r="BP135" s="1545"/>
      <c r="BQ135" s="1545"/>
      <c r="BR135" s="1545"/>
      <c r="BS135" s="1545"/>
      <c r="BT135" s="1545"/>
      <c r="BU135" s="1546"/>
      <c r="CD135" s="184"/>
      <c r="CE135" s="184"/>
      <c r="CF135" s="184"/>
      <c r="CG135" s="184"/>
      <c r="CH135" s="184"/>
      <c r="CI135" s="184"/>
      <c r="CJ135" s="184"/>
      <c r="CK135" s="636"/>
      <c r="CL135" s="190"/>
      <c r="CM135" s="190"/>
      <c r="CN135" s="190"/>
      <c r="CO135" s="190"/>
      <c r="CP135" s="619"/>
      <c r="CQ135" s="692" t="s">
        <v>2996</v>
      </c>
      <c r="CR135" s="190"/>
      <c r="CS135" s="190"/>
      <c r="CT135" s="190"/>
      <c r="CU135" s="190"/>
      <c r="CV135" s="619"/>
      <c r="CW135" s="647"/>
      <c r="CX135" s="692" t="s">
        <v>2996</v>
      </c>
      <c r="CY135" s="190"/>
      <c r="CZ135" s="190"/>
      <c r="DA135" s="190"/>
      <c r="DB135" s="190"/>
      <c r="DC135" s="619"/>
      <c r="DD135" s="636" t="s">
        <v>801</v>
      </c>
      <c r="DE135" s="190"/>
      <c r="DF135" s="190"/>
      <c r="DG135" s="190"/>
      <c r="DH135" s="190"/>
      <c r="DI135" s="619"/>
      <c r="DJ135" s="645"/>
      <c r="DK135" s="520"/>
      <c r="DL135" s="520"/>
    </row>
    <row r="136" spans="8:116" ht="17.25" thickBot="1">
      <c r="H136" s="297" t="str">
        <f t="shared" si="11"/>
        <v>1*0.15</v>
      </c>
      <c r="I136" s="298"/>
      <c r="J136" s="298"/>
      <c r="K136" s="298"/>
      <c r="L136" s="299"/>
      <c r="M136" s="299"/>
      <c r="N136" s="299"/>
      <c r="O136" s="299"/>
      <c r="P136" s="299" t="e">
        <f t="array" ref="P136">cal</f>
        <v>#REF!</v>
      </c>
      <c r="Q136" s="299" t="e">
        <v>#REF!</v>
      </c>
      <c r="R136" s="300" t="e">
        <v>#REF!</v>
      </c>
      <c r="S136" s="301" t="e">
        <f>ROUND(IF(P136=0,"",P136*R136),2)</f>
        <v>#REF!</v>
      </c>
      <c r="T136" s="293"/>
      <c r="U136" s="293"/>
      <c r="V136" s="536" t="s">
        <v>3866</v>
      </c>
      <c r="W136" s="537" t="str">
        <f>IF($L$122="70cm","70",
IF($L$122="80cm","80",
IF($L$122="90cm","90",
IF($L$122="100cm","100"))))</f>
        <v>80</v>
      </c>
      <c r="X136" s="538" t="str">
        <f>IF($M$122="40cm","40",
IF($M$122="50cm","50",
IF($M$122="60cm","60")))</f>
        <v>40</v>
      </c>
      <c r="Y136" s="540">
        <f>((((W136-X136)*0.5)-2.6)*2+(6.5*3))*0.01*13*0.56</f>
        <v>3.9530400000000006</v>
      </c>
      <c r="Z136" s="540">
        <f>((((W136-X136)*0.5)-6.6)*2+(6.5*3))*0.01*13*0.56</f>
        <v>3.3706399999999999</v>
      </c>
      <c r="AA136" s="540">
        <v>7.36</v>
      </c>
      <c r="AB136" s="540">
        <v>7.36</v>
      </c>
      <c r="AC136" s="540">
        <v>0.39</v>
      </c>
      <c r="AD136" s="540"/>
      <c r="AE136" s="540"/>
      <c r="AF136" s="540">
        <v>11.13</v>
      </c>
      <c r="AG136" s="540">
        <f>Y136+Z136+AC136</f>
        <v>7.7136800000000001</v>
      </c>
      <c r="AH136" s="540">
        <f>AA136+AB136+AF136</f>
        <v>25.85</v>
      </c>
      <c r="AM136" s="255"/>
      <c r="AN136" s="255"/>
      <c r="AO136" s="255"/>
      <c r="BO136" s="125" t="s">
        <v>3752</v>
      </c>
      <c r="BP136" s="126"/>
      <c r="BQ136" s="181" t="s">
        <v>3876</v>
      </c>
      <c r="BR136" s="182"/>
      <c r="BS136" s="182"/>
      <c r="BT136" s="182"/>
      <c r="BU136" s="183"/>
      <c r="CD136" s="184"/>
      <c r="CE136" s="184"/>
      <c r="CF136" s="184"/>
      <c r="CG136" s="184"/>
      <c r="CH136" s="184"/>
      <c r="CI136" s="184"/>
      <c r="CJ136" s="184"/>
      <c r="CK136" s="636"/>
      <c r="CL136" s="190"/>
      <c r="CM136" s="190"/>
      <c r="CN136" s="190"/>
      <c r="CO136" s="190"/>
      <c r="CP136" s="619"/>
      <c r="CQ136" s="692">
        <v>1</v>
      </c>
      <c r="CR136" s="190"/>
      <c r="CS136" s="190"/>
      <c r="CT136" s="190"/>
      <c r="CU136" s="190"/>
      <c r="CV136" s="619"/>
      <c r="CW136" s="647"/>
      <c r="CX136" s="692">
        <v>1</v>
      </c>
      <c r="CY136" s="190"/>
      <c r="CZ136" s="190"/>
      <c r="DA136" s="190"/>
      <c r="DB136" s="190"/>
      <c r="DC136" s="619"/>
      <c r="DD136" s="692">
        <v>1</v>
      </c>
      <c r="DE136" s="190"/>
      <c r="DF136" s="190"/>
      <c r="DG136" s="190"/>
      <c r="DH136" s="190"/>
      <c r="DI136" s="619"/>
      <c r="DJ136" s="520"/>
    </row>
    <row r="137" spans="8:116">
      <c r="H137" s="297" t="str">
        <f t="shared" si="11"/>
        <v xml:space="preserve"> </v>
      </c>
      <c r="I137" s="298"/>
      <c r="J137" s="298"/>
      <c r="K137" s="298"/>
      <c r="L137" s="299"/>
      <c r="M137" s="299"/>
      <c r="N137" s="299"/>
      <c r="O137" s="299"/>
      <c r="P137" s="299"/>
      <c r="Q137" s="306"/>
      <c r="R137" s="300"/>
      <c r="S137" s="301"/>
      <c r="T137" s="293"/>
      <c r="U137" s="293"/>
      <c r="V137" s="536" t="s">
        <v>3867</v>
      </c>
      <c r="W137" s="537" t="str">
        <f>IF($L$122="70cm","70",
IF($L$122="80cm","80",
IF($L$122="90cm","90",
IF($L$122="100cm","100"))))</f>
        <v>80</v>
      </c>
      <c r="X137" s="538" t="str">
        <f>IF($M$122="40cm","40",
IF($M$122="50cm","50",
IF($M$122="60cm","60")))</f>
        <v>40</v>
      </c>
      <c r="Y137" s="540">
        <f>(((W137-X137)*0.5)-8)*0.01*13*0.994</f>
        <v>1.55064</v>
      </c>
      <c r="Z137" s="540">
        <f>(((W137-X137)*0.5)-12)*0.01*13*0.994</f>
        <v>1.03376</v>
      </c>
      <c r="AA137" s="540">
        <v>2.4900000000000002</v>
      </c>
      <c r="AB137" s="540">
        <v>2.4900000000000002</v>
      </c>
      <c r="AC137" s="540">
        <v>0.45</v>
      </c>
      <c r="AD137" s="540">
        <v>3.22</v>
      </c>
      <c r="AE137" s="540">
        <v>2.4900000000000002</v>
      </c>
      <c r="AF137" s="540">
        <v>5.56</v>
      </c>
      <c r="AG137" s="540">
        <f>AC137</f>
        <v>0.45</v>
      </c>
      <c r="AH137" s="540">
        <f>Y137+Z137+AA137+AB137+AD137+AE137+AF137</f>
        <v>18.834400000000002</v>
      </c>
      <c r="AM137" s="192"/>
      <c r="AN137" s="192"/>
      <c r="AO137" s="192"/>
      <c r="BL137" s="212" t="s">
        <v>3708</v>
      </c>
      <c r="BO137" s="309" t="s">
        <v>3709</v>
      </c>
      <c r="BP137" s="213">
        <v>1.3</v>
      </c>
      <c r="BQ137" s="310" t="s">
        <v>3637</v>
      </c>
      <c r="BR137" s="127"/>
      <c r="BS137" s="127"/>
      <c r="BT137" s="127"/>
      <c r="BU137" s="126"/>
      <c r="CD137" s="184"/>
      <c r="CE137" s="184"/>
      <c r="CF137" s="184"/>
      <c r="CG137" s="184"/>
      <c r="CH137" s="184"/>
      <c r="CI137" s="184"/>
      <c r="CJ137" s="184"/>
      <c r="CK137" s="636"/>
      <c r="CL137" s="190"/>
      <c r="CM137" s="190"/>
      <c r="CN137" s="190"/>
      <c r="CO137" s="190"/>
      <c r="CP137" s="619"/>
      <c r="CQ137" s="241"/>
      <c r="CR137" s="190"/>
      <c r="CS137" s="190"/>
      <c r="CT137" s="190"/>
      <c r="CU137" s="190"/>
      <c r="CV137" s="619"/>
      <c r="CW137" s="647"/>
      <c r="CX137" s="636"/>
      <c r="CY137" s="190"/>
      <c r="CZ137" s="190"/>
      <c r="DA137" s="190"/>
      <c r="DB137" s="190"/>
      <c r="DC137" s="619"/>
      <c r="DD137" s="692" t="s">
        <v>2996</v>
      </c>
      <c r="DE137" s="190"/>
      <c r="DF137" s="190"/>
      <c r="DG137" s="190"/>
      <c r="DH137" s="190"/>
      <c r="DI137" s="619"/>
      <c r="DJ137" s="520"/>
    </row>
    <row r="138" spans="8:116">
      <c r="H138" s="297" t="str">
        <f t="shared" si="11"/>
        <v xml:space="preserve"> </v>
      </c>
      <c r="I138" s="298"/>
      <c r="J138" s="298"/>
      <c r="K138" s="298"/>
      <c r="L138" s="299"/>
      <c r="M138" s="299"/>
      <c r="N138" s="299"/>
      <c r="O138" s="299"/>
      <c r="P138" s="299" t="e">
        <f t="array" ref="P138">cal</f>
        <v>#REF!</v>
      </c>
      <c r="Q138" s="299" t="e">
        <v>#REF!</v>
      </c>
      <c r="R138" s="300" t="e">
        <v>#REF!</v>
      </c>
      <c r="S138" s="301" t="e">
        <f>ROUND(IF(P138=0,"",P138*R138),2)</f>
        <v>#REF!</v>
      </c>
      <c r="T138" s="293"/>
      <c r="U138" s="293"/>
      <c r="V138" s="536" t="s">
        <v>3868</v>
      </c>
      <c r="W138" s="537" t="str">
        <f>IF($L$122="70cm","70",
IF($L$122="80cm","80",
IF($L$122="90cm","90",
IF($L$122="100cm","100"))))</f>
        <v>80</v>
      </c>
      <c r="X138" s="538" t="str">
        <f>IF($M$122="40cm","40",
IF($M$122="50cm","50",
IF($M$122="60cm","60")))</f>
        <v>40</v>
      </c>
      <c r="Y138" s="540">
        <f>((((W138-X138)*0.5)-2.6)*2+(6.5*3))*0.01*13*0.56</f>
        <v>3.9530400000000006</v>
      </c>
      <c r="Z138" s="540">
        <f>((((W138-X138)*0.5)-6.6)*2+(6.5*3))*0.01*13*0.56</f>
        <v>3.3706399999999999</v>
      </c>
      <c r="AA138" s="540">
        <v>7.36</v>
      </c>
      <c r="AB138" s="540">
        <v>7.36</v>
      </c>
      <c r="AC138" s="540">
        <v>0.39</v>
      </c>
      <c r="AD138" s="540">
        <v>3.92</v>
      </c>
      <c r="AE138" s="540">
        <v>2.4900000000000002</v>
      </c>
      <c r="AF138" s="540">
        <v>11.13</v>
      </c>
      <c r="AG138" s="540">
        <f>Y138+Z138+AC138</f>
        <v>7.7136800000000001</v>
      </c>
      <c r="AH138" s="540">
        <f>AA138+AB138+AD138+AE138+AF138</f>
        <v>32.260000000000005</v>
      </c>
      <c r="AM138" s="192"/>
      <c r="AN138" s="192"/>
      <c r="AO138" s="192"/>
      <c r="BL138" s="212" t="s">
        <v>3708</v>
      </c>
      <c r="BO138" s="218" t="s">
        <v>3877</v>
      </c>
      <c r="BP138" s="215">
        <v>0.70000000000000007</v>
      </c>
      <c r="BQ138" s="311" t="s">
        <v>3944</v>
      </c>
      <c r="BU138" s="131"/>
      <c r="CD138" s="184"/>
      <c r="CE138" s="184"/>
      <c r="CF138" s="184"/>
      <c r="CG138" s="184"/>
      <c r="CH138" s="184"/>
      <c r="CI138" s="184"/>
      <c r="CJ138" s="184"/>
      <c r="CK138" s="636"/>
      <c r="CL138" s="190"/>
      <c r="CM138" s="190"/>
      <c r="CN138" s="190"/>
      <c r="CO138" s="190"/>
      <c r="CP138" s="619"/>
      <c r="CQ138" s="241"/>
      <c r="CR138" s="190"/>
      <c r="CS138" s="190"/>
      <c r="CT138" s="190"/>
      <c r="CU138" s="190"/>
      <c r="CV138" s="619"/>
      <c r="CW138" s="648"/>
      <c r="CX138" s="636"/>
      <c r="CY138" s="190"/>
      <c r="CZ138" s="190"/>
      <c r="DA138" s="190"/>
      <c r="DB138" s="190"/>
      <c r="DC138" s="619"/>
      <c r="DD138" s="692">
        <v>1</v>
      </c>
      <c r="DE138" s="190"/>
      <c r="DF138" s="190"/>
      <c r="DG138" s="190"/>
      <c r="DH138" s="190"/>
      <c r="DI138" s="619"/>
    </row>
    <row r="139" spans="8:116">
      <c r="H139" s="297">
        <f>IF($H$122="搶修案",W182,
IF(AND($H$122="一般案",$K$122="場鑄",W158&lt;&gt;0),W158,
IF(AND($H$122="一般案",$K$122="預鑄",W180&lt;&gt;0),W180,
)))</f>
        <v>0</v>
      </c>
      <c r="I139" s="298"/>
      <c r="J139" s="298"/>
      <c r="K139" s="298"/>
      <c r="L139" s="299"/>
      <c r="M139" s="299"/>
      <c r="N139" s="299"/>
      <c r="O139" s="299"/>
      <c r="P139" s="299"/>
      <c r="Q139" s="306"/>
      <c r="R139" s="300"/>
      <c r="S139" s="301"/>
      <c r="T139" s="293"/>
      <c r="U139" s="293"/>
      <c r="V139" s="293"/>
      <c r="W139" s="293"/>
      <c r="X139" s="293"/>
      <c r="Y139" s="293"/>
      <c r="Z139" s="293"/>
      <c r="AA139" s="293"/>
      <c r="AB139" s="293"/>
      <c r="AC139" s="293"/>
      <c r="AD139" s="293"/>
      <c r="AE139" s="293"/>
      <c r="AF139" s="293"/>
      <c r="AG139" s="293"/>
      <c r="AH139" s="293"/>
      <c r="AM139" s="192"/>
      <c r="AN139" s="192"/>
      <c r="AO139" s="192"/>
      <c r="BL139" s="212" t="s">
        <v>3708</v>
      </c>
      <c r="BO139" s="218" t="s">
        <v>3825</v>
      </c>
      <c r="BP139" s="215">
        <f>0.2</f>
        <v>0.2</v>
      </c>
      <c r="BQ139" s="238" t="s">
        <v>3636</v>
      </c>
      <c r="BU139" s="131"/>
      <c r="CD139" s="184"/>
      <c r="CE139" s="184"/>
      <c r="CF139" s="184"/>
      <c r="CG139" s="184"/>
      <c r="CH139" s="184"/>
      <c r="CI139" s="184"/>
      <c r="CJ139" s="184"/>
      <c r="CK139" s="636"/>
      <c r="CL139" s="190"/>
      <c r="CM139" s="190"/>
      <c r="CN139" s="190"/>
      <c r="CO139" s="190"/>
      <c r="CP139" s="619"/>
      <c r="CQ139" s="241"/>
      <c r="CR139" s="190"/>
      <c r="CS139" s="190"/>
      <c r="CT139" s="190"/>
      <c r="CU139" s="190"/>
      <c r="CV139" s="619"/>
      <c r="CW139" s="648"/>
      <c r="CX139" s="636"/>
      <c r="CY139" s="190"/>
      <c r="CZ139" s="190"/>
      <c r="DA139" s="190"/>
      <c r="DB139" s="190"/>
      <c r="DC139" s="619"/>
      <c r="DD139" s="241"/>
      <c r="DE139" s="190"/>
      <c r="DF139" s="190"/>
      <c r="DG139" s="190"/>
      <c r="DH139" s="190"/>
      <c r="DI139" s="619"/>
    </row>
    <row r="140" spans="8:116" ht="17.25" thickBot="1">
      <c r="H140" s="297">
        <f>IF($H$122="搶修案",W183,
IF(AND($H$122="一般案",$K$122="場鑄",W159&lt;&gt;0),W159,
IF(AND($H$122="一般案",$K$122="預鑄",W181&lt;&gt;0),W181,
)))</f>
        <v>0</v>
      </c>
      <c r="I140" s="298"/>
      <c r="J140" s="298"/>
      <c r="K140" s="298"/>
      <c r="L140" s="299"/>
      <c r="M140" s="299"/>
      <c r="N140" s="299"/>
      <c r="O140" s="299"/>
      <c r="P140" s="299" t="e">
        <f t="array" ref="P140">cal</f>
        <v>#REF!</v>
      </c>
      <c r="Q140" s="299" t="e">
        <v>#REF!</v>
      </c>
      <c r="R140" s="300" t="e">
        <v>#REF!</v>
      </c>
      <c r="S140" s="301" t="e">
        <f>ROUND(IF(P140=0,"",P140*R140),2)</f>
        <v>#REF!</v>
      </c>
      <c r="T140" s="293"/>
      <c r="U140" s="293"/>
      <c r="V140" s="293"/>
      <c r="W140" s="293"/>
      <c r="X140" s="293"/>
      <c r="Y140" s="293"/>
      <c r="Z140" s="293"/>
      <c r="AA140" s="293"/>
      <c r="AB140" s="293"/>
      <c r="AC140" s="293"/>
      <c r="AD140" s="293"/>
      <c r="AE140" s="293"/>
      <c r="AF140" s="293"/>
      <c r="AG140" s="293"/>
      <c r="AH140" s="293"/>
      <c r="AM140" s="192"/>
      <c r="AN140" s="192"/>
      <c r="AO140" s="192"/>
      <c r="BL140" s="212" t="s">
        <v>3708</v>
      </c>
      <c r="BO140" s="218" t="s">
        <v>3826</v>
      </c>
      <c r="BP140" s="215">
        <v>0.15</v>
      </c>
      <c r="BQ140" s="311" t="s">
        <v>3945</v>
      </c>
      <c r="BU140" s="131"/>
      <c r="CD140" s="184"/>
      <c r="CE140" s="184"/>
      <c r="CF140" s="184"/>
      <c r="CG140" s="184"/>
      <c r="CH140" s="184"/>
      <c r="CI140" s="184"/>
      <c r="CJ140" s="184"/>
      <c r="CK140" s="615"/>
      <c r="CL140" s="616"/>
      <c r="CM140" s="616"/>
      <c r="CN140" s="616"/>
      <c r="CO140" s="616"/>
      <c r="CP140" s="620"/>
      <c r="CQ140" s="637"/>
      <c r="CR140" s="616"/>
      <c r="CS140" s="616"/>
      <c r="CT140" s="616"/>
      <c r="CU140" s="616"/>
      <c r="CV140" s="620"/>
      <c r="CW140" s="648"/>
      <c r="CX140" s="638"/>
      <c r="CY140" s="616"/>
      <c r="CZ140" s="616"/>
      <c r="DA140" s="616"/>
      <c r="DB140" s="616"/>
      <c r="DC140" s="620"/>
      <c r="DD140" s="637"/>
      <c r="DE140" s="616"/>
      <c r="DF140" s="616"/>
      <c r="DG140" s="616"/>
      <c r="DH140" s="616"/>
      <c r="DI140" s="620"/>
    </row>
    <row r="141" spans="8:116">
      <c r="H141" s="297">
        <f>IF($H$122="搶修案",W184,
IF(W184=0," ",
IF(AND($H$122="一般案",$K$122="場鑄",W160&lt;&gt;0),W160,
IF(W160=0," ",
IF(AND($H$122="一般案",$K$122="預鑄",W182&lt;&gt;0),W182,
IF(W182=0," ",
))))))</f>
        <v>0</v>
      </c>
      <c r="I141" s="298"/>
      <c r="J141" s="298"/>
      <c r="K141" s="298"/>
      <c r="L141" s="299"/>
      <c r="M141" s="299"/>
      <c r="N141" s="299"/>
      <c r="O141" s="299"/>
      <c r="P141" s="299"/>
      <c r="Q141" s="306"/>
      <c r="R141" s="300"/>
      <c r="S141" s="301"/>
      <c r="T141" s="293"/>
      <c r="U141" s="293"/>
      <c r="V141" s="293"/>
      <c r="W141" s="293"/>
      <c r="X141" s="293"/>
      <c r="Y141" s="293"/>
      <c r="Z141" s="293"/>
      <c r="AA141" s="293"/>
      <c r="AB141" s="293"/>
      <c r="AC141" s="293"/>
      <c r="AD141" s="293"/>
      <c r="AE141" s="293"/>
      <c r="AF141" s="293"/>
      <c r="AG141" s="293"/>
      <c r="AH141" s="293"/>
      <c r="BL141" s="212" t="s">
        <v>3708</v>
      </c>
      <c r="BO141" s="218" t="s">
        <v>3838</v>
      </c>
      <c r="BP141" s="215">
        <v>1</v>
      </c>
      <c r="BQ141" s="238" t="s">
        <v>1083</v>
      </c>
      <c r="BU141" s="131"/>
      <c r="CD141" s="175"/>
      <c r="CE141" s="175"/>
      <c r="CF141" s="175"/>
      <c r="CG141" s="175"/>
      <c r="CH141" s="175"/>
      <c r="CI141" s="175"/>
      <c r="CJ141" s="175"/>
      <c r="CK141" s="610"/>
      <c r="CL141" s="610"/>
      <c r="CM141" s="610"/>
      <c r="CN141" s="610"/>
      <c r="CO141" s="610"/>
      <c r="CP141" s="610"/>
      <c r="CQ141" s="610"/>
      <c r="CR141" s="610"/>
      <c r="CS141" s="610"/>
      <c r="CT141" s="610"/>
      <c r="CU141" s="610"/>
      <c r="CV141" s="610"/>
    </row>
    <row r="142" spans="8:116" ht="17.25" thickBot="1">
      <c r="H142" s="297">
        <f>IF($H$122="搶修案",W185,
IF(W185=0," ",
IF(AND($H$122="一般案",$K$122="場鑄",W161&lt;&gt;0),W161,
IF(W161=0," ",
IF(AND($H$122="一般案",$K$122="預鑄",W183&lt;&gt;0),W183,
IF(W183=0," ",
))))))</f>
        <v>0</v>
      </c>
      <c r="I142" s="298"/>
      <c r="J142" s="298"/>
      <c r="K142" s="298"/>
      <c r="L142" s="299"/>
      <c r="M142" s="299"/>
      <c r="N142" s="299"/>
      <c r="O142" s="299"/>
      <c r="P142" s="299" t="e">
        <f t="array" ref="P142">cal</f>
        <v>#REF!</v>
      </c>
      <c r="Q142" s="299" t="e">
        <v>#REF!</v>
      </c>
      <c r="R142" s="300" t="e">
        <v>#REF!</v>
      </c>
      <c r="S142" s="301" t="e">
        <f>ROUND(IF(P142=0,"",P142*R142),2)</f>
        <v>#REF!</v>
      </c>
      <c r="T142" s="293"/>
      <c r="U142" s="293"/>
      <c r="V142" s="293"/>
      <c r="W142" s="293"/>
      <c r="X142" s="293"/>
      <c r="Y142" s="293"/>
      <c r="Z142" s="293"/>
      <c r="AA142" s="293"/>
      <c r="AB142" s="293"/>
      <c r="AC142" s="293"/>
      <c r="AD142" s="293"/>
      <c r="AE142" s="293"/>
      <c r="AF142" s="293"/>
      <c r="AG142" s="293"/>
      <c r="AH142" s="293"/>
      <c r="AM142" s="255"/>
      <c r="AN142" s="255"/>
      <c r="AO142" s="255"/>
      <c r="BO142" s="218" t="s">
        <v>3817</v>
      </c>
      <c r="BP142" s="215">
        <v>1</v>
      </c>
      <c r="BQ142" s="311" t="s">
        <v>3946</v>
      </c>
      <c r="BU142" s="131"/>
      <c r="CD142" s="175"/>
      <c r="CE142" s="175"/>
      <c r="CF142" s="175"/>
      <c r="CG142" s="175"/>
      <c r="CH142" s="175"/>
      <c r="CI142" s="175"/>
      <c r="CJ142" s="175"/>
      <c r="CK142" s="175"/>
      <c r="CL142" s="175"/>
      <c r="CM142" s="175"/>
      <c r="CN142" s="175"/>
      <c r="CO142" s="175"/>
      <c r="CP142" s="175"/>
      <c r="CQ142" s="175"/>
      <c r="CR142" s="175"/>
      <c r="CS142" s="175"/>
      <c r="CT142" s="175"/>
      <c r="CU142" s="175"/>
      <c r="CV142" s="175"/>
    </row>
    <row r="143" spans="8:116" ht="17.25" thickBot="1">
      <c r="H143" s="297">
        <f>IF($H$122="搶修案",W186,
IF(W186=0," ",
IF(AND($H$122="一般案",$K$122="場鑄",W162&lt;&gt;0),W162,
IF(W162=0," ",
IF(AND($H$122="一般案",$K$122="預鑄",W184&lt;&gt;0),W184,
IF(W184=0," ",
))))))</f>
        <v>0</v>
      </c>
      <c r="I143" s="298"/>
      <c r="J143" s="298"/>
      <c r="K143" s="298"/>
      <c r="L143" s="299"/>
      <c r="M143" s="299"/>
      <c r="N143" s="299"/>
      <c r="O143" s="299"/>
      <c r="P143" s="299"/>
      <c r="Q143" s="306"/>
      <c r="R143" s="300"/>
      <c r="S143" s="301"/>
      <c r="T143" s="293"/>
      <c r="U143" s="293"/>
      <c r="V143" s="293"/>
      <c r="W143" s="285" t="str">
        <f>IF(I122="S型","S1 "&amp;J122&amp;" 頂板寬"&amp;L122&amp;" "&amp;" "&amp;"場鑄拆除",
IF(I122="L型","L1 "&amp;J122&amp;" 頂板寬"&amp;L122&amp;" "&amp;" "&amp;"場鑄拆除"))</f>
        <v>S1 15cm 頂板寬80cm  場鑄拆除</v>
      </c>
      <c r="X143" s="286"/>
      <c r="Y143" s="286"/>
      <c r="Z143" s="286"/>
      <c r="AA143" s="286"/>
      <c r="AB143" s="312"/>
      <c r="AC143" s="313" t="str">
        <f>IF(I122="S型","S2 "&amp;J122&amp;" 頂板寬"&amp;L122&amp;" "&amp;"格柵"&amp;M122&amp;" "&amp;"場鑄拆除",
IF(I122="L型","L2 "&amp;J122&amp;" 頂板寬"&amp;L122&amp;" "&amp;"格柵"&amp;M122&amp;" "&amp;"場鑄拆除"))</f>
        <v>S2 15cm 頂板寬80cm 格柵40cm 場鑄拆除</v>
      </c>
      <c r="AD143" s="286"/>
      <c r="AE143" s="286"/>
      <c r="AF143" s="286"/>
      <c r="AG143" s="286"/>
      <c r="AH143" s="312"/>
      <c r="AM143" s="192"/>
      <c r="AN143" s="192"/>
      <c r="AO143" s="192"/>
      <c r="BO143" s="218" t="s">
        <v>3818</v>
      </c>
      <c r="BP143" s="215">
        <v>0.15</v>
      </c>
      <c r="BQ143" s="314" t="s">
        <v>464</v>
      </c>
      <c r="BU143" s="131"/>
      <c r="CD143" s="175"/>
      <c r="CE143" s="175"/>
      <c r="CF143" s="175"/>
      <c r="CG143" s="175"/>
      <c r="CH143" s="175"/>
      <c r="CI143" s="175"/>
      <c r="CJ143" s="175"/>
      <c r="CK143" s="175"/>
      <c r="CL143" s="175"/>
      <c r="CM143" s="175"/>
      <c r="CN143" s="175"/>
      <c r="CO143" s="175"/>
      <c r="CP143" s="175"/>
      <c r="CQ143" s="175"/>
      <c r="CR143" s="175"/>
      <c r="CS143" s="175"/>
      <c r="CT143" s="175"/>
      <c r="CU143" s="175"/>
      <c r="CV143" s="175"/>
    </row>
    <row r="144" spans="8:116">
      <c r="H144" s="297">
        <f>IF($H$122="搶修案",W187,
IF(W187=0," ",
IF(AND($H$122="一般案",$K$122="場鑄",W163&lt;&gt;0),W163,
IF(W163=0," ",
IF(AND($H$122="一般案",$K$122="預鑄",W185&lt;&gt;0),W185,
IF(W185=0," ",
))))))</f>
        <v>0</v>
      </c>
      <c r="I144" s="298"/>
      <c r="J144" s="298"/>
      <c r="K144" s="298"/>
      <c r="L144" s="299"/>
      <c r="M144" s="299"/>
      <c r="N144" s="299"/>
      <c r="O144" s="299"/>
      <c r="P144" s="299"/>
      <c r="Q144" s="306"/>
      <c r="R144" s="300"/>
      <c r="S144" s="301"/>
      <c r="T144" s="293"/>
      <c r="U144" s="293"/>
      <c r="V144" s="293"/>
      <c r="W144" s="297" t="str">
        <f>IF($O$122="新設","基地及路幅開挖，未含運費，(機械挖，0.7-0.79m3開挖機).",
IF($O$122="更新","機械拆除，鋼筋混凝土，未含運費."))</f>
        <v>機械拆除，鋼筋混凝土，未含運費.</v>
      </c>
      <c r="X144" s="315"/>
      <c r="Y144" s="315"/>
      <c r="Z144" s="315"/>
      <c r="AA144" s="315"/>
      <c r="AB144" s="316"/>
      <c r="AC144" s="315" t="str">
        <f>IF($O$122="新設","基地及路幅開挖，未含運費，(機械挖，0.7-0.79m3開挖機).",
IF($O$122="更新","機械拆除，鋼筋混凝土，未含運費."))</f>
        <v>機械拆除，鋼筋混凝土，未含運費.</v>
      </c>
      <c r="AD144" s="315"/>
      <c r="AE144" s="315"/>
      <c r="AF144" s="315"/>
      <c r="AG144" s="315"/>
      <c r="AH144" s="316"/>
      <c r="AM144" s="192"/>
      <c r="AN144" s="192"/>
      <c r="AO144" s="192"/>
      <c r="BO144" s="218" t="s">
        <v>3828</v>
      </c>
      <c r="BP144" s="215"/>
      <c r="BQ144" s="311" t="str">
        <f>"("&amp;$AG$52&amp;"+"&amp;$AG$53&amp;"+"&amp;$AG$53&amp;")*0.05"</f>
        <v>(++)*0.05</v>
      </c>
      <c r="BU144" s="131"/>
      <c r="CD144" s="175"/>
      <c r="CE144" s="175"/>
      <c r="CF144" s="175"/>
      <c r="CG144" s="175"/>
      <c r="CH144" s="175"/>
      <c r="CI144" s="175"/>
      <c r="CJ144" s="175"/>
      <c r="CK144" s="175"/>
      <c r="CL144" s="175"/>
      <c r="CM144" s="175"/>
      <c r="CN144" s="175"/>
      <c r="CO144" s="175"/>
      <c r="CP144" s="175"/>
      <c r="CQ144" s="175"/>
      <c r="CR144" s="175"/>
      <c r="CS144" s="175"/>
      <c r="CT144" s="175"/>
      <c r="CU144" s="175"/>
      <c r="CV144" s="175"/>
    </row>
    <row r="145" spans="2:116" ht="17.25" thickBot="1">
      <c r="H145" s="317">
        <f>IF($H$122="搶修案",W188,
IF(W188=0," ",
IF(AND($H$122="一般案",$K$122="場鑄",W164&lt;&gt;0),W164,
IF(W164=0," ",
IF(AND($H$122="一般案",$K$122="預鑄",W186&lt;&gt;0),W186,
IF(W186=0," ",
))))))</f>
        <v>0</v>
      </c>
      <c r="I145" s="318"/>
      <c r="J145" s="318"/>
      <c r="K145" s="318"/>
      <c r="L145" s="319"/>
      <c r="M145" s="319"/>
      <c r="N145" s="319"/>
      <c r="O145" s="319"/>
      <c r="P145" s="318"/>
      <c r="Q145" s="318"/>
      <c r="R145" s="319"/>
      <c r="S145" s="320"/>
      <c r="T145" s="293"/>
      <c r="U145" s="293"/>
      <c r="V145" s="293"/>
      <c r="W145" s="297" t="str">
        <f>IF(AND($O$122="新設",$I$122="S型"),"("&amp;$Q$122&amp;"*"&amp;$R$122&amp;")*0.8",
IF(AND($O$122="更新",$I$122="S型"),"("&amp;$Q$122&amp;"*"&amp;$R$122&amp;")*0.8",
IF(AND($O$122="新設",$I$122="L型"),"("&amp;$Q$122&amp;"*"&amp;$R$122&amp;"+(0.15+0.18)*0.15/2"&amp;")*0.8",
IF(AND($O$122="更新",$I$122="L型"),"("&amp;$Q$122&amp;"*"&amp;$R$122&amp;"+(0.15+0.18)*0.15/2"&amp;")*0.8"))))</f>
        <v>(0.8*0.15)*0.8</v>
      </c>
      <c r="X145" s="315"/>
      <c r="Y145" s="315"/>
      <c r="Z145" s="315"/>
      <c r="AA145" s="315"/>
      <c r="AB145" s="316"/>
      <c r="AC145" s="315" t="str">
        <f>IF($O$122="新設","("&amp;$Q$122&amp;"*"&amp;$R$122&amp;")*0.8",
IF($O$122="更新","("&amp;$Q$122&amp;"*"&amp;$R$122&amp;"-"&amp;$S$122&amp;"*"&amp;$R$122&amp;")*0.8"))</f>
        <v>(0.8*0.15-0.45*0.65*0.15)*0.8</v>
      </c>
      <c r="AD145" s="315"/>
      <c r="AE145" s="315"/>
      <c r="AF145" s="315"/>
      <c r="AG145" s="315"/>
      <c r="AH145" s="316"/>
      <c r="AM145" s="192"/>
      <c r="AN145" s="192"/>
      <c r="AO145" s="192"/>
      <c r="BO145" s="218" t="s">
        <v>3830</v>
      </c>
      <c r="BP145" s="215" t="e">
        <v>#REF!</v>
      </c>
      <c r="BQ145" s="314" t="s">
        <v>1275</v>
      </c>
      <c r="BU145" s="131"/>
      <c r="CD145" s="175"/>
      <c r="CE145" s="175"/>
      <c r="CF145" s="175"/>
      <c r="CG145" s="175"/>
      <c r="CH145" s="175"/>
      <c r="CI145" s="175"/>
      <c r="CJ145" s="175"/>
      <c r="CK145" s="175"/>
      <c r="CL145" s="175"/>
      <c r="CM145" s="175"/>
      <c r="CN145" s="175"/>
      <c r="CO145" s="175"/>
      <c r="CP145" s="175"/>
      <c r="CQ145" s="175"/>
      <c r="CR145" s="175"/>
      <c r="CS145" s="175"/>
      <c r="CT145" s="175"/>
      <c r="CU145" s="175"/>
      <c r="CV145" s="175"/>
    </row>
    <row r="146" spans="2:116">
      <c r="H146" s="293"/>
      <c r="I146" s="293"/>
      <c r="J146" s="293"/>
      <c r="K146" s="293"/>
      <c r="L146" s="293"/>
      <c r="M146" s="293"/>
      <c r="N146" s="293"/>
      <c r="O146" s="293"/>
      <c r="P146" s="293"/>
      <c r="Q146" s="293"/>
      <c r="R146" s="293"/>
      <c r="S146" s="293"/>
      <c r="T146" s="293"/>
      <c r="U146" s="282"/>
      <c r="V146" s="293"/>
      <c r="W146" s="297" t="str">
        <f>IF($O$122="新設","構造物開挖，(人工挖，未含抽水)，未含運費(含裝車).",
IF($O$122="更新","人工拆除，鋼筋混凝土，含裝車未含運費."))</f>
        <v>人工拆除，鋼筋混凝土，含裝車未含運費.</v>
      </c>
      <c r="X146" s="315"/>
      <c r="Y146" s="315"/>
      <c r="Z146" s="315"/>
      <c r="AA146" s="315"/>
      <c r="AB146" s="316"/>
      <c r="AC146" s="315" t="str">
        <f>IF($O$122="新設","構造物開挖，(人工挖，未含抽水)，未含運費(含裝車).",
IF($O$122="更新","人工拆除，鋼筋混凝土，含裝車未含運費."))</f>
        <v>人工拆除，鋼筋混凝土，含裝車未含運費.</v>
      </c>
      <c r="AD146" s="315"/>
      <c r="AE146" s="315"/>
      <c r="AF146" s="315"/>
      <c r="AG146" s="315"/>
      <c r="AH146" s="316"/>
      <c r="AM146" s="192"/>
      <c r="AN146" s="192"/>
      <c r="AO146" s="192"/>
      <c r="BO146" s="218" t="s">
        <v>3830</v>
      </c>
      <c r="BP146" s="215">
        <v>0</v>
      </c>
      <c r="BQ146" s="311" t="str">
        <f>"("&amp;$AG$47&amp;"*("&amp;$AG$48&amp;"+"&amp;$AG$50&amp;")*("&amp;$AG$51&amp;"+"&amp;($AG$53*2)&amp;")-("&amp;$AG$52&amp;"*"&amp;$AG$51&amp;"*"&amp;$AG$48&amp;"))"</f>
        <v>(*(+)*(+0)-(**))</v>
      </c>
      <c r="BU146" s="131"/>
      <c r="CD146" s="175"/>
      <c r="CE146" s="175"/>
      <c r="CF146" s="175"/>
      <c r="CG146" s="175"/>
      <c r="CH146" s="175"/>
      <c r="CI146" s="175"/>
      <c r="CJ146" s="175"/>
      <c r="CK146" s="175"/>
      <c r="CL146" s="175"/>
      <c r="CM146" s="175"/>
      <c r="CN146" s="175"/>
      <c r="CO146" s="175"/>
      <c r="CP146" s="175"/>
      <c r="CQ146" s="175"/>
      <c r="CR146" s="175"/>
      <c r="CS146" s="175"/>
      <c r="CT146" s="175"/>
      <c r="CU146" s="175"/>
      <c r="CV146" s="175"/>
      <c r="CW146" s="212">
        <v>0</v>
      </c>
      <c r="CX146" s="520"/>
      <c r="CY146" s="520"/>
      <c r="CZ146" s="520"/>
      <c r="DA146" s="520"/>
      <c r="DB146" s="520"/>
      <c r="DC146" s="520"/>
      <c r="DD146" s="520"/>
      <c r="DE146" s="520"/>
      <c r="DF146" s="520"/>
      <c r="DG146" s="520"/>
      <c r="DH146" s="520"/>
      <c r="DI146" s="520"/>
      <c r="DJ146" s="520"/>
      <c r="DK146" s="520"/>
      <c r="DL146" s="520"/>
    </row>
    <row r="147" spans="2:116">
      <c r="H147" s="293"/>
      <c r="I147" s="293"/>
      <c r="J147" s="293"/>
      <c r="K147" s="293"/>
      <c r="L147" s="293"/>
      <c r="M147" s="293"/>
      <c r="N147" s="293"/>
      <c r="O147" s="293"/>
      <c r="P147" s="293"/>
      <c r="Q147" s="293"/>
      <c r="R147" s="293"/>
      <c r="S147" s="293"/>
      <c r="T147" s="293"/>
      <c r="U147" s="282"/>
      <c r="V147" s="293"/>
      <c r="W147" s="297" t="str">
        <f>IF(AND($O$122="新設",$I$122="S型"),"("&amp;$Q$122&amp;"*"&amp;$R$122&amp;")*0.2",
IF(AND($O$122="更新",$I$122="S型"),"("&amp;$Q$122&amp;"*"&amp;$R$122&amp;")*0.2",
IF(AND($O$122="新設",$I$122="L型"),"("&amp;$Q$122&amp;"*"&amp;$R$122&amp;"+(0.15+0.18)*0.15/2"&amp;")*0.2",
IF(AND($O$122="更新",$I$122="L型"),"("&amp;$Q$122&amp;"*"&amp;$R$122&amp;"+(0.15+0.18)*0.15/2"&amp;")*0.2"))))</f>
        <v>(0.8*0.15)*0.2</v>
      </c>
      <c r="X147" s="315"/>
      <c r="Y147" s="315"/>
      <c r="Z147" s="315"/>
      <c r="AA147" s="315"/>
      <c r="AB147" s="316"/>
      <c r="AC147" s="315" t="str">
        <f>IF($O$122="新設","("&amp;$Q$122&amp;"*"&amp;$R$122&amp;")*0.2",
IF($O$122="更新","("&amp;$Q$122&amp;"*"&amp;$R$122&amp;"-"&amp;$S$122&amp;"*"&amp;$R$122&amp;")*0.2"))</f>
        <v>(0.8*0.15-0.45*0.65*0.15)*0.2</v>
      </c>
      <c r="AD147" s="315"/>
      <c r="AE147" s="315"/>
      <c r="AF147" s="315"/>
      <c r="AG147" s="315"/>
      <c r="AH147" s="316"/>
      <c r="BO147" s="218" t="s">
        <v>3829</v>
      </c>
      <c r="BP147" s="215">
        <v>0</v>
      </c>
      <c r="BQ147" s="314" t="s">
        <v>1389</v>
      </c>
      <c r="BU147" s="131"/>
      <c r="CD147" s="175"/>
      <c r="CE147" s="175"/>
      <c r="CF147" s="175"/>
      <c r="CG147" s="175"/>
      <c r="CH147" s="175"/>
      <c r="CI147" s="175"/>
      <c r="CJ147" s="175"/>
      <c r="CK147" s="175"/>
      <c r="CL147" s="175"/>
      <c r="CM147" s="175"/>
      <c r="CN147" s="175"/>
      <c r="CO147" s="175"/>
      <c r="CP147" s="175"/>
      <c r="CQ147" s="175"/>
      <c r="CR147" s="175"/>
      <c r="CS147" s="175"/>
      <c r="CT147" s="175"/>
      <c r="CU147" s="175"/>
      <c r="CV147" s="175"/>
      <c r="CW147" s="212">
        <v>0</v>
      </c>
      <c r="CX147" s="520"/>
      <c r="CY147" s="520"/>
      <c r="CZ147" s="520"/>
      <c r="DA147" s="520"/>
      <c r="DB147" s="520"/>
      <c r="DC147" s="520"/>
      <c r="DD147" s="520"/>
      <c r="DE147" s="520"/>
      <c r="DF147" s="520"/>
      <c r="DG147" s="520"/>
      <c r="DH147" s="520"/>
      <c r="DI147" s="520"/>
      <c r="DJ147" s="520"/>
      <c r="DK147" s="520"/>
      <c r="DL147" s="520"/>
    </row>
    <row r="148" spans="2:116" ht="17.25" thickBot="1">
      <c r="H148" s="293"/>
      <c r="I148" s="293"/>
      <c r="J148" s="293"/>
      <c r="K148" s="293"/>
      <c r="L148" s="293"/>
      <c r="M148" s="293"/>
      <c r="N148" s="293"/>
      <c r="O148" s="293"/>
      <c r="P148" s="293"/>
      <c r="Q148" s="293"/>
      <c r="R148" s="293"/>
      <c r="S148" s="293"/>
      <c r="T148" s="293"/>
      <c r="U148" s="282"/>
      <c r="V148" s="293"/>
      <c r="W148" s="297"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X148" s="315"/>
      <c r="Y148" s="315"/>
      <c r="Z148" s="315"/>
      <c r="AA148" s="315"/>
      <c r="AB148" s="316"/>
      <c r="AC148" s="31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AD148" s="315"/>
      <c r="AE148" s="315"/>
      <c r="AF148" s="315"/>
      <c r="AG148" s="315"/>
      <c r="AH148" s="316"/>
      <c r="BO148" s="218"/>
      <c r="BP148" s="215"/>
      <c r="BQ148" s="321" t="str">
        <f>"("&amp;$AG$52&amp;"*"&amp;$AG$48&amp;")*2+("&amp;$AG$51&amp;"*"&amp;$AG$48&amp;")*2"</f>
        <v>(*)*2+(*)*2</v>
      </c>
      <c r="BU148" s="131"/>
      <c r="CD148" s="175"/>
      <c r="CE148" s="175"/>
      <c r="CF148" s="175"/>
      <c r="CG148" s="175"/>
      <c r="CH148" s="175"/>
      <c r="CI148" s="175"/>
      <c r="CJ148" s="175"/>
      <c r="CK148" s="175"/>
      <c r="CL148" s="175"/>
      <c r="CM148" s="175"/>
      <c r="CN148" s="175"/>
      <c r="CO148" s="175"/>
      <c r="CP148" s="175"/>
      <c r="CQ148" s="175"/>
      <c r="CR148" s="175"/>
      <c r="CS148" s="175"/>
      <c r="CT148" s="175"/>
      <c r="CU148" s="175"/>
      <c r="CV148" s="175"/>
      <c r="CW148" s="212">
        <v>0</v>
      </c>
      <c r="CX148" s="520"/>
      <c r="CY148" s="520"/>
      <c r="CZ148" s="520"/>
      <c r="DA148" s="520"/>
      <c r="DB148" s="520"/>
      <c r="DC148" s="520"/>
      <c r="DD148" s="520"/>
      <c r="DE148" s="520"/>
      <c r="DF148" s="520"/>
      <c r="DG148" s="520"/>
      <c r="DH148" s="520"/>
      <c r="DI148" s="520"/>
      <c r="DJ148" s="520"/>
      <c r="DK148" s="520"/>
      <c r="DL148" s="520"/>
    </row>
    <row r="149" spans="2:116" ht="17.25" thickBot="1">
      <c r="H149" s="285" t="str">
        <f>IF($K$122="場鑄",AC143,AC165)</f>
        <v>S2 15cm 頂板寬80cm 格柵40cm 場鑄拆除</v>
      </c>
      <c r="I149" s="286"/>
      <c r="J149" s="286"/>
      <c r="K149" s="286"/>
      <c r="L149" s="287"/>
      <c r="M149" s="287"/>
      <c r="N149" s="287"/>
      <c r="O149" s="288"/>
      <c r="P149" s="289" t="s">
        <v>3832</v>
      </c>
      <c r="Q149" s="290" t="s">
        <v>3833</v>
      </c>
      <c r="R149" s="291" t="s">
        <v>3834</v>
      </c>
      <c r="S149" s="292" t="s">
        <v>3835</v>
      </c>
      <c r="T149" s="293"/>
      <c r="U149" s="282"/>
      <c r="V149" s="293"/>
      <c r="W149" s="297" t="str">
        <f>IF(AND($O$122="新設",$I$122="S型"),"("&amp;$Q$122&amp;"*"&amp;$R$122&amp;")",
IF(AND($O$122="更新",$I$122="S型"),"("&amp;$Q$122&amp;"*"&amp;$R$122&amp;")",
IF(AND($O$122="新設",$I$122="L型"),"("&amp;$Q$122&amp;"*"&amp;$R$122&amp;"+(0.15+0.18)*0.15/2"&amp;")",
IF(AND($O$122="更新",$I$122="L型"),"("&amp;$Q$122&amp;"*"&amp;$R$122&amp;"+(0.15+0.18)*0.15/2"&amp;")"))))</f>
        <v>(0.8*0.15)</v>
      </c>
      <c r="X149" s="315"/>
      <c r="Y149" s="315"/>
      <c r="Z149" s="315"/>
      <c r="AA149" s="315"/>
      <c r="AB149" s="316"/>
      <c r="AC149" s="315" t="str">
        <f>IF($O$122="新設","("&amp;$Q$122&amp;"*"&amp;$R$122&amp;")",
IF($O$122="更新","("&amp;$Q$122&amp;"*"&amp;$R$122&amp;"-"&amp;$S$122&amp;"*"&amp;$R$122&amp;")"))</f>
        <v>(0.8*0.15-0.45*0.65*0.15)</v>
      </c>
      <c r="AD149" s="315"/>
      <c r="AE149" s="315"/>
      <c r="AF149" s="315"/>
      <c r="AG149" s="315"/>
      <c r="AH149" s="316"/>
      <c r="AM149" s="255"/>
      <c r="AN149" s="255"/>
      <c r="AO149" s="255"/>
      <c r="AP149" s="255"/>
      <c r="BO149" s="218"/>
      <c r="BP149" s="215"/>
      <c r="BQ149" s="314" t="s">
        <v>513</v>
      </c>
      <c r="BU149" s="131"/>
      <c r="CD149" s="175"/>
      <c r="CE149" s="175"/>
      <c r="CF149" s="175"/>
      <c r="CG149" s="175"/>
      <c r="CH149" s="175"/>
      <c r="CI149" s="175"/>
      <c r="CJ149" s="175"/>
      <c r="CK149" s="175"/>
      <c r="CL149" s="175"/>
      <c r="CM149" s="175"/>
      <c r="CN149" s="175"/>
      <c r="CO149" s="175"/>
      <c r="CP149" s="175"/>
      <c r="CQ149" s="175"/>
      <c r="CR149" s="175"/>
      <c r="CS149" s="175"/>
      <c r="CT149" s="175"/>
      <c r="CU149" s="175"/>
      <c r="CV149" s="175"/>
      <c r="CW149" s="212">
        <v>0</v>
      </c>
      <c r="CX149" s="520"/>
      <c r="CY149" s="520"/>
      <c r="CZ149" s="520"/>
      <c r="DA149" s="520"/>
      <c r="DB149" s="520"/>
      <c r="DC149" s="520"/>
      <c r="DD149" s="520"/>
      <c r="DE149" s="520"/>
      <c r="DF149" s="520"/>
      <c r="DG149" s="520"/>
      <c r="DH149" s="520"/>
      <c r="DI149" s="520"/>
      <c r="DJ149" s="520"/>
      <c r="DK149" s="520"/>
      <c r="DL149" s="520"/>
    </row>
    <row r="150" spans="2:116" ht="17.25" thickBot="1">
      <c r="H150" s="294" t="str">
        <f t="shared" ref="H150:H165" si="13">IF($H$122="搶修案",AC168,
IF(AND($H$122="一般案",$K$122="場鑄"),AC144,
IF(AND($H$122="一般案",$K$122="預鑄"),AC166
)))</f>
        <v>餘方自行處理(含水土保持)，總重15t以下傾卸貨車</v>
      </c>
      <c r="I150" s="295"/>
      <c r="J150" s="295"/>
      <c r="K150" s="322"/>
      <c r="L150" s="291"/>
      <c r="M150" s="291"/>
      <c r="N150" s="291"/>
      <c r="O150" s="291"/>
      <c r="P150" s="291"/>
      <c r="Q150" s="291"/>
      <c r="R150" s="296"/>
      <c r="S150" s="292"/>
      <c r="T150" s="293"/>
      <c r="U150" s="282"/>
      <c r="V150" s="293"/>
      <c r="W150" s="297" t="s">
        <v>16</v>
      </c>
      <c r="X150" s="315"/>
      <c r="Y150" s="315"/>
      <c r="Z150" s="315"/>
      <c r="AA150" s="315"/>
      <c r="AB150" s="316"/>
      <c r="AC150" s="315" t="s">
        <v>16</v>
      </c>
      <c r="AD150" s="315"/>
      <c r="AE150" s="315"/>
      <c r="AF150" s="315"/>
      <c r="AG150" s="315"/>
      <c r="AH150" s="316"/>
      <c r="AM150" s="192"/>
      <c r="AN150" s="192"/>
      <c r="AO150" s="192"/>
      <c r="AP150" s="192"/>
      <c r="BO150" s="216"/>
      <c r="BP150" s="129"/>
      <c r="BQ150" s="323" t="e">
        <f>#REF!&amp;"+"&amp;#REF!&amp;"+"&amp;#REF!</f>
        <v>#REF!</v>
      </c>
      <c r="BR150" s="141"/>
      <c r="BS150" s="141"/>
      <c r="BT150" s="141"/>
      <c r="BU150" s="140"/>
      <c r="CD150" s="175"/>
      <c r="CE150" s="175"/>
      <c r="CF150" s="175"/>
      <c r="CG150" s="175"/>
      <c r="CH150" s="175"/>
      <c r="CI150" s="175"/>
      <c r="CJ150" s="175"/>
      <c r="CK150" s="175"/>
      <c r="CL150" s="175"/>
      <c r="CM150" s="175"/>
      <c r="CN150" s="175"/>
      <c r="CO150" s="175"/>
      <c r="CP150" s="175"/>
      <c r="CQ150" s="175"/>
      <c r="CR150" s="175"/>
      <c r="CS150" s="175"/>
      <c r="CT150" s="175"/>
      <c r="CU150" s="175"/>
      <c r="CV150" s="175"/>
      <c r="CW150" s="212">
        <v>0</v>
      </c>
      <c r="CX150" s="520"/>
      <c r="CY150" s="520"/>
      <c r="CZ150" s="520"/>
      <c r="DA150" s="520"/>
      <c r="DB150" s="520"/>
      <c r="DC150" s="520"/>
      <c r="DD150" s="520"/>
      <c r="DE150" s="520"/>
      <c r="DF150" s="520"/>
      <c r="DG150" s="520"/>
      <c r="DH150" s="520"/>
      <c r="DI150" s="520"/>
      <c r="DJ150" s="520"/>
      <c r="DK150" s="520"/>
      <c r="DL150" s="520"/>
    </row>
    <row r="151" spans="2:116">
      <c r="H151" s="297" t="str">
        <f t="shared" si="13"/>
        <v>(0.8*0.15-0.45*0.65*0.15)</v>
      </c>
      <c r="I151" s="315"/>
      <c r="J151" s="315"/>
      <c r="K151" s="282"/>
      <c r="L151" s="293"/>
      <c r="M151" s="293"/>
      <c r="N151" s="293"/>
      <c r="O151" s="293"/>
      <c r="P151" s="293" t="e">
        <f t="array" ref="P151">cal</f>
        <v>#REF!</v>
      </c>
      <c r="Q151" s="293" t="e">
        <v>#REF!</v>
      </c>
      <c r="R151" s="324" t="e">
        <v>#REF!</v>
      </c>
      <c r="S151" s="301" t="e">
        <f>ROUND(IF(P151=0,"",P151*R151),2)</f>
        <v>#REF!</v>
      </c>
      <c r="T151" s="293"/>
      <c r="U151" s="282"/>
      <c r="V151" s="293"/>
      <c r="W151" s="297" t="str">
        <f>IF(AND($O$122="新設",$I$122="S型"),"("&amp;$Q$122&amp;"*"&amp;$R$122&amp;")",
IF(AND($O$122="更新",$I$122="S型"),"("&amp;$Q$122&amp;"*"&amp;$R$122&amp;")",
IF(AND($O$122="新設",$I$122="L型"),"("&amp;$Q$122&amp;"*"&amp;$R$122&amp;"+(0.15+0.18)*0.15/2"&amp;")",
IF(AND($O$122="更新",$I$122="L型"),"("&amp;$Q$122&amp;"*"&amp;$R$122&amp;"+(0.15+0.18)*0.15/2"&amp;")"))))</f>
        <v>(0.8*0.15)</v>
      </c>
      <c r="X151" s="315"/>
      <c r="Y151" s="315"/>
      <c r="Z151" s="315"/>
      <c r="AA151" s="315"/>
      <c r="AB151" s="316"/>
      <c r="AC151" s="315" t="str">
        <f>IF($O$122="新設","("&amp;$Q$122&amp;"*"&amp;$R$122&amp;")",
IF($O$122="更新","("&amp;$Q$122&amp;"*"&amp;$R$122&amp;"-"&amp;$S$122&amp;"*"&amp;$R$122&amp;")"))</f>
        <v>(0.8*0.15-0.45*0.65*0.15)</v>
      </c>
      <c r="AD151" s="315"/>
      <c r="AE151" s="315"/>
      <c r="AF151" s="315"/>
      <c r="AG151" s="315"/>
      <c r="AH151" s="316"/>
      <c r="AM151" s="192"/>
      <c r="AN151" s="192"/>
      <c r="AO151" s="192"/>
      <c r="AP151" s="192"/>
      <c r="CD151" s="175"/>
      <c r="CE151" s="175"/>
      <c r="CF151" s="175"/>
      <c r="CG151" s="175"/>
      <c r="CH151" s="175"/>
      <c r="CI151" s="175"/>
      <c r="CJ151" s="175"/>
      <c r="CK151" s="175"/>
      <c r="CL151" s="175"/>
      <c r="CM151" s="175"/>
      <c r="CN151" s="175"/>
      <c r="CO151" s="175"/>
      <c r="CP151" s="175"/>
      <c r="CQ151" s="175"/>
      <c r="CR151" s="175"/>
      <c r="CS151" s="175"/>
      <c r="CT151" s="175"/>
      <c r="CU151" s="175"/>
      <c r="CV151" s="175"/>
      <c r="CW151" s="212">
        <v>0</v>
      </c>
      <c r="CX151" s="520"/>
      <c r="CY151" s="520"/>
      <c r="CZ151" s="520"/>
      <c r="DA151" s="520"/>
      <c r="DB151" s="520"/>
      <c r="DC151" s="520"/>
      <c r="DD151" s="520"/>
      <c r="DE151" s="520"/>
      <c r="DF151" s="520"/>
      <c r="DG151" s="520"/>
      <c r="DH151" s="520"/>
      <c r="DI151" s="520"/>
      <c r="DJ151" s="520"/>
      <c r="DK151" s="520"/>
      <c r="DL151" s="520"/>
    </row>
    <row r="152" spans="2:116">
      <c r="H152" s="297" t="str">
        <f t="shared" si="13"/>
        <v>結構用混凝土，預拌，280kgf/cm2</v>
      </c>
      <c r="I152" s="315"/>
      <c r="J152" s="315"/>
      <c r="K152" s="282"/>
      <c r="L152" s="293"/>
      <c r="M152" s="293"/>
      <c r="N152" s="293"/>
      <c r="O152" s="293"/>
      <c r="P152" s="293"/>
      <c r="Q152" s="293"/>
      <c r="R152" s="324"/>
      <c r="S152" s="301"/>
      <c r="T152" s="293"/>
      <c r="U152" s="282"/>
      <c r="V152" s="293"/>
      <c r="W152" s="297" t="s">
        <v>3843</v>
      </c>
      <c r="X152" s="315"/>
      <c r="Y152" s="315"/>
      <c r="Z152" s="315"/>
      <c r="AA152" s="315"/>
      <c r="AB152" s="316"/>
      <c r="AC152" s="315" t="s">
        <v>3843</v>
      </c>
      <c r="AD152" s="315"/>
      <c r="AE152" s="315"/>
      <c r="AF152" s="315"/>
      <c r="AG152" s="315"/>
      <c r="AH152" s="316"/>
      <c r="AM152" s="192"/>
      <c r="AN152" s="192"/>
      <c r="AO152" s="192"/>
      <c r="AP152" s="192"/>
      <c r="CD152" s="175"/>
      <c r="CE152" s="175"/>
      <c r="CF152" s="175"/>
      <c r="CG152" s="175"/>
      <c r="CH152" s="175"/>
      <c r="CI152" s="175"/>
      <c r="CJ152" s="175"/>
      <c r="CK152" s="175"/>
      <c r="CL152" s="175"/>
      <c r="CM152" s="175"/>
      <c r="CN152" s="175"/>
      <c r="CO152" s="175"/>
      <c r="CP152" s="175"/>
      <c r="CQ152" s="175"/>
      <c r="CR152" s="175"/>
      <c r="CS152" s="175"/>
      <c r="CT152" s="175"/>
      <c r="CU152" s="175"/>
      <c r="CV152" s="175"/>
      <c r="CW152" s="212">
        <v>0</v>
      </c>
      <c r="CX152" s="520"/>
      <c r="CY152" s="520"/>
      <c r="CZ152" s="520"/>
      <c r="DA152" s="520"/>
      <c r="DB152" s="520"/>
      <c r="DC152" s="520"/>
      <c r="DD152" s="520"/>
      <c r="DE152" s="520"/>
      <c r="DF152" s="520"/>
      <c r="DG152" s="520"/>
      <c r="DH152" s="520"/>
      <c r="DI152" s="520"/>
      <c r="DJ152" s="520"/>
      <c r="DK152" s="520"/>
      <c r="DL152" s="520"/>
    </row>
    <row r="153" spans="2:116">
      <c r="H153" s="297" t="str">
        <f t="shared" si="13"/>
        <v>(0.8*0.15-0.45*0.65*0.15)</v>
      </c>
      <c r="I153" s="315"/>
      <c r="J153" s="315"/>
      <c r="K153" s="282"/>
      <c r="L153" s="293"/>
      <c r="M153" s="293"/>
      <c r="N153" s="293"/>
      <c r="O153" s="293"/>
      <c r="P153" s="293" t="e">
        <f t="array" ref="P153">cal</f>
        <v>#REF!</v>
      </c>
      <c r="Q153" s="293" t="e">
        <v>#REF!</v>
      </c>
      <c r="R153" s="324" t="e">
        <v>#REF!</v>
      </c>
      <c r="S153" s="301" t="e">
        <f>ROUND(IF(P153=0,"",P153*R153),2)</f>
        <v>#REF!</v>
      </c>
      <c r="T153" s="293"/>
      <c r="U153" s="282"/>
      <c r="V153" s="293"/>
      <c r="W153" s="297">
        <f>IF($AF$122=0,$AG$122,$AF$122&amp;"+"&amp;$AG$122)</f>
        <v>24.09</v>
      </c>
      <c r="X153" s="315"/>
      <c r="Y153" s="315"/>
      <c r="Z153" s="315"/>
      <c r="AA153" s="315"/>
      <c r="AB153" s="316"/>
      <c r="AC153" s="315" t="str">
        <f>$AF$125&amp;"+"&amp;$AG$125</f>
        <v>7.71+25.85</v>
      </c>
      <c r="AD153" s="315"/>
      <c r="AE153" s="315"/>
      <c r="AF153" s="315"/>
      <c r="AG153" s="315"/>
      <c r="AH153" s="316"/>
      <c r="AM153" s="192"/>
      <c r="AN153" s="192"/>
      <c r="AO153" s="192"/>
      <c r="AP153" s="192"/>
      <c r="CD153" s="175"/>
      <c r="CE153" s="175"/>
      <c r="CF153" s="175"/>
      <c r="CG153" s="175"/>
      <c r="CH153" s="175"/>
      <c r="CI153" s="175"/>
      <c r="CJ153" s="175"/>
      <c r="CK153" s="175"/>
      <c r="CL153" s="175"/>
      <c r="CM153" s="175"/>
      <c r="CN153" s="175"/>
      <c r="CO153" s="175"/>
      <c r="CP153" s="175"/>
      <c r="CQ153" s="175"/>
      <c r="CR153" s="175"/>
      <c r="CS153" s="175"/>
      <c r="CT153" s="175"/>
      <c r="CU153" s="175"/>
      <c r="CV153" s="175"/>
      <c r="CW153" s="212">
        <v>0</v>
      </c>
      <c r="CX153" s="520"/>
      <c r="CY153" s="520"/>
      <c r="CZ153" s="520"/>
      <c r="DA153" s="520"/>
      <c r="DB153" s="520"/>
      <c r="DC153" s="520"/>
      <c r="DD153" s="520"/>
      <c r="DE153" s="520"/>
      <c r="DF153" s="520"/>
      <c r="DG153" s="520"/>
      <c r="DH153" s="520"/>
      <c r="DI153" s="520"/>
      <c r="DJ153" s="520"/>
      <c r="DK153" s="520"/>
      <c r="DL153" s="520"/>
    </row>
    <row r="154" spans="2:116" ht="17.25" thickBot="1">
      <c r="H154" s="297" t="str">
        <f t="shared" si="13"/>
        <v>鋼筋，SD280W.</v>
      </c>
      <c r="I154" s="315"/>
      <c r="J154" s="315"/>
      <c r="K154" s="282"/>
      <c r="L154" s="293"/>
      <c r="M154" s="293"/>
      <c r="N154" s="293"/>
      <c r="O154" s="293"/>
      <c r="P154" s="293"/>
      <c r="Q154" s="293"/>
      <c r="R154" s="324"/>
      <c r="S154" s="301"/>
      <c r="T154" s="293"/>
      <c r="U154" s="282"/>
      <c r="V154" s="293"/>
      <c r="W154" s="297" t="s">
        <v>3845</v>
      </c>
      <c r="X154" s="315"/>
      <c r="Y154" s="315"/>
      <c r="Z154" s="315"/>
      <c r="AA154" s="315"/>
      <c r="AB154" s="316"/>
      <c r="AC154" s="315" t="s">
        <v>3845</v>
      </c>
      <c r="AD154" s="315"/>
      <c r="AE154" s="315"/>
      <c r="AF154" s="315"/>
      <c r="AG154" s="315"/>
      <c r="AH154" s="316"/>
      <c r="CD154" s="175"/>
      <c r="CE154" s="175"/>
      <c r="CF154" s="175"/>
      <c r="CG154" s="175"/>
      <c r="CH154" s="175"/>
      <c r="CI154" s="175"/>
      <c r="CJ154" s="175"/>
      <c r="CK154" s="175"/>
      <c r="CL154" s="175"/>
      <c r="CM154" s="175"/>
      <c r="CN154" s="175"/>
      <c r="CO154" s="175"/>
      <c r="CP154" s="175"/>
      <c r="CQ154" s="175"/>
      <c r="CR154" s="175"/>
      <c r="CS154" s="175"/>
      <c r="CT154" s="175"/>
      <c r="CU154" s="175"/>
      <c r="CV154" s="175"/>
      <c r="CW154" s="212">
        <v>0</v>
      </c>
      <c r="CX154" s="520"/>
      <c r="CY154" s="520"/>
      <c r="CZ154" s="520"/>
      <c r="DA154" s="520"/>
      <c r="DB154" s="520"/>
      <c r="DC154" s="520"/>
      <c r="DD154" s="520"/>
      <c r="DE154" s="520"/>
      <c r="DF154" s="520"/>
      <c r="DG154" s="520"/>
      <c r="DH154" s="520"/>
      <c r="DI154" s="520"/>
      <c r="DJ154" s="520"/>
      <c r="DK154" s="520"/>
      <c r="DL154" s="520"/>
    </row>
    <row r="155" spans="2:116">
      <c r="H155" s="297" t="str">
        <f t="shared" si="13"/>
        <v>7.71+25.85</v>
      </c>
      <c r="I155" s="315"/>
      <c r="J155" s="315"/>
      <c r="K155" s="282"/>
      <c r="L155" s="293"/>
      <c r="M155" s="293"/>
      <c r="N155" s="293"/>
      <c r="O155" s="293"/>
      <c r="P155" s="293" t="e">
        <f t="array" ref="P155">cal</f>
        <v>#REF!</v>
      </c>
      <c r="Q155" s="293" t="e">
        <v>#REF!</v>
      </c>
      <c r="R155" s="324" t="e">
        <v>#REF!</v>
      </c>
      <c r="S155" s="301" t="e">
        <f>ROUND(IF(P155=0,"",P155*R155),2)</f>
        <v>#REF!</v>
      </c>
      <c r="T155" s="293"/>
      <c r="U155" s="282"/>
      <c r="V155" s="293"/>
      <c r="W155" s="297" t="str">
        <f>$Q$122-0.2&amp;"*1"</f>
        <v>0.6*1</v>
      </c>
      <c r="X155" s="315"/>
      <c r="Y155" s="315"/>
      <c r="Z155" s="315"/>
      <c r="AA155" s="315"/>
      <c r="AB155" s="316"/>
      <c r="AC155" s="315" t="str">
        <f>$Q$122-0.2&amp;"*1-"&amp;$S$122</f>
        <v>0.6*1-0.45*0.65</v>
      </c>
      <c r="AD155" s="315"/>
      <c r="AE155" s="315"/>
      <c r="AF155" s="315"/>
      <c r="AG155" s="315"/>
      <c r="AH155" s="316"/>
      <c r="AM155" s="255"/>
      <c r="AN155" s="255"/>
      <c r="AO155" s="255"/>
      <c r="AP155" s="255"/>
      <c r="BO155" s="1541" t="e">
        <v>#VALUE!</v>
      </c>
      <c r="BP155" s="1542"/>
      <c r="BQ155" s="1542"/>
      <c r="BR155" s="1542"/>
      <c r="BS155" s="1542"/>
      <c r="BT155" s="1542"/>
      <c r="BU155" s="1543"/>
      <c r="CD155" s="175"/>
      <c r="CE155" s="175"/>
      <c r="CF155" s="175"/>
      <c r="CG155" s="175"/>
      <c r="CH155" s="175"/>
      <c r="CI155" s="175"/>
      <c r="CJ155" s="175"/>
      <c r="CK155" s="175"/>
      <c r="CL155" s="175"/>
      <c r="CM155" s="175"/>
      <c r="CN155" s="175"/>
      <c r="CO155" s="175"/>
      <c r="CP155" s="175"/>
      <c r="CQ155" s="175"/>
      <c r="CR155" s="175"/>
      <c r="CS155" s="175"/>
      <c r="CT155" s="175"/>
      <c r="CU155" s="175"/>
      <c r="CV155" s="175"/>
      <c r="CW155" s="212">
        <v>0</v>
      </c>
      <c r="CX155" s="520"/>
      <c r="CY155" s="520"/>
      <c r="CZ155" s="520"/>
      <c r="DA155" s="520"/>
      <c r="DB155" s="520"/>
      <c r="DC155" s="520"/>
      <c r="DD155" s="520"/>
      <c r="DE155" s="520"/>
      <c r="DF155" s="520"/>
      <c r="DG155" s="520"/>
      <c r="DH155" s="520"/>
      <c r="DI155" s="520"/>
      <c r="DJ155" s="520"/>
      <c r="DK155" s="520"/>
      <c r="DL155" s="520"/>
    </row>
    <row r="156" spans="2:116" ht="17.25" thickBot="1">
      <c r="B156" s="188"/>
      <c r="H156" s="297" t="str">
        <f t="shared" si="13"/>
        <v>(免拆模板，鋼質)，厚3mm鋼模</v>
      </c>
      <c r="I156" s="315"/>
      <c r="J156" s="315"/>
      <c r="K156" s="282"/>
      <c r="L156" s="293"/>
      <c r="M156" s="293"/>
      <c r="N156" s="293"/>
      <c r="O156" s="293"/>
      <c r="P156" s="293"/>
      <c r="Q156" s="293"/>
      <c r="R156" s="324"/>
      <c r="S156" s="301"/>
      <c r="T156" s="293"/>
      <c r="U156" s="282"/>
      <c r="V156" s="293"/>
      <c r="W156" s="297" t="s">
        <v>2937</v>
      </c>
      <c r="X156" s="315"/>
      <c r="Y156" s="315"/>
      <c r="Z156" s="315"/>
      <c r="AA156" s="315"/>
      <c r="AB156" s="316"/>
      <c r="AC156" s="315" t="str">
        <f>IF(AND($M$122="40cm",$N$122="一般型"),"鍍鋅格柵板及框座，(框53.6cm，蓋45cm)",
IF(AND($M$122="50cm",$N$122="一般型"),"鍍鋅格柵板及框座，(框63.6cm，蓋55cm)",
IF(AND($M$122="60cm",$N$122="一般型"),"鍍鋅格柵板及框座，(框73.6cm，蓋65cm)",
IF(AND($M$122="40cm",$N$122="細目型"),"鍍鋅格柵蓋板，(框53.6cm，蓋45cm)，細目型",
IF(AND($M$122="50cm",$N$122="細目型"),"鍍鋅格柵蓋板，(框63.6cm，蓋55cm)，細目型",
IF(AND($M$122="60cm",$N$122="細目型"),"鍍鋅格柵蓋板，(框73.6cm，蓋65cm)，細目型"))))))</f>
        <v>鍍鋅格柵板及框座，(框53.6cm，蓋45cm)</v>
      </c>
      <c r="AD156" s="315"/>
      <c r="AE156" s="315"/>
      <c r="AF156" s="315"/>
      <c r="AG156" s="315"/>
      <c r="AH156" s="316"/>
      <c r="AM156" s="192"/>
      <c r="AN156" s="192"/>
      <c r="AO156" s="192"/>
      <c r="AP156" s="192"/>
      <c r="BO156" s="1544"/>
      <c r="BP156" s="1545"/>
      <c r="BQ156" s="1545"/>
      <c r="BR156" s="1545"/>
      <c r="BS156" s="1545"/>
      <c r="BT156" s="1545"/>
      <c r="BU156" s="1546"/>
      <c r="CD156" s="175"/>
      <c r="CE156" s="175"/>
      <c r="CF156" s="175"/>
      <c r="CG156" s="175"/>
      <c r="CH156" s="175"/>
      <c r="CI156" s="175"/>
      <c r="CJ156" s="175"/>
      <c r="CK156" s="175"/>
      <c r="CL156" s="175"/>
      <c r="CM156" s="175"/>
      <c r="CN156" s="175"/>
      <c r="CO156" s="175"/>
      <c r="CP156" s="175"/>
      <c r="CQ156" s="175"/>
      <c r="CR156" s="175"/>
      <c r="CS156" s="175"/>
      <c r="CT156" s="175"/>
      <c r="CU156" s="175"/>
      <c r="CV156" s="175"/>
      <c r="CW156" s="212">
        <v>0</v>
      </c>
      <c r="CX156" s="520"/>
      <c r="CY156" s="520"/>
      <c r="CZ156" s="520"/>
      <c r="DA156" s="520"/>
      <c r="DB156" s="520"/>
      <c r="DC156" s="520"/>
      <c r="DD156" s="520"/>
      <c r="DE156" s="520"/>
      <c r="DF156" s="520"/>
      <c r="DG156" s="520"/>
      <c r="DH156" s="520"/>
      <c r="DI156" s="520"/>
      <c r="DJ156" s="520"/>
      <c r="DK156" s="520"/>
      <c r="DL156" s="520"/>
    </row>
    <row r="157" spans="2:116" ht="17.25" thickBot="1">
      <c r="B157" s="515"/>
      <c r="H157" s="297" t="str">
        <f t="shared" si="13"/>
        <v>0.6*1-0.45*0.65</v>
      </c>
      <c r="I157" s="315"/>
      <c r="J157" s="315"/>
      <c r="K157" s="282"/>
      <c r="L157" s="293"/>
      <c r="M157" s="293"/>
      <c r="N157" s="293"/>
      <c r="O157" s="293"/>
      <c r="P157" s="293" t="e">
        <f t="array" ref="P157">cal</f>
        <v>#REF!</v>
      </c>
      <c r="Q157" s="293" t="e">
        <v>#REF!</v>
      </c>
      <c r="R157" s="324" t="e">
        <v>#REF!</v>
      </c>
      <c r="S157" s="301" t="e">
        <f>ROUND(IF(P157=0,"",P157*R157),2)</f>
        <v>#REF!</v>
      </c>
      <c r="T157" s="293"/>
      <c r="U157" s="282"/>
      <c r="V157" s="293"/>
      <c r="W157" s="297">
        <f>IF($J$122="13cm",$R$122+0.02,
IF($J$122="15cm",$R$122+0.02))</f>
        <v>0.16999999999999998</v>
      </c>
      <c r="X157" s="315"/>
      <c r="Y157" s="315"/>
      <c r="Z157" s="315"/>
      <c r="AA157" s="315"/>
      <c r="AB157" s="316"/>
      <c r="AC157" s="315" t="s">
        <v>465</v>
      </c>
      <c r="AD157" s="315"/>
      <c r="AE157" s="315"/>
      <c r="AF157" s="315"/>
      <c r="AG157" s="315"/>
      <c r="AH157" s="316"/>
      <c r="AM157" s="192"/>
      <c r="AN157" s="192"/>
      <c r="AO157" s="192"/>
      <c r="AP157" s="192"/>
      <c r="BO157" s="125" t="s">
        <v>3752</v>
      </c>
      <c r="BP157" s="126"/>
      <c r="BQ157" s="181" t="s">
        <v>3876</v>
      </c>
      <c r="BR157" s="182"/>
      <c r="BS157" s="182"/>
      <c r="BT157" s="182"/>
      <c r="BU157" s="183"/>
      <c r="CD157" s="175"/>
      <c r="CE157" s="175"/>
      <c r="CF157" s="175"/>
      <c r="CG157" s="175"/>
      <c r="CH157" s="175"/>
      <c r="CI157" s="175"/>
      <c r="CJ157" s="175"/>
      <c r="CK157" s="175"/>
      <c r="CL157" s="175"/>
      <c r="CM157" s="175"/>
      <c r="CN157" s="175"/>
      <c r="CO157" s="175"/>
      <c r="CP157" s="175"/>
      <c r="CQ157" s="175"/>
      <c r="CR157" s="175"/>
      <c r="CS157" s="175"/>
      <c r="CT157" s="175"/>
      <c r="CU157" s="175"/>
      <c r="CV157" s="175"/>
      <c r="CW157" s="212">
        <v>0</v>
      </c>
      <c r="CX157" s="520"/>
      <c r="CY157" s="520"/>
      <c r="CZ157" s="520"/>
      <c r="DA157" s="520"/>
      <c r="DB157" s="520"/>
      <c r="DC157" s="520"/>
      <c r="DD157" s="520"/>
      <c r="DE157" s="520"/>
      <c r="DF157" s="520"/>
      <c r="DG157" s="520"/>
      <c r="DH157" s="520"/>
      <c r="DI157" s="520"/>
      <c r="DJ157" s="520"/>
      <c r="DK157" s="520"/>
      <c r="DL157" s="520"/>
    </row>
    <row r="158" spans="2:116">
      <c r="B158" s="515"/>
      <c r="H158" s="297" t="str">
        <f t="shared" si="13"/>
        <v>鍍鋅格柵板及框座，(框53.6cm，蓋45cm)</v>
      </c>
      <c r="I158" s="315"/>
      <c r="J158" s="315"/>
      <c r="K158" s="284"/>
      <c r="L158" s="293"/>
      <c r="M158" s="293"/>
      <c r="N158" s="293"/>
      <c r="O158" s="293"/>
      <c r="P158" s="293"/>
      <c r="Q158" s="325"/>
      <c r="R158" s="324"/>
      <c r="S158" s="301"/>
      <c r="T158" s="293"/>
      <c r="U158" s="282"/>
      <c r="V158" s="293"/>
      <c r="W158" s="297" t="s">
        <v>3878</v>
      </c>
      <c r="X158" s="315"/>
      <c r="Y158" s="315"/>
      <c r="Z158" s="315"/>
      <c r="AA158" s="315"/>
      <c r="AB158" s="316"/>
      <c r="AC158" s="315" t="s">
        <v>3878</v>
      </c>
      <c r="AD158" s="315"/>
      <c r="AE158" s="315"/>
      <c r="AF158" s="315"/>
      <c r="AG158" s="315"/>
      <c r="AH158" s="316"/>
      <c r="AM158" s="192"/>
      <c r="AN158" s="192"/>
      <c r="AO158" s="192"/>
      <c r="AP158" s="192"/>
      <c r="BO158" s="309" t="s">
        <v>3754</v>
      </c>
      <c r="BP158" s="326" t="s">
        <v>3776</v>
      </c>
      <c r="BQ158" s="310" t="s">
        <v>3637</v>
      </c>
      <c r="BR158" s="127"/>
      <c r="BS158" s="127"/>
      <c r="BT158" s="127"/>
      <c r="BU158" s="126"/>
      <c r="CD158" s="175"/>
      <c r="CE158" s="175"/>
      <c r="CF158" s="175"/>
      <c r="CG158" s="175"/>
      <c r="CH158" s="175"/>
      <c r="CI158" s="175"/>
      <c r="CJ158" s="175"/>
      <c r="CK158" s="175"/>
      <c r="CL158" s="175"/>
      <c r="CM158" s="175"/>
      <c r="CN158" s="175"/>
      <c r="CO158" s="175"/>
      <c r="CP158" s="175"/>
      <c r="CQ158" s="175"/>
      <c r="CR158" s="175"/>
      <c r="CS158" s="175"/>
      <c r="CT158" s="175"/>
      <c r="CU158" s="175"/>
      <c r="CV158" s="175"/>
      <c r="CW158" s="212">
        <v>0</v>
      </c>
      <c r="CX158" s="520"/>
      <c r="CY158" s="520"/>
      <c r="CZ158" s="520"/>
      <c r="DA158" s="520"/>
      <c r="DB158" s="520"/>
      <c r="DC158" s="520"/>
      <c r="DD158" s="520"/>
      <c r="DE158" s="520"/>
      <c r="DF158" s="520"/>
      <c r="DG158" s="520"/>
      <c r="DH158" s="520"/>
      <c r="DI158" s="520"/>
      <c r="DJ158" s="520"/>
      <c r="DK158" s="520"/>
      <c r="DL158" s="520"/>
    </row>
    <row r="159" spans="2:116">
      <c r="B159" s="515"/>
      <c r="H159" s="297" t="str">
        <f t="shared" si="13"/>
        <v>1</v>
      </c>
      <c r="I159" s="315"/>
      <c r="J159" s="315"/>
      <c r="K159" s="282"/>
      <c r="L159" s="293"/>
      <c r="M159" s="293"/>
      <c r="N159" s="293"/>
      <c r="O159" s="293"/>
      <c r="P159" s="293" t="e">
        <f t="array" ref="P159">cal</f>
        <v>#REF!</v>
      </c>
      <c r="Q159" s="293" t="e">
        <v>#REF!</v>
      </c>
      <c r="R159" s="324" t="e">
        <v>#REF!</v>
      </c>
      <c r="S159" s="301" t="e">
        <f>ROUND(IF(P159=0,"",P159*R159),2)</f>
        <v>#REF!</v>
      </c>
      <c r="T159" s="293"/>
      <c r="U159" s="282"/>
      <c r="V159" s="293"/>
      <c r="W159" s="297" t="str">
        <f>IF($I$122="S型","1*"&amp;$R$122,
IF($I$122="L型","1*"&amp;$R$122&amp;"*2"))</f>
        <v>1*0.15</v>
      </c>
      <c r="X159" s="315"/>
      <c r="Y159" s="315"/>
      <c r="Z159" s="315"/>
      <c r="AA159" s="315"/>
      <c r="AB159" s="316"/>
      <c r="AC159" s="315" t="str">
        <f>IF(I122="S型","("&amp;$T$122&amp;")*"&amp;$R$122&amp;"*2+1*"&amp;$R$122,
IF(I122="L型","("&amp;$T$122&amp;")*"&amp;$R$122&amp;"*2+1*"&amp;$R$122&amp;"*2"))</f>
        <v>(0.45+0.65)*0.15*2+1*0.15</v>
      </c>
      <c r="AD159" s="315"/>
      <c r="AE159" s="315"/>
      <c r="AF159" s="315"/>
      <c r="AG159" s="315"/>
      <c r="AH159" s="316"/>
      <c r="AM159" s="192"/>
      <c r="AN159" s="192"/>
      <c r="AO159" s="192"/>
      <c r="AP159" s="192"/>
      <c r="BO159" s="218" t="s">
        <v>3849</v>
      </c>
      <c r="BP159" s="541" t="s">
        <v>3947</v>
      </c>
      <c r="BQ159" s="240" t="s">
        <v>3944</v>
      </c>
      <c r="BU159" s="131"/>
      <c r="CD159" s="175"/>
      <c r="CE159" s="175"/>
      <c r="CF159" s="175"/>
      <c r="CG159" s="175"/>
      <c r="CH159" s="175"/>
      <c r="CI159" s="175"/>
      <c r="CJ159" s="175"/>
      <c r="CK159" s="175"/>
      <c r="CL159" s="175"/>
      <c r="CM159" s="175"/>
      <c r="CN159" s="175"/>
      <c r="CO159" s="175"/>
      <c r="CP159" s="175"/>
      <c r="CQ159" s="175"/>
      <c r="CR159" s="175"/>
      <c r="CS159" s="175"/>
      <c r="CT159" s="175"/>
      <c r="CU159" s="175"/>
      <c r="CV159" s="175"/>
      <c r="CW159" s="212">
        <v>0</v>
      </c>
      <c r="CX159" s="520"/>
      <c r="CY159" s="520"/>
      <c r="CZ159" s="520"/>
      <c r="DA159" s="520"/>
      <c r="DB159" s="520"/>
      <c r="DC159" s="520"/>
      <c r="DD159" s="520"/>
      <c r="DE159" s="520"/>
      <c r="DF159" s="520"/>
      <c r="DG159" s="520"/>
      <c r="DH159" s="520"/>
      <c r="DI159" s="520"/>
      <c r="DJ159" s="520"/>
      <c r="DK159" s="520"/>
      <c r="DL159" s="520"/>
    </row>
    <row r="160" spans="2:116">
      <c r="B160" s="515"/>
      <c r="H160" s="297" t="str">
        <f t="shared" si="13"/>
        <v>場鑄結構混凝土用模板，普通模板，丙種.</v>
      </c>
      <c r="I160" s="315"/>
      <c r="J160" s="315"/>
      <c r="K160" s="282"/>
      <c r="L160" s="293"/>
      <c r="M160" s="293"/>
      <c r="N160" s="293"/>
      <c r="O160" s="293"/>
      <c r="P160" s="293"/>
      <c r="Q160" s="293"/>
      <c r="R160" s="324"/>
      <c r="S160" s="301"/>
      <c r="T160" s="293"/>
      <c r="U160" s="282"/>
      <c r="V160" s="293"/>
      <c r="W160" s="297" t="str">
        <f>IF($P$122="無標線"," ",
IF($I$122="L型","油漆，一底二度，耐候性油漆塗佈",
IF($I$122="S型","標線，熱處理聚酯，反光，厚2mm，第Ⅱ型，12公尺以下道路及零星路段繪設")))</f>
        <v xml:space="preserve"> </v>
      </c>
      <c r="X160" s="315"/>
      <c r="Y160" s="315"/>
      <c r="Z160" s="315"/>
      <c r="AA160" s="315"/>
      <c r="AB160" s="316"/>
      <c r="AC160" s="315" t="str">
        <f>IF($P$122="無標線"," ",
IF($I$122="L型","油漆，一底二度，耐候性油漆塗佈",
IF($I$122="S型","標線，熱處理聚酯，反光，厚2mm，第Ⅱ型，12公尺以下道路及零星路段繪設")))</f>
        <v xml:space="preserve"> </v>
      </c>
      <c r="AD160" s="315"/>
      <c r="AE160" s="315"/>
      <c r="AF160" s="315"/>
      <c r="AG160" s="315"/>
      <c r="AH160" s="316"/>
      <c r="BM160" s="212" t="s">
        <v>3708</v>
      </c>
      <c r="BO160" s="218" t="s">
        <v>3848</v>
      </c>
      <c r="BP160" s="541" t="s">
        <v>3948</v>
      </c>
      <c r="BQ160" s="238" t="s">
        <v>3636</v>
      </c>
      <c r="BU160" s="131"/>
      <c r="CD160" s="175"/>
      <c r="CE160" s="175"/>
      <c r="CF160" s="175"/>
      <c r="CG160" s="175"/>
      <c r="CH160" s="175"/>
      <c r="CI160" s="175"/>
      <c r="CJ160" s="175"/>
      <c r="CK160" s="175"/>
      <c r="CL160" s="175"/>
      <c r="CM160" s="175"/>
      <c r="CN160" s="175"/>
      <c r="CO160" s="175"/>
      <c r="CP160" s="175"/>
      <c r="CQ160" s="175"/>
      <c r="CR160" s="175"/>
      <c r="CS160" s="175"/>
      <c r="CT160" s="175"/>
      <c r="CU160" s="175"/>
      <c r="CV160" s="175"/>
      <c r="CW160" s="212"/>
      <c r="CX160" s="520"/>
      <c r="CY160" s="520"/>
      <c r="CZ160" s="520"/>
      <c r="DA160" s="520"/>
      <c r="DB160" s="520"/>
      <c r="DC160" s="520"/>
      <c r="DD160" s="520"/>
      <c r="DE160" s="520"/>
      <c r="DF160" s="520"/>
      <c r="DG160" s="520"/>
      <c r="DH160" s="520"/>
      <c r="DI160" s="520"/>
      <c r="DJ160" s="520"/>
      <c r="DK160" s="520"/>
      <c r="DL160" s="520"/>
    </row>
    <row r="161" spans="2:116">
      <c r="B161" s="515"/>
      <c r="H161" s="297" t="str">
        <f t="shared" si="13"/>
        <v>(0.45+0.65)*0.15*2+1*0.15</v>
      </c>
      <c r="I161" s="315"/>
      <c r="J161" s="315"/>
      <c r="K161" s="282"/>
      <c r="L161" s="293"/>
      <c r="M161" s="293"/>
      <c r="N161" s="293"/>
      <c r="O161" s="293"/>
      <c r="P161" s="293" t="e">
        <f t="array" ref="P161">cal</f>
        <v>#REF!</v>
      </c>
      <c r="Q161" s="293" t="e">
        <v>#REF!</v>
      </c>
      <c r="R161" s="324" t="e">
        <v>#REF!</v>
      </c>
      <c r="S161" s="301" t="e">
        <f>ROUND(IF(P161=0,"",P161*R161),2)</f>
        <v>#REF!</v>
      </c>
      <c r="T161" s="293"/>
      <c r="U161" s="282"/>
      <c r="V161" s="293"/>
      <c r="W161" s="327" t="str">
        <f>IF($P$122="無標線"," ",
IF($I$122="L型","0.15*1*2",
IF($I$122="S型","0.1*1")))</f>
        <v xml:space="preserve"> </v>
      </c>
      <c r="X161" s="282"/>
      <c r="Y161" s="282"/>
      <c r="Z161" s="282"/>
      <c r="AA161" s="282"/>
      <c r="AB161" s="328"/>
      <c r="AC161" s="282" t="str">
        <f>IF($P$122="無標線"," ",
IF($I$122="L型","0.15*1*2",
IF($I$122="S型","0.1*1")))</f>
        <v xml:space="preserve"> </v>
      </c>
      <c r="AD161" s="282"/>
      <c r="AE161" s="282"/>
      <c r="AF161" s="282"/>
      <c r="AG161" s="282"/>
      <c r="AH161" s="328"/>
      <c r="AM161" s="255"/>
      <c r="AN161" s="255"/>
      <c r="AO161" s="255"/>
      <c r="AP161" s="255"/>
      <c r="BM161" s="212" t="s">
        <v>3708</v>
      </c>
      <c r="BO161" s="218" t="s">
        <v>3879</v>
      </c>
      <c r="BP161" s="541" t="s">
        <v>3949</v>
      </c>
      <c r="BQ161" s="240" t="s">
        <v>3945</v>
      </c>
      <c r="BU161" s="131"/>
      <c r="CD161" s="175"/>
      <c r="CE161" s="175"/>
      <c r="CF161" s="175"/>
      <c r="CG161" s="175"/>
      <c r="CH161" s="175"/>
      <c r="CI161" s="175"/>
      <c r="CJ161" s="175"/>
      <c r="CK161" s="175"/>
      <c r="CL161" s="175"/>
      <c r="CM161" s="175"/>
      <c r="CN161" s="175"/>
      <c r="CO161" s="175"/>
      <c r="CP161" s="175"/>
      <c r="CQ161" s="175"/>
      <c r="CR161" s="175"/>
      <c r="CS161" s="175"/>
      <c r="CT161" s="175"/>
      <c r="CU161" s="175"/>
      <c r="CV161" s="175"/>
      <c r="CW161" s="212"/>
      <c r="CX161" s="520"/>
      <c r="CY161" s="520"/>
      <c r="CZ161" s="520"/>
      <c r="DA161" s="520"/>
      <c r="DB161" s="520"/>
      <c r="DC161" s="520"/>
      <c r="DD161" s="520"/>
      <c r="DE161" s="520"/>
      <c r="DF161" s="520"/>
      <c r="DG161" s="520"/>
      <c r="DH161" s="520"/>
      <c r="DI161" s="520"/>
      <c r="DJ161" s="520"/>
      <c r="DK161" s="520"/>
      <c r="DL161" s="520"/>
    </row>
    <row r="162" spans="2:116">
      <c r="B162" s="515"/>
      <c r="H162" s="297" t="str">
        <f t="shared" si="13"/>
        <v xml:space="preserve"> </v>
      </c>
      <c r="I162" s="315"/>
      <c r="J162" s="315"/>
      <c r="K162" s="284"/>
      <c r="L162" s="293"/>
      <c r="M162" s="293"/>
      <c r="N162" s="293"/>
      <c r="O162" s="293"/>
      <c r="P162" s="293"/>
      <c r="Q162" s="325"/>
      <c r="R162" s="324"/>
      <c r="S162" s="301"/>
      <c r="T162" s="293"/>
      <c r="U162" s="282"/>
      <c r="V162" s="282"/>
      <c r="W162" s="327"/>
      <c r="X162" s="282"/>
      <c r="Y162" s="282"/>
      <c r="Z162" s="282"/>
      <c r="AA162" s="282"/>
      <c r="AB162" s="328"/>
      <c r="AC162" s="282"/>
      <c r="AD162" s="282"/>
      <c r="AE162" s="282"/>
      <c r="AF162" s="282"/>
      <c r="AG162" s="282"/>
      <c r="AH162" s="328"/>
      <c r="AM162" s="192"/>
      <c r="AN162" s="192"/>
      <c r="AO162" s="192"/>
      <c r="AP162" s="192"/>
      <c r="BM162" s="212" t="s">
        <v>3708</v>
      </c>
      <c r="BO162" s="218" t="s">
        <v>3880</v>
      </c>
      <c r="BP162" s="541" t="s">
        <v>3950</v>
      </c>
      <c r="BQ162" s="238" t="s">
        <v>1083</v>
      </c>
      <c r="BU162" s="131"/>
      <c r="CD162" s="175"/>
      <c r="CE162" s="175"/>
      <c r="CF162" s="175"/>
      <c r="CG162" s="175"/>
      <c r="CH162" s="175"/>
      <c r="CI162" s="175"/>
      <c r="CJ162" s="175"/>
      <c r="CK162" s="175"/>
      <c r="CL162" s="175"/>
      <c r="CM162" s="175"/>
      <c r="CN162" s="175"/>
      <c r="CO162" s="175"/>
      <c r="CP162" s="175"/>
      <c r="CQ162" s="175"/>
      <c r="CR162" s="175"/>
      <c r="CS162" s="175"/>
      <c r="CT162" s="175"/>
      <c r="CU162" s="175"/>
      <c r="CV162" s="175"/>
      <c r="CW162" s="212"/>
      <c r="CX162" s="520"/>
      <c r="CY162" s="520"/>
      <c r="CZ162" s="520"/>
      <c r="DA162" s="520"/>
      <c r="DB162" s="520"/>
      <c r="DC162" s="520"/>
      <c r="DD162" s="520"/>
      <c r="DE162" s="520"/>
      <c r="DF162" s="520"/>
      <c r="DG162" s="520"/>
      <c r="DH162" s="520"/>
      <c r="DI162" s="520"/>
      <c r="DJ162" s="520"/>
      <c r="DK162" s="520"/>
      <c r="DL162" s="520"/>
    </row>
    <row r="163" spans="2:116" ht="17.25" thickBot="1">
      <c r="B163" s="515"/>
      <c r="H163" s="297" t="str">
        <f t="shared" si="13"/>
        <v xml:space="preserve"> </v>
      </c>
      <c r="I163" s="315"/>
      <c r="J163" s="315"/>
      <c r="K163" s="282"/>
      <c r="L163" s="293"/>
      <c r="M163" s="293"/>
      <c r="N163" s="293"/>
      <c r="O163" s="293"/>
      <c r="P163" s="293" t="e">
        <f t="array" ref="P163">cal</f>
        <v>#REF!</v>
      </c>
      <c r="Q163" s="293" t="e">
        <v>#REF!</v>
      </c>
      <c r="R163" s="324" t="e">
        <v>#REF!</v>
      </c>
      <c r="S163" s="301" t="e">
        <f>ROUND(IF(P163=0,"",P163*R163),2)</f>
        <v>#REF!</v>
      </c>
      <c r="T163" s="293"/>
      <c r="U163" s="282"/>
      <c r="V163" s="282"/>
      <c r="W163" s="329"/>
      <c r="X163" s="330"/>
      <c r="Y163" s="330"/>
      <c r="Z163" s="330"/>
      <c r="AA163" s="330"/>
      <c r="AB163" s="331"/>
      <c r="AC163" s="330"/>
      <c r="AD163" s="330"/>
      <c r="AE163" s="330"/>
      <c r="AF163" s="330"/>
      <c r="AG163" s="330"/>
      <c r="AH163" s="331"/>
      <c r="AM163" s="192"/>
      <c r="AN163" s="192"/>
      <c r="AO163" s="192"/>
      <c r="AP163" s="192"/>
      <c r="BM163" s="212" t="s">
        <v>3708</v>
      </c>
      <c r="BO163" s="218" t="s">
        <v>3881</v>
      </c>
      <c r="BP163" s="541" t="s">
        <v>3951</v>
      </c>
      <c r="BQ163" s="240" t="s">
        <v>3946</v>
      </c>
      <c r="BU163" s="131"/>
      <c r="CD163" s="175"/>
      <c r="CE163" s="175"/>
      <c r="CF163" s="175"/>
      <c r="CG163" s="175"/>
      <c r="CH163" s="175"/>
      <c r="CI163" s="175"/>
      <c r="CJ163" s="175"/>
      <c r="CK163" s="175"/>
      <c r="CL163" s="175"/>
      <c r="CM163" s="175"/>
      <c r="CN163" s="175"/>
      <c r="CO163" s="175"/>
      <c r="CP163" s="175"/>
      <c r="CQ163" s="175"/>
      <c r="CR163" s="175"/>
      <c r="CS163" s="175"/>
      <c r="CT163" s="175"/>
      <c r="CU163" s="175"/>
      <c r="CV163" s="175"/>
      <c r="CW163" s="212"/>
      <c r="CX163" s="520"/>
      <c r="CY163" s="520"/>
      <c r="CZ163" s="520"/>
      <c r="DA163" s="520"/>
      <c r="DB163" s="520"/>
      <c r="DC163" s="520"/>
      <c r="DD163" s="520"/>
      <c r="DE163" s="520"/>
      <c r="DF163" s="520"/>
      <c r="DG163" s="520"/>
      <c r="DH163" s="520"/>
      <c r="DI163" s="520"/>
      <c r="DJ163" s="520"/>
      <c r="DK163" s="520"/>
      <c r="DL163" s="520"/>
    </row>
    <row r="164" spans="2:116" ht="17.25" thickBot="1">
      <c r="B164" s="515"/>
      <c r="H164" s="297">
        <f t="shared" si="13"/>
        <v>0</v>
      </c>
      <c r="I164" s="315"/>
      <c r="J164" s="315"/>
      <c r="K164" s="282"/>
      <c r="L164" s="293"/>
      <c r="M164" s="293"/>
      <c r="N164" s="293"/>
      <c r="O164" s="293"/>
      <c r="P164" s="293"/>
      <c r="Q164" s="325"/>
      <c r="R164" s="324"/>
      <c r="S164" s="301"/>
      <c r="T164" s="293"/>
      <c r="U164" s="282"/>
      <c r="V164" s="282"/>
      <c r="W164" s="282"/>
      <c r="X164" s="282"/>
      <c r="Y164" s="282"/>
      <c r="Z164" s="282"/>
      <c r="AA164" s="282"/>
      <c r="AB164" s="282"/>
      <c r="AC164" s="282"/>
      <c r="AD164" s="282"/>
      <c r="AE164" s="282"/>
      <c r="AF164" s="282"/>
      <c r="AG164" s="282"/>
      <c r="AH164" s="282"/>
      <c r="AM164" s="192"/>
      <c r="AN164" s="192"/>
      <c r="AO164" s="192"/>
      <c r="AP164" s="192"/>
      <c r="BM164" s="212" t="s">
        <v>3708</v>
      </c>
      <c r="BO164" s="218" t="s">
        <v>3814</v>
      </c>
      <c r="BP164" s="541" t="s">
        <v>3680</v>
      </c>
      <c r="BQ164" s="332" t="s">
        <v>464</v>
      </c>
      <c r="BU164" s="131"/>
      <c r="CD164" s="175"/>
      <c r="CE164" s="175"/>
      <c r="CF164" s="175"/>
      <c r="CG164" s="175"/>
      <c r="CH164" s="175"/>
      <c r="CI164" s="175"/>
      <c r="CJ164" s="175"/>
      <c r="CK164" s="175"/>
      <c r="CL164" s="175"/>
      <c r="CM164" s="175"/>
      <c r="CN164" s="175"/>
      <c r="CO164" s="175"/>
      <c r="CP164" s="175"/>
      <c r="CQ164" s="175"/>
      <c r="CR164" s="175"/>
      <c r="CS164" s="175"/>
      <c r="CT164" s="175"/>
      <c r="CU164" s="175"/>
      <c r="CV164" s="175"/>
    </row>
    <row r="165" spans="2:116" ht="17.25" thickBot="1">
      <c r="B165" s="515"/>
      <c r="H165" s="297">
        <f t="shared" si="13"/>
        <v>0</v>
      </c>
      <c r="I165" s="315"/>
      <c r="J165" s="315"/>
      <c r="K165" s="282"/>
      <c r="L165" s="293"/>
      <c r="M165" s="293"/>
      <c r="N165" s="293"/>
      <c r="O165" s="293"/>
      <c r="P165" s="293" t="e">
        <f t="array" ref="P165">cal</f>
        <v>#REF!</v>
      </c>
      <c r="Q165" s="293" t="e">
        <v>#REF!</v>
      </c>
      <c r="R165" s="324" t="e">
        <v>#REF!</v>
      </c>
      <c r="S165" s="301" t="e">
        <f>ROUND(IF(P165=0,"",P165*R165),2)</f>
        <v>#REF!</v>
      </c>
      <c r="T165" s="293"/>
      <c r="U165" s="282"/>
      <c r="V165" s="282"/>
      <c r="W165" s="294" t="str">
        <f>IF(I122="S型","S1 "&amp;J122&amp;" 頂板寬"&amp;L122&amp;" "&amp;" "&amp;"預鑄拆除",
IF(I122="L型","L1 "&amp;J122&amp;" 頂板寬"&amp;L122&amp;" "&amp;" "&amp;"預鑄拆除"))</f>
        <v>S1 15cm 頂板寬80cm  預鑄拆除</v>
      </c>
      <c r="X165" s="322"/>
      <c r="Y165" s="322"/>
      <c r="Z165" s="322"/>
      <c r="AA165" s="322"/>
      <c r="AB165" s="322"/>
      <c r="AC165" s="294" t="str">
        <f>IF(I122="S型","S2 "&amp;J122&amp;" 頂板寬"&amp;L122&amp;" "&amp;"格柵"&amp;M122&amp;" "&amp;"預鑄拆除",
IF(I122="L型","L2 "&amp;J122&amp;" 頂板寬"&amp;L122&amp;" "&amp;"格柵"&amp;M122&amp;" "&amp;"預鑄拆除"))</f>
        <v>S2 15cm 頂板寬80cm 格柵40cm 預鑄拆除</v>
      </c>
      <c r="AD165" s="322"/>
      <c r="AE165" s="322"/>
      <c r="AF165" s="322"/>
      <c r="AG165" s="322"/>
      <c r="AH165" s="333"/>
      <c r="AM165" s="192"/>
      <c r="AN165" s="192"/>
      <c r="AO165" s="192"/>
      <c r="AP165" s="192"/>
      <c r="BO165" s="218"/>
      <c r="BP165" s="215"/>
      <c r="BQ165" s="240" t="str">
        <f>"("&amp;$AG$52&amp;"+"&amp;$AG$53&amp;"+"&amp;$AG$53&amp;")*0.05"</f>
        <v>(++)*0.05</v>
      </c>
      <c r="BU165" s="131"/>
      <c r="CD165" s="175"/>
      <c r="CE165" s="175"/>
      <c r="CF165" s="175"/>
      <c r="CG165" s="175"/>
      <c r="CH165" s="175"/>
      <c r="CI165" s="175"/>
      <c r="CJ165" s="175"/>
      <c r="CK165" s="175"/>
      <c r="CL165" s="175"/>
      <c r="CM165" s="175"/>
      <c r="CN165" s="175"/>
      <c r="CO165" s="175"/>
      <c r="CP165" s="175"/>
      <c r="CQ165" s="175"/>
      <c r="CR165" s="175"/>
      <c r="CS165" s="175"/>
      <c r="CT165" s="175"/>
      <c r="CU165" s="175"/>
      <c r="CV165" s="175"/>
    </row>
    <row r="166" spans="2:116">
      <c r="B166" s="192"/>
      <c r="H166" s="297"/>
      <c r="I166" s="334"/>
      <c r="J166" s="334"/>
      <c r="K166" s="335"/>
      <c r="L166" s="293"/>
      <c r="M166" s="293"/>
      <c r="N166" s="293"/>
      <c r="O166" s="293"/>
      <c r="P166" s="293"/>
      <c r="Q166" s="325"/>
      <c r="R166" s="324"/>
      <c r="S166" s="301"/>
      <c r="T166" s="293"/>
      <c r="U166" s="293"/>
      <c r="V166" s="293"/>
      <c r="W166" s="294" t="s">
        <v>3882</v>
      </c>
      <c r="X166" s="295"/>
      <c r="Y166" s="295"/>
      <c r="Z166" s="295"/>
      <c r="AA166" s="295"/>
      <c r="AB166" s="336"/>
      <c r="AC166" s="295" t="s">
        <v>3882</v>
      </c>
      <c r="AD166" s="295"/>
      <c r="AE166" s="295"/>
      <c r="AF166" s="322"/>
      <c r="AG166" s="322"/>
      <c r="AH166" s="333"/>
      <c r="BM166" s="212" t="s">
        <v>3708</v>
      </c>
      <c r="BO166" s="218"/>
      <c r="BP166" s="215"/>
      <c r="BQ166" s="332" t="s">
        <v>1275</v>
      </c>
      <c r="BU166" s="131"/>
      <c r="CD166" s="184"/>
      <c r="CE166" s="184"/>
      <c r="CF166" s="184"/>
      <c r="CG166" s="184"/>
      <c r="CH166" s="184"/>
      <c r="CI166" s="184"/>
      <c r="CJ166" s="184"/>
    </row>
    <row r="167" spans="2:116">
      <c r="B167" s="192"/>
      <c r="H167" s="297"/>
      <c r="I167" s="282"/>
      <c r="J167" s="282"/>
      <c r="K167" s="282"/>
      <c r="L167" s="293"/>
      <c r="M167" s="293"/>
      <c r="N167" s="293"/>
      <c r="O167" s="293"/>
      <c r="P167" s="293" t="e">
        <f t="array" ref="P167">cal</f>
        <v>#REF!</v>
      </c>
      <c r="Q167" s="293" t="s">
        <v>2</v>
      </c>
      <c r="R167" s="324" t="e">
        <v>#VALUE!</v>
      </c>
      <c r="S167" s="301" t="e">
        <f>ROUND(IF(P167=0,"",P167*R167),2)</f>
        <v>#REF!</v>
      </c>
      <c r="T167" s="293"/>
      <c r="U167" s="293"/>
      <c r="V167" s="293"/>
      <c r="W167" s="297">
        <v>1</v>
      </c>
      <c r="X167" s="315"/>
      <c r="Y167" s="315"/>
      <c r="Z167" s="315"/>
      <c r="AA167" s="315"/>
      <c r="AB167" s="316"/>
      <c r="AC167" s="315">
        <v>1</v>
      </c>
      <c r="AD167" s="315"/>
      <c r="AE167" s="315"/>
      <c r="AF167" s="282"/>
      <c r="AG167" s="282"/>
      <c r="AH167" s="328"/>
      <c r="BC167" s="520">
        <v>0</v>
      </c>
      <c r="BM167" s="212" t="s">
        <v>3708</v>
      </c>
      <c r="BO167" s="218"/>
      <c r="BP167" s="215"/>
      <c r="BQ167" s="240" t="str">
        <f>"("&amp;$AG$47&amp;"*("&amp;$AG$48&amp;"+"&amp;$AG$50&amp;")*("&amp;$AG$51&amp;"+"&amp;($AG$53*2)&amp;")-("&amp;$AG$52&amp;"*"&amp;$AG$51&amp;"*"&amp;$AG$48&amp;"))"</f>
        <v>(*(+)*(+0)-(**))</v>
      </c>
      <c r="BU167" s="131"/>
    </row>
    <row r="168" spans="2:116">
      <c r="B168" s="192"/>
      <c r="C168" s="192"/>
      <c r="D168" s="192"/>
      <c r="E168" s="192"/>
      <c r="F168" s="192"/>
      <c r="G168" s="192"/>
      <c r="H168" s="297"/>
      <c r="I168" s="293"/>
      <c r="J168" s="293"/>
      <c r="K168" s="293"/>
      <c r="L168" s="293"/>
      <c r="M168" s="293"/>
      <c r="N168" s="293"/>
      <c r="O168" s="293"/>
      <c r="P168" s="293"/>
      <c r="Q168" s="325"/>
      <c r="R168" s="324"/>
      <c r="S168" s="301"/>
      <c r="T168" s="293"/>
      <c r="U168" s="293"/>
      <c r="V168" s="293"/>
      <c r="W168" s="297"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X168" s="315"/>
      <c r="Y168" s="315"/>
      <c r="Z168" s="315"/>
      <c r="AA168" s="315"/>
      <c r="AB168" s="316"/>
      <c r="AC168" s="31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AD168" s="315"/>
      <c r="AE168" s="315"/>
      <c r="AF168" s="282"/>
      <c r="AG168" s="282"/>
      <c r="AH168" s="328"/>
      <c r="BC168" s="520">
        <v>0</v>
      </c>
      <c r="BM168" s="212" t="s">
        <v>3708</v>
      </c>
      <c r="BO168" s="218" t="s">
        <v>3883</v>
      </c>
      <c r="BP168" s="215"/>
      <c r="BQ168" s="332" t="s">
        <v>1389</v>
      </c>
      <c r="BU168" s="131"/>
    </row>
    <row r="169" spans="2:116">
      <c r="B169" s="192"/>
      <c r="C169" s="192"/>
      <c r="D169" s="192"/>
      <c r="E169" s="192"/>
      <c r="F169" s="192"/>
      <c r="G169" s="192"/>
      <c r="H169" s="297"/>
      <c r="I169" s="293"/>
      <c r="J169" s="293"/>
      <c r="K169" s="293"/>
      <c r="L169" s="293"/>
      <c r="M169" s="293"/>
      <c r="N169" s="293"/>
      <c r="O169" s="293"/>
      <c r="P169" s="293"/>
      <c r="Q169" s="325"/>
      <c r="R169" s="324"/>
      <c r="S169" s="301"/>
      <c r="T169" s="293"/>
      <c r="U169" s="293"/>
      <c r="V169" s="293"/>
      <c r="W169" s="297" t="str">
        <f>IF(AND($O$122="新設",$I$122="S型"),"("&amp;$Q$122&amp;"*"&amp;$R$122&amp;")",
IF(AND($O$122="更新",$I$122="S型"),"("&amp;$Q$122&amp;"*"&amp;$R$122&amp;")",
IF(AND($O$122="新設",$I$122="L型"),"("&amp;$Q$122&amp;"*"&amp;$R$122&amp;"+(0.15+0.18)*0.15/2"&amp;")",
IF(AND($O$122="更新",$I$122="L型"),"("&amp;$Q$122&amp;"*"&amp;$R$122&amp;"+(0.15+0.18)*0.15/2"&amp;")"))))</f>
        <v>(0.8*0.15)</v>
      </c>
      <c r="X169" s="315"/>
      <c r="Y169" s="315"/>
      <c r="Z169" s="315"/>
      <c r="AA169" s="315"/>
      <c r="AB169" s="316"/>
      <c r="AC169" s="315" t="str">
        <f>IF($O$122="新設","("&amp;$Q$122&amp;"*"&amp;$R$122&amp;")",
IF($O$122="更新","("&amp;$Q$122&amp;"*"&amp;$R$122&amp;"-"&amp;$S$122&amp;"*"&amp;$R$122&amp;")"))</f>
        <v>(0.8*0.15-0.45*0.65*0.15)</v>
      </c>
      <c r="AD169" s="315"/>
      <c r="AE169" s="315"/>
      <c r="AF169" s="282"/>
      <c r="AG169" s="282"/>
      <c r="AH169" s="328"/>
      <c r="BM169" s="212" t="s">
        <v>3708</v>
      </c>
      <c r="BO169" s="542" t="s">
        <v>3860</v>
      </c>
      <c r="BP169" s="215"/>
      <c r="BQ169" s="337" t="str">
        <f>"("&amp;$AG$52&amp;"*"&amp;$AG$48&amp;")*2+("&amp;$AG$51&amp;"*"&amp;$AG$48&amp;")*2"</f>
        <v>(*)*2+(*)*2</v>
      </c>
      <c r="BU169" s="131"/>
    </row>
    <row r="170" spans="2:116" ht="17.25" thickBot="1">
      <c r="B170" s="192"/>
      <c r="C170" s="192"/>
      <c r="D170" s="192"/>
      <c r="E170" s="192"/>
      <c r="F170" s="192"/>
      <c r="G170" s="192"/>
      <c r="H170" s="317"/>
      <c r="I170" s="319"/>
      <c r="J170" s="319"/>
      <c r="K170" s="319"/>
      <c r="L170" s="319"/>
      <c r="M170" s="319"/>
      <c r="N170" s="319"/>
      <c r="O170" s="319"/>
      <c r="P170" s="319"/>
      <c r="Q170" s="319"/>
      <c r="R170" s="319"/>
      <c r="S170" s="320"/>
      <c r="T170" s="293"/>
      <c r="U170" s="293"/>
      <c r="V170" s="293"/>
      <c r="W170" s="297" t="s">
        <v>16</v>
      </c>
      <c r="X170" s="315"/>
      <c r="Y170" s="315"/>
      <c r="Z170" s="315"/>
      <c r="AA170" s="315"/>
      <c r="AB170" s="316"/>
      <c r="AC170" s="315" t="s">
        <v>16</v>
      </c>
      <c r="AD170" s="315"/>
      <c r="AE170" s="315"/>
      <c r="AF170" s="282"/>
      <c r="AG170" s="282"/>
      <c r="AH170" s="328"/>
      <c r="BM170" s="212" t="s">
        <v>3708</v>
      </c>
      <c r="BO170" s="542" t="s">
        <v>3861</v>
      </c>
      <c r="BP170" s="215"/>
      <c r="BQ170" s="332" t="s">
        <v>513</v>
      </c>
      <c r="BU170" s="131"/>
    </row>
    <row r="171" spans="2:116">
      <c r="B171" s="192"/>
      <c r="C171" s="192"/>
      <c r="D171" s="192"/>
      <c r="E171" s="192"/>
      <c r="F171" s="192"/>
      <c r="G171" s="192"/>
      <c r="W171" s="297" t="str">
        <f>IF(AND($O$122="新設",$I$122="S型"),"("&amp;$Q$122&amp;"*"&amp;$R$122&amp;")",
IF(AND($O$122="更新",$I$122="S型"),"("&amp;$Q$122&amp;"*"&amp;$R$122&amp;")",
IF(AND($O$122="新設",$I$122="L型"),"("&amp;$Q$122&amp;"*"&amp;$R$122&amp;"+(0.15+0.18)*0.15/2"&amp;")",
IF(AND($O$122="更新",$I$122="L型"),"("&amp;$Q$122&amp;"*"&amp;$R$122&amp;"+(0.15+0.18)*0.15/2"&amp;")"))))</f>
        <v>(0.8*0.15)</v>
      </c>
      <c r="X171" s="315"/>
      <c r="Y171" s="315"/>
      <c r="Z171" s="315"/>
      <c r="AA171" s="315"/>
      <c r="AB171" s="316"/>
      <c r="AC171" s="315" t="str">
        <f>IF($O$122="新設","("&amp;$Q$122&amp;"*"&amp;$R$122&amp;")",
IF($O$122="更新","("&amp;$Q$122&amp;"*"&amp;$R$122&amp;"-"&amp;$S$122&amp;"*"&amp;$R$122&amp;")"))</f>
        <v>(0.8*0.15-0.45*0.65*0.15)</v>
      </c>
      <c r="AD171" s="315"/>
      <c r="AE171" s="315"/>
      <c r="AF171" s="282"/>
      <c r="AG171" s="282"/>
      <c r="AH171" s="328"/>
      <c r="BO171" s="542" t="s">
        <v>3884</v>
      </c>
      <c r="BP171" s="215"/>
      <c r="BQ171" s="337" t="e">
        <f>#REF!&amp;"+"&amp;#REF!&amp;"+"&amp;#REF!</f>
        <v>#REF!</v>
      </c>
      <c r="BU171" s="131"/>
    </row>
    <row r="172" spans="2:116">
      <c r="W172" s="297" t="s">
        <v>3843</v>
      </c>
      <c r="X172" s="315"/>
      <c r="Y172" s="315"/>
      <c r="Z172" s="315"/>
      <c r="AA172" s="315"/>
      <c r="AB172" s="316"/>
      <c r="AC172" s="315" t="s">
        <v>3843</v>
      </c>
      <c r="AD172" s="315"/>
      <c r="AE172" s="315"/>
      <c r="AF172" s="282"/>
      <c r="AG172" s="282"/>
      <c r="AH172" s="328"/>
      <c r="BO172" s="218" t="s">
        <v>3885</v>
      </c>
      <c r="BP172" s="215"/>
      <c r="BU172" s="131"/>
    </row>
    <row r="173" spans="2:116">
      <c r="W173" s="297">
        <f>IF($AF$122=0,$AG$122,$AF$122&amp;"+"&amp;$AG$122)</f>
        <v>24.09</v>
      </c>
      <c r="X173" s="315"/>
      <c r="Y173" s="315"/>
      <c r="Z173" s="315"/>
      <c r="AA173" s="315"/>
      <c r="AB173" s="316"/>
      <c r="AC173" s="315" t="str">
        <f>$AF$125&amp;"+"&amp;$AG$125</f>
        <v>7.71+25.85</v>
      </c>
      <c r="AD173" s="315"/>
      <c r="AE173" s="315"/>
      <c r="AF173" s="282"/>
      <c r="AG173" s="282"/>
      <c r="AH173" s="328"/>
      <c r="BO173" s="542" t="s">
        <v>3860</v>
      </c>
      <c r="BP173" s="215"/>
      <c r="BU173" s="131"/>
    </row>
    <row r="174" spans="2:116">
      <c r="W174" s="297" t="s">
        <v>3845</v>
      </c>
      <c r="X174" s="315"/>
      <c r="Y174" s="315"/>
      <c r="Z174" s="315"/>
      <c r="AA174" s="315"/>
      <c r="AB174" s="316"/>
      <c r="AC174" s="315" t="s">
        <v>3845</v>
      </c>
      <c r="AD174" s="315"/>
      <c r="AE174" s="315"/>
      <c r="AF174" s="284"/>
      <c r="AG174" s="284"/>
      <c r="AH174" s="338"/>
      <c r="BO174" s="542" t="s">
        <v>3861</v>
      </c>
      <c r="BP174" s="215"/>
      <c r="BU174" s="131"/>
    </row>
    <row r="175" spans="2:116" ht="17.25" customHeight="1" thickBot="1">
      <c r="B175" s="1507" t="str">
        <f>IF(J184=0,"",IF( (AND(J184&lt;150000,AM186=0)),"￭施工費小於15萬元，未編列『小型動復員』                                     ",""))&amp;
IF(J184=0,"",IF( (AND((J184-AN186)&gt;=150000,AM186=1)),"￭施工費大於15萬元，不需編列『小型動復員』                                     ",""))&amp;
IF(AND((AM192+AM194)&lt;&gt;0,(AM196+AM198)&lt;&gt;0),"￭錯誤-銑鋪『一般工項』及『搶修工項』並列                                     ","")&amp;
IF(OR(AND(AM188&lt;&gt;0,AM189&lt;&gt;0),AND(AM188&lt;&gt;0,AM190&lt;&gt;0),AND(AM188&lt;&gt;0,AM191&lt;&gt;0),AND(AM189&lt;&gt;0,AM190&lt;&gt;0),AND(AM189&lt;&gt;0,AM191&lt;&gt;0),AND(AM190&lt;&gt;0,AM191&lt;&gt;0),),"￭錯誤-『餘方自行處理』工項並列                                     ","")&amp;
IF(AND(AM187&lt;&gt;0,(AM192+AM194)&lt;&gt;0),"￭錯誤-本案應為『緊急搶修』AC工項錯誤                                            ","")&amp;
IF(J184=0,"",IF(AND(AND(AM200=0,AM201=0,AM202=0,AM203=0),AM187=0),"￭錯誤-本案應為『搶修案』未開立『緊急搶修，路面開挖』                                     ","")    )   &amp;
IF(AND(OR(AM200&lt;&gt;0,AM201&lt;&gt;0,AM202&lt;&gt;0,AM203&lt;&gt;0),AM187&lt;&gt;0),"￭錯誤-本案應為『一般案』不需開立『緊急搶修，路面開挖』                                     ","")</f>
        <v/>
      </c>
      <c r="C175" s="1507"/>
      <c r="D175" s="1507"/>
      <c r="E175" s="1507"/>
      <c r="F175" s="1507"/>
      <c r="G175" s="1507"/>
      <c r="H175" s="1507"/>
      <c r="I175" s="1507"/>
      <c r="J175" s="1507"/>
      <c r="W175" s="297" t="str">
        <f>$Q$122-0.2&amp;"*1"</f>
        <v>0.6*1</v>
      </c>
      <c r="X175" s="315"/>
      <c r="Y175" s="315"/>
      <c r="Z175" s="315"/>
      <c r="AA175" s="315"/>
      <c r="AB175" s="316"/>
      <c r="AC175" s="315" t="str">
        <f>$Q$122-0.2&amp;"*1-"&amp;$S$122</f>
        <v>0.6*1-0.45*0.65</v>
      </c>
      <c r="AD175" s="315"/>
      <c r="AE175" s="315"/>
      <c r="AF175" s="282"/>
      <c r="AG175" s="282"/>
      <c r="AH175" s="328"/>
      <c r="BO175" s="543" t="s">
        <v>3884</v>
      </c>
      <c r="BP175" s="129"/>
      <c r="BQ175" s="141"/>
      <c r="BR175" s="141"/>
      <c r="BS175" s="141"/>
      <c r="BT175" s="141"/>
      <c r="BU175" s="140"/>
    </row>
    <row r="176" spans="2:116">
      <c r="B176" s="1507"/>
      <c r="C176" s="1507"/>
      <c r="D176" s="1507"/>
      <c r="E176" s="1507"/>
      <c r="F176" s="1507"/>
      <c r="G176" s="1507"/>
      <c r="H176" s="1507"/>
      <c r="I176" s="1507"/>
      <c r="J176" s="1507"/>
      <c r="W176" s="297" t="s">
        <v>2937</v>
      </c>
      <c r="X176" s="315"/>
      <c r="Y176" s="315"/>
      <c r="Z176" s="315"/>
      <c r="AA176" s="315"/>
      <c r="AB176" s="316"/>
      <c r="AC176" s="315" t="str">
        <f>IF(AND($M$122="40cm",$N$122="一般型"),"鍍鋅格柵板及框座，(框53.6cm，蓋45cm)",
IF(AND($M$122="50cm",$N$122="一般型"),"鍍鋅格柵板及框座，(框63.6cm，蓋55cm)",
IF(AND($M$122="60cm",$N$122="一般型"),"鍍鋅格柵板及框座，(框73.6cm，蓋65cm)",
IF(AND($M$122="40cm",$N$122="細目型"),"鍍鋅格柵蓋板，(框53.6cm，蓋45cm)，細目型",
IF(AND($M$122="50cm",$N$122="細目型"),"鍍鋅格柵蓋板，(框63.6cm，蓋55cm)，細目型",
IF(AND($M$122="60cm",$N$122="細目型"),"鍍鋅格柵蓋板，(框73.6cm，蓋65cm)，細目型"))))))</f>
        <v>鍍鋅格柵板及框座，(框53.6cm，蓋45cm)</v>
      </c>
      <c r="AD176" s="315"/>
      <c r="AE176" s="315"/>
      <c r="AF176" s="282"/>
      <c r="AG176" s="282"/>
      <c r="AH176" s="328"/>
    </row>
    <row r="177" spans="2:87">
      <c r="B177" s="1507"/>
      <c r="C177" s="1507"/>
      <c r="D177" s="1507"/>
      <c r="E177" s="1507"/>
      <c r="F177" s="1507"/>
      <c r="G177" s="1507"/>
      <c r="H177" s="1507"/>
      <c r="I177" s="1507"/>
      <c r="J177" s="1507"/>
      <c r="M177" s="340"/>
      <c r="W177" s="297">
        <f>IF($J$122="13cm",$R$122+0.02,
IF($J$122="15cm",$R$122+0.02))</f>
        <v>0.16999999999999998</v>
      </c>
      <c r="X177" s="315"/>
      <c r="Y177" s="315"/>
      <c r="Z177" s="315"/>
      <c r="AA177" s="315"/>
      <c r="AB177" s="316"/>
      <c r="AC177" s="315" t="s">
        <v>465</v>
      </c>
      <c r="AD177" s="315"/>
      <c r="AE177" s="315"/>
      <c r="AF177" s="282"/>
      <c r="AG177" s="282"/>
      <c r="AH177" s="328"/>
    </row>
    <row r="178" spans="2:87">
      <c r="B178" s="1507"/>
      <c r="C178" s="1507"/>
      <c r="D178" s="1507"/>
      <c r="E178" s="1507"/>
      <c r="F178" s="1507"/>
      <c r="G178" s="1507"/>
      <c r="H178" s="1507"/>
      <c r="I178" s="1507"/>
      <c r="J178" s="1507"/>
      <c r="L178" s="1547" t="str">
        <f>IF( J184=0,"",IF( (AND(J184&lt;=150000,AM186=0)),"￭施工費小餘15萬元，未編列『小型動復員』                                     ",""))</f>
        <v/>
      </c>
      <c r="M178" s="1547"/>
      <c r="N178" s="1547"/>
      <c r="O178" s="1547"/>
      <c r="P178" s="1547"/>
      <c r="Q178" s="1547"/>
      <c r="R178" s="1547"/>
      <c r="W178" s="297" t="s">
        <v>3878</v>
      </c>
      <c r="X178" s="315"/>
      <c r="Y178" s="315"/>
      <c r="Z178" s="315"/>
      <c r="AA178" s="315"/>
      <c r="AB178" s="316"/>
      <c r="AC178" s="315" t="s">
        <v>3878</v>
      </c>
      <c r="AD178" s="315"/>
      <c r="AE178" s="315"/>
      <c r="AF178" s="284"/>
      <c r="AG178" s="284"/>
      <c r="AH178" s="338"/>
    </row>
    <row r="179" spans="2:87">
      <c r="B179" s="1507"/>
      <c r="C179" s="1507"/>
      <c r="D179" s="1507"/>
      <c r="E179" s="1507"/>
      <c r="F179" s="1507"/>
      <c r="G179" s="1507"/>
      <c r="H179" s="1507"/>
      <c r="I179" s="1507"/>
      <c r="J179" s="1507"/>
      <c r="L179" s="1547"/>
      <c r="M179" s="1547"/>
      <c r="N179" s="1547"/>
      <c r="O179" s="1547"/>
      <c r="P179" s="1547"/>
      <c r="Q179" s="1547"/>
      <c r="R179" s="1547"/>
      <c r="W179" s="297" t="str">
        <f>IF($I$122="S型","1*"&amp;$R$122,
IF($I$122="L型","1*"&amp;$R$122&amp;"*2"))</f>
        <v>1*0.15</v>
      </c>
      <c r="X179" s="315"/>
      <c r="Y179" s="315"/>
      <c r="Z179" s="315"/>
      <c r="AA179" s="315"/>
      <c r="AB179" s="316"/>
      <c r="AC179" s="315" t="str">
        <f>IF($I$122="S型","("&amp;$T$122&amp;")*"&amp;$R$122&amp;"*2+1*"&amp;$R$122,
IF($I$122="L型","("&amp;$T$122&amp;")*"&amp;$R$122&amp;"*2+1*"&amp;$R$122&amp;"*2"))</f>
        <v>(0.45+0.65)*0.15*2+1*0.15</v>
      </c>
      <c r="AD179" s="315"/>
      <c r="AE179" s="315"/>
      <c r="AF179" s="282"/>
      <c r="AG179" s="282"/>
      <c r="AH179" s="328"/>
    </row>
    <row r="180" spans="2:87">
      <c r="B180" s="1507"/>
      <c r="C180" s="1507"/>
      <c r="D180" s="1507"/>
      <c r="E180" s="1507"/>
      <c r="F180" s="1507"/>
      <c r="G180" s="1507"/>
      <c r="H180" s="1507"/>
      <c r="I180" s="1507"/>
      <c r="J180" s="1507"/>
      <c r="L180" s="1547"/>
      <c r="M180" s="1547"/>
      <c r="N180" s="1547"/>
      <c r="O180" s="1547"/>
      <c r="P180" s="1547"/>
      <c r="Q180" s="1547"/>
      <c r="R180" s="1547"/>
      <c r="S180" s="341"/>
      <c r="T180" s="341"/>
      <c r="U180" s="341"/>
      <c r="V180" s="341"/>
      <c r="W180" s="297" t="str">
        <f>IF($P$122="無標線"," ",
IF($I$122="L型","油漆，一底二度，耐候性油漆塗佈",
IF($I$122="S型","標線，熱處理聚酯，反光，厚2mm，第Ⅱ型，12公尺以下道路及零星路段繪設")))</f>
        <v xml:space="preserve"> </v>
      </c>
      <c r="X180" s="315"/>
      <c r="Y180" s="315"/>
      <c r="Z180" s="315"/>
      <c r="AA180" s="315"/>
      <c r="AB180" s="316"/>
      <c r="AC180" s="315" t="str">
        <f>IF($P$122="無標線"," ",
IF($I$122="L型","油漆，一底二度，耐候性油漆塗佈",
IF($I$122="S型","標線，熱處理聚酯，反光，厚2mm，第Ⅱ型，12公尺以下道路及零星路段繪設")))</f>
        <v xml:space="preserve"> </v>
      </c>
      <c r="AD180" s="315"/>
      <c r="AE180" s="315"/>
      <c r="AF180" s="282"/>
      <c r="AG180" s="282"/>
      <c r="AH180" s="328"/>
    </row>
    <row r="181" spans="2:87" ht="17.25" thickBot="1">
      <c r="B181" s="1507"/>
      <c r="C181" s="1507"/>
      <c r="D181" s="1507"/>
      <c r="E181" s="1507"/>
      <c r="F181" s="1507"/>
      <c r="G181" s="1507"/>
      <c r="H181" s="1507"/>
      <c r="I181" s="1507"/>
      <c r="J181" s="1507"/>
      <c r="L181" s="277"/>
      <c r="M181" s="277"/>
      <c r="N181" s="277"/>
      <c r="O181" s="277"/>
      <c r="P181" s="277"/>
      <c r="S181" s="341"/>
      <c r="T181" s="341"/>
      <c r="U181" s="341"/>
      <c r="V181" s="341"/>
      <c r="W181" s="297" t="str">
        <f>IF($P$122="無標線"," ",
IF($I$122="L型","0.15*1*2",
IF($I$122="S型","0.1*1")))</f>
        <v xml:space="preserve"> </v>
      </c>
      <c r="X181" s="315"/>
      <c r="Y181" s="315"/>
      <c r="Z181" s="315"/>
      <c r="AA181" s="315"/>
      <c r="AB181" s="316"/>
      <c r="AC181" s="315" t="str">
        <f>IF($P$122="無標線"," ",
IF($I$122="L型","0.15*1*2",
IF($I$122="S型","0.1*1")))</f>
        <v xml:space="preserve"> </v>
      </c>
      <c r="AD181" s="315"/>
      <c r="AE181" s="315"/>
      <c r="AF181" s="282"/>
      <c r="AG181" s="282"/>
      <c r="AH181" s="328"/>
    </row>
    <row r="182" spans="2:87" ht="17.25" thickBot="1">
      <c r="B182" s="1507"/>
      <c r="C182" s="1507"/>
      <c r="D182" s="1507"/>
      <c r="E182" s="1507"/>
      <c r="F182" s="1507"/>
      <c r="G182" s="1507"/>
      <c r="H182" s="1507"/>
      <c r="I182" s="1507"/>
      <c r="J182" s="1507"/>
      <c r="L182" s="277"/>
      <c r="M182" s="277"/>
      <c r="N182" s="277"/>
      <c r="O182" s="277"/>
      <c r="P182" s="277"/>
      <c r="S182" s="341"/>
      <c r="T182" s="341"/>
      <c r="U182" s="341"/>
      <c r="V182" s="341"/>
      <c r="W182" s="317"/>
      <c r="X182" s="342"/>
      <c r="Y182" s="342"/>
      <c r="Z182" s="342"/>
      <c r="AA182" s="342"/>
      <c r="AB182" s="343"/>
      <c r="AC182" s="318"/>
      <c r="AD182" s="342"/>
      <c r="AE182" s="342"/>
      <c r="AF182" s="344"/>
      <c r="AG182" s="344"/>
      <c r="AH182" s="345"/>
      <c r="BO182" s="1548" t="s">
        <v>3992</v>
      </c>
      <c r="BP182" s="1549"/>
      <c r="BQ182" s="1549"/>
      <c r="BR182" s="1549"/>
      <c r="BS182" s="1550"/>
      <c r="BT182" s="126"/>
      <c r="BU182" s="1548"/>
      <c r="BV182" s="1549"/>
      <c r="BW182" s="1549"/>
      <c r="BX182" s="1549"/>
      <c r="BY182" s="1550"/>
      <c r="BZ182" s="126"/>
      <c r="CB182" s="515"/>
    </row>
    <row r="183" spans="2:87" ht="17.25" thickBot="1">
      <c r="U183" s="341"/>
      <c r="V183" s="341"/>
      <c r="W183" s="341"/>
      <c r="X183" s="341"/>
      <c r="Y183" s="341"/>
      <c r="Z183" s="341"/>
      <c r="AA183" s="341"/>
      <c r="AB183" s="341"/>
      <c r="BO183" s="544" t="s">
        <v>3850</v>
      </c>
      <c r="BP183" s="545" t="s">
        <v>3888</v>
      </c>
      <c r="BQ183" s="545" t="s">
        <v>3853</v>
      </c>
      <c r="BR183" s="545" t="s">
        <v>3889</v>
      </c>
      <c r="BS183" s="545" t="s">
        <v>3890</v>
      </c>
      <c r="BT183" s="131"/>
      <c r="BU183" s="544" t="s">
        <v>3850</v>
      </c>
      <c r="BV183" s="545" t="s">
        <v>3888</v>
      </c>
      <c r="BW183" s="545" t="s">
        <v>3853</v>
      </c>
      <c r="BX183" s="545" t="s">
        <v>3889</v>
      </c>
      <c r="BY183" s="545" t="s">
        <v>3890</v>
      </c>
      <c r="BZ183" s="131"/>
      <c r="CB183" s="515"/>
      <c r="CC183" s="1541" t="str">
        <f>IF(數量計算!$F$140="更新","暗溝更新 寬"&amp;CD191*100&amp;"cm*平均深"&amp;CD187*100&amp;"cm",
IF(數量計算!$F$140="新設","新設暗溝 寬"&amp;CD191*100&amp;"cm*平均深"&amp;CD187*100&amp;"cm"))</f>
        <v>新設暗溝 寬50cm*平均深47cm</v>
      </c>
      <c r="CD183" s="1542"/>
      <c r="CE183" s="1542"/>
      <c r="CF183" s="1542"/>
      <c r="CG183" s="1542"/>
      <c r="CH183" s="1542"/>
      <c r="CI183" s="1543"/>
    </row>
    <row r="184" spans="2:87" ht="17.25" customHeight="1" thickBot="1">
      <c r="B184" s="1554" t="s">
        <v>3942</v>
      </c>
      <c r="C184" s="1513"/>
      <c r="D184" s="1513"/>
      <c r="E184" s="1513"/>
      <c r="F184" s="1513"/>
      <c r="G184" s="1513"/>
      <c r="H184" s="1514"/>
      <c r="I184" s="350" t="s">
        <v>2898</v>
      </c>
      <c r="J184" s="350">
        <f>SUM(J185:J234)</f>
        <v>0</v>
      </c>
      <c r="L184" s="6" t="s">
        <v>3891</v>
      </c>
      <c r="U184" s="341"/>
      <c r="V184" s="341"/>
      <c r="W184" s="341"/>
      <c r="X184" s="341"/>
      <c r="Y184" s="341"/>
      <c r="Z184" s="341"/>
      <c r="AA184" s="341"/>
      <c r="AB184" s="341"/>
      <c r="BO184" s="544">
        <f>數量計算!A206</f>
        <v>0</v>
      </c>
      <c r="BP184" s="545">
        <f>數量計算!B206*0.01</f>
        <v>0</v>
      </c>
      <c r="BQ184" s="546">
        <f>數量計算!C206</f>
        <v>0</v>
      </c>
      <c r="BR184" s="272" t="str">
        <f>IF($BW$184="5cm","0.05","0.10")</f>
        <v>0.10</v>
      </c>
      <c r="BS184" s="132">
        <f>IF($BW$184="5cm",$BV$184-0.05,$BV$184-0.1)</f>
        <v>4.9999999999999989E-2</v>
      </c>
      <c r="BT184" s="351"/>
      <c r="BU184" s="544">
        <f>數量計算!G206</f>
        <v>5</v>
      </c>
      <c r="BV184" s="545">
        <f>數量計算!H206*0.01</f>
        <v>0.15</v>
      </c>
      <c r="BW184" s="546" t="str">
        <f>數量計算!I206</f>
        <v>10cm</v>
      </c>
      <c r="BX184" s="272" t="str">
        <f>IF($BW$184="5cm","0.05","0.10")</f>
        <v>0.10</v>
      </c>
      <c r="BY184" s="132">
        <f>IF($BW$184="5cm",$BV$184-0.05,$BV$184-0.1)</f>
        <v>4.9999999999999989E-2</v>
      </c>
      <c r="BZ184" s="351"/>
      <c r="CC184" s="1544"/>
      <c r="CD184" s="1545"/>
      <c r="CE184" s="1545"/>
      <c r="CF184" s="1545"/>
      <c r="CG184" s="1545"/>
      <c r="CH184" s="1545"/>
      <c r="CI184" s="1546"/>
    </row>
    <row r="185" spans="2:87" ht="17.25" thickBot="1">
      <c r="B185" s="353"/>
      <c r="C185" s="353"/>
      <c r="D185" s="353"/>
      <c r="E185" s="353"/>
      <c r="F185" s="353"/>
      <c r="G185" s="353"/>
      <c r="H185" s="353"/>
      <c r="I185" s="353"/>
      <c r="J185" s="353"/>
      <c r="U185" s="341"/>
      <c r="V185" s="341"/>
      <c r="W185" s="341"/>
      <c r="X185" s="341"/>
      <c r="Y185" s="341"/>
      <c r="Z185" s="341"/>
      <c r="AA185" s="341"/>
      <c r="AB185" s="341"/>
      <c r="AG185" s="6" t="s">
        <v>3892</v>
      </c>
      <c r="AH185" s="1555" t="s">
        <v>3893</v>
      </c>
      <c r="AI185" s="1555"/>
      <c r="AJ185" s="1555"/>
      <c r="AK185" s="1555"/>
      <c r="AL185" s="1555"/>
      <c r="AM185" s="6" t="s">
        <v>3894</v>
      </c>
      <c r="AN185" s="341"/>
      <c r="AO185" s="341"/>
      <c r="BO185" s="130" t="str">
        <f>IF(BU185=" "," ",BU185)</f>
        <v>AC修復(112)</v>
      </c>
      <c r="BP185" s="138"/>
      <c r="BQ185" s="138"/>
      <c r="BR185" s="138"/>
      <c r="BS185" s="138"/>
      <c r="BT185" s="131"/>
      <c r="BU185" s="130" t="str">
        <f>IF(數量計算!$E$206="樹脂混凝土修復",BU217,
IF(數量計算!$E$206="RC修復",BO201,
IF(數量計算!$E$206="AC回填復舊(111)",BU201,
IF(數量計算!$E$206="AC回填復舊(112)",BO217,
" "))))</f>
        <v>AC修復(112)</v>
      </c>
      <c r="BZ185" s="131"/>
      <c r="CC185" s="125" t="s">
        <v>3752</v>
      </c>
      <c r="CD185" s="126"/>
      <c r="CE185" s="181" t="s">
        <v>3876</v>
      </c>
      <c r="CF185" s="182"/>
      <c r="CG185" s="182"/>
      <c r="CH185" s="182"/>
      <c r="CI185" s="183"/>
    </row>
    <row r="186" spans="2:87" ht="16.5" customHeight="1" thickBot="1">
      <c r="B186" s="353"/>
      <c r="C186" s="353"/>
      <c r="D186" s="353"/>
      <c r="E186" s="353"/>
      <c r="F186" s="353"/>
      <c r="G186" s="353"/>
      <c r="H186" s="353"/>
      <c r="I186" s="353"/>
      <c r="J186" s="353"/>
      <c r="L186" s="6" t="s">
        <v>3887</v>
      </c>
      <c r="U186" s="341"/>
      <c r="V186" s="341"/>
      <c r="W186" s="341"/>
      <c r="X186" s="341"/>
      <c r="Y186" s="341"/>
      <c r="Z186" s="341"/>
      <c r="AA186" s="341"/>
      <c r="AB186" s="341"/>
      <c r="AG186" s="277" t="s">
        <v>3832</v>
      </c>
      <c r="AH186" s="1555" t="s">
        <v>3895</v>
      </c>
      <c r="AI186" s="1555"/>
      <c r="AJ186" s="1555"/>
      <c r="AK186" s="1555"/>
      <c r="AL186" s="1555"/>
      <c r="AM186" s="6">
        <v>0</v>
      </c>
      <c r="AN186" s="6">
        <v>0</v>
      </c>
      <c r="AO186" s="341"/>
      <c r="BO186" s="130" t="str">
        <f t="shared" ref="BO186:BO195" si="14">IF(BU186=" "," ",BU186)</f>
        <v>基地及路幅開挖，未含運費，(機械挖，0.7-0.79m3開挖機).</v>
      </c>
      <c r="BP186" s="138"/>
      <c r="BQ186" s="138"/>
      <c r="BR186" s="138"/>
      <c r="BS186" s="138"/>
      <c r="BT186" s="131"/>
      <c r="BU186" s="130" t="str">
        <f>IF(數量計算!$E$206="樹脂混凝土修復",BU218,
IF(數量計算!$E$206="RC修復",BO202,
IF(數量計算!$E$206="AC回填復舊(111)",BU202,
IF(數量計算!$E$206="AC回填復舊(112)",BO218,
" "))))</f>
        <v>基地及路幅開挖，未含運費，(機械挖，0.7-0.79m3開挖機).</v>
      </c>
      <c r="BZ186" s="131"/>
      <c r="CC186" s="309" t="s">
        <v>3709</v>
      </c>
      <c r="CD186" s="213">
        <f>(數量計算!$B$142+數量計算!$D$142+數量計算!$D$142)*0.01</f>
        <v>0.9</v>
      </c>
      <c r="CE186" s="310" t="str">
        <f>IF(數量計算!$F$140="更新","機械拆除，鋼筋混凝土，未含運費.","基地及路幅開挖，未含運費，(機械挖，0.7-0.79m3開挖機).")</f>
        <v>基地及路幅開挖，未含運費，(機械挖，0.7-0.79m3開挖機).</v>
      </c>
      <c r="CF186" s="127"/>
      <c r="CG186" s="127"/>
      <c r="CH186" s="127"/>
      <c r="CI186" s="126"/>
    </row>
    <row r="187" spans="2:87" ht="17.25" customHeight="1" thickBot="1">
      <c r="B187" s="353"/>
      <c r="C187" s="353"/>
      <c r="D187" s="353"/>
      <c r="E187" s="353"/>
      <c r="F187" s="353"/>
      <c r="G187" s="353"/>
      <c r="H187" s="353"/>
      <c r="I187" s="353"/>
      <c r="J187" s="353"/>
      <c r="AG187" s="277"/>
      <c r="AH187" s="1555" t="s">
        <v>3896</v>
      </c>
      <c r="AI187" s="1555"/>
      <c r="AJ187" s="1555"/>
      <c r="AK187" s="1555"/>
      <c r="AL187" s="1555"/>
      <c r="AM187" s="6">
        <v>1</v>
      </c>
      <c r="AO187" s="341"/>
      <c r="BO187" s="130" t="str">
        <f t="shared" si="14"/>
        <v>5*0.1*0.15</v>
      </c>
      <c r="BP187" s="138"/>
      <c r="BQ187" s="138"/>
      <c r="BR187" s="138"/>
      <c r="BS187" s="138"/>
      <c r="BT187" s="131"/>
      <c r="BU187" s="130" t="str">
        <f>IF(數量計算!$E$206="樹脂混凝土修復",BU219,
IF(數量計算!$E$206="RC修復",BO203,
IF(數量計算!$E$206="AC回填復舊(111)",BU203,
IF(數量計算!$E$206="AC回填復舊(112)",BO219,
" "))))</f>
        <v>5*0.1*0.15</v>
      </c>
      <c r="BZ187" s="131"/>
      <c r="CC187" s="218" t="s">
        <v>3877</v>
      </c>
      <c r="CD187" s="215">
        <f>數量計算!$C$142*0.01</f>
        <v>0.47000000000000003</v>
      </c>
      <c r="CE187" s="6" t="str">
        <f>IF(數量計算!$F$140="更新","("&amp;""&amp;$CD$186&amp;"*("&amp;$CD$187&amp;"+"&amp;$CD$188&amp;")-("&amp;$CD$190&amp;"*"&amp;$CD$191&amp;")-(("&amp;$CD$193&amp;"^2)*3.14*0.5))*0.8","("&amp;""&amp;$CD$186&amp;"*("&amp;$CD$187&amp;"+"&amp;$CD$188&amp;"))*0.8")</f>
        <v>(0.9*(0.47+0.25))*0.8</v>
      </c>
      <c r="CI187" s="131"/>
    </row>
    <row r="188" spans="2:87" ht="17.25" customHeight="1" thickBot="1">
      <c r="B188" s="353"/>
      <c r="C188" s="353"/>
      <c r="D188" s="353"/>
      <c r="E188" s="353"/>
      <c r="F188" s="353"/>
      <c r="G188" s="353"/>
      <c r="H188" s="353"/>
      <c r="I188" s="353"/>
      <c r="J188" s="353"/>
      <c r="AG188" s="6" t="s">
        <v>3897</v>
      </c>
      <c r="AH188" s="1555" t="s">
        <v>3898</v>
      </c>
      <c r="AI188" s="1555"/>
      <c r="AJ188" s="1555"/>
      <c r="AK188" s="1555"/>
      <c r="AL188" s="1555"/>
      <c r="AM188" s="6">
        <v>0</v>
      </c>
      <c r="AN188" s="341"/>
      <c r="AO188" s="341"/>
      <c r="BO188" s="130" t="str">
        <f t="shared" si="14"/>
        <v>餘方自行處理(含水土保持)，總重15t以下傾卸貨車</v>
      </c>
      <c r="BP188" s="700"/>
      <c r="BQ188" s="700"/>
      <c r="BR188" s="700"/>
      <c r="BS188" s="700"/>
      <c r="BT188" s="356"/>
      <c r="BU188" s="130" t="str">
        <f>IF(數量計算!$E$206="樹脂混凝土修復",BU220,
IF(數量計算!$E$206="RC修復",BO204,
IF(數量計算!$E$206="AC回填復舊(111)",BU204,
IF(數量計算!$E$206="AC回填復舊(112)",BO220,
" "))))</f>
        <v>餘方自行處理(含水土保持)，總重15t以下傾卸貨車</v>
      </c>
      <c r="BV188" s="271"/>
      <c r="BW188" s="271"/>
      <c r="BX188" s="271"/>
      <c r="BY188" s="271"/>
      <c r="BZ188" s="356"/>
      <c r="CC188" s="218" t="s">
        <v>3825</v>
      </c>
      <c r="CD188" s="215">
        <f>0.25</f>
        <v>0.25</v>
      </c>
      <c r="CE188" s="238" t="str">
        <f>IF(數量計算!$F$140="更新","人工拆除，鋼筋混凝土，含裝車未含運費.","構造物開挖，(人工挖，未含抽水)，未含運費(含裝車).")</f>
        <v>構造物開挖，(人工挖，未含抽水)，未含運費(含裝車).</v>
      </c>
      <c r="CI188" s="131"/>
    </row>
    <row r="189" spans="2:87" ht="17.25" customHeight="1" thickBot="1">
      <c r="B189" s="353"/>
      <c r="C189" s="353"/>
      <c r="D189" s="353"/>
      <c r="E189" s="353"/>
      <c r="F189" s="353"/>
      <c r="G189" s="353"/>
      <c r="H189" s="353"/>
      <c r="I189" s="353"/>
      <c r="J189" s="353"/>
      <c r="AH189" s="1555" t="s">
        <v>3899</v>
      </c>
      <c r="AI189" s="1555"/>
      <c r="AJ189" s="1555"/>
      <c r="AK189" s="1555"/>
      <c r="AL189" s="1555"/>
      <c r="AM189" s="6">
        <v>1.26</v>
      </c>
      <c r="AN189" s="341"/>
      <c r="AO189" s="341"/>
      <c r="BO189" s="130" t="str">
        <f t="shared" si="14"/>
        <v>5*0.1*0.15</v>
      </c>
      <c r="BP189" s="138"/>
      <c r="BQ189" s="138"/>
      <c r="BR189" s="138"/>
      <c r="BS189" s="138"/>
      <c r="BT189" s="131"/>
      <c r="BU189" s="130" t="str">
        <f>IF(數量計算!$E$206="樹脂混凝土修復",BU221,
IF(數量計算!$E$206="RC修復",BO205,
IF(數量計算!$E$206="AC回填復舊(111)",BU205,
IF(數量計算!$E$206="AC回填復舊(112)",BO221,
" "))))</f>
        <v>5*0.1*0.15</v>
      </c>
      <c r="BZ189" s="131"/>
      <c r="CC189" s="218" t="s">
        <v>3826</v>
      </c>
      <c r="CD189" s="215">
        <v>0.2</v>
      </c>
      <c r="CE189" s="6" t="str">
        <f>IF(數量計算!$F$140="更新","("&amp;""&amp;$CD$186&amp;"*("&amp;$CD$187&amp;"+"&amp;$CD$188&amp;")-("&amp;$CD$190&amp;"*"&amp;$CD$191&amp;")-(("&amp;$CD$193&amp;"^2)*3.14*0.5))*0.2","("&amp;""&amp;$CD$186&amp;"*("&amp;$CD$187&amp;"+"&amp;$CD$188&amp;"))*0.2")</f>
        <v>(0.9*(0.47+0.25))*0.2</v>
      </c>
      <c r="CI189" s="131"/>
    </row>
    <row r="190" spans="2:87" ht="17.25" customHeight="1" thickBot="1">
      <c r="B190" s="353"/>
      <c r="C190" s="353"/>
      <c r="D190" s="353"/>
      <c r="E190" s="353"/>
      <c r="F190" s="353"/>
      <c r="G190" s="353"/>
      <c r="H190" s="353"/>
      <c r="I190" s="353"/>
      <c r="J190" s="353"/>
      <c r="AH190" s="1555" t="s">
        <v>3900</v>
      </c>
      <c r="AI190" s="1555"/>
      <c r="AJ190" s="1555"/>
      <c r="AK190" s="1555"/>
      <c r="AL190" s="1555"/>
      <c r="AM190" s="6">
        <v>0</v>
      </c>
      <c r="AN190" s="341"/>
      <c r="AO190" s="341"/>
      <c r="BO190" s="130" t="str">
        <f t="shared" si="14"/>
        <v>瀝青黏層，快凝油溶瀝青，RC-70</v>
      </c>
      <c r="BP190" s="138"/>
      <c r="BQ190" s="138"/>
      <c r="BR190" s="138"/>
      <c r="BS190" s="138"/>
      <c r="BT190" s="131"/>
      <c r="BU190" s="130" t="str">
        <f>IF(數量計算!$E$206="樹脂混凝土修復",BU222,
IF(數量計算!$E$206="RC修復",BO206,
IF(數量計算!$E$206="AC回填復舊(111)",BU206,
IF(數量計算!$E$206="AC回填復舊(112)",BO222,
" "))))</f>
        <v>瀝青黏層，快凝油溶瀝青，RC-70</v>
      </c>
      <c r="BZ190" s="131"/>
      <c r="CC190" s="218" t="s">
        <v>3827</v>
      </c>
      <c r="CD190" s="215">
        <f>(數量計算!$C$142-(數量計算!$B$142*0.5))*0.01</f>
        <v>0.22</v>
      </c>
      <c r="CE190" s="238" t="b">
        <f>IF(數量計算!$D$2="道路寬8m上(總重35t傾卸貨車)","餘方自行處理(含水土保持)，總重35t傾卸貨車",
IF(數量計算!$D$2="道路寬8m下(總重15t傾卸貨車)","餘方自行處理(含水土保持)，總重15t傾卸貨車",
IF(數量計算!$D$2="總餘方量小餘2m3(總重3-3.9T貨車)","餘方自行處理(含水土保持)，總重3-3.9t貨車",
IF(數量計算!$D$2="總餘方量小餘4m3(總重8-8.9T傾卸貨車)","餘方自行處理(含水土保持)，總重8-8.9t傾卸貨車"))))</f>
        <v>0</v>
      </c>
      <c r="CI190" s="131"/>
    </row>
    <row r="191" spans="2:87" ht="16.5" customHeight="1" thickBot="1">
      <c r="B191" s="353"/>
      <c r="C191" s="353"/>
      <c r="D191" s="353"/>
      <c r="E191" s="353"/>
      <c r="F191" s="353"/>
      <c r="G191" s="353"/>
      <c r="H191" s="353"/>
      <c r="I191" s="353"/>
      <c r="J191" s="353"/>
      <c r="AH191" s="1555" t="s">
        <v>3901</v>
      </c>
      <c r="AI191" s="1555"/>
      <c r="AJ191" s="1555"/>
      <c r="AK191" s="1555"/>
      <c r="AL191" s="1555"/>
      <c r="AM191" s="6">
        <v>0</v>
      </c>
      <c r="AN191" s="341"/>
      <c r="AO191" s="341"/>
      <c r="BO191" s="130" t="str">
        <f t="shared" si="14"/>
        <v>5*0.1</v>
      </c>
      <c r="BP191" s="138"/>
      <c r="BQ191" s="138"/>
      <c r="BR191" s="138"/>
      <c r="BS191" s="138"/>
      <c r="BT191" s="131"/>
      <c r="BU191" s="130" t="str">
        <f>IF(數量計算!$E$206="樹脂混凝土修復",BU223,
IF(數量計算!$E$206="RC修復",BO207,
IF(數量計算!$E$206="AC回填復舊(111)",BU207,
IF(數量計算!$E$206="AC回填復舊(112)",BO223,
" "))))</f>
        <v>5*0.1</v>
      </c>
      <c r="BZ191" s="131"/>
      <c r="CC191" s="218" t="s">
        <v>3817</v>
      </c>
      <c r="CD191" s="215">
        <f>數量計算!$B$142*0.01</f>
        <v>0.5</v>
      </c>
      <c r="CE191" s="6" t="str">
        <f>IF(數量計算!$F$140="更新","("&amp;""&amp;$CD$186&amp;"*("&amp;$CD$187&amp;"+"&amp;$CD$188&amp;")-("&amp;$CD$190&amp;"*"&amp;$CD$191&amp;")-(("&amp;$CD$193&amp;"^2)*3.14*0.5))","("&amp;""&amp;$CD$186&amp;"*("&amp;$CD$187&amp;"+"&amp;$CD$188&amp;"))")</f>
        <v>(0.9*(0.47+0.25))</v>
      </c>
      <c r="CI191" s="131"/>
    </row>
    <row r="192" spans="2:87" ht="16.5" customHeight="1" thickBot="1">
      <c r="B192" s="353"/>
      <c r="C192" s="353"/>
      <c r="D192" s="353"/>
      <c r="E192" s="353"/>
      <c r="F192" s="353"/>
      <c r="G192" s="353"/>
      <c r="H192" s="353"/>
      <c r="I192" s="353"/>
      <c r="J192" s="353"/>
      <c r="AG192" s="6" t="s">
        <v>3902</v>
      </c>
      <c r="AH192" s="1555" t="s">
        <v>3903</v>
      </c>
      <c r="AI192" s="1555"/>
      <c r="AJ192" s="1555"/>
      <c r="AK192" s="1555"/>
      <c r="AL192" s="1555"/>
      <c r="AM192" s="6">
        <f>AN192+AN193</f>
        <v>0</v>
      </c>
      <c r="AN192" s="6">
        <v>0</v>
      </c>
      <c r="AO192" s="341"/>
      <c r="BO192" s="130" t="str">
        <f t="shared" si="14"/>
        <v>瀝青混凝土舖面，粗粒料9.5mm，黏度AC(1)-20，零星工程用</v>
      </c>
      <c r="BP192" s="138"/>
      <c r="BQ192" s="138"/>
      <c r="BR192" s="138"/>
      <c r="BS192" s="138"/>
      <c r="BT192" s="131"/>
      <c r="BU192" s="130" t="str">
        <f>IF(數量計算!$E$206="樹脂混凝土修復",BU224,
IF(數量計算!$E$206="RC修復",BO208,
IF(數量計算!$E$206="AC回填復舊(111)",BU208,
IF(數量計算!$E$206="AC回填復舊(112)",BO224,
" "))))</f>
        <v>瀝青混凝土舖面，粗粒料9.5mm，黏度AC(1)-20，零星工程用</v>
      </c>
      <c r="BZ192" s="131"/>
      <c r="CC192" s="218" t="s">
        <v>3818</v>
      </c>
      <c r="CD192" s="215">
        <f>數量計算!$D$142*0.01</f>
        <v>0.2</v>
      </c>
      <c r="CE192" s="238" t="s">
        <v>540</v>
      </c>
      <c r="CI192" s="131"/>
    </row>
    <row r="193" spans="2:87" ht="17.25" customHeight="1" thickBot="1">
      <c r="B193" s="353"/>
      <c r="C193" s="353"/>
      <c r="D193" s="353"/>
      <c r="E193" s="353"/>
      <c r="F193" s="353"/>
      <c r="G193" s="353"/>
      <c r="H193" s="353"/>
      <c r="I193" s="353"/>
      <c r="J193" s="353"/>
      <c r="AH193" s="1555" t="s">
        <v>3904</v>
      </c>
      <c r="AI193" s="1555"/>
      <c r="AJ193" s="1555"/>
      <c r="AK193" s="1555"/>
      <c r="AL193" s="1555"/>
      <c r="AN193" s="6">
        <v>0</v>
      </c>
      <c r="AO193" s="341"/>
      <c r="BO193" s="130" t="str">
        <f t="shared" si="14"/>
        <v>5*0.1*0.15</v>
      </c>
      <c r="BP193" s="138"/>
      <c r="BQ193" s="138"/>
      <c r="BR193" s="138"/>
      <c r="BS193" s="138"/>
      <c r="BT193" s="131"/>
      <c r="BU193" s="130" t="str">
        <f>IF(數量計算!$E$206="樹脂混凝土修復",BU225,
IF(數量計算!$E$206="RC修復",BO209,
IF(數量計算!$E$206="AC回填復舊(111)",BU209,
IF(數量計算!$E$206="AC回填復舊(112)",BO225,
" "))))</f>
        <v>5*0.1*0.15</v>
      </c>
      <c r="BZ193" s="131"/>
      <c r="CC193" s="218" t="s">
        <v>3828</v>
      </c>
      <c r="CD193" s="215">
        <f>(數量計算!$B$142*0.5)*0.01</f>
        <v>0.25</v>
      </c>
      <c r="CE193" s="6" t="str">
        <f>"("&amp;$CD$191&amp;"+"&amp;$CD$192&amp;"+"&amp;$CD$192&amp;")*0.05"</f>
        <v>(0.5+0.2+0.2)*0.05</v>
      </c>
      <c r="CI193" s="131"/>
    </row>
    <row r="194" spans="2:87" ht="16.5" customHeight="1" thickBot="1">
      <c r="B194" s="353"/>
      <c r="C194" s="353"/>
      <c r="D194" s="353"/>
      <c r="E194" s="353"/>
      <c r="F194" s="353"/>
      <c r="G194" s="353"/>
      <c r="H194" s="353"/>
      <c r="I194" s="353"/>
      <c r="J194" s="353"/>
      <c r="AH194" s="1555" t="s">
        <v>3905</v>
      </c>
      <c r="AI194" s="1555"/>
      <c r="AJ194" s="1555"/>
      <c r="AK194" s="1555"/>
      <c r="AL194" s="1555"/>
      <c r="AM194" s="6">
        <f>AN194+AN195</f>
        <v>0</v>
      </c>
      <c r="AN194" s="6">
        <v>0</v>
      </c>
      <c r="BO194" s="130" t="str">
        <f t="shared" si="14"/>
        <v xml:space="preserve"> </v>
      </c>
      <c r="BP194" s="138"/>
      <c r="BQ194" s="138"/>
      <c r="BR194" s="138"/>
      <c r="BS194" s="138"/>
      <c r="BT194" s="131"/>
      <c r="BU194" s="130" t="str">
        <f>IF(數量計算!$E$206="樹脂混凝土修復",BU226,
IF(數量計算!$E$206="RC修復",BO210,
IF(數量計算!$E$206="AC回填復舊",BU210,
" ")))</f>
        <v xml:space="preserve"> </v>
      </c>
      <c r="BZ194" s="131"/>
      <c r="CC194" s="218" t="s">
        <v>3756</v>
      </c>
      <c r="CD194" s="215">
        <f>數量計算!$D$145</f>
        <v>28.83</v>
      </c>
      <c r="CE194" s="238" t="s">
        <v>539</v>
      </c>
      <c r="CI194" s="131"/>
    </row>
    <row r="195" spans="2:87" ht="17.25" customHeight="1" thickBot="1">
      <c r="B195" s="353"/>
      <c r="C195" s="353"/>
      <c r="D195" s="353"/>
      <c r="E195" s="353"/>
      <c r="F195" s="353"/>
      <c r="G195" s="353"/>
      <c r="H195" s="353"/>
      <c r="I195" s="353"/>
      <c r="J195" s="353"/>
      <c r="AH195" s="1555" t="s">
        <v>3906</v>
      </c>
      <c r="AI195" s="1555"/>
      <c r="AJ195" s="1555"/>
      <c r="AK195" s="1555"/>
      <c r="AL195" s="1555"/>
      <c r="AN195" s="6">
        <v>0</v>
      </c>
      <c r="BO195" s="130" t="str">
        <f t="shared" si="14"/>
        <v xml:space="preserve"> </v>
      </c>
      <c r="BP195" s="138"/>
      <c r="BQ195" s="138"/>
      <c r="BR195" s="138"/>
      <c r="BS195" s="138"/>
      <c r="BT195" s="131"/>
      <c r="BU195" s="130" t="str">
        <f>IF(數量計算!$E$206="樹脂混凝土修復",BU227,
IF(數量計算!$E$206="RC修復",BO211,
IF(數量計算!$E$206="AC回填復舊",BU211,
" ")))</f>
        <v xml:space="preserve"> </v>
      </c>
      <c r="BZ195" s="131"/>
      <c r="CC195" s="218" t="s">
        <v>3757</v>
      </c>
      <c r="CD195" s="215">
        <f>數量計算!$G$145</f>
        <v>11.93</v>
      </c>
      <c r="CE195" s="6" t="str">
        <f>"("&amp;""&amp;$CD$186&amp;"*("&amp;$CD$187&amp;"+"&amp;$CD$189&amp;")-("&amp;$CD$190&amp;"*"&amp;$CD$191&amp;")-(("&amp;$CD$193&amp;"^2)*3.14*0.5))"</f>
        <v>(0.9*(0.47+0.2)-(0.22*0.5)-((0.25^2)*3.14*0.5))</v>
      </c>
      <c r="CI195" s="131"/>
    </row>
    <row r="196" spans="2:87" ht="17.25" customHeight="1" thickBot="1">
      <c r="B196" s="353"/>
      <c r="C196" s="353"/>
      <c r="D196" s="353"/>
      <c r="E196" s="353"/>
      <c r="F196" s="353"/>
      <c r="G196" s="353"/>
      <c r="H196" s="353"/>
      <c r="I196" s="353"/>
      <c r="J196" s="353"/>
      <c r="AH196" s="1555" t="s">
        <v>3907</v>
      </c>
      <c r="AI196" s="1555"/>
      <c r="AJ196" s="1555"/>
      <c r="AK196" s="1555"/>
      <c r="AL196" s="1555"/>
      <c r="AM196" s="6">
        <f>AN196+AN197</f>
        <v>0</v>
      </c>
      <c r="AN196" s="6">
        <v>0</v>
      </c>
      <c r="BO196" s="139"/>
      <c r="BP196" s="141"/>
      <c r="BQ196" s="141"/>
      <c r="BR196" s="141"/>
      <c r="BS196" s="141"/>
      <c r="BT196" s="140"/>
      <c r="BU196" s="139"/>
      <c r="BV196" s="141"/>
      <c r="BW196" s="141"/>
      <c r="BX196" s="141"/>
      <c r="BY196" s="141"/>
      <c r="BZ196" s="140"/>
      <c r="CC196" s="218"/>
      <c r="CD196" s="541"/>
      <c r="CE196" s="238" t="str">
        <f>IF(AND($CD$191=0.4,$CD$187&lt;=0.8),"鋼製模板，U型溝用，W=40cm，L=120cm",
IF(AND($CD$191=0.4,$CD$187&gt;0.8),"鋼製模板，U型溝用，W=40cm，L=120cm，H&gt;80cm",
IF(AND($CD$191=0.5,$CD$187&lt;=0.8),"鋼製模板，U型溝用，W=50cm，L=120cm",
IF(AND($CD$191=0.5,$CD$187&gt;0.8),"鋼製模板，U型溝用，W=50cm，L=120cm，H&gt;80cm",
IF(AND($CD$191=0.6,$CD$187&lt;=0.8),"鋼製模板，U型溝用，W=60cm，L=120cm",
IF(AND($CD$191=0.6,$CD$187&gt;0.8),"鋼製模板，U型溝用，W=60cm，L=120cm，H&gt;80cm"))))))</f>
        <v>鋼製模板，U型溝用，W=50cm，L=120cm</v>
      </c>
      <c r="CI196" s="131"/>
    </row>
    <row r="197" spans="2:87" ht="17.25" customHeight="1" thickBot="1">
      <c r="B197" s="353"/>
      <c r="C197" s="353"/>
      <c r="D197" s="353"/>
      <c r="E197" s="353"/>
      <c r="F197" s="353"/>
      <c r="G197" s="353"/>
      <c r="H197" s="353"/>
      <c r="I197" s="353"/>
      <c r="J197" s="353"/>
      <c r="AH197" s="1555" t="s">
        <v>3909</v>
      </c>
      <c r="AI197" s="1555"/>
      <c r="AJ197" s="1555"/>
      <c r="AK197" s="1555"/>
      <c r="AL197" s="1555"/>
      <c r="AN197" s="6">
        <v>0</v>
      </c>
      <c r="CC197" s="218"/>
      <c r="CD197" s="215"/>
      <c r="CE197" s="339" t="str">
        <f>IF($CD$187&lt;0.8,"1","("&amp;$CD$190&amp;"*2)+("&amp;$CD$193*2&amp;"*3.14*0.5)")</f>
        <v>1</v>
      </c>
      <c r="CI197" s="131"/>
    </row>
    <row r="198" spans="2:87" ht="16.5" customHeight="1" thickBot="1">
      <c r="B198" s="353"/>
      <c r="C198" s="353"/>
      <c r="D198" s="353"/>
      <c r="E198" s="353"/>
      <c r="F198" s="353"/>
      <c r="G198" s="353"/>
      <c r="H198" s="353"/>
      <c r="I198" s="353"/>
      <c r="J198" s="353"/>
      <c r="AH198" s="1555" t="s">
        <v>3910</v>
      </c>
      <c r="AI198" s="1555"/>
      <c r="AJ198" s="1555"/>
      <c r="AK198" s="1555"/>
      <c r="AL198" s="1555"/>
      <c r="AM198" s="6">
        <f>AN198+AN199</f>
        <v>0</v>
      </c>
      <c r="AN198" s="6">
        <v>0</v>
      </c>
      <c r="BO198" s="517" t="s">
        <v>3911</v>
      </c>
      <c r="BP198" s="518"/>
      <c r="BQ198" s="518"/>
      <c r="BR198" s="124"/>
      <c r="BS198" s="124"/>
      <c r="BT198" s="213"/>
      <c r="BU198" s="360" t="s">
        <v>3912</v>
      </c>
      <c r="BV198" s="124"/>
      <c r="BW198" s="361"/>
      <c r="BX198" s="124"/>
      <c r="BY198" s="124"/>
      <c r="BZ198" s="213"/>
      <c r="CC198" s="218"/>
      <c r="CD198" s="215"/>
      <c r="CE198" s="238" t="s">
        <v>3744</v>
      </c>
      <c r="CI198" s="131"/>
    </row>
    <row r="199" spans="2:87" ht="17.25" customHeight="1" thickBot="1">
      <c r="B199" s="353"/>
      <c r="C199" s="353"/>
      <c r="D199" s="353"/>
      <c r="E199" s="353"/>
      <c r="F199" s="353"/>
      <c r="G199" s="353"/>
      <c r="H199" s="353"/>
      <c r="I199" s="353"/>
      <c r="J199" s="353"/>
      <c r="AH199" s="1555" t="s">
        <v>3913</v>
      </c>
      <c r="AI199" s="1555"/>
      <c r="AJ199" s="1555"/>
      <c r="AK199" s="1555"/>
      <c r="AL199" s="1555"/>
      <c r="AN199" s="6">
        <v>0</v>
      </c>
      <c r="BO199" s="544" t="s">
        <v>3850</v>
      </c>
      <c r="BP199" s="545" t="s">
        <v>3888</v>
      </c>
      <c r="BQ199" s="545" t="s">
        <v>3853</v>
      </c>
      <c r="BR199" s="545" t="s">
        <v>3889</v>
      </c>
      <c r="BS199" s="545" t="s">
        <v>3890</v>
      </c>
      <c r="BT199" s="215"/>
      <c r="BU199" s="544" t="s">
        <v>3850</v>
      </c>
      <c r="BV199" s="545" t="s">
        <v>3888</v>
      </c>
      <c r="BW199" s="545" t="s">
        <v>3853</v>
      </c>
      <c r="BX199" s="545" t="s">
        <v>3889</v>
      </c>
      <c r="BY199" s="545" t="s">
        <v>3890</v>
      </c>
      <c r="BZ199" s="215"/>
      <c r="CC199" s="216"/>
      <c r="CD199" s="129"/>
      <c r="CE199" s="141" t="str">
        <f>$CD$194&amp;"+"&amp;$CD$195</f>
        <v>28.83+11.93</v>
      </c>
      <c r="CF199" s="141"/>
      <c r="CG199" s="141"/>
      <c r="CH199" s="141"/>
      <c r="CI199" s="140" t="s">
        <v>3914</v>
      </c>
    </row>
    <row r="200" spans="2:87" ht="17.25" customHeight="1" thickBot="1">
      <c r="B200" s="353"/>
      <c r="C200" s="353"/>
      <c r="D200" s="353"/>
      <c r="E200" s="353"/>
      <c r="F200" s="353"/>
      <c r="G200" s="353"/>
      <c r="H200" s="353"/>
      <c r="I200" s="353"/>
      <c r="J200" s="353"/>
      <c r="AG200" s="6" t="s">
        <v>3915</v>
      </c>
      <c r="AH200" s="1555" t="s">
        <v>3637</v>
      </c>
      <c r="AI200" s="1555"/>
      <c r="AJ200" s="1555"/>
      <c r="AK200" s="1555"/>
      <c r="AL200" s="1555"/>
      <c r="AM200" s="6">
        <v>0</v>
      </c>
      <c r="BO200" s="547">
        <f>$BU$184</f>
        <v>5</v>
      </c>
      <c r="BP200" s="548">
        <f>$BV$184</f>
        <v>0.15</v>
      </c>
      <c r="BQ200" s="549" t="str">
        <f>$BW$184</f>
        <v>10cm</v>
      </c>
      <c r="BR200" s="550" t="str">
        <f>$BX$184</f>
        <v>0.10</v>
      </c>
      <c r="BS200" s="352">
        <f>$BY$184</f>
        <v>4.9999999999999989E-2</v>
      </c>
      <c r="BT200" s="551"/>
      <c r="BU200" s="547">
        <f>$BU$184</f>
        <v>5</v>
      </c>
      <c r="BV200" s="548">
        <f>$BV$184</f>
        <v>0.15</v>
      </c>
      <c r="BW200" s="549" t="str">
        <f>$BW$184</f>
        <v>10cm</v>
      </c>
      <c r="BX200" s="550" t="str">
        <f>$BX$184</f>
        <v>0.10</v>
      </c>
      <c r="BY200" s="352">
        <f>$BY$184</f>
        <v>4.9999999999999989E-2</v>
      </c>
      <c r="BZ200" s="362"/>
    </row>
    <row r="201" spans="2:87" ht="17.25" customHeight="1" thickBot="1">
      <c r="B201" s="353"/>
      <c r="C201" s="353"/>
      <c r="D201" s="353"/>
      <c r="E201" s="353"/>
      <c r="F201" s="353"/>
      <c r="G201" s="353"/>
      <c r="H201" s="353"/>
      <c r="I201" s="353"/>
      <c r="J201" s="353"/>
      <c r="AH201" s="1555" t="s">
        <v>3636</v>
      </c>
      <c r="AI201" s="1555"/>
      <c r="AJ201" s="1555"/>
      <c r="AK201" s="1555"/>
      <c r="AL201" s="1555"/>
      <c r="AM201" s="6">
        <v>0</v>
      </c>
      <c r="BO201" s="125" t="s">
        <v>3911</v>
      </c>
      <c r="BP201" s="127"/>
      <c r="BQ201" s="127"/>
      <c r="BR201" s="127"/>
      <c r="BS201" s="127"/>
      <c r="BT201" s="126"/>
      <c r="BU201" s="127" t="s">
        <v>3981</v>
      </c>
      <c r="BV201" s="127"/>
      <c r="BW201" s="127"/>
      <c r="BX201" s="127"/>
      <c r="BY201" s="127"/>
      <c r="BZ201" s="126"/>
    </row>
    <row r="202" spans="2:87" ht="17.25" customHeight="1" thickBot="1">
      <c r="B202" s="353"/>
      <c r="C202" s="353"/>
      <c r="D202" s="353"/>
      <c r="E202" s="353"/>
      <c r="F202" s="353"/>
      <c r="G202" s="353"/>
      <c r="H202" s="353"/>
      <c r="I202" s="353"/>
      <c r="J202" s="353"/>
      <c r="AH202" s="1555" t="s">
        <v>3916</v>
      </c>
      <c r="AI202" s="1555"/>
      <c r="AJ202" s="1555"/>
      <c r="AK202" s="1555"/>
      <c r="AL202" s="1555"/>
      <c r="AM202" s="6">
        <v>0</v>
      </c>
      <c r="BO202" s="354" t="s">
        <v>4011</v>
      </c>
      <c r="BT202" s="131"/>
      <c r="BU202" s="238" t="s">
        <v>4011</v>
      </c>
      <c r="BZ202" s="131"/>
    </row>
    <row r="203" spans="2:87" ht="16.5" customHeight="1" thickBot="1">
      <c r="B203" s="353"/>
      <c r="C203" s="353"/>
      <c r="D203" s="353"/>
      <c r="E203" s="353"/>
      <c r="F203" s="353"/>
      <c r="G203" s="353"/>
      <c r="H203" s="353"/>
      <c r="I203" s="353"/>
      <c r="J203" s="353"/>
      <c r="AH203" s="1555" t="s">
        <v>3638</v>
      </c>
      <c r="AI203" s="1555"/>
      <c r="AJ203" s="1555"/>
      <c r="AK203" s="1555"/>
      <c r="AL203" s="1555"/>
      <c r="AM203" s="6">
        <v>0</v>
      </c>
      <c r="BO203" s="355" t="str">
        <f>$BU$184&amp;"*0.1*"&amp;$BV$184</f>
        <v>5*0.1*0.15</v>
      </c>
      <c r="BT203" s="131"/>
      <c r="BU203" s="363" t="str">
        <f>$BU$200&amp;"*0.1*"&amp;$BV$200</f>
        <v>5*0.1*0.15</v>
      </c>
      <c r="BZ203" s="131"/>
    </row>
    <row r="204" spans="2:87" ht="17.25" thickBot="1">
      <c r="B204" s="353"/>
      <c r="C204" s="353"/>
      <c r="D204" s="353"/>
      <c r="E204" s="353"/>
      <c r="F204" s="353"/>
      <c r="G204" s="353"/>
      <c r="H204" s="353"/>
      <c r="I204" s="353"/>
      <c r="J204" s="353"/>
      <c r="AH204" s="1555"/>
      <c r="AI204" s="1555"/>
      <c r="AJ204" s="1555"/>
      <c r="AK204" s="1555"/>
      <c r="AL204" s="1555"/>
      <c r="BO204" s="354"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BP204" s="271"/>
      <c r="BQ204" s="271"/>
      <c r="BR204" s="271"/>
      <c r="BS204" s="271"/>
      <c r="BT204" s="356"/>
      <c r="BU204" s="238"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BZ204" s="131"/>
    </row>
    <row r="205" spans="2:87" ht="17.25" thickBot="1">
      <c r="B205" s="353"/>
      <c r="C205" s="353"/>
      <c r="D205" s="353"/>
      <c r="E205" s="353"/>
      <c r="F205" s="353"/>
      <c r="G205" s="353"/>
      <c r="H205" s="353"/>
      <c r="I205" s="353"/>
      <c r="J205" s="353"/>
      <c r="AH205" s="1555"/>
      <c r="AI205" s="1555"/>
      <c r="AJ205" s="1555"/>
      <c r="AK205" s="1555"/>
      <c r="AL205" s="1555"/>
      <c r="BO205" s="355" t="str">
        <f>$BU$184&amp;"*0.1*"&amp;$BV$184</f>
        <v>5*0.1*0.15</v>
      </c>
      <c r="BT205" s="131"/>
      <c r="BU205" s="363" t="str">
        <f>$BU$200&amp;"*0.1*"&amp;$BV$200</f>
        <v>5*0.1*0.15</v>
      </c>
      <c r="BZ205" s="131"/>
    </row>
    <row r="206" spans="2:87" ht="17.25" thickBot="1">
      <c r="B206" s="353"/>
      <c r="C206" s="353"/>
      <c r="D206" s="353"/>
      <c r="E206" s="353"/>
      <c r="F206" s="353"/>
      <c r="G206" s="353"/>
      <c r="H206" s="353"/>
      <c r="I206" s="353"/>
      <c r="J206" s="353"/>
      <c r="AH206" s="1555"/>
      <c r="AI206" s="1555"/>
      <c r="AJ206" s="1555"/>
      <c r="AK206" s="1555"/>
      <c r="AL206" s="1555"/>
      <c r="BO206" s="357" t="s">
        <v>16</v>
      </c>
      <c r="BT206" s="131"/>
      <c r="BU206" s="238" t="s">
        <v>1149</v>
      </c>
      <c r="BZ206" s="131"/>
    </row>
    <row r="207" spans="2:87" ht="17.25" thickBot="1">
      <c r="B207" s="353"/>
      <c r="C207" s="353"/>
      <c r="D207" s="353"/>
      <c r="E207" s="353"/>
      <c r="F207" s="353"/>
      <c r="G207" s="353"/>
      <c r="H207" s="353"/>
      <c r="I207" s="353"/>
      <c r="J207" s="353"/>
      <c r="AH207" s="1555"/>
      <c r="AI207" s="1555"/>
      <c r="AJ207" s="1555"/>
      <c r="AK207" s="1555"/>
      <c r="AL207" s="1555"/>
      <c r="BO207" s="355" t="str">
        <f>$BU$184&amp;"*0.1*"&amp;$BV$184</f>
        <v>5*0.1*0.15</v>
      </c>
      <c r="BT207" s="131"/>
      <c r="BU207" s="363" t="str">
        <f>$BU$200&amp;"*0.1"</f>
        <v>5*0.1</v>
      </c>
      <c r="BZ207" s="131"/>
      <c r="CA207" s="520">
        <v>0</v>
      </c>
    </row>
    <row r="208" spans="2:87" ht="17.25" thickBot="1">
      <c r="B208" s="353"/>
      <c r="C208" s="353"/>
      <c r="D208" s="353"/>
      <c r="E208" s="353"/>
      <c r="F208" s="353"/>
      <c r="G208" s="353"/>
      <c r="H208" s="353"/>
      <c r="I208" s="353"/>
      <c r="J208" s="353"/>
      <c r="AH208" s="1555"/>
      <c r="AI208" s="1555"/>
      <c r="AJ208" s="1555"/>
      <c r="AK208" s="1555"/>
      <c r="AL208" s="1555"/>
      <c r="BO208" s="358" t="s">
        <v>2</v>
      </c>
      <c r="BT208" s="131"/>
      <c r="BU208" s="238" t="s">
        <v>2983</v>
      </c>
      <c r="BZ208" s="131"/>
      <c r="CA208" s="520">
        <v>0</v>
      </c>
    </row>
    <row r="209" spans="2:79" ht="16.5" customHeight="1" thickBot="1">
      <c r="B209" s="353"/>
      <c r="C209" s="353"/>
      <c r="D209" s="353"/>
      <c r="E209" s="353"/>
      <c r="F209" s="353"/>
      <c r="G209" s="353"/>
      <c r="H209" s="353"/>
      <c r="I209" s="353"/>
      <c r="J209" s="353"/>
      <c r="AH209" s="1555"/>
      <c r="AI209" s="1555"/>
      <c r="AJ209" s="1555"/>
      <c r="AK209" s="1555"/>
      <c r="AL209" s="1555"/>
      <c r="BO209" s="358" t="s">
        <v>2</v>
      </c>
      <c r="BT209" s="131"/>
      <c r="BU209" s="363" t="str">
        <f>$BU$200&amp;"*0.1*"&amp;$BV$200</f>
        <v>5*0.1*0.15</v>
      </c>
      <c r="BZ209" s="131"/>
      <c r="CA209" s="520">
        <v>0</v>
      </c>
    </row>
    <row r="210" spans="2:79" ht="17.25" thickBot="1">
      <c r="B210" s="353"/>
      <c r="C210" s="353"/>
      <c r="D210" s="353"/>
      <c r="E210" s="353"/>
      <c r="F210" s="353"/>
      <c r="G210" s="353"/>
      <c r="H210" s="353"/>
      <c r="I210" s="353"/>
      <c r="J210" s="353"/>
      <c r="AH210" s="1555"/>
      <c r="AI210" s="1555"/>
      <c r="AJ210" s="1555"/>
      <c r="AK210" s="1555"/>
      <c r="AL210" s="1555"/>
      <c r="BO210" s="358" t="s">
        <v>2</v>
      </c>
      <c r="BT210" s="131"/>
      <c r="BU210" s="267" t="s">
        <v>2</v>
      </c>
      <c r="BZ210" s="131"/>
      <c r="CA210" s="520">
        <v>0</v>
      </c>
    </row>
    <row r="211" spans="2:79" ht="17.25" thickBot="1">
      <c r="B211" s="353"/>
      <c r="C211" s="353"/>
      <c r="D211" s="353"/>
      <c r="E211" s="353"/>
      <c r="F211" s="353"/>
      <c r="G211" s="353"/>
      <c r="H211" s="353"/>
      <c r="I211" s="353"/>
      <c r="J211" s="353"/>
      <c r="AH211" s="1555"/>
      <c r="AI211" s="1555"/>
      <c r="AJ211" s="1555"/>
      <c r="AK211" s="1555"/>
      <c r="AL211" s="1555"/>
      <c r="BO211" s="358" t="s">
        <v>2</v>
      </c>
      <c r="BT211" s="131"/>
      <c r="BU211" s="267" t="s">
        <v>2</v>
      </c>
      <c r="BZ211" s="131"/>
      <c r="CA211" s="520">
        <v>0</v>
      </c>
    </row>
    <row r="212" spans="2:79" ht="17.25" thickBot="1">
      <c r="B212" s="353"/>
      <c r="C212" s="353"/>
      <c r="D212" s="353"/>
      <c r="E212" s="353"/>
      <c r="F212" s="353"/>
      <c r="G212" s="353"/>
      <c r="H212" s="353"/>
      <c r="I212" s="353"/>
      <c r="J212" s="353"/>
      <c r="AH212" s="1555"/>
      <c r="AI212" s="1555"/>
      <c r="AJ212" s="1555"/>
      <c r="AK212" s="1555"/>
      <c r="AL212" s="1555"/>
      <c r="BO212" s="139"/>
      <c r="BP212" s="141"/>
      <c r="BQ212" s="141"/>
      <c r="BR212" s="141"/>
      <c r="BS212" s="141"/>
      <c r="BT212" s="140"/>
      <c r="BU212" s="364" t="s">
        <v>2</v>
      </c>
      <c r="BV212" s="141"/>
      <c r="BW212" s="141"/>
      <c r="BX212" s="141"/>
      <c r="BY212" s="141"/>
      <c r="BZ212" s="140"/>
      <c r="CA212" s="520">
        <v>0</v>
      </c>
    </row>
    <row r="213" spans="2:79" ht="17.25" thickBot="1">
      <c r="B213" s="353"/>
      <c r="C213" s="353"/>
      <c r="D213" s="353"/>
      <c r="E213" s="353"/>
      <c r="F213" s="353"/>
      <c r="G213" s="353"/>
      <c r="H213" s="353"/>
      <c r="I213" s="353"/>
      <c r="J213" s="353"/>
      <c r="AH213" s="1555"/>
      <c r="AI213" s="1555"/>
      <c r="AJ213" s="1555"/>
      <c r="AK213" s="1555"/>
      <c r="AL213" s="1555"/>
      <c r="CA213" s="212">
        <v>0</v>
      </c>
    </row>
    <row r="214" spans="2:79" ht="17.25" thickBot="1">
      <c r="B214" s="353"/>
      <c r="C214" s="353"/>
      <c r="D214" s="353"/>
      <c r="E214" s="353"/>
      <c r="F214" s="353"/>
      <c r="G214" s="353"/>
      <c r="H214" s="353"/>
      <c r="I214" s="353"/>
      <c r="J214" s="353"/>
      <c r="BO214" s="360" t="s">
        <v>3980</v>
      </c>
      <c r="BP214" s="124"/>
      <c r="BQ214" s="361"/>
      <c r="BR214" s="124"/>
      <c r="BS214" s="124"/>
      <c r="BT214" s="213"/>
      <c r="BU214" s="517" t="s">
        <v>3886</v>
      </c>
      <c r="BV214" s="518"/>
      <c r="BW214" s="518"/>
      <c r="BX214" s="124"/>
      <c r="BY214" s="124"/>
      <c r="BZ214" s="213"/>
      <c r="CA214" s="212">
        <v>0</v>
      </c>
    </row>
    <row r="215" spans="2:79" ht="16.5" customHeight="1" thickBot="1">
      <c r="B215" s="353"/>
      <c r="C215" s="353"/>
      <c r="D215" s="353"/>
      <c r="E215" s="353"/>
      <c r="F215" s="353"/>
      <c r="G215" s="353"/>
      <c r="H215" s="353"/>
      <c r="I215" s="353"/>
      <c r="J215" s="353"/>
      <c r="AG215" s="1556" t="s">
        <v>3917</v>
      </c>
      <c r="AH215" s="1557"/>
      <c r="AI215" s="518" t="s">
        <v>3918</v>
      </c>
      <c r="AJ215" s="1557" t="s">
        <v>3919</v>
      </c>
      <c r="AK215" s="1557"/>
      <c r="AL215" s="1557"/>
      <c r="AM215" s="1558"/>
      <c r="BO215" s="544" t="s">
        <v>3850</v>
      </c>
      <c r="BP215" s="545" t="s">
        <v>3888</v>
      </c>
      <c r="BQ215" s="545" t="s">
        <v>3853</v>
      </c>
      <c r="BR215" s="545" t="s">
        <v>3889</v>
      </c>
      <c r="BS215" s="545" t="s">
        <v>3890</v>
      </c>
      <c r="BT215" s="215"/>
      <c r="BU215" s="544" t="s">
        <v>3850</v>
      </c>
      <c r="BV215" s="545" t="s">
        <v>3888</v>
      </c>
      <c r="BW215" s="545" t="s">
        <v>3853</v>
      </c>
      <c r="BX215" s="545" t="s">
        <v>3889</v>
      </c>
      <c r="BY215" s="545" t="s">
        <v>3890</v>
      </c>
      <c r="BZ215" s="215"/>
      <c r="CA215" s="212">
        <v>0</v>
      </c>
    </row>
    <row r="216" spans="2:79" ht="16.5" customHeight="1" thickBot="1">
      <c r="B216" s="353"/>
      <c r="C216" s="353"/>
      <c r="D216" s="353"/>
      <c r="E216" s="353"/>
      <c r="F216" s="353"/>
      <c r="G216" s="353"/>
      <c r="H216" s="353"/>
      <c r="I216" s="353"/>
      <c r="J216" s="353"/>
      <c r="AG216" s="1559" t="s">
        <v>3920</v>
      </c>
      <c r="AH216" s="1560"/>
      <c r="AI216" s="1561">
        <v>0</v>
      </c>
      <c r="AJ216" s="1562" t="s">
        <v>3898</v>
      </c>
      <c r="AK216" s="1562"/>
      <c r="AL216" s="1562"/>
      <c r="AM216" s="1563"/>
      <c r="BO216" s="547">
        <f>$BU$184</f>
        <v>5</v>
      </c>
      <c r="BP216" s="548">
        <f>$BV$184</f>
        <v>0.15</v>
      </c>
      <c r="BQ216" s="549" t="str">
        <f>$BW$184</f>
        <v>10cm</v>
      </c>
      <c r="BR216" s="550" t="str">
        <f>$BX$184</f>
        <v>0.10</v>
      </c>
      <c r="BS216" s="352">
        <f>$BY$184</f>
        <v>4.9999999999999989E-2</v>
      </c>
      <c r="BT216" s="362"/>
      <c r="BU216" s="547">
        <f>$BU$184</f>
        <v>5</v>
      </c>
      <c r="BV216" s="548">
        <f>$BV$184</f>
        <v>0.15</v>
      </c>
      <c r="BW216" s="549" t="str">
        <f>$BW$184</f>
        <v>10cm</v>
      </c>
      <c r="BX216" s="550" t="str">
        <f>$BX$184</f>
        <v>0.10</v>
      </c>
      <c r="BY216" s="352">
        <f>$BY$184</f>
        <v>4.9999999999999989E-2</v>
      </c>
      <c r="BZ216" s="551"/>
    </row>
    <row r="217" spans="2:79" ht="17.25" thickBot="1">
      <c r="B217" s="353"/>
      <c r="C217" s="353"/>
      <c r="D217" s="353"/>
      <c r="E217" s="353"/>
      <c r="F217" s="353"/>
      <c r="G217" s="353"/>
      <c r="H217" s="353"/>
      <c r="I217" s="353"/>
      <c r="J217" s="353"/>
      <c r="AG217" s="1559"/>
      <c r="AH217" s="1560"/>
      <c r="AI217" s="1561"/>
      <c r="AJ217" s="1562"/>
      <c r="AK217" s="1562"/>
      <c r="AL217" s="1562"/>
      <c r="AM217" s="1563"/>
      <c r="BO217" s="125" t="s">
        <v>3980</v>
      </c>
      <c r="BP217" s="127"/>
      <c r="BQ217" s="127"/>
      <c r="BR217" s="127"/>
      <c r="BS217" s="127"/>
      <c r="BT217" s="126"/>
      <c r="BU217" s="517" t="s">
        <v>3886</v>
      </c>
      <c r="BV217" s="127"/>
      <c r="BW217" s="127"/>
      <c r="BX217" s="127"/>
      <c r="BY217" s="127"/>
      <c r="BZ217" s="126"/>
    </row>
    <row r="218" spans="2:79" ht="17.25" thickBot="1">
      <c r="B218" s="353"/>
      <c r="C218" s="353"/>
      <c r="D218" s="353"/>
      <c r="E218" s="353"/>
      <c r="F218" s="353"/>
      <c r="G218" s="353"/>
      <c r="H218" s="353"/>
      <c r="I218" s="353"/>
      <c r="J218" s="353"/>
      <c r="AG218" s="1559"/>
      <c r="AH218" s="1560"/>
      <c r="AI218" s="1561"/>
      <c r="AJ218" s="1562"/>
      <c r="AK218" s="1562"/>
      <c r="AL218" s="1562"/>
      <c r="AM218" s="1563"/>
      <c r="BO218" s="354" t="s">
        <v>4011</v>
      </c>
      <c r="BP218" s="138"/>
      <c r="BQ218" s="138"/>
      <c r="BR218" s="138"/>
      <c r="BS218" s="138"/>
      <c r="BT218" s="131"/>
      <c r="BU218" s="354" t="s">
        <v>4011</v>
      </c>
      <c r="BZ218" s="131"/>
    </row>
    <row r="219" spans="2:79" ht="16.5" customHeight="1" thickBot="1">
      <c r="B219" s="353"/>
      <c r="C219" s="353"/>
      <c r="D219" s="353"/>
      <c r="E219" s="353"/>
      <c r="F219" s="353"/>
      <c r="G219" s="353"/>
      <c r="H219" s="353"/>
      <c r="I219" s="353"/>
      <c r="J219" s="353"/>
      <c r="AG219" s="1559" t="s">
        <v>3921</v>
      </c>
      <c r="AH219" s="1560"/>
      <c r="AI219" s="1561">
        <v>1.26</v>
      </c>
      <c r="AJ219" s="1564" t="s">
        <v>3899</v>
      </c>
      <c r="AK219" s="1565"/>
      <c r="AL219" s="1565"/>
      <c r="AM219" s="1566"/>
      <c r="BO219" s="355" t="str">
        <f>$BU$200&amp;"*0.1*"&amp;$BV$200</f>
        <v>5*0.1*0.15</v>
      </c>
      <c r="BP219" s="138"/>
      <c r="BQ219" s="138"/>
      <c r="BR219" s="138"/>
      <c r="BS219" s="138"/>
      <c r="BT219" s="131"/>
      <c r="BU219" s="355" t="str">
        <f>$BU$184&amp;"*0.1*"&amp;$BV$184</f>
        <v>5*0.1*0.15</v>
      </c>
      <c r="BZ219" s="131"/>
    </row>
    <row r="220" spans="2:79" ht="17.25" thickBot="1">
      <c r="B220" s="353"/>
      <c r="C220" s="353"/>
      <c r="D220" s="353"/>
      <c r="E220" s="353"/>
      <c r="F220" s="353"/>
      <c r="G220" s="353"/>
      <c r="H220" s="353"/>
      <c r="I220" s="353"/>
      <c r="J220" s="353"/>
      <c r="AG220" s="1559"/>
      <c r="AH220" s="1560"/>
      <c r="AI220" s="1561"/>
      <c r="AJ220" s="1567"/>
      <c r="AK220" s="1568"/>
      <c r="AL220" s="1568"/>
      <c r="AM220" s="1569"/>
      <c r="BO220" s="354"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BP220" s="138"/>
      <c r="BQ220" s="138"/>
      <c r="BR220" s="138"/>
      <c r="BS220" s="138"/>
      <c r="BT220" s="131"/>
      <c r="BU220" s="354"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BV220" s="271"/>
      <c r="BW220" s="271"/>
      <c r="BX220" s="271"/>
      <c r="BY220" s="271"/>
      <c r="BZ220" s="356"/>
    </row>
    <row r="221" spans="2:79" ht="17.25" thickBot="1">
      <c r="B221" s="353"/>
      <c r="C221" s="353"/>
      <c r="D221" s="353"/>
      <c r="E221" s="353"/>
      <c r="F221" s="353"/>
      <c r="G221" s="353"/>
      <c r="H221" s="353"/>
      <c r="I221" s="353"/>
      <c r="J221" s="353"/>
      <c r="AG221" s="1559"/>
      <c r="AH221" s="1560"/>
      <c r="AI221" s="1561"/>
      <c r="AJ221" s="1570"/>
      <c r="AK221" s="1571"/>
      <c r="AL221" s="1571"/>
      <c r="AM221" s="1572"/>
      <c r="BO221" s="355" t="str">
        <f>$BU$200&amp;"*0.1*"&amp;$BV$200</f>
        <v>5*0.1*0.15</v>
      </c>
      <c r="BP221" s="138"/>
      <c r="BQ221" s="138"/>
      <c r="BR221" s="138"/>
      <c r="BS221" s="138"/>
      <c r="BT221" s="131"/>
      <c r="BU221" s="355" t="str">
        <f>$BU$184&amp;"*0.1*"&amp;$BV$184</f>
        <v>5*0.1*0.15</v>
      </c>
      <c r="BZ221" s="131"/>
    </row>
    <row r="222" spans="2:79" ht="16.5" customHeight="1" thickBot="1">
      <c r="B222" s="353"/>
      <c r="C222" s="353"/>
      <c r="D222" s="353"/>
      <c r="E222" s="353"/>
      <c r="F222" s="353"/>
      <c r="G222" s="353"/>
      <c r="H222" s="353"/>
      <c r="I222" s="353"/>
      <c r="J222" s="353"/>
      <c r="AG222" s="1559" t="s">
        <v>3922</v>
      </c>
      <c r="AH222" s="1560"/>
      <c r="AI222" s="1561">
        <v>0</v>
      </c>
      <c r="AJ222" s="1564" t="s">
        <v>3900</v>
      </c>
      <c r="AK222" s="1565"/>
      <c r="AL222" s="1565"/>
      <c r="AM222" s="1566"/>
      <c r="BO222" s="354" t="s">
        <v>1149</v>
      </c>
      <c r="BP222" s="138"/>
      <c r="BQ222" s="138"/>
      <c r="BR222" s="138"/>
      <c r="BS222" s="138"/>
      <c r="BT222" s="131"/>
      <c r="BU222" s="357" t="s">
        <v>3979</v>
      </c>
      <c r="BZ222" s="131"/>
    </row>
    <row r="223" spans="2:79" ht="17.25" thickBot="1">
      <c r="B223" s="353"/>
      <c r="C223" s="353"/>
      <c r="D223" s="353"/>
      <c r="E223" s="353"/>
      <c r="F223" s="353"/>
      <c r="G223" s="353"/>
      <c r="H223" s="353"/>
      <c r="I223" s="353"/>
      <c r="J223" s="353"/>
      <c r="AG223" s="1559"/>
      <c r="AH223" s="1560"/>
      <c r="AI223" s="1561"/>
      <c r="AJ223" s="1567"/>
      <c r="AK223" s="1568"/>
      <c r="AL223" s="1568"/>
      <c r="AM223" s="1569"/>
      <c r="BO223" s="355" t="str">
        <f>$BU$200&amp;"*0.1"</f>
        <v>5*0.1</v>
      </c>
      <c r="BP223" s="138"/>
      <c r="BQ223" s="138"/>
      <c r="BR223" s="138"/>
      <c r="BS223" s="138"/>
      <c r="BT223" s="131"/>
      <c r="BU223" s="355" t="str">
        <f>$BU$184&amp;"*0.1*"&amp;$BV$184</f>
        <v>5*0.1*0.15</v>
      </c>
      <c r="BZ223" s="131"/>
    </row>
    <row r="224" spans="2:79" ht="17.25" thickBot="1">
      <c r="B224" s="353"/>
      <c r="C224" s="353"/>
      <c r="D224" s="353"/>
      <c r="E224" s="353"/>
      <c r="F224" s="353"/>
      <c r="G224" s="353"/>
      <c r="H224" s="353"/>
      <c r="I224" s="353"/>
      <c r="J224" s="353"/>
      <c r="AG224" s="1559"/>
      <c r="AH224" s="1560"/>
      <c r="AI224" s="1561"/>
      <c r="AJ224" s="1570"/>
      <c r="AK224" s="1571"/>
      <c r="AL224" s="1571"/>
      <c r="AM224" s="1572"/>
      <c r="BO224" s="354" t="s">
        <v>3639</v>
      </c>
      <c r="BP224" s="138"/>
      <c r="BQ224" s="138"/>
      <c r="BR224" s="138"/>
      <c r="BS224" s="138"/>
      <c r="BT224" s="131"/>
      <c r="BU224" s="358" t="s">
        <v>2</v>
      </c>
      <c r="BZ224" s="131"/>
    </row>
    <row r="225" spans="2:78" ht="16.5" customHeight="1" thickBot="1">
      <c r="B225" s="353"/>
      <c r="C225" s="353"/>
      <c r="D225" s="353"/>
      <c r="E225" s="353"/>
      <c r="F225" s="353"/>
      <c r="G225" s="353"/>
      <c r="H225" s="353"/>
      <c r="I225" s="353"/>
      <c r="J225" s="353"/>
      <c r="AG225" s="1559" t="s">
        <v>3923</v>
      </c>
      <c r="AH225" s="1560"/>
      <c r="AI225" s="1561">
        <v>0</v>
      </c>
      <c r="AJ225" s="1564" t="s">
        <v>3901</v>
      </c>
      <c r="AK225" s="1565"/>
      <c r="AL225" s="1565"/>
      <c r="AM225" s="1566"/>
      <c r="BO225" s="355" t="str">
        <f>$BU$200&amp;"*0.1*"&amp;$BV$200</f>
        <v>5*0.1*0.15</v>
      </c>
      <c r="BP225" s="138"/>
      <c r="BQ225" s="138"/>
      <c r="BR225" s="138"/>
      <c r="BS225" s="138"/>
      <c r="BT225" s="131"/>
      <c r="BU225" s="358" t="s">
        <v>2</v>
      </c>
      <c r="BZ225" s="131"/>
    </row>
    <row r="226" spans="2:78" ht="17.25" thickBot="1">
      <c r="B226" s="353"/>
      <c r="C226" s="353"/>
      <c r="D226" s="353"/>
      <c r="E226" s="353"/>
      <c r="F226" s="353"/>
      <c r="G226" s="353"/>
      <c r="H226" s="353"/>
      <c r="I226" s="353"/>
      <c r="J226" s="353"/>
      <c r="AG226" s="1559"/>
      <c r="AH226" s="1560"/>
      <c r="AI226" s="1561"/>
      <c r="AJ226" s="1567"/>
      <c r="AK226" s="1568"/>
      <c r="AL226" s="1568"/>
      <c r="AM226" s="1569"/>
      <c r="BO226" s="358" t="s">
        <v>2</v>
      </c>
      <c r="BP226" s="138"/>
      <c r="BQ226" s="138"/>
      <c r="BR226" s="138"/>
      <c r="BS226" s="138"/>
      <c r="BT226" s="131"/>
      <c r="BU226" s="358" t="s">
        <v>2</v>
      </c>
      <c r="BZ226" s="131"/>
    </row>
    <row r="227" spans="2:78" ht="17.25" thickBot="1">
      <c r="B227" s="353"/>
      <c r="C227" s="353"/>
      <c r="D227" s="353"/>
      <c r="E227" s="353"/>
      <c r="F227" s="353"/>
      <c r="G227" s="353"/>
      <c r="H227" s="353"/>
      <c r="I227" s="353"/>
      <c r="J227" s="353"/>
      <c r="AG227" s="1573"/>
      <c r="AH227" s="1574"/>
      <c r="AI227" s="1575"/>
      <c r="AJ227" s="1576"/>
      <c r="AK227" s="1577"/>
      <c r="AL227" s="1577"/>
      <c r="AM227" s="1578"/>
      <c r="BO227" s="358" t="s">
        <v>2</v>
      </c>
      <c r="BP227" s="138"/>
      <c r="BQ227" s="138"/>
      <c r="BR227" s="138"/>
      <c r="BS227" s="138"/>
      <c r="BT227" s="131"/>
      <c r="BU227" s="358" t="s">
        <v>2</v>
      </c>
      <c r="BZ227" s="131"/>
    </row>
    <row r="228" spans="2:78" ht="17.25" thickBot="1">
      <c r="B228" s="353"/>
      <c r="C228" s="353"/>
      <c r="D228" s="353"/>
      <c r="E228" s="353"/>
      <c r="F228" s="353"/>
      <c r="G228" s="353"/>
      <c r="H228" s="353"/>
      <c r="I228" s="353"/>
      <c r="J228" s="353"/>
      <c r="BO228" s="359" t="s">
        <v>2</v>
      </c>
      <c r="BP228" s="141"/>
      <c r="BQ228" s="141"/>
      <c r="BR228" s="141"/>
      <c r="BS228" s="141"/>
      <c r="BT228" s="140"/>
      <c r="BU228" s="359" t="s">
        <v>2</v>
      </c>
      <c r="BV228" s="141"/>
      <c r="BW228" s="141"/>
      <c r="BX228" s="141"/>
      <c r="BY228" s="141"/>
      <c r="BZ228" s="140"/>
    </row>
    <row r="229" spans="2:78" ht="17.25" thickBot="1">
      <c r="B229" s="353"/>
      <c r="C229" s="353"/>
      <c r="D229" s="353"/>
      <c r="E229" s="353"/>
      <c r="F229" s="353"/>
      <c r="G229" s="353"/>
      <c r="H229" s="353"/>
      <c r="I229" s="353"/>
      <c r="J229" s="353"/>
      <c r="AG229" s="1556" t="s">
        <v>3924</v>
      </c>
      <c r="AH229" s="1557"/>
      <c r="AI229" s="518" t="s">
        <v>3925</v>
      </c>
      <c r="AJ229" s="518" t="s">
        <v>3926</v>
      </c>
      <c r="AK229" s="1557" t="s">
        <v>3927</v>
      </c>
      <c r="AL229" s="1557"/>
      <c r="AM229" s="1557"/>
      <c r="AN229" s="1557"/>
      <c r="AO229" s="519" t="s">
        <v>3918</v>
      </c>
    </row>
    <row r="230" spans="2:78" ht="16.5" customHeight="1" thickBot="1">
      <c r="B230" s="353"/>
      <c r="C230" s="353"/>
      <c r="D230" s="353"/>
      <c r="E230" s="353"/>
      <c r="F230" s="353"/>
      <c r="G230" s="353"/>
      <c r="H230" s="353"/>
      <c r="I230" s="353"/>
      <c r="J230" s="353"/>
      <c r="AG230" s="1579" t="s">
        <v>3928</v>
      </c>
      <c r="AH230" s="1580"/>
      <c r="AI230" s="1561">
        <f>IF(SUM(AJ230:AJ232)&lt;&gt;0,SUM(AJ230:AJ232),0)</f>
        <v>0</v>
      </c>
      <c r="AJ230" s="545">
        <f>IF(AND(AO230&gt;=3000,AO230&lt;50000),1,
IF(AND(AO230&gt;=50000,AO230&lt;100000),2,0))</f>
        <v>0</v>
      </c>
      <c r="AK230" s="1581" t="s">
        <v>3844</v>
      </c>
      <c r="AL230" s="1581"/>
      <c r="AM230" s="1581"/>
      <c r="AN230" s="1581"/>
      <c r="AO230" s="552">
        <f>IFERROR(VLOOKUP(AK230,$C$185:$J$234,6,FALSE),0)</f>
        <v>0</v>
      </c>
    </row>
    <row r="231" spans="2:78" ht="17.25" thickBot="1">
      <c r="B231" s="353"/>
      <c r="C231" s="353"/>
      <c r="D231" s="353"/>
      <c r="E231" s="353"/>
      <c r="F231" s="353"/>
      <c r="G231" s="353"/>
      <c r="H231" s="353"/>
      <c r="I231" s="353"/>
      <c r="J231" s="353"/>
      <c r="AG231" s="1579"/>
      <c r="AH231" s="1580"/>
      <c r="AI231" s="1561"/>
      <c r="AJ231" s="545">
        <f>IF(AND(AO231&gt;=3000,AO231&lt;50000),1,
IF(AND(AO231&gt;=50000,AO231&lt;100000),2,0))</f>
        <v>0</v>
      </c>
      <c r="AK231" s="1581" t="s">
        <v>3929</v>
      </c>
      <c r="AL231" s="1581" t="s">
        <v>2</v>
      </c>
      <c r="AM231" s="1581"/>
      <c r="AN231" s="1581"/>
      <c r="AO231" s="552">
        <f t="shared" ref="AO231:AO247" si="15">IFERROR(VLOOKUP(AK231,$C$185:$J$234,6,FALSE),0)</f>
        <v>0</v>
      </c>
    </row>
    <row r="232" spans="2:78" ht="17.25" thickBot="1">
      <c r="B232" s="353"/>
      <c r="C232" s="353"/>
      <c r="D232" s="353"/>
      <c r="E232" s="353"/>
      <c r="F232" s="353"/>
      <c r="G232" s="353"/>
      <c r="H232" s="353"/>
      <c r="I232" s="353"/>
      <c r="J232" s="353"/>
      <c r="AG232" s="1579"/>
      <c r="AH232" s="1580"/>
      <c r="AI232" s="1561"/>
      <c r="AJ232" s="545"/>
      <c r="AK232" s="1581"/>
      <c r="AL232" s="1581" t="s">
        <v>2</v>
      </c>
      <c r="AM232" s="1581"/>
      <c r="AN232" s="1581"/>
      <c r="AO232" s="552">
        <f t="shared" si="15"/>
        <v>0</v>
      </c>
    </row>
    <row r="233" spans="2:78" ht="16.5" customHeight="1" thickBot="1">
      <c r="B233" s="353"/>
      <c r="C233" s="353"/>
      <c r="D233" s="353"/>
      <c r="E233" s="353"/>
      <c r="F233" s="353"/>
      <c r="G233" s="353"/>
      <c r="H233" s="353"/>
      <c r="I233" s="353"/>
      <c r="J233" s="353"/>
      <c r="AG233" s="1579" t="s">
        <v>3928</v>
      </c>
      <c r="AH233" s="1580"/>
      <c r="AI233" s="1561">
        <f>IF(OR(AO233&gt;40,AO234&gt;40,AO235&gt;40), SUM(AJ233:AJ235)*5,0)</f>
        <v>0</v>
      </c>
      <c r="AJ233" s="545">
        <f>IF(AND(AO233&gt;=40,AO233&lt;=160),1,
IF(AND(AO233&gt;160,AO233&lt;=200),2,
IF(AND(AO233&gt;200,AO233&lt;=240),3,
IF(AND(AO233&gt;2000,AO233&lt;=240),4,
0))))</f>
        <v>0</v>
      </c>
      <c r="AK233" s="1581" t="s">
        <v>3930</v>
      </c>
      <c r="AL233" s="1581" t="s">
        <v>2</v>
      </c>
      <c r="AM233" s="1581"/>
      <c r="AN233" s="1581"/>
      <c r="AO233" s="552">
        <f t="shared" si="15"/>
        <v>0</v>
      </c>
    </row>
    <row r="234" spans="2:78">
      <c r="B234" s="353"/>
      <c r="C234" s="353"/>
      <c r="D234" s="353"/>
      <c r="E234" s="353"/>
      <c r="F234" s="353"/>
      <c r="G234" s="353"/>
      <c r="H234" s="353"/>
      <c r="I234" s="353"/>
      <c r="J234" s="353"/>
      <c r="AG234" s="1579"/>
      <c r="AH234" s="1580"/>
      <c r="AI234" s="1561"/>
      <c r="AJ234" s="545">
        <f>IF(AND(AO234&gt;=40,AO234&lt;=160),1,
IF(AND(AO234&gt;160,AO234&lt;=200),2,
IF(AND(AO234&gt;200,AO234&lt;=240),3,
IF(AND(AO234&gt;2000,AO234&lt;=240),4,
0))))</f>
        <v>0</v>
      </c>
      <c r="AK234" s="1581" t="s">
        <v>3842</v>
      </c>
      <c r="AL234" s="1581" t="s">
        <v>2</v>
      </c>
      <c r="AM234" s="1581"/>
      <c r="AN234" s="1581"/>
      <c r="AO234" s="552">
        <f t="shared" si="15"/>
        <v>0</v>
      </c>
    </row>
    <row r="235" spans="2:78">
      <c r="AG235" s="1579"/>
      <c r="AH235" s="1580"/>
      <c r="AI235" s="1561"/>
      <c r="AJ235" s="545">
        <f>IF(AND(AO235&gt;=40,AO235&lt;=160),1,
IF(AND(AO235&gt;160,AO235&lt;=200),2,
IF(AND(AO235&gt;200,AO235&lt;=240),3,
IF(AND(AO235&gt;2000,AO235&lt;=240),4,
0))))</f>
        <v>0</v>
      </c>
      <c r="AK235" s="1581" t="s">
        <v>3931</v>
      </c>
      <c r="AL235" s="1581" t="s">
        <v>2</v>
      </c>
      <c r="AM235" s="1581"/>
      <c r="AN235" s="1581"/>
      <c r="AO235" s="552">
        <f t="shared" si="15"/>
        <v>0</v>
      </c>
    </row>
    <row r="236" spans="2:78" ht="16.5" customHeight="1">
      <c r="AG236" s="1579" t="s">
        <v>3932</v>
      </c>
      <c r="AH236" s="1580"/>
      <c r="AI236" s="1561">
        <f>IF(OR(AO236&gt;=200,AO237&gt;=200),SUM(AJ236:AJ237),0)</f>
        <v>0</v>
      </c>
      <c r="AJ236" s="545">
        <f>IF(AND(AO236&gt;=200,AO236&lt;=1000),1,
IF(AND(AO236&gt;1000,AO236&lt;=2000),2,
IF(AND(AO236&gt;2000,AO236&lt;=3000),3,
IF(AND(AO236&gt;3000,AO236&lt;=4000),4,
0))))</f>
        <v>0</v>
      </c>
      <c r="AK236" s="1581" t="s">
        <v>3933</v>
      </c>
      <c r="AL236" s="1581" t="s">
        <v>2</v>
      </c>
      <c r="AM236" s="1581"/>
      <c r="AN236" s="1581"/>
      <c r="AO236" s="552">
        <f t="shared" si="15"/>
        <v>0</v>
      </c>
    </row>
    <row r="237" spans="2:78">
      <c r="AG237" s="1579"/>
      <c r="AH237" s="1580"/>
      <c r="AI237" s="1561"/>
      <c r="AJ237" s="545">
        <f>IF(AND(AO237&gt;=200,AO237&lt;=1000),1,
IF(AND(AO237&gt;1000,AO237&lt;=2000),2,
IF(AND(AO237&gt;2000,AO237&lt;=3000),3,
IF(AND(AO237&gt;3000,AO237&lt;=4000),4,
0))))</f>
        <v>0</v>
      </c>
      <c r="AK237" s="1581" t="s">
        <v>3836</v>
      </c>
      <c r="AL237" s="1581" t="s">
        <v>2</v>
      </c>
      <c r="AM237" s="1581"/>
      <c r="AN237" s="1581"/>
      <c r="AO237" s="552">
        <f t="shared" si="15"/>
        <v>0</v>
      </c>
    </row>
    <row r="238" spans="2:78">
      <c r="AG238" s="1579"/>
      <c r="AH238" s="1580"/>
      <c r="AI238" s="1561"/>
      <c r="AJ238" s="545"/>
      <c r="AK238" s="1581"/>
      <c r="AL238" s="1581" t="s">
        <v>2</v>
      </c>
      <c r="AM238" s="1581"/>
      <c r="AN238" s="1581"/>
      <c r="AO238" s="552">
        <f t="shared" si="15"/>
        <v>0</v>
      </c>
    </row>
    <row r="239" spans="2:78" ht="16.5" customHeight="1">
      <c r="AG239" s="1579" t="s">
        <v>3934</v>
      </c>
      <c r="AH239" s="1580"/>
      <c r="AI239" s="1561">
        <f>IF(OR(AO239&gt;=200,AO240&gt;=200),SUM(AJ239:AJ240),0)</f>
        <v>0</v>
      </c>
      <c r="AJ239" s="545">
        <f>IF(AND(AO239&gt;=200,AO239&lt;=1000),1,
IF(AND(AO239&gt;1000,AO239&lt;=2000),2,
IF(AND(AO239&gt;2000,AO239&lt;=3000),3,
IF(AND(AO239&gt;3000,AO239&lt;=4000),4,
0))))</f>
        <v>0</v>
      </c>
      <c r="AK239" s="1581" t="s">
        <v>3933</v>
      </c>
      <c r="AL239" s="1581" t="s">
        <v>2</v>
      </c>
      <c r="AM239" s="1581"/>
      <c r="AN239" s="1581"/>
      <c r="AO239" s="552">
        <f t="shared" si="15"/>
        <v>0</v>
      </c>
    </row>
    <row r="240" spans="2:78">
      <c r="AG240" s="1579"/>
      <c r="AH240" s="1580"/>
      <c r="AI240" s="1561"/>
      <c r="AJ240" s="545">
        <f>IF(AND(AO240&gt;=200,AO240&lt;=1000),1,
IF(AND(AO240&gt;1000,AO240&lt;=2000),2,
IF(AND(AO240&gt;2000,AO240&lt;=3000),3,
IF(AND(AO240&gt;3000,AO240&lt;=4000),4,
0))))</f>
        <v>0</v>
      </c>
      <c r="AK240" s="1581" t="s">
        <v>3836</v>
      </c>
      <c r="AL240" s="1581" t="s">
        <v>2</v>
      </c>
      <c r="AM240" s="1581"/>
      <c r="AN240" s="1581"/>
      <c r="AO240" s="552">
        <f t="shared" si="15"/>
        <v>0</v>
      </c>
    </row>
    <row r="241" spans="2:41">
      <c r="AG241" s="1579"/>
      <c r="AH241" s="1580"/>
      <c r="AI241" s="1561"/>
      <c r="AJ241" s="545"/>
      <c r="AK241" s="1581"/>
      <c r="AL241" s="1581" t="s">
        <v>2</v>
      </c>
      <c r="AM241" s="1581"/>
      <c r="AN241" s="1581"/>
      <c r="AO241" s="552">
        <f t="shared" si="15"/>
        <v>0</v>
      </c>
    </row>
    <row r="242" spans="2:41" ht="16.5" customHeight="1">
      <c r="AG242" s="1579" t="s">
        <v>3935</v>
      </c>
      <c r="AH242" s="1580"/>
      <c r="AI242" s="1561">
        <f>IF(OR(AO242&gt;20,AO243&gt;20,AO244&gt;20),(SUM(AJ242:AJ244)),0)</f>
        <v>0</v>
      </c>
      <c r="AJ242" s="545">
        <f>IF(AND(AO242&gt;=20,AO242&lt;=100),1,
IF(AND(AO242&gt;100,AO242&lt;=200),2,
IF(AND(AO242&gt;200,AO242&lt;=300),3,
IF(AND(AO242&gt;300,AO242&lt;=400),4,
0))))</f>
        <v>0</v>
      </c>
      <c r="AK242" s="1581" t="s">
        <v>3936</v>
      </c>
      <c r="AL242" s="1581" t="s">
        <v>2</v>
      </c>
      <c r="AM242" s="1581"/>
      <c r="AN242" s="1581"/>
      <c r="AO242" s="552">
        <f t="shared" si="15"/>
        <v>0</v>
      </c>
    </row>
    <row r="243" spans="2:41">
      <c r="AG243" s="1579"/>
      <c r="AH243" s="1580"/>
      <c r="AI243" s="1561"/>
      <c r="AJ243" s="545">
        <f>IF(AND(AO243&gt;=20,AO243&lt;=100),1,
IF(AND(AO243&gt;100,AO243&lt;=200),2,
IF(AND(AO243&gt;200,AO243&lt;=300),3,
IF(AND(AO243&gt;300,AO243&lt;=400),4,
0))))</f>
        <v>0</v>
      </c>
      <c r="AK243" s="1581" t="s">
        <v>3937</v>
      </c>
      <c r="AL243" s="1581" t="s">
        <v>2</v>
      </c>
      <c r="AM243" s="1581"/>
      <c r="AN243" s="1581"/>
      <c r="AO243" s="552">
        <f t="shared" si="15"/>
        <v>0</v>
      </c>
    </row>
    <row r="244" spans="2:41" ht="17.25" thickBot="1">
      <c r="AG244" s="1592"/>
      <c r="AH244" s="1593"/>
      <c r="AI244" s="1594"/>
      <c r="AJ244" s="548">
        <f>IF(AND(AO244&gt;=20,AO244&lt;=100),1,
IF(AND(AO244&gt;100,AO244&lt;=200),2,
IF(AND(AO244&gt;200,AO244&lt;=300),3,
IF(AND(AO244&gt;300,AO244&lt;=400),4,
0))))</f>
        <v>0</v>
      </c>
      <c r="AK244" s="1595" t="s">
        <v>3938</v>
      </c>
      <c r="AL244" s="1595" t="s">
        <v>2</v>
      </c>
      <c r="AM244" s="1595"/>
      <c r="AN244" s="1595"/>
      <c r="AO244" s="552">
        <f t="shared" si="15"/>
        <v>0</v>
      </c>
    </row>
    <row r="245" spans="2:41" ht="16.5" customHeight="1">
      <c r="AG245" s="1582" t="s">
        <v>3939</v>
      </c>
      <c r="AH245" s="1583"/>
      <c r="AI245" s="1586">
        <f>IF(OR(AO245&gt;20,AO246&gt;20,AO247&gt;20),(SUM(AJ245:AJ247)),0)</f>
        <v>0</v>
      </c>
      <c r="AJ245" s="518">
        <f>IF(AND(AO245&gt;=1000,AO245&lt;=10000),1,0)</f>
        <v>0</v>
      </c>
      <c r="AK245" s="1587" t="s">
        <v>3940</v>
      </c>
      <c r="AL245" s="1587" t="s">
        <v>2</v>
      </c>
      <c r="AM245" s="1587"/>
      <c r="AN245" s="1587"/>
      <c r="AO245" s="552">
        <f t="shared" si="15"/>
        <v>0</v>
      </c>
    </row>
    <row r="246" spans="2:41">
      <c r="AG246" s="1579"/>
      <c r="AH246" s="1580"/>
      <c r="AI246" s="1561"/>
      <c r="AJ246" s="545"/>
      <c r="AK246" s="1581"/>
      <c r="AL246" s="1581"/>
      <c r="AM246" s="1581"/>
      <c r="AN246" s="1581"/>
      <c r="AO246" s="552">
        <f t="shared" si="15"/>
        <v>0</v>
      </c>
    </row>
    <row r="247" spans="2:41" ht="17.25" thickBot="1">
      <c r="AG247" s="1584"/>
      <c r="AH247" s="1585"/>
      <c r="AI247" s="1575"/>
      <c r="AJ247" s="553"/>
      <c r="AK247" s="1588"/>
      <c r="AL247" s="1588"/>
      <c r="AM247" s="1588"/>
      <c r="AN247" s="1588"/>
      <c r="AO247" s="552">
        <f t="shared" si="15"/>
        <v>0</v>
      </c>
    </row>
    <row r="249" spans="2:41" ht="17.25" thickBot="1"/>
    <row r="250" spans="2:41" ht="17.25" thickBot="1">
      <c r="B250" s="1589" t="s">
        <v>3908</v>
      </c>
      <c r="C250" s="1590"/>
      <c r="D250" s="1590"/>
      <c r="E250" s="1590"/>
      <c r="F250" s="1590"/>
      <c r="G250" s="1590"/>
      <c r="H250" s="1591"/>
    </row>
    <row r="251" spans="2:41" ht="16.5" customHeight="1">
      <c r="B251" s="1387" t="s">
        <v>3941</v>
      </c>
      <c r="C251" s="1388"/>
      <c r="D251" s="1388"/>
      <c r="E251" s="1388"/>
      <c r="F251" s="1388"/>
      <c r="G251" s="1388"/>
      <c r="H251" s="1389"/>
    </row>
    <row r="252" spans="2:41">
      <c r="B252" s="1390"/>
      <c r="C252" s="1391"/>
      <c r="D252" s="1391"/>
      <c r="E252" s="1391"/>
      <c r="F252" s="1391"/>
      <c r="G252" s="1391"/>
      <c r="H252" s="1392"/>
      <c r="K252" s="367"/>
      <c r="R252" s="6" t="s">
        <v>3914</v>
      </c>
    </row>
    <row r="253" spans="2:41">
      <c r="B253" s="1390"/>
      <c r="C253" s="1391"/>
      <c r="D253" s="1391"/>
      <c r="E253" s="1391"/>
      <c r="F253" s="1391"/>
      <c r="G253" s="1391"/>
      <c r="H253" s="1392"/>
      <c r="K253" s="367"/>
    </row>
    <row r="254" spans="2:41">
      <c r="B254" s="1390"/>
      <c r="C254" s="1391"/>
      <c r="D254" s="1391"/>
      <c r="E254" s="1391"/>
      <c r="F254" s="1391"/>
      <c r="G254" s="1391"/>
      <c r="H254" s="1392"/>
      <c r="K254" s="367"/>
    </row>
    <row r="255" spans="2:41">
      <c r="B255" s="1390"/>
      <c r="C255" s="1391"/>
      <c r="D255" s="1391"/>
      <c r="E255" s="1391"/>
      <c r="F255" s="1391"/>
      <c r="G255" s="1391"/>
      <c r="H255" s="1392"/>
      <c r="K255" s="367"/>
    </row>
    <row r="256" spans="2:41">
      <c r="B256" s="1390"/>
      <c r="C256" s="1391"/>
      <c r="D256" s="1391"/>
      <c r="E256" s="1391"/>
      <c r="F256" s="1391"/>
      <c r="G256" s="1391"/>
      <c r="H256" s="1392"/>
      <c r="K256" s="368"/>
    </row>
    <row r="257" spans="2:11">
      <c r="B257" s="1390"/>
      <c r="C257" s="1391"/>
      <c r="D257" s="1391"/>
      <c r="E257" s="1391"/>
      <c r="F257" s="1391"/>
      <c r="G257" s="1391"/>
      <c r="H257" s="1392"/>
      <c r="K257" s="369"/>
    </row>
    <row r="258" spans="2:11">
      <c r="B258" s="1390"/>
      <c r="C258" s="1391"/>
      <c r="D258" s="1391"/>
      <c r="E258" s="1391"/>
      <c r="F258" s="1391"/>
      <c r="G258" s="1391"/>
      <c r="H258" s="1392"/>
    </row>
    <row r="259" spans="2:11">
      <c r="B259" s="1390"/>
      <c r="C259" s="1391"/>
      <c r="D259" s="1391"/>
      <c r="E259" s="1391"/>
      <c r="F259" s="1391"/>
      <c r="G259" s="1391"/>
      <c r="H259" s="1392"/>
    </row>
    <row r="260" spans="2:11">
      <c r="B260" s="1390"/>
      <c r="C260" s="1391"/>
      <c r="D260" s="1391"/>
      <c r="E260" s="1391"/>
      <c r="F260" s="1391"/>
      <c r="G260" s="1391"/>
      <c r="H260" s="1392"/>
    </row>
    <row r="261" spans="2:11">
      <c r="B261" s="1390"/>
      <c r="C261" s="1391"/>
      <c r="D261" s="1391"/>
      <c r="E261" s="1391"/>
      <c r="F261" s="1391"/>
      <c r="G261" s="1391"/>
      <c r="H261" s="1392"/>
    </row>
    <row r="262" spans="2:11">
      <c r="B262" s="1390"/>
      <c r="C262" s="1391"/>
      <c r="D262" s="1391"/>
      <c r="E262" s="1391"/>
      <c r="F262" s="1391"/>
      <c r="G262" s="1391"/>
      <c r="H262" s="1392"/>
    </row>
    <row r="263" spans="2:11">
      <c r="B263" s="1390"/>
      <c r="C263" s="1391"/>
      <c r="D263" s="1391"/>
      <c r="E263" s="1391"/>
      <c r="F263" s="1391"/>
      <c r="G263" s="1391"/>
      <c r="H263" s="1392"/>
    </row>
    <row r="264" spans="2:11">
      <c r="B264" s="1390"/>
      <c r="C264" s="1391"/>
      <c r="D264" s="1391"/>
      <c r="E264" s="1391"/>
      <c r="F264" s="1391"/>
      <c r="G264" s="1391"/>
      <c r="H264" s="1392"/>
    </row>
    <row r="265" spans="2:11" ht="17.25" thickBot="1">
      <c r="B265" s="1393"/>
      <c r="C265" s="1394"/>
      <c r="D265" s="1394"/>
      <c r="E265" s="1394"/>
      <c r="F265" s="1394"/>
      <c r="G265" s="1394"/>
      <c r="H265" s="1395"/>
    </row>
    <row r="287" spans="120:127">
      <c r="DP287"/>
      <c r="DQ287"/>
      <c r="DR287"/>
      <c r="DS287"/>
      <c r="DT287"/>
      <c r="DU287"/>
      <c r="DV287"/>
      <c r="DW287"/>
    </row>
    <row r="288" spans="120:127">
      <c r="DP288"/>
      <c r="DQ288"/>
      <c r="DR288"/>
      <c r="DS288"/>
      <c r="DT288"/>
      <c r="DU288"/>
      <c r="DV288"/>
      <c r="DW288"/>
    </row>
    <row r="289" spans="120:127">
      <c r="DP289"/>
      <c r="DQ289"/>
      <c r="DR289"/>
      <c r="DS289"/>
      <c r="DT289"/>
      <c r="DU289"/>
      <c r="DV289"/>
      <c r="DW289"/>
    </row>
    <row r="290" spans="120:127">
      <c r="DP290"/>
      <c r="DQ290"/>
      <c r="DR290"/>
      <c r="DS290"/>
      <c r="DT290"/>
      <c r="DU290"/>
      <c r="DV290"/>
      <c r="DW290"/>
    </row>
    <row r="291" spans="120:127">
      <c r="DP291"/>
      <c r="DQ291"/>
      <c r="DR291"/>
      <c r="DS291"/>
      <c r="DT291"/>
      <c r="DU291"/>
      <c r="DV291"/>
      <c r="DW291"/>
    </row>
    <row r="292" spans="120:127">
      <c r="DP292"/>
      <c r="DQ292"/>
      <c r="DR292"/>
      <c r="DS292"/>
      <c r="DT292"/>
      <c r="DU292"/>
      <c r="DV292"/>
      <c r="DW292"/>
    </row>
    <row r="293" spans="120:127">
      <c r="DP293"/>
      <c r="DQ293"/>
      <c r="DR293"/>
      <c r="DS293"/>
      <c r="DT293"/>
      <c r="DU293"/>
      <c r="DV293"/>
      <c r="DW293"/>
    </row>
    <row r="294" spans="120:127">
      <c r="DP294"/>
      <c r="DQ294"/>
      <c r="DR294"/>
      <c r="DS294"/>
      <c r="DT294"/>
      <c r="DU294"/>
      <c r="DV294"/>
      <c r="DW294"/>
    </row>
    <row r="295" spans="120:127">
      <c r="DP295"/>
      <c r="DQ295"/>
      <c r="DR295"/>
      <c r="DS295"/>
      <c r="DT295"/>
      <c r="DU295"/>
      <c r="DV295"/>
      <c r="DW295"/>
    </row>
    <row r="296" spans="120:127">
      <c r="DP296"/>
      <c r="DQ296"/>
      <c r="DR296"/>
      <c r="DS296"/>
      <c r="DT296"/>
      <c r="DU296"/>
      <c r="DV296"/>
      <c r="DW296"/>
    </row>
    <row r="297" spans="120:127">
      <c r="DP297"/>
      <c r="DQ297"/>
      <c r="DR297"/>
      <c r="DS297"/>
      <c r="DT297"/>
      <c r="DU297"/>
      <c r="DV297"/>
      <c r="DW297"/>
    </row>
    <row r="298" spans="120:127">
      <c r="DP298"/>
      <c r="DQ298"/>
      <c r="DR298"/>
      <c r="DS298"/>
      <c r="DT298"/>
      <c r="DU298"/>
      <c r="DV298"/>
      <c r="DW298"/>
    </row>
    <row r="299" spans="120:127">
      <c r="DP299"/>
      <c r="DQ299"/>
      <c r="DR299"/>
      <c r="DS299"/>
      <c r="DT299"/>
      <c r="DU299"/>
      <c r="DV299"/>
      <c r="DW299"/>
    </row>
    <row r="300" spans="120:127">
      <c r="DP300"/>
      <c r="DQ300"/>
      <c r="DR300"/>
      <c r="DS300"/>
      <c r="DT300"/>
      <c r="DU300"/>
      <c r="DV300"/>
      <c r="DW300"/>
    </row>
    <row r="301" spans="120:127">
      <c r="DP301"/>
      <c r="DQ301"/>
      <c r="DR301"/>
      <c r="DS301"/>
      <c r="DT301"/>
      <c r="DU301"/>
      <c r="DV301"/>
      <c r="DW301"/>
    </row>
    <row r="302" spans="120:127">
      <c r="DP302"/>
      <c r="DQ302"/>
      <c r="DR302"/>
      <c r="DS302"/>
      <c r="DT302"/>
      <c r="DU302"/>
      <c r="DV302"/>
      <c r="DW302"/>
    </row>
    <row r="303" spans="120:127">
      <c r="DP303"/>
      <c r="DQ303"/>
      <c r="DR303"/>
      <c r="DS303"/>
      <c r="DT303"/>
      <c r="DU303"/>
      <c r="DV303"/>
      <c r="DW303"/>
    </row>
    <row r="304" spans="120:127">
      <c r="DP304"/>
      <c r="DQ304"/>
      <c r="DR304"/>
      <c r="DS304"/>
      <c r="DT304"/>
      <c r="DU304"/>
      <c r="DV304"/>
      <c r="DW304"/>
    </row>
    <row r="305" spans="120:127">
      <c r="DP305"/>
      <c r="DQ305"/>
      <c r="DR305"/>
      <c r="DS305"/>
      <c r="DT305"/>
      <c r="DU305"/>
      <c r="DV305"/>
      <c r="DW305"/>
    </row>
    <row r="306" spans="120:127">
      <c r="DP306"/>
      <c r="DQ306"/>
      <c r="DR306"/>
      <c r="DS306"/>
      <c r="DT306"/>
      <c r="DU306"/>
      <c r="DV306"/>
      <c r="DW306"/>
    </row>
    <row r="307" spans="120:127">
      <c r="DP307"/>
      <c r="DQ307"/>
      <c r="DR307"/>
      <c r="DS307"/>
      <c r="DT307"/>
      <c r="DU307"/>
      <c r="DV307"/>
      <c r="DW307"/>
    </row>
    <row r="308" spans="120:127">
      <c r="DP308"/>
      <c r="DQ308"/>
      <c r="DR308"/>
      <c r="DS308"/>
      <c r="DT308"/>
      <c r="DU308"/>
      <c r="DV308"/>
      <c r="DW308"/>
    </row>
    <row r="309" spans="120:127">
      <c r="DP309"/>
      <c r="DQ309"/>
      <c r="DR309"/>
      <c r="DS309"/>
      <c r="DT309"/>
      <c r="DU309"/>
      <c r="DV309"/>
      <c r="DW309"/>
    </row>
    <row r="310" spans="120:127">
      <c r="DP310"/>
      <c r="DQ310"/>
      <c r="DR310"/>
      <c r="DS310"/>
      <c r="DT310"/>
      <c r="DU310"/>
      <c r="DV310"/>
      <c r="DW310"/>
    </row>
    <row r="311" spans="120:127">
      <c r="DP311"/>
      <c r="DQ311"/>
      <c r="DR311"/>
      <c r="DS311"/>
      <c r="DT311"/>
      <c r="DU311"/>
      <c r="DV311"/>
      <c r="DW311"/>
    </row>
    <row r="312" spans="120:127">
      <c r="DP312"/>
      <c r="DQ312"/>
      <c r="DR312"/>
      <c r="DS312"/>
      <c r="DT312"/>
      <c r="DU312"/>
      <c r="DV312"/>
      <c r="DW312"/>
    </row>
    <row r="313" spans="120:127">
      <c r="DP313"/>
      <c r="DQ313"/>
      <c r="DR313"/>
      <c r="DS313"/>
      <c r="DT313"/>
      <c r="DU313"/>
      <c r="DV313"/>
      <c r="DW313"/>
    </row>
    <row r="314" spans="120:127">
      <c r="DP314"/>
      <c r="DQ314"/>
      <c r="DR314"/>
      <c r="DS314"/>
      <c r="DT314"/>
      <c r="DU314"/>
      <c r="DV314"/>
      <c r="DW314"/>
    </row>
    <row r="315" spans="120:127">
      <c r="DP315"/>
      <c r="DQ315"/>
      <c r="DR315"/>
      <c r="DS315"/>
      <c r="DT315"/>
      <c r="DU315"/>
      <c r="DV315"/>
      <c r="DW315"/>
    </row>
    <row r="316" spans="120:127">
      <c r="DP316"/>
      <c r="DQ316"/>
      <c r="DR316"/>
      <c r="DS316"/>
      <c r="DT316"/>
      <c r="DU316"/>
      <c r="DV316"/>
      <c r="DW316"/>
    </row>
    <row r="317" spans="120:127">
      <c r="DP317"/>
      <c r="DQ317"/>
      <c r="DR317"/>
      <c r="DS317"/>
      <c r="DT317"/>
      <c r="DU317"/>
      <c r="DV317"/>
      <c r="DW317"/>
    </row>
    <row r="318" spans="120:127">
      <c r="DP318"/>
      <c r="DQ318"/>
      <c r="DR318"/>
      <c r="DS318"/>
      <c r="DT318"/>
      <c r="DU318"/>
      <c r="DV318"/>
      <c r="DW318"/>
    </row>
    <row r="319" spans="120:127">
      <c r="DP319"/>
      <c r="DQ319"/>
      <c r="DR319"/>
      <c r="DS319"/>
      <c r="DT319"/>
      <c r="DU319"/>
      <c r="DV319"/>
      <c r="DW319"/>
    </row>
    <row r="320" spans="120:127">
      <c r="DP320"/>
      <c r="DQ320"/>
      <c r="DR320"/>
      <c r="DS320"/>
      <c r="DT320"/>
      <c r="DU320"/>
      <c r="DV320"/>
      <c r="DW320"/>
    </row>
    <row r="321" spans="120:127">
      <c r="DP321"/>
      <c r="DQ321"/>
      <c r="DR321"/>
      <c r="DS321"/>
      <c r="DT321"/>
      <c r="DU321"/>
      <c r="DV321"/>
      <c r="DW321"/>
    </row>
    <row r="322" spans="120:127">
      <c r="DP322"/>
      <c r="DQ322"/>
      <c r="DR322"/>
      <c r="DS322"/>
      <c r="DT322"/>
      <c r="DU322"/>
      <c r="DV322"/>
      <c r="DW322"/>
    </row>
    <row r="323" spans="120:127">
      <c r="DP323"/>
      <c r="DQ323"/>
      <c r="DR323"/>
      <c r="DS323"/>
      <c r="DT323"/>
      <c r="DU323"/>
      <c r="DV323"/>
      <c r="DW323"/>
    </row>
    <row r="324" spans="120:127">
      <c r="DP324"/>
      <c r="DQ324"/>
      <c r="DR324"/>
      <c r="DS324"/>
      <c r="DT324"/>
      <c r="DU324"/>
      <c r="DV324"/>
      <c r="DW324"/>
    </row>
    <row r="325" spans="120:127">
      <c r="DP325"/>
      <c r="DQ325"/>
      <c r="DR325"/>
      <c r="DS325"/>
      <c r="DT325"/>
      <c r="DU325"/>
      <c r="DV325"/>
      <c r="DW325"/>
    </row>
    <row r="326" spans="120:127">
      <c r="DP326"/>
      <c r="DQ326"/>
      <c r="DR326"/>
      <c r="DS326"/>
      <c r="DT326"/>
      <c r="DU326"/>
      <c r="DV326"/>
      <c r="DW326"/>
    </row>
  </sheetData>
  <mergeCells count="116">
    <mergeCell ref="B251:H265"/>
    <mergeCell ref="AG245:AH247"/>
    <mergeCell ref="AI245:AI247"/>
    <mergeCell ref="AK245:AN245"/>
    <mergeCell ref="AK246:AN246"/>
    <mergeCell ref="AK247:AN247"/>
    <mergeCell ref="B250:H250"/>
    <mergeCell ref="AK239:AN239"/>
    <mergeCell ref="AK240:AN240"/>
    <mergeCell ref="AK241:AN241"/>
    <mergeCell ref="AG242:AH244"/>
    <mergeCell ref="AI242:AI244"/>
    <mergeCell ref="AK242:AN242"/>
    <mergeCell ref="AK243:AN243"/>
    <mergeCell ref="AK244:AN244"/>
    <mergeCell ref="AG239:AH241"/>
    <mergeCell ref="AI239:AI241"/>
    <mergeCell ref="AG233:AH235"/>
    <mergeCell ref="AI233:AI235"/>
    <mergeCell ref="AK233:AN233"/>
    <mergeCell ref="AK234:AN234"/>
    <mergeCell ref="AK235:AN235"/>
    <mergeCell ref="AG236:AH238"/>
    <mergeCell ref="AI236:AI238"/>
    <mergeCell ref="AK236:AN236"/>
    <mergeCell ref="AK237:AN237"/>
    <mergeCell ref="AK238:AN238"/>
    <mergeCell ref="AG225:AH227"/>
    <mergeCell ref="AI225:AI227"/>
    <mergeCell ref="AJ225:AM227"/>
    <mergeCell ref="AG229:AH229"/>
    <mergeCell ref="AK229:AN229"/>
    <mergeCell ref="AG230:AH232"/>
    <mergeCell ref="AI230:AI232"/>
    <mergeCell ref="AK230:AN230"/>
    <mergeCell ref="AK231:AN231"/>
    <mergeCell ref="AK232:AN232"/>
    <mergeCell ref="AG216:AH218"/>
    <mergeCell ref="AI216:AI218"/>
    <mergeCell ref="AJ216:AM218"/>
    <mergeCell ref="AG219:AH221"/>
    <mergeCell ref="AI219:AI221"/>
    <mergeCell ref="AJ219:AM221"/>
    <mergeCell ref="AG222:AH224"/>
    <mergeCell ref="AI222:AI224"/>
    <mergeCell ref="AJ222:AM224"/>
    <mergeCell ref="AH210:AL210"/>
    <mergeCell ref="AH211:AL211"/>
    <mergeCell ref="AH212:AL212"/>
    <mergeCell ref="AH205:AL205"/>
    <mergeCell ref="AH206:AL206"/>
    <mergeCell ref="AH207:AL207"/>
    <mergeCell ref="AH208:AL208"/>
    <mergeCell ref="AH213:AL213"/>
    <mergeCell ref="AG215:AH215"/>
    <mergeCell ref="AJ215:AM215"/>
    <mergeCell ref="AH201:AL201"/>
    <mergeCell ref="AH202:AL202"/>
    <mergeCell ref="AH203:AL203"/>
    <mergeCell ref="AH204:AL204"/>
    <mergeCell ref="AH197:AL197"/>
    <mergeCell ref="AH198:AL198"/>
    <mergeCell ref="AH199:AL199"/>
    <mergeCell ref="AH200:AL200"/>
    <mergeCell ref="AH209:AL209"/>
    <mergeCell ref="CC183:CI184"/>
    <mergeCell ref="B184:H184"/>
    <mergeCell ref="AH185:AL185"/>
    <mergeCell ref="AH186:AL186"/>
    <mergeCell ref="AH187:AL187"/>
    <mergeCell ref="AH188:AL188"/>
    <mergeCell ref="AH194:AL194"/>
    <mergeCell ref="AH195:AL195"/>
    <mergeCell ref="AH196:AL196"/>
    <mergeCell ref="AH190:AL190"/>
    <mergeCell ref="AH191:AL191"/>
    <mergeCell ref="AH192:AL192"/>
    <mergeCell ref="AH193:AL193"/>
    <mergeCell ref="AH189:AL189"/>
    <mergeCell ref="BO155:BU156"/>
    <mergeCell ref="B175:J182"/>
    <mergeCell ref="L178:R180"/>
    <mergeCell ref="BU182:BY182"/>
    <mergeCell ref="H95:N95"/>
    <mergeCell ref="P95:V95"/>
    <mergeCell ref="W95:AC95"/>
    <mergeCell ref="BO182:BS182"/>
    <mergeCell ref="CK86:CV86"/>
    <mergeCell ref="BO134:BU135"/>
    <mergeCell ref="CX86:DI86"/>
    <mergeCell ref="CK116:CV116"/>
    <mergeCell ref="CX116:DI116"/>
    <mergeCell ref="CK2:CV2"/>
    <mergeCell ref="CG3:CI3"/>
    <mergeCell ref="CG4:CI4"/>
    <mergeCell ref="CD6:CI6"/>
    <mergeCell ref="CD2:CI2"/>
    <mergeCell ref="BW2:CB2"/>
    <mergeCell ref="BZ3:CB3"/>
    <mergeCell ref="BZ4:CB4"/>
    <mergeCell ref="BW6:CB6"/>
    <mergeCell ref="CX2:DI2"/>
    <mergeCell ref="CX58:DI58"/>
    <mergeCell ref="CK30:CV30"/>
    <mergeCell ref="CX30:DI30"/>
    <mergeCell ref="CK58:CV58"/>
    <mergeCell ref="BL59:BQ59"/>
    <mergeCell ref="BS59:BX59"/>
    <mergeCell ref="BN86:BP86"/>
    <mergeCell ref="BQ86:BS86"/>
    <mergeCell ref="H15:M15"/>
    <mergeCell ref="T15:Z15"/>
    <mergeCell ref="AA15:AG15"/>
    <mergeCell ref="H55:M55"/>
    <mergeCell ref="T55:Z55"/>
    <mergeCell ref="AA55:AG55"/>
  </mergeCells>
  <phoneticPr fontId="3"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7">
    <tabColor rgb="FF00B0F0"/>
  </sheetPr>
  <dimension ref="A1:AR449"/>
  <sheetViews>
    <sheetView zoomScaleNormal="100" workbookViewId="0">
      <selection activeCell="A3" sqref="A3:H91"/>
    </sheetView>
  </sheetViews>
  <sheetFormatPr defaultRowHeight="16.5"/>
  <cols>
    <col min="1" max="1" width="5.5" style="35" customWidth="1"/>
    <col min="2" max="2" width="5.625" style="30" customWidth="1"/>
    <col min="3" max="3" width="30" style="29" customWidth="1"/>
    <col min="4" max="6" width="10.625" style="29" customWidth="1"/>
    <col min="7" max="7" width="10.625" style="36" customWidth="1"/>
    <col min="8" max="8" width="15.25" style="36" customWidth="1"/>
    <col min="9" max="9" width="30.375" style="36" customWidth="1"/>
    <col min="10" max="10" width="15.25" style="36" customWidth="1"/>
    <col min="11" max="11" width="4.25" style="50" customWidth="1"/>
    <col min="12" max="12" width="18.5" style="50" customWidth="1"/>
    <col min="13" max="13" width="11.375" style="50" customWidth="1"/>
    <col min="14" max="14" width="12.75" style="50" customWidth="1"/>
    <col min="15" max="15" width="11.375" style="50" customWidth="1"/>
    <col min="16" max="25" width="13.625" style="50" customWidth="1"/>
    <col min="26" max="26" width="9" customWidth="1"/>
    <col min="28" max="28" width="37.25" customWidth="1"/>
    <col min="29" max="29" width="14.875" bestFit="1" customWidth="1"/>
    <col min="30" max="30" width="9.5" bestFit="1" customWidth="1"/>
    <col min="31" max="31" width="10.125" bestFit="1" customWidth="1"/>
  </cols>
  <sheetData>
    <row r="1" spans="1:34" ht="17.25" thickBot="1">
      <c r="A1" s="54"/>
      <c r="B1" s="55"/>
      <c r="C1" s="55"/>
      <c r="D1" s="55"/>
      <c r="E1" s="55"/>
      <c r="F1" s="55"/>
      <c r="G1" s="56"/>
      <c r="H1" s="56"/>
      <c r="I1" s="56"/>
    </row>
    <row r="2" spans="1:34">
      <c r="A2" s="836"/>
      <c r="B2" s="837"/>
      <c r="C2" s="838" t="s">
        <v>2789</v>
      </c>
      <c r="D2" s="838"/>
      <c r="E2" s="838"/>
      <c r="F2" s="838"/>
      <c r="G2" s="839"/>
      <c r="H2" s="840" t="e">
        <f>SUM(H3:H49)</f>
        <v>#REF!</v>
      </c>
      <c r="I2" s="57"/>
    </row>
    <row r="3" spans="1:34" ht="18" customHeight="1">
      <c r="A3" s="841" t="s">
        <v>4342</v>
      </c>
      <c r="B3" s="831" t="str">
        <f>詳細表!$A3</f>
        <v>1.</v>
      </c>
      <c r="C3" s="831" t="str">
        <f>詳細表!$B3</f>
        <v>操作手，重機械</v>
      </c>
      <c r="D3" s="831">
        <f>詳細表!$C3</f>
        <v>1</v>
      </c>
      <c r="E3" s="831" t="str">
        <f>詳細表!$D3</f>
        <v>時</v>
      </c>
      <c r="F3" s="832" t="e">
        <f>詳細表!$E3</f>
        <v>#REF!</v>
      </c>
      <c r="G3" s="832">
        <f>詳細表!$F3</f>
        <v>401</v>
      </c>
      <c r="H3" s="842" t="e">
        <f>詳細表!$G3</f>
        <v>#REF!</v>
      </c>
      <c r="I3" s="58"/>
      <c r="O3" s="1353" t="s">
        <v>2928</v>
      </c>
      <c r="P3" s="1353"/>
      <c r="Q3" s="1353"/>
      <c r="R3" s="1353"/>
      <c r="T3" s="1600" t="s">
        <v>6100</v>
      </c>
      <c r="U3" s="1601"/>
      <c r="V3" s="1601"/>
      <c r="W3" s="1601"/>
    </row>
    <row r="4" spans="1:34" ht="18" customHeight="1">
      <c r="A4" s="841" t="s">
        <v>4</v>
      </c>
      <c r="B4" s="831" t="str">
        <f>詳細表!$A4</f>
        <v>2.</v>
      </c>
      <c r="C4" s="831" t="str">
        <f>詳細表!$B4</f>
        <v>駕駛，小貨車</v>
      </c>
      <c r="D4" s="831">
        <f>詳細表!$C4</f>
        <v>3</v>
      </c>
      <c r="E4" s="831" t="str">
        <f>詳細表!$D4</f>
        <v>時</v>
      </c>
      <c r="F4" s="832" t="e">
        <f>詳細表!$E4</f>
        <v>#REF!</v>
      </c>
      <c r="G4" s="832">
        <f>詳細表!$F4</f>
        <v>401</v>
      </c>
      <c r="H4" s="842" t="e">
        <f>詳細表!$G4</f>
        <v>#REF!</v>
      </c>
      <c r="I4" s="58"/>
      <c r="O4" s="1169" t="s">
        <v>4315</v>
      </c>
      <c r="P4" s="1166" t="str">
        <f>自主檢查表!C2</f>
        <v>114雨水(士大)</v>
      </c>
      <c r="Q4" s="1164" t="s">
        <v>4312</v>
      </c>
      <c r="R4" s="1165" t="str">
        <f>自主檢查表!E2</f>
        <v>搶修案</v>
      </c>
      <c r="S4" s="1187"/>
      <c r="T4" s="1601"/>
      <c r="U4" s="1601"/>
      <c r="V4" s="1601"/>
      <c r="W4" s="1601"/>
      <c r="Y4" s="1177"/>
    </row>
    <row r="5" spans="1:34" ht="18" customHeight="1">
      <c r="A5" s="841" t="s">
        <v>5</v>
      </c>
      <c r="B5" s="831" t="str">
        <f>詳細表!$A5</f>
        <v>3.</v>
      </c>
      <c r="C5" s="831" t="str">
        <f>詳細表!$B5</f>
        <v>配合技術工之勞工</v>
      </c>
      <c r="D5" s="831">
        <f>詳細表!$C5</f>
        <v>4</v>
      </c>
      <c r="E5" s="831" t="str">
        <f>詳細表!$D5</f>
        <v>時</v>
      </c>
      <c r="F5" s="832" t="e">
        <f>詳細表!$E5</f>
        <v>#REF!</v>
      </c>
      <c r="G5" s="832">
        <f>詳細表!$F5</f>
        <v>281</v>
      </c>
      <c r="H5" s="842" t="e">
        <f>詳細表!$G5</f>
        <v>#REF!</v>
      </c>
      <c r="I5" s="58"/>
      <c r="O5" s="1173" t="s">
        <v>2923</v>
      </c>
      <c r="P5" s="1166">
        <f ca="1">自主檢查表!C3</f>
        <v>45992</v>
      </c>
      <c r="Q5" s="1173" t="s">
        <v>2924</v>
      </c>
      <c r="R5" s="1165" t="str">
        <f>自主檢查表!E3</f>
        <v>庭瑋</v>
      </c>
      <c r="S5" s="1185"/>
      <c r="T5" s="1601"/>
      <c r="U5" s="1601"/>
      <c r="V5" s="1601"/>
      <c r="W5" s="1601"/>
      <c r="Y5" s="1177"/>
    </row>
    <row r="6" spans="1:34" ht="18" customHeight="1">
      <c r="A6" s="841" t="s">
        <v>6</v>
      </c>
      <c r="B6" s="831" t="str">
        <f>詳細表!$A6</f>
        <v>4.</v>
      </c>
      <c r="C6" s="831" t="str">
        <f>詳細表!$B6</f>
        <v>灑水車，8.0-8.9m3</v>
      </c>
      <c r="D6" s="831">
        <f>詳細表!$C6</f>
        <v>11</v>
      </c>
      <c r="E6" s="831" t="str">
        <f>詳細表!$D6</f>
        <v>時</v>
      </c>
      <c r="F6" s="832" t="e">
        <f>詳細表!$E6</f>
        <v>#REF!</v>
      </c>
      <c r="G6" s="832">
        <f>詳細表!$F6</f>
        <v>769.08</v>
      </c>
      <c r="H6" s="842" t="e">
        <f>詳細表!$G6</f>
        <v>#REF!</v>
      </c>
      <c r="I6" s="58"/>
      <c r="O6" s="1169" t="s">
        <v>4320</v>
      </c>
      <c r="P6" s="1166" t="e">
        <f>自主檢查表!C4</f>
        <v>#REF!</v>
      </c>
      <c r="Q6" s="1173" t="s">
        <v>2925</v>
      </c>
      <c r="R6" s="1165" t="str">
        <f>自主檢查表!E4</f>
        <v>庭瑋</v>
      </c>
      <c r="S6" s="1185"/>
      <c r="T6" s="1601"/>
      <c r="U6" s="1601"/>
      <c r="V6" s="1601"/>
      <c r="W6" s="1601"/>
      <c r="X6" s="1177"/>
      <c r="Y6" s="1177"/>
    </row>
    <row r="7" spans="1:34" ht="18" customHeight="1">
      <c r="A7" s="841" t="s">
        <v>7</v>
      </c>
      <c r="B7" s="831" t="str">
        <f>詳細表!$A7</f>
        <v>5.</v>
      </c>
      <c r="C7" s="831" t="str">
        <f>詳細表!$B7</f>
        <v>吊卡車，15米-噸</v>
      </c>
      <c r="D7" s="831">
        <f>詳細表!$C7</f>
        <v>16</v>
      </c>
      <c r="E7" s="831" t="str">
        <f>詳細表!$D7</f>
        <v>時</v>
      </c>
      <c r="F7" s="832" t="e">
        <f>詳細表!$E7</f>
        <v>#REF!</v>
      </c>
      <c r="G7" s="832">
        <f>詳細表!$F7</f>
        <v>1414.63</v>
      </c>
      <c r="H7" s="842" t="e">
        <f>詳細表!$G7</f>
        <v>#REF!</v>
      </c>
      <c r="I7" s="58"/>
      <c r="O7" s="1189" t="s">
        <v>4321</v>
      </c>
      <c r="P7" s="1190" t="str">
        <f>自主檢查表!C5</f>
        <v>AC回填復舊</v>
      </c>
      <c r="Q7" s="1169" t="s">
        <v>2907</v>
      </c>
      <c r="R7" s="1188">
        <f>自主檢查表!E5</f>
        <v>10</v>
      </c>
      <c r="S7" s="1185"/>
      <c r="T7" s="1601"/>
      <c r="U7" s="1601"/>
      <c r="V7" s="1601"/>
      <c r="W7" s="1601"/>
      <c r="X7" s="1177"/>
      <c r="Y7" s="1177"/>
      <c r="Z7" s="1176"/>
    </row>
    <row r="8" spans="1:34" ht="18" customHeight="1">
      <c r="A8" s="841" t="s">
        <v>8</v>
      </c>
      <c r="B8" s="831" t="str">
        <f>詳細表!$A8</f>
        <v>6.</v>
      </c>
      <c r="C8" s="831" t="str">
        <f>詳細表!$B8</f>
        <v>輪式鏟裝車</v>
      </c>
      <c r="D8" s="831">
        <f>詳細表!$C8</f>
        <v>19</v>
      </c>
      <c r="E8" s="831" t="str">
        <f>詳細表!$D8</f>
        <v>時</v>
      </c>
      <c r="F8" s="832" t="e">
        <f>詳細表!$E8</f>
        <v>#REF!</v>
      </c>
      <c r="G8" s="832">
        <f>詳細表!$F8</f>
        <v>713.29</v>
      </c>
      <c r="H8" s="842" t="e">
        <f>詳細表!$G8</f>
        <v>#REF!</v>
      </c>
      <c r="I8" s="58"/>
      <c r="O8" s="1189" t="s">
        <v>4316</v>
      </c>
      <c r="P8" s="1190" t="str">
        <f>IF(自主檢查表!C6="本案無銑鋪(5cm)","無銑鋪",
IF(自主檢查表!C6="道路銑鋪復舊(一般瀝青)","一般瀝青",
IF(自主檢查表!C6="道路銑鋪復舊(再生瀝青)","再生瀝青",
IF(自主檢查表!C6="道路銑鋪復舊(改質三型)","改質III型",
IF(自主檢查表!C6="開挖處銑鋪復舊","開挖臨補",
IF(自主檢查表!C6="開挖處臨補 由OOO辦理後續銑鋪復舊","後續辦理"))))))</f>
        <v>無銑鋪</v>
      </c>
      <c r="Q8" s="1169" t="s">
        <v>2926</v>
      </c>
      <c r="R8" s="1188">
        <f>IF($P$8="無銑鋪",0,自主檢查表!E6)</f>
        <v>0</v>
      </c>
      <c r="S8" s="1185"/>
      <c r="T8" s="1601"/>
      <c r="U8" s="1601"/>
      <c r="V8" s="1601"/>
      <c r="W8" s="1601"/>
      <c r="Y8" s="1177"/>
      <c r="AC8" s="50"/>
      <c r="AD8" s="1177"/>
      <c r="AE8" s="1177"/>
      <c r="AF8" s="1177"/>
      <c r="AG8" s="1177" t="e">
        <f>自主檢查表!#REF!</f>
        <v>#REF!</v>
      </c>
      <c r="AH8" s="1177" t="e">
        <f>自主檢查表!#REF!</f>
        <v>#REF!</v>
      </c>
    </row>
    <row r="9" spans="1:34" ht="18" customHeight="1">
      <c r="A9" s="841" t="s">
        <v>9</v>
      </c>
      <c r="B9" s="831" t="str">
        <f>詳細表!$A9</f>
        <v>7.</v>
      </c>
      <c r="C9" s="831" t="str">
        <f>詳細表!$B9</f>
        <v>餘方自行處理(含水土保持)，總重15t以下傾卸貨車</v>
      </c>
      <c r="D9" s="831">
        <f>詳細表!$C9</f>
        <v>60</v>
      </c>
      <c r="E9" s="831" t="str">
        <f>詳細表!$D9</f>
        <v>B.M3</v>
      </c>
      <c r="F9" s="832" t="e">
        <f>詳細表!$E9</f>
        <v>#REF!</v>
      </c>
      <c r="G9" s="832">
        <f>詳細表!$F9</f>
        <v>1067.76</v>
      </c>
      <c r="H9" s="842" t="e">
        <f>詳細表!$G9</f>
        <v>#REF!</v>
      </c>
      <c r="I9" s="58"/>
      <c r="O9" s="1189" t="s">
        <v>4317</v>
      </c>
      <c r="P9" s="1190" t="str">
        <f>IF(自主檢查表!C7="本案無銑鋪(10cm)","無銑鋪",
IF(自主檢查表!C7="道路銑鋪復舊(一般瀝青)","一般瀝青",
IF(自主檢查表!C7="道路銑鋪復舊(再生瀝青)","再生瀝青",
IF(自主檢查表!C7="道路銑鋪復舊(改質三型)","改質III型",
IF(自主檢查表!C7="開挖處銑鋪復舊","開挖臨補",
IF(自主檢查表!C7="開挖處臨補 由OOO辦理後續銑鋪復舊","後續辦理"))))))</f>
        <v>無銑鋪</v>
      </c>
      <c r="Q9" s="1169" t="s">
        <v>2909</v>
      </c>
      <c r="R9" s="1188">
        <f>IF($P$9="無銑鋪",0,自主檢查表!E7)</f>
        <v>0</v>
      </c>
      <c r="S9" s="1185"/>
      <c r="T9" s="1601"/>
      <c r="U9" s="1601"/>
      <c r="V9" s="1601"/>
      <c r="W9" s="1601"/>
      <c r="Y9" s="1177"/>
      <c r="AD9" s="50"/>
      <c r="AE9" s="50"/>
      <c r="AF9" s="1177"/>
      <c r="AG9" s="1177"/>
      <c r="AH9" s="1177"/>
    </row>
    <row r="10" spans="1:34" ht="18" customHeight="1">
      <c r="A10" s="841" t="s">
        <v>463</v>
      </c>
      <c r="B10" s="831" t="str">
        <f>詳細表!$A10</f>
        <v>8.</v>
      </c>
      <c r="C10" s="831" t="str">
        <f>詳細表!$B10</f>
        <v>瀝青黏層，快凝油溶瀝青，RC-70</v>
      </c>
      <c r="D10" s="831">
        <f>詳細表!$C10</f>
        <v>71</v>
      </c>
      <c r="E10" s="831" t="str">
        <f>詳細表!$D10</f>
        <v>M2</v>
      </c>
      <c r="F10" s="832" t="e">
        <f>詳細表!$E10</f>
        <v>#REF!</v>
      </c>
      <c r="G10" s="832">
        <f>詳細表!$F10</f>
        <v>17.57</v>
      </c>
      <c r="H10" s="842" t="e">
        <f>詳細表!$G10</f>
        <v>#REF!</v>
      </c>
      <c r="I10" s="58"/>
      <c r="O10" s="1163" t="s">
        <v>4314</v>
      </c>
      <c r="P10" s="1178">
        <f>自主檢查表!C8</f>
        <v>0</v>
      </c>
      <c r="Q10" s="1169" t="s">
        <v>2908</v>
      </c>
      <c r="R10" s="1188">
        <f>自主檢查表!E8</f>
        <v>5</v>
      </c>
      <c r="S10" s="1185"/>
      <c r="T10" s="1601"/>
      <c r="U10" s="1601"/>
      <c r="V10" s="1601"/>
      <c r="W10" s="1601"/>
      <c r="AD10" s="50"/>
      <c r="AE10" s="50"/>
      <c r="AF10" s="1177"/>
      <c r="AG10" s="1177"/>
      <c r="AH10" s="1177"/>
    </row>
    <row r="11" spans="1:34" ht="18" customHeight="1">
      <c r="A11" s="841" t="s">
        <v>517</v>
      </c>
      <c r="B11" s="831" t="str">
        <f>詳細表!$A11</f>
        <v>9.</v>
      </c>
      <c r="C11" s="831" t="str">
        <f>詳細表!$B11</f>
        <v>瀝青混凝土舖面，粗粒料9.5mm，黏度AC(1)-20，零星工程用</v>
      </c>
      <c r="D11" s="831">
        <f>詳細表!$C11</f>
        <v>74</v>
      </c>
      <c r="E11" s="831" t="str">
        <f>詳細表!$D11</f>
        <v>M3</v>
      </c>
      <c r="F11" s="832" t="e">
        <f>詳細表!$E11</f>
        <v>#REF!</v>
      </c>
      <c r="G11" s="832">
        <f>詳細表!$F11</f>
        <v>8226.06</v>
      </c>
      <c r="H11" s="842" t="e">
        <f>詳細表!$G11</f>
        <v>#REF!</v>
      </c>
      <c r="I11" s="58"/>
      <c r="O11" s="1179" t="s">
        <v>4318</v>
      </c>
      <c r="P11" s="1598">
        <f>自主檢查表!C9</f>
        <v>0</v>
      </c>
      <c r="Q11" s="1599"/>
      <c r="R11" s="1599"/>
      <c r="S11" s="6"/>
      <c r="T11" s="1601"/>
      <c r="U11" s="1601"/>
      <c r="V11" s="1601"/>
      <c r="W11" s="1601"/>
      <c r="AC11" s="1177"/>
      <c r="AD11" s="50"/>
      <c r="AE11" s="50"/>
      <c r="AF11" s="1177"/>
      <c r="AG11" s="1177"/>
      <c r="AH11" s="1177"/>
    </row>
    <row r="12" spans="1:34" ht="18" customHeight="1">
      <c r="A12" s="841" t="s">
        <v>518</v>
      </c>
      <c r="B12" s="831" t="str">
        <f>詳細表!$A12</f>
        <v>10.</v>
      </c>
      <c r="C12" s="831" t="str">
        <f>詳細表!$B12</f>
        <v>切割瀝青混凝土或無筋混凝土，10cm≦切割深度</v>
      </c>
      <c r="D12" s="831">
        <f>詳細表!$C12</f>
        <v>97</v>
      </c>
      <c r="E12" s="831" t="str">
        <f>詳細表!$D12</f>
        <v>M</v>
      </c>
      <c r="F12" s="832" t="e">
        <f>詳細表!$E12</f>
        <v>#REF!</v>
      </c>
      <c r="G12" s="832">
        <f>詳細表!$F12</f>
        <v>76.930000000000007</v>
      </c>
      <c r="H12" s="842" t="e">
        <f>詳細表!$G12</f>
        <v>#REF!</v>
      </c>
      <c r="I12" s="58"/>
      <c r="O12" s="1331" t="s">
        <v>4319</v>
      </c>
      <c r="P12" s="1332"/>
      <c r="Q12" s="1333"/>
      <c r="R12" s="1333"/>
      <c r="S12" s="1186"/>
      <c r="T12" s="1601"/>
      <c r="U12" s="1601"/>
      <c r="V12" s="1601"/>
      <c r="W12" s="1601"/>
      <c r="AC12" s="1177"/>
      <c r="AD12" s="1177">
        <v>1</v>
      </c>
      <c r="AE12" s="1177">
        <v>25</v>
      </c>
      <c r="AF12" s="1177">
        <v>25</v>
      </c>
      <c r="AG12" s="1177"/>
      <c r="AH12" s="1177"/>
    </row>
    <row r="13" spans="1:34" ht="18" customHeight="1">
      <c r="A13" s="841" t="s">
        <v>519</v>
      </c>
      <c r="B13" s="831" t="str">
        <f>詳細表!$A13</f>
        <v>11.</v>
      </c>
      <c r="C13" s="831" t="str">
        <f>詳細表!$B13</f>
        <v>結構用混凝土，預拌，140kgf/cm2</v>
      </c>
      <c r="D13" s="831">
        <f>詳細表!$C13</f>
        <v>99</v>
      </c>
      <c r="E13" s="831" t="str">
        <f>詳細表!$D13</f>
        <v>M3</v>
      </c>
      <c r="F13" s="832" t="e">
        <f>詳細表!$E13</f>
        <v>#REF!</v>
      </c>
      <c r="G13" s="832">
        <f>詳細表!$F13</f>
        <v>3327.95</v>
      </c>
      <c r="H13" s="842" t="e">
        <f>詳細表!$G13</f>
        <v>#REF!</v>
      </c>
      <c r="I13" s="58"/>
      <c r="O13" s="1646" t="str">
        <f>自主檢查表!B10</f>
        <v>1.案址位於士林區天母北路87巷13號前：
(1)既有側溝更新(寬0.40m×平均深0.58m[57cm~59cm]，長度5m)。</v>
      </c>
      <c r="P13" s="1647"/>
      <c r="Q13" s="1647"/>
      <c r="R13" s="1647"/>
      <c r="S13" s="1186"/>
      <c r="T13" s="1596" t="str">
        <f>"道路切割
("&amp;P7&amp;")"</f>
        <v>道路切割
(AC回填復舊)</v>
      </c>
      <c r="U13" s="1597" t="str">
        <f>IF(P7="本案無切割","",
IF(P7="AC回填復舊 由OOO辦理後續銑鋪復舊","案址施作時，沿溝蓋板切割路面AC約10公分寬度，於場鑄溝蓋板施作完成後以AC回填復舊，勿損及施工範圍外之路面，後續道路銑鋪由"&amp;P10&amp;"辦理",
"案址施作時，沿溝蓋板切割路面AC約10公分寬度，於場鑄溝蓋板施作完成後以"&amp;P7&amp;"。"))</f>
        <v>案址施作時，沿溝蓋板切割路面AC約10公分寬度，於場鑄溝蓋板施作完成後以AC回填復舊。</v>
      </c>
      <c r="V13" s="1333"/>
      <c r="W13" s="1333"/>
      <c r="AC13" s="50"/>
      <c r="AD13" s="50"/>
      <c r="AE13" s="50"/>
      <c r="AF13" s="50"/>
      <c r="AG13" s="1177"/>
      <c r="AH13" s="1177"/>
    </row>
    <row r="14" spans="1:34" ht="18" customHeight="1">
      <c r="A14" s="841" t="s">
        <v>4003</v>
      </c>
      <c r="B14" s="831" t="str">
        <f>詳細表!$A14</f>
        <v>12.</v>
      </c>
      <c r="C14" s="831" t="str">
        <f>詳細表!$B14</f>
        <v>結構用混凝土，預拌，210kgf/cm2</v>
      </c>
      <c r="D14" s="831">
        <f>詳細表!$C14</f>
        <v>102</v>
      </c>
      <c r="E14" s="831" t="str">
        <f>詳細表!$D14</f>
        <v>M3</v>
      </c>
      <c r="F14" s="832" t="e">
        <f>詳細表!$E14</f>
        <v>#REF!</v>
      </c>
      <c r="G14" s="832">
        <f>詳細表!$F14</f>
        <v>3522.91</v>
      </c>
      <c r="H14" s="842" t="e">
        <f>詳細表!$G14</f>
        <v>#REF!</v>
      </c>
      <c r="I14" s="58"/>
      <c r="O14" s="1647"/>
      <c r="P14" s="1647"/>
      <c r="Q14" s="1647"/>
      <c r="R14" s="1647"/>
      <c r="S14" s="1186"/>
      <c r="T14" s="1403"/>
      <c r="U14" s="1333"/>
      <c r="V14" s="1333"/>
      <c r="W14" s="1333"/>
      <c r="AC14" s="50"/>
      <c r="AD14" s="50"/>
      <c r="AE14" s="50"/>
      <c r="AF14" s="50"/>
      <c r="AG14" s="1177"/>
      <c r="AH14" s="1177"/>
    </row>
    <row r="15" spans="1:34" ht="18" customHeight="1">
      <c r="A15" s="841" t="s">
        <v>4004</v>
      </c>
      <c r="B15" s="831" t="str">
        <f>詳細表!$A15</f>
        <v>13.</v>
      </c>
      <c r="C15" s="831" t="str">
        <f>詳細表!$B15</f>
        <v>結構用混凝土，預拌，280kgf/cm2</v>
      </c>
      <c r="D15" s="831">
        <f>詳細表!$C15</f>
        <v>105</v>
      </c>
      <c r="E15" s="831" t="str">
        <f>詳細表!$D15</f>
        <v>M3</v>
      </c>
      <c r="F15" s="832" t="e">
        <f>詳細表!$E15</f>
        <v>#REF!</v>
      </c>
      <c r="G15" s="832">
        <f>詳細表!$F15</f>
        <v>3847.4</v>
      </c>
      <c r="H15" s="842" t="e">
        <f>詳細表!$G15</f>
        <v>#REF!</v>
      </c>
      <c r="O15" s="1647"/>
      <c r="P15" s="1647"/>
      <c r="Q15" s="1647"/>
      <c r="R15" s="1647"/>
      <c r="S15" s="1186"/>
      <c r="T15" s="1403"/>
      <c r="U15" s="1333"/>
      <c r="V15" s="1333"/>
      <c r="W15" s="1333"/>
      <c r="AC15" s="50"/>
      <c r="AD15" s="50"/>
      <c r="AE15" s="50"/>
      <c r="AF15" s="50"/>
      <c r="AG15" s="50"/>
      <c r="AH15" s="50"/>
    </row>
    <row r="16" spans="1:34" ht="18" customHeight="1">
      <c r="A16" s="841" t="s">
        <v>4005</v>
      </c>
      <c r="B16" s="831" t="str">
        <f>詳細表!$A16</f>
        <v>14.</v>
      </c>
      <c r="C16" s="831" t="str">
        <f>詳細表!$B16</f>
        <v>場鑄結構混凝土用模板，清水模板，丙種.</v>
      </c>
      <c r="D16" s="831">
        <f>詳細表!$C16</f>
        <v>124</v>
      </c>
      <c r="E16" s="831" t="str">
        <f>詳細表!$D16</f>
        <v>M2</v>
      </c>
      <c r="F16" s="832" t="e">
        <f>詳細表!$E16</f>
        <v>#REF!</v>
      </c>
      <c r="G16" s="832">
        <f>詳細表!$F16</f>
        <v>688.37</v>
      </c>
      <c r="H16" s="842" t="e">
        <f>詳細表!$G16</f>
        <v>#REF!</v>
      </c>
      <c r="O16" s="1647"/>
      <c r="P16" s="1647"/>
      <c r="Q16" s="1647"/>
      <c r="R16" s="1647"/>
      <c r="S16" s="1186"/>
      <c r="T16" s="1596" t="str">
        <f>"道路銑鋪復舊
("&amp;P8&amp;"5cm)"</f>
        <v>道路銑鋪復舊
(無銑鋪5cm)</v>
      </c>
      <c r="U16" s="1597" t="str">
        <f>IF(P8="無銑鋪","",
IF(P8="開挖臨補","案址施作完成後，於開挖處進行臨補復舊(面積"&amp;R8&amp;"m2×厚度5cm)，勿損及施工範圍外之路面，惟實際銑鋪範圍仍以道路挖掘許可證核發為準。",
IF(P8="後續辦理","案址施作完成後，於開挖處進行道路臨補復舊，勿損及施工範圍外之路面，後續道路銑鋪由"&amp;P10&amp;"辦理。",
"案址施作完成後，進行道路銑鋪復舊，採"&amp;P8&amp;"(面積"&amp;R8&amp;"m2×厚度5cm)，惟實際銑鋪範圍仍以道路挖掘許可證核發為準。")))</f>
        <v/>
      </c>
      <c r="V16" s="1333"/>
      <c r="W16" s="1333"/>
      <c r="AC16" s="50"/>
      <c r="AD16" s="50"/>
      <c r="AE16" s="50"/>
      <c r="AF16" s="50"/>
      <c r="AG16" s="50"/>
      <c r="AH16" s="50"/>
    </row>
    <row r="17" spans="1:34" ht="18" customHeight="1">
      <c r="A17" s="841" t="s">
        <v>4006</v>
      </c>
      <c r="B17" s="831" t="str">
        <f>詳細表!$A17</f>
        <v>15.</v>
      </c>
      <c r="C17" s="831" t="str">
        <f>詳細表!$B17</f>
        <v>場鑄結構混凝土用模板，普通模板，丙種.</v>
      </c>
      <c r="D17" s="831">
        <f>詳細表!$C17</f>
        <v>129</v>
      </c>
      <c r="E17" s="831" t="str">
        <f>詳細表!$D17</f>
        <v>M2</v>
      </c>
      <c r="F17" s="832" t="e">
        <f>詳細表!$E17</f>
        <v>#REF!</v>
      </c>
      <c r="G17" s="832">
        <f>詳細表!$F17</f>
        <v>525.94000000000005</v>
      </c>
      <c r="H17" s="842" t="e">
        <f>詳細表!$G17</f>
        <v>#REF!</v>
      </c>
      <c r="O17" s="1647"/>
      <c r="P17" s="1647"/>
      <c r="Q17" s="1647"/>
      <c r="R17" s="1647"/>
      <c r="S17" s="1186"/>
      <c r="T17" s="1403"/>
      <c r="U17" s="1333"/>
      <c r="V17" s="1333"/>
      <c r="W17" s="1333"/>
      <c r="AC17" s="50"/>
      <c r="AD17" s="50"/>
      <c r="AE17" s="50"/>
      <c r="AF17" s="50"/>
      <c r="AG17" s="50"/>
      <c r="AH17" s="50"/>
    </row>
    <row r="18" spans="1:34" ht="18" customHeight="1">
      <c r="A18" s="841" t="s">
        <v>4007</v>
      </c>
      <c r="B18" s="831" t="str">
        <f>詳細表!$A18</f>
        <v>16.</v>
      </c>
      <c r="C18" s="831" t="str">
        <f>詳細表!$B18</f>
        <v>鋼製模板，U型溝用，W=40cm，L=120cm.</v>
      </c>
      <c r="D18" s="831">
        <f>詳細表!$C18</f>
        <v>137</v>
      </c>
      <c r="E18" s="831" t="str">
        <f>詳細表!$D18</f>
        <v>M</v>
      </c>
      <c r="F18" s="832" t="e">
        <f>詳細表!$E18</f>
        <v>#REF!</v>
      </c>
      <c r="G18" s="832">
        <f>詳細表!$F18</f>
        <v>807.53</v>
      </c>
      <c r="H18" s="842" t="e">
        <f>詳細表!$G18</f>
        <v>#REF!</v>
      </c>
      <c r="O18" s="1647"/>
      <c r="P18" s="1647"/>
      <c r="Q18" s="1647"/>
      <c r="R18" s="1647"/>
      <c r="T18" s="1403"/>
      <c r="U18" s="1333"/>
      <c r="V18" s="1333"/>
      <c r="W18" s="1333"/>
      <c r="AC18" s="50"/>
      <c r="AD18" s="50"/>
      <c r="AE18" s="50"/>
      <c r="AF18" s="50"/>
      <c r="AG18" s="50"/>
      <c r="AH18" s="50"/>
    </row>
    <row r="19" spans="1:34" ht="18" customHeight="1">
      <c r="A19" s="841" t="s">
        <v>4008</v>
      </c>
      <c r="B19" s="831" t="str">
        <f>詳細表!$A19</f>
        <v>17.</v>
      </c>
      <c r="C19" s="831" t="str">
        <f>詳細表!$B19</f>
        <v>鋼筋，SD280W.</v>
      </c>
      <c r="D19" s="831">
        <f>詳細表!$C19</f>
        <v>156</v>
      </c>
      <c r="E19" s="831" t="str">
        <f>詳細表!$D19</f>
        <v>KG</v>
      </c>
      <c r="F19" s="832" t="e">
        <f>詳細表!$E19</f>
        <v>#REF!</v>
      </c>
      <c r="G19" s="832">
        <f>詳細表!$F19</f>
        <v>34.9</v>
      </c>
      <c r="H19" s="842" t="e">
        <f>詳細表!$G19</f>
        <v>#REF!</v>
      </c>
      <c r="T19" s="1596" t="str">
        <f>"道路銑鋪復舊
("&amp;P9&amp;"10cm)"</f>
        <v>道路銑鋪復舊
(無銑鋪10cm)</v>
      </c>
      <c r="U19" s="1597" t="str">
        <f>IF(P9="無銑鋪","",
IF(P9="開挖臨補","案址施作完成後，於開挖處進行臨補復舊(面積"&amp;R9&amp;"m2×厚度10cm)，勿損及施工範圍外之路面，惟實際銑鋪範圍仍以道路挖掘許可證核發為準。",
IF(P9="後續辦理","案址施作完成後，於開挖處進行道路臨補復舊，勿損及施工範圍外之路面，後續道路銑鋪由"&amp;P10&amp;"辦理。",
"案址施作完成後，進行道路銑鋪復舊，採"&amp;P9&amp;"(面積"&amp;R9&amp;"m2×厚度10cm)，惟實際銑鋪範圍仍以道路挖掘許可證核發為準。")))</f>
        <v/>
      </c>
      <c r="V19" s="1333"/>
      <c r="W19" s="1333"/>
      <c r="AC19" s="50"/>
      <c r="AD19" s="50"/>
      <c r="AE19" s="50"/>
      <c r="AF19" s="50"/>
      <c r="AG19" s="50"/>
      <c r="AH19" s="50"/>
    </row>
    <row r="20" spans="1:34" ht="18" customHeight="1">
      <c r="A20" s="841" t="s">
        <v>4009</v>
      </c>
      <c r="B20" s="831" t="str">
        <f>詳細表!$A20</f>
        <v>18.</v>
      </c>
      <c r="C20" s="831" t="str">
        <f>詳細表!$B20</f>
        <v>(免拆模板，鋼質)，厚3mm鋼模</v>
      </c>
      <c r="D20" s="831">
        <f>詳細表!$C20</f>
        <v>168</v>
      </c>
      <c r="E20" s="831" t="str">
        <f>詳細表!$D20</f>
        <v>M2</v>
      </c>
      <c r="F20" s="832" t="e">
        <f>詳細表!$E20</f>
        <v>#REF!</v>
      </c>
      <c r="G20" s="832">
        <f>詳細表!$F20</f>
        <v>865.64</v>
      </c>
      <c r="H20" s="842" t="e">
        <f>詳細表!$G20</f>
        <v>#REF!</v>
      </c>
      <c r="O20" s="1642" t="s">
        <v>4325</v>
      </c>
      <c r="P20" s="1643"/>
      <c r="Q20" s="1643"/>
      <c r="R20" s="1643"/>
      <c r="T20" s="1403"/>
      <c r="U20" s="1333"/>
      <c r="V20" s="1333"/>
      <c r="W20" s="1333"/>
    </row>
    <row r="21" spans="1:34" ht="18" customHeight="1">
      <c r="A21" s="841" t="s">
        <v>4010</v>
      </c>
      <c r="B21" s="831" t="str">
        <f>詳細表!$A21</f>
        <v>19.</v>
      </c>
      <c r="C21" s="831" t="str">
        <f>詳細表!$B21</f>
        <v>鍍鋅格柵板及框座，(框53.6cm，蓋45cm)</v>
      </c>
      <c r="D21" s="831">
        <f>詳細表!$C21</f>
        <v>276</v>
      </c>
      <c r="E21" s="831" t="str">
        <f>詳細表!$D21</f>
        <v>組</v>
      </c>
      <c r="F21" s="832" t="e">
        <f>詳細表!$E21</f>
        <v>#REF!</v>
      </c>
      <c r="G21" s="832">
        <f>詳細表!$F21</f>
        <v>3119.36</v>
      </c>
      <c r="H21" s="842" t="e">
        <f>詳細表!$G21</f>
        <v>#REF!</v>
      </c>
      <c r="O21" s="1644" t="s">
        <v>6057</v>
      </c>
      <c r="P21" s="1645"/>
      <c r="Q21" s="1645"/>
      <c r="R21" s="1645"/>
      <c r="T21" s="1403"/>
      <c r="U21" s="1333"/>
      <c r="V21" s="1333"/>
      <c r="W21" s="1333"/>
      <c r="X21" s="1181"/>
      <c r="Y21" s="1181"/>
      <c r="Z21" s="1181"/>
    </row>
    <row r="22" spans="1:34" ht="18" customHeight="1">
      <c r="A22" s="841" t="s">
        <v>4013</v>
      </c>
      <c r="B22" s="831" t="str">
        <f>詳細表!$A22</f>
        <v>20.</v>
      </c>
      <c r="C22" s="831" t="str">
        <f>詳細表!$B22</f>
        <v>導線管，硬質聚氯乙烯塑膠管，標稱52mm，接線及安裝，含尼龍繩</v>
      </c>
      <c r="D22" s="831">
        <f>詳細表!$C22</f>
        <v>320</v>
      </c>
      <c r="E22" s="831" t="str">
        <f>詳細表!$D22</f>
        <v>M</v>
      </c>
      <c r="F22" s="832" t="e">
        <f>詳細表!$E22</f>
        <v>#REF!</v>
      </c>
      <c r="G22" s="832">
        <f>詳細表!$F22</f>
        <v>39.85</v>
      </c>
      <c r="H22" s="842" t="e">
        <f>詳細表!$G22</f>
        <v>#REF!</v>
      </c>
      <c r="O22" s="1645"/>
      <c r="P22" s="1645"/>
      <c r="Q22" s="1645"/>
      <c r="R22" s="1645"/>
      <c r="T22" s="1596" t="s">
        <v>4326</v>
      </c>
      <c r="U22" s="1597" t="s">
        <v>4327</v>
      </c>
      <c r="V22" s="1333"/>
      <c r="W22" s="1333"/>
      <c r="X22" s="1182"/>
      <c r="Y22" s="1182"/>
      <c r="Z22" s="1182"/>
    </row>
    <row r="23" spans="1:34" ht="18" customHeight="1">
      <c r="A23" s="841" t="s">
        <v>4014</v>
      </c>
      <c r="B23" s="831" t="str">
        <f>詳細表!$A23</f>
        <v>21.</v>
      </c>
      <c r="C23" s="831" t="str">
        <f>詳細表!$B23</f>
        <v>開挖臨時覆蓋板及其支撐，舖設鋼板臨時作為舖面用，厚15mm</v>
      </c>
      <c r="D23" s="831">
        <f>詳細表!$C23</f>
        <v>333</v>
      </c>
      <c r="E23" s="831" t="str">
        <f>詳細表!$D23</f>
        <v>M2</v>
      </c>
      <c r="F23" s="832" t="e">
        <f>詳細表!$E23</f>
        <v>#REF!</v>
      </c>
      <c r="G23" s="832">
        <f>詳細表!$F23</f>
        <v>251.39</v>
      </c>
      <c r="H23" s="842" t="e">
        <f>詳細表!$G23</f>
        <v>#REF!</v>
      </c>
      <c r="O23" s="1645"/>
      <c r="P23" s="1645"/>
      <c r="Q23" s="1645"/>
      <c r="R23" s="1645"/>
      <c r="T23" s="1403"/>
      <c r="U23" s="1333"/>
      <c r="V23" s="1333"/>
      <c r="W23" s="1333"/>
      <c r="X23" s="1182"/>
      <c r="Y23" s="1182"/>
      <c r="Z23" s="1182"/>
    </row>
    <row r="24" spans="1:34" ht="18" customHeight="1">
      <c r="A24" s="841" t="s">
        <v>4066</v>
      </c>
      <c r="B24" s="831" t="str">
        <f>詳細表!$A24</f>
        <v>22.</v>
      </c>
      <c r="C24" s="831" t="str">
        <f>詳細表!$B24</f>
        <v>臨時人行越溝鋼板L160cm×W120cm</v>
      </c>
      <c r="D24" s="831">
        <f>詳細表!$C24</f>
        <v>335</v>
      </c>
      <c r="E24" s="831" t="str">
        <f>詳細表!$D24</f>
        <v>組</v>
      </c>
      <c r="F24" s="832" t="e">
        <f>詳細表!$E24</f>
        <v>#REF!</v>
      </c>
      <c r="G24" s="832">
        <f>詳細表!$F24</f>
        <v>638.14</v>
      </c>
      <c r="H24" s="842" t="e">
        <f>詳細表!$G24</f>
        <v>#REF!</v>
      </c>
      <c r="O24" s="1645"/>
      <c r="P24" s="1645"/>
      <c r="Q24" s="1645"/>
      <c r="R24" s="1645"/>
      <c r="T24" s="1403"/>
      <c r="U24" s="1333"/>
      <c r="V24" s="1333"/>
      <c r="W24" s="1333"/>
      <c r="X24" s="1182"/>
    </row>
    <row r="25" spans="1:34" ht="18" customHeight="1">
      <c r="A25" s="841" t="s">
        <v>4067</v>
      </c>
      <c r="B25" s="831" t="str">
        <f>詳細表!$A25</f>
        <v>23.</v>
      </c>
      <c r="C25" s="831" t="str">
        <f>詳細表!$B25</f>
        <v>臨時設施，排水設備，沉水式抽水機，D=10cm，租金</v>
      </c>
      <c r="D25" s="831">
        <f>詳細表!$C25</f>
        <v>364</v>
      </c>
      <c r="E25" s="831" t="str">
        <f>詳細表!$D25</f>
        <v>時</v>
      </c>
      <c r="F25" s="832" t="e">
        <f>詳細表!$E25</f>
        <v>#REF!</v>
      </c>
      <c r="G25" s="832">
        <f>詳細表!$F25</f>
        <v>804.77</v>
      </c>
      <c r="H25" s="842" t="e">
        <f>詳細表!$G25</f>
        <v>#REF!</v>
      </c>
      <c r="O25" s="1645"/>
      <c r="P25" s="1645"/>
      <c r="Q25" s="1645"/>
      <c r="R25" s="1645"/>
      <c r="T25" s="1596" t="s">
        <v>4322</v>
      </c>
      <c r="U25" s="1597" t="str">
        <f>IF(R4="一般案","本案係一般工程，請施工廠商依指定開工日期進場施作，開工日期配合路證申請核准時間調整，請依實際施作數量結算回報。",
IF(R4="搶修案","本案係緊急搶修工程，請施工廠商依指定開工日期進場施作，通報單後補，隱蔽及回填部份請依實際施作數量結算回報。"))</f>
        <v>本案係緊急搶修工程，請施工廠商依指定開工日期進場施作，通報單後補，隱蔽及回填部份請依實際施作數量結算回報。</v>
      </c>
      <c r="V25" s="1333"/>
      <c r="W25" s="1333"/>
      <c r="X25" s="1182"/>
    </row>
    <row r="26" spans="1:34" ht="18" customHeight="1">
      <c r="A26" s="841" t="s">
        <v>6035</v>
      </c>
      <c r="B26" s="831" t="str">
        <f>詳細表!$A26</f>
        <v>24.</v>
      </c>
      <c r="C26" s="831" t="str">
        <f>詳細表!$B26</f>
        <v>圍水，砂包堆置</v>
      </c>
      <c r="D26" s="831">
        <f>詳細表!$C26</f>
        <v>366</v>
      </c>
      <c r="E26" s="831" t="str">
        <f>詳細表!$D26</f>
        <v>M3</v>
      </c>
      <c r="F26" s="832" t="e">
        <f>詳細表!$E26</f>
        <v>#REF!</v>
      </c>
      <c r="G26" s="832">
        <f>詳細表!$F26</f>
        <v>3350.11</v>
      </c>
      <c r="H26" s="842" t="e">
        <f>詳細表!$G26</f>
        <v>#REF!</v>
      </c>
      <c r="O26" s="1645"/>
      <c r="P26" s="1645"/>
      <c r="Q26" s="1645"/>
      <c r="R26" s="1645"/>
      <c r="T26" s="1403"/>
      <c r="U26" s="1333"/>
      <c r="V26" s="1333"/>
      <c r="W26" s="1333"/>
      <c r="X26" s="1180"/>
    </row>
    <row r="27" spans="1:34" ht="18" customHeight="1">
      <c r="A27" s="841" t="s">
        <v>6036</v>
      </c>
      <c r="B27" s="831" t="str">
        <f>詳細表!$A27</f>
        <v>25.</v>
      </c>
      <c r="C27" s="831" t="str">
        <f>詳細表!$B27</f>
        <v>臨時設施，雜項工程，工地處理，施工動復員，小型機具</v>
      </c>
      <c r="D27" s="831" t="e">
        <f>詳細表!$C27</f>
        <v>#N/A</v>
      </c>
      <c r="E27" s="831" t="e">
        <f>詳細表!$D27</f>
        <v>#N/A</v>
      </c>
      <c r="F27" s="832" t="e">
        <f>詳細表!$E27</f>
        <v>#REF!</v>
      </c>
      <c r="G27" s="832" t="e">
        <f>詳細表!$F27</f>
        <v>#N/A</v>
      </c>
      <c r="H27" s="842" t="e">
        <f>詳細表!$G27</f>
        <v>#REF!</v>
      </c>
      <c r="O27" s="1645"/>
      <c r="P27" s="1645"/>
      <c r="Q27" s="1645"/>
      <c r="R27" s="1645"/>
      <c r="T27" s="1403"/>
      <c r="U27" s="1333"/>
      <c r="V27" s="1333"/>
      <c r="W27" s="1333"/>
      <c r="X27" s="1181"/>
    </row>
    <row r="28" spans="1:34" ht="18" customHeight="1">
      <c r="A28" s="841" t="s">
        <v>6039</v>
      </c>
      <c r="B28" s="831" t="str">
        <f>詳細表!$A28</f>
        <v>26.</v>
      </c>
      <c r="C28" s="831" t="str">
        <f>詳細表!$B28</f>
        <v>工地處理，緊急搶修，路面開挖</v>
      </c>
      <c r="D28" s="831">
        <f>詳細表!$C28</f>
        <v>396</v>
      </c>
      <c r="E28" s="831" t="str">
        <f>詳細表!$D28</f>
        <v>處</v>
      </c>
      <c r="F28" s="832" t="e">
        <f>詳細表!$E28</f>
        <v>#REF!</v>
      </c>
      <c r="G28" s="832">
        <f>詳細表!$F28</f>
        <v>22525.11</v>
      </c>
      <c r="H28" s="842" t="e">
        <f>詳細表!$G28</f>
        <v>#REF!</v>
      </c>
      <c r="O28" s="1645"/>
      <c r="P28" s="1645"/>
      <c r="Q28" s="1645"/>
      <c r="R28" s="1645"/>
      <c r="T28" s="1596" t="s">
        <v>4323</v>
      </c>
      <c r="U28" s="1597" t="s">
        <v>4324</v>
      </c>
      <c r="V28" s="1333"/>
      <c r="W28" s="1333"/>
      <c r="X28" s="1182"/>
    </row>
    <row r="29" spans="1:34" ht="18" customHeight="1">
      <c r="A29" s="841" t="s">
        <v>6064</v>
      </c>
      <c r="B29" s="831" t="str">
        <f>詳細表!$A29</f>
        <v>27.</v>
      </c>
      <c r="C29" s="831" t="str">
        <f>詳細表!$B29</f>
        <v>施工照相及攝(錄)影，施工動態即時影像傳輸費，機關提供攝影機</v>
      </c>
      <c r="D29" s="831">
        <f>詳細表!$C29</f>
        <v>421</v>
      </c>
      <c r="E29" s="831" t="str">
        <f>詳細表!$D29</f>
        <v>日/台</v>
      </c>
      <c r="F29" s="832" t="e">
        <f>詳細表!$E29</f>
        <v>#REF!</v>
      </c>
      <c r="G29" s="832">
        <f>詳細表!$F29</f>
        <v>765.6</v>
      </c>
      <c r="H29" s="842" t="e">
        <f>詳細表!$G29</f>
        <v>#REF!</v>
      </c>
      <c r="O29" s="1645"/>
      <c r="P29" s="1645"/>
      <c r="Q29" s="1645"/>
      <c r="R29" s="1645"/>
      <c r="T29" s="1403"/>
      <c r="U29" s="1333"/>
      <c r="V29" s="1333"/>
      <c r="W29" s="1333"/>
      <c r="X29" s="1182"/>
    </row>
    <row r="30" spans="1:34" ht="18" customHeight="1">
      <c r="A30" s="841" t="s">
        <v>6065</v>
      </c>
      <c r="B30" s="831" t="str">
        <f>詳細表!$A30</f>
        <v>28.</v>
      </c>
      <c r="C30" s="831" t="str">
        <f>詳細表!$B30</f>
        <v>交通維持，道路管制人員，日間(06-22時)，義交</v>
      </c>
      <c r="D30" s="831">
        <f>詳細表!$C30</f>
        <v>429</v>
      </c>
      <c r="E30" s="831" t="str">
        <f>詳細表!$D30</f>
        <v>時</v>
      </c>
      <c r="F30" s="832" t="e">
        <f>詳細表!$E30</f>
        <v>#REF!</v>
      </c>
      <c r="G30" s="832">
        <f>詳細表!$F30</f>
        <v>280</v>
      </c>
      <c r="H30" s="842" t="e">
        <f>詳細表!$G30</f>
        <v>#REF!</v>
      </c>
      <c r="O30" s="1645"/>
      <c r="P30" s="1645"/>
      <c r="Q30" s="1645"/>
      <c r="R30" s="1645"/>
      <c r="T30" s="1403"/>
      <c r="U30" s="1333"/>
      <c r="V30" s="1333"/>
      <c r="W30" s="1333"/>
      <c r="X30" s="1182"/>
    </row>
    <row r="31" spans="1:34" ht="18" customHeight="1">
      <c r="A31" s="841" t="s">
        <v>6066</v>
      </c>
      <c r="B31" s="831" t="str">
        <f>詳細表!$A31</f>
        <v>29.</v>
      </c>
      <c r="C31" s="831" t="str">
        <f>詳細表!$B31</f>
        <v>交通維持用，槽鋼護欄，含警示燈</v>
      </c>
      <c r="D31" s="831">
        <f>詳細表!$C31</f>
        <v>433</v>
      </c>
      <c r="E31" s="831" t="str">
        <f>詳細表!$D31</f>
        <v>M</v>
      </c>
      <c r="F31" s="832" t="e">
        <f>詳細表!$E31</f>
        <v>#REF!</v>
      </c>
      <c r="G31" s="832">
        <f>詳細表!$F31</f>
        <v>254.34</v>
      </c>
      <c r="H31" s="842" t="e">
        <f>詳細表!$G31</f>
        <v>#REF!</v>
      </c>
      <c r="T31" s="1596"/>
      <c r="U31" s="1597"/>
      <c r="V31" s="1333"/>
      <c r="W31" s="1333"/>
      <c r="X31" s="1182"/>
    </row>
    <row r="32" spans="1:34" ht="18" customHeight="1">
      <c r="A32" s="841" t="s">
        <v>6075</v>
      </c>
      <c r="B32" s="831" t="str">
        <f>詳細表!$A32</f>
        <v>30.</v>
      </c>
      <c r="C32" s="831" t="str">
        <f>詳細表!$B32</f>
        <v>標線，熱處理聚酯，反光，厚2mm，第Ⅱ型，12公尺以下道路及零星路段繪設</v>
      </c>
      <c r="D32" s="831">
        <f>詳細表!$C32</f>
        <v>448</v>
      </c>
      <c r="E32" s="831" t="str">
        <f>詳細表!$D32</f>
        <v>M2</v>
      </c>
      <c r="F32" s="832" t="e">
        <f>詳細表!$E32</f>
        <v>#REF!</v>
      </c>
      <c r="G32" s="832">
        <f>詳細表!$F32</f>
        <v>916.44</v>
      </c>
      <c r="H32" s="842" t="e">
        <f>詳細表!$G32</f>
        <v>#REF!</v>
      </c>
      <c r="J32" s="1177"/>
      <c r="K32" s="1177"/>
      <c r="L32" s="1177"/>
      <c r="M32" s="1177"/>
      <c r="N32" s="1177"/>
      <c r="T32" s="1403"/>
      <c r="U32" s="1333"/>
      <c r="V32" s="1333"/>
      <c r="W32" s="1333"/>
      <c r="X32" s="1180"/>
    </row>
    <row r="33" spans="1:44" ht="18" customHeight="1">
      <c r="A33" s="841"/>
      <c r="B33" s="831"/>
      <c r="C33" s="831"/>
      <c r="D33" s="831"/>
      <c r="E33" s="831"/>
      <c r="F33" s="832"/>
      <c r="G33" s="832"/>
      <c r="H33" s="842"/>
      <c r="J33" s="1177"/>
      <c r="K33" s="1177"/>
      <c r="L33" s="1177"/>
      <c r="M33" s="1177"/>
      <c r="N33" s="1177"/>
      <c r="T33" s="1403"/>
      <c r="U33" s="1333"/>
      <c r="V33" s="1333"/>
      <c r="W33" s="1333"/>
      <c r="X33" s="1180"/>
    </row>
    <row r="34" spans="1:44" ht="18" customHeight="1">
      <c r="A34" s="841"/>
      <c r="B34" s="831"/>
      <c r="C34" s="831"/>
      <c r="D34" s="831"/>
      <c r="E34" s="831"/>
      <c r="F34" s="832"/>
      <c r="G34" s="832"/>
      <c r="H34" s="842"/>
      <c r="T34" s="1596"/>
      <c r="U34" s="1597"/>
      <c r="V34" s="1333"/>
      <c r="W34" s="1333"/>
      <c r="X34" s="1181"/>
      <c r="AI34" s="1177"/>
      <c r="AJ34" s="1177"/>
      <c r="AK34" s="1177"/>
      <c r="AL34" s="1177"/>
      <c r="AM34" s="1177"/>
      <c r="AN34" s="1177"/>
      <c r="AO34" s="1177"/>
      <c r="AP34" s="1177"/>
      <c r="AQ34" s="1177"/>
      <c r="AR34" s="1177"/>
    </row>
    <row r="35" spans="1:44" ht="18" customHeight="1">
      <c r="A35" s="841"/>
      <c r="B35" s="831"/>
      <c r="C35" s="831"/>
      <c r="D35" s="831"/>
      <c r="E35" s="831"/>
      <c r="F35" s="832"/>
      <c r="G35" s="832"/>
      <c r="H35" s="842"/>
      <c r="T35" s="1403"/>
      <c r="U35" s="1333"/>
      <c r="V35" s="1333"/>
      <c r="W35" s="1333"/>
      <c r="X35" s="1182"/>
    </row>
    <row r="36" spans="1:44" ht="18" customHeight="1">
      <c r="A36" s="841"/>
      <c r="B36" s="831"/>
      <c r="C36" s="831"/>
      <c r="D36" s="831"/>
      <c r="E36" s="831"/>
      <c r="F36" s="832"/>
      <c r="G36" s="832"/>
      <c r="H36" s="842"/>
      <c r="T36" s="1403"/>
      <c r="U36" s="1333"/>
      <c r="V36" s="1333"/>
      <c r="W36" s="1333"/>
      <c r="X36" s="1182"/>
      <c r="Y36" s="1182"/>
      <c r="Z36" s="1182"/>
    </row>
    <row r="37" spans="1:44" ht="18" customHeight="1">
      <c r="A37" s="841"/>
      <c r="B37" s="831"/>
      <c r="C37" s="831"/>
      <c r="D37" s="831"/>
      <c r="E37" s="831"/>
      <c r="F37" s="832"/>
      <c r="G37" s="832"/>
      <c r="H37" s="842"/>
      <c r="T37" s="1596"/>
      <c r="U37" s="1597"/>
      <c r="V37" s="1333"/>
      <c r="W37" s="1333"/>
      <c r="X37" s="1182"/>
      <c r="Y37" s="1182"/>
      <c r="Z37" s="1182"/>
    </row>
    <row r="38" spans="1:44" ht="18" customHeight="1">
      <c r="A38" s="841"/>
      <c r="B38" s="831"/>
      <c r="C38" s="831"/>
      <c r="D38" s="831"/>
      <c r="E38" s="831"/>
      <c r="F38" s="832"/>
      <c r="G38" s="832"/>
      <c r="H38" s="842"/>
      <c r="T38" s="1403"/>
      <c r="U38" s="1333"/>
      <c r="V38" s="1333"/>
      <c r="W38" s="1333"/>
      <c r="X38" s="1182"/>
      <c r="Y38" s="1182"/>
      <c r="Z38" s="1182"/>
    </row>
    <row r="39" spans="1:44" ht="18" customHeight="1">
      <c r="A39" s="841"/>
      <c r="B39" s="831"/>
      <c r="C39" s="831"/>
      <c r="D39" s="831"/>
      <c r="E39" s="831"/>
      <c r="F39" s="832"/>
      <c r="G39" s="832"/>
      <c r="H39" s="842"/>
      <c r="J39" s="1180"/>
      <c r="K39" s="1180"/>
      <c r="L39" s="1180"/>
      <c r="M39" s="1180"/>
      <c r="N39" s="1180"/>
      <c r="T39" s="1403"/>
      <c r="U39" s="1333"/>
      <c r="V39" s="1333"/>
      <c r="W39" s="1333"/>
      <c r="X39" s="1180"/>
      <c r="Y39" s="1180"/>
      <c r="Z39" s="1180"/>
    </row>
    <row r="40" spans="1:44" ht="18" customHeight="1">
      <c r="A40" s="841"/>
      <c r="B40" s="831"/>
      <c r="C40" s="831"/>
      <c r="D40" s="831"/>
      <c r="E40" s="831"/>
      <c r="F40" s="832"/>
      <c r="G40" s="832"/>
      <c r="H40" s="842"/>
      <c r="J40" s="1181"/>
      <c r="K40" s="1181"/>
      <c r="L40" s="1181"/>
      <c r="M40" s="1181"/>
      <c r="N40" s="1181"/>
      <c r="U40" s="1177"/>
      <c r="V40" s="1181"/>
      <c r="W40" s="1181"/>
      <c r="AB40" s="1177"/>
      <c r="AG40" s="1177"/>
      <c r="AH40" s="1177"/>
    </row>
    <row r="41" spans="1:44" ht="18" customHeight="1">
      <c r="A41" s="841"/>
      <c r="B41" s="831"/>
      <c r="C41" s="831"/>
      <c r="D41" s="831"/>
      <c r="E41" s="831"/>
      <c r="F41" s="832"/>
      <c r="G41" s="832"/>
      <c r="H41" s="842"/>
      <c r="J41" s="1182"/>
      <c r="K41" s="1182"/>
      <c r="L41" s="1182"/>
      <c r="M41" s="1182"/>
      <c r="N41" s="1182"/>
      <c r="U41" s="1177"/>
      <c r="V41" s="1182"/>
      <c r="W41" s="1182"/>
    </row>
    <row r="42" spans="1:44" ht="18" customHeight="1">
      <c r="A42" s="841"/>
      <c r="B42" s="831"/>
      <c r="C42" s="831"/>
      <c r="D42" s="831"/>
      <c r="E42" s="831"/>
      <c r="F42" s="832"/>
      <c r="G42" s="832"/>
      <c r="H42" s="842"/>
      <c r="J42" s="1182"/>
      <c r="K42" s="1182"/>
      <c r="L42" s="1182"/>
      <c r="M42" s="1182"/>
      <c r="N42" s="1182"/>
      <c r="U42" s="1177"/>
      <c r="V42" s="1182"/>
      <c r="W42" s="1182"/>
    </row>
    <row r="43" spans="1:44" ht="18" customHeight="1">
      <c r="A43" s="841"/>
      <c r="B43" s="831"/>
      <c r="C43" s="831"/>
      <c r="D43" s="831"/>
      <c r="E43" s="831"/>
      <c r="F43" s="832"/>
      <c r="G43" s="832"/>
      <c r="H43" s="842"/>
      <c r="J43" s="1182"/>
      <c r="K43" s="1182"/>
      <c r="L43" s="1182"/>
      <c r="M43" s="1182"/>
      <c r="N43" s="1182"/>
      <c r="U43" s="1177"/>
      <c r="V43" s="1182"/>
      <c r="W43" s="1182"/>
    </row>
    <row r="44" spans="1:44" ht="18" customHeight="1">
      <c r="A44" s="841"/>
      <c r="B44" s="831"/>
      <c r="C44" s="831"/>
      <c r="D44" s="831"/>
      <c r="E44" s="831"/>
      <c r="F44" s="832"/>
      <c r="G44" s="832"/>
      <c r="H44" s="842"/>
      <c r="J44" s="1182"/>
      <c r="K44" s="1182"/>
      <c r="L44" s="1182"/>
      <c r="M44" s="1182"/>
      <c r="N44" s="1182"/>
      <c r="U44" s="1177"/>
      <c r="V44" s="1182"/>
      <c r="W44" s="1182"/>
    </row>
    <row r="45" spans="1:44" ht="18" customHeight="1">
      <c r="A45" s="841"/>
      <c r="B45" s="831"/>
      <c r="C45" s="831"/>
      <c r="D45" s="831"/>
      <c r="E45" s="831"/>
      <c r="F45" s="832"/>
      <c r="G45" s="832"/>
      <c r="H45" s="842"/>
      <c r="J45" s="1180"/>
      <c r="K45" s="1180"/>
      <c r="L45" s="1180"/>
      <c r="M45" s="1180"/>
      <c r="N45" s="1180"/>
      <c r="U45" s="1177"/>
      <c r="V45" s="1180"/>
      <c r="W45" s="1180"/>
    </row>
    <row r="46" spans="1:44" ht="18" customHeight="1">
      <c r="A46" s="841"/>
      <c r="B46" s="831"/>
      <c r="C46" s="831"/>
      <c r="D46" s="831"/>
      <c r="E46" s="831"/>
      <c r="F46" s="832"/>
      <c r="G46" s="832"/>
      <c r="H46" s="842"/>
      <c r="J46" s="1181"/>
      <c r="K46" s="1181"/>
      <c r="L46" s="1181"/>
      <c r="M46" s="1181"/>
      <c r="N46" s="1181"/>
      <c r="U46" s="1177"/>
      <c r="V46" s="1181"/>
      <c r="W46" s="1181"/>
    </row>
    <row r="47" spans="1:44" ht="18" customHeight="1">
      <c r="A47" s="841"/>
      <c r="B47" s="831"/>
      <c r="C47" s="831"/>
      <c r="D47" s="831"/>
      <c r="E47" s="831"/>
      <c r="F47" s="832"/>
      <c r="G47" s="832"/>
      <c r="H47" s="842"/>
      <c r="J47" s="1182"/>
      <c r="K47" s="1182"/>
      <c r="L47" s="1182"/>
      <c r="M47" s="1182"/>
      <c r="N47" s="1182"/>
      <c r="U47" s="1177"/>
      <c r="V47" s="1182"/>
      <c r="W47" s="1182"/>
    </row>
    <row r="48" spans="1:44" ht="18" customHeight="1">
      <c r="A48" s="841"/>
      <c r="B48" s="831"/>
      <c r="C48" s="831"/>
      <c r="D48" s="831"/>
      <c r="E48" s="831"/>
      <c r="F48" s="832"/>
      <c r="G48" s="832"/>
      <c r="H48" s="842"/>
      <c r="J48" s="1182"/>
      <c r="K48" s="1182"/>
      <c r="L48" s="1182"/>
      <c r="M48" s="1182"/>
      <c r="N48" s="1182"/>
      <c r="U48" s="1177"/>
      <c r="V48" s="1182"/>
      <c r="W48" s="1182"/>
    </row>
    <row r="49" spans="1:28" ht="18" customHeight="1">
      <c r="A49" s="841"/>
      <c r="B49" s="831"/>
      <c r="C49" s="831"/>
      <c r="D49" s="831"/>
      <c r="E49" s="831"/>
      <c r="F49" s="831"/>
      <c r="G49" s="831"/>
      <c r="H49" s="843"/>
      <c r="J49" s="1182"/>
      <c r="K49" s="1182"/>
      <c r="L49" s="1182"/>
      <c r="M49" s="1182"/>
      <c r="N49" s="1182"/>
      <c r="U49" s="1177"/>
      <c r="V49" s="1182"/>
      <c r="W49" s="1182"/>
    </row>
    <row r="50" spans="1:28" ht="18" customHeight="1">
      <c r="A50" s="841"/>
      <c r="B50" s="831"/>
      <c r="C50" s="831"/>
      <c r="D50" s="831"/>
      <c r="E50" s="831"/>
      <c r="F50" s="831"/>
      <c r="G50" s="831"/>
      <c r="H50" s="843"/>
      <c r="J50" s="1182"/>
      <c r="K50" s="1182"/>
      <c r="L50" s="1182"/>
      <c r="M50" s="1182"/>
      <c r="N50" s="1182"/>
      <c r="U50" s="1177"/>
      <c r="V50" s="1182"/>
      <c r="W50" s="1182"/>
    </row>
    <row r="51" spans="1:28" ht="18" customHeight="1">
      <c r="A51" s="841"/>
      <c r="B51" s="831"/>
      <c r="C51" s="831"/>
      <c r="D51" s="831"/>
      <c r="E51" s="831"/>
      <c r="F51" s="831"/>
      <c r="G51" s="831"/>
      <c r="H51" s="843"/>
      <c r="J51" s="1180"/>
      <c r="K51" s="1180"/>
      <c r="L51" s="1180"/>
      <c r="M51" s="1180"/>
      <c r="N51" s="1180"/>
      <c r="U51" s="1177"/>
      <c r="V51" s="1177"/>
      <c r="W51" s="1177"/>
    </row>
    <row r="52" spans="1:28" ht="18" customHeight="1">
      <c r="A52" s="841"/>
      <c r="B52" s="831"/>
      <c r="C52" s="831"/>
      <c r="D52" s="831"/>
      <c r="E52" s="831"/>
      <c r="F52" s="831"/>
      <c r="G52" s="831"/>
      <c r="H52" s="843"/>
      <c r="J52" s="1181"/>
      <c r="K52" s="1181"/>
      <c r="L52" s="1181"/>
      <c r="M52" s="1181"/>
      <c r="N52" s="1181"/>
      <c r="U52" s="1177"/>
      <c r="V52" s="1177"/>
      <c r="W52" s="1177"/>
    </row>
    <row r="53" spans="1:28" ht="18" customHeight="1">
      <c r="A53" s="844"/>
      <c r="B53" s="833"/>
      <c r="C53" s="833"/>
      <c r="D53" s="833"/>
      <c r="E53" s="833"/>
      <c r="F53" s="833"/>
      <c r="G53" s="833"/>
      <c r="H53" s="845"/>
      <c r="J53" s="1182"/>
      <c r="K53" s="1182"/>
      <c r="L53" s="1182"/>
      <c r="M53" s="1182"/>
      <c r="N53" s="1182"/>
      <c r="U53" s="1177"/>
      <c r="V53" s="1177"/>
      <c r="W53" s="1177"/>
      <c r="AB53" s="1184"/>
    </row>
    <row r="54" spans="1:28" ht="18" customHeight="1">
      <c r="A54" s="844"/>
      <c r="B54" s="833"/>
      <c r="C54" s="833"/>
      <c r="D54" s="833"/>
      <c r="E54" s="833"/>
      <c r="F54" s="833"/>
      <c r="G54" s="833"/>
      <c r="H54" s="845"/>
      <c r="J54" s="1182"/>
      <c r="K54" s="1182"/>
      <c r="L54" s="1182"/>
      <c r="M54" s="1182"/>
      <c r="N54" s="1182"/>
      <c r="W54" s="1177"/>
      <c r="AB54" s="1180"/>
    </row>
    <row r="55" spans="1:28" ht="18" customHeight="1">
      <c r="A55" s="844"/>
      <c r="B55" s="833"/>
      <c r="C55" s="833"/>
      <c r="D55" s="833"/>
      <c r="E55" s="833"/>
      <c r="F55" s="833"/>
      <c r="G55" s="833"/>
      <c r="H55" s="845"/>
      <c r="J55" s="1182"/>
      <c r="K55" s="1182"/>
      <c r="L55" s="1182"/>
      <c r="M55" s="1182"/>
      <c r="N55" s="1182"/>
      <c r="W55" s="1177"/>
      <c r="AB55" s="1182"/>
    </row>
    <row r="56" spans="1:28" ht="18" customHeight="1">
      <c r="A56" s="846"/>
      <c r="B56" s="834"/>
      <c r="C56" s="833"/>
      <c r="D56" s="833"/>
      <c r="E56" s="833"/>
      <c r="F56" s="833"/>
      <c r="G56" s="835"/>
      <c r="H56" s="847"/>
      <c r="J56" s="1182"/>
      <c r="K56" s="1182"/>
      <c r="L56" s="1182"/>
      <c r="M56" s="1182"/>
      <c r="N56" s="1182"/>
      <c r="W56" s="1177"/>
      <c r="AB56" s="1182"/>
    </row>
    <row r="57" spans="1:28" ht="18" customHeight="1">
      <c r="A57" s="846"/>
      <c r="B57" s="834"/>
      <c r="C57" s="833"/>
      <c r="D57" s="833"/>
      <c r="E57" s="833"/>
      <c r="F57" s="833"/>
      <c r="G57" s="835"/>
      <c r="H57" s="847"/>
      <c r="J57" s="867"/>
      <c r="K57" s="1183"/>
      <c r="L57" s="1183"/>
      <c r="M57" s="1183"/>
      <c r="N57" s="1183"/>
      <c r="AB57" s="1182"/>
    </row>
    <row r="58" spans="1:28" ht="18" customHeight="1">
      <c r="A58" s="846"/>
      <c r="B58" s="834"/>
      <c r="C58" s="833"/>
      <c r="D58" s="833"/>
      <c r="E58" s="833"/>
      <c r="F58" s="833"/>
      <c r="G58" s="835"/>
      <c r="H58" s="847"/>
      <c r="J58" s="1181"/>
      <c r="K58" s="1181"/>
      <c r="L58" s="1181"/>
      <c r="M58" s="1181"/>
      <c r="N58" s="1181"/>
      <c r="AB58" s="1182"/>
    </row>
    <row r="59" spans="1:28" ht="18" customHeight="1">
      <c r="A59" s="846"/>
      <c r="B59" s="834"/>
      <c r="C59" s="833"/>
      <c r="D59" s="833"/>
      <c r="E59" s="833"/>
      <c r="F59" s="833"/>
      <c r="G59" s="835"/>
      <c r="H59" s="847"/>
      <c r="J59" s="1182"/>
      <c r="K59" s="1182"/>
      <c r="L59" s="1182"/>
      <c r="M59" s="1182"/>
      <c r="N59" s="1182"/>
      <c r="AB59" s="1180"/>
    </row>
    <row r="60" spans="1:28" ht="18" customHeight="1" thickBot="1">
      <c r="A60" s="848"/>
      <c r="B60" s="849"/>
      <c r="C60" s="850"/>
      <c r="D60" s="850"/>
      <c r="E60" s="850"/>
      <c r="F60" s="850"/>
      <c r="G60" s="851"/>
      <c r="H60" s="852"/>
      <c r="J60" s="1182"/>
      <c r="K60" s="1182"/>
      <c r="L60" s="1182"/>
      <c r="M60" s="1182"/>
      <c r="N60" s="1182"/>
    </row>
    <row r="61" spans="1:28" ht="18" customHeight="1">
      <c r="A61" s="864"/>
      <c r="B61" s="865"/>
      <c r="C61" s="866"/>
      <c r="D61" s="866"/>
      <c r="E61" s="866"/>
      <c r="F61" s="866"/>
      <c r="G61" s="867"/>
      <c r="H61" s="867"/>
      <c r="J61" s="1182"/>
      <c r="K61" s="1182"/>
      <c r="L61" s="1182"/>
      <c r="M61" s="1182"/>
      <c r="N61" s="1182"/>
    </row>
    <row r="62" spans="1:28" ht="18" customHeight="1">
      <c r="A62" s="864"/>
      <c r="B62" s="865"/>
      <c r="C62" s="866"/>
      <c r="D62" s="866"/>
      <c r="E62" s="866"/>
      <c r="F62" s="866"/>
      <c r="G62" s="867"/>
      <c r="H62" s="867"/>
      <c r="J62" s="1182"/>
      <c r="K62" s="1182"/>
      <c r="L62" s="1182"/>
      <c r="M62" s="1182"/>
      <c r="N62" s="1182"/>
    </row>
    <row r="63" spans="1:28" ht="18" customHeight="1">
      <c r="A63" s="864"/>
      <c r="B63" s="865"/>
      <c r="C63" s="866"/>
      <c r="D63" s="866"/>
      <c r="E63" s="866"/>
      <c r="F63" s="866"/>
      <c r="G63" s="867"/>
      <c r="H63" s="867"/>
      <c r="J63" s="1180"/>
      <c r="K63" s="1180"/>
      <c r="L63" s="1180"/>
      <c r="M63" s="1180"/>
      <c r="N63" s="1180"/>
    </row>
    <row r="64" spans="1:28" ht="18" customHeight="1">
      <c r="A64" s="864"/>
      <c r="B64" s="865"/>
      <c r="C64" s="866"/>
      <c r="D64" s="866"/>
      <c r="E64" s="866"/>
      <c r="F64" s="866"/>
      <c r="G64" s="867"/>
      <c r="H64" s="867"/>
      <c r="J64" s="1181"/>
      <c r="K64" s="1181"/>
      <c r="L64" s="1181"/>
      <c r="M64" s="1181"/>
      <c r="N64" s="1181"/>
    </row>
    <row r="65" spans="1:14" ht="18" customHeight="1">
      <c r="A65" s="864"/>
      <c r="B65" s="865"/>
      <c r="C65" s="866"/>
      <c r="D65" s="866"/>
      <c r="E65" s="866"/>
      <c r="F65" s="866"/>
      <c r="G65" s="867"/>
      <c r="H65" s="867"/>
      <c r="J65" s="1182"/>
      <c r="K65" s="1182"/>
      <c r="L65" s="1182"/>
      <c r="M65" s="1182"/>
      <c r="N65" s="1182"/>
    </row>
    <row r="66" spans="1:14" ht="18" customHeight="1">
      <c r="A66" s="864"/>
      <c r="B66" s="865"/>
      <c r="C66" s="866"/>
      <c r="D66" s="866"/>
      <c r="E66" s="866"/>
      <c r="F66" s="866"/>
      <c r="G66" s="867"/>
      <c r="H66" s="867"/>
      <c r="J66" s="1182"/>
      <c r="K66" s="1182"/>
      <c r="L66" s="1182"/>
      <c r="M66" s="1182"/>
      <c r="N66" s="1182"/>
    </row>
    <row r="67" spans="1:14" ht="18" customHeight="1">
      <c r="A67" s="864"/>
      <c r="B67" s="865"/>
      <c r="C67" s="866"/>
      <c r="D67" s="866"/>
      <c r="E67" s="866"/>
      <c r="F67" s="866"/>
      <c r="G67" s="867"/>
      <c r="H67" s="867"/>
      <c r="J67" s="1182"/>
      <c r="K67" s="1182"/>
      <c r="L67" s="1182"/>
      <c r="M67" s="1182"/>
      <c r="N67" s="1182"/>
    </row>
    <row r="68" spans="1:14" ht="18" customHeight="1">
      <c r="A68" s="864"/>
      <c r="B68" s="865"/>
      <c r="C68" s="866"/>
      <c r="D68" s="866"/>
      <c r="E68" s="866"/>
      <c r="F68" s="866"/>
      <c r="G68" s="867"/>
      <c r="H68" s="867"/>
      <c r="J68" s="1182"/>
      <c r="K68" s="1182"/>
      <c r="L68" s="1182"/>
      <c r="M68" s="1182"/>
      <c r="N68" s="1182"/>
    </row>
    <row r="69" spans="1:14" ht="18" customHeight="1">
      <c r="A69" s="864"/>
      <c r="B69" s="865"/>
      <c r="C69" s="866"/>
      <c r="D69" s="866"/>
      <c r="E69" s="866"/>
      <c r="F69" s="866"/>
      <c r="G69" s="867"/>
      <c r="H69" s="867"/>
      <c r="J69" s="1180"/>
      <c r="K69" s="1180"/>
      <c r="L69" s="1180"/>
      <c r="M69" s="1180"/>
      <c r="N69" s="1180"/>
    </row>
    <row r="70" spans="1:14" ht="18" customHeight="1">
      <c r="A70" s="864"/>
      <c r="B70" s="865"/>
      <c r="C70" s="866"/>
      <c r="D70" s="866"/>
      <c r="E70" s="866"/>
      <c r="F70" s="866"/>
      <c r="G70" s="867"/>
      <c r="H70" s="867"/>
      <c r="J70" s="1181"/>
      <c r="K70" s="1181"/>
      <c r="L70" s="1181"/>
      <c r="M70" s="1181"/>
      <c r="N70" s="1181"/>
    </row>
    <row r="71" spans="1:14" ht="18" customHeight="1">
      <c r="A71" s="864"/>
      <c r="B71" s="865"/>
      <c r="C71" s="866"/>
      <c r="D71" s="866"/>
      <c r="E71" s="866"/>
      <c r="F71" s="866"/>
      <c r="G71" s="867"/>
      <c r="H71" s="867"/>
      <c r="J71" s="1182"/>
      <c r="K71" s="1182"/>
      <c r="L71" s="1182"/>
      <c r="M71" s="1182"/>
      <c r="N71" s="1182"/>
    </row>
    <row r="72" spans="1:14" ht="18" customHeight="1">
      <c r="A72" s="864"/>
      <c r="B72" s="865"/>
      <c r="C72" s="866"/>
      <c r="D72" s="866"/>
      <c r="E72" s="866"/>
      <c r="F72" s="866"/>
      <c r="G72" s="867"/>
      <c r="H72" s="867"/>
      <c r="J72" s="1182"/>
      <c r="K72" s="1182"/>
      <c r="L72" s="1182"/>
      <c r="M72" s="1182"/>
      <c r="N72" s="1182"/>
    </row>
    <row r="73" spans="1:14" ht="18" customHeight="1">
      <c r="A73" s="864"/>
      <c r="B73" s="865"/>
      <c r="C73" s="866"/>
      <c r="D73" s="866"/>
      <c r="E73" s="866"/>
      <c r="F73" s="866"/>
      <c r="G73" s="867"/>
      <c r="H73" s="867"/>
      <c r="J73" s="1182"/>
      <c r="K73" s="1182"/>
      <c r="L73" s="1182"/>
      <c r="M73" s="1182"/>
      <c r="N73" s="1182"/>
    </row>
    <row r="74" spans="1:14" ht="18" customHeight="1">
      <c r="A74" s="864"/>
      <c r="B74" s="865"/>
      <c r="C74" s="866"/>
      <c r="D74" s="866"/>
      <c r="E74" s="866"/>
      <c r="F74" s="866"/>
      <c r="G74" s="867"/>
      <c r="H74" s="867"/>
      <c r="J74" s="1182"/>
      <c r="K74" s="1182"/>
      <c r="L74" s="1182"/>
      <c r="M74" s="1182"/>
      <c r="N74" s="1182"/>
    </row>
    <row r="75" spans="1:14" ht="18" customHeight="1">
      <c r="A75" s="864"/>
      <c r="B75" s="865"/>
      <c r="C75" s="866"/>
      <c r="D75" s="866"/>
      <c r="E75" s="866"/>
      <c r="F75" s="866"/>
      <c r="G75" s="867"/>
      <c r="H75" s="867"/>
      <c r="J75" s="1180"/>
      <c r="K75" s="1180"/>
      <c r="L75" s="1180"/>
      <c r="M75" s="1180"/>
      <c r="N75" s="1180"/>
    </row>
    <row r="76" spans="1:14" ht="18" customHeight="1">
      <c r="A76" s="864"/>
      <c r="B76" s="865"/>
      <c r="C76" s="866"/>
      <c r="D76" s="866"/>
      <c r="E76" s="866"/>
      <c r="F76" s="866"/>
      <c r="G76" s="867"/>
      <c r="H76" s="867"/>
      <c r="J76" s="1181"/>
      <c r="K76" s="1181"/>
      <c r="L76" s="1181"/>
      <c r="M76" s="1181"/>
      <c r="N76" s="1181"/>
    </row>
    <row r="77" spans="1:14" ht="18" customHeight="1">
      <c r="A77" s="864"/>
      <c r="B77" s="865"/>
      <c r="C77" s="866"/>
      <c r="D77" s="866"/>
      <c r="E77" s="866"/>
      <c r="F77" s="866"/>
      <c r="G77" s="867"/>
      <c r="H77" s="867"/>
      <c r="J77" s="1182"/>
      <c r="K77" s="1182"/>
      <c r="L77" s="1182"/>
      <c r="M77" s="1182"/>
      <c r="N77" s="1182"/>
    </row>
    <row r="78" spans="1:14" ht="18" customHeight="1">
      <c r="A78" s="864"/>
      <c r="B78" s="865"/>
      <c r="C78" s="866"/>
      <c r="D78" s="866"/>
      <c r="E78" s="866"/>
      <c r="F78" s="866"/>
      <c r="G78" s="867"/>
      <c r="H78" s="867"/>
      <c r="J78" s="1182"/>
      <c r="K78" s="1182"/>
      <c r="L78" s="1182"/>
      <c r="M78" s="1182"/>
      <c r="N78" s="1182"/>
    </row>
    <row r="79" spans="1:14" ht="18" customHeight="1">
      <c r="A79" s="864"/>
      <c r="B79" s="865"/>
      <c r="C79" s="866"/>
      <c r="D79" s="866"/>
      <c r="E79" s="866"/>
      <c r="F79" s="866"/>
      <c r="G79" s="867"/>
      <c r="H79" s="867"/>
      <c r="J79" s="1182"/>
      <c r="K79" s="1182"/>
      <c r="L79" s="1182"/>
      <c r="M79" s="1182"/>
      <c r="N79" s="1182"/>
    </row>
    <row r="80" spans="1:14" ht="18" customHeight="1">
      <c r="A80" s="864"/>
      <c r="B80" s="865"/>
      <c r="C80" s="866"/>
      <c r="D80" s="866"/>
      <c r="E80" s="866"/>
      <c r="F80" s="866"/>
      <c r="G80" s="867"/>
      <c r="H80" s="867"/>
      <c r="J80" s="1182"/>
      <c r="K80" s="1182"/>
      <c r="L80" s="1182"/>
      <c r="M80" s="1182"/>
      <c r="N80" s="1182"/>
    </row>
    <row r="81" spans="1:31" ht="18" customHeight="1">
      <c r="A81" s="864"/>
      <c r="B81" s="865"/>
      <c r="C81" s="866"/>
      <c r="D81" s="866"/>
      <c r="E81" s="866"/>
      <c r="F81" s="866"/>
      <c r="G81" s="867"/>
      <c r="H81" s="867"/>
    </row>
    <row r="82" spans="1:31" ht="18" customHeight="1">
      <c r="A82" s="864"/>
      <c r="B82" s="865"/>
      <c r="C82" s="866"/>
      <c r="D82" s="866"/>
      <c r="E82" s="866"/>
      <c r="F82" s="866"/>
      <c r="G82" s="867"/>
      <c r="H82" s="867"/>
    </row>
    <row r="83" spans="1:31" ht="18" customHeight="1">
      <c r="A83" s="864"/>
      <c r="B83" s="865"/>
      <c r="C83" s="866"/>
      <c r="D83" s="866"/>
      <c r="E83" s="866"/>
      <c r="F83" s="866"/>
      <c r="G83" s="867"/>
      <c r="H83" s="867"/>
    </row>
    <row r="84" spans="1:31" ht="18" customHeight="1">
      <c r="A84" s="864"/>
      <c r="B84" s="865"/>
      <c r="C84" s="866"/>
      <c r="D84" s="866"/>
      <c r="E84" s="866"/>
      <c r="F84" s="866"/>
      <c r="G84" s="867"/>
      <c r="H84" s="867"/>
    </row>
    <row r="85" spans="1:31" ht="18" customHeight="1">
      <c r="A85" s="864"/>
      <c r="B85" s="865"/>
      <c r="C85" s="866"/>
      <c r="D85" s="866"/>
      <c r="E85" s="866"/>
      <c r="F85" s="866"/>
      <c r="G85" s="867"/>
      <c r="H85" s="867"/>
    </row>
    <row r="86" spans="1:31" ht="18" customHeight="1">
      <c r="A86" s="864"/>
      <c r="B86" s="865"/>
      <c r="C86" s="866"/>
      <c r="D86" s="866"/>
      <c r="E86" s="866"/>
      <c r="F86" s="866"/>
      <c r="G86" s="867"/>
      <c r="H86" s="867"/>
    </row>
    <row r="87" spans="1:31" ht="18" customHeight="1">
      <c r="A87" s="864"/>
      <c r="B87" s="865"/>
      <c r="C87" s="866"/>
      <c r="D87" s="866"/>
      <c r="E87" s="866"/>
      <c r="F87" s="866"/>
      <c r="G87" s="867"/>
      <c r="H87" s="867"/>
    </row>
    <row r="88" spans="1:31" ht="18" customHeight="1">
      <c r="A88" s="864"/>
      <c r="B88" s="865"/>
      <c r="C88" s="866"/>
      <c r="D88" s="866"/>
      <c r="E88" s="866"/>
      <c r="F88" s="866"/>
      <c r="G88" s="867"/>
      <c r="H88" s="867"/>
    </row>
    <row r="89" spans="1:31" ht="18" customHeight="1">
      <c r="A89" s="864"/>
      <c r="B89" s="865"/>
      <c r="C89" s="866"/>
      <c r="D89" s="866"/>
      <c r="E89" s="866"/>
      <c r="F89" s="866"/>
      <c r="G89" s="867"/>
      <c r="H89" s="867"/>
      <c r="J89" s="56"/>
      <c r="Z89" s="38">
        <v>1</v>
      </c>
      <c r="AA89" s="38" t="s">
        <v>2799</v>
      </c>
      <c r="AB89" s="38" t="s">
        <v>513</v>
      </c>
      <c r="AC89" s="38" t="str">
        <f>(AD89+AD91)&amp;"kg"</f>
        <v>0kg</v>
      </c>
      <c r="AD89" s="38">
        <f>IFERROR(VLOOKUP(AB89,$C$3:$H$55,4,FALSE),0)</f>
        <v>0</v>
      </c>
      <c r="AE89" s="37" t="str">
        <f>IF(AND((AD89+AD91)&gt;=3000,(AD89+AD91)&lt;50000),"1組",
IF(AND((AD89+AD91)&gt;=50000,(AD89+AD91)&lt;100000),"2組","免驗"))</f>
        <v>免驗</v>
      </c>
    </row>
    <row r="90" spans="1:31" ht="18" customHeight="1">
      <c r="A90" s="864"/>
      <c r="B90" s="865"/>
      <c r="C90" s="866"/>
      <c r="D90" s="866"/>
      <c r="E90" s="866"/>
      <c r="F90" s="866"/>
      <c r="G90" s="867"/>
      <c r="H90" s="867"/>
      <c r="J90" s="57"/>
      <c r="Z90" s="38"/>
      <c r="AA90" s="38"/>
      <c r="AB90" s="38" t="s">
        <v>1425</v>
      </c>
      <c r="AC90" s="38" t="str">
        <f>(AD90+AD92)&amp;"kg"</f>
        <v>0kg</v>
      </c>
      <c r="AD90" s="38">
        <f>IFERROR(VLOOKUP(AB90,$C$3:$H$55,4,FALSE),0)</f>
        <v>0</v>
      </c>
      <c r="AE90" s="37" t="str">
        <f>IF(AND((AD90+AD92)&gt;=3000,(AD90+AD92)&lt;50000),"1組",
IF(AND((AD90+AD92)&gt;=50000,(AD90+AD92)&lt;100000),"2組","免驗"))</f>
        <v>免驗</v>
      </c>
    </row>
    <row r="91" spans="1:31" ht="18" customHeight="1">
      <c r="A91" s="864"/>
      <c r="B91" s="865"/>
      <c r="C91" s="866"/>
      <c r="D91" s="866"/>
      <c r="E91" s="866"/>
      <c r="F91" s="866"/>
      <c r="G91" s="867"/>
      <c r="H91" s="867"/>
      <c r="J91" s="58"/>
      <c r="Z91" s="38"/>
      <c r="AA91" s="38"/>
      <c r="AB91" s="38" t="s">
        <v>2939</v>
      </c>
      <c r="AC91" s="38"/>
      <c r="AD91" s="38">
        <f>IFERROR(VLOOKUP(AB91,$C$3:$H$55,4,FALSE),0)</f>
        <v>0</v>
      </c>
      <c r="AE91" s="37"/>
    </row>
    <row r="92" spans="1:31" ht="18" customHeight="1">
      <c r="J92" s="58"/>
      <c r="Z92" s="38"/>
      <c r="AA92" s="38"/>
      <c r="AB92" s="38" t="s">
        <v>2940</v>
      </c>
      <c r="AC92" s="38"/>
      <c r="AD92" s="38">
        <f>IFERROR(VLOOKUP(AB92,$C$3:$H$55,4,FALSE),0)</f>
        <v>0</v>
      </c>
      <c r="AE92" s="37"/>
    </row>
    <row r="93" spans="1:31" ht="18" customHeight="1">
      <c r="J93" s="58"/>
      <c r="Z93" s="38"/>
      <c r="AA93" s="38">
        <v>3</v>
      </c>
      <c r="AB93" s="38">
        <v>26</v>
      </c>
      <c r="AC93" s="38"/>
      <c r="AD93" s="38"/>
      <c r="AE93" s="37"/>
    </row>
    <row r="94" spans="1:31" ht="18" customHeight="1">
      <c r="J94" s="58"/>
      <c r="Z94" s="38">
        <v>2</v>
      </c>
      <c r="AA94" s="38" t="s">
        <v>2800</v>
      </c>
      <c r="AB94" s="38" t="s">
        <v>540</v>
      </c>
      <c r="AC94" s="38" t="str">
        <f>AD94&amp;"m3"</f>
        <v>0m3</v>
      </c>
      <c r="AD94" s="38">
        <f>IFERROR(VLOOKUP(AB94,$C$3:$H$55,4,FALSE),0)</f>
        <v>0</v>
      </c>
      <c r="AE94" s="37" t="str">
        <f>IF(AND(AD94&gt;=40,AD94&lt;=160),"1個",
IF(AND(AD94&gt;160,AD94&lt;=200),"2個",
IF(AND(AD94&gt;200,AD94&lt;=240),"3個",
IF(AND(AD94&gt;2000,AD94&lt;=240),"4個",
"免驗"))))</f>
        <v>免驗</v>
      </c>
    </row>
    <row r="95" spans="1:31" ht="18" customHeight="1">
      <c r="J95" s="58"/>
      <c r="Z95" s="38"/>
      <c r="AA95" s="38"/>
      <c r="AB95" s="38" t="s">
        <v>539</v>
      </c>
      <c r="AC95" s="38" t="str">
        <f>AD95&amp;"m3"</f>
        <v>0m3</v>
      </c>
      <c r="AD95" s="38">
        <f>IFERROR(VLOOKUP(AB95,$C$3:$H$55,4,FALSE),0)</f>
        <v>0</v>
      </c>
      <c r="AE95" s="37" t="str">
        <f>IF(AND(AD95&gt;=40,AD95&lt;=160),"1個",
IF(AND(AD95&gt;160,AD95&lt;=200),"2個",
IF(AND(AD95&gt;200,AD95&lt;=240),"3個",
IF(AND(AD95&gt;2000,AD95&lt;=240),"4個",
"免驗"))))</f>
        <v>免驗</v>
      </c>
    </row>
    <row r="96" spans="1:31" ht="18" customHeight="1">
      <c r="J96" s="58"/>
      <c r="Z96" s="38"/>
      <c r="AA96" s="38"/>
      <c r="AB96" s="38" t="s">
        <v>804</v>
      </c>
      <c r="AC96" s="38" t="str">
        <f>AD96&amp;"m3"</f>
        <v>0m3</v>
      </c>
      <c r="AD96" s="38">
        <f>IFERROR(VLOOKUP(AB96,$C$3:$H$55,4,FALSE),0)</f>
        <v>0</v>
      </c>
      <c r="AE96" s="37" t="str">
        <f>IF(AND(AD96&gt;=40,AD96&lt;=160),"1個",
IF(AND(AD96&gt;160,AD96&lt;=200),"2個",
IF(AND(AD96&gt;200,AD96&lt;=240),"3個",
IF(AND(AD96&gt;2000,AD96&lt;=240),"4個",
"免驗"))))</f>
        <v>免驗</v>
      </c>
    </row>
    <row r="97" spans="1:31" ht="18" customHeight="1">
      <c r="J97" s="58"/>
      <c r="Z97" s="38">
        <v>3</v>
      </c>
      <c r="AA97" s="38" t="s">
        <v>2801</v>
      </c>
      <c r="AB97" s="38" t="s">
        <v>2805</v>
      </c>
      <c r="AC97" s="38" t="str">
        <f>AD97&amp;"m2"</f>
        <v>0m2</v>
      </c>
      <c r="AD97" s="38">
        <f>AC144</f>
        <v>0</v>
      </c>
      <c r="AE97" s="37" t="str">
        <f>IF(AND(AD97&gt;=200,AD97&lt;=1000),"1個",
IF(AND(AD97&gt;1000,AD97&lt;=2000),"2個",
IF(AND(AD97&gt;2000,AD97&lt;=3000),"3個",
IF(AND(AD97&gt;3000,AD97&lt;=4000),"4個",
"免驗"))))</f>
        <v>免驗</v>
      </c>
    </row>
    <row r="98" spans="1:31" ht="18" customHeight="1">
      <c r="J98" s="58"/>
      <c r="P98" s="53"/>
      <c r="Q98" s="53"/>
      <c r="Y98" s="53"/>
      <c r="Z98" s="38"/>
      <c r="AA98" s="38"/>
      <c r="AB98" s="38" t="s">
        <v>2806</v>
      </c>
      <c r="AC98" s="38" t="str">
        <f>AD98&amp;"m2"</f>
        <v>0m2</v>
      </c>
      <c r="AD98" s="38">
        <f>AC145</f>
        <v>0</v>
      </c>
      <c r="AE98" s="37" t="str">
        <f>IF(AND(AD98&gt;=200,AD98&lt;=1000),"1個",
IF(AND(AD98&gt;1000,AD98&lt;=2000),"2個",
IF(AND(AD98&gt;2000,AD98&lt;=3000),"3個",
IF(AND(AD98&gt;3000,AD98&lt;=4000),"4個",
"免驗"))))</f>
        <v>免驗</v>
      </c>
    </row>
    <row r="99" spans="1:31" ht="18" customHeight="1">
      <c r="J99" s="1616" t="str">
        <f>T99 &amp; CHAR(10) &amp; T100 &amp; CHAR(10) &amp; T101 &amp; CHAR(10) &amp; T102 &amp; CHAR(10) &amp; T103 &amp; CHAR(10) &amp; T104 &amp; CHAR(10) &amp; T105</f>
        <v xml:space="preserve">搶修開挖:0處
挖方總和:0m3
餘方總和:0m3
</v>
      </c>
      <c r="K99" s="1602" t="s">
        <v>4267</v>
      </c>
      <c r="L99" s="83" t="str">
        <f t="shared" ref="L99:L104" si="0">IF($Y$102="一般案",C107,C116)</f>
        <v>工地處理，緊急搶修，路面開挖</v>
      </c>
      <c r="M99" s="84"/>
      <c r="N99" s="84" t="str">
        <f t="shared" ref="N99:N150" si="1">IFERROR(VLOOKUP(L99,$C$102:$I$190,4,FALSE)," ")</f>
        <v>-</v>
      </c>
      <c r="O99" s="84" t="str">
        <f>IFERROR(VLOOKUP(L99,$C$102:$I$190,5,FALSE)," ")</f>
        <v>處</v>
      </c>
      <c r="P99" s="84" t="str">
        <f>IFERROR(VLOOKUP(L99,$C$102:$I$190,3,FALSE)," ")</f>
        <v>-</v>
      </c>
      <c r="Q99" s="84">
        <f>IFERROR(VLOOKUP(L99,$C$102:$I$190,2,FALSE)," ")</f>
        <v>0</v>
      </c>
      <c r="R99" s="83" t="s">
        <v>4281</v>
      </c>
      <c r="S99" s="83"/>
      <c r="T99" s="83" t="str">
        <f>"搶修開挖:"&amp;SUM(F116:F117)&amp;"處"</f>
        <v>搶修開挖:0處</v>
      </c>
      <c r="U99" s="53"/>
      <c r="V99" s="50" t="str">
        <f>合約!H4</f>
        <v>114雨水(士大)</v>
      </c>
      <c r="Z99" s="38"/>
      <c r="AA99" s="38">
        <v>5</v>
      </c>
      <c r="AB99" s="38">
        <v>8</v>
      </c>
      <c r="AC99" s="38"/>
      <c r="AD99" s="38"/>
      <c r="AE99" s="37"/>
    </row>
    <row r="100" spans="1:31">
      <c r="J100" s="1617"/>
      <c r="K100" s="1603"/>
      <c r="L100" s="83" t="str">
        <f t="shared" si="0"/>
        <v>工地處理，緊急搶修，路面開挖，夜間施工</v>
      </c>
      <c r="M100" s="84"/>
      <c r="N100" s="84" t="str">
        <f t="shared" si="1"/>
        <v>-</v>
      </c>
      <c r="O100" s="84" t="str">
        <f t="shared" ref="O100:O150" si="2">IFERROR(VLOOKUP(L100,$C$102:$I$190,5,FALSE)," ")</f>
        <v>處</v>
      </c>
      <c r="P100" s="84" t="str">
        <f t="shared" ref="P100:P150" si="3">IFERROR(VLOOKUP(L100,$C$102:$I$190,3,FALSE)," ")</f>
        <v>-</v>
      </c>
      <c r="Q100" s="84">
        <f t="shared" ref="Q100:Q150" si="4">IFERROR(VLOOKUP(L100,$C$102:$I$190,2,FALSE)," ")</f>
        <v>0</v>
      </c>
      <c r="R100" s="83" t="s">
        <v>4282</v>
      </c>
      <c r="S100" s="83"/>
      <c r="T100" s="969" t="str">
        <f>"挖方總和:"&amp;SUM(F107:F110)&amp;"m3"</f>
        <v>挖方總和:0m3</v>
      </c>
      <c r="U100" s="53"/>
      <c r="Z100" s="38">
        <v>4</v>
      </c>
      <c r="AA100" s="38" t="s">
        <v>2802</v>
      </c>
      <c r="AB100" s="38" t="s">
        <v>2805</v>
      </c>
      <c r="AC100" s="38" t="str">
        <f>AD100&amp;"m2"</f>
        <v>0m2</v>
      </c>
      <c r="AD100" s="38">
        <f>AC144</f>
        <v>0</v>
      </c>
      <c r="AE100" s="37" t="str">
        <f>IF(AND(AD100&gt;=200,AD100&lt;=1000),"1個",
IF(AND(AD100&gt;1000,AD100&lt;=2000),"2個",
IF(AND(AD100&gt;2000,AD100&lt;=3000),"3個",
IF(AND(AD100&gt;3000,AD100&lt;=4000),"4個",
"免驗"))))</f>
        <v>免驗</v>
      </c>
    </row>
    <row r="101" spans="1:31">
      <c r="A101" s="871"/>
      <c r="B101" s="860"/>
      <c r="C101" s="872" t="s">
        <v>4197</v>
      </c>
      <c r="D101" s="872" t="s">
        <v>4275</v>
      </c>
      <c r="E101" s="872" t="s">
        <v>4274</v>
      </c>
      <c r="F101" s="860" t="s">
        <v>4200</v>
      </c>
      <c r="G101" s="860" t="s">
        <v>4257</v>
      </c>
      <c r="H101" s="860" t="s">
        <v>4198</v>
      </c>
      <c r="I101" s="872" t="s">
        <v>4199</v>
      </c>
      <c r="J101" s="1617"/>
      <c r="K101" s="1603"/>
      <c r="L101" s="83" t="str">
        <f t="shared" si="0"/>
        <v>餘方自行處理(含水土保持)，總重8-8.9t傾卸貨車</v>
      </c>
      <c r="M101" s="84"/>
      <c r="N101" s="84" t="str">
        <f t="shared" si="1"/>
        <v>-</v>
      </c>
      <c r="O101" s="84" t="str">
        <f t="shared" si="2"/>
        <v>M3</v>
      </c>
      <c r="P101" s="84" t="str">
        <f t="shared" si="3"/>
        <v>-</v>
      </c>
      <c r="Q101" s="84">
        <f t="shared" si="4"/>
        <v>0</v>
      </c>
      <c r="R101" s="83"/>
      <c r="S101" s="83"/>
      <c r="T101" s="969" t="str">
        <f>"餘方總和:"&amp;SUM(F111:F114)&amp;"m3"</f>
        <v>餘方總和:0m3</v>
      </c>
      <c r="U101" s="53"/>
      <c r="W101" s="52"/>
      <c r="Z101" s="62"/>
      <c r="AA101" s="38"/>
      <c r="AB101" s="38" t="s">
        <v>2807</v>
      </c>
      <c r="AC101" s="38" t="str">
        <f>AD101&amp;"m2"</f>
        <v>0m2</v>
      </c>
      <c r="AD101" s="38">
        <f>AC145</f>
        <v>0</v>
      </c>
      <c r="AE101" s="37" t="str">
        <f>IF(AND(AD101&gt;=200,AD101&lt;=1000),"1個",
IF(AND(AD101&gt;1000,AD101&lt;=2000),"2個",
IF(AND(AD101&gt;2000,AD101&lt;=3000),"3個",
IF(AND(AD101&gt;3000,AD101&lt;=4000),"4個",
"免驗"))))</f>
        <v>免驗</v>
      </c>
    </row>
    <row r="102" spans="1:31" ht="115.5">
      <c r="A102" s="895"/>
      <c r="B102" s="876"/>
      <c r="C102" s="877" t="s">
        <v>2486</v>
      </c>
      <c r="D102" s="928"/>
      <c r="E102" s="934" t="s">
        <v>2931</v>
      </c>
      <c r="F102" s="874" t="str">
        <f>IFERROR(VLOOKUP(C102,$C$3:$H$60,4,FALSE),"-")</f>
        <v>-</v>
      </c>
      <c r="G102" s="874" t="s">
        <v>2238</v>
      </c>
      <c r="H102" s="896" t="s">
        <v>4227</v>
      </c>
      <c r="I102" s="877" t="s">
        <v>4242</v>
      </c>
      <c r="J102" s="1617"/>
      <c r="K102" s="1603"/>
      <c r="L102" s="83" t="str">
        <f t="shared" si="0"/>
        <v>餘方自行處理(含水土保持)，總重3-3.9t貨車</v>
      </c>
      <c r="M102" s="84"/>
      <c r="N102" s="84" t="str">
        <f t="shared" si="1"/>
        <v>-</v>
      </c>
      <c r="O102" s="84" t="str">
        <f t="shared" si="2"/>
        <v>B.M3</v>
      </c>
      <c r="P102" s="84" t="str">
        <f t="shared" si="3"/>
        <v>-</v>
      </c>
      <c r="Q102" s="84">
        <f t="shared" si="4"/>
        <v>0</v>
      </c>
      <c r="R102" s="83"/>
      <c r="S102" s="83"/>
      <c r="T102" s="969"/>
      <c r="U102" s="53"/>
      <c r="V102" s="50" t="s">
        <v>3673</v>
      </c>
      <c r="W102" s="52" t="str">
        <f>自主檢查表!C2</f>
        <v>114雨水(士大)</v>
      </c>
      <c r="Y102" s="50" t="str">
        <f>自主檢查表!E2</f>
        <v>搶修案</v>
      </c>
      <c r="Z102" s="62"/>
      <c r="AA102" s="38"/>
      <c r="AB102" s="38"/>
      <c r="AC102" s="38"/>
      <c r="AD102" s="38"/>
      <c r="AE102" s="37"/>
    </row>
    <row r="103" spans="1:31" ht="115.5">
      <c r="A103" s="897"/>
      <c r="B103" s="876"/>
      <c r="C103" s="877" t="s">
        <v>2480</v>
      </c>
      <c r="D103" s="928"/>
      <c r="E103" s="934" t="s">
        <v>2931</v>
      </c>
      <c r="F103" s="874" t="str">
        <f>IFERROR(VLOOKUP(C103,$C$3:$H$60,4,FALSE),"-")</f>
        <v>-</v>
      </c>
      <c r="G103" s="874" t="s">
        <v>2238</v>
      </c>
      <c r="H103" s="896" t="s">
        <v>4227</v>
      </c>
      <c r="I103" s="877" t="s">
        <v>4242</v>
      </c>
      <c r="J103" s="1617"/>
      <c r="K103" s="1603"/>
      <c r="L103" s="83" t="str">
        <f t="shared" si="0"/>
        <v>餘方自行處理(含水土保持)，總重15t傾卸貨車</v>
      </c>
      <c r="M103" s="84"/>
      <c r="N103" s="84" t="str">
        <f t="shared" si="1"/>
        <v>-</v>
      </c>
      <c r="O103" s="84" t="str">
        <f t="shared" si="2"/>
        <v>B.M3</v>
      </c>
      <c r="P103" s="84" t="str">
        <f t="shared" si="3"/>
        <v>-</v>
      </c>
      <c r="Q103" s="84">
        <f t="shared" si="4"/>
        <v>0</v>
      </c>
      <c r="R103" s="83"/>
      <c r="S103" s="83"/>
      <c r="T103" s="969"/>
      <c r="U103" s="53"/>
      <c r="W103" s="52"/>
      <c r="Z103" s="62">
        <v>5</v>
      </c>
      <c r="AA103" s="38" t="s">
        <v>2803</v>
      </c>
      <c r="AB103" s="38" t="s">
        <v>2032</v>
      </c>
      <c r="AC103" s="38" t="str">
        <f>AD103&amp;"組"</f>
        <v>0組</v>
      </c>
      <c r="AD103" s="38">
        <f>IFERROR(VLOOKUP(AB103,$C$3:$H$55,4,FALSE),0)</f>
        <v>0</v>
      </c>
      <c r="AE103" s="37" t="str">
        <f>IF(AND(AD103&gt;=20,AD103&lt;=100),1,
IF(AND(AD103&gt;100,AD103&lt;=200),2,
IF(AND(AD103&gt;200,AD103&lt;=300),3,
IF(AND(AD103&gt;300,AD103&lt;=400),4,
"免驗"))))</f>
        <v>免驗</v>
      </c>
    </row>
    <row r="104" spans="1:31" ht="115.5">
      <c r="A104" s="897"/>
      <c r="B104" s="874"/>
      <c r="C104" s="877" t="s">
        <v>2483</v>
      </c>
      <c r="D104" s="928"/>
      <c r="E104" s="934" t="s">
        <v>2931</v>
      </c>
      <c r="F104" s="874" t="str">
        <f>IFERROR(VLOOKUP(C104,$C$3:$H$60,4,FALSE),"-")</f>
        <v>-</v>
      </c>
      <c r="G104" s="874" t="s">
        <v>2238</v>
      </c>
      <c r="H104" s="896" t="s">
        <v>4227</v>
      </c>
      <c r="I104" s="877" t="s">
        <v>4242</v>
      </c>
      <c r="J104" s="1617"/>
      <c r="K104" s="1603"/>
      <c r="L104" s="83" t="str">
        <f t="shared" si="0"/>
        <v>餘方自行處理(含水土保持)，總重15t以下傾卸貨車</v>
      </c>
      <c r="M104" s="84"/>
      <c r="N104" s="84" t="str">
        <f t="shared" si="1"/>
        <v>-</v>
      </c>
      <c r="O104" s="84" t="str">
        <f t="shared" si="2"/>
        <v>M3</v>
      </c>
      <c r="P104" s="84" t="str">
        <f t="shared" si="3"/>
        <v>-</v>
      </c>
      <c r="Q104" s="84">
        <f t="shared" si="4"/>
        <v>0</v>
      </c>
      <c r="R104" s="83"/>
      <c r="S104" s="83"/>
      <c r="T104" s="969"/>
      <c r="U104" s="53"/>
      <c r="V104" s="50" t="s">
        <v>3674</v>
      </c>
      <c r="W104" s="52">
        <f>自主檢查表!E14</f>
        <v>0</v>
      </c>
      <c r="Z104" s="62"/>
      <c r="AA104" s="38"/>
      <c r="AB104" s="38" t="s">
        <v>2037</v>
      </c>
      <c r="AC104" s="38" t="str">
        <f>AD104&amp;"組"</f>
        <v>0組</v>
      </c>
      <c r="AD104" s="38">
        <f>IFERROR(VLOOKUP(AB104,$C$3:$H$55,4,FALSE),0)</f>
        <v>0</v>
      </c>
      <c r="AE104" s="37" t="str">
        <f>IF(AND(AD104&gt;=20,AD104&lt;=100),1,
IF(AND(AD104&gt;100,AD104&lt;=200),2,
IF(AND(AD104&gt;200,AD104&lt;=300),3,
IF(AND(AD104&gt;300,AD104&lt;=400),4,
"免驗"))))</f>
        <v>免驗</v>
      </c>
    </row>
    <row r="105" spans="1:31" ht="115.5">
      <c r="A105" s="897"/>
      <c r="B105" s="874"/>
      <c r="C105" s="877" t="s">
        <v>2475</v>
      </c>
      <c r="D105" s="928"/>
      <c r="E105" s="934" t="s">
        <v>2931</v>
      </c>
      <c r="F105" s="874" t="str">
        <f>IFERROR(VLOOKUP(C105,$C$3:$H$60,4,FALSE),"-")</f>
        <v>-</v>
      </c>
      <c r="G105" s="874" t="s">
        <v>2238</v>
      </c>
      <c r="H105" s="896" t="s">
        <v>4227</v>
      </c>
      <c r="I105" s="877" t="s">
        <v>4242</v>
      </c>
      <c r="J105" s="1617"/>
      <c r="K105" s="1603"/>
      <c r="L105" s="83">
        <f>IF($Y$102="一般案",C113,C124)</f>
        <v>0</v>
      </c>
      <c r="M105" s="84"/>
      <c r="N105" s="84" t="str">
        <f t="shared" si="1"/>
        <v xml:space="preserve"> </v>
      </c>
      <c r="O105" s="84" t="str">
        <f t="shared" si="2"/>
        <v xml:space="preserve"> </v>
      </c>
      <c r="P105" s="84" t="str">
        <f t="shared" si="3"/>
        <v xml:space="preserve"> </v>
      </c>
      <c r="Q105" s="84" t="str">
        <f t="shared" si="4"/>
        <v xml:space="preserve"> </v>
      </c>
      <c r="R105" s="83"/>
      <c r="S105" s="83"/>
      <c r="T105" s="969"/>
      <c r="U105" s="53"/>
      <c r="V105" s="50" t="s">
        <v>3675</v>
      </c>
      <c r="W105" s="52">
        <f>自主檢查表!E8</f>
        <v>5</v>
      </c>
      <c r="Z105" s="62"/>
      <c r="AA105" s="38">
        <v>9</v>
      </c>
      <c r="AB105" s="38">
        <v>8</v>
      </c>
      <c r="AC105" s="38" t="str">
        <f>AD105&amp;"組"</f>
        <v>0組</v>
      </c>
      <c r="AD105" s="38">
        <f>IFERROR(VLOOKUP(AB105,$C$3:$H$55,4,FALSE),0)</f>
        <v>0</v>
      </c>
      <c r="AE105" s="37" t="str">
        <f>IF(AND(AD105&gt;=20,AD105&lt;=100),1,
IF(AND(AD105&gt;100,AD105&lt;=200),2,
IF(AND(AD105&gt;200,AD105&lt;=300),3,
IF(AND(AD105&gt;300,AD105&lt;=400),4,
"免驗"))))</f>
        <v>免驗</v>
      </c>
    </row>
    <row r="106" spans="1:31">
      <c r="A106" s="873"/>
      <c r="B106" s="832"/>
      <c r="C106" s="868"/>
      <c r="D106" s="863"/>
      <c r="E106" s="935"/>
      <c r="F106" s="832"/>
      <c r="G106" s="832"/>
      <c r="H106" s="861"/>
      <c r="I106" s="868"/>
      <c r="J106" s="1618"/>
      <c r="K106" s="1603"/>
      <c r="L106" s="83">
        <f>IF($Y$102="一般案",C114,C125)</f>
        <v>0</v>
      </c>
      <c r="M106" s="84"/>
      <c r="N106" s="84" t="str">
        <f t="shared" si="1"/>
        <v xml:space="preserve"> </v>
      </c>
      <c r="O106" s="84" t="str">
        <f t="shared" si="2"/>
        <v xml:space="preserve"> </v>
      </c>
      <c r="P106" s="84" t="str">
        <f t="shared" si="3"/>
        <v xml:space="preserve"> </v>
      </c>
      <c r="Q106" s="84" t="str">
        <f t="shared" si="4"/>
        <v xml:space="preserve"> </v>
      </c>
      <c r="R106" s="83"/>
      <c r="S106" s="83"/>
      <c r="T106" s="83"/>
      <c r="U106" s="53"/>
      <c r="V106" s="50" t="s">
        <v>3676</v>
      </c>
      <c r="W106" s="52">
        <f>R8</f>
        <v>0</v>
      </c>
      <c r="X106" s="50" t="s">
        <v>4304</v>
      </c>
      <c r="Y106" s="50">
        <f>IF(W106="","",W106*0.05)</f>
        <v>0</v>
      </c>
      <c r="Z106" s="62">
        <v>6</v>
      </c>
      <c r="AA106" s="38" t="s">
        <v>2804</v>
      </c>
      <c r="AB106" s="38" t="s">
        <v>2141</v>
      </c>
      <c r="AC106" s="38" t="str">
        <f>AD106&amp;"m2"</f>
        <v>0m2</v>
      </c>
      <c r="AD106" s="38">
        <f>IFERROR(VLOOKUP(AB106,$C$3:$H$55,4,FALSE),0)</f>
        <v>0</v>
      </c>
      <c r="AE106" s="37" t="str">
        <f>IF(AND(AD106&gt;=1000,AD106&lt;=10000),1,"免驗")</f>
        <v>免驗</v>
      </c>
    </row>
    <row r="107" spans="1:31">
      <c r="A107" s="1610"/>
      <c r="B107" s="874"/>
      <c r="C107" s="875" t="s">
        <v>3637</v>
      </c>
      <c r="D107" s="929"/>
      <c r="E107" s="934" t="s">
        <v>2931</v>
      </c>
      <c r="F107" s="874" t="str">
        <f t="shared" ref="F107:F114" si="5">IFERROR(VLOOKUP(C107,$C$3:$H$60,4,FALSE),"-")</f>
        <v>-</v>
      </c>
      <c r="G107" s="874" t="s">
        <v>0</v>
      </c>
      <c r="H107" s="876"/>
      <c r="I107" s="877"/>
      <c r="J107" s="1619" t="str">
        <f>T107 &amp; CHAR(10) &amp; T108 &amp; CHAR(10) &amp; T109 &amp; CHAR(10) &amp; T110 &amp; CHAR(10) &amp; T111 &amp; CHAR(10)</f>
        <v xml:space="preserve">混凝土總量:0m3
140占比:0%
210占比:0%
280占比:0%
</v>
      </c>
      <c r="K107" s="1622" t="s">
        <v>4266</v>
      </c>
      <c r="L107" s="927" t="str">
        <f t="shared" ref="L107:L113" si="6">C126</f>
        <v>清運，工區內二次搬運，人工</v>
      </c>
      <c r="M107" s="84"/>
      <c r="N107" s="84" t="str">
        <f t="shared" si="1"/>
        <v>-</v>
      </c>
      <c r="O107" s="84" t="str">
        <f t="shared" si="2"/>
        <v>M3</v>
      </c>
      <c r="P107" s="84" t="str">
        <f t="shared" si="3"/>
        <v>-</v>
      </c>
      <c r="Q107" s="84">
        <f t="shared" si="4"/>
        <v>0</v>
      </c>
      <c r="R107" s="83"/>
      <c r="S107" s="83"/>
      <c r="T107" s="83" t="str">
        <f>"混凝土總量:"&amp;SUM(N108:N110)&amp;"m3"</f>
        <v>混凝土總量:0m3</v>
      </c>
      <c r="U107" s="53"/>
      <c r="V107" s="50" t="s">
        <v>3677</v>
      </c>
      <c r="W107" s="52">
        <f>R9</f>
        <v>0</v>
      </c>
      <c r="X107" s="50" t="s">
        <v>4305</v>
      </c>
      <c r="Y107" s="50">
        <f>IF(W107="","",W107*0.1)</f>
        <v>0</v>
      </c>
      <c r="Z107" s="62"/>
      <c r="AA107" s="38"/>
      <c r="AB107" s="38"/>
      <c r="AC107" s="38"/>
      <c r="AD107" s="38"/>
      <c r="AE107" s="37"/>
    </row>
    <row r="108" spans="1:31">
      <c r="A108" s="1611"/>
      <c r="B108" s="874"/>
      <c r="C108" s="875" t="s">
        <v>3636</v>
      </c>
      <c r="D108" s="929"/>
      <c r="E108" s="934" t="s">
        <v>2931</v>
      </c>
      <c r="F108" s="874" t="str">
        <f t="shared" si="5"/>
        <v>-</v>
      </c>
      <c r="G108" s="874" t="s">
        <v>0</v>
      </c>
      <c r="H108" s="876"/>
      <c r="I108" s="877"/>
      <c r="J108" s="1620"/>
      <c r="K108" s="1623"/>
      <c r="L108" s="927" t="str">
        <f t="shared" si="6"/>
        <v>結構用混凝土，預拌，140kgf/cm2</v>
      </c>
      <c r="M108" s="84"/>
      <c r="N108" s="84" t="str">
        <f t="shared" si="1"/>
        <v>-</v>
      </c>
      <c r="O108" s="84" t="str">
        <f t="shared" si="2"/>
        <v>M3</v>
      </c>
      <c r="P108" s="84" t="str">
        <f t="shared" si="3"/>
        <v>-</v>
      </c>
      <c r="Q108" s="84">
        <f t="shared" si="4"/>
        <v>0</v>
      </c>
      <c r="R108" s="83"/>
      <c r="S108" s="83"/>
      <c r="T108" s="83" t="str">
        <f>IF(N108="-","140占比:0%","140占比:"&amp;ROUND((N108/SUM(N107:N109))*100,2)&amp;"%")</f>
        <v>140占比:0%</v>
      </c>
      <c r="U108" s="53"/>
      <c r="V108" s="53" t="s">
        <v>4197</v>
      </c>
      <c r="W108" s="53"/>
      <c r="X108" s="53" t="s">
        <v>2910</v>
      </c>
      <c r="Y108" s="53" t="s">
        <v>4261</v>
      </c>
      <c r="Z108" s="62"/>
      <c r="AA108" s="38"/>
      <c r="AB108" s="38"/>
      <c r="AC108" s="38"/>
      <c r="AD108" s="38"/>
      <c r="AE108" s="37"/>
    </row>
    <row r="109" spans="1:31" ht="21">
      <c r="A109" s="1611"/>
      <c r="B109" s="874"/>
      <c r="C109" s="875" t="s">
        <v>4011</v>
      </c>
      <c r="D109" s="929"/>
      <c r="E109" s="934" t="s">
        <v>2931</v>
      </c>
      <c r="F109" s="874" t="str">
        <f t="shared" si="5"/>
        <v>-</v>
      </c>
      <c r="G109" s="874" t="s">
        <v>0</v>
      </c>
      <c r="H109" s="876"/>
      <c r="I109" s="877"/>
      <c r="J109" s="1620"/>
      <c r="K109" s="1623"/>
      <c r="L109" s="927" t="str">
        <f t="shared" si="6"/>
        <v>結構用混凝土，預拌，210kgf/cm2</v>
      </c>
      <c r="M109" s="84"/>
      <c r="N109" s="84" t="str">
        <f t="shared" si="1"/>
        <v>-</v>
      </c>
      <c r="O109" s="84" t="str">
        <f t="shared" si="2"/>
        <v>M3</v>
      </c>
      <c r="P109" s="84" t="str">
        <f t="shared" si="3"/>
        <v>-</v>
      </c>
      <c r="Q109" s="84">
        <f t="shared" si="4"/>
        <v>0</v>
      </c>
      <c r="R109" s="83"/>
      <c r="S109" s="83"/>
      <c r="T109" s="83" t="str">
        <f>IF(N109="-","210占比:0%","210占比:"&amp;ROUND((N109/SUM(N108:N110))*100,2)&amp;"%")</f>
        <v>210占比:0%</v>
      </c>
      <c r="U109" s="53"/>
      <c r="V109" s="53"/>
      <c r="W109" s="53"/>
      <c r="X109" s="53"/>
      <c r="Y109" s="62"/>
      <c r="Z109" s="53">
        <v>7</v>
      </c>
      <c r="AA109" s="37" t="s">
        <v>2811</v>
      </c>
      <c r="AB109" s="37" t="s">
        <v>1445</v>
      </c>
      <c r="AC109" s="38" t="str">
        <f>AD109&amp;"kg"</f>
        <v>0kg</v>
      </c>
      <c r="AD109" s="38">
        <f>IFERROR(VLOOKUP(AB109,$C$3:$H$55,4,FALSE),0)</f>
        <v>0</v>
      </c>
      <c r="AE109" s="37" t="str">
        <f>IF(AD109&gt;=3000,1,"免驗")</f>
        <v>免驗</v>
      </c>
    </row>
    <row r="110" spans="1:31" ht="21">
      <c r="A110" s="1611"/>
      <c r="B110" s="874"/>
      <c r="C110" s="875" t="s">
        <v>3638</v>
      </c>
      <c r="D110" s="929"/>
      <c r="E110" s="934" t="s">
        <v>2931</v>
      </c>
      <c r="F110" s="874" t="str">
        <f t="shared" si="5"/>
        <v>-</v>
      </c>
      <c r="G110" s="874" t="s">
        <v>0</v>
      </c>
      <c r="H110" s="876"/>
      <c r="I110" s="877"/>
      <c r="J110" s="1620"/>
      <c r="K110" s="1623"/>
      <c r="L110" s="927" t="str">
        <f t="shared" si="6"/>
        <v>結構用混凝土，預拌，280kgf/cm2</v>
      </c>
      <c r="M110" s="84"/>
      <c r="N110" s="84" t="str">
        <f>IFERROR(VLOOKUP(L110,$C$102:$I$190,4,FALSE)," ")</f>
        <v>-</v>
      </c>
      <c r="O110" s="84" t="str">
        <f>IFERROR(VLOOKUP(L110,$C$102:$I$190,5,FALSE)," ")</f>
        <v>M3</v>
      </c>
      <c r="P110" s="84" t="str">
        <f t="shared" si="3"/>
        <v>-</v>
      </c>
      <c r="Q110" s="84">
        <f t="shared" si="4"/>
        <v>0</v>
      </c>
      <c r="R110" s="83"/>
      <c r="S110" s="83"/>
      <c r="T110" s="83" t="str">
        <f>IF(N110="-","280占比:0%","280占比:"&amp;ROUND((N110/SUM(N108:N110))*100,2)&amp;"%")</f>
        <v>280占比:0%</v>
      </c>
      <c r="U110" s="53"/>
      <c r="V110" s="53"/>
      <c r="W110" s="53"/>
      <c r="X110" s="53"/>
      <c r="Y110" s="62"/>
      <c r="Z110" s="53"/>
      <c r="AA110" s="37"/>
      <c r="AB110" s="37" t="s">
        <v>2830</v>
      </c>
      <c r="AC110" s="38" t="str">
        <f>AD110&amp;"kg"</f>
        <v>0kg</v>
      </c>
      <c r="AD110" s="38">
        <f>IFERROR(VLOOKUP(AB110,$C$3:$H$55,4,FALSE),0)</f>
        <v>0</v>
      </c>
      <c r="AE110" s="37" t="str">
        <f>IF(AD110&gt;=3000,1,"免驗")</f>
        <v>免驗</v>
      </c>
    </row>
    <row r="111" spans="1:31" ht="42">
      <c r="A111" s="1611"/>
      <c r="B111" s="874"/>
      <c r="C111" s="877" t="s">
        <v>1083</v>
      </c>
      <c r="D111" s="928"/>
      <c r="E111" s="934" t="s">
        <v>2931</v>
      </c>
      <c r="F111" s="874" t="str">
        <f t="shared" si="5"/>
        <v>-</v>
      </c>
      <c r="G111" s="874" t="s">
        <v>0</v>
      </c>
      <c r="H111" s="878" t="s">
        <v>4255</v>
      </c>
      <c r="I111" s="877" t="s">
        <v>4205</v>
      </c>
      <c r="J111" s="1620"/>
      <c r="K111" s="1623"/>
      <c r="L111" s="927" t="str">
        <f t="shared" si="6"/>
        <v>控制性低強度回填材料及澆置</v>
      </c>
      <c r="M111" s="84"/>
      <c r="N111" s="84" t="str">
        <f>IFERROR(VLOOKUP(L111,$C$102:$I$190,4,FALSE)," ")</f>
        <v>-</v>
      </c>
      <c r="O111" s="84" t="str">
        <f>IFERROR(VLOOKUP(L111,$C$102:$I$190,5,FALSE)," ")</f>
        <v>M3</v>
      </c>
      <c r="P111" s="84" t="str">
        <f t="shared" si="3"/>
        <v>-</v>
      </c>
      <c r="Q111" s="84">
        <f t="shared" si="4"/>
        <v>0</v>
      </c>
      <c r="R111" s="83"/>
      <c r="S111" s="83"/>
      <c r="T111" s="83"/>
      <c r="U111" s="53"/>
      <c r="V111" s="53"/>
      <c r="W111" s="53"/>
      <c r="X111" s="53"/>
      <c r="Y111" s="62"/>
      <c r="Z111" s="53"/>
      <c r="AA111" s="37">
        <v>14</v>
      </c>
      <c r="AB111" s="37">
        <v>12</v>
      </c>
      <c r="AC111" s="37"/>
      <c r="AD111" s="38"/>
      <c r="AE111" s="37"/>
    </row>
    <row r="112" spans="1:31" ht="21">
      <c r="A112" s="1611"/>
      <c r="B112" s="874"/>
      <c r="C112" s="877" t="s">
        <v>543</v>
      </c>
      <c r="D112" s="928"/>
      <c r="E112" s="934" t="s">
        <v>2931</v>
      </c>
      <c r="F112" s="874" t="str">
        <f t="shared" si="5"/>
        <v>-</v>
      </c>
      <c r="G112" s="874" t="s">
        <v>1</v>
      </c>
      <c r="H112" s="878" t="s">
        <v>4228</v>
      </c>
      <c r="I112" s="877" t="s">
        <v>4206</v>
      </c>
      <c r="J112" s="1620"/>
      <c r="K112" s="1623"/>
      <c r="L112" s="927" t="str">
        <f t="shared" si="6"/>
        <v>鋼筋，SD280W.</v>
      </c>
      <c r="M112" s="84"/>
      <c r="N112" s="84" t="str">
        <f>IFERROR(VLOOKUP(L112,$C$102:$I$190,4,FALSE)," ")</f>
        <v>-</v>
      </c>
      <c r="O112" s="84" t="str">
        <f>IFERROR(VLOOKUP(L112,$C$102:$I$190,5,FALSE)," ")</f>
        <v>kg</v>
      </c>
      <c r="P112" s="84" t="str">
        <f>IFERROR(VLOOKUP(L112,$C$102:$I$190,3,FALSE)," ")</f>
        <v>-</v>
      </c>
      <c r="Q112" s="84">
        <f>IFERROR(VLOOKUP(L112,$C$102:$I$190,2,FALSE)," ")</f>
        <v>0</v>
      </c>
      <c r="R112" s="83"/>
      <c r="S112" s="83"/>
      <c r="T112" s="83"/>
      <c r="U112" s="53"/>
      <c r="V112" s="53" t="s">
        <v>4357</v>
      </c>
      <c r="W112" s="53" t="s">
        <v>2858</v>
      </c>
      <c r="X112" s="53">
        <f>IF($P$8="一般瀝青",$R$8,0)</f>
        <v>0</v>
      </c>
      <c r="Y112" s="62">
        <f>X112+X113</f>
        <v>0</v>
      </c>
      <c r="Z112" s="53"/>
      <c r="AA112" s="37"/>
      <c r="AB112" s="37"/>
      <c r="AC112" s="37"/>
      <c r="AD112" s="38"/>
      <c r="AE112" s="37"/>
    </row>
    <row r="113" spans="1:31" ht="21">
      <c r="A113" s="1611"/>
      <c r="B113" s="874"/>
      <c r="C113" s="877" t="s">
        <v>26</v>
      </c>
      <c r="D113" s="928"/>
      <c r="E113" s="934" t="s">
        <v>2931</v>
      </c>
      <c r="F113" s="874" t="str">
        <f t="shared" si="5"/>
        <v>-</v>
      </c>
      <c r="G113" s="874" t="s">
        <v>1</v>
      </c>
      <c r="H113" s="878" t="s">
        <v>4228</v>
      </c>
      <c r="I113" s="877"/>
      <c r="J113" s="1621"/>
      <c r="K113" s="1624"/>
      <c r="L113" s="927" t="str">
        <f t="shared" si="6"/>
        <v>鋼筋，SD420W.</v>
      </c>
      <c r="M113" s="84"/>
      <c r="N113" s="84" t="str">
        <f>IFERROR(VLOOKUP(L113,$C$102:$I$190,4,FALSE)," ")</f>
        <v>-</v>
      </c>
      <c r="O113" s="84" t="str">
        <f>IFERROR(VLOOKUP(L113,$C$102:$I$190,5,FALSE)," ")</f>
        <v>kg</v>
      </c>
      <c r="P113" s="84" t="str">
        <f>IFERROR(VLOOKUP(L113,$C$102:$I$190,3,FALSE)," ")</f>
        <v>-</v>
      </c>
      <c r="Q113" s="84">
        <f>IFERROR(VLOOKUP(L113,$C$102:$I$190,2,FALSE)," ")</f>
        <v>0</v>
      </c>
      <c r="R113" s="83"/>
      <c r="S113" s="83"/>
      <c r="T113" s="83"/>
      <c r="U113" s="53"/>
      <c r="V113" s="53"/>
      <c r="W113" s="53" t="s">
        <v>2859</v>
      </c>
      <c r="X113" s="53">
        <f>IF($P$9="一般瀝青",$R$9,0)</f>
        <v>0</v>
      </c>
      <c r="Y113" s="62"/>
      <c r="Z113" s="53"/>
      <c r="AA113" s="37"/>
      <c r="AB113" s="37"/>
      <c r="AC113" s="37"/>
      <c r="AD113" s="38"/>
      <c r="AE113" s="37"/>
    </row>
    <row r="114" spans="1:31" ht="21">
      <c r="A114" s="1612"/>
      <c r="B114" s="874"/>
      <c r="C114" s="877" t="s">
        <v>3971</v>
      </c>
      <c r="D114" s="928"/>
      <c r="E114" s="934" t="s">
        <v>2931</v>
      </c>
      <c r="F114" s="874" t="str">
        <f t="shared" si="5"/>
        <v>-</v>
      </c>
      <c r="G114" s="874" t="s">
        <v>0</v>
      </c>
      <c r="H114" s="878" t="s">
        <v>4228</v>
      </c>
      <c r="I114" s="877" t="s">
        <v>4207</v>
      </c>
      <c r="J114" s="1625" t="str">
        <f>T114 &amp; CHAR(10) &amp; T115 &amp; CHAR(10) &amp; T116 &amp; CHAR(10) &amp; T117 &amp; CHAR(10) &amp; T118 &amp; CHAR(10) &amp; T119 &amp; CHAR(10) &amp; T120 &amp; CHAR(10) &amp; T121 &amp; CHAR(10) &amp; T122 &amp; CHAR(10) &amp; T123 &amp; CHAR(10) &amp; T124 &amp; CHAR(10) &amp; T125 &amp; CHAR(10) &amp; T126</f>
        <v xml:space="preserve">
</v>
      </c>
      <c r="K114" s="1602" t="s">
        <v>4262</v>
      </c>
      <c r="L114" s="83" t="str">
        <f t="shared" ref="L114:L127" si="7">IF($Y$102="一般案",C133,C148)</f>
        <v>瀝青混凝土面層刨除，刨除機1.2m寬，緊急搶修工程用，未含刨除料運費</v>
      </c>
      <c r="M114" s="84"/>
      <c r="N114" s="84" t="str">
        <f t="shared" si="1"/>
        <v>-</v>
      </c>
      <c r="O114" s="84" t="str">
        <f t="shared" si="2"/>
        <v>處</v>
      </c>
      <c r="P114" s="84" t="str">
        <f t="shared" si="3"/>
        <v>-</v>
      </c>
      <c r="Q114" s="84">
        <f t="shared" si="4"/>
        <v>0</v>
      </c>
      <c r="R114" s="83"/>
      <c r="S114" s="83"/>
      <c r="T114" s="83"/>
      <c r="U114" s="53"/>
      <c r="X114" s="53">
        <f>IF($P$9="一般瀝青",$R$9,0)</f>
        <v>0</v>
      </c>
      <c r="Y114" s="62"/>
      <c r="Z114" s="53">
        <v>8</v>
      </c>
      <c r="AA114" s="37" t="s">
        <v>2812</v>
      </c>
      <c r="AB114" s="37" t="s">
        <v>2828</v>
      </c>
      <c r="AC114" s="38" t="str">
        <f>AD114&amp;"kg"</f>
        <v>0kg</v>
      </c>
      <c r="AD114" s="38">
        <f>IFERROR(VLOOKUP(AB114,$C$3:$H$55,4,FALSE),0)</f>
        <v>0</v>
      </c>
      <c r="AE114" s="37" t="str">
        <f>IF(AD114&gt;=3000,1,"免驗")</f>
        <v>免驗</v>
      </c>
    </row>
    <row r="115" spans="1:31">
      <c r="A115" s="873"/>
      <c r="B115" s="832"/>
      <c r="C115" s="868"/>
      <c r="D115" s="863"/>
      <c r="E115" s="935"/>
      <c r="F115" s="832"/>
      <c r="G115" s="832"/>
      <c r="H115" s="860"/>
      <c r="I115" s="868"/>
      <c r="J115" s="1626"/>
      <c r="K115" s="1603"/>
      <c r="L115" s="83" t="str">
        <f t="shared" si="7"/>
        <v>瀝青混凝土面層刨除，刨除機1.2m寬，緊急搶修工程用，未含刨除料運費，夜間施工</v>
      </c>
      <c r="M115" s="84"/>
      <c r="N115" s="84" t="str">
        <f t="shared" si="1"/>
        <v>-</v>
      </c>
      <c r="O115" s="84" t="str">
        <f t="shared" si="2"/>
        <v>處</v>
      </c>
      <c r="P115" s="84" t="str">
        <f t="shared" si="3"/>
        <v>-</v>
      </c>
      <c r="Q115" s="84">
        <f t="shared" si="4"/>
        <v>0</v>
      </c>
      <c r="R115" s="83"/>
      <c r="S115" s="83"/>
      <c r="T115" s="83"/>
      <c r="U115" s="53"/>
      <c r="V115" s="53" t="s">
        <v>4358</v>
      </c>
      <c r="W115" s="53" t="s">
        <v>2858</v>
      </c>
      <c r="X115" s="53">
        <f>IF($P$8="再生瀝青",$R$8,)</f>
        <v>0</v>
      </c>
      <c r="Y115" s="62">
        <f>X115+X116</f>
        <v>0</v>
      </c>
      <c r="Z115" s="53"/>
      <c r="AA115" s="37"/>
      <c r="AB115" s="37" t="s">
        <v>2829</v>
      </c>
      <c r="AC115" s="38" t="str">
        <f>AD115&amp;"kg"</f>
        <v>0kg</v>
      </c>
      <c r="AD115" s="38">
        <f>IFERROR(VLOOKUP(AB115,$C$3:$H$55,4,FALSE),0)</f>
        <v>0</v>
      </c>
      <c r="AE115" s="37" t="str">
        <f>IF(AD115&gt;=3000,1,"免驗")</f>
        <v>免驗</v>
      </c>
    </row>
    <row r="116" spans="1:31" ht="52.5">
      <c r="A116" s="1607"/>
      <c r="B116" s="882"/>
      <c r="C116" s="883" t="s">
        <v>2512</v>
      </c>
      <c r="D116" s="930"/>
      <c r="E116" s="936" t="s">
        <v>2931</v>
      </c>
      <c r="F116" s="882" t="str">
        <f t="shared" ref="F116:F121" si="8">IFERROR(VLOOKUP(C116,$C$3:$H$60,4,FALSE),"-")</f>
        <v>-</v>
      </c>
      <c r="G116" s="882" t="s">
        <v>2238</v>
      </c>
      <c r="H116" s="884" t="s">
        <v>4227</v>
      </c>
      <c r="I116" s="883" t="s">
        <v>4243</v>
      </c>
      <c r="J116" s="1626"/>
      <c r="K116" s="1603"/>
      <c r="L116" s="83" t="str">
        <f t="shared" si="7"/>
        <v>瀝青混凝土面層刨除，刨除料運費.</v>
      </c>
      <c r="M116" s="84"/>
      <c r="N116" s="84" t="str">
        <f t="shared" si="1"/>
        <v>-</v>
      </c>
      <c r="O116" s="84" t="str">
        <f t="shared" si="2"/>
        <v>M3</v>
      </c>
      <c r="P116" s="84" t="str">
        <f t="shared" si="3"/>
        <v>-</v>
      </c>
      <c r="Q116" s="84">
        <f t="shared" si="4"/>
        <v>0</v>
      </c>
      <c r="R116" s="83"/>
      <c r="S116" s="83"/>
      <c r="T116" s="83"/>
      <c r="U116" s="53"/>
      <c r="W116" s="53" t="s">
        <v>2859</v>
      </c>
      <c r="X116" s="53">
        <f>IF($P$9="再生瀝青",$R$9,0)</f>
        <v>0</v>
      </c>
      <c r="Z116" s="53"/>
      <c r="AA116" s="37"/>
      <c r="AB116" s="37"/>
      <c r="AC116" s="37"/>
      <c r="AD116" s="37"/>
      <c r="AE116" s="37"/>
    </row>
    <row r="117" spans="1:31" ht="52.5">
      <c r="A117" s="1608"/>
      <c r="B117" s="882"/>
      <c r="C117" s="883" t="s">
        <v>2515</v>
      </c>
      <c r="D117" s="930"/>
      <c r="E117" s="936" t="s">
        <v>2931</v>
      </c>
      <c r="F117" s="882" t="str">
        <f t="shared" si="8"/>
        <v>-</v>
      </c>
      <c r="G117" s="882" t="s">
        <v>2238</v>
      </c>
      <c r="H117" s="884" t="s">
        <v>4227</v>
      </c>
      <c r="I117" s="883" t="s">
        <v>4243</v>
      </c>
      <c r="J117" s="1626"/>
      <c r="K117" s="1603"/>
      <c r="L117" s="83" t="str">
        <f t="shared" si="7"/>
        <v>瀝青混凝土舖面，粗粒料9.5mm，針入度60-70，緊急搶修工程用，舖築及滾壓另計</v>
      </c>
      <c r="M117" s="84"/>
      <c r="N117" s="84" t="str">
        <f t="shared" si="1"/>
        <v>-</v>
      </c>
      <c r="O117" s="84" t="str">
        <f t="shared" si="2"/>
        <v>M3</v>
      </c>
      <c r="P117" s="84" t="str">
        <f t="shared" si="3"/>
        <v>-</v>
      </c>
      <c r="Q117" s="84">
        <f t="shared" si="4"/>
        <v>0</v>
      </c>
      <c r="R117" s="83"/>
      <c r="S117" s="83"/>
      <c r="T117" s="83"/>
      <c r="U117" s="53"/>
      <c r="X117" s="53">
        <f>IF($P$9="再生瀝青",$R$9,0)</f>
        <v>0</v>
      </c>
      <c r="Y117" s="62" t="str">
        <f>IF(Y118=0,"-",Y118)</f>
        <v>-</v>
      </c>
      <c r="Z117" s="53">
        <v>9</v>
      </c>
      <c r="AA117" s="37" t="s">
        <v>2822</v>
      </c>
      <c r="AB117" s="37" t="s">
        <v>2816</v>
      </c>
      <c r="AC117" s="38" t="str">
        <f>AD117&amp;"支"</f>
        <v>0支</v>
      </c>
      <c r="AD117" s="38">
        <f>IFERROR(VLOOKUP(AB117,$C$3:$H$55,4,FALSE),0)</f>
        <v>0</v>
      </c>
      <c r="AE117" s="37" t="str">
        <f>IF(AND(AD117&gt;=20,AD117&lt;200),1,
IF(AND(AD117&gt;=200,AD117&lt;1000),2,"免驗"))</f>
        <v>免驗</v>
      </c>
    </row>
    <row r="118" spans="1:31" ht="42">
      <c r="A118" s="1608"/>
      <c r="B118" s="882"/>
      <c r="C118" s="883" t="s">
        <v>1083</v>
      </c>
      <c r="D118" s="930"/>
      <c r="E118" s="936" t="s">
        <v>2931</v>
      </c>
      <c r="F118" s="882" t="str">
        <f t="shared" si="8"/>
        <v>-</v>
      </c>
      <c r="G118" s="882" t="s">
        <v>0</v>
      </c>
      <c r="H118" s="884" t="s">
        <v>4255</v>
      </c>
      <c r="I118" s="883" t="s">
        <v>4205</v>
      </c>
      <c r="J118" s="1626"/>
      <c r="K118" s="1603"/>
      <c r="L118" s="83" t="str">
        <f t="shared" si="7"/>
        <v>瀝青混凝土舖面，粗粒料19.0mm，針入度60-70，緊急搶修工程用，舖築及滾壓另計</v>
      </c>
      <c r="M118" s="84"/>
      <c r="N118" s="84" t="str">
        <f t="shared" si="1"/>
        <v>-</v>
      </c>
      <c r="O118" s="84" t="str">
        <f t="shared" si="2"/>
        <v>M3</v>
      </c>
      <c r="P118" s="84" t="str">
        <f t="shared" si="3"/>
        <v>-</v>
      </c>
      <c r="Q118" s="84">
        <f t="shared" si="4"/>
        <v>0</v>
      </c>
      <c r="R118" s="83"/>
      <c r="S118" s="83"/>
      <c r="T118" s="83"/>
      <c r="U118" s="53"/>
      <c r="V118" s="53" t="s">
        <v>4359</v>
      </c>
      <c r="W118" s="53" t="s">
        <v>2858</v>
      </c>
      <c r="X118" s="53">
        <f>IF($P$8="改質III型",$R$8,0)</f>
        <v>0</v>
      </c>
      <c r="Y118" s="62">
        <f>X118*0.05+X119*0.1</f>
        <v>0</v>
      </c>
      <c r="Z118" s="53"/>
      <c r="AA118" s="37"/>
      <c r="AB118" s="37" t="s">
        <v>2827</v>
      </c>
      <c r="AC118" s="38" t="str">
        <f>AD118&amp;"支"</f>
        <v>0支</v>
      </c>
      <c r="AD118" s="38">
        <f>IFERROR(VLOOKUP(AB118,$C$3:$H$55,4,FALSE),0)</f>
        <v>0</v>
      </c>
      <c r="AE118" s="37" t="str">
        <f>IF(AND(AD118&gt;=20,AD118&lt;200),1,
IF(AND(AD118&gt;=200,AD118&lt;1000),2,"免驗"))</f>
        <v>免驗</v>
      </c>
    </row>
    <row r="119" spans="1:31" ht="21">
      <c r="A119" s="1608"/>
      <c r="B119" s="882"/>
      <c r="C119" s="883" t="s">
        <v>543</v>
      </c>
      <c r="D119" s="930"/>
      <c r="E119" s="936" t="s">
        <v>2931</v>
      </c>
      <c r="F119" s="882" t="str">
        <f t="shared" si="8"/>
        <v>-</v>
      </c>
      <c r="G119" s="882" t="s">
        <v>1</v>
      </c>
      <c r="H119" s="884" t="s">
        <v>4228</v>
      </c>
      <c r="I119" s="883" t="s">
        <v>4206</v>
      </c>
      <c r="J119" s="1626"/>
      <c r="K119" s="1603"/>
      <c r="L119" s="83" t="str">
        <f t="shared" si="7"/>
        <v>瀝青混凝土面，密級配改質瀝青混凝土，粗粒料19mm，改質Ⅲ型，緊急搶修工程用，舖築及滾壓另計</v>
      </c>
      <c r="M119" s="84"/>
      <c r="N119" s="84" t="str">
        <f t="shared" si="1"/>
        <v>-</v>
      </c>
      <c r="O119" s="84" t="str">
        <f t="shared" si="2"/>
        <v>M3</v>
      </c>
      <c r="P119" s="84" t="str">
        <f t="shared" si="3"/>
        <v>-</v>
      </c>
      <c r="Q119" s="84">
        <f t="shared" si="4"/>
        <v>0</v>
      </c>
      <c r="R119" s="83"/>
      <c r="S119" s="83"/>
      <c r="T119" s="83"/>
      <c r="U119" s="53"/>
      <c r="V119" s="53"/>
      <c r="W119" s="53" t="s">
        <v>2859</v>
      </c>
      <c r="X119" s="53">
        <f>IF($P$9="改質III型",$R$9,0)</f>
        <v>0</v>
      </c>
      <c r="Y119" s="62"/>
      <c r="Z119" s="53"/>
      <c r="AA119" s="37">
        <v>16</v>
      </c>
      <c r="AB119" s="37">
        <v>2</v>
      </c>
      <c r="AC119" s="38"/>
      <c r="AD119" s="38"/>
      <c r="AE119" s="37"/>
    </row>
    <row r="120" spans="1:31" ht="21">
      <c r="A120" s="1608"/>
      <c r="B120" s="882"/>
      <c r="C120" s="883" t="s">
        <v>26</v>
      </c>
      <c r="D120" s="930"/>
      <c r="E120" s="936" t="s">
        <v>2931</v>
      </c>
      <c r="F120" s="882" t="str">
        <f t="shared" si="8"/>
        <v>-</v>
      </c>
      <c r="G120" s="882" t="s">
        <v>1</v>
      </c>
      <c r="H120" s="884" t="s">
        <v>4228</v>
      </c>
      <c r="I120" s="883"/>
      <c r="J120" s="1626"/>
      <c r="K120" s="1603"/>
      <c r="L120" s="83" t="str">
        <f t="shared" si="7"/>
        <v>瀝青混凝土面，再生粒料，粗粒料9.5mm，緊急搶修工程用，舖築及滾壓另計</v>
      </c>
      <c r="M120" s="84"/>
      <c r="N120" s="84" t="str">
        <f t="shared" si="1"/>
        <v>-</v>
      </c>
      <c r="O120" s="84" t="str">
        <f t="shared" si="2"/>
        <v>M3</v>
      </c>
      <c r="P120" s="84" t="str">
        <f t="shared" si="3"/>
        <v>-</v>
      </c>
      <c r="Q120" s="84">
        <f t="shared" si="4"/>
        <v>0</v>
      </c>
      <c r="R120" s="83"/>
      <c r="S120" s="83"/>
      <c r="T120" s="83"/>
      <c r="U120" s="53"/>
      <c r="V120" s="53" t="s">
        <v>4360</v>
      </c>
      <c r="W120" s="53" t="s">
        <v>2858</v>
      </c>
      <c r="X120" s="53">
        <f>IF($P$8="開挖臨補",$R$8,0)</f>
        <v>0</v>
      </c>
      <c r="Y120" s="62"/>
      <c r="Z120" s="53">
        <v>10</v>
      </c>
      <c r="AA120" s="37" t="s">
        <v>2826</v>
      </c>
      <c r="AB120" s="37" t="s">
        <v>2817</v>
      </c>
      <c r="AC120" s="38" t="str">
        <f t="shared" ref="AC120:AC125" si="9">AD120&amp;"支"</f>
        <v>0支</v>
      </c>
      <c r="AD120" s="38">
        <f t="shared" ref="AD120:AD125" si="10">IFERROR(VLOOKUP(AB120,$C$3:$H$55,4,FALSE),0)</f>
        <v>0</v>
      </c>
      <c r="AE120" s="37" t="str">
        <f t="shared" ref="AE120:AE125" si="11">IF(AND(AD120&gt;=20,AD120&lt;100),1,
IF(AND(AD120&gt;=100,AD120&lt;1000),2,"免驗"))</f>
        <v>免驗</v>
      </c>
    </row>
    <row r="121" spans="1:31" ht="21">
      <c r="A121" s="1609"/>
      <c r="B121" s="882"/>
      <c r="C121" s="883" t="s">
        <v>3971</v>
      </c>
      <c r="D121" s="930"/>
      <c r="E121" s="936" t="s">
        <v>2931</v>
      </c>
      <c r="F121" s="882" t="str">
        <f t="shared" si="8"/>
        <v>-</v>
      </c>
      <c r="G121" s="882" t="s">
        <v>0</v>
      </c>
      <c r="H121" s="884" t="s">
        <v>4228</v>
      </c>
      <c r="I121" s="883" t="s">
        <v>4207</v>
      </c>
      <c r="J121" s="1626"/>
      <c r="K121" s="1603"/>
      <c r="L121" s="83" t="str">
        <f t="shared" si="7"/>
        <v>瀝青混凝土面，再生粒料，粗粒料19.0mm，緊急搶修工程用，舖築及滾壓另計</v>
      </c>
      <c r="M121" s="84"/>
      <c r="N121" s="84" t="str">
        <f t="shared" si="1"/>
        <v>-</v>
      </c>
      <c r="O121" s="84" t="str">
        <f t="shared" si="2"/>
        <v>M3</v>
      </c>
      <c r="P121" s="84" t="str">
        <f t="shared" si="3"/>
        <v>-</v>
      </c>
      <c r="Q121" s="84">
        <f t="shared" si="4"/>
        <v>0</v>
      </c>
      <c r="R121" s="83"/>
      <c r="S121" s="83"/>
      <c r="T121" s="83"/>
      <c r="U121" s="53"/>
      <c r="V121" s="53"/>
      <c r="W121" s="53" t="s">
        <v>2859</v>
      </c>
      <c r="X121" s="53">
        <f>IF($P$9="開挖臨補",$R$9,0)</f>
        <v>0</v>
      </c>
      <c r="Y121" s="62"/>
      <c r="Z121" s="53"/>
      <c r="AA121" s="37"/>
      <c r="AB121" s="37" t="s">
        <v>2818</v>
      </c>
      <c r="AC121" s="38" t="str">
        <f t="shared" si="9"/>
        <v>0支</v>
      </c>
      <c r="AD121" s="38">
        <f t="shared" si="10"/>
        <v>0</v>
      </c>
      <c r="AE121" s="37" t="str">
        <f t="shared" si="11"/>
        <v>免驗</v>
      </c>
    </row>
    <row r="122" spans="1:31">
      <c r="A122" s="902"/>
      <c r="B122" s="882"/>
      <c r="C122" s="883"/>
      <c r="D122" s="930"/>
      <c r="E122" s="936"/>
      <c r="F122" s="882"/>
      <c r="G122" s="882"/>
      <c r="H122" s="884"/>
      <c r="I122" s="883"/>
      <c r="J122" s="1626"/>
      <c r="K122" s="1603"/>
      <c r="L122" s="83" t="str">
        <f t="shared" si="7"/>
        <v>瀝青混凝土舖面，舖築及滾壓，緊急搶修工程用，鋪設面積≦50m2適用</v>
      </c>
      <c r="M122" s="84"/>
      <c r="N122" s="84" t="str">
        <f t="shared" si="1"/>
        <v>-</v>
      </c>
      <c r="O122" s="84" t="str">
        <f t="shared" si="2"/>
        <v>處</v>
      </c>
      <c r="P122" s="84" t="str">
        <f t="shared" si="3"/>
        <v>1</v>
      </c>
      <c r="Q122" s="84">
        <f t="shared" si="4"/>
        <v>0</v>
      </c>
      <c r="R122" s="83"/>
      <c r="S122" s="83"/>
      <c r="T122" s="83"/>
      <c r="U122" s="53"/>
      <c r="Y122" s="62"/>
      <c r="Z122" s="53"/>
      <c r="AA122" s="37"/>
      <c r="AB122" s="37" t="s">
        <v>2823</v>
      </c>
      <c r="AC122" s="38" t="str">
        <f t="shared" si="9"/>
        <v>0支</v>
      </c>
      <c r="AD122" s="38">
        <f t="shared" si="10"/>
        <v>0</v>
      </c>
      <c r="AE122" s="37" t="str">
        <f t="shared" si="11"/>
        <v>免驗</v>
      </c>
    </row>
    <row r="123" spans="1:31">
      <c r="A123" s="902"/>
      <c r="B123" s="882"/>
      <c r="C123" s="883"/>
      <c r="D123" s="930"/>
      <c r="E123" s="936"/>
      <c r="F123" s="882"/>
      <c r="G123" s="882"/>
      <c r="H123" s="884"/>
      <c r="I123" s="883"/>
      <c r="J123" s="1626"/>
      <c r="K123" s="1603"/>
      <c r="L123" s="83" t="str">
        <f t="shared" si="7"/>
        <v>瀝青混凝土舖面，舖築及滾壓，緊急搶修工程用，鋪設面積＞50m2適用</v>
      </c>
      <c r="M123" s="84"/>
      <c r="N123" s="84" t="str">
        <f t="shared" si="1"/>
        <v>-</v>
      </c>
      <c r="O123" s="84" t="str">
        <f t="shared" si="2"/>
        <v>處</v>
      </c>
      <c r="P123" s="84" t="str">
        <f t="shared" si="3"/>
        <v>-</v>
      </c>
      <c r="Q123" s="84">
        <f t="shared" si="4"/>
        <v>0</v>
      </c>
      <c r="R123" s="83"/>
      <c r="S123" s="83"/>
      <c r="T123" s="83"/>
      <c r="U123" s="53"/>
      <c r="V123" s="53"/>
      <c r="Y123" s="62"/>
      <c r="Z123" s="53">
        <v>11</v>
      </c>
      <c r="AA123" s="37" t="s">
        <v>2825</v>
      </c>
      <c r="AB123" s="37" t="s">
        <v>2819</v>
      </c>
      <c r="AC123" s="38" t="str">
        <f t="shared" si="9"/>
        <v>0支</v>
      </c>
      <c r="AD123" s="38">
        <f t="shared" si="10"/>
        <v>0</v>
      </c>
      <c r="AE123" s="37" t="str">
        <f t="shared" si="11"/>
        <v>免驗</v>
      </c>
    </row>
    <row r="124" spans="1:31">
      <c r="A124" s="873"/>
      <c r="B124" s="832"/>
      <c r="C124" s="868"/>
      <c r="D124" s="863"/>
      <c r="E124" s="935"/>
      <c r="F124" s="832"/>
      <c r="G124" s="832"/>
      <c r="H124" s="860"/>
      <c r="I124" s="868"/>
      <c r="J124" s="1626"/>
      <c r="K124" s="1603"/>
      <c r="L124" s="83" t="str">
        <f t="shared" si="7"/>
        <v>瀝青混凝土舖面，舖築及滾壓，緊急搶修工程用，鋪設面積≦50m2適用，夜間</v>
      </c>
      <c r="M124" s="84"/>
      <c r="N124" s="84" t="str">
        <f t="shared" si="1"/>
        <v>-</v>
      </c>
      <c r="O124" s="84" t="str">
        <f t="shared" si="2"/>
        <v>處</v>
      </c>
      <c r="P124" s="84" t="str">
        <f t="shared" si="3"/>
        <v>1</v>
      </c>
      <c r="Q124" s="84">
        <f t="shared" si="4"/>
        <v>0</v>
      </c>
      <c r="R124" s="83"/>
      <c r="S124" s="83"/>
      <c r="T124" s="83"/>
      <c r="U124" s="53"/>
      <c r="Y124" s="62"/>
      <c r="Z124" s="53"/>
      <c r="AA124" s="37"/>
      <c r="AB124" s="37" t="s">
        <v>2824</v>
      </c>
      <c r="AC124" s="38" t="str">
        <f t="shared" si="9"/>
        <v>0支</v>
      </c>
      <c r="AD124" s="38">
        <f t="shared" si="10"/>
        <v>0</v>
      </c>
      <c r="AE124" s="37" t="str">
        <f t="shared" si="11"/>
        <v>免驗</v>
      </c>
    </row>
    <row r="125" spans="1:31" ht="63">
      <c r="A125" s="1604"/>
      <c r="B125" s="887"/>
      <c r="C125" s="888"/>
      <c r="D125" s="901"/>
      <c r="E125" s="937"/>
      <c r="F125" s="887"/>
      <c r="G125" s="887"/>
      <c r="H125" s="889" t="s">
        <v>4212</v>
      </c>
      <c r="I125" s="888" t="s">
        <v>4208</v>
      </c>
      <c r="J125" s="1626"/>
      <c r="K125" s="1603"/>
      <c r="L125" s="83" t="str">
        <f t="shared" si="7"/>
        <v>瀝青混凝土舖面，舖築及滾壓，緊急搶修工程用，鋪設面積＞50m2適用，夜間</v>
      </c>
      <c r="M125" s="84"/>
      <c r="N125" s="84" t="str">
        <f t="shared" si="1"/>
        <v>-</v>
      </c>
      <c r="O125" s="84" t="str">
        <f t="shared" si="2"/>
        <v>處</v>
      </c>
      <c r="P125" s="84" t="str">
        <f t="shared" si="3"/>
        <v>-</v>
      </c>
      <c r="Q125" s="84">
        <f t="shared" si="4"/>
        <v>0</v>
      </c>
      <c r="R125" s="83"/>
      <c r="S125" s="83"/>
      <c r="T125" s="83"/>
      <c r="U125" s="53"/>
      <c r="Y125" s="62"/>
      <c r="Z125" s="53"/>
      <c r="AA125" s="37">
        <v>17</v>
      </c>
      <c r="AB125" s="37">
        <v>12</v>
      </c>
      <c r="AC125" s="38" t="str">
        <f t="shared" si="9"/>
        <v>0支</v>
      </c>
      <c r="AD125" s="38">
        <f t="shared" si="10"/>
        <v>0</v>
      </c>
      <c r="AE125" s="37" t="str">
        <f t="shared" si="11"/>
        <v>免驗</v>
      </c>
    </row>
    <row r="126" spans="1:31" ht="42">
      <c r="A126" s="1605"/>
      <c r="B126" s="887"/>
      <c r="C126" s="888" t="s">
        <v>4064</v>
      </c>
      <c r="D126" s="901"/>
      <c r="E126" s="937" t="s">
        <v>2931</v>
      </c>
      <c r="F126" s="887" t="str">
        <f t="shared" ref="F126:F145" si="12">IFERROR(VLOOKUP(C126,$C$3:$H$60,4,FALSE),"-")</f>
        <v>-</v>
      </c>
      <c r="G126" s="887" t="s">
        <v>0</v>
      </c>
      <c r="H126" s="890" t="s">
        <v>4211</v>
      </c>
      <c r="I126" s="888" t="s">
        <v>4209</v>
      </c>
      <c r="J126" s="1626"/>
      <c r="K126" s="1603"/>
      <c r="L126" s="83" t="str">
        <f t="shared" si="7"/>
        <v>搬運費，AC施工機械(面積2000m2以下適用)</v>
      </c>
      <c r="M126" s="84"/>
      <c r="N126" s="84" t="str">
        <f t="shared" si="1"/>
        <v>-</v>
      </c>
      <c r="O126" s="84" t="str">
        <f t="shared" si="2"/>
        <v>次</v>
      </c>
      <c r="P126" s="84">
        <f t="shared" si="3"/>
        <v>1</v>
      </c>
      <c r="Q126" s="84">
        <f t="shared" si="4"/>
        <v>0</v>
      </c>
      <c r="R126" s="83"/>
      <c r="S126" s="83"/>
      <c r="T126" s="83"/>
      <c r="U126" s="53"/>
      <c r="Y126" s="62"/>
      <c r="Z126" s="53"/>
      <c r="AA126" s="37"/>
      <c r="AB126" s="37"/>
      <c r="AC126" s="37"/>
      <c r="AD126" s="37"/>
    </row>
    <row r="127" spans="1:31" ht="63">
      <c r="A127" s="1605"/>
      <c r="B127" s="887"/>
      <c r="C127" s="888" t="s">
        <v>464</v>
      </c>
      <c r="D127" s="901"/>
      <c r="E127" s="937" t="s">
        <v>2931</v>
      </c>
      <c r="F127" s="887" t="str">
        <f t="shared" si="12"/>
        <v>-</v>
      </c>
      <c r="G127" s="887" t="s">
        <v>0</v>
      </c>
      <c r="H127" s="890" t="s">
        <v>4211</v>
      </c>
      <c r="I127" s="888" t="s">
        <v>4208</v>
      </c>
      <c r="J127" s="1626"/>
      <c r="K127" s="1603"/>
      <c r="L127" s="83" t="str">
        <f t="shared" si="7"/>
        <v>開挖機，0.70-0.79m3</v>
      </c>
      <c r="M127" s="84"/>
      <c r="N127" s="84" t="str">
        <f t="shared" si="1"/>
        <v>-</v>
      </c>
      <c r="O127" s="84" t="str">
        <f t="shared" si="2"/>
        <v>時</v>
      </c>
      <c r="P127" s="84" t="str">
        <f t="shared" si="3"/>
        <v>-</v>
      </c>
      <c r="Q127" s="84" t="str">
        <f t="shared" si="4"/>
        <v>開挖機所需之操作手累加至其他操作手工項</v>
      </c>
      <c r="R127" s="83"/>
      <c r="S127" s="83"/>
      <c r="T127" s="83"/>
      <c r="U127" s="53"/>
      <c r="Y127" s="62"/>
      <c r="Z127" s="53"/>
      <c r="AA127" s="37"/>
      <c r="AB127" s="37"/>
      <c r="AC127" s="37"/>
      <c r="AD127" s="37"/>
    </row>
    <row r="128" spans="1:31" ht="63">
      <c r="A128" s="1605"/>
      <c r="B128" s="887"/>
      <c r="C128" s="888" t="s">
        <v>539</v>
      </c>
      <c r="D128" s="901"/>
      <c r="E128" s="937" t="s">
        <v>2931</v>
      </c>
      <c r="F128" s="887" t="str">
        <f t="shared" si="12"/>
        <v>-</v>
      </c>
      <c r="G128" s="887" t="s">
        <v>0</v>
      </c>
      <c r="H128" s="890" t="s">
        <v>4211</v>
      </c>
      <c r="I128" s="888" t="s">
        <v>4208</v>
      </c>
      <c r="J128" s="1625" t="str">
        <f>T128 &amp; CHAR(10) &amp; T129 &amp; CHAR(10) &amp; T130</f>
        <v xml:space="preserve">
</v>
      </c>
      <c r="K128" s="1602" t="s">
        <v>4265</v>
      </c>
      <c r="L128" s="927" t="str">
        <f>C163</f>
        <v>標線，熱處理聚酯，反光，厚2mm，第Ⅱ型，12公尺以下道路及零星路段繪設</v>
      </c>
      <c r="M128" s="84"/>
      <c r="N128" s="84" t="str">
        <f t="shared" si="1"/>
        <v>-</v>
      </c>
      <c r="O128" s="84" t="str">
        <f t="shared" si="2"/>
        <v>m2</v>
      </c>
      <c r="P128" s="84" t="str">
        <f t="shared" si="3"/>
        <v>-</v>
      </c>
      <c r="Q128" s="84">
        <f t="shared" si="4"/>
        <v>0</v>
      </c>
      <c r="R128" s="83"/>
      <c r="S128" s="83"/>
      <c r="T128" s="83"/>
      <c r="U128" s="53"/>
      <c r="V128" s="53"/>
      <c r="W128" s="53"/>
      <c r="X128" s="53"/>
      <c r="Y128" s="62"/>
      <c r="Z128" s="53"/>
      <c r="AA128" s="37"/>
      <c r="AB128" s="37"/>
      <c r="AC128" s="37"/>
      <c r="AD128" s="37"/>
    </row>
    <row r="129" spans="1:31" ht="63">
      <c r="A129" s="1605"/>
      <c r="B129" s="887"/>
      <c r="C129" s="888" t="s">
        <v>804</v>
      </c>
      <c r="D129" s="901"/>
      <c r="E129" s="937" t="s">
        <v>2931</v>
      </c>
      <c r="F129" s="887" t="str">
        <f t="shared" si="12"/>
        <v>-</v>
      </c>
      <c r="G129" s="887" t="s">
        <v>0</v>
      </c>
      <c r="H129" s="890" t="s">
        <v>4211</v>
      </c>
      <c r="I129" s="888" t="s">
        <v>4208</v>
      </c>
      <c r="J129" s="1626"/>
      <c r="K129" s="1603"/>
      <c r="L129" s="927" t="str">
        <f>C164</f>
        <v>油漆，一底二度，耐候性油漆塗佈</v>
      </c>
      <c r="M129" s="84"/>
      <c r="N129" s="84" t="str">
        <f t="shared" si="1"/>
        <v>-</v>
      </c>
      <c r="O129" s="84" t="str">
        <f t="shared" si="2"/>
        <v>m2</v>
      </c>
      <c r="P129" s="84" t="str">
        <f t="shared" si="3"/>
        <v>-</v>
      </c>
      <c r="Q129" s="84">
        <f t="shared" si="4"/>
        <v>0</v>
      </c>
      <c r="R129" s="83"/>
      <c r="S129" s="83"/>
      <c r="T129" s="83"/>
      <c r="U129" s="53"/>
      <c r="V129" s="53"/>
      <c r="W129" s="53"/>
      <c r="X129" s="53"/>
      <c r="Z129" s="53"/>
      <c r="AA129" s="42"/>
      <c r="AB129" s="37"/>
      <c r="AC129" s="37"/>
      <c r="AD129" s="37"/>
    </row>
    <row r="130" spans="1:31">
      <c r="A130" s="1605"/>
      <c r="B130" s="887"/>
      <c r="C130" s="888" t="s">
        <v>1326</v>
      </c>
      <c r="D130" s="901"/>
      <c r="E130" s="937" t="s">
        <v>2931</v>
      </c>
      <c r="F130" s="887" t="str">
        <f t="shared" si="12"/>
        <v>-</v>
      </c>
      <c r="G130" s="887" t="s">
        <v>0</v>
      </c>
      <c r="H130" s="890" t="s">
        <v>4211</v>
      </c>
      <c r="I130" s="888"/>
      <c r="J130" s="1626"/>
      <c r="K130" s="1603"/>
      <c r="L130" s="927" t="str">
        <f>C165</f>
        <v>彩色鋪面</v>
      </c>
      <c r="M130" s="84"/>
      <c r="N130" s="84" t="str">
        <f t="shared" si="1"/>
        <v>-</v>
      </c>
      <c r="O130" s="84" t="str">
        <f t="shared" si="2"/>
        <v>m2</v>
      </c>
      <c r="P130" s="84" t="str">
        <f t="shared" si="3"/>
        <v>-</v>
      </c>
      <c r="Q130" s="84" t="str">
        <f t="shared" si="4"/>
        <v>人行步道</v>
      </c>
      <c r="R130" s="83"/>
      <c r="S130" s="83"/>
      <c r="T130" s="83"/>
      <c r="U130" s="53"/>
      <c r="V130" s="53"/>
      <c r="W130" s="53"/>
      <c r="X130" s="53"/>
      <c r="Z130" s="53"/>
      <c r="AA130" s="37"/>
      <c r="AB130" s="37"/>
      <c r="AC130" s="37"/>
      <c r="AD130" s="37"/>
    </row>
    <row r="131" spans="1:31">
      <c r="A131" s="1605"/>
      <c r="B131" s="887"/>
      <c r="C131" s="888" t="s">
        <v>2939</v>
      </c>
      <c r="D131" s="901"/>
      <c r="E131" s="937" t="s">
        <v>2931</v>
      </c>
      <c r="F131" s="887" t="str">
        <f t="shared" si="12"/>
        <v>-</v>
      </c>
      <c r="G131" s="887" t="s">
        <v>4301</v>
      </c>
      <c r="H131" s="890" t="s">
        <v>4211</v>
      </c>
      <c r="I131" s="888"/>
      <c r="J131" s="1619" t="str">
        <f>T131 &amp; CHAR(10) &amp; T132 &amp; CHAR(10) &amp; T133 &amp; CHAR(10) &amp; T134 &amp; CHAR(10) &amp; T135 &amp; CHAR(10) &amp; T136 &amp; CHAR(10) &amp; T137 &amp; CHAR(10) &amp; T138 &amp; CHAR(10) &amp; T139 &amp; CHAR(10) &amp; T140 &amp; CHAR(10) &amp; T141</f>
        <v xml:space="preserve">
</v>
      </c>
      <c r="K131" s="1622" t="s">
        <v>4263</v>
      </c>
      <c r="L131" s="927" t="str">
        <f t="shared" ref="L131:L149" si="13">C168</f>
        <v>吊卡車，15米-噸</v>
      </c>
      <c r="M131" s="84"/>
      <c r="N131" s="84" t="str">
        <f t="shared" si="1"/>
        <v>-</v>
      </c>
      <c r="O131" s="84" t="str">
        <f t="shared" si="2"/>
        <v>時</v>
      </c>
      <c r="P131" s="84" t="str">
        <f t="shared" si="3"/>
        <v>4</v>
      </c>
      <c r="Q131" s="84">
        <f t="shared" si="4"/>
        <v>0</v>
      </c>
      <c r="R131" s="83"/>
      <c r="S131" s="970"/>
      <c r="T131" s="84"/>
      <c r="U131" s="53"/>
      <c r="V131" s="53"/>
      <c r="W131" s="53"/>
      <c r="X131" s="53"/>
      <c r="Z131" s="53"/>
      <c r="AA131" s="37">
        <v>27</v>
      </c>
      <c r="AB131" s="37">
        <v>1.17</v>
      </c>
      <c r="AC131" s="37"/>
      <c r="AD131" s="37"/>
    </row>
    <row r="132" spans="1:31">
      <c r="A132" s="1606"/>
      <c r="B132" s="887"/>
      <c r="C132" s="888" t="s">
        <v>2940</v>
      </c>
      <c r="D132" s="901"/>
      <c r="E132" s="937" t="s">
        <v>2931</v>
      </c>
      <c r="F132" s="887" t="str">
        <f t="shared" si="12"/>
        <v>-</v>
      </c>
      <c r="G132" s="887" t="s">
        <v>4301</v>
      </c>
      <c r="H132" s="890" t="s">
        <v>4211</v>
      </c>
      <c r="I132" s="888"/>
      <c r="J132" s="1614"/>
      <c r="K132" s="1631"/>
      <c r="L132" s="927" t="str">
        <f t="shared" si="13"/>
        <v>輪式鏟裝車</v>
      </c>
      <c r="M132" s="84"/>
      <c r="N132" s="84" t="str">
        <f t="shared" si="1"/>
        <v>-</v>
      </c>
      <c r="O132" s="84" t="str">
        <f t="shared" si="2"/>
        <v>時</v>
      </c>
      <c r="P132" s="84" t="str">
        <f t="shared" si="3"/>
        <v>4</v>
      </c>
      <c r="Q132" s="84">
        <f t="shared" si="4"/>
        <v>0</v>
      </c>
      <c r="R132" s="83"/>
      <c r="S132" s="83"/>
      <c r="T132" s="83"/>
      <c r="U132" s="53"/>
      <c r="V132" s="53"/>
      <c r="W132" s="53"/>
      <c r="X132" s="53"/>
      <c r="Z132" s="53"/>
      <c r="AA132" s="37"/>
      <c r="AB132" s="37"/>
      <c r="AC132" s="37"/>
      <c r="AD132" s="37"/>
    </row>
    <row r="133" spans="1:31" ht="42">
      <c r="A133" s="1627" t="s">
        <v>4202</v>
      </c>
      <c r="B133" s="874"/>
      <c r="C133" s="877" t="s">
        <v>1215</v>
      </c>
      <c r="D133" s="928"/>
      <c r="E133" s="934" t="str">
        <f>IF($P$8="無銑鋪","-",R8)</f>
        <v>-</v>
      </c>
      <c r="F133" s="874" t="str">
        <f t="shared" si="12"/>
        <v>-</v>
      </c>
      <c r="G133" s="874" t="s">
        <v>3</v>
      </c>
      <c r="H133" s="878"/>
      <c r="I133" s="877" t="s">
        <v>4244</v>
      </c>
      <c r="J133" s="1614"/>
      <c r="K133" s="1631"/>
      <c r="L133" s="927" t="str">
        <f t="shared" si="13"/>
        <v>操作手，重機械</v>
      </c>
      <c r="M133" s="84"/>
      <c r="N133" s="84" t="str">
        <f t="shared" si="1"/>
        <v>-</v>
      </c>
      <c r="O133" s="84" t="str">
        <f t="shared" si="2"/>
        <v>時</v>
      </c>
      <c r="P133" s="84" t="str">
        <f t="shared" si="3"/>
        <v xml:space="preserve"> </v>
      </c>
      <c r="Q133" s="84">
        <f t="shared" si="4"/>
        <v>0</v>
      </c>
      <c r="R133" s="83"/>
      <c r="S133" s="83"/>
      <c r="T133" s="83"/>
      <c r="U133" s="53"/>
      <c r="V133" s="53"/>
      <c r="W133" s="53"/>
      <c r="X133" s="53"/>
      <c r="Z133" s="53"/>
      <c r="AA133" s="37"/>
      <c r="AB133" s="37"/>
      <c r="AC133" s="37"/>
      <c r="AD133" s="37"/>
    </row>
    <row r="134" spans="1:31" ht="42">
      <c r="A134" s="1611"/>
      <c r="B134" s="874"/>
      <c r="C134" s="877" t="s">
        <v>1231</v>
      </c>
      <c r="D134" s="928"/>
      <c r="E134" s="934" t="str">
        <f>IF($P$8="無銑鋪","-",R8)</f>
        <v>-</v>
      </c>
      <c r="F134" s="874" t="str">
        <f t="shared" si="12"/>
        <v>-</v>
      </c>
      <c r="G134" s="874" t="s">
        <v>3</v>
      </c>
      <c r="H134" s="878"/>
      <c r="I134" s="877" t="s">
        <v>4244</v>
      </c>
      <c r="J134" s="1614"/>
      <c r="K134" s="1631"/>
      <c r="L134" s="927" t="str">
        <f t="shared" si="13"/>
        <v>灑水車，8.0-8.9m3</v>
      </c>
      <c r="M134" s="84"/>
      <c r="N134" s="84" t="str">
        <f t="shared" si="1"/>
        <v>-</v>
      </c>
      <c r="O134" s="84" t="str">
        <f t="shared" si="2"/>
        <v>時</v>
      </c>
      <c r="P134" s="84" t="str">
        <f t="shared" si="3"/>
        <v>4</v>
      </c>
      <c r="Q134" s="84">
        <f t="shared" si="4"/>
        <v>0</v>
      </c>
      <c r="R134" s="83"/>
      <c r="S134" s="83"/>
      <c r="T134" s="83"/>
      <c r="U134" s="53"/>
      <c r="V134" s="53"/>
      <c r="W134" s="53"/>
      <c r="X134" s="53"/>
      <c r="Z134" s="53"/>
      <c r="AA134" s="37"/>
      <c r="AB134" s="37"/>
      <c r="AC134" s="37"/>
      <c r="AD134" s="37"/>
    </row>
    <row r="135" spans="1:31" ht="42">
      <c r="A135" s="1611"/>
      <c r="B135" s="874"/>
      <c r="C135" s="877" t="s">
        <v>1236</v>
      </c>
      <c r="D135" s="928"/>
      <c r="E135" s="934" t="str">
        <f>IF($P$9="無銑鋪","-",R8)</f>
        <v>-</v>
      </c>
      <c r="F135" s="874" t="str">
        <f t="shared" si="12"/>
        <v>-</v>
      </c>
      <c r="G135" s="874" t="s">
        <v>3</v>
      </c>
      <c r="H135" s="878"/>
      <c r="I135" s="877" t="s">
        <v>4244</v>
      </c>
      <c r="J135" s="1614"/>
      <c r="K135" s="1631"/>
      <c r="L135" s="927" t="str">
        <f t="shared" si="13"/>
        <v>駕駛，小貨車</v>
      </c>
      <c r="M135" s="84"/>
      <c r="N135" s="84" t="str">
        <f t="shared" si="1"/>
        <v>-</v>
      </c>
      <c r="O135" s="84" t="str">
        <f t="shared" si="2"/>
        <v>時</v>
      </c>
      <c r="P135" s="84" t="str">
        <f t="shared" si="3"/>
        <v>4</v>
      </c>
      <c r="Q135" s="84">
        <f t="shared" si="4"/>
        <v>0</v>
      </c>
      <c r="R135" s="83"/>
      <c r="S135" s="83"/>
      <c r="T135" s="83"/>
      <c r="U135" s="53"/>
      <c r="V135" s="53"/>
      <c r="W135" s="53"/>
      <c r="X135" s="53"/>
      <c r="Z135" s="53"/>
      <c r="AA135" s="37"/>
      <c r="AB135" s="37"/>
      <c r="AC135" s="37"/>
      <c r="AD135" s="37"/>
    </row>
    <row r="136" spans="1:31" ht="42">
      <c r="A136" s="1611"/>
      <c r="B136" s="874"/>
      <c r="C136" s="877" t="s">
        <v>1239</v>
      </c>
      <c r="D136" s="928"/>
      <c r="E136" s="934" t="str">
        <f>IF($P$9="無銑鋪","-",R8)</f>
        <v>-</v>
      </c>
      <c r="F136" s="874" t="str">
        <f t="shared" si="12"/>
        <v>-</v>
      </c>
      <c r="G136" s="874" t="s">
        <v>3</v>
      </c>
      <c r="H136" s="878"/>
      <c r="I136" s="877" t="s">
        <v>4244</v>
      </c>
      <c r="J136" s="1614"/>
      <c r="K136" s="1631"/>
      <c r="L136" s="927" t="str">
        <f t="shared" si="13"/>
        <v>臨時設施，排水設備，引擎抽水機，D=10cm，租金</v>
      </c>
      <c r="M136" s="84"/>
      <c r="N136" s="84" t="str">
        <f t="shared" si="1"/>
        <v>-</v>
      </c>
      <c r="O136" s="84" t="str">
        <f t="shared" si="2"/>
        <v>時</v>
      </c>
      <c r="P136" s="84">
        <f t="shared" si="3"/>
        <v>0</v>
      </c>
      <c r="Q136" s="84" t="str">
        <f t="shared" si="4"/>
        <v>2小時/日*工期/2</v>
      </c>
      <c r="R136" s="83"/>
      <c r="S136" s="83"/>
      <c r="T136" s="83"/>
      <c r="U136" s="53"/>
      <c r="V136" s="53"/>
      <c r="W136" s="53"/>
      <c r="X136" s="53"/>
      <c r="Z136" s="53"/>
      <c r="AA136" s="37"/>
      <c r="AB136" s="37"/>
      <c r="AC136" s="37"/>
      <c r="AD136" s="37"/>
    </row>
    <row r="137" spans="1:31" ht="21">
      <c r="A137" s="1611"/>
      <c r="B137" s="874"/>
      <c r="C137" s="879" t="s">
        <v>578</v>
      </c>
      <c r="D137" s="881"/>
      <c r="E137" s="938" t="str">
        <f>IF($W$106+$W$107&lt;&gt;0,($W$106*0.05)+($W$107*0.1),"-")</f>
        <v>-</v>
      </c>
      <c r="F137" s="874" t="str">
        <f t="shared" si="12"/>
        <v>-</v>
      </c>
      <c r="G137" s="874" t="s">
        <v>0</v>
      </c>
      <c r="H137" s="878"/>
      <c r="I137" s="877" t="s">
        <v>4210</v>
      </c>
      <c r="J137" s="1614"/>
      <c r="K137" s="1631"/>
      <c r="L137" s="927" t="str">
        <f t="shared" si="13"/>
        <v>臨時設施，排水設備，沉水式抽水機，D=15cm，租金</v>
      </c>
      <c r="M137" s="84"/>
      <c r="N137" s="84" t="str">
        <f t="shared" si="1"/>
        <v>-</v>
      </c>
      <c r="O137" s="84" t="str">
        <f t="shared" si="2"/>
        <v>時</v>
      </c>
      <c r="P137" s="84">
        <f t="shared" si="3"/>
        <v>0</v>
      </c>
      <c r="Q137" s="84" t="str">
        <f t="shared" si="4"/>
        <v>2小時/日*工期/2</v>
      </c>
      <c r="R137" s="83"/>
      <c r="S137" s="83"/>
      <c r="T137" s="83"/>
      <c r="U137" s="53"/>
      <c r="V137" s="53"/>
      <c r="W137" s="53"/>
      <c r="X137" s="53"/>
      <c r="Z137" s="53"/>
      <c r="AA137" s="37">
        <v>30</v>
      </c>
      <c r="AB137" s="37">
        <v>4.68</v>
      </c>
      <c r="AC137" s="37"/>
      <c r="AD137" s="37"/>
    </row>
    <row r="138" spans="1:31" ht="84">
      <c r="A138" s="1611"/>
      <c r="B138" s="874"/>
      <c r="C138" s="879" t="s">
        <v>4239</v>
      </c>
      <c r="D138" s="881"/>
      <c r="E138" s="938" t="str">
        <f>IF($Y$112=0,"-",$Y$112*0.05)</f>
        <v>-</v>
      </c>
      <c r="F138" s="874" t="str">
        <f t="shared" si="12"/>
        <v>-</v>
      </c>
      <c r="G138" s="874" t="s">
        <v>0</v>
      </c>
      <c r="H138" s="880" t="s">
        <v>4214</v>
      </c>
      <c r="I138" s="877" t="s">
        <v>4246</v>
      </c>
      <c r="J138" s="1614"/>
      <c r="K138" s="1631"/>
      <c r="L138" s="927" t="str">
        <f t="shared" si="13"/>
        <v>臨時設施，排水設備，沉水式抽水機，D=10cm，租金</v>
      </c>
      <c r="M138" s="84"/>
      <c r="N138" s="84" t="str">
        <f t="shared" si="1"/>
        <v>-</v>
      </c>
      <c r="O138" s="84" t="str">
        <f t="shared" si="2"/>
        <v>時</v>
      </c>
      <c r="P138" s="84">
        <f t="shared" si="3"/>
        <v>0</v>
      </c>
      <c r="Q138" s="84" t="str">
        <f t="shared" si="4"/>
        <v>2小時/日*工期/2</v>
      </c>
      <c r="R138" s="83"/>
      <c r="S138" s="83"/>
      <c r="T138" s="83"/>
      <c r="U138" s="53"/>
      <c r="V138" s="53"/>
      <c r="W138" s="53"/>
      <c r="X138" s="53"/>
      <c r="Z138" s="62"/>
      <c r="AA138" s="38" t="s">
        <v>2789</v>
      </c>
      <c r="AB138" s="41" t="e">
        <f>"本案施工費"&amp;TEXT(AC138,"$#,##0.00")&amp;"元"</f>
        <v>#REF!</v>
      </c>
      <c r="AC138" s="41" t="e">
        <f>H2</f>
        <v>#REF!</v>
      </c>
      <c r="AD138" s="39" t="e">
        <f>IF(AC138&lt;250000,"1次","無需開立")</f>
        <v>#REF!</v>
      </c>
    </row>
    <row r="139" spans="1:31" ht="84">
      <c r="A139" s="1611"/>
      <c r="B139" s="874"/>
      <c r="C139" s="879" t="s">
        <v>4238</v>
      </c>
      <c r="D139" s="881"/>
      <c r="E139" s="938" t="str">
        <f>IF($X$113=0,"-",$X$113*0.05)</f>
        <v>-</v>
      </c>
      <c r="F139" s="874" t="str">
        <f t="shared" si="12"/>
        <v>-</v>
      </c>
      <c r="G139" s="874" t="s">
        <v>0</v>
      </c>
      <c r="H139" s="880" t="s">
        <v>4230</v>
      </c>
      <c r="I139" s="877" t="s">
        <v>4246</v>
      </c>
      <c r="J139" s="1614"/>
      <c r="K139" s="1631"/>
      <c r="L139" s="927" t="str">
        <f t="shared" si="13"/>
        <v>圍水，砂包堆置</v>
      </c>
      <c r="M139" s="84"/>
      <c r="N139" s="84" t="str">
        <f t="shared" si="1"/>
        <v>-</v>
      </c>
      <c r="O139" s="84" t="str">
        <f t="shared" si="2"/>
        <v>M3</v>
      </c>
      <c r="P139" s="84" t="str">
        <f t="shared" si="3"/>
        <v>-</v>
      </c>
      <c r="Q139" s="84" t="str">
        <f t="shared" si="4"/>
        <v>溝寬*溝深*0.2</v>
      </c>
      <c r="R139" s="83"/>
      <c r="S139" s="83"/>
      <c r="T139" s="83"/>
      <c r="U139" s="53"/>
      <c r="V139" s="53"/>
      <c r="W139" s="53"/>
      <c r="X139" s="53"/>
      <c r="Z139" s="62"/>
      <c r="AA139" s="38"/>
      <c r="AB139" s="38"/>
      <c r="AC139" s="38"/>
      <c r="AD139" s="37"/>
    </row>
    <row r="140" spans="1:31" ht="84">
      <c r="A140" s="1611"/>
      <c r="B140" s="874"/>
      <c r="C140" s="879" t="s">
        <v>2983</v>
      </c>
      <c r="D140" s="881"/>
      <c r="E140" s="938" t="str">
        <f>IF($Y$112=0,"-",$Y$112*0.05)</f>
        <v>-</v>
      </c>
      <c r="F140" s="874" t="str">
        <f t="shared" si="12"/>
        <v>-</v>
      </c>
      <c r="G140" s="874" t="s">
        <v>0</v>
      </c>
      <c r="H140" s="880" t="s">
        <v>4215</v>
      </c>
      <c r="I140" s="877" t="s">
        <v>4246</v>
      </c>
      <c r="J140" s="1614"/>
      <c r="K140" s="1631"/>
      <c r="L140" s="927" t="str">
        <f t="shared" si="13"/>
        <v>施工照相及攝(錄)影，施工動態即時影像傳輸費，機關提供攝影機</v>
      </c>
      <c r="M140" s="84"/>
      <c r="N140" s="84" t="str">
        <f t="shared" si="1"/>
        <v>-</v>
      </c>
      <c r="O140" s="84" t="str">
        <f t="shared" si="2"/>
        <v>日/台</v>
      </c>
      <c r="P140" s="84">
        <f t="shared" si="3"/>
        <v>0</v>
      </c>
      <c r="Q140" s="84">
        <f t="shared" si="4"/>
        <v>0</v>
      </c>
      <c r="R140" s="83"/>
      <c r="S140" s="83"/>
      <c r="T140" s="83"/>
      <c r="U140" s="53"/>
      <c r="V140" s="53"/>
      <c r="W140" s="53"/>
      <c r="X140" s="53"/>
      <c r="Z140" s="62"/>
      <c r="AA140" s="38" t="s">
        <v>2788</v>
      </c>
      <c r="AB140" s="38" t="str">
        <f>IF(AC140=" ","本案無銑鋪","銑鋪總面積:"&amp;AC140&amp;"m2"&amp;CHAR(10)&amp;"t=5cm:"&amp;AC144&amp;"m2"&amp;CHAR(10)&amp;"t=10cm:"&amp;AC145&amp;"m2")</f>
        <v>銑鋪總面積:0m2
t=5cm:0m2
t=10cm:0m2</v>
      </c>
      <c r="AC140" s="38">
        <f>AC144+AC145</f>
        <v>0</v>
      </c>
      <c r="AD140" s="37"/>
    </row>
    <row r="141" spans="1:31" ht="84">
      <c r="A141" s="1611"/>
      <c r="B141" s="874"/>
      <c r="C141" s="879" t="s">
        <v>3631</v>
      </c>
      <c r="D141" s="881"/>
      <c r="E141" s="938" t="str">
        <f>IF($X$113=0,"-",$X$113*0.05)</f>
        <v>-</v>
      </c>
      <c r="F141" s="874" t="str">
        <f t="shared" si="12"/>
        <v>-</v>
      </c>
      <c r="G141" s="874" t="s">
        <v>0</v>
      </c>
      <c r="H141" s="880" t="s">
        <v>4231</v>
      </c>
      <c r="I141" s="877" t="s">
        <v>4246</v>
      </c>
      <c r="J141" s="1615"/>
      <c r="K141" s="1632"/>
      <c r="L141" s="927" t="str">
        <f t="shared" si="13"/>
        <v>施工照相及攝(錄)影，(4G行動門號，即時攝影無線傳輸)，施工動態即時影像傳輸費</v>
      </c>
      <c r="M141" s="84"/>
      <c r="N141" s="84" t="str">
        <f t="shared" si="1"/>
        <v>-</v>
      </c>
      <c r="O141" s="84" t="str">
        <f t="shared" si="2"/>
        <v>日/台</v>
      </c>
      <c r="P141" s="84">
        <f t="shared" si="3"/>
        <v>0</v>
      </c>
      <c r="Q141" s="84">
        <f t="shared" si="4"/>
        <v>0</v>
      </c>
      <c r="R141" s="83"/>
      <c r="S141" s="83"/>
      <c r="T141" s="83"/>
      <c r="U141" s="53"/>
      <c r="V141" s="53"/>
      <c r="W141" s="53"/>
      <c r="X141" s="53"/>
      <c r="Z141" s="53"/>
      <c r="AA141" s="37"/>
      <c r="AB141" s="37" t="str">
        <f>IF(V99="搶修案(北搶)","瀝青混凝土舖面，粗粒料9.5mm，針入度60-70，緊急搶修工程用，舖築及滾壓另計","瀝青混凝土舖面，粗粒料9.5mm，針入度60-70")</f>
        <v>瀝青混凝土舖面，粗粒料9.5mm，針入度60-70</v>
      </c>
      <c r="AC141" s="38">
        <f>IFERROR(VLOOKUP(AB141,$C$3:$H$55,4,FALSE),0)</f>
        <v>0</v>
      </c>
      <c r="AD141" s="37"/>
    </row>
    <row r="142" spans="1:31" ht="84">
      <c r="A142" s="1611"/>
      <c r="B142" s="874"/>
      <c r="C142" s="879" t="s">
        <v>4237</v>
      </c>
      <c r="D142" s="881"/>
      <c r="E142" s="938" t="str">
        <f>Y117</f>
        <v>-</v>
      </c>
      <c r="F142" s="874" t="str">
        <f t="shared" si="12"/>
        <v>-</v>
      </c>
      <c r="G142" s="874" t="s">
        <v>0</v>
      </c>
      <c r="H142" s="878" t="s">
        <v>4211</v>
      </c>
      <c r="I142" s="877" t="s">
        <v>4246</v>
      </c>
      <c r="J142" s="1613" t="str">
        <f>T142 &amp; CHAR(10) &amp; T143 &amp; CHAR(10) &amp; T144 &amp; CHAR(10) &amp; T145 &amp; CHAR(10) &amp; T146</f>
        <v xml:space="preserve">
</v>
      </c>
      <c r="K142" s="1633" t="s">
        <v>4270</v>
      </c>
      <c r="L142" s="927" t="str">
        <f t="shared" si="13"/>
        <v>型鋼護欄，含警示燈</v>
      </c>
      <c r="M142" s="84"/>
      <c r="N142" s="84" t="str">
        <f t="shared" si="1"/>
        <v>-</v>
      </c>
      <c r="O142" s="84" t="str">
        <f t="shared" si="2"/>
        <v>M</v>
      </c>
      <c r="P142" s="84" t="str">
        <f t="shared" si="3"/>
        <v>-</v>
      </c>
      <c r="Q142" s="84" t="str">
        <f t="shared" si="4"/>
        <v>超過8m以上道路</v>
      </c>
      <c r="R142" s="83"/>
      <c r="S142" s="83"/>
      <c r="T142" s="83"/>
      <c r="U142" s="53"/>
      <c r="V142" s="53"/>
      <c r="W142" s="53"/>
      <c r="X142" s="53"/>
      <c r="Z142" s="37"/>
      <c r="AA142" s="37"/>
      <c r="AB142" s="37" t="str">
        <f>IF(V99="搶修案(北搶)","瀝青混凝土舖面，粗粒料19.0mm，針入度60-70，緊急搶修工程用，舖築及滾壓另計","瀝青混凝土舖面，粗粒料19.0mm，針入度60-70")</f>
        <v>瀝青混凝土舖面，粗粒料19.0mm，針入度60-70</v>
      </c>
      <c r="AC142" s="38">
        <f>IFERROR(VLOOKUP(AB142,$C$3:$H$55,4,FALSE),0)</f>
        <v>0</v>
      </c>
      <c r="AD142" s="37"/>
    </row>
    <row r="143" spans="1:31" ht="84">
      <c r="A143" s="1611"/>
      <c r="B143" s="874"/>
      <c r="C143" s="879" t="s">
        <v>4236</v>
      </c>
      <c r="D143" s="881"/>
      <c r="E143" s="938" t="str">
        <f>IF($Y$115=0,"-",$Y$115*0.05)</f>
        <v>-</v>
      </c>
      <c r="F143" s="874" t="str">
        <f t="shared" si="12"/>
        <v>-</v>
      </c>
      <c r="G143" s="874" t="s">
        <v>0</v>
      </c>
      <c r="H143" s="878" t="s">
        <v>4211</v>
      </c>
      <c r="I143" s="877" t="s">
        <v>4246</v>
      </c>
      <c r="J143" s="1614"/>
      <c r="K143" s="1631"/>
      <c r="L143" s="927" t="str">
        <f t="shared" si="13"/>
        <v>交通維持用，槽鋼護欄，含警示燈</v>
      </c>
      <c r="M143" s="84"/>
      <c r="N143" s="84" t="str">
        <f t="shared" si="1"/>
        <v>-</v>
      </c>
      <c r="O143" s="84" t="str">
        <f t="shared" si="2"/>
        <v>M</v>
      </c>
      <c r="P143" s="84" t="str">
        <f t="shared" si="3"/>
        <v>-</v>
      </c>
      <c r="Q143" s="84" t="str">
        <f t="shared" si="4"/>
        <v>8m以下道路</v>
      </c>
      <c r="R143" s="83"/>
      <c r="S143" s="83"/>
      <c r="T143" s="83"/>
      <c r="U143" s="53"/>
      <c r="V143" s="53"/>
      <c r="W143" s="53"/>
      <c r="X143" s="53"/>
      <c r="Z143" s="37"/>
      <c r="AA143" s="37">
        <v>35</v>
      </c>
      <c r="AB143" s="37">
        <v>1.04</v>
      </c>
      <c r="AC143" s="38">
        <f>IFERROR(VLOOKUP(AB143,$C$3:$H$55,4,FALSE),0)</f>
        <v>0</v>
      </c>
      <c r="AD143" s="37"/>
    </row>
    <row r="144" spans="1:31" ht="84">
      <c r="A144" s="1612"/>
      <c r="B144" s="874"/>
      <c r="C144" s="879" t="s">
        <v>4235</v>
      </c>
      <c r="D144" s="881"/>
      <c r="E144" s="938" t="str">
        <f>IF($X$116=0,"-",$X$116*0.05)</f>
        <v>-</v>
      </c>
      <c r="F144" s="874" t="str">
        <f t="shared" si="12"/>
        <v>-</v>
      </c>
      <c r="G144" s="874" t="s">
        <v>0</v>
      </c>
      <c r="H144" s="878" t="s">
        <v>4227</v>
      </c>
      <c r="I144" s="877" t="s">
        <v>4246</v>
      </c>
      <c r="J144" s="1614"/>
      <c r="K144" s="1631"/>
      <c r="L144" s="927" t="str">
        <f t="shared" si="13"/>
        <v>交通維持，道路管制人員，日間(06-22時)，義交</v>
      </c>
      <c r="M144" s="84"/>
      <c r="N144" s="84" t="str">
        <f t="shared" si="1"/>
        <v>-</v>
      </c>
      <c r="O144" s="84" t="str">
        <f t="shared" si="2"/>
        <v>時</v>
      </c>
      <c r="P144" s="84" t="str">
        <f t="shared" si="3"/>
        <v>-</v>
      </c>
      <c r="Q144" s="84" t="str">
        <f t="shared" si="4"/>
        <v>(8小時/日*工期/2)</v>
      </c>
      <c r="R144" s="83"/>
      <c r="S144" s="83"/>
      <c r="T144" s="83"/>
      <c r="U144" s="53"/>
      <c r="V144" s="53"/>
      <c r="W144" s="53"/>
      <c r="X144" s="53"/>
      <c r="Z144" s="37"/>
      <c r="AA144" s="37"/>
      <c r="AB144" s="37" t="s">
        <v>2858</v>
      </c>
      <c r="AC144" s="37">
        <f>自主檢查表!E7</f>
        <v>0</v>
      </c>
      <c r="AD144" s="37" t="str">
        <f>IF(自檢資料!$AC$144=0,"0",
IF(自檢資料!$AC$144&lt;=200,"1",
IF(AND(自檢資料!$AC$144&gt;200,自檢資料!$AC$144&lt;=400),"2",
IF(AND(自檢資料!$AC$144&gt;400,自檢資料!$AC$144&lt;=600),"3",
IF(AND(自檢資料!$AC$144&gt;600,自檢資料!$AC$144&lt;=800),"4"
)))))</f>
        <v>0</v>
      </c>
      <c r="AE144" t="str">
        <f>IF(AD144+AD145=0,"-",AD144+AD145)</f>
        <v>-</v>
      </c>
    </row>
    <row r="145" spans="1:30" ht="42">
      <c r="A145" s="903"/>
      <c r="B145" s="874"/>
      <c r="C145" s="879" t="s">
        <v>3634</v>
      </c>
      <c r="D145" s="881" t="s">
        <v>4276</v>
      </c>
      <c r="E145" s="938" t="str">
        <f>AE144</f>
        <v>-</v>
      </c>
      <c r="F145" s="874" t="str">
        <f t="shared" si="12"/>
        <v>-</v>
      </c>
      <c r="G145" s="874" t="s">
        <v>927</v>
      </c>
      <c r="H145" s="878" t="s">
        <v>4227</v>
      </c>
      <c r="I145" s="877" t="s">
        <v>4259</v>
      </c>
      <c r="J145" s="1614"/>
      <c r="K145" s="1631"/>
      <c r="L145" s="927" t="str">
        <f t="shared" si="13"/>
        <v>交通維持，道路管制人員，夜間(22-06時)，義交</v>
      </c>
      <c r="M145" s="84"/>
      <c r="N145" s="84" t="str">
        <f t="shared" si="1"/>
        <v>-</v>
      </c>
      <c r="O145" s="84" t="str">
        <f t="shared" si="2"/>
        <v>時</v>
      </c>
      <c r="P145" s="84" t="str">
        <f t="shared" si="3"/>
        <v>-</v>
      </c>
      <c r="Q145" s="84" t="str">
        <f t="shared" si="4"/>
        <v>(8小時/日*工期/2)</v>
      </c>
      <c r="R145" s="83"/>
      <c r="S145" s="83"/>
      <c r="T145" s="83"/>
      <c r="U145" s="53"/>
      <c r="V145" s="53"/>
      <c r="W145" s="53"/>
      <c r="X145" s="53"/>
      <c r="Z145" s="37"/>
      <c r="AA145" s="37"/>
      <c r="AB145" s="37" t="s">
        <v>2859</v>
      </c>
      <c r="AC145" s="37">
        <f>自主檢查表!E9</f>
        <v>0</v>
      </c>
      <c r="AD145" s="37" t="str">
        <f>IF(自檢資料!$AC$145=0,"0",
IF(自檢資料!$AC$145&lt;=200,"1",
IF(AND(自檢資料!$AC$145&gt;200,自檢資料!$AC$145&lt;=400),"2",
IF(AND(自檢資料!$AC$145&gt;400,自檢資料!$AC$145&lt;=600),"3",
IF(AND(自檢資料!$AC$145&gt;600,自檢資料!$AC$145&lt;=800),"4"
)))))</f>
        <v>0</v>
      </c>
    </row>
    <row r="146" spans="1:30">
      <c r="A146" s="903"/>
      <c r="B146" s="874"/>
      <c r="C146" s="879"/>
      <c r="D146" s="881"/>
      <c r="E146" s="938"/>
      <c r="F146" s="874"/>
      <c r="G146" s="874"/>
      <c r="H146" s="878"/>
      <c r="I146" s="877"/>
      <c r="J146" s="1615"/>
      <c r="K146" s="1632"/>
      <c r="L146" s="927" t="str">
        <f t="shared" si="13"/>
        <v>配合技術工之勞工</v>
      </c>
      <c r="M146" s="84"/>
      <c r="N146" s="84" t="str">
        <f t="shared" si="1"/>
        <v>-</v>
      </c>
      <c r="O146" s="84" t="str">
        <f t="shared" si="2"/>
        <v>時</v>
      </c>
      <c r="P146" s="84" t="str">
        <f t="shared" si="3"/>
        <v>-</v>
      </c>
      <c r="Q146" s="84" t="str">
        <f t="shared" si="4"/>
        <v>緊急搶修開立前3天共計24小時</v>
      </c>
      <c r="R146" s="83"/>
      <c r="S146" s="83"/>
      <c r="T146" s="83"/>
      <c r="U146" s="53"/>
      <c r="V146" s="53"/>
      <c r="W146" s="53"/>
      <c r="X146" s="53"/>
      <c r="Z146" s="37"/>
      <c r="AA146" s="37"/>
      <c r="AB146" s="37" t="s">
        <v>2921</v>
      </c>
      <c r="AC146" s="37"/>
      <c r="AD146" s="37"/>
    </row>
    <row r="147" spans="1:30">
      <c r="A147" s="873"/>
      <c r="B147" s="832"/>
      <c r="C147" s="870"/>
      <c r="D147" s="862"/>
      <c r="E147" s="939"/>
      <c r="F147" s="832"/>
      <c r="G147" s="832"/>
      <c r="H147" s="860"/>
      <c r="I147" s="868"/>
      <c r="J147" s="1613" t="e">
        <f>T147 &amp; CHAR(10) &amp; T148 &amp; CHAR(10) &amp; T149 &amp; CHAR(10) &amp; T150</f>
        <v>#REF!</v>
      </c>
      <c r="K147" s="1633" t="s">
        <v>4271</v>
      </c>
      <c r="L147" s="927" t="str">
        <f t="shared" si="13"/>
        <v>臨時設施，雜項工程，工地處理，施工動復員，小型機具</v>
      </c>
      <c r="M147" s="84"/>
      <c r="N147" s="84" t="str">
        <f t="shared" si="1"/>
        <v>-</v>
      </c>
      <c r="O147" s="84" t="str">
        <f t="shared" si="2"/>
        <v>次</v>
      </c>
      <c r="P147" s="84" t="str">
        <f t="shared" si="3"/>
        <v xml:space="preserve"> </v>
      </c>
      <c r="Q147" s="84" t="str">
        <f t="shared" si="4"/>
        <v>工程金額(施工費)在「25萬元以下」開立</v>
      </c>
      <c r="R147" s="83"/>
      <c r="S147" s="83"/>
      <c r="T147" s="83" t="e">
        <f>"施工費:"&amp;$H$2&amp;"元"</f>
        <v>#REF!</v>
      </c>
      <c r="U147" s="53"/>
      <c r="V147" s="53"/>
      <c r="W147" s="53"/>
      <c r="X147" s="53"/>
      <c r="Z147" s="37"/>
      <c r="AA147" s="37"/>
      <c r="AB147" s="37" t="s">
        <v>2922</v>
      </c>
      <c r="AC147" s="37"/>
      <c r="AD147" s="37"/>
    </row>
    <row r="148" spans="1:30" ht="52.5">
      <c r="A148" s="1607"/>
      <c r="B148" s="882"/>
      <c r="C148" s="885" t="s">
        <v>2556</v>
      </c>
      <c r="D148" s="931"/>
      <c r="E148" s="940" t="str">
        <f>IF(W106+W107&lt;&gt;0,"1","-")</f>
        <v>-</v>
      </c>
      <c r="F148" s="882" t="str">
        <f t="shared" ref="F148:F161" si="14">IFERROR(VLOOKUP(C148,$C$3:$H$60,4,FALSE),"-")</f>
        <v>-</v>
      </c>
      <c r="G148" s="882" t="s">
        <v>2238</v>
      </c>
      <c r="H148" s="886" t="s">
        <v>4213</v>
      </c>
      <c r="I148" s="883" t="s">
        <v>4245</v>
      </c>
      <c r="J148" s="1614"/>
      <c r="K148" s="1631"/>
      <c r="L148" s="927" t="str">
        <f t="shared" si="13"/>
        <v>臨時設施，雜項工程，工地處理，施工動復員，大型機具</v>
      </c>
      <c r="M148" s="84"/>
      <c r="N148" s="84" t="str">
        <f t="shared" si="1"/>
        <v>-</v>
      </c>
      <c r="O148" s="84" t="str">
        <f t="shared" si="2"/>
        <v>次</v>
      </c>
      <c r="P148" s="84" t="str">
        <f t="shared" si="3"/>
        <v xml:space="preserve"> </v>
      </c>
      <c r="Q148" s="84">
        <f t="shared" si="4"/>
        <v>0</v>
      </c>
      <c r="R148" s="83"/>
      <c r="S148" s="83"/>
      <c r="T148" s="83"/>
      <c r="U148" s="53"/>
      <c r="V148" s="53"/>
      <c r="W148" s="53"/>
      <c r="X148" s="53"/>
      <c r="AA148" s="37"/>
      <c r="AB148" s="37" t="str">
        <f>IF(AC140&lt;=50,"瀝青混凝土舖面，舖築及滾壓，緊急搶修工程用，鋪設面積≦50m2適用",
IF(AC140&gt;50,"瀝青混凝土舖面，舖築及滾壓，緊急搶修工程用，鋪設面積＞50m2適用"))</f>
        <v>瀝青混凝土舖面，舖築及滾壓，緊急搶修工程用，鋪設面積≦50m2適用</v>
      </c>
      <c r="AC148" s="37"/>
    </row>
    <row r="149" spans="1:30" ht="52.5">
      <c r="A149" s="1608"/>
      <c r="B149" s="882"/>
      <c r="C149" s="885" t="s">
        <v>2561</v>
      </c>
      <c r="D149" s="931"/>
      <c r="E149" s="940" t="str">
        <f>IF(W106+W107&lt;&gt;0,"1","-")</f>
        <v>-</v>
      </c>
      <c r="F149" s="882" t="str">
        <f t="shared" si="14"/>
        <v>-</v>
      </c>
      <c r="G149" s="882" t="s">
        <v>2238</v>
      </c>
      <c r="H149" s="886" t="s">
        <v>4229</v>
      </c>
      <c r="I149" s="883" t="s">
        <v>4245</v>
      </c>
      <c r="J149" s="1614"/>
      <c r="K149" s="1631"/>
      <c r="L149" s="927" t="str">
        <f t="shared" si="13"/>
        <v>切割瀝青混凝土或無筋混凝土，10cm≦切割深度</v>
      </c>
      <c r="M149" s="84"/>
      <c r="N149" s="84" t="str">
        <f t="shared" si="1"/>
        <v>-</v>
      </c>
      <c r="O149" s="84" t="str">
        <f t="shared" si="2"/>
        <v>M</v>
      </c>
      <c r="P149" s="84" t="str">
        <f t="shared" si="3"/>
        <v>-</v>
      </c>
      <c r="Q149" s="84">
        <f t="shared" si="4"/>
        <v>0</v>
      </c>
      <c r="R149" s="83"/>
      <c r="S149" s="83"/>
      <c r="T149" s="83"/>
      <c r="U149" s="53"/>
      <c r="V149" s="53"/>
      <c r="W149" s="53"/>
      <c r="X149" s="53"/>
      <c r="AA149" s="37">
        <v>36</v>
      </c>
      <c r="AB149" s="37">
        <v>0.26</v>
      </c>
      <c r="AC149" s="37"/>
    </row>
    <row r="150" spans="1:30" ht="21">
      <c r="A150" s="1608"/>
      <c r="B150" s="882"/>
      <c r="C150" s="885" t="s">
        <v>578</v>
      </c>
      <c r="D150" s="931"/>
      <c r="E150" s="940" t="str">
        <f>IF($W$106+$W$107&lt;&gt;0,($W$106*0.05)+($W$107*0.1),"-")</f>
        <v>-</v>
      </c>
      <c r="F150" s="882" t="str">
        <f t="shared" si="14"/>
        <v>-</v>
      </c>
      <c r="G150" s="882" t="s">
        <v>0</v>
      </c>
      <c r="H150" s="884"/>
      <c r="I150" s="883" t="s">
        <v>4210</v>
      </c>
      <c r="J150" s="1615"/>
      <c r="K150" s="1632"/>
      <c r="L150" s="83" t="str">
        <f>IF($Y$102="一般案",C189,C190)</f>
        <v>伸縮縫</v>
      </c>
      <c r="M150" s="84"/>
      <c r="N150" s="84" t="str">
        <f t="shared" si="1"/>
        <v>-</v>
      </c>
      <c r="O150" s="84" t="str">
        <f t="shared" si="2"/>
        <v>M</v>
      </c>
      <c r="P150" s="84" t="str">
        <f t="shared" si="3"/>
        <v>-</v>
      </c>
      <c r="Q150" s="84">
        <f t="shared" si="4"/>
        <v>0</v>
      </c>
      <c r="R150" s="83"/>
      <c r="S150" s="83"/>
      <c r="T150" s="83"/>
      <c r="U150" s="53"/>
      <c r="V150" s="53"/>
      <c r="W150" s="53"/>
      <c r="X150" s="53"/>
      <c r="AD150" t="str">
        <f>IF(AC154+AC155=0," ",AC154+AC155)</f>
        <v xml:space="preserve"> </v>
      </c>
    </row>
    <row r="151" spans="1:30" ht="94.5">
      <c r="A151" s="1608"/>
      <c r="B151" s="882"/>
      <c r="C151" s="885" t="s">
        <v>2972</v>
      </c>
      <c r="D151" s="931"/>
      <c r="E151" s="940" t="str">
        <f>IF($Y$112=0,"-",$Y$112*0.05)</f>
        <v>-</v>
      </c>
      <c r="F151" s="882" t="str">
        <f t="shared" si="14"/>
        <v>-</v>
      </c>
      <c r="G151" s="882" t="s">
        <v>0</v>
      </c>
      <c r="H151" s="884" t="s">
        <v>4211</v>
      </c>
      <c r="I151" s="883" t="s">
        <v>4247</v>
      </c>
      <c r="K151" s="4"/>
      <c r="L151" s="53"/>
      <c r="R151" s="53"/>
      <c r="S151" s="53"/>
      <c r="T151" s="53"/>
      <c r="U151" s="53"/>
      <c r="V151" s="53"/>
      <c r="W151" s="53"/>
      <c r="X151" s="53"/>
    </row>
    <row r="152" spans="1:30" ht="94.5">
      <c r="A152" s="1608"/>
      <c r="B152" s="882"/>
      <c r="C152" s="885" t="s">
        <v>2897</v>
      </c>
      <c r="D152" s="931"/>
      <c r="E152" s="940" t="str">
        <f>IF($X$113=0,"-",$X$113*0.05)</f>
        <v>-</v>
      </c>
      <c r="F152" s="882" t="str">
        <f t="shared" si="14"/>
        <v>-</v>
      </c>
      <c r="G152" s="882" t="s">
        <v>0</v>
      </c>
      <c r="H152" s="884" t="s">
        <v>4227</v>
      </c>
      <c r="I152" s="883" t="s">
        <v>4247</v>
      </c>
      <c r="K152" s="4"/>
      <c r="L152" s="53"/>
      <c r="R152" s="53"/>
      <c r="S152" s="53"/>
      <c r="T152" s="53"/>
      <c r="U152" s="53"/>
      <c r="V152" s="53"/>
      <c r="W152" s="53"/>
      <c r="X152" s="53"/>
    </row>
    <row r="153" spans="1:30" ht="94.5">
      <c r="A153" s="1608"/>
      <c r="B153" s="882"/>
      <c r="C153" s="885" t="s">
        <v>2553</v>
      </c>
      <c r="D153" s="931"/>
      <c r="E153" s="940" t="str">
        <f>Y117</f>
        <v>-</v>
      </c>
      <c r="F153" s="882" t="str">
        <f t="shared" si="14"/>
        <v>-</v>
      </c>
      <c r="G153" s="882" t="s">
        <v>0</v>
      </c>
      <c r="H153" s="884" t="s">
        <v>4211</v>
      </c>
      <c r="I153" s="883" t="s">
        <v>4247</v>
      </c>
      <c r="K153" s="4"/>
      <c r="L153" s="53"/>
      <c r="R153" s="53"/>
      <c r="S153" s="53"/>
      <c r="T153" s="53"/>
      <c r="U153" s="53"/>
      <c r="V153" s="53"/>
      <c r="W153" s="53"/>
      <c r="X153" s="53"/>
    </row>
    <row r="154" spans="1:30" ht="94.5">
      <c r="A154" s="1608"/>
      <c r="B154" s="882"/>
      <c r="C154" s="885" t="s">
        <v>2550</v>
      </c>
      <c r="D154" s="931"/>
      <c r="E154" s="940" t="str">
        <f>IF($Y$115=0,"-",$Y$115*0.05)</f>
        <v>-</v>
      </c>
      <c r="F154" s="882" t="str">
        <f t="shared" si="14"/>
        <v>-</v>
      </c>
      <c r="G154" s="882" t="s">
        <v>0</v>
      </c>
      <c r="H154" s="884" t="s">
        <v>4227</v>
      </c>
      <c r="I154" s="883" t="s">
        <v>4247</v>
      </c>
      <c r="K154" s="4"/>
      <c r="L154" s="53"/>
      <c r="R154" s="53"/>
      <c r="S154" s="53"/>
      <c r="T154" s="53"/>
      <c r="U154" s="53"/>
      <c r="V154" s="53"/>
      <c r="W154" s="53"/>
      <c r="X154" s="53"/>
      <c r="AA154" s="37" t="s">
        <v>2957</v>
      </c>
      <c r="AB154" s="37" t="s">
        <v>568</v>
      </c>
      <c r="AC154" s="37">
        <f>IFERROR(VLOOKUP(AB154,$C$3:$H$55,4,FALSE),0)</f>
        <v>0</v>
      </c>
    </row>
    <row r="155" spans="1:30" ht="94.5">
      <c r="A155" s="1608"/>
      <c r="B155" s="882"/>
      <c r="C155" s="885" t="s">
        <v>2547</v>
      </c>
      <c r="D155" s="931"/>
      <c r="E155" s="940" t="str">
        <f>IF($X$116=0,"-",$X$116*0.05)</f>
        <v>-</v>
      </c>
      <c r="F155" s="882" t="str">
        <f t="shared" si="14"/>
        <v>-</v>
      </c>
      <c r="G155" s="882" t="s">
        <v>0</v>
      </c>
      <c r="H155" s="884" t="s">
        <v>4227</v>
      </c>
      <c r="I155" s="883" t="s">
        <v>4247</v>
      </c>
      <c r="K155" s="4"/>
      <c r="L155" s="53"/>
      <c r="R155" s="53"/>
      <c r="S155" s="53"/>
      <c r="T155" s="53"/>
      <c r="U155" s="53"/>
      <c r="V155" s="53"/>
      <c r="W155" s="53"/>
      <c r="X155" s="53"/>
      <c r="AA155" s="37">
        <v>40</v>
      </c>
      <c r="AB155" s="37">
        <v>8.9600000000000009</v>
      </c>
      <c r="AC155" s="37">
        <f>IFERROR(VLOOKUP(AB155,$C$3:$H$55,4,FALSE),0)</f>
        <v>0</v>
      </c>
    </row>
    <row r="156" spans="1:30" ht="42">
      <c r="A156" s="1608"/>
      <c r="B156" s="882"/>
      <c r="C156" s="885" t="s">
        <v>2518</v>
      </c>
      <c r="D156" s="931"/>
      <c r="E156" s="940" t="str">
        <f>IF($W$106+$W$107&lt;=50,"1","-")</f>
        <v>1</v>
      </c>
      <c r="F156" s="882" t="str">
        <f t="shared" si="14"/>
        <v>-</v>
      </c>
      <c r="G156" s="882" t="s">
        <v>2238</v>
      </c>
      <c r="H156" s="884" t="s">
        <v>4227</v>
      </c>
      <c r="I156" s="883" t="s">
        <v>4248</v>
      </c>
      <c r="K156" s="4"/>
      <c r="L156" s="53"/>
      <c r="R156" s="53"/>
      <c r="S156" s="53"/>
      <c r="T156" s="53"/>
      <c r="U156" s="53"/>
      <c r="V156" s="53"/>
      <c r="W156" s="53"/>
      <c r="X156" s="53"/>
      <c r="AA156" s="37"/>
      <c r="AB156" s="37" t="s">
        <v>2958</v>
      </c>
      <c r="AC156" s="37">
        <f>IFERROR(VLOOKUP(AB156,$C$3:$H$55,4,FALSE),0)</f>
        <v>0</v>
      </c>
    </row>
    <row r="157" spans="1:30" ht="42">
      <c r="A157" s="1608"/>
      <c r="B157" s="882"/>
      <c r="C157" s="885" t="s">
        <v>2527</v>
      </c>
      <c r="D157" s="931"/>
      <c r="E157" s="940" t="str">
        <f>IF($W$106+$W$107&gt;50,"1","-")</f>
        <v>-</v>
      </c>
      <c r="F157" s="882" t="str">
        <f t="shared" si="14"/>
        <v>-</v>
      </c>
      <c r="G157" s="882" t="s">
        <v>2238</v>
      </c>
      <c r="H157" s="884" t="s">
        <v>4227</v>
      </c>
      <c r="I157" s="883" t="s">
        <v>4248</v>
      </c>
      <c r="K157" s="4"/>
      <c r="L157" s="53"/>
      <c r="R157" s="53"/>
      <c r="S157" s="53"/>
      <c r="T157" s="53"/>
      <c r="U157" s="53"/>
      <c r="V157" s="53"/>
      <c r="W157" s="53"/>
      <c r="X157" s="53"/>
    </row>
    <row r="158" spans="1:30" ht="42">
      <c r="A158" s="1608"/>
      <c r="B158" s="882"/>
      <c r="C158" s="885" t="s">
        <v>2530</v>
      </c>
      <c r="D158" s="931"/>
      <c r="E158" s="940" t="str">
        <f>IF($W$106+$W$107&lt;=50,"1","-")</f>
        <v>1</v>
      </c>
      <c r="F158" s="882" t="str">
        <f t="shared" si="14"/>
        <v>-</v>
      </c>
      <c r="G158" s="882" t="s">
        <v>2238</v>
      </c>
      <c r="H158" s="884" t="s">
        <v>4227</v>
      </c>
      <c r="I158" s="883" t="s">
        <v>4248</v>
      </c>
      <c r="K158" s="4"/>
      <c r="L158" s="53"/>
      <c r="R158" s="53"/>
      <c r="S158" s="53"/>
      <c r="T158" s="53"/>
      <c r="U158" s="53"/>
      <c r="V158" s="53"/>
      <c r="W158" s="53"/>
      <c r="X158" s="53"/>
    </row>
    <row r="159" spans="1:30" ht="42">
      <c r="A159" s="1608"/>
      <c r="B159" s="882"/>
      <c r="C159" s="885" t="s">
        <v>2537</v>
      </c>
      <c r="D159" s="931"/>
      <c r="E159" s="940" t="str">
        <f>IF($W$106+$W$107&gt;50,"1","-")</f>
        <v>-</v>
      </c>
      <c r="F159" s="882" t="str">
        <f t="shared" si="14"/>
        <v>-</v>
      </c>
      <c r="G159" s="882" t="s">
        <v>2238</v>
      </c>
      <c r="H159" s="884" t="s">
        <v>4227</v>
      </c>
      <c r="I159" s="883" t="s">
        <v>4248</v>
      </c>
      <c r="L159" s="53"/>
      <c r="R159" s="53"/>
      <c r="S159" s="53"/>
      <c r="T159" s="53"/>
      <c r="U159" s="53"/>
      <c r="V159" s="53"/>
      <c r="W159" s="53"/>
      <c r="X159" s="53"/>
    </row>
    <row r="160" spans="1:30" ht="42">
      <c r="A160" s="1608"/>
      <c r="B160" s="882"/>
      <c r="C160" s="885" t="s">
        <v>2954</v>
      </c>
      <c r="D160" s="931"/>
      <c r="E160" s="940">
        <f>IF(E161&lt;&gt;0,1,"-")</f>
        <v>1</v>
      </c>
      <c r="F160" s="882" t="str">
        <f t="shared" si="14"/>
        <v>-</v>
      </c>
      <c r="G160" s="882" t="s">
        <v>2490</v>
      </c>
      <c r="H160" s="884" t="s">
        <v>4227</v>
      </c>
      <c r="I160" s="883" t="s">
        <v>4249</v>
      </c>
      <c r="L160" s="53"/>
      <c r="R160" s="53"/>
      <c r="S160" s="53"/>
      <c r="T160" s="53"/>
      <c r="U160" s="53"/>
      <c r="V160" s="53"/>
      <c r="W160" s="53"/>
      <c r="X160" s="53"/>
    </row>
    <row r="161" spans="1:28" ht="42">
      <c r="A161" s="1609"/>
      <c r="B161" s="882"/>
      <c r="C161" s="885" t="s">
        <v>801</v>
      </c>
      <c r="D161" s="931" t="s">
        <v>4276</v>
      </c>
      <c r="E161" s="940" t="str">
        <f>AE144</f>
        <v>-</v>
      </c>
      <c r="F161" s="882" t="str">
        <f t="shared" si="14"/>
        <v>-</v>
      </c>
      <c r="G161" s="882" t="s">
        <v>927</v>
      </c>
      <c r="H161" s="884" t="s">
        <v>4211</v>
      </c>
      <c r="I161" s="883" t="s">
        <v>4216</v>
      </c>
      <c r="L161" s="53"/>
      <c r="R161" s="53"/>
      <c r="S161" s="53"/>
      <c r="T161" s="53"/>
      <c r="U161" s="53"/>
      <c r="V161" s="53"/>
      <c r="W161" s="53"/>
      <c r="X161" s="53"/>
      <c r="AA161">
        <v>54</v>
      </c>
      <c r="AB161">
        <v>7.15</v>
      </c>
    </row>
    <row r="162" spans="1:28">
      <c r="A162" s="904"/>
      <c r="B162" s="905"/>
      <c r="C162" s="906"/>
      <c r="D162" s="932"/>
      <c r="E162" s="941"/>
      <c r="F162" s="905"/>
      <c r="G162" s="905"/>
      <c r="H162" s="907"/>
      <c r="I162" s="908"/>
      <c r="L162" s="53"/>
      <c r="R162" s="53"/>
      <c r="S162" s="53"/>
      <c r="T162" s="53"/>
      <c r="U162" s="53"/>
      <c r="V162" s="53"/>
      <c r="W162" s="53"/>
      <c r="X162" s="53"/>
    </row>
    <row r="163" spans="1:28" ht="21">
      <c r="A163" s="909"/>
      <c r="B163" s="887"/>
      <c r="C163" s="910" t="s">
        <v>913</v>
      </c>
      <c r="D163" s="933"/>
      <c r="E163" s="942" t="s">
        <v>2931</v>
      </c>
      <c r="F163" s="887" t="str">
        <f>IFERROR(VLOOKUP(C163,$C$3:$H$60,4,FALSE),"-")</f>
        <v>-</v>
      </c>
      <c r="G163" s="887" t="s">
        <v>4260</v>
      </c>
      <c r="H163" s="890" t="s">
        <v>4211</v>
      </c>
      <c r="I163" s="888"/>
      <c r="L163" s="53"/>
      <c r="R163" s="53"/>
      <c r="S163" s="53"/>
      <c r="T163" s="53"/>
      <c r="U163" s="53"/>
      <c r="V163" s="53"/>
      <c r="W163" s="53"/>
      <c r="X163" s="53"/>
    </row>
    <row r="164" spans="1:28">
      <c r="A164" s="909"/>
      <c r="B164" s="887"/>
      <c r="C164" s="910" t="s">
        <v>912</v>
      </c>
      <c r="D164" s="933"/>
      <c r="E164" s="942" t="s">
        <v>2931</v>
      </c>
      <c r="F164" s="887" t="str">
        <f>IFERROR(VLOOKUP(C164,$C$3:$H$60,4,FALSE),"-")</f>
        <v>-</v>
      </c>
      <c r="G164" s="887" t="s">
        <v>4260</v>
      </c>
      <c r="H164" s="890" t="s">
        <v>4211</v>
      </c>
      <c r="I164" s="888"/>
      <c r="L164" s="53"/>
      <c r="R164" s="53"/>
      <c r="S164" s="53"/>
      <c r="T164" s="53"/>
      <c r="U164" s="53"/>
      <c r="V164" s="53"/>
      <c r="W164" s="53"/>
      <c r="X164" s="53"/>
    </row>
    <row r="165" spans="1:28">
      <c r="A165" s="909"/>
      <c r="B165" s="887"/>
      <c r="C165" s="910" t="s">
        <v>3659</v>
      </c>
      <c r="D165" s="933" t="s">
        <v>4300</v>
      </c>
      <c r="E165" s="942" t="s">
        <v>2931</v>
      </c>
      <c r="F165" s="887" t="str">
        <f>IFERROR(VLOOKUP(C165,$C$3:$H$60,4,FALSE),"-")</f>
        <v>-</v>
      </c>
      <c r="G165" s="887" t="s">
        <v>4260</v>
      </c>
      <c r="H165" s="890" t="s">
        <v>4211</v>
      </c>
      <c r="I165" s="888"/>
      <c r="L165" s="53"/>
      <c r="R165" s="53"/>
      <c r="S165" s="53"/>
      <c r="T165" s="53"/>
      <c r="U165" s="53"/>
      <c r="V165" s="53"/>
      <c r="W165" s="53"/>
      <c r="X165" s="53"/>
    </row>
    <row r="166" spans="1:28">
      <c r="A166" s="909"/>
      <c r="B166" s="887"/>
      <c r="C166" s="910"/>
      <c r="D166" s="933"/>
      <c r="E166" s="942"/>
      <c r="F166" s="887"/>
      <c r="G166" s="887"/>
      <c r="H166" s="890"/>
      <c r="I166" s="888"/>
      <c r="L166" s="53"/>
      <c r="R166" s="53"/>
      <c r="S166" s="53"/>
      <c r="T166" s="53"/>
      <c r="U166" s="53"/>
      <c r="V166" s="53"/>
      <c r="W166" s="53"/>
      <c r="X166" s="53"/>
    </row>
    <row r="167" spans="1:28">
      <c r="A167" s="873"/>
      <c r="B167" s="832"/>
      <c r="C167" s="870"/>
      <c r="D167" s="862"/>
      <c r="E167" s="939"/>
      <c r="F167" s="832"/>
      <c r="G167" s="832"/>
      <c r="H167" s="860"/>
      <c r="I167" s="868"/>
      <c r="L167" s="53"/>
      <c r="R167" s="53"/>
      <c r="S167" s="53"/>
      <c r="T167" s="53"/>
      <c r="U167" s="53"/>
      <c r="V167" s="53"/>
      <c r="W167" s="53"/>
      <c r="X167" s="53"/>
      <c r="AA167">
        <v>64</v>
      </c>
      <c r="AB167">
        <v>179.11</v>
      </c>
    </row>
    <row r="168" spans="1:28" ht="199.5">
      <c r="A168" s="891"/>
      <c r="B168" s="887"/>
      <c r="C168" s="888" t="s">
        <v>1774</v>
      </c>
      <c r="D168" s="901"/>
      <c r="E168" s="937" t="str">
        <f>IF($W$105=0,"-",
IF(AND($Y$102="一般案",$W$105&lt;=50),"12",
IF(AND($Y$102="搶修案",$W$105&lt;=10),"4",
IF(AND($Y$102="搶修案",$W$105&gt;10),"12",
IF(AND($Y$102="一般案",$W$105&gt;50),ROUND((12+($W$105-50)/50),
))))))</f>
        <v>4</v>
      </c>
      <c r="F168" s="887" t="str">
        <f t="shared" ref="F168:F190" si="15">IFERROR(VLOOKUP(C168,$C$3:$H$60,4,FALSE),"-")</f>
        <v>-</v>
      </c>
      <c r="G168" s="887" t="s">
        <v>927</v>
      </c>
      <c r="H168" s="890" t="s">
        <v>4227</v>
      </c>
      <c r="I168" s="888" t="s">
        <v>4250</v>
      </c>
      <c r="L168" s="53"/>
      <c r="R168" s="53"/>
      <c r="S168" s="53"/>
      <c r="T168" s="53"/>
      <c r="U168" s="53"/>
      <c r="V168" s="53"/>
      <c r="W168" s="53"/>
      <c r="X168" s="53"/>
    </row>
    <row r="169" spans="1:28" ht="115.5">
      <c r="A169" s="894"/>
      <c r="B169" s="887"/>
      <c r="C169" s="888" t="s">
        <v>3007</v>
      </c>
      <c r="D169" s="901"/>
      <c r="E169" s="937" t="str">
        <f>IF($W$105=0,"-",
IF(AND($Y$102="一般案",$W$105&lt;=50),"12",
IF(AND($Y$102="搶修案",$W$105&lt;=10),"4",
IF(AND($Y$102="搶修案",$W$105&gt;10),"12",
IF(AND($Y$102="一般案",$W$105&gt;50),ROUND((12+($W$105-50)/50),
))))))</f>
        <v>4</v>
      </c>
      <c r="F169" s="887" t="str">
        <f t="shared" si="15"/>
        <v>-</v>
      </c>
      <c r="G169" s="887" t="s">
        <v>927</v>
      </c>
      <c r="H169" s="890" t="s">
        <v>4227</v>
      </c>
      <c r="I169" s="888" t="s">
        <v>4251</v>
      </c>
      <c r="L169" s="53"/>
      <c r="R169" s="53"/>
      <c r="S169" s="53"/>
      <c r="T169" s="53"/>
      <c r="U169" s="53"/>
      <c r="V169" s="53"/>
      <c r="W169" s="53"/>
      <c r="X169" s="53"/>
    </row>
    <row r="170" spans="1:28" ht="21">
      <c r="A170" s="894"/>
      <c r="B170" s="887"/>
      <c r="C170" s="888" t="s">
        <v>2996</v>
      </c>
      <c r="D170" s="901"/>
      <c r="E170" s="937" t="e">
        <f>E169+E161+E168</f>
        <v>#VALUE!</v>
      </c>
      <c r="F170" s="887" t="str">
        <f t="shared" si="15"/>
        <v>-</v>
      </c>
      <c r="G170" s="887" t="s">
        <v>927</v>
      </c>
      <c r="H170" s="890" t="s">
        <v>4211</v>
      </c>
      <c r="I170" s="888" t="s">
        <v>4234</v>
      </c>
      <c r="L170" s="53"/>
      <c r="R170" s="53"/>
      <c r="S170" s="53"/>
      <c r="T170" s="53"/>
      <c r="U170" s="53"/>
      <c r="V170" s="53"/>
      <c r="W170" s="53"/>
      <c r="X170" s="53"/>
    </row>
    <row r="171" spans="1:28" ht="105">
      <c r="A171" s="894"/>
      <c r="B171" s="887"/>
      <c r="C171" s="888" t="s">
        <v>794</v>
      </c>
      <c r="D171" s="901"/>
      <c r="E171" s="937" t="str">
        <f>IF($W$105=0,"-",
IF(AND($Y$102="一般案",$W$105&lt;=50),"8",
IF(AND($Y$102="搶修案",$W$105&lt;=10),"4",
IF(AND($Y$102="搶修案",$W$105&gt;10),"8",
IF(AND($Y$102="一般案",$W$105&gt;50),ROUND((8+($W$105-50)/50),
))))))</f>
        <v>4</v>
      </c>
      <c r="F171" s="887" t="str">
        <f t="shared" si="15"/>
        <v>-</v>
      </c>
      <c r="G171" s="887" t="s">
        <v>927</v>
      </c>
      <c r="H171" s="890" t="s">
        <v>4227</v>
      </c>
      <c r="I171" s="888" t="s">
        <v>4252</v>
      </c>
      <c r="L171" s="53"/>
      <c r="R171" s="53"/>
      <c r="S171" s="53"/>
      <c r="T171" s="53"/>
      <c r="U171" s="53"/>
      <c r="V171" s="53"/>
      <c r="W171" s="53"/>
      <c r="X171" s="53"/>
    </row>
    <row r="172" spans="1:28" ht="105.75" thickBot="1">
      <c r="A172" s="894"/>
      <c r="B172" s="887"/>
      <c r="C172" s="888" t="s">
        <v>1078</v>
      </c>
      <c r="D172" s="901"/>
      <c r="E172" s="937" t="str">
        <f>IF($W$105=0,"-",
IF(AND($Y$102="一般案",$W$105&lt;=50),"8",
IF(AND($Y$102="搶修案",$W$105&lt;=10),"4",
IF(AND($Y$102="搶修案",$W$105&gt;10),"8",
IF(AND($Y$102="一般案",$W$105&gt;50),ROUND((8+($W$105-50)/50),
))))))</f>
        <v>4</v>
      </c>
      <c r="F172" s="887" t="str">
        <f t="shared" si="15"/>
        <v>-</v>
      </c>
      <c r="G172" s="887" t="s">
        <v>927</v>
      </c>
      <c r="H172" s="890" t="s">
        <v>4227</v>
      </c>
      <c r="I172" s="888" t="s">
        <v>4252</v>
      </c>
      <c r="R172" s="53"/>
      <c r="S172" s="53"/>
      <c r="T172" s="53"/>
      <c r="U172" s="53"/>
      <c r="V172" s="53"/>
      <c r="W172" s="53"/>
      <c r="X172" s="53"/>
    </row>
    <row r="173" spans="1:28" ht="63">
      <c r="A173" s="894"/>
      <c r="B173" s="887"/>
      <c r="C173" s="888" t="s">
        <v>514</v>
      </c>
      <c r="D173" s="901" t="s">
        <v>4299</v>
      </c>
      <c r="E173" s="937">
        <f>2*$W$104/2</f>
        <v>0</v>
      </c>
      <c r="F173" s="887" t="str">
        <f t="shared" si="15"/>
        <v>-</v>
      </c>
      <c r="G173" s="887" t="s">
        <v>927</v>
      </c>
      <c r="H173" s="890" t="s">
        <v>4227</v>
      </c>
      <c r="I173" s="888" t="s">
        <v>4217</v>
      </c>
      <c r="K173" s="61">
        <v>1</v>
      </c>
      <c r="L173" s="59" t="s">
        <v>790</v>
      </c>
      <c r="M173" s="1640" t="s">
        <v>2911</v>
      </c>
      <c r="N173" s="1641" t="s">
        <v>2912</v>
      </c>
      <c r="O173" s="61" t="s">
        <v>794</v>
      </c>
      <c r="P173" s="65"/>
      <c r="Q173" s="65"/>
      <c r="R173" s="75" t="str">
        <f>IF($W$105=0,"-",
IF($W$105&lt;=50,"8時",
IF($W$105&gt;50,ROUND((8+($W$105-50)/50),2)&amp;"時")))</f>
        <v>8時</v>
      </c>
      <c r="S173" s="75" t="str">
        <f>IF($W$105=0,"-",
IF($W$105&lt;=10,"4時",
IF($W$105&gt;10,"8時")))</f>
        <v>4時</v>
      </c>
      <c r="T173" s="911"/>
      <c r="U173" s="911"/>
      <c r="V173" s="911"/>
      <c r="W173" s="911"/>
      <c r="X173" s="60" t="str">
        <f t="shared" ref="X173:X180" si="16">IFERROR(VLOOKUP(O173,$C$3:$H$55,4,FALSE)&amp;"時"," ")</f>
        <v xml:space="preserve"> </v>
      </c>
      <c r="AA173">
        <v>67</v>
      </c>
      <c r="AB173">
        <v>4.08</v>
      </c>
    </row>
    <row r="174" spans="1:28" ht="63">
      <c r="A174" s="894"/>
      <c r="B174" s="887"/>
      <c r="C174" s="888" t="s">
        <v>2433</v>
      </c>
      <c r="D174" s="901" t="s">
        <v>4299</v>
      </c>
      <c r="E174" s="937">
        <f>2*$W$104/2</f>
        <v>0</v>
      </c>
      <c r="F174" s="887" t="str">
        <f t="shared" si="15"/>
        <v>-</v>
      </c>
      <c r="G174" s="887" t="s">
        <v>927</v>
      </c>
      <c r="H174" s="890" t="s">
        <v>4227</v>
      </c>
      <c r="I174" s="888" t="s">
        <v>4225</v>
      </c>
      <c r="K174" s="65"/>
      <c r="L174" s="63"/>
      <c r="M174" s="1635"/>
      <c r="N174" s="1638"/>
      <c r="O174" s="65" t="s">
        <v>795</v>
      </c>
      <c r="P174" s="65"/>
      <c r="Q174" s="65"/>
      <c r="R174" s="76" t="str">
        <f>IF($W$105=0,"-",
IF($W$105&lt;=50,"8時",
IF($W$105&gt;50,ROUND((8+($W$105-50)/50),2)&amp;"時")))</f>
        <v>8時</v>
      </c>
      <c r="S174" s="76" t="str">
        <f>IF($W$105=0,"-",
IF($W$105&lt;=10,"4時",
IF($W$105&gt;10,"8時")))</f>
        <v>4時</v>
      </c>
      <c r="T174" s="912"/>
      <c r="U174" s="912"/>
      <c r="V174" s="912"/>
      <c r="W174" s="912"/>
      <c r="X174" s="64" t="str">
        <f t="shared" si="16"/>
        <v xml:space="preserve"> </v>
      </c>
    </row>
    <row r="175" spans="1:28" ht="63">
      <c r="A175" s="894"/>
      <c r="B175" s="887"/>
      <c r="C175" s="888" t="s">
        <v>2438</v>
      </c>
      <c r="D175" s="901" t="s">
        <v>4299</v>
      </c>
      <c r="E175" s="937">
        <f>2*$W$104/2</f>
        <v>0</v>
      </c>
      <c r="F175" s="887" t="str">
        <f t="shared" si="15"/>
        <v>-</v>
      </c>
      <c r="G175" s="887" t="s">
        <v>927</v>
      </c>
      <c r="H175" s="890" t="s">
        <v>4227</v>
      </c>
      <c r="I175" s="888" t="s">
        <v>4225</v>
      </c>
      <c r="K175" s="65"/>
      <c r="L175" s="63"/>
      <c r="M175" s="1635"/>
      <c r="N175" s="1638"/>
      <c r="O175" s="65" t="s">
        <v>796</v>
      </c>
      <c r="P175" s="65"/>
      <c r="Q175" s="65"/>
      <c r="R175" s="76" t="str">
        <f>IF($W$105=0,"-",
IF($W$105&lt;=50,"12時",
IF($W$105&gt;50,ROUND((12+($W$105-50)/50),2)&amp;"時")))</f>
        <v>12時</v>
      </c>
      <c r="S175" s="76" t="str">
        <f>IF($W$105=0,"-",
IF($W$105&lt;=10,"4時",
IF($W$105&gt;10,"12時")))</f>
        <v>4時</v>
      </c>
      <c r="T175" s="912"/>
      <c r="U175" s="912"/>
      <c r="V175" s="912"/>
      <c r="W175" s="912"/>
      <c r="X175" s="64" t="str">
        <f t="shared" si="16"/>
        <v xml:space="preserve"> </v>
      </c>
    </row>
    <row r="176" spans="1:28" ht="21.75" thickBot="1">
      <c r="A176" s="894"/>
      <c r="B176" s="898"/>
      <c r="C176" s="888" t="s">
        <v>515</v>
      </c>
      <c r="D176" s="901" t="s">
        <v>4298</v>
      </c>
      <c r="E176" s="937" t="s">
        <v>2931</v>
      </c>
      <c r="F176" s="887" t="str">
        <f t="shared" si="15"/>
        <v>-</v>
      </c>
      <c r="G176" s="887" t="s">
        <v>0</v>
      </c>
      <c r="H176" s="893" t="s">
        <v>4232</v>
      </c>
      <c r="I176" s="888" t="s">
        <v>4297</v>
      </c>
      <c r="K176" s="68"/>
      <c r="L176" s="66"/>
      <c r="M176" s="1636"/>
      <c r="N176" s="1639"/>
      <c r="O176" s="68" t="s">
        <v>797</v>
      </c>
      <c r="P176" s="65"/>
      <c r="Q176" s="65"/>
      <c r="R176" s="76" t="str">
        <f>IF($W$105=0,"0",
IF($W$105&lt;=50,"12",
IF($W$105&gt;50,ROUND((12+($W$105-50)/50),2))))</f>
        <v>12</v>
      </c>
      <c r="S176" s="76" t="str">
        <f>IF($W$105=0,"0",
IF($W$105&lt;=10,"4",
IF($W$105&gt;10,"12")))</f>
        <v>4</v>
      </c>
      <c r="T176" s="912"/>
      <c r="U176" s="912"/>
      <c r="V176" s="912"/>
      <c r="W176" s="912"/>
      <c r="X176" s="67" t="str">
        <f t="shared" si="16"/>
        <v xml:space="preserve"> </v>
      </c>
    </row>
    <row r="177" spans="1:28" ht="126">
      <c r="A177" s="894"/>
      <c r="B177" s="898"/>
      <c r="C177" s="888" t="s">
        <v>2617</v>
      </c>
      <c r="D177" s="901"/>
      <c r="E177" s="937">
        <f>$W$104</f>
        <v>0</v>
      </c>
      <c r="F177" s="887" t="str">
        <f t="shared" si="15"/>
        <v>-</v>
      </c>
      <c r="G177" s="887" t="s">
        <v>2618</v>
      </c>
      <c r="H177" s="899" t="s">
        <v>4228</v>
      </c>
      <c r="I177" s="888" t="s">
        <v>4218</v>
      </c>
      <c r="K177" s="65">
        <v>2</v>
      </c>
      <c r="L177" s="63" t="s">
        <v>798</v>
      </c>
      <c r="M177" s="1634"/>
      <c r="N177" s="1637"/>
      <c r="O177" s="65" t="s">
        <v>799</v>
      </c>
      <c r="P177" s="65"/>
      <c r="Q177" s="65"/>
      <c r="R177" s="76" t="str">
        <f>IF($W$105=0,"-",
IF($W$105&lt;=50,"12時",
IF($W$105&gt;50,ROUND((12+($W$105-50)/50),2)&amp;"時")))</f>
        <v>12時</v>
      </c>
      <c r="S177" s="76" t="str">
        <f>IF($W$105=0,"-",
IF($W$105&lt;=50,"12時",
IF($W$105&gt;50,ROUND((12+($W$105-50)/50),2)&amp;"時")))</f>
        <v>12時</v>
      </c>
      <c r="T177" s="912"/>
      <c r="U177" s="912"/>
      <c r="V177" s="912"/>
      <c r="W177" s="912"/>
      <c r="X177" s="64" t="str">
        <f t="shared" si="16"/>
        <v xml:space="preserve"> </v>
      </c>
    </row>
    <row r="178" spans="1:28" ht="126.75" thickBot="1">
      <c r="A178" s="894"/>
      <c r="B178" s="898"/>
      <c r="C178" s="888" t="s">
        <v>2626</v>
      </c>
      <c r="D178" s="901"/>
      <c r="E178" s="937">
        <f>$W$104</f>
        <v>0</v>
      </c>
      <c r="F178" s="887" t="str">
        <f t="shared" si="15"/>
        <v>-</v>
      </c>
      <c r="G178" s="887" t="s">
        <v>2618</v>
      </c>
      <c r="H178" s="899" t="s">
        <v>4228</v>
      </c>
      <c r="I178" s="888" t="s">
        <v>4226</v>
      </c>
      <c r="K178" s="65"/>
      <c r="L178" s="63"/>
      <c r="M178" s="1636"/>
      <c r="N178" s="1639"/>
      <c r="O178" s="65" t="s">
        <v>800</v>
      </c>
      <c r="P178" s="65"/>
      <c r="Q178" s="65"/>
      <c r="R178" s="76" t="str">
        <f>IF($W$105=0,"0",
IF($W$105&lt;=50,"12",
IF($W$105&gt;50,ROUND((12+($W$105-50)/50),2))))</f>
        <v>12</v>
      </c>
      <c r="S178" s="76" t="str">
        <f>IF($W$105=0,"0",
IF($W$105&lt;=50,"12",
IF($W$105&gt;50,ROUND((12+($W$105-50)/50),2))))</f>
        <v>12</v>
      </c>
      <c r="T178" s="912"/>
      <c r="U178" s="912"/>
      <c r="V178" s="912"/>
      <c r="W178" s="912"/>
      <c r="X178" s="64" t="str">
        <f t="shared" si="16"/>
        <v xml:space="preserve"> </v>
      </c>
    </row>
    <row r="179" spans="1:28" ht="21">
      <c r="A179" s="894"/>
      <c r="B179" s="898"/>
      <c r="C179" s="888" t="s">
        <v>2653</v>
      </c>
      <c r="D179" s="901" t="s">
        <v>4295</v>
      </c>
      <c r="E179" s="937" t="s">
        <v>2931</v>
      </c>
      <c r="F179" s="887" t="str">
        <f t="shared" si="15"/>
        <v>-</v>
      </c>
      <c r="G179" s="887" t="s">
        <v>17</v>
      </c>
      <c r="H179" s="893"/>
      <c r="I179" s="888" t="s">
        <v>4219</v>
      </c>
      <c r="K179" s="61">
        <v>3</v>
      </c>
      <c r="L179" s="59" t="s">
        <v>791</v>
      </c>
      <c r="M179" s="1634"/>
      <c r="N179" s="1637"/>
      <c r="O179" s="61" t="s">
        <v>801</v>
      </c>
      <c r="P179" s="106"/>
      <c r="Q179" s="106"/>
      <c r="R179" s="76" t="str">
        <f>IF(AE144=0,"本案無銑鋪",AE144&amp;"時")</f>
        <v>-時</v>
      </c>
      <c r="S179" s="76" t="str">
        <f>IF(AE144=0,"本案無銑鋪",AE144&amp;"時")</f>
        <v>-時</v>
      </c>
      <c r="T179" s="912"/>
      <c r="U179" s="912"/>
      <c r="V179" s="912"/>
      <c r="W179" s="912"/>
      <c r="X179" s="60" t="str">
        <f t="shared" si="16"/>
        <v xml:space="preserve"> </v>
      </c>
      <c r="AA179">
        <v>68</v>
      </c>
      <c r="AB179">
        <v>4.08</v>
      </c>
    </row>
    <row r="180" spans="1:28" ht="21.75" thickBot="1">
      <c r="A180" s="894"/>
      <c r="B180" s="900"/>
      <c r="C180" s="888" t="s">
        <v>2663</v>
      </c>
      <c r="D180" s="901" t="s">
        <v>4296</v>
      </c>
      <c r="E180" s="937" t="s">
        <v>2931</v>
      </c>
      <c r="F180" s="887" t="str">
        <f t="shared" si="15"/>
        <v>-</v>
      </c>
      <c r="G180" s="887" t="s">
        <v>17</v>
      </c>
      <c r="H180" s="893" t="s">
        <v>4227</v>
      </c>
      <c r="I180" s="888" t="s">
        <v>4220</v>
      </c>
      <c r="K180" s="68"/>
      <c r="L180" s="66"/>
      <c r="M180" s="1636"/>
      <c r="N180" s="1639"/>
      <c r="O180" s="68" t="s">
        <v>793</v>
      </c>
      <c r="P180" s="62"/>
      <c r="Q180" s="62"/>
      <c r="R180" s="76" t="str">
        <f>IF(AE144=0,"本案無銑鋪",AE144)</f>
        <v>-</v>
      </c>
      <c r="S180" s="76" t="str">
        <f>IF(AE144=0,"本案無銑鋪",AE144)</f>
        <v>-</v>
      </c>
      <c r="T180" s="912"/>
      <c r="U180" s="912"/>
      <c r="V180" s="912"/>
      <c r="W180" s="912"/>
      <c r="X180" s="67" t="str">
        <f t="shared" si="16"/>
        <v xml:space="preserve"> </v>
      </c>
    </row>
    <row r="181" spans="1:28" ht="105.75" thickBot="1">
      <c r="A181" s="894"/>
      <c r="B181" s="900"/>
      <c r="C181" s="888" t="s">
        <v>2860</v>
      </c>
      <c r="D181" s="901" t="s">
        <v>4294</v>
      </c>
      <c r="E181" s="937" t="s">
        <v>2931</v>
      </c>
      <c r="F181" s="887" t="str">
        <f t="shared" si="15"/>
        <v>-</v>
      </c>
      <c r="G181" s="887" t="s">
        <v>927</v>
      </c>
      <c r="H181" s="893" t="s">
        <v>4227</v>
      </c>
      <c r="I181" s="888" t="s">
        <v>4253</v>
      </c>
      <c r="K181" s="71">
        <v>4</v>
      </c>
      <c r="L181" s="69" t="s">
        <v>2895</v>
      </c>
      <c r="M181" s="63"/>
      <c r="N181" s="62"/>
      <c r="O181" s="65" t="s">
        <v>793</v>
      </c>
      <c r="P181" s="62"/>
      <c r="Q181" s="62"/>
      <c r="R181" s="76" t="e">
        <f>IF(R179="本案無銑鋪",(R176+R178)&amp;"時",
IF((R176+R178+R180)=0,"-",(R176+R178+R180)&amp;"時"))</f>
        <v>#VALUE!</v>
      </c>
      <c r="S181" s="76" t="e">
        <f>IF(S179="本案無銑鋪",(S176+S178)&amp;"時",
IF((S176+S178+S180)=0,"-",(S176+S178+S180)&amp;"時"))</f>
        <v>#VALUE!</v>
      </c>
      <c r="T181" s="912"/>
      <c r="U181" s="912"/>
      <c r="V181" s="912"/>
      <c r="W181" s="912"/>
      <c r="X181" s="64" t="str">
        <f>(IFERROR(VLOOKUP(O177,$C$3:$H$55,4,FALSE),"0")+IFERROR(VLOOKUP(O175,$C$3:$H$55,4,FALSE),"0")+IFERROR(VLOOKUP(O179,$C$3:$H$55,4,FALSE),"0"))&amp;"時"</f>
        <v>0時</v>
      </c>
    </row>
    <row r="182" spans="1:28" ht="105.75" thickBot="1">
      <c r="A182" s="894"/>
      <c r="B182" s="900"/>
      <c r="C182" s="888" t="s">
        <v>3423</v>
      </c>
      <c r="D182" s="901" t="s">
        <v>4294</v>
      </c>
      <c r="E182" s="937" t="s">
        <v>2931</v>
      </c>
      <c r="F182" s="887" t="str">
        <f t="shared" si="15"/>
        <v>-</v>
      </c>
      <c r="G182" s="887" t="s">
        <v>927</v>
      </c>
      <c r="H182" s="893" t="s">
        <v>4227</v>
      </c>
      <c r="I182" s="888" t="s">
        <v>4253</v>
      </c>
      <c r="K182" s="65">
        <v>5</v>
      </c>
      <c r="L182" s="63" t="s">
        <v>802</v>
      </c>
      <c r="M182" s="63"/>
      <c r="N182" s="62"/>
      <c r="O182" s="61" t="s">
        <v>762</v>
      </c>
      <c r="P182" s="62"/>
      <c r="Q182" s="62"/>
      <c r="R182" s="80" t="s">
        <v>2915</v>
      </c>
      <c r="S182" s="80"/>
      <c r="T182" s="912"/>
      <c r="U182" s="912"/>
      <c r="V182" s="912"/>
      <c r="W182" s="912"/>
      <c r="X182" s="60" t="str">
        <f>IFERROR(VLOOKUP(O182,$C$3:$H$55,4,FALSE)&amp;"次","無開立")</f>
        <v>無開立</v>
      </c>
    </row>
    <row r="183" spans="1:28" ht="105">
      <c r="A183" s="894"/>
      <c r="B183" s="892"/>
      <c r="C183" s="888" t="s">
        <v>3001</v>
      </c>
      <c r="D183" s="901" t="s">
        <v>4293</v>
      </c>
      <c r="E183" s="937" t="s">
        <v>2931</v>
      </c>
      <c r="F183" s="887" t="str">
        <f t="shared" si="15"/>
        <v>-</v>
      </c>
      <c r="G183" s="887" t="s">
        <v>927</v>
      </c>
      <c r="H183" s="893" t="s">
        <v>4227</v>
      </c>
      <c r="I183" s="888" t="s">
        <v>4253</v>
      </c>
      <c r="K183" s="85">
        <v>6</v>
      </c>
      <c r="L183" s="86" t="s">
        <v>2920</v>
      </c>
      <c r="M183" s="87"/>
      <c r="N183" s="96"/>
      <c r="O183" s="86" t="str">
        <f>IF($V$99="搶修案(北搶)","瀝青混凝土舖面，粗粒料9.5mm，針入度60-70，緊急搶修工程用，舖築及滾壓另計","瀝青混凝土舖面，粗粒料9.5mm，針入度60-70")</f>
        <v>瀝青混凝土舖面，粗粒料9.5mm，針入度60-70</v>
      </c>
      <c r="P183" s="921"/>
      <c r="Q183" s="921"/>
      <c r="R183" s="86" t="str">
        <f t="shared" ref="R183:R189" si="17">IFERROR(VLOOKUP(O183,$C$3:$H$55,4,FALSE)," ")</f>
        <v xml:space="preserve"> </v>
      </c>
      <c r="S183" s="86" t="str">
        <f t="shared" ref="S183:S190" si="18">IFERROR(VLOOKUP(O183,$C$3:$H$55,4,FALSE)," ")</f>
        <v xml:space="preserve"> </v>
      </c>
      <c r="T183" s="913"/>
      <c r="U183" s="913"/>
      <c r="V183" s="913"/>
      <c r="W183" s="913"/>
      <c r="X183" s="88" t="str">
        <f t="shared" ref="X183:X189" si="19">IFERROR(VLOOKUP(O183,$C$3:$H$55,4,FALSE)&amp;"m3"," ")</f>
        <v xml:space="preserve"> </v>
      </c>
    </row>
    <row r="184" spans="1:28" ht="336">
      <c r="A184" s="894"/>
      <c r="B184" s="892"/>
      <c r="C184" s="888" t="s">
        <v>2938</v>
      </c>
      <c r="D184" s="901" t="s">
        <v>4292</v>
      </c>
      <c r="E184" s="937" t="e">
        <f>IF($H$2&lt;250000,"1","-")</f>
        <v>#REF!</v>
      </c>
      <c r="F184" s="887" t="str">
        <f t="shared" si="15"/>
        <v>-</v>
      </c>
      <c r="G184" s="887" t="s">
        <v>2490</v>
      </c>
      <c r="H184" s="893" t="s">
        <v>4227</v>
      </c>
      <c r="I184" s="888" t="s">
        <v>4254</v>
      </c>
      <c r="K184" s="89"/>
      <c r="L184" s="83"/>
      <c r="M184" s="84"/>
      <c r="N184" s="97"/>
      <c r="O184" s="83" t="str">
        <f>IF($V$99="搶修案(北搶)","瀝青混凝土舖面，粗粒料19.0mm，針入度60-70，緊急搶修工程用，舖築及滾壓另計","瀝青混凝土舖面，粗粒料19.0mm，針入度60-70")</f>
        <v>瀝青混凝土舖面，粗粒料19.0mm，針入度60-70</v>
      </c>
      <c r="P184" s="83"/>
      <c r="Q184" s="83"/>
      <c r="R184" s="83" t="str">
        <f t="shared" si="17"/>
        <v xml:space="preserve"> </v>
      </c>
      <c r="S184" s="83" t="str">
        <f t="shared" si="18"/>
        <v xml:space="preserve"> </v>
      </c>
      <c r="T184" s="914"/>
      <c r="U184" s="914"/>
      <c r="V184" s="914"/>
      <c r="W184" s="914"/>
      <c r="X184" s="90" t="str">
        <f t="shared" si="19"/>
        <v xml:space="preserve"> </v>
      </c>
    </row>
    <row r="185" spans="1:28" ht="336">
      <c r="A185" s="894"/>
      <c r="B185" s="892"/>
      <c r="C185" s="888" t="s">
        <v>3379</v>
      </c>
      <c r="D185" s="901"/>
      <c r="E185" s="937" t="e">
        <f>IF($H$2&lt;250000,"1","-")</f>
        <v>#REF!</v>
      </c>
      <c r="F185" s="887" t="str">
        <f t="shared" si="15"/>
        <v>-</v>
      </c>
      <c r="G185" s="887" t="s">
        <v>2490</v>
      </c>
      <c r="H185" s="893"/>
      <c r="I185" s="888" t="s">
        <v>4241</v>
      </c>
      <c r="K185" s="89"/>
      <c r="L185" s="83"/>
      <c r="M185" s="84"/>
      <c r="N185" s="97"/>
      <c r="O185" s="83" t="s">
        <v>3639</v>
      </c>
      <c r="P185" s="83"/>
      <c r="Q185" s="83"/>
      <c r="R185" s="83" t="str">
        <f t="shared" si="17"/>
        <v xml:space="preserve"> </v>
      </c>
      <c r="S185" s="83" t="str">
        <f t="shared" si="18"/>
        <v xml:space="preserve"> </v>
      </c>
      <c r="T185" s="914"/>
      <c r="U185" s="914"/>
      <c r="V185" s="914"/>
      <c r="W185" s="914"/>
      <c r="X185" s="90" t="str">
        <f t="shared" si="19"/>
        <v xml:space="preserve"> </v>
      </c>
      <c r="AA185">
        <v>73</v>
      </c>
      <c r="AB185">
        <v>0.79</v>
      </c>
    </row>
    <row r="186" spans="1:28" ht="31.5">
      <c r="A186" s="894"/>
      <c r="B186" s="892"/>
      <c r="C186" s="888" t="s">
        <v>1250</v>
      </c>
      <c r="D186" s="901"/>
      <c r="E186" s="937" t="s">
        <v>2931</v>
      </c>
      <c r="F186" s="887" t="str">
        <f t="shared" si="15"/>
        <v>-</v>
      </c>
      <c r="G186" s="887" t="s">
        <v>17</v>
      </c>
      <c r="H186" s="893"/>
      <c r="I186" s="888" t="s">
        <v>4222</v>
      </c>
      <c r="K186" s="89"/>
      <c r="L186" s="83"/>
      <c r="M186" s="84"/>
      <c r="N186" s="97"/>
      <c r="O186" s="83" t="s">
        <v>3640</v>
      </c>
      <c r="P186" s="922"/>
      <c r="Q186" s="922"/>
      <c r="R186" s="83" t="str">
        <f t="shared" si="17"/>
        <v xml:space="preserve"> </v>
      </c>
      <c r="S186" s="83" t="str">
        <f t="shared" si="18"/>
        <v xml:space="preserve"> </v>
      </c>
      <c r="T186" s="914"/>
      <c r="U186" s="914"/>
      <c r="V186" s="914"/>
      <c r="W186" s="914"/>
      <c r="X186" s="90" t="str">
        <f t="shared" si="19"/>
        <v xml:space="preserve"> </v>
      </c>
    </row>
    <row r="187" spans="1:28" ht="31.5">
      <c r="A187" s="894"/>
      <c r="B187" s="892"/>
      <c r="C187" s="888" t="s">
        <v>4203</v>
      </c>
      <c r="D187" s="901"/>
      <c r="E187" s="937" t="s">
        <v>2931</v>
      </c>
      <c r="F187" s="887" t="str">
        <f t="shared" si="15"/>
        <v>-</v>
      </c>
      <c r="G187" s="887" t="s">
        <v>1689</v>
      </c>
      <c r="H187" s="893" t="s">
        <v>4233</v>
      </c>
      <c r="I187" s="888" t="s">
        <v>4223</v>
      </c>
      <c r="K187" s="91"/>
      <c r="L187" s="84"/>
      <c r="M187" s="84"/>
      <c r="N187" s="84"/>
      <c r="O187" s="83" t="str">
        <f>IF($V$99="搶修案(北搶)","瀝青混凝土面，再生粒料，粗粒料9.5mm，緊急搶修工程用，舖築及滾壓另計","再生瀝青混凝土鋪面，(密級配，30%回收料)，粗粒料9.5mm，零星工程用")</f>
        <v>再生瀝青混凝土鋪面，(密級配，30%回收料)，粗粒料9.5mm，零星工程用</v>
      </c>
      <c r="P187" s="923"/>
      <c r="Q187" s="923"/>
      <c r="R187" s="83" t="str">
        <f t="shared" si="17"/>
        <v xml:space="preserve"> </v>
      </c>
      <c r="S187" s="83" t="str">
        <f t="shared" si="18"/>
        <v xml:space="preserve"> </v>
      </c>
      <c r="T187" s="914"/>
      <c r="U187" s="914"/>
      <c r="V187" s="914"/>
      <c r="W187" s="914"/>
      <c r="X187" s="90" t="str">
        <f t="shared" si="19"/>
        <v xml:space="preserve"> </v>
      </c>
    </row>
    <row r="188" spans="1:28" ht="31.5">
      <c r="A188" s="894"/>
      <c r="B188" s="892"/>
      <c r="C188" s="888" t="s">
        <v>4204</v>
      </c>
      <c r="D188" s="901"/>
      <c r="E188" s="937" t="s">
        <v>2931</v>
      </c>
      <c r="F188" s="887" t="str">
        <f t="shared" si="15"/>
        <v>-</v>
      </c>
      <c r="G188" s="887" t="s">
        <v>1689</v>
      </c>
      <c r="H188" s="893" t="s">
        <v>4233</v>
      </c>
      <c r="I188" s="888" t="s">
        <v>4224</v>
      </c>
      <c r="K188" s="91"/>
      <c r="L188" s="84"/>
      <c r="M188" s="84"/>
      <c r="N188" s="84"/>
      <c r="O188" s="83" t="str">
        <f>IF($V$99="搶修案(北搶)","瀝青混凝土面，再生粒料，粗粒料19.0mm，緊急搶修工程用，舖築及滾壓另計","再生瀝青混凝土鋪面，(密級配，30%回收料)，粗粒料19.0mm，零星工程用")</f>
        <v>再生瀝青混凝土鋪面，(密級配，30%回收料)，粗粒料19.0mm，零星工程用</v>
      </c>
      <c r="P188" s="924"/>
      <c r="Q188" s="924"/>
      <c r="R188" s="83" t="str">
        <f t="shared" si="17"/>
        <v xml:space="preserve"> </v>
      </c>
      <c r="S188" s="83" t="str">
        <f t="shared" si="18"/>
        <v xml:space="preserve"> </v>
      </c>
      <c r="T188" s="914"/>
      <c r="U188" s="914"/>
      <c r="V188" s="914"/>
      <c r="W188" s="914"/>
      <c r="X188" s="90" t="str">
        <f t="shared" si="19"/>
        <v xml:space="preserve"> </v>
      </c>
    </row>
    <row r="189" spans="1:28" ht="31.5">
      <c r="A189" s="894"/>
      <c r="B189" s="892"/>
      <c r="C189" s="888" t="s">
        <v>4240</v>
      </c>
      <c r="D189" s="901"/>
      <c r="E189" s="937" t="s">
        <v>2931</v>
      </c>
      <c r="F189" s="887" t="str">
        <f t="shared" si="15"/>
        <v>-</v>
      </c>
      <c r="G189" s="887" t="s">
        <v>17</v>
      </c>
      <c r="H189" s="893"/>
      <c r="I189" s="888" t="s">
        <v>4221</v>
      </c>
      <c r="K189" s="91"/>
      <c r="L189" s="84"/>
      <c r="M189" s="84"/>
      <c r="N189" s="84"/>
      <c r="O189" s="83" t="str">
        <f>IF($V$99="搶修案(北搶)","瀝青混凝土面，密級配改質瀝青混凝土，粗粒料19mm，改質Ⅲ型，緊急搶修工程用，舖築及滾壓另計","密級配改質瀝青混凝土，粗粒料19mm，改質Ⅲ型，零星工程用")</f>
        <v>密級配改質瀝青混凝土，粗粒料19mm，改質Ⅲ型，零星工程用</v>
      </c>
      <c r="P189" s="924"/>
      <c r="Q189" s="924"/>
      <c r="R189" s="83" t="str">
        <f t="shared" si="17"/>
        <v xml:space="preserve"> </v>
      </c>
      <c r="S189" s="83" t="str">
        <f t="shared" si="18"/>
        <v xml:space="preserve"> </v>
      </c>
      <c r="T189" s="914"/>
      <c r="U189" s="914"/>
      <c r="V189" s="914"/>
      <c r="W189" s="914"/>
      <c r="X189" s="90" t="str">
        <f t="shared" si="19"/>
        <v xml:space="preserve"> </v>
      </c>
    </row>
    <row r="190" spans="1:28" ht="32.25" thickBot="1">
      <c r="A190" s="894"/>
      <c r="B190" s="892"/>
      <c r="C190" s="888" t="s">
        <v>3683</v>
      </c>
      <c r="D190" s="901"/>
      <c r="E190" s="937" t="s">
        <v>2931</v>
      </c>
      <c r="F190" s="887" t="str">
        <f t="shared" si="15"/>
        <v>-</v>
      </c>
      <c r="G190" s="887" t="s">
        <v>17</v>
      </c>
      <c r="H190" s="893"/>
      <c r="I190" s="888" t="s">
        <v>4221</v>
      </c>
      <c r="K190" s="92"/>
      <c r="L190" s="93"/>
      <c r="M190" s="93"/>
      <c r="N190" s="93"/>
      <c r="O190" s="94" t="s">
        <v>2953</v>
      </c>
      <c r="P190" s="925"/>
      <c r="Q190" s="925"/>
      <c r="R190" s="94" t="str">
        <f>IF(AND(V99&lt;&gt;"搶修案(北搶)",(OR(S183&lt;&gt;0,S184&lt;&gt;0))),"無需開立"," ")</f>
        <v>無需開立</v>
      </c>
      <c r="S190" s="83" t="str">
        <f t="shared" si="18"/>
        <v xml:space="preserve"> </v>
      </c>
      <c r="T190" s="915"/>
      <c r="U190" s="915"/>
      <c r="V190" s="915"/>
      <c r="W190" s="915"/>
      <c r="X190" s="95" t="str">
        <f>IFERROR(VLOOKUP(O190,$C$3:$H$55,4,FALSE)&amp;"處"," ")</f>
        <v xml:space="preserve"> </v>
      </c>
    </row>
    <row r="191" spans="1:28">
      <c r="K191" s="65">
        <v>7</v>
      </c>
      <c r="L191" s="63" t="s">
        <v>542</v>
      </c>
      <c r="M191" s="171">
        <f>N191+N192+N194+N193</f>
        <v>0</v>
      </c>
      <c r="N191" s="73" t="str">
        <f>IFERROR(VLOOKUP(O191,$C$3:$H$55,4,FALSE),"0")</f>
        <v>0</v>
      </c>
      <c r="O191" s="65" t="s">
        <v>2808</v>
      </c>
      <c r="P191" s="65"/>
      <c r="Q191" s="65"/>
      <c r="R191" s="81" t="str">
        <f>IF(M191&lt;0.2,M191&amp;"m3"," ")</f>
        <v>0m3</v>
      </c>
      <c r="S191" s="81"/>
      <c r="T191" s="64"/>
      <c r="U191" s="64"/>
      <c r="V191" s="64"/>
      <c r="W191" s="64"/>
      <c r="X191" s="64" t="str">
        <f>IFERROR(VLOOKUP(O191,$C$3:$H$55,4,FALSE)&amp;"m3"," ")</f>
        <v xml:space="preserve"> </v>
      </c>
      <c r="AA191">
        <v>77</v>
      </c>
      <c r="AB191">
        <v>15.75</v>
      </c>
    </row>
    <row r="192" spans="1:28">
      <c r="K192" s="65"/>
      <c r="L192" s="63"/>
      <c r="M192" s="171"/>
      <c r="N192" s="73" t="str">
        <f>IFERROR(VLOOKUP(O192,$C$3:$H$55,4,FALSE),"0")</f>
        <v>0</v>
      </c>
      <c r="O192" s="65" t="s">
        <v>803</v>
      </c>
      <c r="P192" s="65"/>
      <c r="Q192" s="65"/>
      <c r="R192" s="77" t="str">
        <f>IF(AND(M191&gt;=2,M191&lt;4),M191&amp;"m3"," ")</f>
        <v xml:space="preserve"> </v>
      </c>
      <c r="S192" s="77"/>
      <c r="T192" s="64"/>
      <c r="U192" s="64"/>
      <c r="V192" s="64"/>
      <c r="W192" s="64"/>
      <c r="X192" s="64" t="str">
        <f>IFERROR(VLOOKUP(O192,$C$3:$H$55,4,FALSE)&amp;"m3"," ")</f>
        <v xml:space="preserve"> </v>
      </c>
    </row>
    <row r="193" spans="11:28">
      <c r="K193" s="65"/>
      <c r="L193" s="63"/>
      <c r="M193" s="171"/>
      <c r="N193" s="73" t="str">
        <f>IFERROR(VLOOKUP(O193,$C$3:$H$55,4,FALSE),"0")</f>
        <v>0</v>
      </c>
      <c r="O193" s="65" t="s">
        <v>3678</v>
      </c>
      <c r="P193" s="65"/>
      <c r="Q193" s="65"/>
      <c r="R193" s="77" t="str">
        <f>IF(M191&lt;4,M191&amp;"m3"," ")</f>
        <v>0m3</v>
      </c>
      <c r="S193" s="77"/>
      <c r="T193" s="64"/>
      <c r="U193" s="64"/>
      <c r="V193" s="64"/>
      <c r="W193" s="64"/>
      <c r="X193" s="64" t="str">
        <f>IFERROR(VLOOKUP(O193,$C$3:$H$55,4,FALSE)&amp;"m3"," ")</f>
        <v xml:space="preserve"> </v>
      </c>
    </row>
    <row r="194" spans="11:28" ht="17.25" thickBot="1">
      <c r="K194" s="65"/>
      <c r="L194" s="63"/>
      <c r="M194" s="172"/>
      <c r="N194" s="74" t="str">
        <f>IFERROR(VLOOKUP(O194,$C$3:$H$55,4,FALSE),"0")</f>
        <v>0</v>
      </c>
      <c r="O194" s="68" t="s">
        <v>520</v>
      </c>
      <c r="P194" s="65"/>
      <c r="Q194" s="65"/>
      <c r="R194" s="77" t="str">
        <f>IF(M191&gt;4,M191&amp;"m3"," ")</f>
        <v xml:space="preserve"> </v>
      </c>
      <c r="S194" s="77"/>
      <c r="T194" s="64"/>
      <c r="U194" s="64"/>
      <c r="V194" s="64"/>
      <c r="W194" s="64"/>
      <c r="X194" s="67" t="str">
        <f>IFERROR(VLOOKUP(O194,$C$3:$H$55,4,FALSE)&amp;"m3"," ")</f>
        <v xml:space="preserve"> </v>
      </c>
    </row>
    <row r="195" spans="11:28" ht="17.25" thickBot="1">
      <c r="K195" s="71">
        <v>8</v>
      </c>
      <c r="L195" s="69"/>
      <c r="M195" s="63"/>
      <c r="N195" s="62"/>
      <c r="O195" s="65"/>
      <c r="P195" s="65"/>
      <c r="Q195" s="65"/>
      <c r="R195" s="77"/>
      <c r="S195" s="77"/>
      <c r="T195" s="64"/>
      <c r="U195" s="64"/>
      <c r="V195" s="64"/>
      <c r="W195" s="64"/>
      <c r="X195" s="64" t="str">
        <f>IFERROR(VLOOKUP(O195,$C$3:$H$55,4,FALSE)," ")</f>
        <v xml:space="preserve"> </v>
      </c>
    </row>
    <row r="196" spans="11:28">
      <c r="K196" s="61">
        <v>9</v>
      </c>
      <c r="L196" s="59" t="s">
        <v>538</v>
      </c>
      <c r="M196" s="1634"/>
      <c r="N196" s="1637"/>
      <c r="O196" s="61" t="s">
        <v>540</v>
      </c>
      <c r="P196" s="65"/>
      <c r="Q196" s="65"/>
      <c r="R196" s="77" t="s">
        <v>2916</v>
      </c>
      <c r="S196" s="77"/>
      <c r="T196" s="64"/>
      <c r="U196" s="64"/>
      <c r="V196" s="64"/>
      <c r="W196" s="64"/>
      <c r="X196" s="60" t="str">
        <f>IFERROR(VLOOKUP(O196,$C$3:$H$55,4,FALSE)&amp;"m3"," ")</f>
        <v xml:space="preserve"> </v>
      </c>
    </row>
    <row r="197" spans="11:28">
      <c r="K197" s="65"/>
      <c r="L197" s="63"/>
      <c r="M197" s="1635"/>
      <c r="N197" s="1638"/>
      <c r="O197" s="65" t="s">
        <v>539</v>
      </c>
      <c r="P197" s="65"/>
      <c r="Q197" s="65"/>
      <c r="R197" s="77" t="s">
        <v>2917</v>
      </c>
      <c r="S197" s="77"/>
      <c r="T197" s="64"/>
      <c r="U197" s="64"/>
      <c r="V197" s="64"/>
      <c r="W197" s="64"/>
      <c r="X197" s="64" t="str">
        <f>IFERROR(VLOOKUP(O197,$C$3:$H$55,4,FALSE)&amp;"m3"," ")</f>
        <v xml:space="preserve"> </v>
      </c>
      <c r="AA197">
        <v>79</v>
      </c>
      <c r="AB197">
        <v>81.680000000000007</v>
      </c>
    </row>
    <row r="198" spans="11:28">
      <c r="K198" s="65"/>
      <c r="L198" s="63"/>
      <c r="M198" s="1635"/>
      <c r="N198" s="1638"/>
      <c r="O198" s="65" t="s">
        <v>804</v>
      </c>
      <c r="P198" s="65"/>
      <c r="Q198" s="65"/>
      <c r="R198" s="77" t="s">
        <v>2918</v>
      </c>
      <c r="S198" s="77"/>
      <c r="T198" s="64"/>
      <c r="U198" s="64"/>
      <c r="V198" s="64"/>
      <c r="W198" s="64"/>
      <c r="X198" s="64" t="str">
        <f>IFERROR(VLOOKUP(O198,$C$3:$H$55,4,FALSE)&amp;"m3"," ")</f>
        <v xml:space="preserve"> </v>
      </c>
    </row>
    <row r="199" spans="11:28">
      <c r="K199" s="65"/>
      <c r="L199" s="63"/>
      <c r="M199" s="1635"/>
      <c r="N199" s="1638"/>
      <c r="O199" s="65" t="s">
        <v>541</v>
      </c>
      <c r="P199" s="65"/>
      <c r="Q199" s="65"/>
      <c r="R199" s="77" t="s">
        <v>2916</v>
      </c>
      <c r="S199" s="77"/>
      <c r="T199" s="64"/>
      <c r="U199" s="64"/>
      <c r="V199" s="64"/>
      <c r="W199" s="64"/>
      <c r="X199" s="64" t="str">
        <f>IFERROR(VLOOKUP(O199,$C$3:$H$55,4,FALSE)&amp;"m3"," ")</f>
        <v xml:space="preserve"> </v>
      </c>
    </row>
    <row r="200" spans="11:28" ht="17.25" thickBot="1">
      <c r="K200" s="65"/>
      <c r="L200" s="63"/>
      <c r="M200" s="1636"/>
      <c r="N200" s="1639"/>
      <c r="O200" s="68" t="s">
        <v>805</v>
      </c>
      <c r="P200" s="68"/>
      <c r="Q200" s="68"/>
      <c r="R200" s="77" t="s">
        <v>2916</v>
      </c>
      <c r="S200" s="77"/>
      <c r="T200" s="64"/>
      <c r="U200" s="64"/>
      <c r="V200" s="64"/>
      <c r="W200" s="64"/>
      <c r="X200" s="67" t="str">
        <f>IFERROR(VLOOKUP(O200,$C$3:$H$55,4,FALSE)&amp;"m3"," ")</f>
        <v xml:space="preserve"> </v>
      </c>
    </row>
    <row r="201" spans="11:28" ht="17.25" thickBot="1">
      <c r="K201" s="71">
        <v>10</v>
      </c>
      <c r="L201" s="69" t="s">
        <v>806</v>
      </c>
      <c r="M201" s="63"/>
      <c r="N201" s="62"/>
      <c r="O201" s="65" t="s">
        <v>2809</v>
      </c>
      <c r="P201" s="65"/>
      <c r="Q201" s="65"/>
      <c r="R201" s="77" t="str">
        <f>(8*W104/2)&amp;"時"</f>
        <v>0時</v>
      </c>
      <c r="S201" s="77"/>
      <c r="T201" s="64"/>
      <c r="U201" s="64"/>
      <c r="V201" s="64"/>
      <c r="W201" s="64"/>
      <c r="X201" s="64" t="str">
        <f>IFERROR(VLOOKUP(O201,$C$3:$H$55,4,FALSE)&amp;"時","無義交需求")</f>
        <v>無義交需求</v>
      </c>
    </row>
    <row r="202" spans="11:28" ht="17.25" thickBot="1">
      <c r="K202" s="71">
        <v>11</v>
      </c>
      <c r="L202" s="69" t="s">
        <v>792</v>
      </c>
      <c r="M202" s="69"/>
      <c r="N202" s="72"/>
      <c r="O202" s="71" t="s">
        <v>2919</v>
      </c>
      <c r="P202" s="61"/>
      <c r="Q202" s="61"/>
      <c r="R202" s="77" t="str">
        <f>(2*W104/2)&amp;"時"</f>
        <v>0時</v>
      </c>
      <c r="S202" s="77"/>
      <c r="T202" s="64"/>
      <c r="U202" s="64"/>
      <c r="V202" s="64"/>
      <c r="W202" s="64"/>
      <c r="X202" s="64" t="str">
        <f>IFERROR(VLOOKUP(O202,$C$3:$H$55,4,FALSE)&amp;"時","無圍抽需求")</f>
        <v>無圍抽需求</v>
      </c>
    </row>
    <row r="203" spans="11:28" ht="17.25" thickBot="1">
      <c r="K203" s="65">
        <v>12</v>
      </c>
      <c r="L203" s="63" t="s">
        <v>807</v>
      </c>
      <c r="M203" s="63"/>
      <c r="N203" s="62"/>
      <c r="O203" s="65" t="s">
        <v>808</v>
      </c>
      <c r="P203" s="62"/>
      <c r="Q203" s="62"/>
      <c r="R203" s="78"/>
      <c r="S203" s="78"/>
      <c r="T203" s="64"/>
      <c r="U203" s="64"/>
      <c r="V203" s="64"/>
      <c r="W203" s="64"/>
      <c r="X203" s="64" t="str">
        <f>IFERROR(VLOOKUP(O203,$C$3:$H$55,4,FALSE)&amp;"m3"," ")</f>
        <v xml:space="preserve"> </v>
      </c>
      <c r="AA203">
        <v>82</v>
      </c>
      <c r="AB203">
        <v>52.5</v>
      </c>
    </row>
    <row r="204" spans="11:28" ht="17.25" thickBot="1">
      <c r="K204" s="71">
        <v>14</v>
      </c>
      <c r="L204" s="69"/>
      <c r="M204" s="69"/>
      <c r="N204" s="72"/>
      <c r="O204" s="72" t="s">
        <v>2914</v>
      </c>
      <c r="P204" s="106"/>
      <c r="Q204" s="106"/>
      <c r="R204" s="69"/>
      <c r="S204" s="69"/>
      <c r="T204" s="70"/>
      <c r="U204" s="70"/>
      <c r="V204" s="70"/>
      <c r="W204" s="70"/>
      <c r="X204" s="70" t="str">
        <f>IFERROR(VLOOKUP(O204,$C$3:$H$55,4,FALSE)&amp;"次","無測量")</f>
        <v>無測量</v>
      </c>
    </row>
    <row r="205" spans="11:28" ht="17.25" thickBot="1">
      <c r="K205" s="71">
        <v>15</v>
      </c>
      <c r="L205" s="69" t="s">
        <v>2929</v>
      </c>
      <c r="M205" s="69"/>
      <c r="N205" s="72"/>
      <c r="O205" s="72" t="s">
        <v>462</v>
      </c>
      <c r="P205" s="62"/>
      <c r="Q205" s="62"/>
      <c r="R205" s="69" t="str">
        <f>IF(OR(X206&gt;0,X205=0),X206,
IF(AND(X206=0,X205=0),"無切割",
IF(OR(X206=0,X205&gt;0),"開立工項錯誤")))</f>
        <v>0</v>
      </c>
      <c r="S205" s="69"/>
      <c r="T205" s="70"/>
      <c r="U205" s="70"/>
      <c r="V205" s="70"/>
      <c r="W205" s="70"/>
      <c r="X205" s="70" t="str">
        <f>IFERROR(VLOOKUP(O205,$C$3:$H$55,4,FALSE)&amp;"m","0")</f>
        <v>0</v>
      </c>
    </row>
    <row r="206" spans="11:28" ht="17.25" thickBot="1">
      <c r="K206" s="61"/>
      <c r="L206" s="59"/>
      <c r="M206" s="59"/>
      <c r="N206" s="106"/>
      <c r="O206" s="106" t="s">
        <v>1250</v>
      </c>
      <c r="P206" s="62"/>
      <c r="Q206" s="62"/>
      <c r="R206" s="59"/>
      <c r="S206" s="59"/>
      <c r="T206" s="60"/>
      <c r="U206" s="60"/>
      <c r="V206" s="60"/>
      <c r="W206" s="60"/>
      <c r="X206" s="60" t="str">
        <f>IFERROR(VLOOKUP(O206,$C$3:$H$55,4,FALSE)&amp;"m","0")</f>
        <v>0</v>
      </c>
    </row>
    <row r="207" spans="11:28" ht="17.25" thickBot="1">
      <c r="K207" s="61"/>
      <c r="L207" s="106" t="s">
        <v>3683</v>
      </c>
      <c r="M207" s="106"/>
      <c r="N207" s="106"/>
      <c r="O207" s="106" t="s">
        <v>3683</v>
      </c>
      <c r="P207" s="62"/>
      <c r="Q207" s="62"/>
      <c r="R207" s="106"/>
      <c r="S207" s="106"/>
      <c r="T207" s="106"/>
      <c r="U207" s="106"/>
      <c r="V207" s="106"/>
      <c r="W207" s="106"/>
      <c r="X207" s="60" t="str">
        <f>IFERROR(VLOOKUP(O207,$C$3:$H$55,4,FALSE)&amp;"m","0")</f>
        <v>0</v>
      </c>
    </row>
    <row r="208" spans="11:28">
      <c r="K208" s="1628" t="s">
        <v>2957</v>
      </c>
      <c r="L208" s="86"/>
      <c r="M208" s="86"/>
      <c r="N208" s="86"/>
      <c r="O208" s="86"/>
      <c r="P208" s="62"/>
      <c r="Q208" s="62"/>
      <c r="R208" s="86"/>
      <c r="S208" s="86"/>
      <c r="T208" s="913"/>
      <c r="U208" s="913"/>
      <c r="V208" s="913"/>
      <c r="W208" s="913"/>
      <c r="X208" s="88"/>
    </row>
    <row r="209" spans="11:28">
      <c r="K209" s="1629"/>
      <c r="L209" s="83"/>
      <c r="M209" s="83"/>
      <c r="N209" s="83"/>
      <c r="O209" s="83"/>
      <c r="P209" s="62"/>
      <c r="Q209" s="62"/>
      <c r="R209" s="83"/>
      <c r="S209" s="83"/>
      <c r="T209" s="914"/>
      <c r="U209" s="914"/>
      <c r="V209" s="914"/>
      <c r="W209" s="914"/>
      <c r="X209" s="90"/>
      <c r="AA209">
        <v>84</v>
      </c>
      <c r="AB209">
        <v>0.33</v>
      </c>
    </row>
    <row r="210" spans="11:28" ht="17.25" thickBot="1">
      <c r="K210" s="1630"/>
      <c r="L210" s="94"/>
      <c r="M210" s="94"/>
      <c r="N210" s="94"/>
      <c r="O210" s="94"/>
      <c r="P210" s="62"/>
      <c r="Q210" s="62"/>
      <c r="R210" s="94"/>
      <c r="S210" s="94"/>
      <c r="T210" s="916"/>
      <c r="U210" s="916"/>
      <c r="V210" s="916"/>
      <c r="W210" s="916"/>
      <c r="X210" s="95"/>
    </row>
    <row r="211" spans="11:28" ht="17.25" thickBot="1">
      <c r="K211" s="82"/>
      <c r="L211" s="79" t="s">
        <v>2941</v>
      </c>
      <c r="M211" s="79"/>
      <c r="N211" s="79"/>
      <c r="O211" s="79" t="s">
        <v>2943</v>
      </c>
      <c r="P211" s="926"/>
      <c r="Q211" s="926"/>
      <c r="R211" s="79">
        <v>0</v>
      </c>
      <c r="S211" s="79"/>
      <c r="T211" s="79"/>
      <c r="U211" s="79"/>
      <c r="V211" s="79"/>
      <c r="W211" s="79"/>
      <c r="X211" s="67" t="str">
        <f>IFERROR(VLOOKUP(O211,$C$3:$H$55,4,FALSE)&amp;"m2","無標線")</f>
        <v>無標線</v>
      </c>
    </row>
    <row r="212" spans="11:28" ht="17.25" thickBot="1">
      <c r="K212" s="82"/>
      <c r="L212" s="79" t="s">
        <v>2942</v>
      </c>
      <c r="M212" s="79"/>
      <c r="N212" s="79"/>
      <c r="O212" s="79" t="s">
        <v>2712</v>
      </c>
      <c r="P212" s="926"/>
      <c r="Q212" s="926"/>
      <c r="R212" s="79">
        <v>0</v>
      </c>
      <c r="S212" s="79"/>
      <c r="T212" s="79"/>
      <c r="U212" s="79"/>
      <c r="V212" s="79"/>
      <c r="W212" s="79"/>
      <c r="X212" s="67" t="str">
        <f>IFERROR(VLOOKUP(O212,$C$3:$H$55,4,FALSE)&amp;"m2","無人行道")</f>
        <v>無人行道</v>
      </c>
    </row>
    <row r="215" spans="11:28">
      <c r="AA215">
        <v>86</v>
      </c>
      <c r="AB215">
        <v>4.8600000000000003</v>
      </c>
    </row>
    <row r="221" spans="11:28">
      <c r="AA221">
        <v>88</v>
      </c>
      <c r="AB221">
        <v>1.56</v>
      </c>
    </row>
    <row r="227" spans="27:28">
      <c r="AA227">
        <v>96</v>
      </c>
      <c r="AB227">
        <v>0.09</v>
      </c>
    </row>
    <row r="233" spans="27:28">
      <c r="AA233">
        <v>112</v>
      </c>
      <c r="AB233">
        <v>3.68</v>
      </c>
    </row>
    <row r="239" spans="27:28">
      <c r="AA239">
        <v>114</v>
      </c>
      <c r="AB239">
        <v>2.42</v>
      </c>
    </row>
    <row r="245" spans="27:28">
      <c r="AA245">
        <v>115</v>
      </c>
      <c r="AB245">
        <v>1.5</v>
      </c>
    </row>
    <row r="251" spans="27:28">
      <c r="AA251">
        <v>116</v>
      </c>
      <c r="AB251">
        <v>10.54</v>
      </c>
    </row>
    <row r="257" spans="27:28">
      <c r="AA257">
        <v>126</v>
      </c>
      <c r="AB257">
        <v>521.24</v>
      </c>
    </row>
    <row r="263" spans="27:28">
      <c r="AA263">
        <v>136</v>
      </c>
      <c r="AB263">
        <v>5.88</v>
      </c>
    </row>
    <row r="269" spans="27:28">
      <c r="AA269">
        <v>159</v>
      </c>
      <c r="AB269">
        <v>18.600000000000001</v>
      </c>
    </row>
    <row r="275" spans="27:28">
      <c r="AA275">
        <v>174</v>
      </c>
      <c r="AB275">
        <v>0.09</v>
      </c>
    </row>
    <row r="281" spans="27:28">
      <c r="AA281">
        <v>243</v>
      </c>
      <c r="AB281">
        <v>1</v>
      </c>
    </row>
    <row r="287" spans="27:28">
      <c r="AA287">
        <v>260</v>
      </c>
      <c r="AB287">
        <v>4.5</v>
      </c>
    </row>
    <row r="293" spans="27:28">
      <c r="AA293">
        <v>265</v>
      </c>
      <c r="AB293">
        <v>0.6</v>
      </c>
    </row>
    <row r="299" spans="27:28">
      <c r="AA299">
        <v>284</v>
      </c>
      <c r="AB299">
        <v>0.45</v>
      </c>
    </row>
    <row r="305" spans="27:28">
      <c r="AA305">
        <v>301</v>
      </c>
      <c r="AB305">
        <v>1</v>
      </c>
    </row>
    <row r="311" spans="27:28">
      <c r="AA311">
        <v>327</v>
      </c>
      <c r="AB311">
        <v>21</v>
      </c>
    </row>
    <row r="317" spans="27:28">
      <c r="AA317">
        <v>329</v>
      </c>
      <c r="AB317">
        <v>0.46</v>
      </c>
    </row>
    <row r="323" spans="27:28">
      <c r="AA323">
        <v>342</v>
      </c>
      <c r="AB323">
        <v>1</v>
      </c>
    </row>
    <row r="329" spans="27:28">
      <c r="AA329">
        <v>382</v>
      </c>
      <c r="AB329">
        <v>21</v>
      </c>
    </row>
    <row r="335" spans="27:28">
      <c r="AA335">
        <v>390</v>
      </c>
      <c r="AB335">
        <v>84</v>
      </c>
    </row>
    <row r="341" spans="27:28">
      <c r="AA341">
        <v>393</v>
      </c>
      <c r="AB341">
        <v>3</v>
      </c>
    </row>
    <row r="347" spans="27:28">
      <c r="AA347">
        <v>394</v>
      </c>
      <c r="AB347">
        <v>15</v>
      </c>
    </row>
    <row r="353" spans="27:28">
      <c r="AA353">
        <v>409</v>
      </c>
      <c r="AB353">
        <v>20.16</v>
      </c>
    </row>
    <row r="359" spans="27:28">
      <c r="AA359">
        <v>2</v>
      </c>
    </row>
    <row r="365" spans="27:28">
      <c r="AA365">
        <v>2</v>
      </c>
    </row>
    <row r="371" spans="27:27">
      <c r="AA371">
        <v>2</v>
      </c>
    </row>
    <row r="377" spans="27:27">
      <c r="AA377">
        <v>2</v>
      </c>
    </row>
    <row r="383" spans="27:27">
      <c r="AA383">
        <v>2</v>
      </c>
    </row>
    <row r="389" spans="27:27">
      <c r="AA389">
        <v>2</v>
      </c>
    </row>
    <row r="395" spans="27:27">
      <c r="AA395">
        <v>2</v>
      </c>
    </row>
    <row r="401" spans="27:27">
      <c r="AA401">
        <v>2</v>
      </c>
    </row>
    <row r="407" spans="27:27">
      <c r="AA407">
        <v>2</v>
      </c>
    </row>
    <row r="413" spans="27:27">
      <c r="AA413">
        <v>2</v>
      </c>
    </row>
    <row r="419" spans="27:27">
      <c r="AA419">
        <v>2</v>
      </c>
    </row>
    <row r="425" spans="27:27">
      <c r="AA425">
        <v>2</v>
      </c>
    </row>
    <row r="431" spans="27:27">
      <c r="AA431">
        <v>2</v>
      </c>
    </row>
    <row r="437" spans="27:27">
      <c r="AA437">
        <v>2</v>
      </c>
    </row>
    <row r="443" spans="27:27">
      <c r="AA443">
        <v>2</v>
      </c>
    </row>
    <row r="449" spans="27:27">
      <c r="AA449">
        <v>2</v>
      </c>
    </row>
  </sheetData>
  <sheetProtection autoFilter="0"/>
  <mergeCells count="53">
    <mergeCell ref="O20:R20"/>
    <mergeCell ref="O21:R30"/>
    <mergeCell ref="O13:R18"/>
    <mergeCell ref="T34:T36"/>
    <mergeCell ref="U34:W36"/>
    <mergeCell ref="T28:T30"/>
    <mergeCell ref="U28:W30"/>
    <mergeCell ref="T25:T27"/>
    <mergeCell ref="U25:W27"/>
    <mergeCell ref="M196:M200"/>
    <mergeCell ref="N196:N200"/>
    <mergeCell ref="M173:M176"/>
    <mergeCell ref="N173:N176"/>
    <mergeCell ref="M177:M178"/>
    <mergeCell ref="N177:N178"/>
    <mergeCell ref="M179:M180"/>
    <mergeCell ref="N179:N180"/>
    <mergeCell ref="K208:K210"/>
    <mergeCell ref="J131:J141"/>
    <mergeCell ref="K131:K141"/>
    <mergeCell ref="K142:K146"/>
    <mergeCell ref="K147:K150"/>
    <mergeCell ref="K99:K106"/>
    <mergeCell ref="A125:A132"/>
    <mergeCell ref="A116:A121"/>
    <mergeCell ref="A107:A114"/>
    <mergeCell ref="J147:J150"/>
    <mergeCell ref="J142:J146"/>
    <mergeCell ref="J99:J106"/>
    <mergeCell ref="J107:J113"/>
    <mergeCell ref="K107:K113"/>
    <mergeCell ref="J114:J127"/>
    <mergeCell ref="J128:J130"/>
    <mergeCell ref="K114:K127"/>
    <mergeCell ref="K128:K130"/>
    <mergeCell ref="A133:A144"/>
    <mergeCell ref="A148:A161"/>
    <mergeCell ref="T37:T39"/>
    <mergeCell ref="U37:W39"/>
    <mergeCell ref="O3:R3"/>
    <mergeCell ref="P11:R11"/>
    <mergeCell ref="O12:R12"/>
    <mergeCell ref="T22:T24"/>
    <mergeCell ref="U22:W24"/>
    <mergeCell ref="T31:T33"/>
    <mergeCell ref="U31:W33"/>
    <mergeCell ref="U19:W21"/>
    <mergeCell ref="T13:T15"/>
    <mergeCell ref="U13:W15"/>
    <mergeCell ref="U16:W18"/>
    <mergeCell ref="T16:T18"/>
    <mergeCell ref="T19:T21"/>
    <mergeCell ref="T3:W12"/>
  </mergeCells>
  <phoneticPr fontId="3" type="noConversion"/>
  <dataValidations disablePrompts="1" count="2">
    <dataValidation type="list" allowBlank="1" showInputMessage="1" showErrorMessage="1" sqref="Q7" xr:uid="{00000000-0002-0000-0A00-000000000000}">
      <formula1>"道路銑鋪復舊(全巷道),  道路銑鋪復舊(再生瀝青), 道路銑鋪復舊(改質三型),   開挖處銑鋪復舊,  開挖處臨補 由OOO辦理後續銑鋪復舊, 沿溝蓋邊緣切割 樹脂混凝土復舊,  沿溝蓋邊緣切割 AC回填復舊,  沿溝蓋邊緣切割 RC復舊"</formula1>
    </dataValidation>
    <dataValidation type="list" allowBlank="1" showInputMessage="1" showErrorMessage="1" sqref="R4:R6" xr:uid="{00000000-0002-0000-0A00-000001000000}">
      <formula1>"一般案,搶修案"</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20">
    <tabColor rgb="FF00B0F0"/>
  </sheetPr>
  <dimension ref="A1:AA528"/>
  <sheetViews>
    <sheetView zoomScale="85" zoomScaleNormal="85" workbookViewId="0">
      <selection activeCell="K24" sqref="K24"/>
    </sheetView>
  </sheetViews>
  <sheetFormatPr defaultRowHeight="16.5"/>
  <cols>
    <col min="1" max="2" width="5.625" style="55" customWidth="1"/>
    <col min="3" max="3" width="25.625" style="55" customWidth="1"/>
    <col min="4" max="8" width="10.625" style="55" customWidth="1"/>
    <col min="17" max="17" width="9" style="731"/>
  </cols>
  <sheetData>
    <row r="1" spans="1:27" ht="17.25" thickBot="1">
      <c r="O1" s="1512" t="s">
        <v>2960</v>
      </c>
      <c r="P1" s="1513"/>
      <c r="Q1" s="1513"/>
      <c r="R1" s="1514"/>
      <c r="S1" s="1512" t="s">
        <v>2961</v>
      </c>
      <c r="T1" s="1513"/>
      <c r="U1" s="1513"/>
      <c r="V1" s="1514"/>
    </row>
    <row r="2" spans="1:27" ht="17.25" thickBot="1">
      <c r="A2" s="55">
        <f>自檢資料!A2</f>
        <v>0</v>
      </c>
      <c r="B2" s="55">
        <f>自檢資料!B2</f>
        <v>0</v>
      </c>
      <c r="C2" s="55" t="str">
        <f>自檢資料!C2</f>
        <v>施工費</v>
      </c>
      <c r="D2" s="55">
        <f>自檢資料!D2</f>
        <v>0</v>
      </c>
      <c r="E2" s="55">
        <f>自檢資料!E2</f>
        <v>0</v>
      </c>
      <c r="F2" s="55">
        <f>自檢資料!F2</f>
        <v>0</v>
      </c>
      <c r="G2" s="55">
        <f>自檢資料!G2</f>
        <v>0</v>
      </c>
      <c r="H2" s="55" t="e">
        <f>自檢資料!H2</f>
        <v>#REF!</v>
      </c>
      <c r="K2" s="723"/>
      <c r="L2" s="723"/>
      <c r="M2" s="723"/>
      <c r="O2" s="125"/>
      <c r="P2" s="127"/>
      <c r="Q2" s="729"/>
      <c r="R2" s="126"/>
      <c r="S2" s="125"/>
      <c r="T2" s="127"/>
      <c r="U2" s="127"/>
      <c r="V2" s="126"/>
    </row>
    <row r="3" spans="1:27" ht="17.25" thickBot="1">
      <c r="A3" s="55" t="str">
        <f>自檢資料!A3</f>
        <v>1.</v>
      </c>
      <c r="B3" s="55" t="str">
        <f>自檢資料!B3</f>
        <v>1.</v>
      </c>
      <c r="C3" s="55" t="str">
        <f>自檢資料!C3</f>
        <v>操作手，重機械</v>
      </c>
      <c r="D3" s="55">
        <f>自檢資料!D3</f>
        <v>1</v>
      </c>
      <c r="E3" s="55" t="str">
        <f>自檢資料!E3</f>
        <v>時</v>
      </c>
      <c r="F3" s="55" t="e">
        <f>自檢資料!F3</f>
        <v>#REF!</v>
      </c>
      <c r="G3" s="55">
        <f>自檢資料!G3</f>
        <v>401</v>
      </c>
      <c r="H3" s="55" t="e">
        <f>自檢資料!H3</f>
        <v>#REF!</v>
      </c>
      <c r="K3" s="723"/>
      <c r="L3" s="723"/>
      <c r="M3" s="723"/>
      <c r="O3" s="142" t="s">
        <v>2962</v>
      </c>
      <c r="P3" s="125" t="s">
        <v>2963</v>
      </c>
      <c r="Q3" s="729">
        <v>2</v>
      </c>
      <c r="R3" s="126"/>
      <c r="S3" s="127" t="str">
        <f t="shared" ref="S3:S66" si="0">P3&amp;""&amp;Q3&amp;""&amp;R3</f>
        <v>KeyPress "Tab", 2</v>
      </c>
      <c r="T3" s="126"/>
      <c r="U3" s="127" t="str">
        <f t="shared" ref="U3:U66" si="1">S3</f>
        <v>KeyPress "Tab", 2</v>
      </c>
      <c r="V3" s="126"/>
      <c r="X3" s="135" t="str">
        <f>U3</f>
        <v>KeyPress "Tab", 2</v>
      </c>
      <c r="Y3" s="136"/>
      <c r="AA3" t="str">
        <f>X3</f>
        <v>KeyPress "Tab", 2</v>
      </c>
    </row>
    <row r="4" spans="1:27" ht="17.25" thickBot="1">
      <c r="A4" s="55" t="str">
        <f>自檢資料!A4</f>
        <v>2.</v>
      </c>
      <c r="B4" s="55" t="str">
        <f>自檢資料!B4</f>
        <v>2.</v>
      </c>
      <c r="C4" s="55" t="str">
        <f>自檢資料!C4</f>
        <v>駕駛，小貨車</v>
      </c>
      <c r="D4" s="55">
        <f>自檢資料!D4</f>
        <v>3</v>
      </c>
      <c r="E4" s="55" t="str">
        <f>自檢資料!E4</f>
        <v>時</v>
      </c>
      <c r="F4" s="55" t="e">
        <f>自檢資料!F4</f>
        <v>#REF!</v>
      </c>
      <c r="G4" s="55">
        <f>自檢資料!G4</f>
        <v>401</v>
      </c>
      <c r="H4" s="55" t="e">
        <f>自檢資料!H4</f>
        <v>#REF!</v>
      </c>
      <c r="I4" s="135" t="s">
        <v>2966</v>
      </c>
      <c r="J4" s="725" t="s">
        <v>4070</v>
      </c>
      <c r="K4" s="726" t="s">
        <v>4302</v>
      </c>
      <c r="L4" s="966"/>
      <c r="M4" s="727" t="s">
        <v>11</v>
      </c>
      <c r="O4" s="143"/>
      <c r="P4" s="130" t="str">
        <f>$J$4</f>
        <v>Delay 600</v>
      </c>
      <c r="Q4" s="730"/>
      <c r="R4" s="131"/>
      <c r="S4" s="138" t="str">
        <f t="shared" si="0"/>
        <v>Delay 600</v>
      </c>
      <c r="T4" s="131"/>
      <c r="U4" s="138" t="str">
        <f t="shared" si="1"/>
        <v>Delay 600</v>
      </c>
      <c r="V4" s="131"/>
      <c r="X4" s="714" t="str">
        <f>U4</f>
        <v>Delay 600</v>
      </c>
      <c r="Y4" s="715"/>
      <c r="AA4" t="str">
        <f>X4</f>
        <v>Delay 600</v>
      </c>
    </row>
    <row r="5" spans="1:27" ht="17.25" thickBot="1">
      <c r="A5" s="55" t="str">
        <f>自檢資料!A5</f>
        <v>3.</v>
      </c>
      <c r="B5" s="55" t="str">
        <f>自檢資料!B5</f>
        <v>3.</v>
      </c>
      <c r="C5" s="55" t="str">
        <f>自檢資料!C5</f>
        <v>配合技術工之勞工</v>
      </c>
      <c r="D5" s="55">
        <f>自檢資料!D5</f>
        <v>4</v>
      </c>
      <c r="E5" s="55" t="str">
        <f>自檢資料!E5</f>
        <v>時</v>
      </c>
      <c r="F5" s="55" t="e">
        <f>自檢資料!F5</f>
        <v>#REF!</v>
      </c>
      <c r="G5" s="55">
        <f>自檢資料!G5</f>
        <v>281</v>
      </c>
      <c r="H5" s="55" t="e">
        <f>自檢資料!H5</f>
        <v>#REF!</v>
      </c>
      <c r="I5" s="137" t="s">
        <v>2967</v>
      </c>
      <c r="J5" s="722" t="s">
        <v>4069</v>
      </c>
      <c r="K5" s="133">
        <v>1</v>
      </c>
      <c r="L5" s="134">
        <v>3</v>
      </c>
      <c r="M5" s="134">
        <v>9</v>
      </c>
      <c r="O5" s="142">
        <f>$K$5</f>
        <v>1</v>
      </c>
      <c r="P5" s="130" t="s">
        <v>2963</v>
      </c>
      <c r="Q5" s="724">
        <f>L5</f>
        <v>3</v>
      </c>
      <c r="R5" s="131"/>
      <c r="S5" s="138" t="str">
        <f t="shared" si="0"/>
        <v>KeyPress "Tab", 3</v>
      </c>
      <c r="T5" s="131"/>
      <c r="U5" s="138" t="str">
        <f t="shared" si="1"/>
        <v>KeyPress "Tab", 3</v>
      </c>
      <c r="V5" s="131"/>
      <c r="W5">
        <v>1</v>
      </c>
      <c r="X5" s="714" t="str">
        <f>IF(Q5&lt;3,"//",U5)</f>
        <v>KeyPress "Tab", 3</v>
      </c>
      <c r="Y5" s="715"/>
      <c r="AA5" t="str">
        <f>IF(Q5&lt;3,"//",X5)</f>
        <v>KeyPress "Tab", 3</v>
      </c>
    </row>
    <row r="6" spans="1:27">
      <c r="A6" s="55" t="str">
        <f>自檢資料!A6</f>
        <v>4.</v>
      </c>
      <c r="B6" s="55" t="str">
        <f>自檢資料!B6</f>
        <v>4.</v>
      </c>
      <c r="C6" s="55" t="str">
        <f>自檢資料!C6</f>
        <v>灑水車，8.0-8.9m3</v>
      </c>
      <c r="D6" s="55">
        <f>自檢資料!D6</f>
        <v>11</v>
      </c>
      <c r="E6" s="55" t="str">
        <f>自檢資料!E6</f>
        <v>時</v>
      </c>
      <c r="F6" s="55" t="e">
        <f>自檢資料!F6</f>
        <v>#REF!</v>
      </c>
      <c r="G6" s="55">
        <f>自檢資料!G6</f>
        <v>769.08</v>
      </c>
      <c r="H6" s="55" t="e">
        <f>自檢資料!H6</f>
        <v>#REF!</v>
      </c>
      <c r="K6" s="133"/>
      <c r="L6" s="134"/>
      <c r="M6" s="134"/>
      <c r="O6" s="144"/>
      <c r="P6" s="130" t="str">
        <f>$J$4</f>
        <v>Delay 600</v>
      </c>
      <c r="Q6" s="730"/>
      <c r="R6" s="131"/>
      <c r="S6" s="138" t="str">
        <f t="shared" si="0"/>
        <v>Delay 600</v>
      </c>
      <c r="T6" s="131"/>
      <c r="U6" s="138" t="str">
        <f t="shared" si="1"/>
        <v>Delay 600</v>
      </c>
      <c r="V6" s="131"/>
      <c r="X6" s="714" t="str">
        <f>IF(Q5&lt;3,"//",U6)</f>
        <v>Delay 600</v>
      </c>
      <c r="Y6" s="715"/>
      <c r="AA6" t="str">
        <f>IF(Q5&lt;3,"//",X6)</f>
        <v>Delay 600</v>
      </c>
    </row>
    <row r="7" spans="1:27">
      <c r="A7" s="55" t="str">
        <f>自檢資料!A7</f>
        <v>5.</v>
      </c>
      <c r="B7" s="55" t="str">
        <f>自檢資料!B7</f>
        <v>5.</v>
      </c>
      <c r="C7" s="55" t="str">
        <f>自檢資料!C7</f>
        <v>吊卡車，15米-噸</v>
      </c>
      <c r="D7" s="55">
        <f>自檢資料!D7</f>
        <v>16</v>
      </c>
      <c r="E7" s="55" t="str">
        <f>自檢資料!E7</f>
        <v>時</v>
      </c>
      <c r="F7" s="55" t="e">
        <f>自檢資料!F7</f>
        <v>#REF!</v>
      </c>
      <c r="G7" s="55">
        <f>自檢資料!G7</f>
        <v>1414.63</v>
      </c>
      <c r="H7" s="55" t="e">
        <f>自檢資料!H7</f>
        <v>#REF!</v>
      </c>
      <c r="K7" s="133"/>
      <c r="L7" s="134"/>
      <c r="M7" s="134"/>
      <c r="O7" s="144"/>
      <c r="P7" s="130" t="s">
        <v>2964</v>
      </c>
      <c r="Q7" s="724">
        <f>M5</f>
        <v>9</v>
      </c>
      <c r="R7" s="131" t="s">
        <v>2965</v>
      </c>
      <c r="S7" s="138" t="str">
        <f t="shared" si="0"/>
        <v>SayString "9"</v>
      </c>
      <c r="T7" s="131"/>
      <c r="U7" s="138" t="str">
        <f t="shared" si="1"/>
        <v>SayString "9"</v>
      </c>
      <c r="V7" s="131"/>
      <c r="X7" s="714" t="str">
        <f>IF(Q5&lt;3,"//",U7)</f>
        <v>SayString "9"</v>
      </c>
      <c r="Y7" s="715"/>
      <c r="AA7" t="str">
        <f>IF(Q5&lt;3,"//",X7)</f>
        <v>SayString "9"</v>
      </c>
    </row>
    <row r="8" spans="1:27">
      <c r="A8" s="55" t="str">
        <f>自檢資料!A8</f>
        <v>6.</v>
      </c>
      <c r="B8" s="55" t="str">
        <f>自檢資料!B8</f>
        <v>6.</v>
      </c>
      <c r="C8" s="55" t="str">
        <f>自檢資料!C8</f>
        <v>輪式鏟裝車</v>
      </c>
      <c r="D8" s="55">
        <f>自檢資料!D8</f>
        <v>19</v>
      </c>
      <c r="E8" s="55" t="str">
        <f>自檢資料!E8</f>
        <v>時</v>
      </c>
      <c r="F8" s="55" t="e">
        <f>自檢資料!F8</f>
        <v>#REF!</v>
      </c>
      <c r="G8" s="55">
        <f>自檢資料!G8</f>
        <v>713.29</v>
      </c>
      <c r="H8" s="55" t="e">
        <f>自檢資料!H8</f>
        <v>#REF!</v>
      </c>
      <c r="K8" s="133"/>
      <c r="L8" s="134"/>
      <c r="M8" s="134"/>
      <c r="O8" s="144"/>
      <c r="P8" s="130" t="str">
        <f>$J$4</f>
        <v>Delay 600</v>
      </c>
      <c r="Q8" s="730"/>
      <c r="R8" s="131"/>
      <c r="S8" s="138" t="str">
        <f t="shared" si="0"/>
        <v>Delay 600</v>
      </c>
      <c r="T8" s="131"/>
      <c r="U8" s="138" t="str">
        <f t="shared" si="1"/>
        <v>Delay 600</v>
      </c>
      <c r="V8" s="131"/>
      <c r="X8" s="714" t="str">
        <f>IF(Q5&lt;3,"//",U8)</f>
        <v>Delay 600</v>
      </c>
      <c r="Y8" s="715"/>
      <c r="AA8" t="str">
        <f>IF(Q5&lt;3,"//",X8)</f>
        <v>Delay 600</v>
      </c>
    </row>
    <row r="9" spans="1:27">
      <c r="A9" s="55" t="str">
        <f>自檢資料!A9</f>
        <v>7.</v>
      </c>
      <c r="B9" s="55" t="str">
        <f>自檢資料!B9</f>
        <v>7.</v>
      </c>
      <c r="C9" s="55" t="str">
        <f>自檢資料!C9</f>
        <v>餘方自行處理(含水土保持)，總重15t以下傾卸貨車</v>
      </c>
      <c r="D9" s="55">
        <f>自檢資料!D9</f>
        <v>60</v>
      </c>
      <c r="E9" s="55" t="str">
        <f>自檢資料!E9</f>
        <v>B.M3</v>
      </c>
      <c r="F9" s="55" t="e">
        <f>自檢資料!F9</f>
        <v>#REF!</v>
      </c>
      <c r="G9" s="55">
        <f>自檢資料!G9</f>
        <v>1067.76</v>
      </c>
      <c r="H9" s="55" t="e">
        <f>自檢資料!H9</f>
        <v>#REF!</v>
      </c>
      <c r="K9" s="133"/>
      <c r="L9" s="134"/>
      <c r="M9" s="134"/>
      <c r="O9" s="144"/>
      <c r="P9" s="130" t="s">
        <v>4068</v>
      </c>
      <c r="Q9" s="730"/>
      <c r="R9" s="131"/>
      <c r="S9" s="138" t="str">
        <f t="shared" si="0"/>
        <v>KeyPress "Enter", 1</v>
      </c>
      <c r="T9" s="131"/>
      <c r="U9" s="138" t="str">
        <f t="shared" si="1"/>
        <v>KeyPress "Enter", 1</v>
      </c>
      <c r="V9" s="131"/>
      <c r="X9" s="714" t="str">
        <f>IF(Q5&lt;3,"//",U9)</f>
        <v>KeyPress "Enter", 1</v>
      </c>
      <c r="Y9" s="715"/>
      <c r="AA9" t="str">
        <f>IF(Q5&lt;3,"//",X9)</f>
        <v>KeyPress "Enter", 1</v>
      </c>
    </row>
    <row r="10" spans="1:27" ht="17.25" thickBot="1">
      <c r="A10" s="55" t="str">
        <f>自檢資料!A10</f>
        <v>8.</v>
      </c>
      <c r="B10" s="55" t="str">
        <f>自檢資料!B10</f>
        <v>8.</v>
      </c>
      <c r="C10" s="55" t="str">
        <f>自檢資料!C10</f>
        <v>瀝青黏層，快凝油溶瀝青，RC-70</v>
      </c>
      <c r="D10" s="55">
        <f>自檢資料!D10</f>
        <v>71</v>
      </c>
      <c r="E10" s="55" t="str">
        <f>自檢資料!E10</f>
        <v>M2</v>
      </c>
      <c r="F10" s="55" t="e">
        <f>自檢資料!F10</f>
        <v>#REF!</v>
      </c>
      <c r="G10" s="55">
        <f>自檢資料!G10</f>
        <v>17.57</v>
      </c>
      <c r="H10" s="55" t="e">
        <f>自檢資料!H10</f>
        <v>#REF!</v>
      </c>
      <c r="K10" s="133"/>
      <c r="L10" s="134"/>
      <c r="M10" s="134"/>
      <c r="O10" s="143"/>
      <c r="P10" s="130" t="str">
        <f>$J$5</f>
        <v>Delay 5000</v>
      </c>
      <c r="Q10" s="730"/>
      <c r="R10" s="131"/>
      <c r="S10" s="138" t="str">
        <f t="shared" si="0"/>
        <v>Delay 5000</v>
      </c>
      <c r="T10" s="131"/>
      <c r="U10" s="138" t="str">
        <f t="shared" si="1"/>
        <v>Delay 5000</v>
      </c>
      <c r="V10" s="131"/>
      <c r="X10" s="714" t="str">
        <f>IF(Q5&lt;3,"//",U10)</f>
        <v>Delay 5000</v>
      </c>
      <c r="Y10" s="715"/>
      <c r="AA10" t="str">
        <f>IF(Q5&lt;3,"//",X10)</f>
        <v>Delay 5000</v>
      </c>
    </row>
    <row r="11" spans="1:27">
      <c r="A11" s="55" t="str">
        <f>自檢資料!A11</f>
        <v>9.</v>
      </c>
      <c r="B11" s="55" t="str">
        <f>自檢資料!B11</f>
        <v>9.</v>
      </c>
      <c r="C11" s="55" t="str">
        <f>自檢資料!C11</f>
        <v>瀝青混凝土舖面，粗粒料9.5mm，黏度AC(1)-20，零星工程用</v>
      </c>
      <c r="D11" s="55">
        <f>自檢資料!D11</f>
        <v>74</v>
      </c>
      <c r="E11" s="55" t="str">
        <f>自檢資料!E11</f>
        <v>M3</v>
      </c>
      <c r="F11" s="55" t="e">
        <f>自檢資料!F11</f>
        <v>#REF!</v>
      </c>
      <c r="G11" s="55">
        <f>自檢資料!G11</f>
        <v>8226.06</v>
      </c>
      <c r="H11" s="55" t="e">
        <f>自檢資料!H11</f>
        <v>#REF!</v>
      </c>
      <c r="K11" s="133">
        <v>2</v>
      </c>
      <c r="L11" s="134">
        <v>5</v>
      </c>
      <c r="M11" s="134">
        <v>4</v>
      </c>
      <c r="O11" s="142">
        <f>$K$11</f>
        <v>2</v>
      </c>
      <c r="P11" s="130" t="s">
        <v>2963</v>
      </c>
      <c r="Q11" s="724">
        <f>L11</f>
        <v>5</v>
      </c>
      <c r="R11" s="131"/>
      <c r="S11" s="138" t="str">
        <f t="shared" si="0"/>
        <v>KeyPress "Tab", 5</v>
      </c>
      <c r="T11" s="131"/>
      <c r="U11" s="138" t="str">
        <f t="shared" si="1"/>
        <v>KeyPress "Tab", 5</v>
      </c>
      <c r="V11" s="131"/>
      <c r="W11">
        <v>2</v>
      </c>
      <c r="X11" s="714" t="str">
        <f>IF(Q11&lt;3,"//",U11)</f>
        <v>KeyPress "Tab", 5</v>
      </c>
      <c r="Y11" s="715"/>
      <c r="AA11" t="str">
        <f>IF(Q11&lt;3,"//",X11)</f>
        <v>KeyPress "Tab", 5</v>
      </c>
    </row>
    <row r="12" spans="1:27">
      <c r="A12" s="55" t="str">
        <f>自檢資料!A12</f>
        <v>10.</v>
      </c>
      <c r="B12" s="55" t="str">
        <f>自檢資料!B12</f>
        <v>10.</v>
      </c>
      <c r="C12" s="55" t="str">
        <f>自檢資料!C12</f>
        <v>切割瀝青混凝土或無筋混凝土，10cm≦切割深度</v>
      </c>
      <c r="D12" s="55">
        <f>自檢資料!D12</f>
        <v>97</v>
      </c>
      <c r="E12" s="55" t="str">
        <f>自檢資料!E12</f>
        <v>M</v>
      </c>
      <c r="F12" s="55" t="e">
        <f>自檢資料!F12</f>
        <v>#REF!</v>
      </c>
      <c r="G12" s="55">
        <f>自檢資料!G12</f>
        <v>76.930000000000007</v>
      </c>
      <c r="H12" s="55" t="e">
        <f>自檢資料!H12</f>
        <v>#REF!</v>
      </c>
      <c r="K12" s="133"/>
      <c r="L12" s="134"/>
      <c r="M12" s="134"/>
      <c r="O12" s="144"/>
      <c r="P12" s="130" t="str">
        <f>$J$4</f>
        <v>Delay 600</v>
      </c>
      <c r="Q12" s="730"/>
      <c r="R12" s="131"/>
      <c r="S12" s="138" t="str">
        <f t="shared" si="0"/>
        <v>Delay 600</v>
      </c>
      <c r="T12" s="131"/>
      <c r="U12" s="138" t="str">
        <f t="shared" si="1"/>
        <v>Delay 600</v>
      </c>
      <c r="V12" s="131"/>
      <c r="X12" s="714" t="str">
        <f>IF(Q11&lt;3,"//",U12)</f>
        <v>Delay 600</v>
      </c>
      <c r="Y12" s="715"/>
      <c r="AA12" t="str">
        <f>IF(Q11&lt;3,"//",X12)</f>
        <v>Delay 600</v>
      </c>
    </row>
    <row r="13" spans="1:27">
      <c r="A13" s="55" t="str">
        <f>自檢資料!A13</f>
        <v>11.</v>
      </c>
      <c r="B13" s="55" t="str">
        <f>自檢資料!B13</f>
        <v>11.</v>
      </c>
      <c r="C13" s="55" t="str">
        <f>自檢資料!C13</f>
        <v>結構用混凝土，預拌，140kgf/cm2</v>
      </c>
      <c r="D13" s="55">
        <f>自檢資料!D13</f>
        <v>99</v>
      </c>
      <c r="E13" s="55" t="str">
        <f>自檢資料!E13</f>
        <v>M3</v>
      </c>
      <c r="F13" s="55" t="e">
        <f>自檢資料!F13</f>
        <v>#REF!</v>
      </c>
      <c r="G13" s="55">
        <f>自檢資料!G13</f>
        <v>3327.95</v>
      </c>
      <c r="H13" s="55" t="e">
        <f>自檢資料!H13</f>
        <v>#REF!</v>
      </c>
      <c r="K13" s="133"/>
      <c r="L13" s="134"/>
      <c r="M13" s="134"/>
      <c r="O13" s="144"/>
      <c r="P13" s="130" t="s">
        <v>2964</v>
      </c>
      <c r="Q13" s="724">
        <f>M11</f>
        <v>4</v>
      </c>
      <c r="R13" s="131" t="s">
        <v>2965</v>
      </c>
      <c r="S13" s="138" t="str">
        <f t="shared" si="0"/>
        <v>SayString "4"</v>
      </c>
      <c r="T13" s="131"/>
      <c r="U13" s="138" t="str">
        <f t="shared" si="1"/>
        <v>SayString "4"</v>
      </c>
      <c r="V13" s="131"/>
      <c r="X13" s="714" t="str">
        <f>IF(Q11&lt;3,"//",U13)</f>
        <v>SayString "4"</v>
      </c>
      <c r="Y13" s="715"/>
      <c r="AA13" t="str">
        <f>IF(Q11&lt;3,"//",X13)</f>
        <v>SayString "4"</v>
      </c>
    </row>
    <row r="14" spans="1:27">
      <c r="A14" s="55" t="str">
        <f>自檢資料!A14</f>
        <v>12.</v>
      </c>
      <c r="B14" s="55" t="str">
        <f>自檢資料!B14</f>
        <v>12.</v>
      </c>
      <c r="C14" s="55" t="str">
        <f>自檢資料!C14</f>
        <v>結構用混凝土，預拌，210kgf/cm2</v>
      </c>
      <c r="D14" s="55">
        <f>自檢資料!D14</f>
        <v>102</v>
      </c>
      <c r="E14" s="55" t="str">
        <f>自檢資料!E14</f>
        <v>M3</v>
      </c>
      <c r="F14" s="55" t="e">
        <f>自檢資料!F14</f>
        <v>#REF!</v>
      </c>
      <c r="G14" s="55">
        <f>自檢資料!G14</f>
        <v>3522.91</v>
      </c>
      <c r="H14" s="55" t="e">
        <f>自檢資料!H14</f>
        <v>#REF!</v>
      </c>
      <c r="K14" s="133"/>
      <c r="L14" s="134"/>
      <c r="M14" s="134"/>
      <c r="O14" s="144"/>
      <c r="P14" s="130" t="str">
        <f>$J$4</f>
        <v>Delay 600</v>
      </c>
      <c r="Q14" s="730"/>
      <c r="R14" s="131"/>
      <c r="S14" s="138" t="str">
        <f t="shared" si="0"/>
        <v>Delay 600</v>
      </c>
      <c r="T14" s="131"/>
      <c r="U14" s="138" t="str">
        <f t="shared" si="1"/>
        <v>Delay 600</v>
      </c>
      <c r="V14" s="131"/>
      <c r="X14" s="714" t="str">
        <f>IF(Q11&lt;3,"//",U14)</f>
        <v>Delay 600</v>
      </c>
      <c r="Y14" s="715"/>
      <c r="AA14" t="str">
        <f>IF(Q11&lt;3,"//",X14)</f>
        <v>Delay 600</v>
      </c>
    </row>
    <row r="15" spans="1:27">
      <c r="A15" s="55" t="str">
        <f>自檢資料!A15</f>
        <v>13.</v>
      </c>
      <c r="B15" s="55" t="str">
        <f>自檢資料!B15</f>
        <v>13.</v>
      </c>
      <c r="C15" s="55" t="str">
        <f>自檢資料!C15</f>
        <v>結構用混凝土，預拌，280kgf/cm2</v>
      </c>
      <c r="D15" s="55">
        <f>自檢資料!D15</f>
        <v>105</v>
      </c>
      <c r="E15" s="55" t="str">
        <f>自檢資料!E15</f>
        <v>M3</v>
      </c>
      <c r="F15" s="55" t="e">
        <f>自檢資料!F15</f>
        <v>#REF!</v>
      </c>
      <c r="G15" s="55">
        <f>自檢資料!G15</f>
        <v>3847.4</v>
      </c>
      <c r="H15" s="55" t="e">
        <f>自檢資料!H15</f>
        <v>#REF!</v>
      </c>
      <c r="K15" s="133"/>
      <c r="L15" s="134"/>
      <c r="M15" s="134"/>
      <c r="O15" s="144"/>
      <c r="P15" s="130" t="s">
        <v>4068</v>
      </c>
      <c r="Q15" s="730"/>
      <c r="R15" s="131"/>
      <c r="S15" s="138" t="str">
        <f t="shared" si="0"/>
        <v>KeyPress "Enter", 1</v>
      </c>
      <c r="T15" s="131"/>
      <c r="U15" s="138" t="str">
        <f t="shared" si="1"/>
        <v>KeyPress "Enter", 1</v>
      </c>
      <c r="V15" s="131"/>
      <c r="X15" s="714" t="str">
        <f>IF(Q11&lt;3,"//",U15)</f>
        <v>KeyPress "Enter", 1</v>
      </c>
      <c r="Y15" s="715"/>
      <c r="AA15" t="str">
        <f>IF(Q11&lt;3,"//",X15)</f>
        <v>KeyPress "Enter", 1</v>
      </c>
    </row>
    <row r="16" spans="1:27" ht="17.25" thickBot="1">
      <c r="A16" s="55" t="str">
        <f>自檢資料!A16</f>
        <v>14.</v>
      </c>
      <c r="B16" s="55" t="str">
        <f>自檢資料!B16</f>
        <v>14.</v>
      </c>
      <c r="C16" s="55" t="str">
        <f>自檢資料!C16</f>
        <v>場鑄結構混凝土用模板，清水模板，丙種.</v>
      </c>
      <c r="D16" s="55">
        <f>自檢資料!D16</f>
        <v>124</v>
      </c>
      <c r="E16" s="55" t="str">
        <f>自檢資料!E16</f>
        <v>M2</v>
      </c>
      <c r="F16" s="55" t="e">
        <f>自檢資料!F16</f>
        <v>#REF!</v>
      </c>
      <c r="G16" s="55">
        <f>自檢資料!G16</f>
        <v>688.37</v>
      </c>
      <c r="H16" s="55" t="e">
        <f>自檢資料!H16</f>
        <v>#REF!</v>
      </c>
      <c r="K16" s="133"/>
      <c r="L16" s="134"/>
      <c r="M16" s="134"/>
      <c r="O16" s="143"/>
      <c r="P16" s="130" t="str">
        <f>$J$5</f>
        <v>Delay 5000</v>
      </c>
      <c r="Q16" s="730"/>
      <c r="R16" s="131"/>
      <c r="S16" s="138" t="str">
        <f t="shared" si="0"/>
        <v>Delay 5000</v>
      </c>
      <c r="T16" s="131"/>
      <c r="U16" s="138" t="str">
        <f t="shared" si="1"/>
        <v>Delay 5000</v>
      </c>
      <c r="V16" s="131"/>
      <c r="X16" s="714" t="str">
        <f>IF(Q11&lt;3,"//",U16)</f>
        <v>Delay 5000</v>
      </c>
      <c r="Y16" s="715"/>
      <c r="AA16" t="str">
        <f>IF(Q11&lt;3,"//",X16)</f>
        <v>Delay 5000</v>
      </c>
    </row>
    <row r="17" spans="1:27">
      <c r="A17" s="55" t="str">
        <f>自檢資料!A17</f>
        <v>15.</v>
      </c>
      <c r="B17" s="55" t="str">
        <f>自檢資料!B17</f>
        <v>15.</v>
      </c>
      <c r="C17" s="55" t="str">
        <f>自檢資料!C17</f>
        <v>場鑄結構混凝土用模板，普通模板，丙種.</v>
      </c>
      <c r="D17" s="55">
        <f>自檢資料!D17</f>
        <v>129</v>
      </c>
      <c r="E17" s="55" t="str">
        <f>自檢資料!E17</f>
        <v>M2</v>
      </c>
      <c r="F17" s="55" t="e">
        <f>自檢資料!F17</f>
        <v>#REF!</v>
      </c>
      <c r="G17" s="55">
        <f>自檢資料!G17</f>
        <v>525.94000000000005</v>
      </c>
      <c r="H17" s="55" t="e">
        <f>自檢資料!H17</f>
        <v>#REF!</v>
      </c>
      <c r="K17" s="133">
        <v>3</v>
      </c>
      <c r="L17" s="134">
        <v>6</v>
      </c>
      <c r="M17" s="134">
        <v>24</v>
      </c>
      <c r="O17" s="142">
        <f>$K$17</f>
        <v>3</v>
      </c>
      <c r="P17" s="130" t="s">
        <v>2963</v>
      </c>
      <c r="Q17" s="724">
        <f>L17</f>
        <v>6</v>
      </c>
      <c r="R17" s="131"/>
      <c r="S17" s="138" t="str">
        <f t="shared" si="0"/>
        <v>KeyPress "Tab", 6</v>
      </c>
      <c r="T17" s="131"/>
      <c r="U17" s="138" t="str">
        <f t="shared" si="1"/>
        <v>KeyPress "Tab", 6</v>
      </c>
      <c r="V17" s="131"/>
      <c r="W17">
        <v>3</v>
      </c>
      <c r="X17" s="714" t="str">
        <f>IF(Q17&lt;3,"//",U17)</f>
        <v>KeyPress "Tab", 6</v>
      </c>
      <c r="Y17" s="715"/>
      <c r="AA17" t="str">
        <f>IF(Q17&lt;3,"//",X17)</f>
        <v>KeyPress "Tab", 6</v>
      </c>
    </row>
    <row r="18" spans="1:27">
      <c r="A18" s="55" t="str">
        <f>自檢資料!A18</f>
        <v>16.</v>
      </c>
      <c r="B18" s="55" t="str">
        <f>自檢資料!B18</f>
        <v>16.</v>
      </c>
      <c r="C18" s="55" t="str">
        <f>自檢資料!C18</f>
        <v>鋼製模板，U型溝用，W=40cm，L=120cm.</v>
      </c>
      <c r="D18" s="55">
        <f>自檢資料!D18</f>
        <v>137</v>
      </c>
      <c r="E18" s="55" t="str">
        <f>自檢資料!E18</f>
        <v>M</v>
      </c>
      <c r="F18" s="55" t="e">
        <f>自檢資料!F18</f>
        <v>#REF!</v>
      </c>
      <c r="G18" s="55">
        <f>自檢資料!G18</f>
        <v>807.53</v>
      </c>
      <c r="H18" s="55" t="e">
        <f>自檢資料!H18</f>
        <v>#REF!</v>
      </c>
      <c r="K18" s="133"/>
      <c r="L18" s="134"/>
      <c r="M18" s="134"/>
      <c r="O18" s="144"/>
      <c r="P18" s="130" t="str">
        <f>$J$4</f>
        <v>Delay 600</v>
      </c>
      <c r="Q18" s="730"/>
      <c r="R18" s="131"/>
      <c r="S18" s="138" t="str">
        <f t="shared" si="0"/>
        <v>Delay 600</v>
      </c>
      <c r="T18" s="131"/>
      <c r="U18" s="138" t="str">
        <f t="shared" si="1"/>
        <v>Delay 600</v>
      </c>
      <c r="V18" s="131"/>
      <c r="X18" s="714" t="str">
        <f>IF(Q17&lt;3,"//",U18)</f>
        <v>Delay 600</v>
      </c>
      <c r="Y18" s="715"/>
      <c r="AA18" t="str">
        <f>IF(Q17&lt;3,"//",X18)</f>
        <v>Delay 600</v>
      </c>
    </row>
    <row r="19" spans="1:27">
      <c r="A19" s="55" t="str">
        <f>自檢資料!A19</f>
        <v>17.</v>
      </c>
      <c r="B19" s="55" t="str">
        <f>自檢資料!B19</f>
        <v>17.</v>
      </c>
      <c r="C19" s="55" t="str">
        <f>自檢資料!C19</f>
        <v>鋼筋，SD280W.</v>
      </c>
      <c r="D19" s="55">
        <f>自檢資料!D19</f>
        <v>156</v>
      </c>
      <c r="E19" s="55" t="str">
        <f>自檢資料!E19</f>
        <v>KG</v>
      </c>
      <c r="F19" s="55" t="e">
        <f>自檢資料!F19</f>
        <v>#REF!</v>
      </c>
      <c r="G19" s="55">
        <f>自檢資料!G19</f>
        <v>34.9</v>
      </c>
      <c r="H19" s="55" t="e">
        <f>自檢資料!H19</f>
        <v>#REF!</v>
      </c>
      <c r="K19" s="133"/>
      <c r="L19" s="134"/>
      <c r="M19" s="134"/>
      <c r="O19" s="144"/>
      <c r="P19" s="130" t="s">
        <v>2964</v>
      </c>
      <c r="Q19" s="724">
        <f>M17</f>
        <v>24</v>
      </c>
      <c r="R19" s="131" t="s">
        <v>2965</v>
      </c>
      <c r="S19" s="138" t="str">
        <f t="shared" si="0"/>
        <v>SayString "24"</v>
      </c>
      <c r="T19" s="131"/>
      <c r="U19" s="138" t="str">
        <f t="shared" si="1"/>
        <v>SayString "24"</v>
      </c>
      <c r="V19" s="131"/>
      <c r="X19" s="714" t="str">
        <f>IF(Q17&lt;3,"//",U19)</f>
        <v>SayString "24"</v>
      </c>
      <c r="Y19" s="715"/>
      <c r="AA19" t="str">
        <f>IF(Q17&lt;3,"//",X19)</f>
        <v>SayString "24"</v>
      </c>
    </row>
    <row r="20" spans="1:27">
      <c r="A20" s="55" t="str">
        <f>自檢資料!A20</f>
        <v>18.</v>
      </c>
      <c r="B20" s="55" t="str">
        <f>自檢資料!B20</f>
        <v>18.</v>
      </c>
      <c r="C20" s="55" t="str">
        <f>自檢資料!C20</f>
        <v>(免拆模板，鋼質)，厚3mm鋼模</v>
      </c>
      <c r="D20" s="55">
        <f>自檢資料!D20</f>
        <v>168</v>
      </c>
      <c r="E20" s="55" t="str">
        <f>自檢資料!E20</f>
        <v>M2</v>
      </c>
      <c r="F20" s="55" t="e">
        <f>自檢資料!F20</f>
        <v>#REF!</v>
      </c>
      <c r="G20" s="55">
        <f>自檢資料!G20</f>
        <v>865.64</v>
      </c>
      <c r="H20" s="55" t="e">
        <f>自檢資料!H20</f>
        <v>#REF!</v>
      </c>
      <c r="K20" s="133"/>
      <c r="L20" s="134"/>
      <c r="M20" s="134"/>
      <c r="O20" s="144"/>
      <c r="P20" s="130" t="str">
        <f>$J$4</f>
        <v>Delay 600</v>
      </c>
      <c r="Q20" s="730"/>
      <c r="R20" s="131"/>
      <c r="S20" s="138" t="str">
        <f t="shared" si="0"/>
        <v>Delay 600</v>
      </c>
      <c r="T20" s="131"/>
      <c r="U20" s="138" t="str">
        <f t="shared" si="1"/>
        <v>Delay 600</v>
      </c>
      <c r="V20" s="131"/>
      <c r="X20" s="714" t="str">
        <f>IF(Q17&lt;3,"//",U20)</f>
        <v>Delay 600</v>
      </c>
      <c r="Y20" s="715"/>
      <c r="AA20" t="str">
        <f>IF(Q17&lt;3,"//",X20)</f>
        <v>Delay 600</v>
      </c>
    </row>
    <row r="21" spans="1:27">
      <c r="A21" s="55" t="str">
        <f>自檢資料!A21</f>
        <v>19.</v>
      </c>
      <c r="B21" s="55" t="str">
        <f>自檢資料!B21</f>
        <v>19.</v>
      </c>
      <c r="C21" s="55" t="str">
        <f>自檢資料!C21</f>
        <v>鍍鋅格柵板及框座，(框53.6cm，蓋45cm)</v>
      </c>
      <c r="D21" s="55">
        <f>自檢資料!D21</f>
        <v>276</v>
      </c>
      <c r="E21" s="55" t="str">
        <f>自檢資料!E21</f>
        <v>組</v>
      </c>
      <c r="F21" s="55" t="e">
        <f>自檢資料!F21</f>
        <v>#REF!</v>
      </c>
      <c r="G21" s="55">
        <f>自檢資料!G21</f>
        <v>3119.36</v>
      </c>
      <c r="H21" s="55" t="e">
        <f>自檢資料!H21</f>
        <v>#REF!</v>
      </c>
      <c r="K21" s="133"/>
      <c r="L21" s="134"/>
      <c r="M21" s="134"/>
      <c r="O21" s="144"/>
      <c r="P21" s="130" t="s">
        <v>4068</v>
      </c>
      <c r="Q21" s="730"/>
      <c r="R21" s="131"/>
      <c r="S21" s="138" t="str">
        <f t="shared" si="0"/>
        <v>KeyPress "Enter", 1</v>
      </c>
      <c r="T21" s="131"/>
      <c r="U21" s="138" t="str">
        <f t="shared" si="1"/>
        <v>KeyPress "Enter", 1</v>
      </c>
      <c r="V21" s="131"/>
      <c r="X21" s="714" t="str">
        <f>IF(Q17&lt;3,"//",U21)</f>
        <v>KeyPress "Enter", 1</v>
      </c>
      <c r="Y21" s="715"/>
      <c r="AA21" t="str">
        <f>IF(Q17&lt;3,"//",X21)</f>
        <v>KeyPress "Enter", 1</v>
      </c>
    </row>
    <row r="22" spans="1:27" ht="17.25" thickBot="1">
      <c r="A22" s="55" t="str">
        <f>自檢資料!A22</f>
        <v>20.</v>
      </c>
      <c r="B22" s="55" t="str">
        <f>自檢資料!B22</f>
        <v>20.</v>
      </c>
      <c r="C22" s="55" t="str">
        <f>自檢資料!C22</f>
        <v>導線管，硬質聚氯乙烯塑膠管，標稱52mm，接線及安裝，含尼龍繩</v>
      </c>
      <c r="D22" s="55">
        <f>自檢資料!D22</f>
        <v>320</v>
      </c>
      <c r="E22" s="55" t="str">
        <f>自檢資料!E22</f>
        <v>M</v>
      </c>
      <c r="F22" s="55" t="e">
        <f>自檢資料!F22</f>
        <v>#REF!</v>
      </c>
      <c r="G22" s="55">
        <f>自檢資料!G22</f>
        <v>39.85</v>
      </c>
      <c r="H22" s="55" t="e">
        <f>自檢資料!H22</f>
        <v>#REF!</v>
      </c>
      <c r="K22" s="133"/>
      <c r="L22" s="134"/>
      <c r="M22" s="134"/>
      <c r="O22" s="143"/>
      <c r="P22" s="130" t="str">
        <f>$J$5</f>
        <v>Delay 5000</v>
      </c>
      <c r="Q22" s="730"/>
      <c r="R22" s="131"/>
      <c r="S22" s="138" t="str">
        <f t="shared" si="0"/>
        <v>Delay 5000</v>
      </c>
      <c r="T22" s="131"/>
      <c r="U22" s="138" t="str">
        <f t="shared" si="1"/>
        <v>Delay 5000</v>
      </c>
      <c r="V22" s="131"/>
      <c r="X22" s="714" t="str">
        <f>IF(Q17&lt;3,"//",U22)</f>
        <v>Delay 5000</v>
      </c>
      <c r="Y22" s="715"/>
      <c r="AA22" t="str">
        <f>IF(Q17&lt;3,"//",X22)</f>
        <v>Delay 5000</v>
      </c>
    </row>
    <row r="23" spans="1:27">
      <c r="A23" s="55" t="str">
        <f>自檢資料!A23</f>
        <v>21.</v>
      </c>
      <c r="B23" s="55" t="str">
        <f>自檢資料!B23</f>
        <v>21.</v>
      </c>
      <c r="C23" s="55" t="str">
        <f>自檢資料!C23</f>
        <v>開挖臨時覆蓋板及其支撐，舖設鋼板臨時作為舖面用，厚15mm</v>
      </c>
      <c r="D23" s="55">
        <f>自檢資料!D23</f>
        <v>333</v>
      </c>
      <c r="E23" s="55" t="str">
        <f>自檢資料!E23</f>
        <v>M2</v>
      </c>
      <c r="F23" s="55" t="e">
        <f>自檢資料!F23</f>
        <v>#REF!</v>
      </c>
      <c r="G23" s="55">
        <f>自檢資料!G23</f>
        <v>251.39</v>
      </c>
      <c r="H23" s="55" t="e">
        <f>自檢資料!H23</f>
        <v>#REF!</v>
      </c>
      <c r="K23" s="133">
        <v>4</v>
      </c>
      <c r="L23" s="134">
        <v>9</v>
      </c>
      <c r="M23" s="134">
        <v>4</v>
      </c>
      <c r="O23" s="142">
        <f>$K$23</f>
        <v>4</v>
      </c>
      <c r="P23" s="130" t="s">
        <v>2963</v>
      </c>
      <c r="Q23" s="724">
        <f>L23</f>
        <v>9</v>
      </c>
      <c r="R23" s="131"/>
      <c r="S23" s="138" t="str">
        <f t="shared" si="0"/>
        <v>KeyPress "Tab", 9</v>
      </c>
      <c r="T23" s="131"/>
      <c r="U23" s="138" t="str">
        <f t="shared" si="1"/>
        <v>KeyPress "Tab", 9</v>
      </c>
      <c r="V23" s="131"/>
      <c r="W23">
        <v>4</v>
      </c>
      <c r="X23" s="714" t="str">
        <f>IF(Q23&lt;3,"//",U23)</f>
        <v>KeyPress "Tab", 9</v>
      </c>
      <c r="Y23" s="715"/>
      <c r="AA23" t="str">
        <f>IF(Q23&lt;3,"//",X23)</f>
        <v>KeyPress "Tab", 9</v>
      </c>
    </row>
    <row r="24" spans="1:27">
      <c r="A24" s="55" t="str">
        <f>自檢資料!A24</f>
        <v>22.</v>
      </c>
      <c r="B24" s="55" t="str">
        <f>自檢資料!B24</f>
        <v>22.</v>
      </c>
      <c r="C24" s="55" t="str">
        <f>自檢資料!C24</f>
        <v>臨時人行越溝鋼板L160cm×W120cm</v>
      </c>
      <c r="D24" s="55">
        <f>自檢資料!D24</f>
        <v>335</v>
      </c>
      <c r="E24" s="55" t="str">
        <f>自檢資料!E24</f>
        <v>組</v>
      </c>
      <c r="F24" s="55" t="e">
        <f>自檢資料!F24</f>
        <v>#REF!</v>
      </c>
      <c r="G24" s="55">
        <f>自檢資料!G24</f>
        <v>638.14</v>
      </c>
      <c r="H24" s="55" t="e">
        <f>自檢資料!H24</f>
        <v>#REF!</v>
      </c>
      <c r="K24" s="133"/>
      <c r="L24" s="134"/>
      <c r="M24" s="134"/>
      <c r="O24" s="144"/>
      <c r="P24" s="130" t="str">
        <f>$J$4</f>
        <v>Delay 600</v>
      </c>
      <c r="Q24" s="730"/>
      <c r="R24" s="131"/>
      <c r="S24" s="138" t="str">
        <f t="shared" si="0"/>
        <v>Delay 600</v>
      </c>
      <c r="T24" s="131"/>
      <c r="U24" s="138" t="str">
        <f t="shared" si="1"/>
        <v>Delay 600</v>
      </c>
      <c r="V24" s="131"/>
      <c r="X24" s="714" t="str">
        <f>IF(Q23&lt;3,"//",U24)</f>
        <v>Delay 600</v>
      </c>
      <c r="Y24" s="715"/>
      <c r="AA24" t="str">
        <f>IF(Q23&lt;3,"//",X24)</f>
        <v>Delay 600</v>
      </c>
    </row>
    <row r="25" spans="1:27">
      <c r="A25" s="55" t="str">
        <f>自檢資料!A25</f>
        <v>23.</v>
      </c>
      <c r="B25" s="55" t="str">
        <f>自檢資料!B25</f>
        <v>23.</v>
      </c>
      <c r="C25" s="55" t="str">
        <f>自檢資料!C25</f>
        <v>臨時設施，排水設備，沉水式抽水機，D=10cm，租金</v>
      </c>
      <c r="D25" s="55">
        <f>自檢資料!D25</f>
        <v>364</v>
      </c>
      <c r="E25" s="55" t="str">
        <f>自檢資料!E25</f>
        <v>時</v>
      </c>
      <c r="F25" s="55" t="e">
        <f>自檢資料!F25</f>
        <v>#REF!</v>
      </c>
      <c r="G25" s="55">
        <f>自檢資料!G25</f>
        <v>804.77</v>
      </c>
      <c r="H25" s="55" t="e">
        <f>自檢資料!H25</f>
        <v>#REF!</v>
      </c>
      <c r="K25" s="133"/>
      <c r="L25" s="134"/>
      <c r="M25" s="134"/>
      <c r="O25" s="144"/>
      <c r="P25" s="130" t="s">
        <v>2964</v>
      </c>
      <c r="Q25" s="724">
        <f>M23</f>
        <v>4</v>
      </c>
      <c r="R25" s="131" t="s">
        <v>2965</v>
      </c>
      <c r="S25" s="138" t="str">
        <f t="shared" si="0"/>
        <v>SayString "4"</v>
      </c>
      <c r="T25" s="131"/>
      <c r="U25" s="138" t="str">
        <f t="shared" si="1"/>
        <v>SayString "4"</v>
      </c>
      <c r="V25" s="131"/>
      <c r="X25" s="714" t="str">
        <f>IF(Q23&lt;3,"//",U25)</f>
        <v>SayString "4"</v>
      </c>
      <c r="Y25" s="715"/>
      <c r="AA25" t="str">
        <f>IF(Q23&lt;3,"//",X25)</f>
        <v>SayString "4"</v>
      </c>
    </row>
    <row r="26" spans="1:27">
      <c r="A26" s="55" t="str">
        <f>自檢資料!A26</f>
        <v>24.</v>
      </c>
      <c r="B26" s="55" t="str">
        <f>自檢資料!B26</f>
        <v>24.</v>
      </c>
      <c r="C26" s="55" t="str">
        <f>自檢資料!C26</f>
        <v>圍水，砂包堆置</v>
      </c>
      <c r="D26" s="55">
        <f>自檢資料!D26</f>
        <v>366</v>
      </c>
      <c r="E26" s="55" t="str">
        <f>自檢資料!E26</f>
        <v>M3</v>
      </c>
      <c r="F26" s="55" t="e">
        <f>自檢資料!F26</f>
        <v>#REF!</v>
      </c>
      <c r="G26" s="55">
        <f>自檢資料!G26</f>
        <v>3350.11</v>
      </c>
      <c r="H26" s="55" t="e">
        <f>自檢資料!H26</f>
        <v>#REF!</v>
      </c>
      <c r="K26" s="133"/>
      <c r="L26" s="134"/>
      <c r="M26" s="134"/>
      <c r="O26" s="144"/>
      <c r="P26" s="130" t="str">
        <f>$J$4</f>
        <v>Delay 600</v>
      </c>
      <c r="Q26" s="730"/>
      <c r="R26" s="131"/>
      <c r="S26" s="138" t="str">
        <f t="shared" si="0"/>
        <v>Delay 600</v>
      </c>
      <c r="T26" s="131"/>
      <c r="U26" s="138" t="str">
        <f t="shared" si="1"/>
        <v>Delay 600</v>
      </c>
      <c r="V26" s="131"/>
      <c r="X26" s="714" t="str">
        <f>IF(Q23&lt;3,"//",U26)</f>
        <v>Delay 600</v>
      </c>
      <c r="Y26" s="715"/>
      <c r="AA26" t="str">
        <f>IF(Q23&lt;3,"//",X26)</f>
        <v>Delay 600</v>
      </c>
    </row>
    <row r="27" spans="1:27">
      <c r="A27" s="55" t="str">
        <f>自檢資料!A27</f>
        <v>25.</v>
      </c>
      <c r="B27" s="55" t="str">
        <f>自檢資料!B27</f>
        <v>25.</v>
      </c>
      <c r="C27" s="55" t="str">
        <f>自檢資料!C27</f>
        <v>臨時設施，雜項工程，工地處理，施工動復員，小型機具</v>
      </c>
      <c r="D27" s="55" t="e">
        <f>自檢資料!D27</f>
        <v>#N/A</v>
      </c>
      <c r="E27" s="55" t="e">
        <f>自檢資料!E27</f>
        <v>#N/A</v>
      </c>
      <c r="F27" s="55" t="e">
        <f>自檢資料!F27</f>
        <v>#REF!</v>
      </c>
      <c r="G27" s="55" t="e">
        <f>自檢資料!G27</f>
        <v>#N/A</v>
      </c>
      <c r="H27" s="55" t="e">
        <f>自檢資料!H27</f>
        <v>#REF!</v>
      </c>
      <c r="K27" s="133"/>
      <c r="L27" s="134"/>
      <c r="M27" s="134"/>
      <c r="O27" s="144"/>
      <c r="P27" s="130" t="s">
        <v>4068</v>
      </c>
      <c r="Q27" s="730"/>
      <c r="R27" s="131"/>
      <c r="S27" s="138" t="str">
        <f t="shared" si="0"/>
        <v>KeyPress "Enter", 1</v>
      </c>
      <c r="T27" s="131"/>
      <c r="U27" s="138" t="str">
        <f t="shared" si="1"/>
        <v>KeyPress "Enter", 1</v>
      </c>
      <c r="V27" s="131"/>
      <c r="X27" s="714" t="str">
        <f>IF(Q23&lt;3,"//",U27)</f>
        <v>KeyPress "Enter", 1</v>
      </c>
      <c r="Y27" s="715"/>
      <c r="AA27" t="str">
        <f>IF(Q23&lt;3,"//",X27)</f>
        <v>KeyPress "Enter", 1</v>
      </c>
    </row>
    <row r="28" spans="1:27" ht="17.25" thickBot="1">
      <c r="A28" s="55" t="str">
        <f>自檢資料!A28</f>
        <v>26.</v>
      </c>
      <c r="B28" s="55" t="str">
        <f>自檢資料!B28</f>
        <v>26.</v>
      </c>
      <c r="C28" s="55" t="str">
        <f>自檢資料!C28</f>
        <v>工地處理，緊急搶修，路面開挖</v>
      </c>
      <c r="D28" s="55">
        <f>自檢資料!D28</f>
        <v>396</v>
      </c>
      <c r="E28" s="55" t="str">
        <f>自檢資料!E28</f>
        <v>處</v>
      </c>
      <c r="F28" s="55" t="e">
        <f>自檢資料!F28</f>
        <v>#REF!</v>
      </c>
      <c r="G28" s="55">
        <f>自檢資料!G28</f>
        <v>22525.11</v>
      </c>
      <c r="H28" s="55" t="e">
        <f>自檢資料!H28</f>
        <v>#REF!</v>
      </c>
      <c r="K28" s="133"/>
      <c r="L28" s="134"/>
      <c r="M28" s="134"/>
      <c r="O28" s="143"/>
      <c r="P28" s="130" t="str">
        <f>$J$5</f>
        <v>Delay 5000</v>
      </c>
      <c r="Q28" s="730"/>
      <c r="R28" s="131"/>
      <c r="S28" s="138" t="str">
        <f t="shared" si="0"/>
        <v>Delay 5000</v>
      </c>
      <c r="T28" s="131"/>
      <c r="U28" s="138" t="str">
        <f t="shared" si="1"/>
        <v>Delay 5000</v>
      </c>
      <c r="V28" s="131"/>
      <c r="X28" s="714" t="str">
        <f>IF(Q23&lt;3,"//",U28)</f>
        <v>Delay 5000</v>
      </c>
      <c r="Y28" s="715"/>
      <c r="AA28" t="str">
        <f>IF(Q23&lt;3,"//",X28)</f>
        <v>Delay 5000</v>
      </c>
    </row>
    <row r="29" spans="1:27">
      <c r="A29" s="55" t="str">
        <f>自檢資料!A29</f>
        <v>27.</v>
      </c>
      <c r="B29" s="55" t="str">
        <f>自檢資料!B29</f>
        <v>27.</v>
      </c>
      <c r="C29" s="55" t="str">
        <f>自檢資料!C29</f>
        <v>施工照相及攝(錄)影，施工動態即時影像傳輸費，機關提供攝影機</v>
      </c>
      <c r="D29" s="55">
        <f>自檢資料!D29</f>
        <v>421</v>
      </c>
      <c r="E29" s="55" t="str">
        <f>自檢資料!E29</f>
        <v>日/台</v>
      </c>
      <c r="F29" s="55" t="e">
        <f>自檢資料!F29</f>
        <v>#REF!</v>
      </c>
      <c r="G29" s="55">
        <f>自檢資料!G29</f>
        <v>765.6</v>
      </c>
      <c r="H29" s="55" t="e">
        <f>自檢資料!H29</f>
        <v>#REF!</v>
      </c>
      <c r="K29" s="133">
        <v>5</v>
      </c>
      <c r="L29" s="134">
        <v>14</v>
      </c>
      <c r="M29" s="134">
        <v>4</v>
      </c>
      <c r="O29" s="142">
        <f>$K$29</f>
        <v>5</v>
      </c>
      <c r="P29" s="130" t="s">
        <v>2963</v>
      </c>
      <c r="Q29" s="724">
        <f>L29</f>
        <v>14</v>
      </c>
      <c r="R29" s="131"/>
      <c r="S29" s="138" t="str">
        <f t="shared" si="0"/>
        <v>KeyPress "Tab", 14</v>
      </c>
      <c r="T29" s="131"/>
      <c r="U29" s="138" t="str">
        <f t="shared" si="1"/>
        <v>KeyPress "Tab", 14</v>
      </c>
      <c r="V29" s="131"/>
      <c r="W29">
        <v>5</v>
      </c>
      <c r="X29" s="714" t="str">
        <f>IF(Q29&lt;3,"//",U29)</f>
        <v>KeyPress "Tab", 14</v>
      </c>
      <c r="Y29" s="715"/>
      <c r="AA29" t="str">
        <f>IF(Q29&lt;3,"//",X29)</f>
        <v>KeyPress "Tab", 14</v>
      </c>
    </row>
    <row r="30" spans="1:27">
      <c r="A30" s="55" t="str">
        <f>自檢資料!A30</f>
        <v>28.</v>
      </c>
      <c r="B30" s="55" t="str">
        <f>自檢資料!B30</f>
        <v>28.</v>
      </c>
      <c r="C30" s="55" t="str">
        <f>自檢資料!C30</f>
        <v>交通維持，道路管制人員，日間(06-22時)，義交</v>
      </c>
      <c r="D30" s="55">
        <f>自檢資料!D30</f>
        <v>429</v>
      </c>
      <c r="E30" s="55" t="str">
        <f>自檢資料!E30</f>
        <v>時</v>
      </c>
      <c r="F30" s="55" t="e">
        <f>自檢資料!F30</f>
        <v>#REF!</v>
      </c>
      <c r="G30" s="55">
        <f>自檢資料!G30</f>
        <v>280</v>
      </c>
      <c r="H30" s="55" t="e">
        <f>自檢資料!H30</f>
        <v>#REF!</v>
      </c>
      <c r="K30" s="133"/>
      <c r="L30" s="134"/>
      <c r="M30" s="134"/>
      <c r="O30" s="144"/>
      <c r="P30" s="130" t="str">
        <f>$J$4</f>
        <v>Delay 600</v>
      </c>
      <c r="Q30" s="730"/>
      <c r="R30" s="131"/>
      <c r="S30" s="138" t="str">
        <f t="shared" si="0"/>
        <v>Delay 600</v>
      </c>
      <c r="T30" s="131"/>
      <c r="U30" s="138" t="str">
        <f t="shared" si="1"/>
        <v>Delay 600</v>
      </c>
      <c r="V30" s="131"/>
      <c r="X30" s="714" t="str">
        <f>IF(Q29&lt;3,"//",U30)</f>
        <v>Delay 600</v>
      </c>
      <c r="Y30" s="715"/>
      <c r="AA30" t="str">
        <f>IF(Q29&lt;3,"//",X30)</f>
        <v>Delay 600</v>
      </c>
    </row>
    <row r="31" spans="1:27">
      <c r="A31" s="55" t="str">
        <f>自檢資料!A31</f>
        <v>29.</v>
      </c>
      <c r="B31" s="55" t="str">
        <f>自檢資料!B31</f>
        <v>29.</v>
      </c>
      <c r="C31" s="55" t="str">
        <f>自檢資料!C31</f>
        <v>交通維持用，槽鋼護欄，含警示燈</v>
      </c>
      <c r="D31" s="55">
        <f>自檢資料!D31</f>
        <v>433</v>
      </c>
      <c r="E31" s="55" t="str">
        <f>自檢資料!E31</f>
        <v>M</v>
      </c>
      <c r="F31" s="55" t="e">
        <f>自檢資料!F31</f>
        <v>#REF!</v>
      </c>
      <c r="G31" s="55">
        <f>自檢資料!G31</f>
        <v>254.34</v>
      </c>
      <c r="H31" s="55" t="e">
        <f>自檢資料!H31</f>
        <v>#REF!</v>
      </c>
      <c r="K31" s="133"/>
      <c r="L31" s="134"/>
      <c r="M31" s="134"/>
      <c r="O31" s="144"/>
      <c r="P31" s="130" t="s">
        <v>2964</v>
      </c>
      <c r="Q31" s="724">
        <f>M29</f>
        <v>4</v>
      </c>
      <c r="R31" s="131" t="s">
        <v>2965</v>
      </c>
      <c r="S31" s="138" t="str">
        <f t="shared" si="0"/>
        <v>SayString "4"</v>
      </c>
      <c r="T31" s="131"/>
      <c r="U31" s="138" t="str">
        <f t="shared" si="1"/>
        <v>SayString "4"</v>
      </c>
      <c r="V31" s="131"/>
      <c r="X31" s="714" t="str">
        <f>IF(Q29&lt;3,"//",U31)</f>
        <v>SayString "4"</v>
      </c>
      <c r="Y31" s="715"/>
      <c r="AA31" t="str">
        <f>IF(Q29&lt;3,"//",X31)</f>
        <v>SayString "4"</v>
      </c>
    </row>
    <row r="32" spans="1:27">
      <c r="A32" s="55" t="str">
        <f>自檢資料!A32</f>
        <v>30.</v>
      </c>
      <c r="B32" s="55" t="str">
        <f>自檢資料!B32</f>
        <v>30.</v>
      </c>
      <c r="C32" s="55" t="str">
        <f>自檢資料!C32</f>
        <v>標線，熱處理聚酯，反光，厚2mm，第Ⅱ型，12公尺以下道路及零星路段繪設</v>
      </c>
      <c r="D32" s="55">
        <f>自檢資料!D32</f>
        <v>448</v>
      </c>
      <c r="E32" s="55" t="str">
        <f>自檢資料!E32</f>
        <v>M2</v>
      </c>
      <c r="F32" s="55" t="e">
        <f>自檢資料!F32</f>
        <v>#REF!</v>
      </c>
      <c r="G32" s="55">
        <f>自檢資料!G32</f>
        <v>916.44</v>
      </c>
      <c r="H32" s="55" t="e">
        <f>自檢資料!H32</f>
        <v>#REF!</v>
      </c>
      <c r="K32" s="133"/>
      <c r="L32" s="134"/>
      <c r="M32" s="134"/>
      <c r="O32" s="144"/>
      <c r="P32" s="130" t="str">
        <f>$J$4</f>
        <v>Delay 600</v>
      </c>
      <c r="Q32" s="730"/>
      <c r="R32" s="131"/>
      <c r="S32" s="138" t="str">
        <f t="shared" si="0"/>
        <v>Delay 600</v>
      </c>
      <c r="T32" s="131"/>
      <c r="U32" s="138" t="str">
        <f t="shared" si="1"/>
        <v>Delay 600</v>
      </c>
      <c r="V32" s="131"/>
      <c r="X32" s="714" t="str">
        <f>IF(Q29&lt;3,"//",U32)</f>
        <v>Delay 600</v>
      </c>
      <c r="Y32" s="715"/>
      <c r="AA32" t="str">
        <f>IF(Q29&lt;3,"//",X32)</f>
        <v>Delay 600</v>
      </c>
    </row>
    <row r="33" spans="1:27">
      <c r="A33" s="55">
        <f>自檢資料!A33</f>
        <v>0</v>
      </c>
      <c r="B33" s="55">
        <f>自檢資料!B33</f>
        <v>0</v>
      </c>
      <c r="C33" s="55">
        <f>自檢資料!C33</f>
        <v>0</v>
      </c>
      <c r="D33" s="55">
        <f>自檢資料!D33</f>
        <v>0</v>
      </c>
      <c r="E33" s="55">
        <f>自檢資料!E33</f>
        <v>0</v>
      </c>
      <c r="F33" s="55">
        <f>自檢資料!F33</f>
        <v>0</v>
      </c>
      <c r="G33" s="55">
        <f>自檢資料!G33</f>
        <v>0</v>
      </c>
      <c r="H33" s="55">
        <f>自檢資料!H33</f>
        <v>0</v>
      </c>
      <c r="K33" s="133"/>
      <c r="L33" s="134"/>
      <c r="M33" s="134"/>
      <c r="O33" s="144"/>
      <c r="P33" s="130" t="s">
        <v>4068</v>
      </c>
      <c r="Q33" s="730"/>
      <c r="R33" s="131"/>
      <c r="S33" s="138" t="str">
        <f t="shared" si="0"/>
        <v>KeyPress "Enter", 1</v>
      </c>
      <c r="T33" s="131"/>
      <c r="U33" s="138" t="str">
        <f t="shared" si="1"/>
        <v>KeyPress "Enter", 1</v>
      </c>
      <c r="V33" s="131"/>
      <c r="X33" s="714" t="str">
        <f>IF(Q29&lt;3,"//",U33)</f>
        <v>KeyPress "Enter", 1</v>
      </c>
      <c r="Y33" s="715"/>
      <c r="AA33" t="str">
        <f>IF(Q29&lt;3,"//",X33)</f>
        <v>KeyPress "Enter", 1</v>
      </c>
    </row>
    <row r="34" spans="1:27" ht="17.25" thickBot="1">
      <c r="A34" s="55">
        <f>自檢資料!A34</f>
        <v>0</v>
      </c>
      <c r="B34" s="55">
        <f>自檢資料!B34</f>
        <v>0</v>
      </c>
      <c r="C34" s="55">
        <f>自檢資料!C34</f>
        <v>0</v>
      </c>
      <c r="D34" s="55">
        <f>自檢資料!D34</f>
        <v>0</v>
      </c>
      <c r="E34" s="55">
        <f>自檢資料!E34</f>
        <v>0</v>
      </c>
      <c r="F34" s="55">
        <f>自檢資料!F34</f>
        <v>0</v>
      </c>
      <c r="G34" s="55">
        <f>自檢資料!G34</f>
        <v>0</v>
      </c>
      <c r="H34" s="55">
        <f>自檢資料!H34</f>
        <v>0</v>
      </c>
      <c r="K34" s="133"/>
      <c r="L34" s="134"/>
      <c r="M34" s="134"/>
      <c r="O34" s="143"/>
      <c r="P34" s="130" t="str">
        <f>$J$5</f>
        <v>Delay 5000</v>
      </c>
      <c r="Q34" s="730"/>
      <c r="R34" s="131"/>
      <c r="S34" s="138" t="str">
        <f t="shared" si="0"/>
        <v>Delay 5000</v>
      </c>
      <c r="T34" s="131"/>
      <c r="U34" s="138" t="str">
        <f t="shared" si="1"/>
        <v>Delay 5000</v>
      </c>
      <c r="V34" s="131"/>
      <c r="X34" s="714" t="str">
        <f>IF(Q29&lt;3,"//",U34)</f>
        <v>Delay 5000</v>
      </c>
      <c r="Y34" s="715"/>
      <c r="AA34" t="str">
        <f>IF(Q29&lt;3,"//",X34)</f>
        <v>Delay 5000</v>
      </c>
    </row>
    <row r="35" spans="1:27">
      <c r="A35" s="55">
        <f>自檢資料!A35</f>
        <v>0</v>
      </c>
      <c r="B35" s="55">
        <f>自檢資料!B35</f>
        <v>0</v>
      </c>
      <c r="C35" s="55">
        <f>自檢資料!C35</f>
        <v>0</v>
      </c>
      <c r="D35" s="55">
        <f>自檢資料!D35</f>
        <v>0</v>
      </c>
      <c r="E35" s="55">
        <f>自檢資料!E35</f>
        <v>0</v>
      </c>
      <c r="F35" s="55">
        <f>自檢資料!F35</f>
        <v>0</v>
      </c>
      <c r="G35" s="55">
        <f>自檢資料!G35</f>
        <v>0</v>
      </c>
      <c r="H35" s="55">
        <f>自檢資料!H35</f>
        <v>0</v>
      </c>
      <c r="K35" s="133">
        <v>6</v>
      </c>
      <c r="L35" s="134">
        <v>16</v>
      </c>
      <c r="M35" s="134">
        <v>1</v>
      </c>
      <c r="O35" s="142">
        <f>$K$35</f>
        <v>6</v>
      </c>
      <c r="P35" s="130" t="s">
        <v>2963</v>
      </c>
      <c r="Q35" s="724">
        <f>L35</f>
        <v>16</v>
      </c>
      <c r="R35" s="131"/>
      <c r="S35" s="138" t="str">
        <f t="shared" si="0"/>
        <v>KeyPress "Tab", 16</v>
      </c>
      <c r="T35" s="131"/>
      <c r="U35" s="138" t="str">
        <f t="shared" si="1"/>
        <v>KeyPress "Tab", 16</v>
      </c>
      <c r="V35" s="131"/>
      <c r="W35">
        <v>6</v>
      </c>
      <c r="X35" s="714" t="str">
        <f>IF(Q35&lt;3,"//",U35)</f>
        <v>KeyPress "Tab", 16</v>
      </c>
      <c r="Y35" s="715"/>
      <c r="AA35" t="str">
        <f>IF(Q35&lt;3,"//",X35)</f>
        <v>KeyPress "Tab", 16</v>
      </c>
    </row>
    <row r="36" spans="1:27">
      <c r="A36" s="55">
        <f>自檢資料!A36</f>
        <v>0</v>
      </c>
      <c r="B36" s="55">
        <f>自檢資料!B36</f>
        <v>0</v>
      </c>
      <c r="C36" s="55">
        <f>自檢資料!C36</f>
        <v>0</v>
      </c>
      <c r="D36" s="55">
        <f>自檢資料!D36</f>
        <v>0</v>
      </c>
      <c r="E36" s="55">
        <f>自檢資料!E36</f>
        <v>0</v>
      </c>
      <c r="F36" s="55">
        <f>自檢資料!F36</f>
        <v>0</v>
      </c>
      <c r="G36" s="55">
        <f>自檢資料!G36</f>
        <v>0</v>
      </c>
      <c r="H36" s="55">
        <f>自檢資料!H36</f>
        <v>0</v>
      </c>
      <c r="K36" s="133"/>
      <c r="L36" s="134"/>
      <c r="M36" s="134"/>
      <c r="O36" s="144"/>
      <c r="P36" s="130" t="str">
        <f>$J$4</f>
        <v>Delay 600</v>
      </c>
      <c r="Q36" s="730"/>
      <c r="R36" s="131"/>
      <c r="S36" s="138" t="str">
        <f t="shared" si="0"/>
        <v>Delay 600</v>
      </c>
      <c r="T36" s="131"/>
      <c r="U36" s="138" t="str">
        <f t="shared" si="1"/>
        <v>Delay 600</v>
      </c>
      <c r="V36" s="131"/>
      <c r="X36" s="714" t="str">
        <f>IF(Q35&lt;3,"//",U36)</f>
        <v>Delay 600</v>
      </c>
      <c r="Y36" s="715"/>
      <c r="AA36" t="str">
        <f>IF(Q35&lt;3,"//",X36)</f>
        <v>Delay 600</v>
      </c>
    </row>
    <row r="37" spans="1:27">
      <c r="A37" s="55">
        <f>自檢資料!A37</f>
        <v>0</v>
      </c>
      <c r="B37" s="55">
        <f>自檢資料!B37</f>
        <v>0</v>
      </c>
      <c r="C37" s="55">
        <f>自檢資料!C37</f>
        <v>0</v>
      </c>
      <c r="D37" s="55">
        <f>自檢資料!D37</f>
        <v>0</v>
      </c>
      <c r="E37" s="55">
        <f>自檢資料!E37</f>
        <v>0</v>
      </c>
      <c r="F37" s="55">
        <f>自檢資料!F37</f>
        <v>0</v>
      </c>
      <c r="G37" s="55">
        <f>自檢資料!G37</f>
        <v>0</v>
      </c>
      <c r="H37" s="55">
        <f>自檢資料!H37</f>
        <v>0</v>
      </c>
      <c r="K37" s="133"/>
      <c r="L37" s="134"/>
      <c r="M37" s="134"/>
      <c r="O37" s="144"/>
      <c r="P37" s="130" t="s">
        <v>2964</v>
      </c>
      <c r="Q37" s="724">
        <f>M35</f>
        <v>1</v>
      </c>
      <c r="R37" s="131" t="s">
        <v>2965</v>
      </c>
      <c r="S37" s="138" t="str">
        <f t="shared" si="0"/>
        <v>SayString "1"</v>
      </c>
      <c r="T37" s="131"/>
      <c r="U37" s="138" t="str">
        <f t="shared" si="1"/>
        <v>SayString "1"</v>
      </c>
      <c r="V37" s="131"/>
      <c r="X37" s="714" t="str">
        <f>IF(Q35&lt;3,"//",U37)</f>
        <v>SayString "1"</v>
      </c>
      <c r="Y37" s="715"/>
      <c r="AA37" t="str">
        <f>IF(Q35&lt;3,"//",X37)</f>
        <v>SayString "1"</v>
      </c>
    </row>
    <row r="38" spans="1:27">
      <c r="A38" s="55">
        <f>自檢資料!A38</f>
        <v>0</v>
      </c>
      <c r="B38" s="55">
        <f>自檢資料!B38</f>
        <v>0</v>
      </c>
      <c r="C38" s="55">
        <f>自檢資料!C38</f>
        <v>0</v>
      </c>
      <c r="D38" s="55">
        <f>自檢資料!D38</f>
        <v>0</v>
      </c>
      <c r="E38" s="55">
        <f>自檢資料!E38</f>
        <v>0</v>
      </c>
      <c r="F38" s="55">
        <f>自檢資料!F38</f>
        <v>0</v>
      </c>
      <c r="G38" s="55">
        <f>自檢資料!G38</f>
        <v>0</v>
      </c>
      <c r="H38" s="55">
        <f>自檢資料!H38</f>
        <v>0</v>
      </c>
      <c r="K38" s="133"/>
      <c r="L38" s="134"/>
      <c r="M38" s="134"/>
      <c r="O38" s="144"/>
      <c r="P38" s="130" t="str">
        <f>$J$4</f>
        <v>Delay 600</v>
      </c>
      <c r="Q38" s="730"/>
      <c r="R38" s="131"/>
      <c r="S38" s="138" t="str">
        <f t="shared" si="0"/>
        <v>Delay 600</v>
      </c>
      <c r="T38" s="131"/>
      <c r="U38" s="138" t="str">
        <f t="shared" si="1"/>
        <v>Delay 600</v>
      </c>
      <c r="V38" s="131"/>
      <c r="X38" s="714" t="str">
        <f>IF(Q35&lt;3,"//",U38)</f>
        <v>Delay 600</v>
      </c>
      <c r="Y38" s="715"/>
      <c r="AA38" t="str">
        <f>IF(Q35&lt;3,"//",X38)</f>
        <v>Delay 600</v>
      </c>
    </row>
    <row r="39" spans="1:27">
      <c r="A39" s="55">
        <f>自檢資料!A39</f>
        <v>0</v>
      </c>
      <c r="B39" s="55">
        <f>自檢資料!B39</f>
        <v>0</v>
      </c>
      <c r="C39" s="55">
        <f>自檢資料!C39</f>
        <v>0</v>
      </c>
      <c r="D39" s="55">
        <f>自檢資料!D39</f>
        <v>0</v>
      </c>
      <c r="E39" s="55">
        <f>自檢資料!E39</f>
        <v>0</v>
      </c>
      <c r="F39" s="55">
        <f>自檢資料!F39</f>
        <v>0</v>
      </c>
      <c r="G39" s="55">
        <f>自檢資料!G39</f>
        <v>0</v>
      </c>
      <c r="H39" s="55">
        <f>自檢資料!H39</f>
        <v>0</v>
      </c>
      <c r="K39" s="133"/>
      <c r="L39" s="134"/>
      <c r="M39" s="134"/>
      <c r="O39" s="144"/>
      <c r="P39" s="130" t="s">
        <v>4068</v>
      </c>
      <c r="Q39" s="730"/>
      <c r="R39" s="131"/>
      <c r="S39" s="138" t="str">
        <f t="shared" si="0"/>
        <v>KeyPress "Enter", 1</v>
      </c>
      <c r="T39" s="131"/>
      <c r="U39" s="138" t="str">
        <f t="shared" si="1"/>
        <v>KeyPress "Enter", 1</v>
      </c>
      <c r="V39" s="131"/>
      <c r="X39" s="714" t="str">
        <f>IF(Q35&lt;3,"//",U39)</f>
        <v>KeyPress "Enter", 1</v>
      </c>
      <c r="Y39" s="715"/>
      <c r="AA39" t="str">
        <f>IF(Q35&lt;3,"//",X39)</f>
        <v>KeyPress "Enter", 1</v>
      </c>
    </row>
    <row r="40" spans="1:27" ht="17.25" thickBot="1">
      <c r="A40" s="55">
        <f>自檢資料!A40</f>
        <v>0</v>
      </c>
      <c r="B40" s="55">
        <f>自檢資料!B40</f>
        <v>0</v>
      </c>
      <c r="C40" s="55">
        <f>自檢資料!C40</f>
        <v>0</v>
      </c>
      <c r="D40" s="55">
        <f>自檢資料!D40</f>
        <v>0</v>
      </c>
      <c r="E40" s="55">
        <f>自檢資料!E40</f>
        <v>0</v>
      </c>
      <c r="F40" s="55">
        <f>自檢資料!F40</f>
        <v>0</v>
      </c>
      <c r="G40" s="55">
        <f>自檢資料!G40</f>
        <v>0</v>
      </c>
      <c r="H40" s="55">
        <f>自檢資料!H40</f>
        <v>0</v>
      </c>
      <c r="K40" s="133"/>
      <c r="L40" s="134"/>
      <c r="M40" s="134"/>
      <c r="O40" s="143"/>
      <c r="P40" s="130" t="str">
        <f>$J$5</f>
        <v>Delay 5000</v>
      </c>
      <c r="Q40" s="730"/>
      <c r="R40" s="131"/>
      <c r="S40" s="138" t="str">
        <f t="shared" si="0"/>
        <v>Delay 5000</v>
      </c>
      <c r="T40" s="131"/>
      <c r="U40" s="138" t="str">
        <f t="shared" si="1"/>
        <v>Delay 5000</v>
      </c>
      <c r="V40" s="131"/>
      <c r="X40" s="714" t="str">
        <f>IF(Q35&lt;3,"//",U40)</f>
        <v>Delay 5000</v>
      </c>
      <c r="Y40" s="715"/>
      <c r="AA40" t="str">
        <f>IF(Q35&lt;3,"//",X40)</f>
        <v>Delay 5000</v>
      </c>
    </row>
    <row r="41" spans="1:27">
      <c r="A41" s="55">
        <f>自檢資料!A41</f>
        <v>0</v>
      </c>
      <c r="B41" s="55">
        <f>自檢資料!B41</f>
        <v>0</v>
      </c>
      <c r="C41" s="55">
        <f>自檢資料!C41</f>
        <v>0</v>
      </c>
      <c r="D41" s="55">
        <f>自檢資料!D41</f>
        <v>0</v>
      </c>
      <c r="E41" s="55">
        <f>自檢資料!E41</f>
        <v>0</v>
      </c>
      <c r="F41" s="55">
        <f>自檢資料!F41</f>
        <v>0</v>
      </c>
      <c r="G41" s="55">
        <f>自檢資料!G41</f>
        <v>0</v>
      </c>
      <c r="H41" s="55">
        <f>自檢資料!H41</f>
        <v>0</v>
      </c>
      <c r="K41" s="133">
        <v>7</v>
      </c>
      <c r="L41" s="134">
        <v>17</v>
      </c>
      <c r="M41" s="134">
        <v>4</v>
      </c>
      <c r="O41" s="142">
        <f>$K$41</f>
        <v>7</v>
      </c>
      <c r="P41" s="130" t="s">
        <v>2963</v>
      </c>
      <c r="Q41" s="724">
        <f>L41</f>
        <v>17</v>
      </c>
      <c r="R41" s="131"/>
      <c r="S41" s="138" t="str">
        <f t="shared" si="0"/>
        <v>KeyPress "Tab", 17</v>
      </c>
      <c r="T41" s="131"/>
      <c r="U41" s="138" t="str">
        <f t="shared" si="1"/>
        <v>KeyPress "Tab", 17</v>
      </c>
      <c r="V41" s="131"/>
      <c r="W41">
        <v>7</v>
      </c>
      <c r="X41" s="714" t="str">
        <f>IF(Q41&lt;3,"//",U41)</f>
        <v>KeyPress "Tab", 17</v>
      </c>
      <c r="Y41" s="715"/>
      <c r="AA41" t="str">
        <f>IF(Q41&lt;3,"//",X41)</f>
        <v>KeyPress "Tab", 17</v>
      </c>
    </row>
    <row r="42" spans="1:27">
      <c r="A42" s="55">
        <f>自檢資料!A42</f>
        <v>0</v>
      </c>
      <c r="B42" s="55">
        <f>自檢資料!B42</f>
        <v>0</v>
      </c>
      <c r="C42" s="55">
        <f>自檢資料!C42</f>
        <v>0</v>
      </c>
      <c r="D42" s="55">
        <f>自檢資料!D42</f>
        <v>0</v>
      </c>
      <c r="E42" s="55">
        <f>自檢資料!E42</f>
        <v>0</v>
      </c>
      <c r="F42" s="55">
        <f>自檢資料!F42</f>
        <v>0</v>
      </c>
      <c r="G42" s="55">
        <f>自檢資料!G42</f>
        <v>0</v>
      </c>
      <c r="H42" s="55">
        <f>自檢資料!H42</f>
        <v>0</v>
      </c>
      <c r="K42" s="133"/>
      <c r="L42" s="134"/>
      <c r="M42" s="134"/>
      <c r="O42" s="144"/>
      <c r="P42" s="130" t="str">
        <f>$J$4</f>
        <v>Delay 600</v>
      </c>
      <c r="Q42" s="730"/>
      <c r="R42" s="131"/>
      <c r="S42" s="138" t="str">
        <f t="shared" si="0"/>
        <v>Delay 600</v>
      </c>
      <c r="T42" s="131"/>
      <c r="U42" s="138" t="str">
        <f t="shared" si="1"/>
        <v>Delay 600</v>
      </c>
      <c r="V42" s="131"/>
      <c r="X42" s="714" t="str">
        <f>IF(Q41&lt;3,"//",U42)</f>
        <v>Delay 600</v>
      </c>
      <c r="Y42" s="715"/>
      <c r="AA42" t="str">
        <f>IF(Q41&lt;3,"//",X42)</f>
        <v>Delay 600</v>
      </c>
    </row>
    <row r="43" spans="1:27">
      <c r="A43" s="55">
        <f>自檢資料!A43</f>
        <v>0</v>
      </c>
      <c r="B43" s="55">
        <f>自檢資料!B43</f>
        <v>0</v>
      </c>
      <c r="C43" s="55">
        <f>自檢資料!C43</f>
        <v>0</v>
      </c>
      <c r="D43" s="55">
        <f>自檢資料!D43</f>
        <v>0</v>
      </c>
      <c r="E43" s="55">
        <f>自檢資料!E43</f>
        <v>0</v>
      </c>
      <c r="F43" s="55">
        <f>自檢資料!F43</f>
        <v>0</v>
      </c>
      <c r="G43" s="55">
        <f>自檢資料!G43</f>
        <v>0</v>
      </c>
      <c r="H43" s="55">
        <f>自檢資料!H43</f>
        <v>0</v>
      </c>
      <c r="K43" s="133"/>
      <c r="L43" s="134"/>
      <c r="M43" s="134"/>
      <c r="O43" s="144"/>
      <c r="P43" s="130" t="s">
        <v>2964</v>
      </c>
      <c r="Q43" s="724">
        <f>M41</f>
        <v>4</v>
      </c>
      <c r="R43" s="131" t="s">
        <v>2965</v>
      </c>
      <c r="S43" s="138" t="str">
        <f t="shared" si="0"/>
        <v>SayString "4"</v>
      </c>
      <c r="T43" s="131"/>
      <c r="U43" s="138" t="str">
        <f t="shared" si="1"/>
        <v>SayString "4"</v>
      </c>
      <c r="V43" s="131"/>
      <c r="X43" s="714" t="str">
        <f>IF(Q41&lt;3,"//",U43)</f>
        <v>SayString "4"</v>
      </c>
      <c r="Y43" s="715"/>
      <c r="AA43" t="str">
        <f>IF(Q41&lt;3,"//",X43)</f>
        <v>SayString "4"</v>
      </c>
    </row>
    <row r="44" spans="1:27">
      <c r="A44" s="55">
        <f>自檢資料!A44</f>
        <v>0</v>
      </c>
      <c r="B44" s="55">
        <f>自檢資料!B44</f>
        <v>0</v>
      </c>
      <c r="C44" s="55">
        <f>自檢資料!C44</f>
        <v>0</v>
      </c>
      <c r="D44" s="55">
        <f>自檢資料!D44</f>
        <v>0</v>
      </c>
      <c r="E44" s="55">
        <f>自檢資料!E44</f>
        <v>0</v>
      </c>
      <c r="F44" s="55">
        <f>自檢資料!F44</f>
        <v>0</v>
      </c>
      <c r="G44" s="55">
        <f>自檢資料!G44</f>
        <v>0</v>
      </c>
      <c r="H44" s="55">
        <f>自檢資料!H44</f>
        <v>0</v>
      </c>
      <c r="K44" s="133"/>
      <c r="L44" s="134"/>
      <c r="M44" s="134"/>
      <c r="O44" s="144"/>
      <c r="P44" s="130" t="str">
        <f>$J$4</f>
        <v>Delay 600</v>
      </c>
      <c r="Q44" s="730"/>
      <c r="R44" s="131"/>
      <c r="S44" s="138" t="str">
        <f t="shared" si="0"/>
        <v>Delay 600</v>
      </c>
      <c r="T44" s="131"/>
      <c r="U44" s="138" t="str">
        <f t="shared" si="1"/>
        <v>Delay 600</v>
      </c>
      <c r="V44" s="131"/>
      <c r="X44" s="714" t="str">
        <f>IF(Q41&lt;3,"//",U44)</f>
        <v>Delay 600</v>
      </c>
      <c r="Y44" s="715"/>
      <c r="AA44" t="str">
        <f>IF(Q41&lt;3,"//",X44)</f>
        <v>Delay 600</v>
      </c>
    </row>
    <row r="45" spans="1:27">
      <c r="A45" s="55">
        <f>自檢資料!A45</f>
        <v>0</v>
      </c>
      <c r="B45" s="55">
        <f>自檢資料!B45</f>
        <v>0</v>
      </c>
      <c r="C45" s="55">
        <f>自檢資料!C45</f>
        <v>0</v>
      </c>
      <c r="D45" s="55">
        <f>自檢資料!D45</f>
        <v>0</v>
      </c>
      <c r="E45" s="55">
        <f>自檢資料!E45</f>
        <v>0</v>
      </c>
      <c r="F45" s="55">
        <f>自檢資料!F45</f>
        <v>0</v>
      </c>
      <c r="G45" s="55">
        <f>自檢資料!G45</f>
        <v>0</v>
      </c>
      <c r="H45" s="55">
        <f>自檢資料!H45</f>
        <v>0</v>
      </c>
      <c r="K45" s="133"/>
      <c r="L45" s="134"/>
      <c r="M45" s="134"/>
      <c r="O45" s="144"/>
      <c r="P45" s="130" t="s">
        <v>4068</v>
      </c>
      <c r="Q45" s="730"/>
      <c r="R45" s="131"/>
      <c r="S45" s="138" t="str">
        <f t="shared" si="0"/>
        <v>KeyPress "Enter", 1</v>
      </c>
      <c r="T45" s="131"/>
      <c r="U45" s="138" t="str">
        <f t="shared" si="1"/>
        <v>KeyPress "Enter", 1</v>
      </c>
      <c r="V45" s="131"/>
      <c r="X45" s="714" t="str">
        <f>IF(Q41&lt;3,"//",U45)</f>
        <v>KeyPress "Enter", 1</v>
      </c>
      <c r="Y45" s="715"/>
      <c r="AA45" t="str">
        <f>IF(Q41&lt;3,"//",X45)</f>
        <v>KeyPress "Enter", 1</v>
      </c>
    </row>
    <row r="46" spans="1:27" ht="17.25" thickBot="1">
      <c r="A46" s="55">
        <f>自檢資料!A46</f>
        <v>0</v>
      </c>
      <c r="B46" s="55">
        <f>自檢資料!B46</f>
        <v>0</v>
      </c>
      <c r="C46" s="55">
        <f>自檢資料!C46</f>
        <v>0</v>
      </c>
      <c r="D46" s="55">
        <f>自檢資料!D46</f>
        <v>0</v>
      </c>
      <c r="E46" s="55">
        <f>自檢資料!E46</f>
        <v>0</v>
      </c>
      <c r="F46" s="55">
        <f>自檢資料!F46</f>
        <v>0</v>
      </c>
      <c r="G46" s="55">
        <f>自檢資料!G46</f>
        <v>0</v>
      </c>
      <c r="H46" s="55">
        <f>自檢資料!H46</f>
        <v>0</v>
      </c>
      <c r="K46" s="133"/>
      <c r="L46" s="134"/>
      <c r="M46" s="134"/>
      <c r="O46" s="143"/>
      <c r="P46" s="130" t="str">
        <f>$J$5</f>
        <v>Delay 5000</v>
      </c>
      <c r="Q46" s="730"/>
      <c r="R46" s="131"/>
      <c r="S46" s="138" t="str">
        <f t="shared" si="0"/>
        <v>Delay 5000</v>
      </c>
      <c r="T46" s="131"/>
      <c r="U46" s="138" t="str">
        <f t="shared" si="1"/>
        <v>Delay 5000</v>
      </c>
      <c r="V46" s="131"/>
      <c r="X46" s="714" t="str">
        <f>IF(Q41&lt;3,"//",U46)</f>
        <v>Delay 5000</v>
      </c>
      <c r="Y46" s="715"/>
      <c r="AA46" t="str">
        <f>IF(Q41&lt;3,"//",X46)</f>
        <v>Delay 5000</v>
      </c>
    </row>
    <row r="47" spans="1:27">
      <c r="A47" s="55">
        <f>自檢資料!A47</f>
        <v>0</v>
      </c>
      <c r="B47" s="55">
        <f>自檢資料!B47</f>
        <v>0</v>
      </c>
      <c r="C47" s="55">
        <f>自檢資料!C47</f>
        <v>0</v>
      </c>
      <c r="D47" s="55">
        <f>自檢資料!D47</f>
        <v>0</v>
      </c>
      <c r="E47" s="55">
        <f>自檢資料!E47</f>
        <v>0</v>
      </c>
      <c r="F47" s="55">
        <f>自檢資料!F47</f>
        <v>0</v>
      </c>
      <c r="G47" s="55">
        <f>自檢資料!G47</f>
        <v>0</v>
      </c>
      <c r="H47" s="55">
        <f>自檢資料!H47</f>
        <v>0</v>
      </c>
      <c r="K47" s="133">
        <v>8</v>
      </c>
      <c r="L47" s="134">
        <v>41</v>
      </c>
      <c r="M47" s="134">
        <v>0.7</v>
      </c>
      <c r="O47" s="142">
        <f>$K$47</f>
        <v>8</v>
      </c>
      <c r="P47" s="130" t="s">
        <v>2963</v>
      </c>
      <c r="Q47" s="724">
        <f>L47</f>
        <v>41</v>
      </c>
      <c r="R47" s="131"/>
      <c r="S47" s="138" t="str">
        <f t="shared" si="0"/>
        <v>KeyPress "Tab", 41</v>
      </c>
      <c r="T47" s="131"/>
      <c r="U47" s="138" t="str">
        <f t="shared" si="1"/>
        <v>KeyPress "Tab", 41</v>
      </c>
      <c r="V47" s="131"/>
      <c r="W47">
        <v>8</v>
      </c>
      <c r="X47" s="714" t="str">
        <f>IF(Q47&lt;3,"//",U47)</f>
        <v>KeyPress "Tab", 41</v>
      </c>
      <c r="Y47" s="715"/>
      <c r="AA47" t="str">
        <f>IF(Q47&lt;3,"//",X47)</f>
        <v>KeyPress "Tab", 41</v>
      </c>
    </row>
    <row r="48" spans="1:27">
      <c r="A48" s="55">
        <f>自檢資料!A48</f>
        <v>0</v>
      </c>
      <c r="B48" s="55">
        <f>自檢資料!B48</f>
        <v>0</v>
      </c>
      <c r="C48" s="55">
        <f>自檢資料!C48</f>
        <v>0</v>
      </c>
      <c r="D48" s="55">
        <f>自檢資料!D48</f>
        <v>0</v>
      </c>
      <c r="E48" s="55">
        <f>自檢資料!E48</f>
        <v>0</v>
      </c>
      <c r="F48" s="55">
        <f>自檢資料!F48</f>
        <v>0</v>
      </c>
      <c r="G48" s="55">
        <f>自檢資料!G48</f>
        <v>0</v>
      </c>
      <c r="H48" s="55">
        <f>自檢資料!H48</f>
        <v>0</v>
      </c>
      <c r="K48" s="133"/>
      <c r="L48" s="134"/>
      <c r="M48" s="134"/>
      <c r="O48" s="144"/>
      <c r="P48" s="130" t="str">
        <f>$J$4</f>
        <v>Delay 600</v>
      </c>
      <c r="Q48" s="730"/>
      <c r="R48" s="131"/>
      <c r="S48" s="138" t="str">
        <f t="shared" si="0"/>
        <v>Delay 600</v>
      </c>
      <c r="T48" s="131"/>
      <c r="U48" s="138" t="str">
        <f t="shared" si="1"/>
        <v>Delay 600</v>
      </c>
      <c r="V48" s="131"/>
      <c r="X48" s="714" t="str">
        <f>IF(Q47&lt;3,"//",U48)</f>
        <v>Delay 600</v>
      </c>
      <c r="Y48" s="715"/>
      <c r="AA48" t="str">
        <f>IF(Q47&lt;3,"//",X48)</f>
        <v>Delay 600</v>
      </c>
    </row>
    <row r="49" spans="1:27">
      <c r="A49" s="55">
        <f>自檢資料!A49</f>
        <v>0</v>
      </c>
      <c r="B49" s="55">
        <f>自檢資料!B49</f>
        <v>0</v>
      </c>
      <c r="C49" s="55">
        <f>自檢資料!C49</f>
        <v>0</v>
      </c>
      <c r="D49" s="55">
        <f>自檢資料!D49</f>
        <v>0</v>
      </c>
      <c r="E49" s="55">
        <f>自檢資料!E49</f>
        <v>0</v>
      </c>
      <c r="F49" s="55">
        <f>自檢資料!F49</f>
        <v>0</v>
      </c>
      <c r="G49" s="55">
        <f>自檢資料!G49</f>
        <v>0</v>
      </c>
      <c r="H49" s="55">
        <f>自檢資料!H49</f>
        <v>0</v>
      </c>
      <c r="K49" s="133"/>
      <c r="L49" s="134"/>
      <c r="M49" s="134"/>
      <c r="O49" s="144"/>
      <c r="P49" s="130" t="s">
        <v>2964</v>
      </c>
      <c r="Q49" s="724">
        <f>M47</f>
        <v>0.7</v>
      </c>
      <c r="R49" s="131" t="s">
        <v>2965</v>
      </c>
      <c r="S49" s="138" t="str">
        <f t="shared" si="0"/>
        <v>SayString "0.7"</v>
      </c>
      <c r="T49" s="131"/>
      <c r="U49" s="138" t="str">
        <f t="shared" si="1"/>
        <v>SayString "0.7"</v>
      </c>
      <c r="V49" s="131"/>
      <c r="X49" s="714" t="str">
        <f>IF(Q47&lt;3,"//",U49)</f>
        <v>SayString "0.7"</v>
      </c>
      <c r="Y49" s="715"/>
      <c r="AA49" t="str">
        <f>IF(Q47&lt;3,"//",X49)</f>
        <v>SayString "0.7"</v>
      </c>
    </row>
    <row r="50" spans="1:27">
      <c r="A50" s="55">
        <f>自檢資料!A50</f>
        <v>0</v>
      </c>
      <c r="B50" s="55">
        <f>自檢資料!B50</f>
        <v>0</v>
      </c>
      <c r="C50" s="55">
        <f>自檢資料!C50</f>
        <v>0</v>
      </c>
      <c r="D50" s="55">
        <f>自檢資料!D50</f>
        <v>0</v>
      </c>
      <c r="E50" s="55">
        <f>自檢資料!E50</f>
        <v>0</v>
      </c>
      <c r="F50" s="55">
        <f>自檢資料!F50</f>
        <v>0</v>
      </c>
      <c r="G50" s="55">
        <f>自檢資料!G50</f>
        <v>0</v>
      </c>
      <c r="H50" s="55">
        <f>自檢資料!H50</f>
        <v>0</v>
      </c>
      <c r="K50" s="133"/>
      <c r="L50" s="134"/>
      <c r="M50" s="134"/>
      <c r="O50" s="144"/>
      <c r="P50" s="130" t="str">
        <f>$J$4</f>
        <v>Delay 600</v>
      </c>
      <c r="Q50" s="730"/>
      <c r="R50" s="131"/>
      <c r="S50" s="138" t="str">
        <f t="shared" si="0"/>
        <v>Delay 600</v>
      </c>
      <c r="T50" s="131"/>
      <c r="U50" s="138" t="str">
        <f t="shared" si="1"/>
        <v>Delay 600</v>
      </c>
      <c r="V50" s="131"/>
      <c r="X50" s="714" t="str">
        <f>IF(Q47&lt;3,"//",U50)</f>
        <v>Delay 600</v>
      </c>
      <c r="Y50" s="715"/>
      <c r="AA50" t="str">
        <f>IF(Q47&lt;3,"//",X50)</f>
        <v>Delay 600</v>
      </c>
    </row>
    <row r="51" spans="1:27">
      <c r="A51" s="55">
        <f>自檢資料!A51</f>
        <v>0</v>
      </c>
      <c r="B51" s="55">
        <f>自檢資料!B51</f>
        <v>0</v>
      </c>
      <c r="C51" s="55">
        <f>自檢資料!C51</f>
        <v>0</v>
      </c>
      <c r="D51" s="55">
        <f>自檢資料!D51</f>
        <v>0</v>
      </c>
      <c r="E51" s="55">
        <f>自檢資料!E51</f>
        <v>0</v>
      </c>
      <c r="F51" s="55">
        <f>自檢資料!F51</f>
        <v>0</v>
      </c>
      <c r="G51" s="55">
        <f>自檢資料!G51</f>
        <v>0</v>
      </c>
      <c r="H51" s="55">
        <f>自檢資料!H51</f>
        <v>0</v>
      </c>
      <c r="K51" s="133"/>
      <c r="L51" s="134"/>
      <c r="M51" s="134"/>
      <c r="O51" s="144"/>
      <c r="P51" s="130" t="s">
        <v>4068</v>
      </c>
      <c r="Q51" s="730"/>
      <c r="R51" s="131"/>
      <c r="S51" s="138" t="str">
        <f t="shared" si="0"/>
        <v>KeyPress "Enter", 1</v>
      </c>
      <c r="T51" s="131"/>
      <c r="U51" s="138" t="str">
        <f t="shared" si="1"/>
        <v>KeyPress "Enter", 1</v>
      </c>
      <c r="V51" s="131"/>
      <c r="X51" s="714" t="str">
        <f>IF(Q47&lt;3,"//",U51)</f>
        <v>KeyPress "Enter", 1</v>
      </c>
      <c r="Y51" s="715"/>
      <c r="AA51" t="str">
        <f>IF(Q47&lt;3,"//",X51)</f>
        <v>KeyPress "Enter", 1</v>
      </c>
    </row>
    <row r="52" spans="1:27" ht="17.25" thickBot="1">
      <c r="K52" s="133"/>
      <c r="L52" s="134"/>
      <c r="M52" s="134"/>
      <c r="O52" s="143"/>
      <c r="P52" s="130" t="str">
        <f>$J$5</f>
        <v>Delay 5000</v>
      </c>
      <c r="Q52" s="730"/>
      <c r="R52" s="131"/>
      <c r="S52" s="138" t="str">
        <f t="shared" si="0"/>
        <v>Delay 5000</v>
      </c>
      <c r="T52" s="131"/>
      <c r="U52" s="138" t="str">
        <f t="shared" si="1"/>
        <v>Delay 5000</v>
      </c>
      <c r="V52" s="131"/>
      <c r="X52" s="714" t="str">
        <f>IF(Q47&lt;3,"//",U52)</f>
        <v>Delay 5000</v>
      </c>
      <c r="Y52" s="715"/>
      <c r="AA52" t="str">
        <f>IF(Q47&lt;3,"//",X52)</f>
        <v>Delay 5000</v>
      </c>
    </row>
    <row r="53" spans="1:27">
      <c r="K53" s="133">
        <v>9</v>
      </c>
      <c r="L53" s="134">
        <v>52</v>
      </c>
      <c r="M53" s="134">
        <v>0.41</v>
      </c>
      <c r="O53" s="142">
        <f>$K$53</f>
        <v>9</v>
      </c>
      <c r="P53" s="130" t="s">
        <v>2963</v>
      </c>
      <c r="Q53" s="724">
        <f>L53</f>
        <v>52</v>
      </c>
      <c r="R53" s="131"/>
      <c r="S53" s="138" t="str">
        <f t="shared" si="0"/>
        <v>KeyPress "Tab", 52</v>
      </c>
      <c r="T53" s="131"/>
      <c r="U53" s="138" t="str">
        <f t="shared" si="1"/>
        <v>KeyPress "Tab", 52</v>
      </c>
      <c r="V53" s="131"/>
      <c r="W53">
        <v>9</v>
      </c>
      <c r="X53" s="714" t="str">
        <f>IF(Q53&lt;3,"//",U53)</f>
        <v>KeyPress "Tab", 52</v>
      </c>
      <c r="Y53" s="715"/>
      <c r="AA53" t="str">
        <f>IF(Q53&lt;3,"//",X53)</f>
        <v>KeyPress "Tab", 52</v>
      </c>
    </row>
    <row r="54" spans="1:27">
      <c r="K54" s="133"/>
      <c r="L54" s="134"/>
      <c r="M54" s="134"/>
      <c r="O54" s="144"/>
      <c r="P54" s="130" t="str">
        <f>$J$4</f>
        <v>Delay 600</v>
      </c>
      <c r="Q54" s="730"/>
      <c r="R54" s="131"/>
      <c r="S54" s="138" t="str">
        <f t="shared" si="0"/>
        <v>Delay 600</v>
      </c>
      <c r="T54" s="131"/>
      <c r="U54" s="138" t="str">
        <f t="shared" si="1"/>
        <v>Delay 600</v>
      </c>
      <c r="V54" s="131"/>
      <c r="X54" s="714" t="str">
        <f>IF(Q53&lt;3,"//",U54)</f>
        <v>Delay 600</v>
      </c>
      <c r="Y54" s="715"/>
      <c r="AA54" t="str">
        <f>IF(Q53&lt;3,"//",X54)</f>
        <v>Delay 600</v>
      </c>
    </row>
    <row r="55" spans="1:27">
      <c r="K55" s="133"/>
      <c r="L55" s="134"/>
      <c r="M55" s="134"/>
      <c r="O55" s="144"/>
      <c r="P55" s="130" t="s">
        <v>2964</v>
      </c>
      <c r="Q55" s="724">
        <f>M53</f>
        <v>0.41</v>
      </c>
      <c r="R55" s="131" t="s">
        <v>2965</v>
      </c>
      <c r="S55" s="138" t="str">
        <f t="shared" si="0"/>
        <v>SayString "0.41"</v>
      </c>
      <c r="T55" s="131"/>
      <c r="U55" s="138" t="str">
        <f t="shared" si="1"/>
        <v>SayString "0.41"</v>
      </c>
      <c r="V55" s="131"/>
      <c r="X55" s="714" t="str">
        <f>IF(Q53&lt;3,"//",U55)</f>
        <v>SayString "0.41"</v>
      </c>
      <c r="Y55" s="715"/>
      <c r="AA55" t="str">
        <f>IF(Q53&lt;3,"//",X55)</f>
        <v>SayString "0.41"</v>
      </c>
    </row>
    <row r="56" spans="1:27">
      <c r="K56" s="133"/>
      <c r="L56" s="134"/>
      <c r="M56" s="134"/>
      <c r="O56" s="144"/>
      <c r="P56" s="130" t="str">
        <f>$J$4</f>
        <v>Delay 600</v>
      </c>
      <c r="Q56" s="730"/>
      <c r="R56" s="131"/>
      <c r="S56" s="138" t="str">
        <f t="shared" si="0"/>
        <v>Delay 600</v>
      </c>
      <c r="T56" s="131"/>
      <c r="U56" s="138" t="str">
        <f t="shared" si="1"/>
        <v>Delay 600</v>
      </c>
      <c r="V56" s="131"/>
      <c r="X56" s="714" t="str">
        <f>IF(Q53&lt;3,"//",U56)</f>
        <v>Delay 600</v>
      </c>
      <c r="Y56" s="715"/>
      <c r="AA56" t="str">
        <f>IF(Q53&lt;3,"//",X56)</f>
        <v>Delay 600</v>
      </c>
    </row>
    <row r="57" spans="1:27">
      <c r="K57" s="133"/>
      <c r="L57" s="134"/>
      <c r="M57" s="134"/>
      <c r="O57" s="144"/>
      <c r="P57" s="130" t="s">
        <v>4068</v>
      </c>
      <c r="Q57" s="730"/>
      <c r="R57" s="131"/>
      <c r="S57" s="138" t="str">
        <f t="shared" si="0"/>
        <v>KeyPress "Enter", 1</v>
      </c>
      <c r="T57" s="131"/>
      <c r="U57" s="138" t="str">
        <f t="shared" si="1"/>
        <v>KeyPress "Enter", 1</v>
      </c>
      <c r="V57" s="131"/>
      <c r="X57" s="714" t="str">
        <f>IF(Q53&lt;3,"//",U57)</f>
        <v>KeyPress "Enter", 1</v>
      </c>
      <c r="Y57" s="715"/>
      <c r="AA57" t="str">
        <f>IF(Q53&lt;3,"//",X57)</f>
        <v>KeyPress "Enter", 1</v>
      </c>
    </row>
    <row r="58" spans="1:27" ht="17.25" thickBot="1">
      <c r="K58" s="133"/>
      <c r="L58" s="134"/>
      <c r="M58" s="134"/>
      <c r="O58" s="143"/>
      <c r="P58" s="130" t="str">
        <f>$J$5</f>
        <v>Delay 5000</v>
      </c>
      <c r="Q58" s="730"/>
      <c r="R58" s="131"/>
      <c r="S58" s="138" t="str">
        <f t="shared" si="0"/>
        <v>Delay 5000</v>
      </c>
      <c r="T58" s="131"/>
      <c r="U58" s="138" t="str">
        <f t="shared" si="1"/>
        <v>Delay 5000</v>
      </c>
      <c r="V58" s="131"/>
      <c r="X58" s="714" t="str">
        <f>IF(Q53&lt;3,"//",U58)</f>
        <v>Delay 5000</v>
      </c>
      <c r="Y58" s="715"/>
      <c r="AA58" t="str">
        <f>IF(Q53&lt;3,"//",X58)</f>
        <v>Delay 5000</v>
      </c>
    </row>
    <row r="59" spans="1:27">
      <c r="K59" s="133">
        <v>10</v>
      </c>
      <c r="L59" s="134">
        <v>64</v>
      </c>
      <c r="M59" s="134">
        <v>14</v>
      </c>
      <c r="O59" s="142">
        <f>$K$59</f>
        <v>10</v>
      </c>
      <c r="P59" s="130" t="s">
        <v>2963</v>
      </c>
      <c r="Q59" s="724">
        <f>L59</f>
        <v>64</v>
      </c>
      <c r="R59" s="131"/>
      <c r="S59" s="138" t="str">
        <f t="shared" si="0"/>
        <v>KeyPress "Tab", 64</v>
      </c>
      <c r="T59" s="131"/>
      <c r="U59" s="138" t="str">
        <f t="shared" si="1"/>
        <v>KeyPress "Tab", 64</v>
      </c>
      <c r="V59" s="131"/>
      <c r="W59">
        <v>10</v>
      </c>
      <c r="X59" s="714" t="str">
        <f>IF(Q59&lt;3,"//",U59)</f>
        <v>KeyPress "Tab", 64</v>
      </c>
      <c r="Y59" s="715"/>
      <c r="AA59" t="str">
        <f>IF(Q59&lt;3,"//",X59)</f>
        <v>KeyPress "Tab", 64</v>
      </c>
    </row>
    <row r="60" spans="1:27">
      <c r="K60" s="133"/>
      <c r="L60" s="134"/>
      <c r="M60" s="134"/>
      <c r="O60" s="144"/>
      <c r="P60" s="130" t="str">
        <f>$J$4</f>
        <v>Delay 600</v>
      </c>
      <c r="Q60" s="730"/>
      <c r="R60" s="131"/>
      <c r="S60" s="138" t="str">
        <f t="shared" si="0"/>
        <v>Delay 600</v>
      </c>
      <c r="T60" s="131"/>
      <c r="U60" s="138" t="str">
        <f t="shared" si="1"/>
        <v>Delay 600</v>
      </c>
      <c r="V60" s="131"/>
      <c r="X60" s="714" t="str">
        <f>IF(Q59&lt;3,"//",U60)</f>
        <v>Delay 600</v>
      </c>
      <c r="Y60" s="715"/>
      <c r="AA60" t="str">
        <f>IF(Q59&lt;3,"//",X60)</f>
        <v>Delay 600</v>
      </c>
    </row>
    <row r="61" spans="1:27">
      <c r="K61" s="133"/>
      <c r="L61" s="134"/>
      <c r="M61" s="134"/>
      <c r="O61" s="144"/>
      <c r="P61" s="130" t="s">
        <v>2964</v>
      </c>
      <c r="Q61" s="724">
        <f>M59</f>
        <v>14</v>
      </c>
      <c r="R61" s="131" t="s">
        <v>2965</v>
      </c>
      <c r="S61" s="138" t="str">
        <f t="shared" si="0"/>
        <v>SayString "14"</v>
      </c>
      <c r="T61" s="131"/>
      <c r="U61" s="138" t="str">
        <f t="shared" si="1"/>
        <v>SayString "14"</v>
      </c>
      <c r="V61" s="131"/>
      <c r="X61" s="714" t="str">
        <f>IF(Q59&lt;3,"//",U61)</f>
        <v>SayString "14"</v>
      </c>
      <c r="Y61" s="715"/>
      <c r="AA61" t="str">
        <f>IF(Q59&lt;3,"//",X61)</f>
        <v>SayString "14"</v>
      </c>
    </row>
    <row r="62" spans="1:27">
      <c r="K62" s="133"/>
      <c r="L62" s="134"/>
      <c r="M62" s="134"/>
      <c r="O62" s="144"/>
      <c r="P62" s="130" t="str">
        <f>$J$4</f>
        <v>Delay 600</v>
      </c>
      <c r="Q62" s="730"/>
      <c r="R62" s="131"/>
      <c r="S62" s="138" t="str">
        <f t="shared" si="0"/>
        <v>Delay 600</v>
      </c>
      <c r="T62" s="131"/>
      <c r="U62" s="138" t="str">
        <f t="shared" si="1"/>
        <v>Delay 600</v>
      </c>
      <c r="V62" s="131"/>
      <c r="X62" s="714" t="str">
        <f>IF(Q59&lt;3,"//",U62)</f>
        <v>Delay 600</v>
      </c>
      <c r="Y62" s="715"/>
      <c r="AA62" t="str">
        <f>IF(Q59&lt;3,"//",X62)</f>
        <v>Delay 600</v>
      </c>
    </row>
    <row r="63" spans="1:27">
      <c r="K63" s="133"/>
      <c r="L63" s="134"/>
      <c r="M63" s="134"/>
      <c r="O63" s="144"/>
      <c r="P63" s="130" t="s">
        <v>4068</v>
      </c>
      <c r="Q63" s="730"/>
      <c r="R63" s="131"/>
      <c r="S63" s="138" t="str">
        <f t="shared" si="0"/>
        <v>KeyPress "Enter", 1</v>
      </c>
      <c r="T63" s="131"/>
      <c r="U63" s="138" t="str">
        <f t="shared" si="1"/>
        <v>KeyPress "Enter", 1</v>
      </c>
      <c r="V63" s="131"/>
      <c r="X63" s="714" t="str">
        <f>IF(Q59&lt;3,"//",U63)</f>
        <v>KeyPress "Enter", 1</v>
      </c>
      <c r="Y63" s="715"/>
      <c r="AA63" t="str">
        <f>IF(Q59&lt;3,"//",X63)</f>
        <v>KeyPress "Enter", 1</v>
      </c>
    </row>
    <row r="64" spans="1:27" ht="17.25" thickBot="1">
      <c r="K64" s="133"/>
      <c r="L64" s="134"/>
      <c r="M64" s="134"/>
      <c r="O64" s="143"/>
      <c r="P64" s="130" t="str">
        <f>$J$5</f>
        <v>Delay 5000</v>
      </c>
      <c r="Q64" s="730"/>
      <c r="R64" s="131"/>
      <c r="S64" s="138" t="str">
        <f t="shared" si="0"/>
        <v>Delay 5000</v>
      </c>
      <c r="T64" s="131"/>
      <c r="U64" s="138" t="str">
        <f t="shared" si="1"/>
        <v>Delay 5000</v>
      </c>
      <c r="V64" s="131"/>
      <c r="X64" s="714" t="str">
        <f>IF(Q59&lt;3,"//",U64)</f>
        <v>Delay 5000</v>
      </c>
      <c r="Y64" s="715"/>
      <c r="AA64" t="str">
        <f>IF(Q59&lt;3,"//",X64)</f>
        <v>Delay 5000</v>
      </c>
    </row>
    <row r="65" spans="11:27">
      <c r="K65" s="133">
        <v>11</v>
      </c>
      <c r="L65" s="134">
        <v>82</v>
      </c>
      <c r="M65" s="134">
        <v>20.399999999999999</v>
      </c>
      <c r="O65" s="142">
        <f>$K$65</f>
        <v>11</v>
      </c>
      <c r="P65" s="130" t="s">
        <v>2963</v>
      </c>
      <c r="Q65" s="724">
        <f>L65</f>
        <v>82</v>
      </c>
      <c r="R65" s="131"/>
      <c r="S65" s="138" t="str">
        <f t="shared" si="0"/>
        <v>KeyPress "Tab", 82</v>
      </c>
      <c r="T65" s="131"/>
      <c r="U65" s="138" t="str">
        <f t="shared" si="1"/>
        <v>KeyPress "Tab", 82</v>
      </c>
      <c r="V65" s="131"/>
      <c r="W65">
        <v>11</v>
      </c>
      <c r="X65" s="714" t="str">
        <f>IF(Q65&lt;3,"//",U65)</f>
        <v>KeyPress "Tab", 82</v>
      </c>
      <c r="Y65" s="715"/>
      <c r="AA65" t="str">
        <f>IF(Q65&lt;3,"//",X65)</f>
        <v>KeyPress "Tab", 82</v>
      </c>
    </row>
    <row r="66" spans="11:27">
      <c r="K66" s="133"/>
      <c r="L66" s="134"/>
      <c r="M66" s="134"/>
      <c r="O66" s="144"/>
      <c r="P66" s="130" t="str">
        <f>$J$4</f>
        <v>Delay 600</v>
      </c>
      <c r="Q66" s="730"/>
      <c r="R66" s="131"/>
      <c r="S66" s="138" t="str">
        <f t="shared" si="0"/>
        <v>Delay 600</v>
      </c>
      <c r="T66" s="131"/>
      <c r="U66" s="138" t="str">
        <f t="shared" si="1"/>
        <v>Delay 600</v>
      </c>
      <c r="V66" s="131"/>
      <c r="X66" s="714" t="str">
        <f>IF(Q65&lt;3,"//",U66)</f>
        <v>Delay 600</v>
      </c>
      <c r="Y66" s="715"/>
      <c r="AA66" t="str">
        <f>IF(Q65&lt;3,"//",X66)</f>
        <v>Delay 600</v>
      </c>
    </row>
    <row r="67" spans="11:27">
      <c r="K67" s="133"/>
      <c r="L67" s="134"/>
      <c r="M67" s="134"/>
      <c r="O67" s="144"/>
      <c r="P67" s="130" t="s">
        <v>2964</v>
      </c>
      <c r="Q67" s="724">
        <f>M65</f>
        <v>20.399999999999999</v>
      </c>
      <c r="R67" s="131" t="s">
        <v>2965</v>
      </c>
      <c r="S67" s="138" t="str">
        <f t="shared" ref="S67:S130" si="2">P67&amp;""&amp;Q67&amp;""&amp;R67</f>
        <v>SayString "20.4"</v>
      </c>
      <c r="T67" s="131"/>
      <c r="U67" s="138" t="str">
        <f t="shared" ref="U67:U130" si="3">S67</f>
        <v>SayString "20.4"</v>
      </c>
      <c r="V67" s="131"/>
      <c r="X67" s="714" t="str">
        <f>IF(Q65&lt;3,"//",U67)</f>
        <v>SayString "20.4"</v>
      </c>
      <c r="Y67" s="715"/>
      <c r="AA67" t="str">
        <f>IF(Q65&lt;3,"//",X67)</f>
        <v>SayString "20.4"</v>
      </c>
    </row>
    <row r="68" spans="11:27">
      <c r="K68" s="133"/>
      <c r="L68" s="134"/>
      <c r="M68" s="134"/>
      <c r="O68" s="144"/>
      <c r="P68" s="130" t="str">
        <f>$J$4</f>
        <v>Delay 600</v>
      </c>
      <c r="Q68" s="730"/>
      <c r="R68" s="131"/>
      <c r="S68" s="138" t="str">
        <f t="shared" si="2"/>
        <v>Delay 600</v>
      </c>
      <c r="T68" s="131"/>
      <c r="U68" s="138" t="str">
        <f t="shared" si="3"/>
        <v>Delay 600</v>
      </c>
      <c r="V68" s="131"/>
      <c r="X68" s="714" t="str">
        <f>IF(Q65&lt;3,"//",U68)</f>
        <v>Delay 600</v>
      </c>
      <c r="Y68" s="715"/>
      <c r="AA68" t="str">
        <f>IF(Q65&lt;3,"//",X68)</f>
        <v>Delay 600</v>
      </c>
    </row>
    <row r="69" spans="11:27">
      <c r="K69" s="133"/>
      <c r="L69" s="134"/>
      <c r="M69" s="134"/>
      <c r="O69" s="144"/>
      <c r="P69" s="130" t="s">
        <v>4068</v>
      </c>
      <c r="Q69" s="730"/>
      <c r="R69" s="131"/>
      <c r="S69" s="138" t="str">
        <f t="shared" si="2"/>
        <v>KeyPress "Enter", 1</v>
      </c>
      <c r="T69" s="131"/>
      <c r="U69" s="138" t="str">
        <f t="shared" si="3"/>
        <v>KeyPress "Enter", 1</v>
      </c>
      <c r="V69" s="131"/>
      <c r="X69" s="714" t="str">
        <f>IF(Q65&lt;3,"//",U69)</f>
        <v>KeyPress "Enter", 1</v>
      </c>
      <c r="Y69" s="715"/>
      <c r="AA69" t="str">
        <f>IF(Q65&lt;3,"//",X69)</f>
        <v>KeyPress "Enter", 1</v>
      </c>
    </row>
    <row r="70" spans="11:27" ht="17.25" thickBot="1">
      <c r="K70" s="133"/>
      <c r="L70" s="134"/>
      <c r="M70" s="134"/>
      <c r="O70" s="143"/>
      <c r="P70" s="130" t="str">
        <f>$J$5</f>
        <v>Delay 5000</v>
      </c>
      <c r="Q70" s="730"/>
      <c r="R70" s="131"/>
      <c r="S70" s="138" t="str">
        <f t="shared" si="2"/>
        <v>Delay 5000</v>
      </c>
      <c r="T70" s="131"/>
      <c r="U70" s="138" t="str">
        <f t="shared" si="3"/>
        <v>Delay 5000</v>
      </c>
      <c r="V70" s="131"/>
      <c r="X70" s="714" t="str">
        <f>IF(Q65&lt;3,"//",U70)</f>
        <v>Delay 5000</v>
      </c>
      <c r="Y70" s="715"/>
      <c r="AA70" t="str">
        <f>IF(Q65&lt;3,"//",X70)</f>
        <v>Delay 5000</v>
      </c>
    </row>
    <row r="71" spans="11:27">
      <c r="K71" s="133">
        <v>12</v>
      </c>
      <c r="L71" s="134">
        <v>86</v>
      </c>
      <c r="M71" s="134">
        <v>0.27</v>
      </c>
      <c r="O71" s="142">
        <f>$K$71</f>
        <v>12</v>
      </c>
      <c r="P71" s="130" t="s">
        <v>2963</v>
      </c>
      <c r="Q71" s="724">
        <f>L71</f>
        <v>86</v>
      </c>
      <c r="R71" s="131"/>
      <c r="S71" s="138" t="str">
        <f t="shared" si="2"/>
        <v>KeyPress "Tab", 86</v>
      </c>
      <c r="T71" s="131"/>
      <c r="U71" s="138" t="str">
        <f t="shared" si="3"/>
        <v>KeyPress "Tab", 86</v>
      </c>
      <c r="V71" s="131"/>
      <c r="W71">
        <v>12</v>
      </c>
      <c r="X71" s="714" t="str">
        <f>IF(Q71&lt;3,"//",U71)</f>
        <v>KeyPress "Tab", 86</v>
      </c>
      <c r="Y71" s="715"/>
      <c r="AA71" t="str">
        <f>IF(Q71&lt;3,"//",X71)</f>
        <v>KeyPress "Tab", 86</v>
      </c>
    </row>
    <row r="72" spans="11:27">
      <c r="K72" s="133"/>
      <c r="L72" s="134"/>
      <c r="M72" s="134"/>
      <c r="O72" s="144"/>
      <c r="P72" s="130" t="str">
        <f>$J$4</f>
        <v>Delay 600</v>
      </c>
      <c r="Q72" s="730"/>
      <c r="R72" s="131"/>
      <c r="S72" s="138" t="str">
        <f t="shared" si="2"/>
        <v>Delay 600</v>
      </c>
      <c r="T72" s="131"/>
      <c r="U72" s="138" t="str">
        <f t="shared" si="3"/>
        <v>Delay 600</v>
      </c>
      <c r="V72" s="131"/>
      <c r="X72" s="714" t="str">
        <f>IF(Q71&lt;3,"//",U72)</f>
        <v>Delay 600</v>
      </c>
      <c r="Y72" s="715"/>
      <c r="AA72" t="str">
        <f>IF(Q71&lt;3,"//",X72)</f>
        <v>Delay 600</v>
      </c>
    </row>
    <row r="73" spans="11:27">
      <c r="K73" s="133"/>
      <c r="L73" s="134"/>
      <c r="M73" s="134"/>
      <c r="O73" s="144"/>
      <c r="P73" s="130" t="s">
        <v>2964</v>
      </c>
      <c r="Q73" s="724">
        <f>M71</f>
        <v>0.27</v>
      </c>
      <c r="R73" s="131" t="s">
        <v>2965</v>
      </c>
      <c r="S73" s="138" t="str">
        <f t="shared" si="2"/>
        <v>SayString "0.27"</v>
      </c>
      <c r="T73" s="131"/>
      <c r="U73" s="138" t="str">
        <f t="shared" si="3"/>
        <v>SayString "0.27"</v>
      </c>
      <c r="V73" s="131"/>
      <c r="X73" s="714" t="str">
        <f>IF(Q71&lt;3,"//",U73)</f>
        <v>SayString "0.27"</v>
      </c>
      <c r="Y73" s="715"/>
      <c r="AA73" t="str">
        <f>IF(Q71&lt;3,"//",X73)</f>
        <v>SayString "0.27"</v>
      </c>
    </row>
    <row r="74" spans="11:27">
      <c r="K74" s="133"/>
      <c r="L74" s="134"/>
      <c r="M74" s="134"/>
      <c r="O74" s="144"/>
      <c r="P74" s="130" t="str">
        <f>$J$4</f>
        <v>Delay 600</v>
      </c>
      <c r="Q74" s="730"/>
      <c r="R74" s="131"/>
      <c r="S74" s="138" t="str">
        <f t="shared" si="2"/>
        <v>Delay 600</v>
      </c>
      <c r="T74" s="131"/>
      <c r="U74" s="138" t="str">
        <f t="shared" si="3"/>
        <v>Delay 600</v>
      </c>
      <c r="V74" s="131"/>
      <c r="X74" s="714" t="str">
        <f>IF(Q71&lt;3,"//",U74)</f>
        <v>Delay 600</v>
      </c>
      <c r="Y74" s="715"/>
      <c r="AA74" t="str">
        <f>IF(Q71&lt;3,"//",X74)</f>
        <v>Delay 600</v>
      </c>
    </row>
    <row r="75" spans="11:27">
      <c r="K75" s="133"/>
      <c r="L75" s="134"/>
      <c r="M75" s="134"/>
      <c r="O75" s="144"/>
      <c r="P75" s="130" t="s">
        <v>4068</v>
      </c>
      <c r="Q75" s="730"/>
      <c r="R75" s="131"/>
      <c r="S75" s="138" t="str">
        <f t="shared" si="2"/>
        <v>KeyPress "Enter", 1</v>
      </c>
      <c r="T75" s="131"/>
      <c r="U75" s="138" t="str">
        <f t="shared" si="3"/>
        <v>KeyPress "Enter", 1</v>
      </c>
      <c r="V75" s="131"/>
      <c r="X75" s="714" t="str">
        <f>IF(Q71&lt;3,"//",U75)</f>
        <v>KeyPress "Enter", 1</v>
      </c>
      <c r="Y75" s="715"/>
      <c r="AA75" t="str">
        <f>IF(Q71&lt;3,"//",X75)</f>
        <v>KeyPress "Enter", 1</v>
      </c>
    </row>
    <row r="76" spans="11:27" ht="17.25" thickBot="1">
      <c r="K76" s="133"/>
      <c r="L76" s="134"/>
      <c r="M76" s="134"/>
      <c r="O76" s="143"/>
      <c r="P76" s="130" t="str">
        <f>$J$5</f>
        <v>Delay 5000</v>
      </c>
      <c r="Q76" s="730"/>
      <c r="R76" s="131"/>
      <c r="S76" s="138" t="str">
        <f t="shared" si="2"/>
        <v>Delay 5000</v>
      </c>
      <c r="T76" s="131"/>
      <c r="U76" s="138" t="str">
        <f t="shared" si="3"/>
        <v>Delay 5000</v>
      </c>
      <c r="V76" s="131"/>
      <c r="X76" s="714" t="str">
        <f>IF(Q71&lt;3,"//",U76)</f>
        <v>Delay 5000</v>
      </c>
      <c r="Y76" s="715"/>
      <c r="AA76" t="str">
        <f>IF(Q71&lt;3,"//",X76)</f>
        <v>Delay 5000</v>
      </c>
    </row>
    <row r="77" spans="11:27">
      <c r="K77" s="133">
        <v>13</v>
      </c>
      <c r="L77" s="134">
        <v>126</v>
      </c>
      <c r="M77" s="134">
        <v>44.73</v>
      </c>
      <c r="O77" s="142">
        <f>$K$77</f>
        <v>13</v>
      </c>
      <c r="P77" s="130" t="s">
        <v>2963</v>
      </c>
      <c r="Q77" s="724">
        <f>L77</f>
        <v>126</v>
      </c>
      <c r="R77" s="131"/>
      <c r="S77" s="138" t="str">
        <f t="shared" si="2"/>
        <v>KeyPress "Tab", 126</v>
      </c>
      <c r="T77" s="131"/>
      <c r="U77" s="138" t="str">
        <f t="shared" si="3"/>
        <v>KeyPress "Tab", 126</v>
      </c>
      <c r="V77" s="131"/>
      <c r="W77">
        <v>13</v>
      </c>
      <c r="X77" s="714" t="str">
        <f>IF(Q77&lt;3,"//",U77)</f>
        <v>KeyPress "Tab", 126</v>
      </c>
      <c r="Y77" s="715"/>
      <c r="AA77" t="str">
        <f>IF(Q77&lt;3,"//",X77)</f>
        <v>KeyPress "Tab", 126</v>
      </c>
    </row>
    <row r="78" spans="11:27">
      <c r="K78" s="133"/>
      <c r="L78" s="134"/>
      <c r="M78" s="134"/>
      <c r="O78" s="144"/>
      <c r="P78" s="130" t="str">
        <f>$J$4</f>
        <v>Delay 600</v>
      </c>
      <c r="Q78" s="730"/>
      <c r="R78" s="131"/>
      <c r="S78" s="138" t="str">
        <f t="shared" si="2"/>
        <v>Delay 600</v>
      </c>
      <c r="T78" s="131"/>
      <c r="U78" s="138" t="str">
        <f t="shared" si="3"/>
        <v>Delay 600</v>
      </c>
      <c r="V78" s="131"/>
      <c r="X78" s="714" t="str">
        <f>IF(Q77&lt;3,"//",U78)</f>
        <v>Delay 600</v>
      </c>
      <c r="Y78" s="715"/>
      <c r="AA78" t="str">
        <f>IF(Q77&lt;3,"//",X78)</f>
        <v>Delay 600</v>
      </c>
    </row>
    <row r="79" spans="11:27">
      <c r="K79" s="133"/>
      <c r="L79" s="134"/>
      <c r="M79" s="134"/>
      <c r="O79" s="144"/>
      <c r="P79" s="130" t="s">
        <v>2964</v>
      </c>
      <c r="Q79" s="724">
        <f>M77</f>
        <v>44.73</v>
      </c>
      <c r="R79" s="131" t="s">
        <v>2965</v>
      </c>
      <c r="S79" s="138" t="str">
        <f t="shared" si="2"/>
        <v>SayString "44.73"</v>
      </c>
      <c r="T79" s="131"/>
      <c r="U79" s="138" t="str">
        <f t="shared" si="3"/>
        <v>SayString "44.73"</v>
      </c>
      <c r="V79" s="131"/>
      <c r="X79" s="714" t="str">
        <f>IF(Q77&lt;3,"//",U79)</f>
        <v>SayString "44.73"</v>
      </c>
      <c r="Y79" s="715"/>
      <c r="AA79" t="str">
        <f>IF(Q77&lt;3,"//",X79)</f>
        <v>SayString "44.73"</v>
      </c>
    </row>
    <row r="80" spans="11:27">
      <c r="K80" s="133"/>
      <c r="L80" s="134"/>
      <c r="M80" s="134"/>
      <c r="O80" s="144"/>
      <c r="P80" s="130" t="str">
        <f>$J$4</f>
        <v>Delay 600</v>
      </c>
      <c r="Q80" s="730"/>
      <c r="R80" s="131"/>
      <c r="S80" s="138" t="str">
        <f t="shared" si="2"/>
        <v>Delay 600</v>
      </c>
      <c r="T80" s="131"/>
      <c r="U80" s="138" t="str">
        <f t="shared" si="3"/>
        <v>Delay 600</v>
      </c>
      <c r="V80" s="131"/>
      <c r="X80" s="714" t="str">
        <f>IF(Q77&lt;3,"//",U80)</f>
        <v>Delay 600</v>
      </c>
      <c r="Y80" s="715"/>
      <c r="AA80" t="str">
        <f>IF(Q77&lt;3,"//",X80)</f>
        <v>Delay 600</v>
      </c>
    </row>
    <row r="81" spans="11:27">
      <c r="K81" s="133"/>
      <c r="L81" s="134"/>
      <c r="M81" s="134"/>
      <c r="O81" s="144"/>
      <c r="P81" s="130" t="s">
        <v>4068</v>
      </c>
      <c r="Q81" s="730"/>
      <c r="R81" s="131"/>
      <c r="S81" s="138" t="str">
        <f t="shared" si="2"/>
        <v>KeyPress "Enter", 1</v>
      </c>
      <c r="T81" s="131"/>
      <c r="U81" s="138" t="str">
        <f t="shared" si="3"/>
        <v>KeyPress "Enter", 1</v>
      </c>
      <c r="V81" s="131"/>
      <c r="X81" s="714" t="str">
        <f>IF(Q77&lt;3,"//",U81)</f>
        <v>KeyPress "Enter", 1</v>
      </c>
      <c r="Y81" s="715"/>
      <c r="AA81" t="str">
        <f>IF(Q77&lt;3,"//",X81)</f>
        <v>KeyPress "Enter", 1</v>
      </c>
    </row>
    <row r="82" spans="11:27" ht="17.25" thickBot="1">
      <c r="K82" s="133"/>
      <c r="L82" s="134"/>
      <c r="M82" s="134"/>
      <c r="O82" s="143"/>
      <c r="P82" s="130" t="str">
        <f>$J$5</f>
        <v>Delay 5000</v>
      </c>
      <c r="Q82" s="730"/>
      <c r="R82" s="131"/>
      <c r="S82" s="138" t="str">
        <f t="shared" si="2"/>
        <v>Delay 5000</v>
      </c>
      <c r="T82" s="131"/>
      <c r="U82" s="138" t="str">
        <f t="shared" si="3"/>
        <v>Delay 5000</v>
      </c>
      <c r="V82" s="131"/>
      <c r="X82" s="714" t="str">
        <f>IF(Q77&lt;3,"//",U82)</f>
        <v>Delay 5000</v>
      </c>
      <c r="Y82" s="715"/>
      <c r="AA82" t="str">
        <f>IF(Q77&lt;3,"//",X82)</f>
        <v>Delay 5000</v>
      </c>
    </row>
    <row r="83" spans="11:27">
      <c r="K83" s="133">
        <v>14</v>
      </c>
      <c r="L83" s="134">
        <v>136</v>
      </c>
      <c r="M83" s="134">
        <v>1.05</v>
      </c>
      <c r="O83" s="142">
        <f>$K$83</f>
        <v>14</v>
      </c>
      <c r="P83" s="130" t="s">
        <v>2963</v>
      </c>
      <c r="Q83" s="724">
        <f>L83</f>
        <v>136</v>
      </c>
      <c r="R83" s="131"/>
      <c r="S83" s="138" t="str">
        <f t="shared" si="2"/>
        <v>KeyPress "Tab", 136</v>
      </c>
      <c r="T83" s="131"/>
      <c r="U83" s="138" t="str">
        <f t="shared" si="3"/>
        <v>KeyPress "Tab", 136</v>
      </c>
      <c r="V83" s="131"/>
      <c r="W83">
        <v>14</v>
      </c>
      <c r="X83" s="714" t="str">
        <f>IF(Q83&lt;3,"//",U83)</f>
        <v>KeyPress "Tab", 136</v>
      </c>
      <c r="Y83" s="715"/>
      <c r="AA83" t="str">
        <f>IF(Q83&lt;3,"//",X83)</f>
        <v>KeyPress "Tab", 136</v>
      </c>
    </row>
    <row r="84" spans="11:27">
      <c r="K84" s="133"/>
      <c r="L84" s="134"/>
      <c r="M84" s="134"/>
      <c r="O84" s="144"/>
      <c r="P84" s="130" t="str">
        <f>$J$4</f>
        <v>Delay 600</v>
      </c>
      <c r="Q84" s="730"/>
      <c r="R84" s="131"/>
      <c r="S84" s="138" t="str">
        <f t="shared" si="2"/>
        <v>Delay 600</v>
      </c>
      <c r="T84" s="131"/>
      <c r="U84" s="138" t="str">
        <f t="shared" si="3"/>
        <v>Delay 600</v>
      </c>
      <c r="V84" s="131"/>
      <c r="X84" s="714" t="str">
        <f>IF(Q83&lt;3,"//",U84)</f>
        <v>Delay 600</v>
      </c>
      <c r="Y84" s="715"/>
      <c r="AA84" t="str">
        <f>IF(Q83&lt;3,"//",X84)</f>
        <v>Delay 600</v>
      </c>
    </row>
    <row r="85" spans="11:27">
      <c r="K85" s="133"/>
      <c r="L85" s="134"/>
      <c r="M85" s="134"/>
      <c r="O85" s="144"/>
      <c r="P85" s="130" t="s">
        <v>2964</v>
      </c>
      <c r="Q85" s="724">
        <f>M83</f>
        <v>1.05</v>
      </c>
      <c r="R85" s="131" t="s">
        <v>2965</v>
      </c>
      <c r="S85" s="138" t="str">
        <f t="shared" si="2"/>
        <v>SayString "1.05"</v>
      </c>
      <c r="T85" s="131"/>
      <c r="U85" s="138" t="str">
        <f t="shared" si="3"/>
        <v>SayString "1.05"</v>
      </c>
      <c r="V85" s="131"/>
      <c r="X85" s="714" t="str">
        <f>IF(Q83&lt;3,"//",U85)</f>
        <v>SayString "1.05"</v>
      </c>
      <c r="Y85" s="715"/>
      <c r="AA85" t="str">
        <f>IF(Q83&lt;3,"//",X85)</f>
        <v>SayString "1.05"</v>
      </c>
    </row>
    <row r="86" spans="11:27">
      <c r="K86" s="133"/>
      <c r="L86" s="134"/>
      <c r="M86" s="134"/>
      <c r="O86" s="144"/>
      <c r="P86" s="130" t="str">
        <f>$J$4</f>
        <v>Delay 600</v>
      </c>
      <c r="Q86" s="730"/>
      <c r="R86" s="131"/>
      <c r="S86" s="138" t="str">
        <f t="shared" si="2"/>
        <v>Delay 600</v>
      </c>
      <c r="T86" s="131"/>
      <c r="U86" s="138" t="str">
        <f t="shared" si="3"/>
        <v>Delay 600</v>
      </c>
      <c r="V86" s="131"/>
      <c r="X86" s="714" t="str">
        <f>IF(Q83&lt;3,"//",U86)</f>
        <v>Delay 600</v>
      </c>
      <c r="Y86" s="715"/>
      <c r="AA86" t="str">
        <f>IF(Q83&lt;3,"//",X86)</f>
        <v>Delay 600</v>
      </c>
    </row>
    <row r="87" spans="11:27">
      <c r="K87" s="133"/>
      <c r="L87" s="134"/>
      <c r="M87" s="134"/>
      <c r="O87" s="144"/>
      <c r="P87" s="130" t="s">
        <v>4068</v>
      </c>
      <c r="Q87" s="730"/>
      <c r="R87" s="131"/>
      <c r="S87" s="138" t="str">
        <f t="shared" si="2"/>
        <v>KeyPress "Enter", 1</v>
      </c>
      <c r="T87" s="131"/>
      <c r="U87" s="138" t="str">
        <f t="shared" si="3"/>
        <v>KeyPress "Enter", 1</v>
      </c>
      <c r="V87" s="131"/>
      <c r="X87" s="714" t="str">
        <f>IF(Q83&lt;3,"//",U87)</f>
        <v>KeyPress "Enter", 1</v>
      </c>
      <c r="Y87" s="715"/>
      <c r="AA87" t="str">
        <f>IF(Q83&lt;3,"//",X87)</f>
        <v>KeyPress "Enter", 1</v>
      </c>
    </row>
    <row r="88" spans="11:27" ht="17.25" thickBot="1">
      <c r="K88" s="133"/>
      <c r="L88" s="134"/>
      <c r="M88" s="134"/>
      <c r="O88" s="143"/>
      <c r="P88" s="130" t="str">
        <f>$J$5</f>
        <v>Delay 5000</v>
      </c>
      <c r="Q88" s="730"/>
      <c r="R88" s="131"/>
      <c r="S88" s="138" t="str">
        <f t="shared" si="2"/>
        <v>Delay 5000</v>
      </c>
      <c r="T88" s="131"/>
      <c r="U88" s="138" t="str">
        <f t="shared" si="3"/>
        <v>Delay 5000</v>
      </c>
      <c r="V88" s="131"/>
      <c r="X88" s="714" t="str">
        <f>IF(Q83&lt;3,"//",U88)</f>
        <v>Delay 5000</v>
      </c>
      <c r="Y88" s="715"/>
      <c r="AA88" t="str">
        <f>IF(Q83&lt;3,"//",X88)</f>
        <v>Delay 5000</v>
      </c>
    </row>
    <row r="89" spans="11:27">
      <c r="K89" s="133">
        <v>15</v>
      </c>
      <c r="L89" s="134">
        <v>342</v>
      </c>
      <c r="M89" s="134">
        <v>1</v>
      </c>
      <c r="O89" s="142">
        <f>$K$89</f>
        <v>15</v>
      </c>
      <c r="P89" s="130" t="s">
        <v>2963</v>
      </c>
      <c r="Q89" s="724">
        <f>L89</f>
        <v>342</v>
      </c>
      <c r="R89" s="131"/>
      <c r="S89" s="138" t="str">
        <f t="shared" si="2"/>
        <v>KeyPress "Tab", 342</v>
      </c>
      <c r="T89" s="131"/>
      <c r="U89" s="138" t="str">
        <f t="shared" si="3"/>
        <v>KeyPress "Tab", 342</v>
      </c>
      <c r="V89" s="131"/>
      <c r="W89">
        <v>15</v>
      </c>
      <c r="X89" s="714" t="str">
        <f>IF(Q89&lt;3,"//",U89)</f>
        <v>KeyPress "Tab", 342</v>
      </c>
      <c r="Y89" s="715"/>
      <c r="AA89" t="str">
        <f>IF(Q89&lt;3,"//",X89)</f>
        <v>KeyPress "Tab", 342</v>
      </c>
    </row>
    <row r="90" spans="11:27">
      <c r="K90" s="133"/>
      <c r="L90" s="134"/>
      <c r="M90" s="134"/>
      <c r="O90" s="144"/>
      <c r="P90" s="130" t="str">
        <f>$J$4</f>
        <v>Delay 600</v>
      </c>
      <c r="Q90" s="730"/>
      <c r="R90" s="131"/>
      <c r="S90" s="138" t="str">
        <f t="shared" si="2"/>
        <v>Delay 600</v>
      </c>
      <c r="T90" s="131"/>
      <c r="U90" s="138" t="str">
        <f t="shared" si="3"/>
        <v>Delay 600</v>
      </c>
      <c r="V90" s="131"/>
      <c r="X90" s="714" t="str">
        <f>IF(Q89&lt;3,"//",U90)</f>
        <v>Delay 600</v>
      </c>
      <c r="Y90" s="715"/>
      <c r="AA90" t="str">
        <f>IF(Q89&lt;3,"//",X90)</f>
        <v>Delay 600</v>
      </c>
    </row>
    <row r="91" spans="11:27">
      <c r="K91" s="133"/>
      <c r="L91" s="134"/>
      <c r="M91" s="134"/>
      <c r="O91" s="144"/>
      <c r="P91" s="130" t="s">
        <v>2964</v>
      </c>
      <c r="Q91" s="724">
        <f>M89</f>
        <v>1</v>
      </c>
      <c r="R91" s="131" t="s">
        <v>2965</v>
      </c>
      <c r="S91" s="138" t="str">
        <f t="shared" si="2"/>
        <v>SayString "1"</v>
      </c>
      <c r="T91" s="131"/>
      <c r="U91" s="138" t="str">
        <f t="shared" si="3"/>
        <v>SayString "1"</v>
      </c>
      <c r="V91" s="131"/>
      <c r="X91" s="714" t="str">
        <f>IF(Q89&lt;3,"//",U91)</f>
        <v>SayString "1"</v>
      </c>
      <c r="Y91" s="715"/>
      <c r="AA91" t="str">
        <f>IF(Q89&lt;3,"//",X91)</f>
        <v>SayString "1"</v>
      </c>
    </row>
    <row r="92" spans="11:27">
      <c r="K92" s="133"/>
      <c r="L92" s="134"/>
      <c r="M92" s="134"/>
      <c r="O92" s="144"/>
      <c r="P92" s="130" t="str">
        <f>$J$4</f>
        <v>Delay 600</v>
      </c>
      <c r="Q92" s="730"/>
      <c r="R92" s="131"/>
      <c r="S92" s="138" t="str">
        <f t="shared" si="2"/>
        <v>Delay 600</v>
      </c>
      <c r="T92" s="131"/>
      <c r="U92" s="138" t="str">
        <f t="shared" si="3"/>
        <v>Delay 600</v>
      </c>
      <c r="V92" s="131"/>
      <c r="X92" s="714" t="str">
        <f>IF(Q89&lt;3,"//",U92)</f>
        <v>Delay 600</v>
      </c>
      <c r="Y92" s="715"/>
      <c r="AA92" t="str">
        <f>IF(Q89&lt;3,"//",X92)</f>
        <v>Delay 600</v>
      </c>
    </row>
    <row r="93" spans="11:27">
      <c r="K93" s="133"/>
      <c r="L93" s="134"/>
      <c r="M93" s="134"/>
      <c r="O93" s="144"/>
      <c r="P93" s="130" t="s">
        <v>4068</v>
      </c>
      <c r="Q93" s="730"/>
      <c r="R93" s="131"/>
      <c r="S93" s="138" t="str">
        <f t="shared" si="2"/>
        <v>KeyPress "Enter", 1</v>
      </c>
      <c r="T93" s="131"/>
      <c r="U93" s="138" t="str">
        <f t="shared" si="3"/>
        <v>KeyPress "Enter", 1</v>
      </c>
      <c r="V93" s="131"/>
      <c r="X93" s="714" t="str">
        <f>IF(Q89&lt;3,"//",U93)</f>
        <v>KeyPress "Enter", 1</v>
      </c>
      <c r="Y93" s="715"/>
      <c r="AA93" t="str">
        <f>IF(Q89&lt;3,"//",X93)</f>
        <v>KeyPress "Enter", 1</v>
      </c>
    </row>
    <row r="94" spans="11:27" ht="17.25" thickBot="1">
      <c r="K94" s="133"/>
      <c r="L94" s="134"/>
      <c r="M94" s="134"/>
      <c r="O94" s="143"/>
      <c r="P94" s="130" t="str">
        <f>$J$5</f>
        <v>Delay 5000</v>
      </c>
      <c r="Q94" s="730"/>
      <c r="R94" s="131"/>
      <c r="S94" s="138" t="str">
        <f t="shared" si="2"/>
        <v>Delay 5000</v>
      </c>
      <c r="T94" s="131"/>
      <c r="U94" s="138" t="str">
        <f t="shared" si="3"/>
        <v>Delay 5000</v>
      </c>
      <c r="V94" s="131"/>
      <c r="X94" s="714" t="str">
        <f>IF(Q89&lt;3,"//",U94)</f>
        <v>Delay 5000</v>
      </c>
      <c r="Y94" s="715"/>
      <c r="AA94" t="str">
        <f>IF(Q89&lt;3,"//",X94)</f>
        <v>Delay 5000</v>
      </c>
    </row>
    <row r="95" spans="11:27">
      <c r="K95" s="133">
        <v>16</v>
      </c>
      <c r="L95" s="134">
        <v>349</v>
      </c>
      <c r="M95" s="134">
        <v>1</v>
      </c>
      <c r="O95" s="142">
        <f>$K$95</f>
        <v>16</v>
      </c>
      <c r="P95" s="130" t="s">
        <v>2963</v>
      </c>
      <c r="Q95" s="724">
        <f>L95</f>
        <v>349</v>
      </c>
      <c r="R95" s="131"/>
      <c r="S95" s="138" t="str">
        <f t="shared" si="2"/>
        <v>KeyPress "Tab", 349</v>
      </c>
      <c r="T95" s="131"/>
      <c r="U95" s="138" t="str">
        <f t="shared" si="3"/>
        <v>KeyPress "Tab", 349</v>
      </c>
      <c r="V95" s="131"/>
      <c r="W95">
        <v>16</v>
      </c>
      <c r="X95" s="714" t="str">
        <f>IF(Q95&lt;3,"//",U95)</f>
        <v>KeyPress "Tab", 349</v>
      </c>
      <c r="Y95" s="715"/>
      <c r="AA95" t="str">
        <f>IF(Q95&lt;3,"//",X95)</f>
        <v>KeyPress "Tab", 349</v>
      </c>
    </row>
    <row r="96" spans="11:27">
      <c r="K96" s="133"/>
      <c r="L96" s="134"/>
      <c r="M96" s="134"/>
      <c r="O96" s="144"/>
      <c r="P96" s="130" t="str">
        <f>$J$4</f>
        <v>Delay 600</v>
      </c>
      <c r="Q96" s="730"/>
      <c r="R96" s="131"/>
      <c r="S96" s="138" t="str">
        <f t="shared" si="2"/>
        <v>Delay 600</v>
      </c>
      <c r="T96" s="131"/>
      <c r="U96" s="138" t="str">
        <f t="shared" si="3"/>
        <v>Delay 600</v>
      </c>
      <c r="V96" s="131"/>
      <c r="X96" s="714" t="str">
        <f>IF(Q95&lt;3,"//",U96)</f>
        <v>Delay 600</v>
      </c>
      <c r="Y96" s="715"/>
      <c r="AA96" t="str">
        <f>IF(Q95&lt;3,"//",X96)</f>
        <v>Delay 600</v>
      </c>
    </row>
    <row r="97" spans="11:27">
      <c r="K97" s="133"/>
      <c r="L97" s="134"/>
      <c r="M97" s="134"/>
      <c r="O97" s="144"/>
      <c r="P97" s="130" t="s">
        <v>2964</v>
      </c>
      <c r="Q97" s="724">
        <f>M95</f>
        <v>1</v>
      </c>
      <c r="R97" s="131" t="s">
        <v>2965</v>
      </c>
      <c r="S97" s="138" t="str">
        <f t="shared" si="2"/>
        <v>SayString "1"</v>
      </c>
      <c r="T97" s="131"/>
      <c r="U97" s="138" t="str">
        <f t="shared" si="3"/>
        <v>SayString "1"</v>
      </c>
      <c r="V97" s="131"/>
      <c r="X97" s="714" t="str">
        <f>IF(Q95&lt;3,"//",U97)</f>
        <v>SayString "1"</v>
      </c>
      <c r="Y97" s="715"/>
      <c r="AA97" t="str">
        <f>IF(Q95&lt;3,"//",X97)</f>
        <v>SayString "1"</v>
      </c>
    </row>
    <row r="98" spans="11:27">
      <c r="K98" s="133"/>
      <c r="L98" s="134"/>
      <c r="M98" s="134"/>
      <c r="O98" s="144"/>
      <c r="P98" s="130" t="str">
        <f>$J$4</f>
        <v>Delay 600</v>
      </c>
      <c r="Q98" s="730"/>
      <c r="R98" s="131"/>
      <c r="S98" s="138" t="str">
        <f t="shared" si="2"/>
        <v>Delay 600</v>
      </c>
      <c r="T98" s="131"/>
      <c r="U98" s="138" t="str">
        <f t="shared" si="3"/>
        <v>Delay 600</v>
      </c>
      <c r="V98" s="131"/>
      <c r="X98" s="714" t="str">
        <f>IF(Q95&lt;3,"//",U98)</f>
        <v>Delay 600</v>
      </c>
      <c r="Y98" s="715"/>
      <c r="AA98" t="str">
        <f>IF(Q95&lt;3,"//",X98)</f>
        <v>Delay 600</v>
      </c>
    </row>
    <row r="99" spans="11:27">
      <c r="K99" s="133"/>
      <c r="L99" s="134"/>
      <c r="M99" s="134"/>
      <c r="O99" s="144"/>
      <c r="P99" s="130" t="s">
        <v>4068</v>
      </c>
      <c r="Q99" s="730"/>
      <c r="R99" s="131"/>
      <c r="S99" s="138" t="str">
        <f t="shared" si="2"/>
        <v>KeyPress "Enter", 1</v>
      </c>
      <c r="T99" s="131"/>
      <c r="U99" s="138" t="str">
        <f t="shared" si="3"/>
        <v>KeyPress "Enter", 1</v>
      </c>
      <c r="V99" s="131"/>
      <c r="X99" s="714" t="str">
        <f>IF(Q95&lt;3,"//",U99)</f>
        <v>KeyPress "Enter", 1</v>
      </c>
      <c r="Y99" s="715"/>
      <c r="AA99" t="str">
        <f>IF(Q95&lt;3,"//",X99)</f>
        <v>KeyPress "Enter", 1</v>
      </c>
    </row>
    <row r="100" spans="11:27" ht="17.25" thickBot="1">
      <c r="K100" s="133"/>
      <c r="L100" s="134"/>
      <c r="M100" s="134"/>
      <c r="O100" s="143"/>
      <c r="P100" s="130" t="str">
        <f>$J$5</f>
        <v>Delay 5000</v>
      </c>
      <c r="Q100" s="730"/>
      <c r="R100" s="131"/>
      <c r="S100" s="138" t="str">
        <f t="shared" si="2"/>
        <v>Delay 5000</v>
      </c>
      <c r="T100" s="131"/>
      <c r="U100" s="138" t="str">
        <f t="shared" si="3"/>
        <v>Delay 5000</v>
      </c>
      <c r="V100" s="131"/>
      <c r="X100" s="714" t="str">
        <f>IF(Q95&lt;3,"//",U100)</f>
        <v>Delay 5000</v>
      </c>
      <c r="Y100" s="715"/>
      <c r="AA100" t="str">
        <f>IF(Q95&lt;3,"//",X100)</f>
        <v>Delay 5000</v>
      </c>
    </row>
    <row r="101" spans="11:27">
      <c r="K101" s="133">
        <v>17</v>
      </c>
      <c r="L101" s="134">
        <v>357</v>
      </c>
      <c r="M101" s="134">
        <v>1</v>
      </c>
      <c r="O101" s="142">
        <f>$K$101</f>
        <v>17</v>
      </c>
      <c r="P101" s="130" t="s">
        <v>2963</v>
      </c>
      <c r="Q101" s="724">
        <f>L101</f>
        <v>357</v>
      </c>
      <c r="R101" s="131"/>
      <c r="S101" s="138" t="str">
        <f t="shared" si="2"/>
        <v>KeyPress "Tab", 357</v>
      </c>
      <c r="T101" s="131"/>
      <c r="U101" s="138" t="str">
        <f t="shared" si="3"/>
        <v>KeyPress "Tab", 357</v>
      </c>
      <c r="V101" s="131"/>
      <c r="W101">
        <v>17</v>
      </c>
      <c r="X101" s="714" t="str">
        <f>IF(Q101&lt;3,"//",U101)</f>
        <v>KeyPress "Tab", 357</v>
      </c>
      <c r="Y101" s="715"/>
      <c r="AA101" t="str">
        <f>IF(Q101&lt;3,"//",X101)</f>
        <v>KeyPress "Tab", 357</v>
      </c>
    </row>
    <row r="102" spans="11:27">
      <c r="K102" s="133"/>
      <c r="L102" s="134"/>
      <c r="M102" s="134"/>
      <c r="O102" s="144"/>
      <c r="P102" s="130" t="str">
        <f>$J$4</f>
        <v>Delay 600</v>
      </c>
      <c r="Q102" s="730"/>
      <c r="R102" s="131"/>
      <c r="S102" s="138" t="str">
        <f t="shared" si="2"/>
        <v>Delay 600</v>
      </c>
      <c r="T102" s="131"/>
      <c r="U102" s="138" t="str">
        <f t="shared" si="3"/>
        <v>Delay 600</v>
      </c>
      <c r="V102" s="131"/>
      <c r="X102" s="714" t="str">
        <f>IF(Q101&lt;3,"//",U102)</f>
        <v>Delay 600</v>
      </c>
      <c r="Y102" s="715"/>
      <c r="AA102" t="str">
        <f>IF(Q101&lt;3,"//",X102)</f>
        <v>Delay 600</v>
      </c>
    </row>
    <row r="103" spans="11:27">
      <c r="K103" s="133"/>
      <c r="L103" s="134"/>
      <c r="M103" s="134"/>
      <c r="O103" s="144"/>
      <c r="P103" s="130" t="s">
        <v>2964</v>
      </c>
      <c r="Q103" s="724">
        <f>M101</f>
        <v>1</v>
      </c>
      <c r="R103" s="131" t="s">
        <v>2965</v>
      </c>
      <c r="S103" s="138" t="str">
        <f t="shared" si="2"/>
        <v>SayString "1"</v>
      </c>
      <c r="T103" s="131"/>
      <c r="U103" s="138" t="str">
        <f t="shared" si="3"/>
        <v>SayString "1"</v>
      </c>
      <c r="V103" s="131"/>
      <c r="X103" s="714" t="str">
        <f>IF(Q101&lt;3,"//",U103)</f>
        <v>SayString "1"</v>
      </c>
      <c r="Y103" s="715"/>
      <c r="AA103" t="str">
        <f>IF(Q101&lt;3,"//",X103)</f>
        <v>SayString "1"</v>
      </c>
    </row>
    <row r="104" spans="11:27">
      <c r="K104" s="133"/>
      <c r="L104" s="134"/>
      <c r="M104" s="134"/>
      <c r="O104" s="144"/>
      <c r="P104" s="130" t="str">
        <f>$J$4</f>
        <v>Delay 600</v>
      </c>
      <c r="Q104" s="730"/>
      <c r="R104" s="131"/>
      <c r="S104" s="138" t="str">
        <f t="shared" si="2"/>
        <v>Delay 600</v>
      </c>
      <c r="T104" s="131"/>
      <c r="U104" s="138" t="str">
        <f t="shared" si="3"/>
        <v>Delay 600</v>
      </c>
      <c r="V104" s="131"/>
      <c r="X104" s="714" t="str">
        <f>IF(Q101&lt;3,"//",U104)</f>
        <v>Delay 600</v>
      </c>
      <c r="Y104" s="715"/>
      <c r="AA104" t="str">
        <f>IF(Q101&lt;3,"//",X104)</f>
        <v>Delay 600</v>
      </c>
    </row>
    <row r="105" spans="11:27">
      <c r="K105" s="133"/>
      <c r="L105" s="134"/>
      <c r="M105" s="134"/>
      <c r="O105" s="144"/>
      <c r="P105" s="130" t="s">
        <v>4068</v>
      </c>
      <c r="Q105" s="730"/>
      <c r="R105" s="131"/>
      <c r="S105" s="138" t="str">
        <f t="shared" si="2"/>
        <v>KeyPress "Enter", 1</v>
      </c>
      <c r="T105" s="131"/>
      <c r="U105" s="138" t="str">
        <f t="shared" si="3"/>
        <v>KeyPress "Enter", 1</v>
      </c>
      <c r="V105" s="131"/>
      <c r="X105" s="714" t="str">
        <f>IF(Q101&lt;3,"//",U105)</f>
        <v>KeyPress "Enter", 1</v>
      </c>
      <c r="Y105" s="715"/>
      <c r="AA105" t="str">
        <f>IF(Q101&lt;3,"//",X105)</f>
        <v>KeyPress "Enter", 1</v>
      </c>
    </row>
    <row r="106" spans="11:27" ht="17.25" thickBot="1">
      <c r="K106" s="133"/>
      <c r="L106" s="134"/>
      <c r="M106" s="134"/>
      <c r="O106" s="143"/>
      <c r="P106" s="130" t="str">
        <f>$J$5</f>
        <v>Delay 5000</v>
      </c>
      <c r="Q106" s="730"/>
      <c r="R106" s="131"/>
      <c r="S106" s="138" t="str">
        <f t="shared" si="2"/>
        <v>Delay 5000</v>
      </c>
      <c r="T106" s="131"/>
      <c r="U106" s="138" t="str">
        <f t="shared" si="3"/>
        <v>Delay 5000</v>
      </c>
      <c r="V106" s="131"/>
      <c r="X106" s="714" t="str">
        <f>IF(Q101&lt;3,"//",U106)</f>
        <v>Delay 5000</v>
      </c>
      <c r="Y106" s="715"/>
      <c r="AA106" t="str">
        <f>IF(Q101&lt;3,"//",X106)</f>
        <v>Delay 5000</v>
      </c>
    </row>
    <row r="107" spans="11:27">
      <c r="K107" s="133">
        <v>18</v>
      </c>
      <c r="L107" s="134">
        <v>359</v>
      </c>
      <c r="M107" s="134">
        <v>1</v>
      </c>
      <c r="O107" s="142">
        <f>$K$107</f>
        <v>18</v>
      </c>
      <c r="P107" s="130" t="s">
        <v>2963</v>
      </c>
      <c r="Q107" s="724">
        <f>L107</f>
        <v>359</v>
      </c>
      <c r="R107" s="131"/>
      <c r="S107" s="138" t="str">
        <f t="shared" si="2"/>
        <v>KeyPress "Tab", 359</v>
      </c>
      <c r="T107" s="131"/>
      <c r="U107" s="138" t="str">
        <f t="shared" si="3"/>
        <v>KeyPress "Tab", 359</v>
      </c>
      <c r="V107" s="131"/>
      <c r="W107">
        <v>18</v>
      </c>
      <c r="X107" s="714" t="str">
        <f>IF(Q107&lt;3,"//",U107)</f>
        <v>KeyPress "Tab", 359</v>
      </c>
      <c r="Y107" s="715"/>
      <c r="AA107" t="str">
        <f>IF(Q107&lt;3,"//",X107)</f>
        <v>KeyPress "Tab", 359</v>
      </c>
    </row>
    <row r="108" spans="11:27">
      <c r="K108" s="133"/>
      <c r="L108" s="134"/>
      <c r="M108" s="134"/>
      <c r="O108" s="144"/>
      <c r="P108" s="130" t="str">
        <f>$J$4</f>
        <v>Delay 600</v>
      </c>
      <c r="Q108" s="730"/>
      <c r="R108" s="131"/>
      <c r="S108" s="138" t="str">
        <f t="shared" si="2"/>
        <v>Delay 600</v>
      </c>
      <c r="T108" s="131"/>
      <c r="U108" s="138" t="str">
        <f t="shared" si="3"/>
        <v>Delay 600</v>
      </c>
      <c r="V108" s="131"/>
      <c r="X108" s="714" t="str">
        <f>IF(Q107&lt;3,"//",U108)</f>
        <v>Delay 600</v>
      </c>
      <c r="Y108" s="715"/>
      <c r="AA108" t="str">
        <f>IF(Q107&lt;3,"//",X108)</f>
        <v>Delay 600</v>
      </c>
    </row>
    <row r="109" spans="11:27">
      <c r="K109" s="133"/>
      <c r="L109" s="134"/>
      <c r="M109" s="134"/>
      <c r="O109" s="144"/>
      <c r="P109" s="130" t="s">
        <v>2964</v>
      </c>
      <c r="Q109" s="724">
        <f>M107</f>
        <v>1</v>
      </c>
      <c r="R109" s="131" t="s">
        <v>2965</v>
      </c>
      <c r="S109" s="138" t="str">
        <f t="shared" si="2"/>
        <v>SayString "1"</v>
      </c>
      <c r="T109" s="131"/>
      <c r="U109" s="138" t="str">
        <f t="shared" si="3"/>
        <v>SayString "1"</v>
      </c>
      <c r="V109" s="131"/>
      <c r="X109" s="714" t="str">
        <f>IF(Q107&lt;3,"//",U109)</f>
        <v>SayString "1"</v>
      </c>
      <c r="Y109" s="715"/>
      <c r="AA109" t="str">
        <f>IF(Q107&lt;3,"//",X109)</f>
        <v>SayString "1"</v>
      </c>
    </row>
    <row r="110" spans="11:27">
      <c r="K110" s="133"/>
      <c r="L110" s="134"/>
      <c r="M110" s="134"/>
      <c r="O110" s="144"/>
      <c r="P110" s="130" t="str">
        <f>$J$4</f>
        <v>Delay 600</v>
      </c>
      <c r="Q110" s="730"/>
      <c r="R110" s="131"/>
      <c r="S110" s="138" t="str">
        <f t="shared" si="2"/>
        <v>Delay 600</v>
      </c>
      <c r="T110" s="131"/>
      <c r="U110" s="138" t="str">
        <f t="shared" si="3"/>
        <v>Delay 600</v>
      </c>
      <c r="V110" s="131"/>
      <c r="X110" s="714" t="str">
        <f>IF(Q107&lt;3,"//",U110)</f>
        <v>Delay 600</v>
      </c>
      <c r="Y110" s="715"/>
      <c r="AA110" t="str">
        <f>IF(Q107&lt;3,"//",X110)</f>
        <v>Delay 600</v>
      </c>
    </row>
    <row r="111" spans="11:27">
      <c r="K111" s="133"/>
      <c r="L111" s="134"/>
      <c r="M111" s="134"/>
      <c r="O111" s="144"/>
      <c r="P111" s="130" t="s">
        <v>4068</v>
      </c>
      <c r="Q111" s="730"/>
      <c r="R111" s="131"/>
      <c r="S111" s="138" t="str">
        <f t="shared" si="2"/>
        <v>KeyPress "Enter", 1</v>
      </c>
      <c r="T111" s="131"/>
      <c r="U111" s="138" t="str">
        <f t="shared" si="3"/>
        <v>KeyPress "Enter", 1</v>
      </c>
      <c r="V111" s="131"/>
      <c r="X111" s="714" t="str">
        <f>IF(Q107&lt;3,"//",U111)</f>
        <v>KeyPress "Enter", 1</v>
      </c>
      <c r="Y111" s="715"/>
      <c r="AA111" t="str">
        <f>IF(Q107&lt;3,"//",X111)</f>
        <v>KeyPress "Enter", 1</v>
      </c>
    </row>
    <row r="112" spans="11:27" ht="17.25" thickBot="1">
      <c r="K112" s="133"/>
      <c r="L112" s="134"/>
      <c r="M112" s="134"/>
      <c r="O112" s="143"/>
      <c r="P112" s="130" t="str">
        <f>$J$5</f>
        <v>Delay 5000</v>
      </c>
      <c r="Q112" s="730"/>
      <c r="R112" s="131"/>
      <c r="S112" s="138" t="str">
        <f t="shared" si="2"/>
        <v>Delay 5000</v>
      </c>
      <c r="T112" s="131"/>
      <c r="U112" s="138" t="str">
        <f t="shared" si="3"/>
        <v>Delay 5000</v>
      </c>
      <c r="V112" s="131"/>
      <c r="X112" s="714" t="str">
        <f>IF(Q107&lt;3,"//",U112)</f>
        <v>Delay 5000</v>
      </c>
      <c r="Y112" s="715"/>
      <c r="AA112" t="str">
        <f>IF(Q107&lt;3,"//",X112)</f>
        <v>Delay 5000</v>
      </c>
    </row>
    <row r="113" spans="11:27">
      <c r="K113" s="133">
        <v>19</v>
      </c>
      <c r="L113" s="134">
        <v>364</v>
      </c>
      <c r="M113" s="134">
        <v>7.0000000000000007E-2</v>
      </c>
      <c r="O113" s="142">
        <f>$K$113</f>
        <v>19</v>
      </c>
      <c r="P113" s="130" t="s">
        <v>2963</v>
      </c>
      <c r="Q113" s="724">
        <f>L113</f>
        <v>364</v>
      </c>
      <c r="R113" s="131"/>
      <c r="S113" s="138" t="str">
        <f t="shared" si="2"/>
        <v>KeyPress "Tab", 364</v>
      </c>
      <c r="T113" s="131"/>
      <c r="U113" s="138" t="str">
        <f t="shared" si="3"/>
        <v>KeyPress "Tab", 364</v>
      </c>
      <c r="V113" s="131"/>
      <c r="W113">
        <v>19</v>
      </c>
      <c r="X113" s="714" t="str">
        <f>IF(Q113&lt;3,"//",U113)</f>
        <v>KeyPress "Tab", 364</v>
      </c>
      <c r="Y113" s="715"/>
      <c r="AA113" t="str">
        <f>IF(Q113&lt;3,"//",X113)</f>
        <v>KeyPress "Tab", 364</v>
      </c>
    </row>
    <row r="114" spans="11:27">
      <c r="K114" s="133"/>
      <c r="L114" s="134"/>
      <c r="M114" s="134"/>
      <c r="O114" s="144"/>
      <c r="P114" s="130" t="str">
        <f>$J$4</f>
        <v>Delay 600</v>
      </c>
      <c r="Q114" s="730"/>
      <c r="R114" s="131"/>
      <c r="S114" s="138" t="str">
        <f t="shared" si="2"/>
        <v>Delay 600</v>
      </c>
      <c r="T114" s="131"/>
      <c r="U114" s="138" t="str">
        <f t="shared" si="3"/>
        <v>Delay 600</v>
      </c>
      <c r="V114" s="131"/>
      <c r="X114" s="714" t="str">
        <f>IF(Q113&lt;3,"//",U114)</f>
        <v>Delay 600</v>
      </c>
      <c r="Y114" s="715"/>
      <c r="AA114" t="str">
        <f>IF(Q113&lt;3,"//",X114)</f>
        <v>Delay 600</v>
      </c>
    </row>
    <row r="115" spans="11:27">
      <c r="K115" s="133"/>
      <c r="L115" s="134"/>
      <c r="M115" s="134"/>
      <c r="O115" s="144"/>
      <c r="P115" s="130" t="s">
        <v>2964</v>
      </c>
      <c r="Q115" s="724">
        <f>M113</f>
        <v>7.0000000000000007E-2</v>
      </c>
      <c r="R115" s="131" t="s">
        <v>2965</v>
      </c>
      <c r="S115" s="138" t="str">
        <f t="shared" si="2"/>
        <v>SayString "0.07"</v>
      </c>
      <c r="T115" s="131"/>
      <c r="U115" s="138" t="str">
        <f t="shared" si="3"/>
        <v>SayString "0.07"</v>
      </c>
      <c r="V115" s="131"/>
      <c r="X115" s="714" t="str">
        <f>IF(Q113&lt;3,"//",U115)</f>
        <v>SayString "0.07"</v>
      </c>
      <c r="Y115" s="715"/>
      <c r="AA115" t="str">
        <f>IF(Q113&lt;3,"//",X115)</f>
        <v>SayString "0.07"</v>
      </c>
    </row>
    <row r="116" spans="11:27">
      <c r="K116" s="133"/>
      <c r="L116" s="134"/>
      <c r="M116" s="134"/>
      <c r="O116" s="144"/>
      <c r="P116" s="130" t="str">
        <f>$J$4</f>
        <v>Delay 600</v>
      </c>
      <c r="Q116" s="730"/>
      <c r="R116" s="131"/>
      <c r="S116" s="138" t="str">
        <f t="shared" si="2"/>
        <v>Delay 600</v>
      </c>
      <c r="T116" s="131"/>
      <c r="U116" s="138" t="str">
        <f t="shared" si="3"/>
        <v>Delay 600</v>
      </c>
      <c r="V116" s="131"/>
      <c r="X116" s="714" t="str">
        <f>IF(Q113&lt;3,"//",U116)</f>
        <v>Delay 600</v>
      </c>
      <c r="Y116" s="715"/>
      <c r="AA116" t="str">
        <f>IF(Q113&lt;3,"//",X116)</f>
        <v>Delay 600</v>
      </c>
    </row>
    <row r="117" spans="11:27">
      <c r="K117" s="133"/>
      <c r="L117" s="134"/>
      <c r="M117" s="134"/>
      <c r="O117" s="144"/>
      <c r="P117" s="130" t="s">
        <v>4068</v>
      </c>
      <c r="Q117" s="730"/>
      <c r="R117" s="131"/>
      <c r="S117" s="138" t="str">
        <f t="shared" si="2"/>
        <v>KeyPress "Enter", 1</v>
      </c>
      <c r="T117" s="131"/>
      <c r="U117" s="138" t="str">
        <f t="shared" si="3"/>
        <v>KeyPress "Enter", 1</v>
      </c>
      <c r="V117" s="131"/>
      <c r="X117" s="714" t="str">
        <f>IF(Q113&lt;3,"//",U117)</f>
        <v>KeyPress "Enter", 1</v>
      </c>
      <c r="Y117" s="715"/>
      <c r="AA117" t="str">
        <f>IF(Q113&lt;3,"//",X117)</f>
        <v>KeyPress "Enter", 1</v>
      </c>
    </row>
    <row r="118" spans="11:27" ht="17.25" thickBot="1">
      <c r="K118" s="133"/>
      <c r="L118" s="134"/>
      <c r="M118" s="134"/>
      <c r="O118" s="143"/>
      <c r="P118" s="130" t="str">
        <f>$J$5</f>
        <v>Delay 5000</v>
      </c>
      <c r="Q118" s="730"/>
      <c r="R118" s="131"/>
      <c r="S118" s="138" t="str">
        <f t="shared" si="2"/>
        <v>Delay 5000</v>
      </c>
      <c r="T118" s="131"/>
      <c r="U118" s="138" t="str">
        <f t="shared" si="3"/>
        <v>Delay 5000</v>
      </c>
      <c r="V118" s="131"/>
      <c r="X118" s="714" t="str">
        <f>IF(Q113&lt;3,"//",U118)</f>
        <v>Delay 5000</v>
      </c>
      <c r="Y118" s="715"/>
      <c r="AA118" t="str">
        <f>IF(Q113&lt;3,"//",X118)</f>
        <v>Delay 5000</v>
      </c>
    </row>
    <row r="119" spans="11:27">
      <c r="K119" s="133">
        <v>20</v>
      </c>
      <c r="L119" s="134">
        <v>366</v>
      </c>
      <c r="M119" s="134">
        <v>0.7</v>
      </c>
      <c r="O119" s="142">
        <f>$K$119</f>
        <v>20</v>
      </c>
      <c r="P119" s="130" t="s">
        <v>2963</v>
      </c>
      <c r="Q119" s="724">
        <f>L119</f>
        <v>366</v>
      </c>
      <c r="R119" s="131"/>
      <c r="S119" s="138" t="str">
        <f t="shared" si="2"/>
        <v>KeyPress "Tab", 366</v>
      </c>
      <c r="T119" s="131"/>
      <c r="U119" s="138" t="str">
        <f t="shared" si="3"/>
        <v>KeyPress "Tab", 366</v>
      </c>
      <c r="V119" s="131"/>
      <c r="W119">
        <v>20</v>
      </c>
      <c r="X119" s="714" t="str">
        <f>IF(Q119&lt;3,"//",U119)</f>
        <v>KeyPress "Tab", 366</v>
      </c>
      <c r="Y119" s="715"/>
      <c r="AA119" t="str">
        <f>IF(Q119&lt;3,"//",X119)</f>
        <v>KeyPress "Tab", 366</v>
      </c>
    </row>
    <row r="120" spans="11:27">
      <c r="K120" s="133"/>
      <c r="L120" s="134"/>
      <c r="M120" s="134"/>
      <c r="O120" s="144"/>
      <c r="P120" s="130" t="str">
        <f>$J$4</f>
        <v>Delay 600</v>
      </c>
      <c r="Q120" s="730"/>
      <c r="R120" s="131"/>
      <c r="S120" s="138" t="str">
        <f t="shared" si="2"/>
        <v>Delay 600</v>
      </c>
      <c r="T120" s="131"/>
      <c r="U120" s="138" t="str">
        <f t="shared" si="3"/>
        <v>Delay 600</v>
      </c>
      <c r="V120" s="131"/>
      <c r="X120" s="714" t="str">
        <f>IF(Q119&lt;3,"//",U120)</f>
        <v>Delay 600</v>
      </c>
      <c r="Y120" s="715"/>
      <c r="AA120" t="str">
        <f>IF(Q119&lt;3,"//",X120)</f>
        <v>Delay 600</v>
      </c>
    </row>
    <row r="121" spans="11:27">
      <c r="K121" s="133"/>
      <c r="L121" s="134"/>
      <c r="M121" s="134"/>
      <c r="O121" s="144"/>
      <c r="P121" s="130" t="s">
        <v>2964</v>
      </c>
      <c r="Q121" s="724">
        <f>M119</f>
        <v>0.7</v>
      </c>
      <c r="R121" s="131" t="s">
        <v>2965</v>
      </c>
      <c r="S121" s="138" t="str">
        <f t="shared" si="2"/>
        <v>SayString "0.7"</v>
      </c>
      <c r="T121" s="131"/>
      <c r="U121" s="138" t="str">
        <f t="shared" si="3"/>
        <v>SayString "0.7"</v>
      </c>
      <c r="V121" s="131"/>
      <c r="X121" s="714" t="str">
        <f>IF(Q119&lt;3,"//",U121)</f>
        <v>SayString "0.7"</v>
      </c>
      <c r="Y121" s="715"/>
      <c r="AA121" t="str">
        <f>IF(Q119&lt;3,"//",X121)</f>
        <v>SayString "0.7"</v>
      </c>
    </row>
    <row r="122" spans="11:27">
      <c r="K122" s="133"/>
      <c r="L122" s="134"/>
      <c r="M122" s="134"/>
      <c r="O122" s="144"/>
      <c r="P122" s="130" t="str">
        <f>$J$4</f>
        <v>Delay 600</v>
      </c>
      <c r="Q122" s="730"/>
      <c r="R122" s="131"/>
      <c r="S122" s="138" t="str">
        <f t="shared" si="2"/>
        <v>Delay 600</v>
      </c>
      <c r="T122" s="131"/>
      <c r="U122" s="138" t="str">
        <f t="shared" si="3"/>
        <v>Delay 600</v>
      </c>
      <c r="V122" s="131"/>
      <c r="X122" s="714" t="str">
        <f>IF(Q119&lt;3,"//",U122)</f>
        <v>Delay 600</v>
      </c>
      <c r="Y122" s="715"/>
      <c r="AA122" t="str">
        <f>IF(Q119&lt;3,"//",X122)</f>
        <v>Delay 600</v>
      </c>
    </row>
    <row r="123" spans="11:27">
      <c r="K123" s="133"/>
      <c r="L123" s="134"/>
      <c r="M123" s="134"/>
      <c r="O123" s="144"/>
      <c r="P123" s="130" t="s">
        <v>4068</v>
      </c>
      <c r="Q123" s="730"/>
      <c r="R123" s="131"/>
      <c r="S123" s="138" t="str">
        <f t="shared" si="2"/>
        <v>KeyPress "Enter", 1</v>
      </c>
      <c r="T123" s="131"/>
      <c r="U123" s="138" t="str">
        <f t="shared" si="3"/>
        <v>KeyPress "Enter", 1</v>
      </c>
      <c r="V123" s="131"/>
      <c r="X123" s="714" t="str">
        <f>IF(Q119&lt;3,"//",U123)</f>
        <v>KeyPress "Enter", 1</v>
      </c>
      <c r="Y123" s="715"/>
      <c r="AA123" t="str">
        <f>IF(Q119&lt;3,"//",X123)</f>
        <v>KeyPress "Enter", 1</v>
      </c>
    </row>
    <row r="124" spans="11:27" ht="17.25" thickBot="1">
      <c r="K124" s="133"/>
      <c r="L124" s="134"/>
      <c r="M124" s="134"/>
      <c r="O124" s="143"/>
      <c r="P124" s="130" t="str">
        <f>$J$5</f>
        <v>Delay 5000</v>
      </c>
      <c r="Q124" s="730"/>
      <c r="R124" s="131"/>
      <c r="S124" s="138" t="str">
        <f t="shared" si="2"/>
        <v>Delay 5000</v>
      </c>
      <c r="T124" s="131"/>
      <c r="U124" s="138" t="str">
        <f t="shared" si="3"/>
        <v>Delay 5000</v>
      </c>
      <c r="V124" s="131"/>
      <c r="X124" s="714" t="str">
        <f>IF(Q119&lt;3,"//",U124)</f>
        <v>Delay 5000</v>
      </c>
      <c r="Y124" s="715"/>
      <c r="AA124" t="str">
        <f>IF(Q119&lt;3,"//",X124)</f>
        <v>Delay 5000</v>
      </c>
    </row>
    <row r="125" spans="11:27">
      <c r="K125" s="133">
        <v>21</v>
      </c>
      <c r="L125" s="134">
        <v>368</v>
      </c>
      <c r="M125" s="134">
        <v>1</v>
      </c>
      <c r="O125" s="142">
        <f>$K$125</f>
        <v>21</v>
      </c>
      <c r="P125" s="130" t="s">
        <v>2963</v>
      </c>
      <c r="Q125" s="724">
        <f>L125</f>
        <v>368</v>
      </c>
      <c r="R125" s="131"/>
      <c r="S125" s="138" t="str">
        <f t="shared" si="2"/>
        <v>KeyPress "Tab", 368</v>
      </c>
      <c r="T125" s="131"/>
      <c r="U125" s="138" t="str">
        <f t="shared" si="3"/>
        <v>KeyPress "Tab", 368</v>
      </c>
      <c r="V125" s="131"/>
      <c r="W125">
        <v>21</v>
      </c>
      <c r="X125" s="714" t="str">
        <f>IF(Q125&lt;3,"//",U125)</f>
        <v>KeyPress "Tab", 368</v>
      </c>
      <c r="Y125" s="715"/>
      <c r="AA125" t="str">
        <f>IF(Q125&lt;3,"//",X125)</f>
        <v>KeyPress "Tab", 368</v>
      </c>
    </row>
    <row r="126" spans="11:27">
      <c r="K126" s="133"/>
      <c r="L126" s="134"/>
      <c r="M126" s="134"/>
      <c r="O126" s="144"/>
      <c r="P126" s="130" t="str">
        <f>$J$4</f>
        <v>Delay 600</v>
      </c>
      <c r="Q126" s="730"/>
      <c r="R126" s="131"/>
      <c r="S126" s="138" t="str">
        <f t="shared" si="2"/>
        <v>Delay 600</v>
      </c>
      <c r="T126" s="131"/>
      <c r="U126" s="138" t="str">
        <f t="shared" si="3"/>
        <v>Delay 600</v>
      </c>
      <c r="V126" s="131"/>
      <c r="X126" s="714" t="str">
        <f>IF(Q125&lt;3,"//",U126)</f>
        <v>Delay 600</v>
      </c>
      <c r="Y126" s="715"/>
      <c r="AA126" t="str">
        <f>IF(Q125&lt;3,"//",X126)</f>
        <v>Delay 600</v>
      </c>
    </row>
    <row r="127" spans="11:27">
      <c r="K127" s="133"/>
      <c r="L127" s="134"/>
      <c r="M127" s="134"/>
      <c r="O127" s="144"/>
      <c r="P127" s="130" t="s">
        <v>2964</v>
      </c>
      <c r="Q127" s="724">
        <f>M125</f>
        <v>1</v>
      </c>
      <c r="R127" s="131" t="s">
        <v>2965</v>
      </c>
      <c r="S127" s="138" t="str">
        <f t="shared" si="2"/>
        <v>SayString "1"</v>
      </c>
      <c r="T127" s="131"/>
      <c r="U127" s="138" t="str">
        <f t="shared" si="3"/>
        <v>SayString "1"</v>
      </c>
      <c r="V127" s="131"/>
      <c r="X127" s="714" t="str">
        <f>IF(Q125&lt;3,"//",U127)</f>
        <v>SayString "1"</v>
      </c>
      <c r="Y127" s="715"/>
      <c r="AA127" t="str">
        <f>IF(Q125&lt;3,"//",X127)</f>
        <v>SayString "1"</v>
      </c>
    </row>
    <row r="128" spans="11:27">
      <c r="K128" s="133"/>
      <c r="L128" s="134"/>
      <c r="M128" s="134"/>
      <c r="O128" s="144"/>
      <c r="P128" s="130" t="str">
        <f>$J$4</f>
        <v>Delay 600</v>
      </c>
      <c r="Q128" s="730"/>
      <c r="R128" s="131"/>
      <c r="S128" s="138" t="str">
        <f t="shared" si="2"/>
        <v>Delay 600</v>
      </c>
      <c r="T128" s="131"/>
      <c r="U128" s="138" t="str">
        <f t="shared" si="3"/>
        <v>Delay 600</v>
      </c>
      <c r="V128" s="131"/>
      <c r="X128" s="714" t="str">
        <f>IF(Q125&lt;3,"//",U128)</f>
        <v>Delay 600</v>
      </c>
      <c r="Y128" s="715"/>
      <c r="AA128" t="str">
        <f>IF(Q125&lt;3,"//",X128)</f>
        <v>Delay 600</v>
      </c>
    </row>
    <row r="129" spans="11:27">
      <c r="K129" s="133"/>
      <c r="L129" s="134"/>
      <c r="M129" s="134"/>
      <c r="O129" s="144"/>
      <c r="P129" s="130" t="s">
        <v>4068</v>
      </c>
      <c r="Q129" s="730"/>
      <c r="R129" s="131"/>
      <c r="S129" s="138" t="str">
        <f t="shared" si="2"/>
        <v>KeyPress "Enter", 1</v>
      </c>
      <c r="T129" s="131"/>
      <c r="U129" s="138" t="str">
        <f t="shared" si="3"/>
        <v>KeyPress "Enter", 1</v>
      </c>
      <c r="V129" s="131"/>
      <c r="X129" s="714" t="str">
        <f>IF(Q125&lt;3,"//",U129)</f>
        <v>KeyPress "Enter", 1</v>
      </c>
      <c r="Y129" s="715"/>
      <c r="AA129" t="str">
        <f>IF(Q125&lt;3,"//",X129)</f>
        <v>KeyPress "Enter", 1</v>
      </c>
    </row>
    <row r="130" spans="11:27" ht="17.25" thickBot="1">
      <c r="K130" s="133"/>
      <c r="L130" s="134"/>
      <c r="M130" s="134"/>
      <c r="O130" s="143"/>
      <c r="P130" s="130" t="str">
        <f>$J$5</f>
        <v>Delay 5000</v>
      </c>
      <c r="Q130" s="730"/>
      <c r="R130" s="131"/>
      <c r="S130" s="138" t="str">
        <f t="shared" si="2"/>
        <v>Delay 5000</v>
      </c>
      <c r="T130" s="131"/>
      <c r="U130" s="138" t="str">
        <f t="shared" si="3"/>
        <v>Delay 5000</v>
      </c>
      <c r="V130" s="131"/>
      <c r="X130" s="714" t="str">
        <f>IF(Q125&lt;3,"//",U130)</f>
        <v>Delay 5000</v>
      </c>
      <c r="Y130" s="715"/>
      <c r="AA130" t="str">
        <f>IF(Q125&lt;3,"//",X130)</f>
        <v>Delay 5000</v>
      </c>
    </row>
    <row r="131" spans="11:27">
      <c r="K131" s="133">
        <v>22</v>
      </c>
      <c r="L131" s="134">
        <v>382</v>
      </c>
      <c r="M131" s="134">
        <v>14</v>
      </c>
      <c r="O131" s="142">
        <f>$K$131</f>
        <v>22</v>
      </c>
      <c r="P131" s="130" t="s">
        <v>2963</v>
      </c>
      <c r="Q131" s="724">
        <f>L131</f>
        <v>382</v>
      </c>
      <c r="R131" s="131"/>
      <c r="S131" s="138" t="str">
        <f t="shared" ref="S131:S194" si="4">P131&amp;""&amp;Q131&amp;""&amp;R131</f>
        <v>KeyPress "Tab", 382</v>
      </c>
      <c r="T131" s="131"/>
      <c r="U131" s="138" t="str">
        <f t="shared" ref="U131:U194" si="5">S131</f>
        <v>KeyPress "Tab", 382</v>
      </c>
      <c r="V131" s="131"/>
      <c r="W131">
        <v>22</v>
      </c>
      <c r="X131" s="714" t="str">
        <f>IF(Q131&lt;3,"//",U131)</f>
        <v>KeyPress "Tab", 382</v>
      </c>
      <c r="Y131" s="715"/>
      <c r="AA131" t="str">
        <f>IF(Q131&lt;3,"//",X131)</f>
        <v>KeyPress "Tab", 382</v>
      </c>
    </row>
    <row r="132" spans="11:27">
      <c r="K132" s="133"/>
      <c r="L132" s="134"/>
      <c r="M132" s="134"/>
      <c r="O132" s="144"/>
      <c r="P132" s="130" t="str">
        <f>$J$4</f>
        <v>Delay 600</v>
      </c>
      <c r="Q132" s="730"/>
      <c r="R132" s="131"/>
      <c r="S132" s="138" t="str">
        <f t="shared" si="4"/>
        <v>Delay 600</v>
      </c>
      <c r="T132" s="131"/>
      <c r="U132" s="138" t="str">
        <f t="shared" si="5"/>
        <v>Delay 600</v>
      </c>
      <c r="V132" s="131"/>
      <c r="X132" s="714" t="str">
        <f>IF(Q131&lt;3,"//",U132)</f>
        <v>Delay 600</v>
      </c>
      <c r="Y132" s="715"/>
      <c r="AA132" t="str">
        <f>IF(Q131&lt;3,"//",X132)</f>
        <v>Delay 600</v>
      </c>
    </row>
    <row r="133" spans="11:27">
      <c r="K133" s="133"/>
      <c r="L133" s="134"/>
      <c r="M133" s="134"/>
      <c r="O133" s="144"/>
      <c r="P133" s="130" t="s">
        <v>2964</v>
      </c>
      <c r="Q133" s="724">
        <f>M131</f>
        <v>14</v>
      </c>
      <c r="R133" s="131" t="s">
        <v>2965</v>
      </c>
      <c r="S133" s="138" t="str">
        <f t="shared" si="4"/>
        <v>SayString "14"</v>
      </c>
      <c r="T133" s="131"/>
      <c r="U133" s="138" t="str">
        <f t="shared" si="5"/>
        <v>SayString "14"</v>
      </c>
      <c r="V133" s="131"/>
      <c r="X133" s="714" t="str">
        <f>IF(Q131&lt;3,"//",U133)</f>
        <v>SayString "14"</v>
      </c>
      <c r="Y133" s="715"/>
      <c r="AA133" t="str">
        <f>IF(Q131&lt;3,"//",X133)</f>
        <v>SayString "14"</v>
      </c>
    </row>
    <row r="134" spans="11:27">
      <c r="K134" s="133"/>
      <c r="L134" s="134"/>
      <c r="M134" s="134"/>
      <c r="O134" s="144"/>
      <c r="P134" s="130" t="str">
        <f>$J$4</f>
        <v>Delay 600</v>
      </c>
      <c r="Q134" s="730"/>
      <c r="R134" s="131"/>
      <c r="S134" s="138" t="str">
        <f t="shared" si="4"/>
        <v>Delay 600</v>
      </c>
      <c r="T134" s="131"/>
      <c r="U134" s="138" t="str">
        <f t="shared" si="5"/>
        <v>Delay 600</v>
      </c>
      <c r="V134" s="131"/>
      <c r="X134" s="714" t="str">
        <f>IF(Q131&lt;3,"//",U134)</f>
        <v>Delay 600</v>
      </c>
      <c r="Y134" s="715"/>
      <c r="AA134" t="str">
        <f>IF(Q131&lt;3,"//",X134)</f>
        <v>Delay 600</v>
      </c>
    </row>
    <row r="135" spans="11:27">
      <c r="K135" s="133"/>
      <c r="L135" s="134"/>
      <c r="M135" s="134"/>
      <c r="O135" s="144"/>
      <c r="P135" s="130" t="s">
        <v>4068</v>
      </c>
      <c r="Q135" s="730"/>
      <c r="R135" s="131"/>
      <c r="S135" s="138" t="str">
        <f t="shared" si="4"/>
        <v>KeyPress "Enter", 1</v>
      </c>
      <c r="T135" s="131"/>
      <c r="U135" s="138" t="str">
        <f t="shared" si="5"/>
        <v>KeyPress "Enter", 1</v>
      </c>
      <c r="V135" s="131"/>
      <c r="X135" s="714" t="str">
        <f>IF(Q131&lt;3,"//",U135)</f>
        <v>KeyPress "Enter", 1</v>
      </c>
      <c r="Y135" s="715"/>
      <c r="AA135" t="str">
        <f>IF(Q131&lt;3,"//",X135)</f>
        <v>KeyPress "Enter", 1</v>
      </c>
    </row>
    <row r="136" spans="11:27" ht="17.25" thickBot="1">
      <c r="K136" s="133"/>
      <c r="L136" s="134"/>
      <c r="M136" s="134"/>
      <c r="O136" s="143"/>
      <c r="P136" s="130" t="str">
        <f>$J$5</f>
        <v>Delay 5000</v>
      </c>
      <c r="Q136" s="730"/>
      <c r="R136" s="131"/>
      <c r="S136" s="138" t="str">
        <f t="shared" si="4"/>
        <v>Delay 5000</v>
      </c>
      <c r="T136" s="131"/>
      <c r="U136" s="138" t="str">
        <f t="shared" si="5"/>
        <v>Delay 5000</v>
      </c>
      <c r="V136" s="131"/>
      <c r="X136" s="714" t="str">
        <f>IF(Q131&lt;3,"//",U136)</f>
        <v>Delay 5000</v>
      </c>
      <c r="Y136" s="715"/>
      <c r="AA136" t="str">
        <f>IF(Q131&lt;3,"//",X136)</f>
        <v>Delay 5000</v>
      </c>
    </row>
    <row r="137" spans="11:27">
      <c r="K137" s="133">
        <v>23</v>
      </c>
      <c r="L137" s="134">
        <v>390</v>
      </c>
      <c r="M137" s="134">
        <v>44</v>
      </c>
      <c r="O137" s="142">
        <f>$K$137</f>
        <v>23</v>
      </c>
      <c r="P137" s="130" t="s">
        <v>2963</v>
      </c>
      <c r="Q137" s="724">
        <f>L137</f>
        <v>390</v>
      </c>
      <c r="R137" s="131"/>
      <c r="S137" s="138" t="str">
        <f t="shared" si="4"/>
        <v>KeyPress "Tab", 390</v>
      </c>
      <c r="T137" s="131"/>
      <c r="U137" s="138" t="str">
        <f t="shared" si="5"/>
        <v>KeyPress "Tab", 390</v>
      </c>
      <c r="V137" s="131"/>
      <c r="W137">
        <v>23</v>
      </c>
      <c r="X137" s="714" t="str">
        <f>IF(Q137&lt;3,"//",U137)</f>
        <v>KeyPress "Tab", 390</v>
      </c>
      <c r="Y137" s="715"/>
      <c r="AA137" t="str">
        <f>IF(Q137&lt;3,"//",X137)</f>
        <v>KeyPress "Tab", 390</v>
      </c>
    </row>
    <row r="138" spans="11:27">
      <c r="K138" s="133"/>
      <c r="L138" s="134"/>
      <c r="M138" s="134"/>
      <c r="O138" s="144"/>
      <c r="P138" s="130" t="str">
        <f>$J$4</f>
        <v>Delay 600</v>
      </c>
      <c r="Q138" s="730"/>
      <c r="R138" s="131"/>
      <c r="S138" s="138" t="str">
        <f t="shared" si="4"/>
        <v>Delay 600</v>
      </c>
      <c r="T138" s="131"/>
      <c r="U138" s="138" t="str">
        <f t="shared" si="5"/>
        <v>Delay 600</v>
      </c>
      <c r="V138" s="131"/>
      <c r="X138" s="714" t="str">
        <f>IF(Q137&lt;3,"//",U138)</f>
        <v>Delay 600</v>
      </c>
      <c r="Y138" s="715"/>
      <c r="AA138" t="str">
        <f>IF(Q137&lt;3,"//",X138)</f>
        <v>Delay 600</v>
      </c>
    </row>
    <row r="139" spans="11:27">
      <c r="K139" s="133"/>
      <c r="L139" s="134"/>
      <c r="M139" s="134"/>
      <c r="O139" s="144"/>
      <c r="P139" s="130" t="s">
        <v>2964</v>
      </c>
      <c r="Q139" s="724">
        <f>M137</f>
        <v>44</v>
      </c>
      <c r="R139" s="131" t="s">
        <v>2965</v>
      </c>
      <c r="S139" s="138" t="str">
        <f t="shared" si="4"/>
        <v>SayString "44"</v>
      </c>
      <c r="T139" s="131"/>
      <c r="U139" s="138" t="str">
        <f t="shared" si="5"/>
        <v>SayString "44"</v>
      </c>
      <c r="V139" s="131"/>
      <c r="X139" s="714" t="str">
        <f>IF(Q137&lt;3,"//",U139)</f>
        <v>SayString "44"</v>
      </c>
      <c r="Y139" s="715"/>
      <c r="AA139" t="str">
        <f>IF(Q137&lt;3,"//",X139)</f>
        <v>SayString "44"</v>
      </c>
    </row>
    <row r="140" spans="11:27">
      <c r="K140" s="133"/>
      <c r="L140" s="134"/>
      <c r="M140" s="134"/>
      <c r="O140" s="144"/>
      <c r="P140" s="130" t="str">
        <f>$J$4</f>
        <v>Delay 600</v>
      </c>
      <c r="Q140" s="730"/>
      <c r="R140" s="131"/>
      <c r="S140" s="138" t="str">
        <f t="shared" si="4"/>
        <v>Delay 600</v>
      </c>
      <c r="T140" s="131"/>
      <c r="U140" s="138" t="str">
        <f t="shared" si="5"/>
        <v>Delay 600</v>
      </c>
      <c r="V140" s="131"/>
      <c r="X140" s="714" t="str">
        <f>IF(Q137&lt;3,"//",U140)</f>
        <v>Delay 600</v>
      </c>
      <c r="Y140" s="715"/>
      <c r="AA140" t="str">
        <f>IF(Q137&lt;3,"//",X140)</f>
        <v>Delay 600</v>
      </c>
    </row>
    <row r="141" spans="11:27">
      <c r="K141" s="133"/>
      <c r="L141" s="134"/>
      <c r="M141" s="134"/>
      <c r="O141" s="144"/>
      <c r="P141" s="130" t="s">
        <v>4068</v>
      </c>
      <c r="Q141" s="730"/>
      <c r="R141" s="131"/>
      <c r="S141" s="138" t="str">
        <f t="shared" si="4"/>
        <v>KeyPress "Enter", 1</v>
      </c>
      <c r="T141" s="131"/>
      <c r="U141" s="138" t="str">
        <f t="shared" si="5"/>
        <v>KeyPress "Enter", 1</v>
      </c>
      <c r="V141" s="131"/>
      <c r="X141" s="714" t="str">
        <f>IF(Q137&lt;3,"//",U141)</f>
        <v>KeyPress "Enter", 1</v>
      </c>
      <c r="Y141" s="715"/>
      <c r="AA141" t="str">
        <f>IF(Q137&lt;3,"//",X141)</f>
        <v>KeyPress "Enter", 1</v>
      </c>
    </row>
    <row r="142" spans="11:27" ht="17.25" thickBot="1">
      <c r="K142" s="133"/>
      <c r="L142" s="134"/>
      <c r="M142" s="134"/>
      <c r="O142" s="143"/>
      <c r="P142" s="130" t="str">
        <f>$J$5</f>
        <v>Delay 5000</v>
      </c>
      <c r="Q142" s="730"/>
      <c r="R142" s="131"/>
      <c r="S142" s="138" t="str">
        <f t="shared" si="4"/>
        <v>Delay 5000</v>
      </c>
      <c r="T142" s="131"/>
      <c r="U142" s="138" t="str">
        <f t="shared" si="5"/>
        <v>Delay 5000</v>
      </c>
      <c r="V142" s="131"/>
      <c r="X142" s="714" t="str">
        <f>IF(Q137&lt;3,"//",U142)</f>
        <v>Delay 5000</v>
      </c>
      <c r="Y142" s="715"/>
      <c r="AA142" t="str">
        <f>IF(Q137&lt;3,"//",X142)</f>
        <v>Delay 5000</v>
      </c>
    </row>
    <row r="143" spans="11:27">
      <c r="K143" s="133">
        <v>24</v>
      </c>
      <c r="L143" s="134">
        <v>394</v>
      </c>
      <c r="M143" s="134">
        <v>16</v>
      </c>
      <c r="O143" s="142">
        <f>$K$143</f>
        <v>24</v>
      </c>
      <c r="P143" s="130" t="s">
        <v>2963</v>
      </c>
      <c r="Q143" s="724">
        <f>L143</f>
        <v>394</v>
      </c>
      <c r="R143" s="131"/>
      <c r="S143" s="138" t="str">
        <f t="shared" si="4"/>
        <v>KeyPress "Tab", 394</v>
      </c>
      <c r="T143" s="131"/>
      <c r="U143" s="138" t="str">
        <f t="shared" si="5"/>
        <v>KeyPress "Tab", 394</v>
      </c>
      <c r="V143" s="131"/>
      <c r="W143">
        <v>24</v>
      </c>
      <c r="X143" s="714" t="str">
        <f>IF(Q143&lt;3,"//",U143)</f>
        <v>KeyPress "Tab", 394</v>
      </c>
      <c r="Y143" s="715"/>
      <c r="AA143" t="str">
        <f>IF(Q143&lt;3,"//",X143)</f>
        <v>KeyPress "Tab", 394</v>
      </c>
    </row>
    <row r="144" spans="11:27">
      <c r="K144" s="133"/>
      <c r="L144" s="134"/>
      <c r="M144" s="134"/>
      <c r="O144" s="144"/>
      <c r="P144" s="130" t="str">
        <f>$J$4</f>
        <v>Delay 600</v>
      </c>
      <c r="Q144" s="730"/>
      <c r="R144" s="131"/>
      <c r="S144" s="138" t="str">
        <f t="shared" si="4"/>
        <v>Delay 600</v>
      </c>
      <c r="T144" s="131"/>
      <c r="U144" s="138" t="str">
        <f t="shared" si="5"/>
        <v>Delay 600</v>
      </c>
      <c r="V144" s="131"/>
      <c r="X144" s="714" t="str">
        <f>IF(Q143&lt;3,"//",U144)</f>
        <v>Delay 600</v>
      </c>
      <c r="Y144" s="715"/>
      <c r="AA144" t="str">
        <f>IF(Q143&lt;3,"//",X144)</f>
        <v>Delay 600</v>
      </c>
    </row>
    <row r="145" spans="11:27">
      <c r="K145" s="133"/>
      <c r="L145" s="134"/>
      <c r="M145" s="134"/>
      <c r="O145" s="144"/>
      <c r="P145" s="130" t="s">
        <v>2964</v>
      </c>
      <c r="Q145" s="724">
        <f>M143</f>
        <v>16</v>
      </c>
      <c r="R145" s="131" t="s">
        <v>2965</v>
      </c>
      <c r="S145" s="138" t="str">
        <f t="shared" si="4"/>
        <v>SayString "16"</v>
      </c>
      <c r="T145" s="131"/>
      <c r="U145" s="138" t="str">
        <f t="shared" si="5"/>
        <v>SayString "16"</v>
      </c>
      <c r="V145" s="131"/>
      <c r="X145" s="714" t="str">
        <f>IF(Q143&lt;3,"//",U145)</f>
        <v>SayString "16"</v>
      </c>
      <c r="Y145" s="715"/>
      <c r="AA145" t="str">
        <f>IF(Q143&lt;3,"//",X145)</f>
        <v>SayString "16"</v>
      </c>
    </row>
    <row r="146" spans="11:27">
      <c r="K146" s="133"/>
      <c r="L146" s="134"/>
      <c r="M146" s="134"/>
      <c r="O146" s="144"/>
      <c r="P146" s="130" t="str">
        <f>$J$4</f>
        <v>Delay 600</v>
      </c>
      <c r="Q146" s="730"/>
      <c r="R146" s="131"/>
      <c r="S146" s="138" t="str">
        <f t="shared" si="4"/>
        <v>Delay 600</v>
      </c>
      <c r="T146" s="131"/>
      <c r="U146" s="138" t="str">
        <f t="shared" si="5"/>
        <v>Delay 600</v>
      </c>
      <c r="V146" s="131"/>
      <c r="X146" s="714" t="str">
        <f>IF(Q143&lt;3,"//",U146)</f>
        <v>Delay 600</v>
      </c>
      <c r="Y146" s="715"/>
      <c r="AA146" t="str">
        <f>IF(Q143&lt;3,"//",X146)</f>
        <v>Delay 600</v>
      </c>
    </row>
    <row r="147" spans="11:27">
      <c r="K147" s="133"/>
      <c r="L147" s="134"/>
      <c r="M147" s="134"/>
      <c r="O147" s="144"/>
      <c r="P147" s="130" t="s">
        <v>4068</v>
      </c>
      <c r="Q147" s="730"/>
      <c r="R147" s="131"/>
      <c r="S147" s="138" t="str">
        <f t="shared" si="4"/>
        <v>KeyPress "Enter", 1</v>
      </c>
      <c r="T147" s="131"/>
      <c r="U147" s="138" t="str">
        <f t="shared" si="5"/>
        <v>KeyPress "Enter", 1</v>
      </c>
      <c r="V147" s="131"/>
      <c r="X147" s="714" t="str">
        <f>IF(Q143&lt;3,"//",U147)</f>
        <v>KeyPress "Enter", 1</v>
      </c>
      <c r="Y147" s="715"/>
      <c r="AA147" t="str">
        <f>IF(Q143&lt;3,"//",X147)</f>
        <v>KeyPress "Enter", 1</v>
      </c>
    </row>
    <row r="148" spans="11:27" ht="17.25" thickBot="1">
      <c r="K148" s="133"/>
      <c r="L148" s="134"/>
      <c r="M148" s="134"/>
      <c r="O148" s="143"/>
      <c r="P148" s="130" t="str">
        <f>$J$5</f>
        <v>Delay 5000</v>
      </c>
      <c r="Q148" s="730"/>
      <c r="R148" s="131"/>
      <c r="S148" s="138" t="str">
        <f t="shared" si="4"/>
        <v>Delay 5000</v>
      </c>
      <c r="T148" s="131"/>
      <c r="U148" s="138" t="str">
        <f t="shared" si="5"/>
        <v>Delay 5000</v>
      </c>
      <c r="V148" s="131"/>
      <c r="X148" s="714" t="str">
        <f>IF(Q143&lt;3,"//",U148)</f>
        <v>Delay 5000</v>
      </c>
      <c r="Y148" s="715"/>
      <c r="AA148" t="str">
        <f>IF(Q143&lt;3,"//",X148)</f>
        <v>Delay 5000</v>
      </c>
    </row>
    <row r="149" spans="11:27">
      <c r="K149" s="133">
        <v>25</v>
      </c>
      <c r="L149" s="134">
        <v>409</v>
      </c>
      <c r="M149" s="134">
        <v>3.5</v>
      </c>
      <c r="O149" s="142">
        <f>$K$149</f>
        <v>25</v>
      </c>
      <c r="P149" s="130" t="s">
        <v>2963</v>
      </c>
      <c r="Q149" s="724">
        <f>L149</f>
        <v>409</v>
      </c>
      <c r="R149" s="131"/>
      <c r="S149" s="138" t="str">
        <f t="shared" si="4"/>
        <v>KeyPress "Tab", 409</v>
      </c>
      <c r="T149" s="131"/>
      <c r="U149" s="138" t="str">
        <f t="shared" si="5"/>
        <v>KeyPress "Tab", 409</v>
      </c>
      <c r="V149" s="131"/>
      <c r="W149">
        <v>25</v>
      </c>
      <c r="X149" s="714" t="str">
        <f>IF(Q149&lt;3,"//",U149)</f>
        <v>KeyPress "Tab", 409</v>
      </c>
      <c r="Y149" s="715"/>
      <c r="AA149" t="str">
        <f>IF(Q149&lt;3,"//",X149)</f>
        <v>KeyPress "Tab", 409</v>
      </c>
    </row>
    <row r="150" spans="11:27">
      <c r="K150" s="133"/>
      <c r="L150" s="134"/>
      <c r="M150" s="134"/>
      <c r="O150" s="144"/>
      <c r="P150" s="130" t="str">
        <f>$J$4</f>
        <v>Delay 600</v>
      </c>
      <c r="Q150" s="730"/>
      <c r="R150" s="131"/>
      <c r="S150" s="138" t="str">
        <f t="shared" si="4"/>
        <v>Delay 600</v>
      </c>
      <c r="T150" s="131"/>
      <c r="U150" s="138" t="str">
        <f t="shared" si="5"/>
        <v>Delay 600</v>
      </c>
      <c r="V150" s="131"/>
      <c r="X150" s="714" t="str">
        <f>IF(Q149&lt;3,"//",U150)</f>
        <v>Delay 600</v>
      </c>
      <c r="Y150" s="715"/>
      <c r="AA150" t="str">
        <f>IF(Q149&lt;3,"//",X150)</f>
        <v>Delay 600</v>
      </c>
    </row>
    <row r="151" spans="11:27">
      <c r="K151" s="133"/>
      <c r="L151" s="134"/>
      <c r="M151" s="134"/>
      <c r="O151" s="144"/>
      <c r="P151" s="130" t="s">
        <v>2964</v>
      </c>
      <c r="Q151" s="724">
        <f>M149</f>
        <v>3.5</v>
      </c>
      <c r="R151" s="131" t="s">
        <v>2965</v>
      </c>
      <c r="S151" s="138" t="str">
        <f t="shared" si="4"/>
        <v>SayString "3.5"</v>
      </c>
      <c r="T151" s="131"/>
      <c r="U151" s="138" t="str">
        <f t="shared" si="5"/>
        <v>SayString "3.5"</v>
      </c>
      <c r="V151" s="131"/>
      <c r="X151" s="714" t="str">
        <f>IF(Q149&lt;3,"//",U151)</f>
        <v>SayString "3.5"</v>
      </c>
      <c r="Y151" s="715"/>
      <c r="AA151" t="str">
        <f>IF(Q149&lt;3,"//",X151)</f>
        <v>SayString "3.5"</v>
      </c>
    </row>
    <row r="152" spans="11:27">
      <c r="K152" s="133"/>
      <c r="L152" s="134"/>
      <c r="M152" s="134"/>
      <c r="O152" s="144"/>
      <c r="P152" s="130" t="str">
        <f>$J$4</f>
        <v>Delay 600</v>
      </c>
      <c r="Q152" s="730"/>
      <c r="R152" s="131"/>
      <c r="S152" s="138" t="str">
        <f t="shared" si="4"/>
        <v>Delay 600</v>
      </c>
      <c r="T152" s="131"/>
      <c r="U152" s="138" t="str">
        <f t="shared" si="5"/>
        <v>Delay 600</v>
      </c>
      <c r="V152" s="131"/>
      <c r="X152" s="714" t="str">
        <f>IF(Q149&lt;3,"//",U152)</f>
        <v>Delay 600</v>
      </c>
      <c r="Y152" s="715"/>
      <c r="AA152" t="str">
        <f>IF(Q149&lt;3,"//",X152)</f>
        <v>Delay 600</v>
      </c>
    </row>
    <row r="153" spans="11:27">
      <c r="K153" s="133"/>
      <c r="L153" s="134"/>
      <c r="M153" s="134"/>
      <c r="O153" s="144"/>
      <c r="P153" s="130" t="s">
        <v>4068</v>
      </c>
      <c r="Q153" s="730"/>
      <c r="R153" s="131"/>
      <c r="S153" s="138" t="str">
        <f t="shared" si="4"/>
        <v>KeyPress "Enter", 1</v>
      </c>
      <c r="T153" s="131"/>
      <c r="U153" s="138" t="str">
        <f t="shared" si="5"/>
        <v>KeyPress "Enter", 1</v>
      </c>
      <c r="V153" s="131"/>
      <c r="X153" s="714" t="str">
        <f>IF(Q149&lt;3,"//",U153)</f>
        <v>KeyPress "Enter", 1</v>
      </c>
      <c r="Y153" s="715"/>
      <c r="AA153" t="str">
        <f>IF(Q149&lt;3,"//",X153)</f>
        <v>KeyPress "Enter", 1</v>
      </c>
    </row>
    <row r="154" spans="11:27" ht="17.25" thickBot="1">
      <c r="K154" s="133"/>
      <c r="L154" s="134"/>
      <c r="M154" s="134"/>
      <c r="O154" s="143"/>
      <c r="P154" s="130" t="str">
        <f>$J$5</f>
        <v>Delay 5000</v>
      </c>
      <c r="Q154" s="730"/>
      <c r="R154" s="131"/>
      <c r="S154" s="138" t="str">
        <f t="shared" si="4"/>
        <v>Delay 5000</v>
      </c>
      <c r="T154" s="131"/>
      <c r="U154" s="138" t="str">
        <f t="shared" si="5"/>
        <v>Delay 5000</v>
      </c>
      <c r="V154" s="131"/>
      <c r="X154" s="714" t="str">
        <f>IF(Q149&lt;3,"//",U154)</f>
        <v>Delay 5000</v>
      </c>
      <c r="Y154" s="715"/>
      <c r="AA154" t="str">
        <f>IF(Q149&lt;3,"//",X154)</f>
        <v>Delay 5000</v>
      </c>
    </row>
    <row r="155" spans="11:27">
      <c r="K155" s="133">
        <v>26</v>
      </c>
      <c r="L155" s="134">
        <v>2</v>
      </c>
      <c r="M155" s="134">
        <v>0</v>
      </c>
      <c r="O155" s="142">
        <v>26</v>
      </c>
      <c r="P155" s="130" t="s">
        <v>2963</v>
      </c>
      <c r="Q155" s="724">
        <f>L155</f>
        <v>2</v>
      </c>
      <c r="R155" s="131"/>
      <c r="S155" s="138" t="str">
        <f t="shared" si="4"/>
        <v>KeyPress "Tab", 2</v>
      </c>
      <c r="T155" s="131"/>
      <c r="U155" s="138" t="str">
        <f t="shared" si="5"/>
        <v>KeyPress "Tab", 2</v>
      </c>
      <c r="V155" s="131"/>
      <c r="W155">
        <v>26</v>
      </c>
      <c r="X155" s="714" t="str">
        <f>IF(Q155&lt;3,"//",U155)</f>
        <v>//</v>
      </c>
      <c r="Y155" s="715"/>
      <c r="AA155" t="str">
        <f>IF(Q155&lt;3,"//",X155)</f>
        <v>//</v>
      </c>
    </row>
    <row r="156" spans="11:27">
      <c r="K156" s="133"/>
      <c r="L156" s="134"/>
      <c r="M156" s="134"/>
      <c r="O156" s="144"/>
      <c r="P156" s="130" t="str">
        <f>$J$4</f>
        <v>Delay 600</v>
      </c>
      <c r="Q156" s="730"/>
      <c r="R156" s="131"/>
      <c r="S156" s="138" t="str">
        <f t="shared" si="4"/>
        <v>Delay 600</v>
      </c>
      <c r="T156" s="131"/>
      <c r="U156" s="138" t="str">
        <f t="shared" si="5"/>
        <v>Delay 600</v>
      </c>
      <c r="V156" s="131"/>
      <c r="X156" s="714" t="str">
        <f>IF(Q155&lt;3,"//",U156)</f>
        <v>//</v>
      </c>
      <c r="Y156" s="715"/>
      <c r="AA156" t="str">
        <f>IF(Q155&lt;3,"//",X156)</f>
        <v>//</v>
      </c>
    </row>
    <row r="157" spans="11:27">
      <c r="K157" s="133"/>
      <c r="L157" s="134"/>
      <c r="M157" s="134"/>
      <c r="O157" s="144"/>
      <c r="P157" s="130" t="s">
        <v>2964</v>
      </c>
      <c r="Q157" s="724">
        <f>M155</f>
        <v>0</v>
      </c>
      <c r="R157" s="131" t="s">
        <v>2965</v>
      </c>
      <c r="S157" s="138" t="str">
        <f t="shared" si="4"/>
        <v>SayString "0"</v>
      </c>
      <c r="T157" s="131"/>
      <c r="U157" s="138" t="str">
        <f t="shared" si="5"/>
        <v>SayString "0"</v>
      </c>
      <c r="V157" s="131"/>
      <c r="X157" s="714" t="str">
        <f>IF(Q155&lt;3,"//",U157)</f>
        <v>//</v>
      </c>
      <c r="Y157" s="715"/>
      <c r="AA157" t="str">
        <f>IF(Q155&lt;3,"//",X157)</f>
        <v>//</v>
      </c>
    </row>
    <row r="158" spans="11:27">
      <c r="K158" s="133"/>
      <c r="L158" s="134"/>
      <c r="M158" s="134"/>
      <c r="O158" s="144"/>
      <c r="P158" s="130" t="str">
        <f>$J$4</f>
        <v>Delay 600</v>
      </c>
      <c r="Q158" s="730"/>
      <c r="R158" s="131"/>
      <c r="S158" s="138" t="str">
        <f t="shared" si="4"/>
        <v>Delay 600</v>
      </c>
      <c r="T158" s="131"/>
      <c r="U158" s="138" t="str">
        <f t="shared" si="5"/>
        <v>Delay 600</v>
      </c>
      <c r="V158" s="131"/>
      <c r="X158" s="714" t="str">
        <f>IF(Q155&lt;3,"//",U158)</f>
        <v>//</v>
      </c>
      <c r="Y158" s="715"/>
      <c r="AA158" t="str">
        <f>IF(Q155&lt;3,"//",X158)</f>
        <v>//</v>
      </c>
    </row>
    <row r="159" spans="11:27">
      <c r="K159" s="133"/>
      <c r="L159" s="134"/>
      <c r="M159" s="134"/>
      <c r="O159" s="144"/>
      <c r="P159" s="130" t="s">
        <v>4068</v>
      </c>
      <c r="Q159" s="730"/>
      <c r="R159" s="131"/>
      <c r="S159" s="138" t="str">
        <f t="shared" si="4"/>
        <v>KeyPress "Enter", 1</v>
      </c>
      <c r="T159" s="131"/>
      <c r="U159" s="138" t="str">
        <f t="shared" si="5"/>
        <v>KeyPress "Enter", 1</v>
      </c>
      <c r="V159" s="131"/>
      <c r="X159" s="714" t="str">
        <f>IF(Q155&lt;3,"//",U159)</f>
        <v>//</v>
      </c>
      <c r="Y159" s="715"/>
      <c r="AA159" t="str">
        <f>IF(Q155&lt;3,"//",X159)</f>
        <v>//</v>
      </c>
    </row>
    <row r="160" spans="11:27" ht="17.25" thickBot="1">
      <c r="K160" s="133"/>
      <c r="L160" s="134"/>
      <c r="M160" s="134"/>
      <c r="O160" s="143"/>
      <c r="P160" s="130" t="str">
        <f>$J$5</f>
        <v>Delay 5000</v>
      </c>
      <c r="Q160" s="730"/>
      <c r="R160" s="131"/>
      <c r="S160" s="138" t="str">
        <f t="shared" si="4"/>
        <v>Delay 5000</v>
      </c>
      <c r="T160" s="131"/>
      <c r="U160" s="138" t="str">
        <f t="shared" si="5"/>
        <v>Delay 5000</v>
      </c>
      <c r="V160" s="131"/>
      <c r="X160" s="714" t="str">
        <f>IF(Q155&lt;3,"//",U160)</f>
        <v>//</v>
      </c>
      <c r="Y160" s="715"/>
      <c r="AA160" t="str">
        <f>IF(Q155&lt;3,"//",X160)</f>
        <v>//</v>
      </c>
    </row>
    <row r="161" spans="11:27">
      <c r="K161" s="133">
        <v>27</v>
      </c>
      <c r="L161" s="134">
        <v>2</v>
      </c>
      <c r="M161" s="134">
        <v>0</v>
      </c>
      <c r="O161" s="142">
        <v>27</v>
      </c>
      <c r="P161" s="130" t="s">
        <v>2963</v>
      </c>
      <c r="Q161" s="724">
        <f>L161</f>
        <v>2</v>
      </c>
      <c r="R161" s="131"/>
      <c r="S161" s="138" t="str">
        <f t="shared" si="4"/>
        <v>KeyPress "Tab", 2</v>
      </c>
      <c r="T161" s="131"/>
      <c r="U161" s="138" t="str">
        <f t="shared" si="5"/>
        <v>KeyPress "Tab", 2</v>
      </c>
      <c r="V161" s="131"/>
      <c r="W161">
        <v>27</v>
      </c>
      <c r="X161" s="714" t="str">
        <f>IF(Q161&lt;3,"//",U161)</f>
        <v>//</v>
      </c>
      <c r="Y161" s="715"/>
      <c r="AA161" t="str">
        <f>IF(Q161&lt;3,"//",X161)</f>
        <v>//</v>
      </c>
    </row>
    <row r="162" spans="11:27">
      <c r="K162" s="133"/>
      <c r="L162" s="134"/>
      <c r="M162" s="134"/>
      <c r="O162" s="144"/>
      <c r="P162" s="130" t="str">
        <f>$J$4</f>
        <v>Delay 600</v>
      </c>
      <c r="Q162" s="730"/>
      <c r="R162" s="131"/>
      <c r="S162" s="138" t="str">
        <f t="shared" si="4"/>
        <v>Delay 600</v>
      </c>
      <c r="T162" s="131"/>
      <c r="U162" s="138" t="str">
        <f t="shared" si="5"/>
        <v>Delay 600</v>
      </c>
      <c r="V162" s="131"/>
      <c r="X162" s="714" t="str">
        <f>IF(Q161&lt;3,"//",U162)</f>
        <v>//</v>
      </c>
      <c r="Y162" s="715"/>
      <c r="AA162" t="str">
        <f>IF(Q161&lt;3,"//",X162)</f>
        <v>//</v>
      </c>
    </row>
    <row r="163" spans="11:27">
      <c r="K163" s="133"/>
      <c r="L163" s="134"/>
      <c r="M163" s="134"/>
      <c r="O163" s="144"/>
      <c r="P163" s="130" t="s">
        <v>2964</v>
      </c>
      <c r="Q163" s="724">
        <f>M161</f>
        <v>0</v>
      </c>
      <c r="R163" s="131" t="s">
        <v>2965</v>
      </c>
      <c r="S163" s="138" t="str">
        <f t="shared" si="4"/>
        <v>SayString "0"</v>
      </c>
      <c r="T163" s="131"/>
      <c r="U163" s="138" t="str">
        <f t="shared" si="5"/>
        <v>SayString "0"</v>
      </c>
      <c r="V163" s="131"/>
      <c r="X163" s="714" t="str">
        <f>IF(Q161&lt;3,"//",U163)</f>
        <v>//</v>
      </c>
      <c r="Y163" s="715"/>
      <c r="AA163" t="str">
        <f>IF(Q161&lt;3,"//",X163)</f>
        <v>//</v>
      </c>
    </row>
    <row r="164" spans="11:27">
      <c r="K164" s="133"/>
      <c r="L164" s="134"/>
      <c r="M164" s="134"/>
      <c r="O164" s="144"/>
      <c r="P164" s="130" t="str">
        <f>$J$4</f>
        <v>Delay 600</v>
      </c>
      <c r="Q164" s="730"/>
      <c r="R164" s="131"/>
      <c r="S164" s="138" t="str">
        <f t="shared" si="4"/>
        <v>Delay 600</v>
      </c>
      <c r="T164" s="131"/>
      <c r="U164" s="138" t="str">
        <f t="shared" si="5"/>
        <v>Delay 600</v>
      </c>
      <c r="V164" s="131"/>
      <c r="X164" s="714" t="str">
        <f>IF(Q161&lt;3,"//",U164)</f>
        <v>//</v>
      </c>
      <c r="Y164" s="715"/>
      <c r="AA164" t="str">
        <f>IF(Q161&lt;3,"//",X164)</f>
        <v>//</v>
      </c>
    </row>
    <row r="165" spans="11:27">
      <c r="K165" s="133"/>
      <c r="L165" s="134"/>
      <c r="M165" s="134"/>
      <c r="O165" s="144"/>
      <c r="P165" s="130" t="s">
        <v>4068</v>
      </c>
      <c r="Q165" s="730"/>
      <c r="R165" s="131"/>
      <c r="S165" s="138" t="str">
        <f t="shared" si="4"/>
        <v>KeyPress "Enter", 1</v>
      </c>
      <c r="T165" s="131"/>
      <c r="U165" s="138" t="str">
        <f t="shared" si="5"/>
        <v>KeyPress "Enter", 1</v>
      </c>
      <c r="V165" s="131"/>
      <c r="X165" s="714" t="str">
        <f>IF(Q161&lt;3,"//",U165)</f>
        <v>//</v>
      </c>
      <c r="Y165" s="715"/>
      <c r="AA165" t="str">
        <f>IF(Q161&lt;3,"//",X165)</f>
        <v>//</v>
      </c>
    </row>
    <row r="166" spans="11:27" ht="17.25" thickBot="1">
      <c r="K166" s="133"/>
      <c r="L166" s="134"/>
      <c r="M166" s="134"/>
      <c r="O166" s="143"/>
      <c r="P166" s="130" t="str">
        <f>$J$5</f>
        <v>Delay 5000</v>
      </c>
      <c r="Q166" s="730"/>
      <c r="R166" s="131"/>
      <c r="S166" s="138" t="str">
        <f t="shared" si="4"/>
        <v>Delay 5000</v>
      </c>
      <c r="T166" s="131"/>
      <c r="U166" s="138" t="str">
        <f t="shared" si="5"/>
        <v>Delay 5000</v>
      </c>
      <c r="V166" s="131"/>
      <c r="X166" s="714" t="str">
        <f>IF(Q161&lt;3,"//",U166)</f>
        <v>//</v>
      </c>
      <c r="Y166" s="715"/>
      <c r="AA166" t="str">
        <f>IF(Q161&lt;3,"//",X166)</f>
        <v>//</v>
      </c>
    </row>
    <row r="167" spans="11:27">
      <c r="K167" s="133">
        <v>28</v>
      </c>
      <c r="L167" s="134">
        <v>2</v>
      </c>
      <c r="M167" s="134">
        <v>0</v>
      </c>
      <c r="O167" s="142">
        <v>28</v>
      </c>
      <c r="P167" s="130" t="s">
        <v>2963</v>
      </c>
      <c r="Q167" s="724">
        <f>L167</f>
        <v>2</v>
      </c>
      <c r="R167" s="131"/>
      <c r="S167" s="138" t="str">
        <f t="shared" si="4"/>
        <v>KeyPress "Tab", 2</v>
      </c>
      <c r="T167" s="131"/>
      <c r="U167" s="138" t="str">
        <f t="shared" si="5"/>
        <v>KeyPress "Tab", 2</v>
      </c>
      <c r="V167" s="131"/>
      <c r="W167">
        <v>28</v>
      </c>
      <c r="X167" s="714" t="str">
        <f>IF(Q167&lt;3,"//",U167)</f>
        <v>//</v>
      </c>
      <c r="Y167" s="715"/>
      <c r="AA167" t="str">
        <f>IF(Q167&lt;3,"//",X167)</f>
        <v>//</v>
      </c>
    </row>
    <row r="168" spans="11:27">
      <c r="K168" s="133"/>
      <c r="L168" s="134"/>
      <c r="M168" s="134"/>
      <c r="O168" s="144"/>
      <c r="P168" s="130" t="str">
        <f>$J$4</f>
        <v>Delay 600</v>
      </c>
      <c r="Q168" s="730"/>
      <c r="R168" s="131"/>
      <c r="S168" s="138" t="str">
        <f t="shared" si="4"/>
        <v>Delay 600</v>
      </c>
      <c r="T168" s="131"/>
      <c r="U168" s="138" t="str">
        <f t="shared" si="5"/>
        <v>Delay 600</v>
      </c>
      <c r="V168" s="131"/>
      <c r="X168" s="714" t="str">
        <f>IF(Q167&lt;3,"//",U168)</f>
        <v>//</v>
      </c>
      <c r="Y168" s="715"/>
      <c r="AA168" t="str">
        <f>IF(Q167&lt;3,"//",X168)</f>
        <v>//</v>
      </c>
    </row>
    <row r="169" spans="11:27">
      <c r="K169" s="133"/>
      <c r="L169" s="134"/>
      <c r="M169" s="134"/>
      <c r="O169" s="144"/>
      <c r="P169" s="130" t="s">
        <v>2964</v>
      </c>
      <c r="Q169" s="724">
        <f>M167</f>
        <v>0</v>
      </c>
      <c r="R169" s="131" t="s">
        <v>2965</v>
      </c>
      <c r="S169" s="138" t="str">
        <f t="shared" si="4"/>
        <v>SayString "0"</v>
      </c>
      <c r="T169" s="131"/>
      <c r="U169" s="138" t="str">
        <f t="shared" si="5"/>
        <v>SayString "0"</v>
      </c>
      <c r="V169" s="131"/>
      <c r="X169" s="714" t="str">
        <f>IF(Q167&lt;3,"//",U169)</f>
        <v>//</v>
      </c>
      <c r="Y169" s="715"/>
      <c r="AA169" t="str">
        <f>IF(Q167&lt;3,"//",X169)</f>
        <v>//</v>
      </c>
    </row>
    <row r="170" spans="11:27">
      <c r="K170" s="133"/>
      <c r="L170" s="134"/>
      <c r="M170" s="134"/>
      <c r="O170" s="144"/>
      <c r="P170" s="130" t="str">
        <f>$J$4</f>
        <v>Delay 600</v>
      </c>
      <c r="Q170" s="730"/>
      <c r="R170" s="131"/>
      <c r="S170" s="138" t="str">
        <f t="shared" si="4"/>
        <v>Delay 600</v>
      </c>
      <c r="T170" s="131"/>
      <c r="U170" s="138" t="str">
        <f t="shared" si="5"/>
        <v>Delay 600</v>
      </c>
      <c r="V170" s="131"/>
      <c r="X170" s="714" t="str">
        <f>IF(Q167&lt;3,"//",U170)</f>
        <v>//</v>
      </c>
      <c r="Y170" s="715"/>
      <c r="AA170" t="str">
        <f>IF(Q167&lt;3,"//",X170)</f>
        <v>//</v>
      </c>
    </row>
    <row r="171" spans="11:27">
      <c r="K171" s="133"/>
      <c r="L171" s="134"/>
      <c r="M171" s="134"/>
      <c r="O171" s="144"/>
      <c r="P171" s="130" t="s">
        <v>4068</v>
      </c>
      <c r="Q171" s="730"/>
      <c r="R171" s="131"/>
      <c r="S171" s="138" t="str">
        <f t="shared" si="4"/>
        <v>KeyPress "Enter", 1</v>
      </c>
      <c r="T171" s="131"/>
      <c r="U171" s="138" t="str">
        <f t="shared" si="5"/>
        <v>KeyPress "Enter", 1</v>
      </c>
      <c r="V171" s="131"/>
      <c r="X171" s="714" t="str">
        <f>IF(Q167&lt;3,"//",U171)</f>
        <v>//</v>
      </c>
      <c r="Y171" s="715"/>
      <c r="AA171" t="str">
        <f>IF(Q167&lt;3,"//",X171)</f>
        <v>//</v>
      </c>
    </row>
    <row r="172" spans="11:27" ht="17.25" thickBot="1">
      <c r="K172" s="133"/>
      <c r="L172" s="134"/>
      <c r="M172" s="134"/>
      <c r="O172" s="143"/>
      <c r="P172" s="130" t="str">
        <f>$J$5</f>
        <v>Delay 5000</v>
      </c>
      <c r="Q172" s="730"/>
      <c r="R172" s="131"/>
      <c r="S172" s="138" t="str">
        <f t="shared" si="4"/>
        <v>Delay 5000</v>
      </c>
      <c r="T172" s="131"/>
      <c r="U172" s="138" t="str">
        <f t="shared" si="5"/>
        <v>Delay 5000</v>
      </c>
      <c r="V172" s="131"/>
      <c r="X172" s="714" t="str">
        <f>IF(Q167&lt;3,"//",U172)</f>
        <v>//</v>
      </c>
      <c r="Y172" s="715"/>
      <c r="AA172" t="str">
        <f>IF(Q167&lt;3,"//",X172)</f>
        <v>//</v>
      </c>
    </row>
    <row r="173" spans="11:27">
      <c r="K173" s="133">
        <v>29</v>
      </c>
      <c r="L173" s="134">
        <v>2</v>
      </c>
      <c r="M173" s="134">
        <v>0</v>
      </c>
      <c r="O173" s="142">
        <v>29</v>
      </c>
      <c r="P173" s="130" t="s">
        <v>2963</v>
      </c>
      <c r="Q173" s="724">
        <f>L173</f>
        <v>2</v>
      </c>
      <c r="R173" s="131"/>
      <c r="S173" s="138" t="str">
        <f t="shared" si="4"/>
        <v>KeyPress "Tab", 2</v>
      </c>
      <c r="T173" s="131"/>
      <c r="U173" s="138" t="str">
        <f t="shared" si="5"/>
        <v>KeyPress "Tab", 2</v>
      </c>
      <c r="V173" s="131"/>
      <c r="W173">
        <v>29</v>
      </c>
      <c r="X173" s="714" t="str">
        <f>IF(Q173&lt;3,"//",U173)</f>
        <v>//</v>
      </c>
      <c r="Y173" s="715"/>
      <c r="AA173" t="str">
        <f>IF(Q173&lt;3,"//",X173)</f>
        <v>//</v>
      </c>
    </row>
    <row r="174" spans="11:27">
      <c r="K174" s="133"/>
      <c r="L174" s="134"/>
      <c r="M174" s="134"/>
      <c r="O174" s="144"/>
      <c r="P174" s="130" t="str">
        <f>$J$4</f>
        <v>Delay 600</v>
      </c>
      <c r="Q174" s="730"/>
      <c r="R174" s="131"/>
      <c r="S174" s="138" t="str">
        <f t="shared" si="4"/>
        <v>Delay 600</v>
      </c>
      <c r="T174" s="131"/>
      <c r="U174" s="138" t="str">
        <f t="shared" si="5"/>
        <v>Delay 600</v>
      </c>
      <c r="V174" s="131"/>
      <c r="X174" s="714" t="str">
        <f>IF(Q173&lt;3,"//",U174)</f>
        <v>//</v>
      </c>
      <c r="Y174" s="715"/>
      <c r="AA174" t="str">
        <f>IF(Q173&lt;3,"//",X174)</f>
        <v>//</v>
      </c>
    </row>
    <row r="175" spans="11:27">
      <c r="K175" s="133"/>
      <c r="L175" s="134"/>
      <c r="M175" s="134"/>
      <c r="O175" s="144"/>
      <c r="P175" s="130" t="s">
        <v>2964</v>
      </c>
      <c r="Q175" s="724">
        <f>M173</f>
        <v>0</v>
      </c>
      <c r="R175" s="131" t="s">
        <v>2965</v>
      </c>
      <c r="S175" s="138" t="str">
        <f t="shared" si="4"/>
        <v>SayString "0"</v>
      </c>
      <c r="T175" s="131"/>
      <c r="U175" s="138" t="str">
        <f t="shared" si="5"/>
        <v>SayString "0"</v>
      </c>
      <c r="V175" s="131"/>
      <c r="X175" s="714" t="str">
        <f>IF(Q173&lt;3,"//",U175)</f>
        <v>//</v>
      </c>
      <c r="Y175" s="715"/>
      <c r="AA175" t="str">
        <f>IF(Q173&lt;3,"//",X175)</f>
        <v>//</v>
      </c>
    </row>
    <row r="176" spans="11:27">
      <c r="K176" s="133"/>
      <c r="L176" s="134"/>
      <c r="M176" s="134"/>
      <c r="O176" s="144"/>
      <c r="P176" s="130" t="str">
        <f>$J$4</f>
        <v>Delay 600</v>
      </c>
      <c r="Q176" s="730"/>
      <c r="R176" s="131"/>
      <c r="S176" s="138" t="str">
        <f t="shared" si="4"/>
        <v>Delay 600</v>
      </c>
      <c r="T176" s="131"/>
      <c r="U176" s="138" t="str">
        <f t="shared" si="5"/>
        <v>Delay 600</v>
      </c>
      <c r="V176" s="131"/>
      <c r="X176" s="714" t="str">
        <f>IF(Q173&lt;3,"//",U176)</f>
        <v>//</v>
      </c>
      <c r="Y176" s="715"/>
      <c r="AA176" t="str">
        <f>IF(Q173&lt;3,"//",X176)</f>
        <v>//</v>
      </c>
    </row>
    <row r="177" spans="11:27">
      <c r="K177" s="133"/>
      <c r="L177" s="134"/>
      <c r="M177" s="134"/>
      <c r="O177" s="144"/>
      <c r="P177" s="130" t="s">
        <v>4068</v>
      </c>
      <c r="Q177" s="730"/>
      <c r="R177" s="131"/>
      <c r="S177" s="138" t="str">
        <f t="shared" si="4"/>
        <v>KeyPress "Enter", 1</v>
      </c>
      <c r="T177" s="131"/>
      <c r="U177" s="138" t="str">
        <f t="shared" si="5"/>
        <v>KeyPress "Enter", 1</v>
      </c>
      <c r="V177" s="131"/>
      <c r="X177" s="714" t="str">
        <f>IF(Q173&lt;3,"//",U177)</f>
        <v>//</v>
      </c>
      <c r="Y177" s="715"/>
      <c r="AA177" t="str">
        <f>IF(Q173&lt;3,"//",X177)</f>
        <v>//</v>
      </c>
    </row>
    <row r="178" spans="11:27" ht="17.25" thickBot="1">
      <c r="K178" s="133"/>
      <c r="L178" s="134"/>
      <c r="M178" s="134"/>
      <c r="O178" s="143"/>
      <c r="P178" s="130" t="str">
        <f>$J$5</f>
        <v>Delay 5000</v>
      </c>
      <c r="Q178" s="730"/>
      <c r="R178" s="131"/>
      <c r="S178" s="138" t="str">
        <f t="shared" si="4"/>
        <v>Delay 5000</v>
      </c>
      <c r="T178" s="131"/>
      <c r="U178" s="138" t="str">
        <f t="shared" si="5"/>
        <v>Delay 5000</v>
      </c>
      <c r="V178" s="131"/>
      <c r="X178" s="714" t="str">
        <f>IF(Q173&lt;3,"//",U178)</f>
        <v>//</v>
      </c>
      <c r="Y178" s="715"/>
      <c r="AA178" t="str">
        <f>IF(Q173&lt;3,"//",X178)</f>
        <v>//</v>
      </c>
    </row>
    <row r="179" spans="11:27">
      <c r="K179" s="133">
        <v>30</v>
      </c>
      <c r="L179" s="134">
        <v>2</v>
      </c>
      <c r="M179" s="134">
        <v>0</v>
      </c>
      <c r="O179" s="142">
        <v>30</v>
      </c>
      <c r="P179" s="130" t="s">
        <v>2963</v>
      </c>
      <c r="Q179" s="724">
        <f>L179</f>
        <v>2</v>
      </c>
      <c r="R179" s="131"/>
      <c r="S179" s="138" t="str">
        <f t="shared" si="4"/>
        <v>KeyPress "Tab", 2</v>
      </c>
      <c r="T179" s="131"/>
      <c r="U179" s="138" t="str">
        <f t="shared" si="5"/>
        <v>KeyPress "Tab", 2</v>
      </c>
      <c r="V179" s="131"/>
      <c r="W179">
        <v>30</v>
      </c>
      <c r="X179" s="714" t="str">
        <f>IF(Q179&lt;3,"//",U179)</f>
        <v>//</v>
      </c>
      <c r="Y179" s="715"/>
      <c r="AA179" t="str">
        <f>IF(Q179&lt;3,"//",X179)</f>
        <v>//</v>
      </c>
    </row>
    <row r="180" spans="11:27">
      <c r="K180" s="133"/>
      <c r="L180" s="134"/>
      <c r="M180" s="134"/>
      <c r="O180" s="144"/>
      <c r="P180" s="130" t="str">
        <f>$J$4</f>
        <v>Delay 600</v>
      </c>
      <c r="Q180" s="730"/>
      <c r="R180" s="131"/>
      <c r="S180" s="138" t="str">
        <f t="shared" si="4"/>
        <v>Delay 600</v>
      </c>
      <c r="T180" s="131"/>
      <c r="U180" s="138" t="str">
        <f t="shared" si="5"/>
        <v>Delay 600</v>
      </c>
      <c r="V180" s="131"/>
      <c r="X180" s="714" t="str">
        <f>IF(Q179&lt;3,"//",U180)</f>
        <v>//</v>
      </c>
      <c r="Y180" s="715"/>
      <c r="AA180" t="str">
        <f>IF(Q179&lt;3,"//",X180)</f>
        <v>//</v>
      </c>
    </row>
    <row r="181" spans="11:27">
      <c r="K181" s="133"/>
      <c r="L181" s="134"/>
      <c r="M181" s="134"/>
      <c r="O181" s="144"/>
      <c r="P181" s="130" t="s">
        <v>2964</v>
      </c>
      <c r="Q181" s="724">
        <f>M179</f>
        <v>0</v>
      </c>
      <c r="R181" s="131" t="s">
        <v>2965</v>
      </c>
      <c r="S181" s="138" t="str">
        <f t="shared" si="4"/>
        <v>SayString "0"</v>
      </c>
      <c r="T181" s="131"/>
      <c r="U181" s="138" t="str">
        <f t="shared" si="5"/>
        <v>SayString "0"</v>
      </c>
      <c r="V181" s="131"/>
      <c r="X181" s="714" t="str">
        <f>IF(Q179&lt;3,"//",U181)</f>
        <v>//</v>
      </c>
      <c r="Y181" s="715"/>
      <c r="AA181" t="str">
        <f>IF(Q179&lt;3,"//",X181)</f>
        <v>//</v>
      </c>
    </row>
    <row r="182" spans="11:27">
      <c r="K182" s="133"/>
      <c r="L182" s="134"/>
      <c r="M182" s="134"/>
      <c r="O182" s="144"/>
      <c r="P182" s="130" t="str">
        <f>$J$4</f>
        <v>Delay 600</v>
      </c>
      <c r="Q182" s="730"/>
      <c r="R182" s="131"/>
      <c r="S182" s="138" t="str">
        <f t="shared" si="4"/>
        <v>Delay 600</v>
      </c>
      <c r="T182" s="131"/>
      <c r="U182" s="138" t="str">
        <f t="shared" si="5"/>
        <v>Delay 600</v>
      </c>
      <c r="V182" s="131"/>
      <c r="X182" s="714" t="str">
        <f>IF(Q179&lt;3,"//",U182)</f>
        <v>//</v>
      </c>
      <c r="Y182" s="715"/>
      <c r="AA182" t="str">
        <f>IF(Q179&lt;3,"//",X182)</f>
        <v>//</v>
      </c>
    </row>
    <row r="183" spans="11:27">
      <c r="K183" s="133"/>
      <c r="L183" s="134"/>
      <c r="M183" s="134"/>
      <c r="O183" s="144"/>
      <c r="P183" s="130" t="s">
        <v>4068</v>
      </c>
      <c r="Q183" s="730"/>
      <c r="R183" s="131"/>
      <c r="S183" s="138" t="str">
        <f t="shared" si="4"/>
        <v>KeyPress "Enter", 1</v>
      </c>
      <c r="T183" s="131"/>
      <c r="U183" s="138" t="str">
        <f t="shared" si="5"/>
        <v>KeyPress "Enter", 1</v>
      </c>
      <c r="V183" s="131"/>
      <c r="X183" s="714" t="str">
        <f>IF(Q179&lt;3,"//",U183)</f>
        <v>//</v>
      </c>
      <c r="Y183" s="715"/>
      <c r="AA183" t="str">
        <f>IF(Q179&lt;3,"//",X183)</f>
        <v>//</v>
      </c>
    </row>
    <row r="184" spans="11:27" ht="17.25" thickBot="1">
      <c r="K184" s="133"/>
      <c r="L184" s="134"/>
      <c r="M184" s="134"/>
      <c r="O184" s="143"/>
      <c r="P184" s="130" t="str">
        <f>$J$5</f>
        <v>Delay 5000</v>
      </c>
      <c r="Q184" s="730"/>
      <c r="R184" s="131"/>
      <c r="S184" s="138" t="str">
        <f t="shared" si="4"/>
        <v>Delay 5000</v>
      </c>
      <c r="T184" s="131"/>
      <c r="U184" s="138" t="str">
        <f t="shared" si="5"/>
        <v>Delay 5000</v>
      </c>
      <c r="V184" s="131"/>
      <c r="X184" s="714" t="str">
        <f>IF(Q179&lt;3,"//",U184)</f>
        <v>//</v>
      </c>
      <c r="Y184" s="715"/>
      <c r="AA184" t="str">
        <f>IF(Q179&lt;3,"//",X184)</f>
        <v>//</v>
      </c>
    </row>
    <row r="185" spans="11:27">
      <c r="K185" s="133">
        <v>31</v>
      </c>
      <c r="L185" s="134">
        <v>2</v>
      </c>
      <c r="M185" s="134">
        <v>0</v>
      </c>
      <c r="O185" s="142">
        <v>31</v>
      </c>
      <c r="P185" s="130" t="s">
        <v>2963</v>
      </c>
      <c r="Q185" s="724">
        <f>L185</f>
        <v>2</v>
      </c>
      <c r="R185" s="131"/>
      <c r="S185" s="138" t="str">
        <f t="shared" si="4"/>
        <v>KeyPress "Tab", 2</v>
      </c>
      <c r="T185" s="131"/>
      <c r="U185" s="138" t="str">
        <f t="shared" si="5"/>
        <v>KeyPress "Tab", 2</v>
      </c>
      <c r="V185" s="131"/>
      <c r="W185">
        <v>31</v>
      </c>
      <c r="X185" s="714" t="str">
        <f>IF(Q185&lt;3,"//",U185)</f>
        <v>//</v>
      </c>
      <c r="Y185" s="715"/>
      <c r="AA185" t="str">
        <f>IF(Q185&lt;3,"//",X185)</f>
        <v>//</v>
      </c>
    </row>
    <row r="186" spans="11:27">
      <c r="K186" s="133"/>
      <c r="L186" s="134"/>
      <c r="M186" s="134"/>
      <c r="O186" s="144"/>
      <c r="P186" s="130" t="str">
        <f>$J$4</f>
        <v>Delay 600</v>
      </c>
      <c r="Q186" s="730"/>
      <c r="R186" s="131"/>
      <c r="S186" s="138" t="str">
        <f t="shared" si="4"/>
        <v>Delay 600</v>
      </c>
      <c r="T186" s="131"/>
      <c r="U186" s="138" t="str">
        <f t="shared" si="5"/>
        <v>Delay 600</v>
      </c>
      <c r="V186" s="131"/>
      <c r="X186" s="714" t="str">
        <f>IF(Q185&lt;3,"//",U186)</f>
        <v>//</v>
      </c>
      <c r="Y186" s="715"/>
      <c r="AA186" t="str">
        <f>IF(Q185&lt;3,"//",X186)</f>
        <v>//</v>
      </c>
    </row>
    <row r="187" spans="11:27">
      <c r="K187" s="133"/>
      <c r="L187" s="134"/>
      <c r="M187" s="134"/>
      <c r="O187" s="144"/>
      <c r="P187" s="130" t="s">
        <v>2964</v>
      </c>
      <c r="Q187" s="724">
        <f>M185</f>
        <v>0</v>
      </c>
      <c r="R187" s="131" t="s">
        <v>2965</v>
      </c>
      <c r="S187" s="138" t="str">
        <f t="shared" si="4"/>
        <v>SayString "0"</v>
      </c>
      <c r="T187" s="131"/>
      <c r="U187" s="138" t="str">
        <f t="shared" si="5"/>
        <v>SayString "0"</v>
      </c>
      <c r="V187" s="131"/>
      <c r="X187" s="714" t="str">
        <f>IF(Q185&lt;3,"//",U187)</f>
        <v>//</v>
      </c>
      <c r="Y187" s="715"/>
      <c r="AA187" t="str">
        <f>IF(Q185&lt;3,"//",X187)</f>
        <v>//</v>
      </c>
    </row>
    <row r="188" spans="11:27">
      <c r="K188" s="133"/>
      <c r="L188" s="134"/>
      <c r="M188" s="134"/>
      <c r="O188" s="144"/>
      <c r="P188" s="130" t="str">
        <f>$J$4</f>
        <v>Delay 600</v>
      </c>
      <c r="Q188" s="730"/>
      <c r="R188" s="131"/>
      <c r="S188" s="138" t="str">
        <f t="shared" si="4"/>
        <v>Delay 600</v>
      </c>
      <c r="T188" s="131"/>
      <c r="U188" s="138" t="str">
        <f t="shared" si="5"/>
        <v>Delay 600</v>
      </c>
      <c r="V188" s="131"/>
      <c r="X188" s="714" t="str">
        <f>IF(Q185&lt;3,"//",U188)</f>
        <v>//</v>
      </c>
      <c r="Y188" s="715"/>
      <c r="AA188" t="str">
        <f>IF(Q185&lt;3,"//",X188)</f>
        <v>//</v>
      </c>
    </row>
    <row r="189" spans="11:27">
      <c r="K189" s="133"/>
      <c r="L189" s="134"/>
      <c r="M189" s="134"/>
      <c r="O189" s="144"/>
      <c r="P189" s="130" t="s">
        <v>4068</v>
      </c>
      <c r="Q189" s="730"/>
      <c r="R189" s="131"/>
      <c r="S189" s="138" t="str">
        <f t="shared" si="4"/>
        <v>KeyPress "Enter", 1</v>
      </c>
      <c r="T189" s="131"/>
      <c r="U189" s="138" t="str">
        <f t="shared" si="5"/>
        <v>KeyPress "Enter", 1</v>
      </c>
      <c r="V189" s="131"/>
      <c r="X189" s="714" t="str">
        <f>IF(Q185&lt;3,"//",U189)</f>
        <v>//</v>
      </c>
      <c r="Y189" s="715"/>
      <c r="AA189" t="str">
        <f>IF(Q185&lt;3,"//",X189)</f>
        <v>//</v>
      </c>
    </row>
    <row r="190" spans="11:27" ht="17.25" thickBot="1">
      <c r="K190" s="133"/>
      <c r="L190" s="134"/>
      <c r="M190" s="134"/>
      <c r="O190" s="143"/>
      <c r="P190" s="130" t="str">
        <f>$J$5</f>
        <v>Delay 5000</v>
      </c>
      <c r="Q190" s="730"/>
      <c r="R190" s="131"/>
      <c r="S190" s="138" t="str">
        <f t="shared" si="4"/>
        <v>Delay 5000</v>
      </c>
      <c r="T190" s="131"/>
      <c r="U190" s="138" t="str">
        <f t="shared" si="5"/>
        <v>Delay 5000</v>
      </c>
      <c r="V190" s="131"/>
      <c r="X190" s="714" t="str">
        <f>IF(Q185&lt;3,"//",U190)</f>
        <v>//</v>
      </c>
      <c r="Y190" s="715"/>
      <c r="AA190" t="str">
        <f>IF(Q185&lt;3,"//",X190)</f>
        <v>//</v>
      </c>
    </row>
    <row r="191" spans="11:27">
      <c r="K191" s="133">
        <v>32</v>
      </c>
      <c r="L191" s="134">
        <v>2</v>
      </c>
      <c r="M191" s="134">
        <v>0</v>
      </c>
      <c r="O191" s="142">
        <f>$K$176</f>
        <v>0</v>
      </c>
      <c r="P191" s="130" t="s">
        <v>2963</v>
      </c>
      <c r="Q191" s="724">
        <f>L191</f>
        <v>2</v>
      </c>
      <c r="R191" s="131"/>
      <c r="S191" s="138" t="str">
        <f t="shared" si="4"/>
        <v>KeyPress "Tab", 2</v>
      </c>
      <c r="T191" s="131"/>
      <c r="U191" s="138" t="str">
        <f t="shared" si="5"/>
        <v>KeyPress "Tab", 2</v>
      </c>
      <c r="V191" s="131"/>
      <c r="W191">
        <v>32</v>
      </c>
      <c r="X191" s="714" t="str">
        <f>IF(Q191&lt;3,"//",U191)</f>
        <v>//</v>
      </c>
      <c r="Y191" s="715"/>
      <c r="AA191" t="str">
        <f>IF(Q191&lt;3,"//",X191)</f>
        <v>//</v>
      </c>
    </row>
    <row r="192" spans="11:27">
      <c r="K192" s="133"/>
      <c r="L192" s="134"/>
      <c r="M192" s="134"/>
      <c r="O192" s="144"/>
      <c r="P192" s="130" t="str">
        <f>$J$4</f>
        <v>Delay 600</v>
      </c>
      <c r="Q192" s="730"/>
      <c r="R192" s="131"/>
      <c r="S192" s="138" t="str">
        <f t="shared" si="4"/>
        <v>Delay 600</v>
      </c>
      <c r="T192" s="131"/>
      <c r="U192" s="138" t="str">
        <f t="shared" si="5"/>
        <v>Delay 600</v>
      </c>
      <c r="V192" s="131"/>
      <c r="X192" s="714" t="str">
        <f>IF(Q191&lt;3,"//",U192)</f>
        <v>//</v>
      </c>
      <c r="Y192" s="715"/>
      <c r="AA192" t="str">
        <f>IF(Q191&lt;3,"//",X192)</f>
        <v>//</v>
      </c>
    </row>
    <row r="193" spans="11:27">
      <c r="K193" s="133"/>
      <c r="L193" s="134"/>
      <c r="M193" s="134"/>
      <c r="O193" s="144"/>
      <c r="P193" s="130" t="s">
        <v>2964</v>
      </c>
      <c r="Q193" s="724">
        <f>M191</f>
        <v>0</v>
      </c>
      <c r="R193" s="131" t="s">
        <v>2965</v>
      </c>
      <c r="S193" s="138" t="str">
        <f t="shared" si="4"/>
        <v>SayString "0"</v>
      </c>
      <c r="T193" s="131"/>
      <c r="U193" s="138" t="str">
        <f t="shared" si="5"/>
        <v>SayString "0"</v>
      </c>
      <c r="V193" s="131"/>
      <c r="X193" s="714" t="str">
        <f>IF(Q191&lt;3,"//",U193)</f>
        <v>//</v>
      </c>
      <c r="Y193" s="715"/>
      <c r="AA193" t="str">
        <f>IF(Q191&lt;3,"//",X193)</f>
        <v>//</v>
      </c>
    </row>
    <row r="194" spans="11:27">
      <c r="K194" s="133"/>
      <c r="L194" s="134"/>
      <c r="M194" s="134"/>
      <c r="O194" s="144"/>
      <c r="P194" s="130" t="str">
        <f>$J$4</f>
        <v>Delay 600</v>
      </c>
      <c r="Q194" s="730"/>
      <c r="R194" s="131"/>
      <c r="S194" s="138" t="str">
        <f t="shared" si="4"/>
        <v>Delay 600</v>
      </c>
      <c r="T194" s="131"/>
      <c r="U194" s="138" t="str">
        <f t="shared" si="5"/>
        <v>Delay 600</v>
      </c>
      <c r="V194" s="131"/>
      <c r="X194" s="714" t="str">
        <f>IF(Q191&lt;3,"//",U194)</f>
        <v>//</v>
      </c>
      <c r="Y194" s="715"/>
      <c r="AA194" t="str">
        <f>IF(Q191&lt;3,"//",X194)</f>
        <v>//</v>
      </c>
    </row>
    <row r="195" spans="11:27">
      <c r="K195" s="133"/>
      <c r="L195" s="134"/>
      <c r="M195" s="134"/>
      <c r="O195" s="144"/>
      <c r="P195" s="130" t="s">
        <v>4068</v>
      </c>
      <c r="Q195" s="730"/>
      <c r="R195" s="131"/>
      <c r="S195" s="138" t="str">
        <f t="shared" ref="S195:S258" si="6">P195&amp;""&amp;Q195&amp;""&amp;R195</f>
        <v>KeyPress "Enter", 1</v>
      </c>
      <c r="T195" s="131"/>
      <c r="U195" s="138" t="str">
        <f t="shared" ref="U195:U258" si="7">S195</f>
        <v>KeyPress "Enter", 1</v>
      </c>
      <c r="V195" s="131"/>
      <c r="X195" s="714" t="str">
        <f>IF(Q191&lt;3,"//",U195)</f>
        <v>//</v>
      </c>
      <c r="Y195" s="715"/>
      <c r="AA195" t="str">
        <f>IF(Q191&lt;3,"//",X195)</f>
        <v>//</v>
      </c>
    </row>
    <row r="196" spans="11:27" ht="17.25" thickBot="1">
      <c r="K196" s="133"/>
      <c r="L196" s="134"/>
      <c r="M196" s="134"/>
      <c r="O196" s="143"/>
      <c r="P196" s="130" t="str">
        <f>$J$5</f>
        <v>Delay 5000</v>
      </c>
      <c r="Q196" s="730"/>
      <c r="R196" s="131"/>
      <c r="S196" s="138" t="str">
        <f t="shared" si="6"/>
        <v>Delay 5000</v>
      </c>
      <c r="T196" s="131"/>
      <c r="U196" s="138" t="str">
        <f t="shared" si="7"/>
        <v>Delay 5000</v>
      </c>
      <c r="V196" s="131"/>
      <c r="X196" s="714" t="str">
        <f>IF(Q191&lt;3,"//",U196)</f>
        <v>//</v>
      </c>
      <c r="Y196" s="715"/>
      <c r="AA196" t="str">
        <f>IF(Q191&lt;3,"//",X196)</f>
        <v>//</v>
      </c>
    </row>
    <row r="197" spans="11:27">
      <c r="K197" s="133">
        <v>33</v>
      </c>
      <c r="L197" s="134">
        <v>2</v>
      </c>
      <c r="M197" s="134">
        <v>0</v>
      </c>
      <c r="O197" s="145">
        <f>$K$177</f>
        <v>0</v>
      </c>
      <c r="P197" s="130" t="s">
        <v>2963</v>
      </c>
      <c r="Q197" s="724">
        <f>L197</f>
        <v>2</v>
      </c>
      <c r="R197" s="131"/>
      <c r="S197" s="138" t="str">
        <f t="shared" si="6"/>
        <v>KeyPress "Tab", 2</v>
      </c>
      <c r="T197" s="131"/>
      <c r="U197" s="138" t="str">
        <f t="shared" si="7"/>
        <v>KeyPress "Tab", 2</v>
      </c>
      <c r="V197" s="131"/>
      <c r="W197">
        <v>33</v>
      </c>
      <c r="X197" s="714" t="str">
        <f>IF(Q197&lt;3,"//",U197)</f>
        <v>//</v>
      </c>
      <c r="Y197" s="715"/>
      <c r="AA197" t="str">
        <f>IF(Q197&lt;3,"//",X197)</f>
        <v>//</v>
      </c>
    </row>
    <row r="198" spans="11:27">
      <c r="K198" s="133"/>
      <c r="L198" s="134"/>
      <c r="M198" s="134"/>
      <c r="O198" s="144"/>
      <c r="P198" s="130" t="str">
        <f>$J$4</f>
        <v>Delay 600</v>
      </c>
      <c r="Q198" s="730"/>
      <c r="R198" s="131"/>
      <c r="S198" s="138" t="str">
        <f t="shared" si="6"/>
        <v>Delay 600</v>
      </c>
      <c r="T198" s="131"/>
      <c r="U198" s="138" t="str">
        <f t="shared" si="7"/>
        <v>Delay 600</v>
      </c>
      <c r="V198" s="131"/>
      <c r="X198" s="714" t="str">
        <f>IF(Q197&lt;3,"//",U198)</f>
        <v>//</v>
      </c>
      <c r="Y198" s="715"/>
      <c r="AA198" t="str">
        <f>IF(Q197&lt;3,"//",X198)</f>
        <v>//</v>
      </c>
    </row>
    <row r="199" spans="11:27">
      <c r="K199" s="133"/>
      <c r="L199" s="134"/>
      <c r="M199" s="134"/>
      <c r="O199" s="144"/>
      <c r="P199" s="130" t="s">
        <v>2964</v>
      </c>
      <c r="Q199" s="724">
        <f>M197</f>
        <v>0</v>
      </c>
      <c r="R199" s="131" t="s">
        <v>2965</v>
      </c>
      <c r="S199" s="138" t="str">
        <f t="shared" si="6"/>
        <v>SayString "0"</v>
      </c>
      <c r="T199" s="131"/>
      <c r="U199" s="138" t="str">
        <f t="shared" si="7"/>
        <v>SayString "0"</v>
      </c>
      <c r="V199" s="131"/>
      <c r="X199" s="714" t="str">
        <f>IF(Q197&lt;3,"//",U199)</f>
        <v>//</v>
      </c>
      <c r="Y199" s="715"/>
      <c r="AA199" t="str">
        <f>IF(Q197&lt;3,"//",X199)</f>
        <v>//</v>
      </c>
    </row>
    <row r="200" spans="11:27">
      <c r="K200" s="133"/>
      <c r="L200" s="134"/>
      <c r="M200" s="134"/>
      <c r="O200" s="144"/>
      <c r="P200" s="130" t="str">
        <f>$J$4</f>
        <v>Delay 600</v>
      </c>
      <c r="Q200" s="730"/>
      <c r="R200" s="131"/>
      <c r="S200" s="138" t="str">
        <f t="shared" si="6"/>
        <v>Delay 600</v>
      </c>
      <c r="T200" s="131"/>
      <c r="U200" s="138" t="str">
        <f t="shared" si="7"/>
        <v>Delay 600</v>
      </c>
      <c r="V200" s="131"/>
      <c r="X200" s="714" t="str">
        <f>IF(Q197&lt;3,"//",U200)</f>
        <v>//</v>
      </c>
      <c r="Y200" s="715"/>
      <c r="AA200" t="str">
        <f>IF(Q197&lt;3,"//",X200)</f>
        <v>//</v>
      </c>
    </row>
    <row r="201" spans="11:27">
      <c r="K201" s="133"/>
      <c r="L201" s="134"/>
      <c r="M201" s="134"/>
      <c r="O201" s="144"/>
      <c r="P201" s="130" t="s">
        <v>4068</v>
      </c>
      <c r="Q201" s="730"/>
      <c r="R201" s="131"/>
      <c r="S201" s="138" t="str">
        <f t="shared" si="6"/>
        <v>KeyPress "Enter", 1</v>
      </c>
      <c r="T201" s="131"/>
      <c r="U201" s="138" t="str">
        <f t="shared" si="7"/>
        <v>KeyPress "Enter", 1</v>
      </c>
      <c r="V201" s="131"/>
      <c r="X201" s="714" t="str">
        <f>IF(Q197&lt;3,"//",U201)</f>
        <v>//</v>
      </c>
      <c r="Y201" s="715"/>
      <c r="AA201" t="str">
        <f>IF(Q197&lt;3,"//",X201)</f>
        <v>//</v>
      </c>
    </row>
    <row r="202" spans="11:27" ht="17.25" thickBot="1">
      <c r="K202" s="133"/>
      <c r="L202" s="134"/>
      <c r="M202" s="134"/>
      <c r="O202" s="143"/>
      <c r="P202" s="130" t="str">
        <f>$J$5</f>
        <v>Delay 5000</v>
      </c>
      <c r="Q202" s="730"/>
      <c r="R202" s="131"/>
      <c r="S202" s="138" t="str">
        <f t="shared" si="6"/>
        <v>Delay 5000</v>
      </c>
      <c r="T202" s="131"/>
      <c r="U202" s="138" t="str">
        <f t="shared" si="7"/>
        <v>Delay 5000</v>
      </c>
      <c r="V202" s="131"/>
      <c r="X202" s="714" t="str">
        <f>IF(Q197&lt;3,"//",U202)</f>
        <v>//</v>
      </c>
      <c r="Y202" s="715"/>
      <c r="AA202" t="str">
        <f>IF(Q197&lt;3,"//",X202)</f>
        <v>//</v>
      </c>
    </row>
    <row r="203" spans="11:27">
      <c r="K203" s="133">
        <v>34</v>
      </c>
      <c r="L203" s="134">
        <v>2</v>
      </c>
      <c r="M203" s="134">
        <v>0</v>
      </c>
      <c r="O203" s="142">
        <f>$K$178</f>
        <v>0</v>
      </c>
      <c r="P203" s="130" t="s">
        <v>2963</v>
      </c>
      <c r="Q203" s="724">
        <f>L203</f>
        <v>2</v>
      </c>
      <c r="R203" s="131"/>
      <c r="S203" s="138" t="str">
        <f t="shared" si="6"/>
        <v>KeyPress "Tab", 2</v>
      </c>
      <c r="T203" s="131"/>
      <c r="U203" s="138" t="str">
        <f t="shared" si="7"/>
        <v>KeyPress "Tab", 2</v>
      </c>
      <c r="V203" s="131"/>
      <c r="W203">
        <v>34</v>
      </c>
      <c r="X203" s="714" t="str">
        <f>IF(Q203&lt;3,"//",U203)</f>
        <v>//</v>
      </c>
      <c r="Y203" s="715"/>
      <c r="AA203" t="str">
        <f>IF(Q203&lt;3,"//",X203)</f>
        <v>//</v>
      </c>
    </row>
    <row r="204" spans="11:27">
      <c r="K204" s="133"/>
      <c r="L204" s="134"/>
      <c r="M204" s="134"/>
      <c r="O204" s="144"/>
      <c r="P204" s="130" t="str">
        <f>$J$4</f>
        <v>Delay 600</v>
      </c>
      <c r="Q204" s="730"/>
      <c r="R204" s="131"/>
      <c r="S204" s="138" t="str">
        <f t="shared" si="6"/>
        <v>Delay 600</v>
      </c>
      <c r="T204" s="131"/>
      <c r="U204" s="138" t="str">
        <f t="shared" si="7"/>
        <v>Delay 600</v>
      </c>
      <c r="V204" s="131"/>
      <c r="X204" s="714" t="str">
        <f>IF(Q203&lt;3,"//",U204)</f>
        <v>//</v>
      </c>
      <c r="Y204" s="715"/>
      <c r="AA204" t="str">
        <f>IF(Q203&lt;3,"//",X204)</f>
        <v>//</v>
      </c>
    </row>
    <row r="205" spans="11:27">
      <c r="K205" s="133"/>
      <c r="L205" s="134"/>
      <c r="M205" s="134"/>
      <c r="O205" s="144"/>
      <c r="P205" s="130" t="s">
        <v>2964</v>
      </c>
      <c r="Q205" s="724">
        <f>M203</f>
        <v>0</v>
      </c>
      <c r="R205" s="131" t="s">
        <v>2965</v>
      </c>
      <c r="S205" s="138" t="str">
        <f t="shared" si="6"/>
        <v>SayString "0"</v>
      </c>
      <c r="T205" s="131"/>
      <c r="U205" s="138" t="str">
        <f t="shared" si="7"/>
        <v>SayString "0"</v>
      </c>
      <c r="V205" s="131"/>
      <c r="X205" s="714" t="str">
        <f>IF(Q203&lt;3,"//",U205)</f>
        <v>//</v>
      </c>
      <c r="Y205" s="715"/>
      <c r="AA205" t="str">
        <f>IF(Q203&lt;3,"//",X205)</f>
        <v>//</v>
      </c>
    </row>
    <row r="206" spans="11:27">
      <c r="K206" s="133"/>
      <c r="L206" s="134"/>
      <c r="M206" s="134"/>
      <c r="O206" s="144"/>
      <c r="P206" s="130" t="str">
        <f>$J$4</f>
        <v>Delay 600</v>
      </c>
      <c r="Q206" s="730"/>
      <c r="R206" s="131"/>
      <c r="S206" s="138" t="str">
        <f t="shared" si="6"/>
        <v>Delay 600</v>
      </c>
      <c r="T206" s="131"/>
      <c r="U206" s="138" t="str">
        <f t="shared" si="7"/>
        <v>Delay 600</v>
      </c>
      <c r="V206" s="131"/>
      <c r="X206" s="714" t="str">
        <f>IF(Q203&lt;3,"//",U206)</f>
        <v>//</v>
      </c>
      <c r="Y206" s="715"/>
      <c r="AA206" t="str">
        <f>IF(Q203&lt;3,"//",X206)</f>
        <v>//</v>
      </c>
    </row>
    <row r="207" spans="11:27">
      <c r="K207" s="133"/>
      <c r="L207" s="134"/>
      <c r="M207" s="134"/>
      <c r="O207" s="144"/>
      <c r="P207" s="130" t="s">
        <v>4068</v>
      </c>
      <c r="Q207" s="730"/>
      <c r="R207" s="131"/>
      <c r="S207" s="138" t="str">
        <f t="shared" si="6"/>
        <v>KeyPress "Enter", 1</v>
      </c>
      <c r="T207" s="131"/>
      <c r="U207" s="138" t="str">
        <f t="shared" si="7"/>
        <v>KeyPress "Enter", 1</v>
      </c>
      <c r="V207" s="131"/>
      <c r="X207" s="714" t="str">
        <f>IF(Q203&lt;3,"//",U207)</f>
        <v>//</v>
      </c>
      <c r="Y207" s="715"/>
      <c r="AA207" t="str">
        <f>IF(Q203&lt;3,"//",X207)</f>
        <v>//</v>
      </c>
    </row>
    <row r="208" spans="11:27" ht="17.25" thickBot="1">
      <c r="K208" s="133"/>
      <c r="L208" s="134"/>
      <c r="M208" s="134"/>
      <c r="O208" s="143"/>
      <c r="P208" s="130" t="str">
        <f>$J$5</f>
        <v>Delay 5000</v>
      </c>
      <c r="Q208" s="730"/>
      <c r="R208" s="131"/>
      <c r="S208" s="138" t="str">
        <f t="shared" si="6"/>
        <v>Delay 5000</v>
      </c>
      <c r="T208" s="131"/>
      <c r="U208" s="138" t="str">
        <f t="shared" si="7"/>
        <v>Delay 5000</v>
      </c>
      <c r="V208" s="131"/>
      <c r="X208" s="714" t="str">
        <f>IF(Q203&lt;3,"//",U208)</f>
        <v>//</v>
      </c>
      <c r="Y208" s="715"/>
      <c r="AA208" t="str">
        <f>IF(Q203&lt;3,"//",X208)</f>
        <v>//</v>
      </c>
    </row>
    <row r="209" spans="11:27">
      <c r="K209" s="133">
        <v>35</v>
      </c>
      <c r="L209" s="134">
        <v>2</v>
      </c>
      <c r="M209" s="134">
        <v>0</v>
      </c>
      <c r="O209" s="142">
        <f>$K$179</f>
        <v>30</v>
      </c>
      <c r="P209" s="130" t="s">
        <v>2963</v>
      </c>
      <c r="Q209" s="724">
        <f>L209</f>
        <v>2</v>
      </c>
      <c r="R209" s="131"/>
      <c r="S209" s="138" t="str">
        <f t="shared" si="6"/>
        <v>KeyPress "Tab", 2</v>
      </c>
      <c r="T209" s="131"/>
      <c r="U209" s="138" t="str">
        <f t="shared" si="7"/>
        <v>KeyPress "Tab", 2</v>
      </c>
      <c r="V209" s="131"/>
      <c r="W209">
        <v>35</v>
      </c>
      <c r="X209" s="714" t="str">
        <f>IF(Q209&lt;3,"//",U209)</f>
        <v>//</v>
      </c>
      <c r="Y209" s="715"/>
      <c r="AA209" t="str">
        <f>IF(Q209&lt;3,"//",X209)</f>
        <v>//</v>
      </c>
    </row>
    <row r="210" spans="11:27">
      <c r="K210" s="133"/>
      <c r="L210" s="134"/>
      <c r="M210" s="134"/>
      <c r="O210" s="144"/>
      <c r="P210" s="130" t="str">
        <f>$J$4</f>
        <v>Delay 600</v>
      </c>
      <c r="Q210" s="730"/>
      <c r="R210" s="131"/>
      <c r="S210" s="138" t="str">
        <f t="shared" si="6"/>
        <v>Delay 600</v>
      </c>
      <c r="T210" s="131"/>
      <c r="U210" s="138" t="str">
        <f t="shared" si="7"/>
        <v>Delay 600</v>
      </c>
      <c r="V210" s="131"/>
      <c r="X210" s="714" t="str">
        <f>IF(Q209&lt;3,"//",U210)</f>
        <v>//</v>
      </c>
      <c r="Y210" s="715"/>
      <c r="AA210" t="str">
        <f>IF(Q209&lt;3,"//",X210)</f>
        <v>//</v>
      </c>
    </row>
    <row r="211" spans="11:27">
      <c r="K211" s="133"/>
      <c r="L211" s="134"/>
      <c r="M211" s="134"/>
      <c r="O211" s="144"/>
      <c r="P211" s="130" t="s">
        <v>2964</v>
      </c>
      <c r="Q211" s="724">
        <f>M209</f>
        <v>0</v>
      </c>
      <c r="R211" s="131" t="s">
        <v>2965</v>
      </c>
      <c r="S211" s="138" t="str">
        <f t="shared" si="6"/>
        <v>SayString "0"</v>
      </c>
      <c r="T211" s="131"/>
      <c r="U211" s="138" t="str">
        <f t="shared" si="7"/>
        <v>SayString "0"</v>
      </c>
      <c r="V211" s="131"/>
      <c r="X211" s="714" t="str">
        <f>IF(Q209&lt;3,"//",U211)</f>
        <v>//</v>
      </c>
      <c r="Y211" s="715"/>
      <c r="AA211" t="str">
        <f>IF(Q209&lt;3,"//",X211)</f>
        <v>//</v>
      </c>
    </row>
    <row r="212" spans="11:27">
      <c r="K212" s="133"/>
      <c r="L212" s="134"/>
      <c r="M212" s="134"/>
      <c r="O212" s="144"/>
      <c r="P212" s="130" t="str">
        <f>$J$4</f>
        <v>Delay 600</v>
      </c>
      <c r="Q212" s="730"/>
      <c r="R212" s="131"/>
      <c r="S212" s="138" t="str">
        <f t="shared" si="6"/>
        <v>Delay 600</v>
      </c>
      <c r="T212" s="131"/>
      <c r="U212" s="138" t="str">
        <f t="shared" si="7"/>
        <v>Delay 600</v>
      </c>
      <c r="V212" s="131"/>
      <c r="X212" s="714" t="str">
        <f>IF(Q209&lt;3,"//",U212)</f>
        <v>//</v>
      </c>
      <c r="Y212" s="715"/>
      <c r="AA212" t="str">
        <f>IF(Q209&lt;3,"//",X212)</f>
        <v>//</v>
      </c>
    </row>
    <row r="213" spans="11:27">
      <c r="K213" s="133"/>
      <c r="L213" s="134"/>
      <c r="M213" s="134"/>
      <c r="O213" s="144"/>
      <c r="P213" s="130" t="s">
        <v>4068</v>
      </c>
      <c r="Q213" s="730"/>
      <c r="R213" s="131"/>
      <c r="S213" s="138" t="str">
        <f t="shared" si="6"/>
        <v>KeyPress "Enter", 1</v>
      </c>
      <c r="T213" s="131"/>
      <c r="U213" s="138" t="str">
        <f t="shared" si="7"/>
        <v>KeyPress "Enter", 1</v>
      </c>
      <c r="V213" s="131"/>
      <c r="X213" s="714" t="str">
        <f>IF(Q209&lt;3,"//",U213)</f>
        <v>//</v>
      </c>
      <c r="Y213" s="715"/>
      <c r="AA213" t="str">
        <f>IF(Q209&lt;3,"//",X213)</f>
        <v>//</v>
      </c>
    </row>
    <row r="214" spans="11:27" ht="17.25" thickBot="1">
      <c r="K214" s="133"/>
      <c r="L214" s="134"/>
      <c r="M214" s="134"/>
      <c r="O214" s="143"/>
      <c r="P214" s="130" t="str">
        <f>$J$5</f>
        <v>Delay 5000</v>
      </c>
      <c r="Q214" s="730"/>
      <c r="R214" s="131"/>
      <c r="S214" s="138" t="str">
        <f t="shared" si="6"/>
        <v>Delay 5000</v>
      </c>
      <c r="T214" s="131"/>
      <c r="U214" s="138" t="str">
        <f t="shared" si="7"/>
        <v>Delay 5000</v>
      </c>
      <c r="V214" s="131"/>
      <c r="X214" s="714" t="str">
        <f>IF(Q209&lt;3,"//",U214)</f>
        <v>//</v>
      </c>
      <c r="Y214" s="715"/>
      <c r="AA214" t="str">
        <f>IF(Q209&lt;3,"//",X214)</f>
        <v>//</v>
      </c>
    </row>
    <row r="215" spans="11:27">
      <c r="K215" s="133">
        <v>36</v>
      </c>
      <c r="L215" s="134">
        <v>2</v>
      </c>
      <c r="M215" s="134">
        <v>0</v>
      </c>
      <c r="O215" s="142">
        <f>$K$180</f>
        <v>0</v>
      </c>
      <c r="P215" s="130" t="s">
        <v>2963</v>
      </c>
      <c r="Q215" s="724">
        <f>L215</f>
        <v>2</v>
      </c>
      <c r="R215" s="131"/>
      <c r="S215" s="138" t="str">
        <f t="shared" si="6"/>
        <v>KeyPress "Tab", 2</v>
      </c>
      <c r="T215" s="131"/>
      <c r="U215" s="138" t="str">
        <f t="shared" si="7"/>
        <v>KeyPress "Tab", 2</v>
      </c>
      <c r="V215" s="131"/>
      <c r="W215">
        <v>36</v>
      </c>
      <c r="X215" s="714" t="str">
        <f>IF(Q215&lt;3,"//",U215)</f>
        <v>//</v>
      </c>
      <c r="Y215" s="715"/>
      <c r="AA215" t="str">
        <f>IF(Q215&lt;3,"//",X215)</f>
        <v>//</v>
      </c>
    </row>
    <row r="216" spans="11:27">
      <c r="K216" s="133"/>
      <c r="L216" s="134"/>
      <c r="M216" s="134"/>
      <c r="O216" s="144"/>
      <c r="P216" s="130" t="str">
        <f>$J$4</f>
        <v>Delay 600</v>
      </c>
      <c r="Q216" s="730"/>
      <c r="R216" s="131"/>
      <c r="S216" s="138" t="str">
        <f t="shared" si="6"/>
        <v>Delay 600</v>
      </c>
      <c r="T216" s="131"/>
      <c r="U216" s="138" t="str">
        <f t="shared" si="7"/>
        <v>Delay 600</v>
      </c>
      <c r="V216" s="131"/>
      <c r="X216" s="714" t="str">
        <f>IF(Q215&lt;3,"//",U216)</f>
        <v>//</v>
      </c>
      <c r="Y216" s="715"/>
      <c r="AA216" t="str">
        <f>IF(Q215&lt;3,"//",X216)</f>
        <v>//</v>
      </c>
    </row>
    <row r="217" spans="11:27">
      <c r="K217" s="133"/>
      <c r="L217" s="134"/>
      <c r="M217" s="134"/>
      <c r="O217" s="144"/>
      <c r="P217" s="130" t="s">
        <v>2964</v>
      </c>
      <c r="Q217" s="724">
        <f>M215</f>
        <v>0</v>
      </c>
      <c r="R217" s="131" t="s">
        <v>2965</v>
      </c>
      <c r="S217" s="138" t="str">
        <f t="shared" si="6"/>
        <v>SayString "0"</v>
      </c>
      <c r="T217" s="131"/>
      <c r="U217" s="138" t="str">
        <f t="shared" si="7"/>
        <v>SayString "0"</v>
      </c>
      <c r="V217" s="131"/>
      <c r="X217" s="714" t="str">
        <f>IF(Q215&lt;3,"//",U217)</f>
        <v>//</v>
      </c>
      <c r="Y217" s="715"/>
      <c r="AA217" t="str">
        <f>IF(Q215&lt;3,"//",X217)</f>
        <v>//</v>
      </c>
    </row>
    <row r="218" spans="11:27">
      <c r="K218" s="133"/>
      <c r="L218" s="134"/>
      <c r="M218" s="134"/>
      <c r="O218" s="144"/>
      <c r="P218" s="130" t="str">
        <f>$J$4</f>
        <v>Delay 600</v>
      </c>
      <c r="Q218" s="730"/>
      <c r="R218" s="131"/>
      <c r="S218" s="138" t="str">
        <f t="shared" si="6"/>
        <v>Delay 600</v>
      </c>
      <c r="T218" s="131"/>
      <c r="U218" s="138" t="str">
        <f t="shared" si="7"/>
        <v>Delay 600</v>
      </c>
      <c r="V218" s="131"/>
      <c r="X218" s="714" t="str">
        <f>IF(Q215&lt;3,"//",U218)</f>
        <v>//</v>
      </c>
      <c r="Y218" s="715"/>
      <c r="AA218" t="str">
        <f>IF(Q215&lt;3,"//",X218)</f>
        <v>//</v>
      </c>
    </row>
    <row r="219" spans="11:27">
      <c r="K219" s="133"/>
      <c r="L219" s="134"/>
      <c r="M219" s="134"/>
      <c r="O219" s="144"/>
      <c r="P219" s="130" t="s">
        <v>4068</v>
      </c>
      <c r="Q219" s="730"/>
      <c r="R219" s="131"/>
      <c r="S219" s="138" t="str">
        <f t="shared" si="6"/>
        <v>KeyPress "Enter", 1</v>
      </c>
      <c r="T219" s="131"/>
      <c r="U219" s="138" t="str">
        <f t="shared" si="7"/>
        <v>KeyPress "Enter", 1</v>
      </c>
      <c r="V219" s="131"/>
      <c r="X219" s="714" t="str">
        <f>IF(Q215&lt;3,"//",U219)</f>
        <v>//</v>
      </c>
      <c r="Y219" s="715"/>
      <c r="AA219" t="str">
        <f>IF(Q215&lt;3,"//",X219)</f>
        <v>//</v>
      </c>
    </row>
    <row r="220" spans="11:27" ht="17.25" thickBot="1">
      <c r="K220" s="133"/>
      <c r="L220" s="134"/>
      <c r="M220" s="134"/>
      <c r="O220" s="143"/>
      <c r="P220" s="130" t="str">
        <f>$J$5</f>
        <v>Delay 5000</v>
      </c>
      <c r="Q220" s="730"/>
      <c r="R220" s="131"/>
      <c r="S220" s="138" t="str">
        <f t="shared" si="6"/>
        <v>Delay 5000</v>
      </c>
      <c r="T220" s="131"/>
      <c r="U220" s="138" t="str">
        <f t="shared" si="7"/>
        <v>Delay 5000</v>
      </c>
      <c r="V220" s="131"/>
      <c r="X220" s="714" t="str">
        <f>IF(Q215&lt;3,"//",U220)</f>
        <v>//</v>
      </c>
      <c r="Y220" s="715"/>
      <c r="AA220" t="str">
        <f>IF(Q215&lt;3,"//",X220)</f>
        <v>//</v>
      </c>
    </row>
    <row r="221" spans="11:27">
      <c r="K221" s="133">
        <v>37</v>
      </c>
      <c r="L221" s="134">
        <v>2</v>
      </c>
      <c r="M221" s="134">
        <v>0</v>
      </c>
      <c r="O221" s="142">
        <f>$K$181</f>
        <v>0</v>
      </c>
      <c r="P221" s="130" t="s">
        <v>2963</v>
      </c>
      <c r="Q221" s="724">
        <f>L221</f>
        <v>2</v>
      </c>
      <c r="R221" s="131"/>
      <c r="S221" s="138" t="str">
        <f t="shared" si="6"/>
        <v>KeyPress "Tab", 2</v>
      </c>
      <c r="T221" s="131"/>
      <c r="U221" s="138" t="str">
        <f t="shared" si="7"/>
        <v>KeyPress "Tab", 2</v>
      </c>
      <c r="V221" s="131"/>
      <c r="W221">
        <v>37</v>
      </c>
      <c r="X221" s="714" t="str">
        <f>IF(Q221&lt;3,"//",U221)</f>
        <v>//</v>
      </c>
      <c r="Y221" s="715"/>
      <c r="AA221" t="str">
        <f>IF(Q221&lt;3,"//",X221)</f>
        <v>//</v>
      </c>
    </row>
    <row r="222" spans="11:27">
      <c r="K222" s="133"/>
      <c r="L222" s="134"/>
      <c r="M222" s="134"/>
      <c r="O222" s="144"/>
      <c r="P222" s="130" t="str">
        <f>$J$4</f>
        <v>Delay 600</v>
      </c>
      <c r="Q222" s="730"/>
      <c r="R222" s="131"/>
      <c r="S222" s="138" t="str">
        <f t="shared" si="6"/>
        <v>Delay 600</v>
      </c>
      <c r="T222" s="131"/>
      <c r="U222" s="138" t="str">
        <f t="shared" si="7"/>
        <v>Delay 600</v>
      </c>
      <c r="V222" s="131"/>
      <c r="X222" s="714" t="str">
        <f>IF(Q221&lt;3,"//",U222)</f>
        <v>//</v>
      </c>
      <c r="Y222" s="715"/>
      <c r="AA222" t="str">
        <f>IF(Q221&lt;3,"//",X222)</f>
        <v>//</v>
      </c>
    </row>
    <row r="223" spans="11:27">
      <c r="K223" s="133"/>
      <c r="L223" s="134"/>
      <c r="M223" s="134"/>
      <c r="O223" s="144"/>
      <c r="P223" s="130" t="s">
        <v>2964</v>
      </c>
      <c r="Q223" s="724">
        <f>M221</f>
        <v>0</v>
      </c>
      <c r="R223" s="131" t="s">
        <v>2965</v>
      </c>
      <c r="S223" s="138" t="str">
        <f t="shared" si="6"/>
        <v>SayString "0"</v>
      </c>
      <c r="T223" s="131"/>
      <c r="U223" s="138" t="str">
        <f t="shared" si="7"/>
        <v>SayString "0"</v>
      </c>
      <c r="V223" s="131"/>
      <c r="X223" s="714" t="str">
        <f>IF(Q221&lt;3,"//",U223)</f>
        <v>//</v>
      </c>
      <c r="Y223" s="715"/>
      <c r="AA223" t="str">
        <f>IF(Q221&lt;3,"//",X223)</f>
        <v>//</v>
      </c>
    </row>
    <row r="224" spans="11:27">
      <c r="K224" s="133"/>
      <c r="L224" s="134"/>
      <c r="M224" s="134"/>
      <c r="O224" s="144"/>
      <c r="P224" s="130" t="str">
        <f>$J$4</f>
        <v>Delay 600</v>
      </c>
      <c r="Q224" s="730"/>
      <c r="R224" s="131"/>
      <c r="S224" s="138" t="str">
        <f t="shared" si="6"/>
        <v>Delay 600</v>
      </c>
      <c r="T224" s="131"/>
      <c r="U224" s="138" t="str">
        <f t="shared" si="7"/>
        <v>Delay 600</v>
      </c>
      <c r="V224" s="131"/>
      <c r="X224" s="714" t="str">
        <f>IF(Q221&lt;3,"//",U224)</f>
        <v>//</v>
      </c>
      <c r="Y224" s="715"/>
      <c r="AA224" t="str">
        <f>IF(Q221&lt;3,"//",X224)</f>
        <v>//</v>
      </c>
    </row>
    <row r="225" spans="11:27">
      <c r="K225" s="133"/>
      <c r="L225" s="134"/>
      <c r="M225" s="134"/>
      <c r="O225" s="144"/>
      <c r="P225" s="130" t="s">
        <v>4068</v>
      </c>
      <c r="Q225" s="730"/>
      <c r="R225" s="131"/>
      <c r="S225" s="138" t="str">
        <f t="shared" si="6"/>
        <v>KeyPress "Enter", 1</v>
      </c>
      <c r="T225" s="131"/>
      <c r="U225" s="138" t="str">
        <f t="shared" si="7"/>
        <v>KeyPress "Enter", 1</v>
      </c>
      <c r="V225" s="131"/>
      <c r="X225" s="714" t="str">
        <f>IF(Q221&lt;3,"//",U225)</f>
        <v>//</v>
      </c>
      <c r="Y225" s="715"/>
      <c r="AA225" t="str">
        <f>IF(Q221&lt;3,"//",X225)</f>
        <v>//</v>
      </c>
    </row>
    <row r="226" spans="11:27" ht="17.25" thickBot="1">
      <c r="K226" s="133"/>
      <c r="L226" s="134"/>
      <c r="M226" s="134"/>
      <c r="O226" s="143"/>
      <c r="P226" s="130" t="str">
        <f>$J$5</f>
        <v>Delay 5000</v>
      </c>
      <c r="Q226" s="730"/>
      <c r="R226" s="131"/>
      <c r="S226" s="138" t="str">
        <f t="shared" si="6"/>
        <v>Delay 5000</v>
      </c>
      <c r="T226" s="131"/>
      <c r="U226" s="138" t="str">
        <f t="shared" si="7"/>
        <v>Delay 5000</v>
      </c>
      <c r="V226" s="131"/>
      <c r="X226" s="714" t="str">
        <f>IF(Q221&lt;3,"//",U226)</f>
        <v>//</v>
      </c>
      <c r="Y226" s="715"/>
      <c r="AA226" t="str">
        <f>IF(Q221&lt;3,"//",X226)</f>
        <v>//</v>
      </c>
    </row>
    <row r="227" spans="11:27">
      <c r="K227" s="133">
        <v>38</v>
      </c>
      <c r="L227" s="134">
        <v>2</v>
      </c>
      <c r="M227" s="134">
        <v>0</v>
      </c>
      <c r="O227" s="142">
        <f>$K$182</f>
        <v>0</v>
      </c>
      <c r="P227" s="130" t="s">
        <v>2963</v>
      </c>
      <c r="Q227" s="724">
        <f>L227</f>
        <v>2</v>
      </c>
      <c r="R227" s="131"/>
      <c r="S227" s="138" t="str">
        <f t="shared" si="6"/>
        <v>KeyPress "Tab", 2</v>
      </c>
      <c r="T227" s="131"/>
      <c r="U227" s="138" t="str">
        <f t="shared" si="7"/>
        <v>KeyPress "Tab", 2</v>
      </c>
      <c r="V227" s="131"/>
      <c r="W227">
        <v>38</v>
      </c>
      <c r="X227" s="714" t="str">
        <f>IF(Q227&lt;3,"//",U227)</f>
        <v>//</v>
      </c>
      <c r="Y227" s="715"/>
      <c r="AA227" t="str">
        <f>IF(Q227&lt;3,"//",X227)</f>
        <v>//</v>
      </c>
    </row>
    <row r="228" spans="11:27">
      <c r="K228" s="133"/>
      <c r="L228" s="134"/>
      <c r="M228" s="134"/>
      <c r="O228" s="144"/>
      <c r="P228" s="130" t="str">
        <f>$J$4</f>
        <v>Delay 600</v>
      </c>
      <c r="Q228" s="730"/>
      <c r="R228" s="131"/>
      <c r="S228" s="138" t="str">
        <f t="shared" si="6"/>
        <v>Delay 600</v>
      </c>
      <c r="T228" s="131"/>
      <c r="U228" s="138" t="str">
        <f t="shared" si="7"/>
        <v>Delay 600</v>
      </c>
      <c r="V228" s="131"/>
      <c r="X228" s="714" t="str">
        <f>IF(Q227&lt;3,"//",U228)</f>
        <v>//</v>
      </c>
      <c r="Y228" s="715"/>
      <c r="AA228" t="str">
        <f>IF(Q227&lt;3,"//",X228)</f>
        <v>//</v>
      </c>
    </row>
    <row r="229" spans="11:27">
      <c r="K229" s="133"/>
      <c r="L229" s="134"/>
      <c r="M229" s="134"/>
      <c r="O229" s="144"/>
      <c r="P229" s="130" t="s">
        <v>2964</v>
      </c>
      <c r="Q229" s="724">
        <f>M227</f>
        <v>0</v>
      </c>
      <c r="R229" s="131" t="s">
        <v>2965</v>
      </c>
      <c r="S229" s="138" t="str">
        <f t="shared" si="6"/>
        <v>SayString "0"</v>
      </c>
      <c r="T229" s="131"/>
      <c r="U229" s="138" t="str">
        <f t="shared" si="7"/>
        <v>SayString "0"</v>
      </c>
      <c r="V229" s="131"/>
      <c r="X229" s="714" t="str">
        <f>IF(Q227&lt;3,"//",U229)</f>
        <v>//</v>
      </c>
      <c r="Y229" s="715"/>
      <c r="AA229" t="str">
        <f>IF(Q227&lt;3,"//",X229)</f>
        <v>//</v>
      </c>
    </row>
    <row r="230" spans="11:27">
      <c r="K230" s="133"/>
      <c r="L230" s="134"/>
      <c r="M230" s="134"/>
      <c r="O230" s="144"/>
      <c r="P230" s="130" t="str">
        <f>$J$4</f>
        <v>Delay 600</v>
      </c>
      <c r="Q230" s="730"/>
      <c r="R230" s="131"/>
      <c r="S230" s="138" t="str">
        <f t="shared" si="6"/>
        <v>Delay 600</v>
      </c>
      <c r="T230" s="131"/>
      <c r="U230" s="138" t="str">
        <f t="shared" si="7"/>
        <v>Delay 600</v>
      </c>
      <c r="V230" s="131"/>
      <c r="X230" s="714" t="str">
        <f>IF(Q227&lt;3,"//",U230)</f>
        <v>//</v>
      </c>
      <c r="Y230" s="715"/>
      <c r="AA230" t="str">
        <f>IF(Q227&lt;3,"//",X230)</f>
        <v>//</v>
      </c>
    </row>
    <row r="231" spans="11:27">
      <c r="K231" s="133"/>
      <c r="L231" s="134"/>
      <c r="M231" s="134"/>
      <c r="O231" s="144"/>
      <c r="P231" s="130" t="s">
        <v>4068</v>
      </c>
      <c r="Q231" s="730"/>
      <c r="R231" s="131"/>
      <c r="S231" s="138" t="str">
        <f t="shared" si="6"/>
        <v>KeyPress "Enter", 1</v>
      </c>
      <c r="T231" s="131"/>
      <c r="U231" s="138" t="str">
        <f t="shared" si="7"/>
        <v>KeyPress "Enter", 1</v>
      </c>
      <c r="V231" s="131"/>
      <c r="X231" s="714" t="str">
        <f>IF(Q227&lt;3,"//",U231)</f>
        <v>//</v>
      </c>
      <c r="Y231" s="715"/>
      <c r="AA231" t="str">
        <f>IF(Q227&lt;3,"//",X231)</f>
        <v>//</v>
      </c>
    </row>
    <row r="232" spans="11:27" ht="17.25" thickBot="1">
      <c r="K232" s="133"/>
      <c r="L232" s="134"/>
      <c r="M232" s="134"/>
      <c r="O232" s="143"/>
      <c r="P232" s="130" t="str">
        <f>$J$5</f>
        <v>Delay 5000</v>
      </c>
      <c r="Q232" s="730"/>
      <c r="R232" s="131"/>
      <c r="S232" s="138" t="str">
        <f t="shared" si="6"/>
        <v>Delay 5000</v>
      </c>
      <c r="T232" s="131"/>
      <c r="U232" s="138" t="str">
        <f t="shared" si="7"/>
        <v>Delay 5000</v>
      </c>
      <c r="V232" s="131"/>
      <c r="X232" s="714" t="str">
        <f>IF(Q227&lt;3,"//",U232)</f>
        <v>//</v>
      </c>
      <c r="Y232" s="715"/>
      <c r="AA232" t="str">
        <f>IF(Q227&lt;3,"//",X232)</f>
        <v>//</v>
      </c>
    </row>
    <row r="233" spans="11:27">
      <c r="K233" s="133">
        <v>39</v>
      </c>
      <c r="L233" s="134">
        <v>2</v>
      </c>
      <c r="M233" s="134">
        <v>0</v>
      </c>
      <c r="O233" s="142">
        <f>$K$183</f>
        <v>0</v>
      </c>
      <c r="P233" s="130" t="s">
        <v>2963</v>
      </c>
      <c r="Q233" s="724">
        <f>L233</f>
        <v>2</v>
      </c>
      <c r="R233" s="131"/>
      <c r="S233" s="138" t="str">
        <f t="shared" si="6"/>
        <v>KeyPress "Tab", 2</v>
      </c>
      <c r="T233" s="131"/>
      <c r="U233" s="138" t="str">
        <f t="shared" si="7"/>
        <v>KeyPress "Tab", 2</v>
      </c>
      <c r="V233" s="131"/>
      <c r="W233">
        <v>39</v>
      </c>
      <c r="X233" s="714" t="str">
        <f>IF(Q233&lt;3,"//",U233)</f>
        <v>//</v>
      </c>
      <c r="Y233" s="715"/>
      <c r="AA233" t="str">
        <f>IF(Q233&lt;3,"//",X233)</f>
        <v>//</v>
      </c>
    </row>
    <row r="234" spans="11:27">
      <c r="K234" s="133"/>
      <c r="L234" s="134"/>
      <c r="M234" s="134"/>
      <c r="O234" s="144"/>
      <c r="P234" s="130" t="str">
        <f>$J$4</f>
        <v>Delay 600</v>
      </c>
      <c r="Q234" s="730"/>
      <c r="R234" s="131"/>
      <c r="S234" s="138" t="str">
        <f t="shared" si="6"/>
        <v>Delay 600</v>
      </c>
      <c r="T234" s="131"/>
      <c r="U234" s="138" t="str">
        <f t="shared" si="7"/>
        <v>Delay 600</v>
      </c>
      <c r="V234" s="131"/>
      <c r="X234" s="714" t="str">
        <f>IF(Q233&lt;3,"//",U234)</f>
        <v>//</v>
      </c>
      <c r="Y234" s="715"/>
      <c r="AA234" t="str">
        <f>IF(Q233&lt;3,"//",X234)</f>
        <v>//</v>
      </c>
    </row>
    <row r="235" spans="11:27">
      <c r="K235" s="133"/>
      <c r="L235" s="134"/>
      <c r="M235" s="134"/>
      <c r="O235" s="144"/>
      <c r="P235" s="130" t="s">
        <v>2964</v>
      </c>
      <c r="Q235" s="724">
        <f>M233</f>
        <v>0</v>
      </c>
      <c r="R235" s="131" t="s">
        <v>2965</v>
      </c>
      <c r="S235" s="138" t="str">
        <f t="shared" si="6"/>
        <v>SayString "0"</v>
      </c>
      <c r="T235" s="131"/>
      <c r="U235" s="138" t="str">
        <f t="shared" si="7"/>
        <v>SayString "0"</v>
      </c>
      <c r="V235" s="131"/>
      <c r="X235" s="714" t="str">
        <f>IF(Q233&lt;3,"//",U235)</f>
        <v>//</v>
      </c>
      <c r="Y235" s="715"/>
      <c r="AA235" t="str">
        <f>IF(Q233&lt;3,"//",X235)</f>
        <v>//</v>
      </c>
    </row>
    <row r="236" spans="11:27">
      <c r="K236" s="133"/>
      <c r="L236" s="134"/>
      <c r="M236" s="134"/>
      <c r="O236" s="144"/>
      <c r="P236" s="130" t="str">
        <f>$J$4</f>
        <v>Delay 600</v>
      </c>
      <c r="Q236" s="730"/>
      <c r="R236" s="131"/>
      <c r="S236" s="138" t="str">
        <f t="shared" si="6"/>
        <v>Delay 600</v>
      </c>
      <c r="T236" s="131"/>
      <c r="U236" s="138" t="str">
        <f t="shared" si="7"/>
        <v>Delay 600</v>
      </c>
      <c r="V236" s="131"/>
      <c r="X236" s="714" t="str">
        <f>IF(Q233&lt;3,"//",U236)</f>
        <v>//</v>
      </c>
      <c r="Y236" s="715"/>
      <c r="AA236" t="str">
        <f>IF(Q233&lt;3,"//",X236)</f>
        <v>//</v>
      </c>
    </row>
    <row r="237" spans="11:27">
      <c r="K237" s="133"/>
      <c r="L237" s="134"/>
      <c r="M237" s="134"/>
      <c r="O237" s="144"/>
      <c r="P237" s="130" t="s">
        <v>4068</v>
      </c>
      <c r="Q237" s="730"/>
      <c r="R237" s="131"/>
      <c r="S237" s="138" t="str">
        <f t="shared" si="6"/>
        <v>KeyPress "Enter", 1</v>
      </c>
      <c r="T237" s="131"/>
      <c r="U237" s="138" t="str">
        <f t="shared" si="7"/>
        <v>KeyPress "Enter", 1</v>
      </c>
      <c r="V237" s="131"/>
      <c r="X237" s="714" t="str">
        <f>IF(Q233&lt;3,"//",U237)</f>
        <v>//</v>
      </c>
      <c r="Y237" s="715"/>
      <c r="AA237" t="str">
        <f>IF(Q233&lt;3,"//",X237)</f>
        <v>//</v>
      </c>
    </row>
    <row r="238" spans="11:27" ht="17.25" thickBot="1">
      <c r="K238" s="133"/>
      <c r="L238" s="134"/>
      <c r="M238" s="134"/>
      <c r="O238" s="143"/>
      <c r="P238" s="130" t="str">
        <f>$J$5</f>
        <v>Delay 5000</v>
      </c>
      <c r="Q238" s="730"/>
      <c r="R238" s="131"/>
      <c r="S238" s="138" t="str">
        <f t="shared" si="6"/>
        <v>Delay 5000</v>
      </c>
      <c r="T238" s="131"/>
      <c r="U238" s="138" t="str">
        <f t="shared" si="7"/>
        <v>Delay 5000</v>
      </c>
      <c r="V238" s="131"/>
      <c r="X238" s="714" t="str">
        <f>IF(Q233&lt;3,"//",U238)</f>
        <v>//</v>
      </c>
      <c r="Y238" s="715"/>
      <c r="AA238" t="str">
        <f>IF(Q233&lt;3,"//",X238)</f>
        <v>//</v>
      </c>
    </row>
    <row r="239" spans="11:27">
      <c r="K239" s="133">
        <v>40</v>
      </c>
      <c r="L239" s="134">
        <v>2</v>
      </c>
      <c r="M239" s="134">
        <v>0</v>
      </c>
      <c r="O239" s="142">
        <f>$K$184</f>
        <v>0</v>
      </c>
      <c r="P239" s="130" t="s">
        <v>2963</v>
      </c>
      <c r="Q239" s="724">
        <f>L239</f>
        <v>2</v>
      </c>
      <c r="R239" s="131"/>
      <c r="S239" s="138" t="str">
        <f t="shared" si="6"/>
        <v>KeyPress "Tab", 2</v>
      </c>
      <c r="T239" s="131"/>
      <c r="U239" s="138" t="str">
        <f t="shared" si="7"/>
        <v>KeyPress "Tab", 2</v>
      </c>
      <c r="V239" s="131"/>
      <c r="W239">
        <v>40</v>
      </c>
      <c r="X239" s="714" t="str">
        <f>IF(Q239&lt;3,"//",U239)</f>
        <v>//</v>
      </c>
      <c r="Y239" s="715"/>
      <c r="AA239" t="str">
        <f>IF(Q239&lt;3,"//",X239)</f>
        <v>//</v>
      </c>
    </row>
    <row r="240" spans="11:27">
      <c r="K240" s="133"/>
      <c r="L240" s="134"/>
      <c r="M240" s="134"/>
      <c r="O240" s="144"/>
      <c r="P240" s="130" t="str">
        <f>$J$4</f>
        <v>Delay 600</v>
      </c>
      <c r="Q240" s="730"/>
      <c r="R240" s="131"/>
      <c r="S240" s="138" t="str">
        <f t="shared" si="6"/>
        <v>Delay 600</v>
      </c>
      <c r="T240" s="131"/>
      <c r="U240" s="138" t="str">
        <f t="shared" si="7"/>
        <v>Delay 600</v>
      </c>
      <c r="V240" s="131"/>
      <c r="X240" s="714" t="str">
        <f>IF(Q239&lt;3,"//",U240)</f>
        <v>//</v>
      </c>
      <c r="Y240" s="715"/>
      <c r="AA240" t="str">
        <f>IF(Q239&lt;3,"//",X240)</f>
        <v>//</v>
      </c>
    </row>
    <row r="241" spans="11:27">
      <c r="K241" s="133"/>
      <c r="L241" s="134"/>
      <c r="M241" s="134"/>
      <c r="O241" s="144"/>
      <c r="P241" s="130" t="s">
        <v>2964</v>
      </c>
      <c r="Q241" s="724">
        <f>M239</f>
        <v>0</v>
      </c>
      <c r="R241" s="131" t="s">
        <v>2965</v>
      </c>
      <c r="S241" s="138" t="str">
        <f t="shared" si="6"/>
        <v>SayString "0"</v>
      </c>
      <c r="T241" s="131"/>
      <c r="U241" s="138" t="str">
        <f t="shared" si="7"/>
        <v>SayString "0"</v>
      </c>
      <c r="V241" s="131"/>
      <c r="X241" s="714" t="str">
        <f>IF(Q239&lt;3,"//",U241)</f>
        <v>//</v>
      </c>
      <c r="Y241" s="715"/>
      <c r="AA241" t="str">
        <f>IF(Q239&lt;3,"//",X241)</f>
        <v>//</v>
      </c>
    </row>
    <row r="242" spans="11:27">
      <c r="K242" s="133"/>
      <c r="L242" s="134"/>
      <c r="M242" s="134"/>
      <c r="O242" s="144"/>
      <c r="P242" s="130" t="str">
        <f>$J$4</f>
        <v>Delay 600</v>
      </c>
      <c r="Q242" s="730"/>
      <c r="R242" s="131"/>
      <c r="S242" s="138" t="str">
        <f t="shared" si="6"/>
        <v>Delay 600</v>
      </c>
      <c r="T242" s="131"/>
      <c r="U242" s="138" t="str">
        <f t="shared" si="7"/>
        <v>Delay 600</v>
      </c>
      <c r="V242" s="131"/>
      <c r="X242" s="714" t="str">
        <f>IF(Q239&lt;3,"//",U242)</f>
        <v>//</v>
      </c>
      <c r="Y242" s="715"/>
      <c r="AA242" t="str">
        <f>IF(Q239&lt;3,"//",X242)</f>
        <v>//</v>
      </c>
    </row>
    <row r="243" spans="11:27">
      <c r="K243" s="133"/>
      <c r="L243" s="134"/>
      <c r="M243" s="134"/>
      <c r="O243" s="144"/>
      <c r="P243" s="130" t="s">
        <v>4068</v>
      </c>
      <c r="Q243" s="730"/>
      <c r="R243" s="131"/>
      <c r="S243" s="138" t="str">
        <f t="shared" si="6"/>
        <v>KeyPress "Enter", 1</v>
      </c>
      <c r="T243" s="131"/>
      <c r="U243" s="138" t="str">
        <f t="shared" si="7"/>
        <v>KeyPress "Enter", 1</v>
      </c>
      <c r="V243" s="131"/>
      <c r="X243" s="714" t="str">
        <f>IF(Q239&lt;3,"//",U243)</f>
        <v>//</v>
      </c>
      <c r="Y243" s="715"/>
      <c r="AA243" t="str">
        <f>IF(Q239&lt;3,"//",X243)</f>
        <v>//</v>
      </c>
    </row>
    <row r="244" spans="11:27" ht="17.25" thickBot="1">
      <c r="K244" s="133"/>
      <c r="L244" s="134"/>
      <c r="M244" s="134"/>
      <c r="O244" s="143"/>
      <c r="P244" s="130" t="str">
        <f>$J$5</f>
        <v>Delay 5000</v>
      </c>
      <c r="Q244" s="730"/>
      <c r="R244" s="131"/>
      <c r="S244" s="138" t="str">
        <f t="shared" si="6"/>
        <v>Delay 5000</v>
      </c>
      <c r="T244" s="131"/>
      <c r="U244" s="138" t="str">
        <f t="shared" si="7"/>
        <v>Delay 5000</v>
      </c>
      <c r="V244" s="131"/>
      <c r="X244" s="714" t="str">
        <f>IF(Q239&lt;3,"//",U244)</f>
        <v>//</v>
      </c>
      <c r="Y244" s="715"/>
      <c r="AA244" t="str">
        <f>IF(Q239&lt;3,"//",X244)</f>
        <v>//</v>
      </c>
    </row>
    <row r="245" spans="11:27">
      <c r="K245" s="133">
        <v>41</v>
      </c>
      <c r="L245" s="134">
        <v>2</v>
      </c>
      <c r="M245" s="134">
        <v>0</v>
      </c>
      <c r="P245" s="130" t="s">
        <v>2963</v>
      </c>
      <c r="Q245" s="724">
        <f>L245</f>
        <v>2</v>
      </c>
      <c r="R245" s="131"/>
      <c r="S245" s="138" t="str">
        <f t="shared" si="6"/>
        <v>KeyPress "Tab", 2</v>
      </c>
      <c r="T245" s="131"/>
      <c r="U245" s="138" t="str">
        <f t="shared" si="7"/>
        <v>KeyPress "Tab", 2</v>
      </c>
      <c r="V245" s="131"/>
      <c r="X245" s="714" t="str">
        <f>IF(Q245&lt;3,"//",U245)</f>
        <v>//</v>
      </c>
      <c r="Y245" s="715"/>
      <c r="AA245" t="str">
        <f>IF(Q245&lt;3,"//",X245)</f>
        <v>//</v>
      </c>
    </row>
    <row r="246" spans="11:27">
      <c r="K246" s="133"/>
      <c r="L246" s="134"/>
      <c r="M246" s="134"/>
      <c r="P246" s="130" t="str">
        <f>$J$4</f>
        <v>Delay 600</v>
      </c>
      <c r="Q246" s="730"/>
      <c r="R246" s="131"/>
      <c r="S246" s="138" t="str">
        <f t="shared" si="6"/>
        <v>Delay 600</v>
      </c>
      <c r="T246" s="131"/>
      <c r="U246" s="138" t="str">
        <f t="shared" si="7"/>
        <v>Delay 600</v>
      </c>
      <c r="V246" s="131"/>
      <c r="X246" s="714" t="str">
        <f>IF(Q245&lt;3,"//",U246)</f>
        <v>//</v>
      </c>
      <c r="Y246" s="715"/>
      <c r="AA246" t="str">
        <f>IF(Q245&lt;3,"//",X246)</f>
        <v>//</v>
      </c>
    </row>
    <row r="247" spans="11:27">
      <c r="K247" s="133"/>
      <c r="L247" s="134"/>
      <c r="M247" s="134"/>
      <c r="P247" s="130" t="s">
        <v>2964</v>
      </c>
      <c r="Q247" s="724">
        <f>M245</f>
        <v>0</v>
      </c>
      <c r="R247" s="131" t="s">
        <v>2965</v>
      </c>
      <c r="S247" s="138" t="str">
        <f t="shared" si="6"/>
        <v>SayString "0"</v>
      </c>
      <c r="T247" s="131"/>
      <c r="U247" s="138" t="str">
        <f t="shared" si="7"/>
        <v>SayString "0"</v>
      </c>
      <c r="V247" s="131"/>
      <c r="W247" s="7"/>
      <c r="X247" s="714" t="str">
        <f>IF(Q245&lt;3,"//",U247)</f>
        <v>//</v>
      </c>
      <c r="Y247" s="715"/>
      <c r="AA247" t="str">
        <f>IF(Q245&lt;3,"//",X247)</f>
        <v>//</v>
      </c>
    </row>
    <row r="248" spans="11:27">
      <c r="K248" s="133"/>
      <c r="L248" s="134"/>
      <c r="M248" s="134"/>
      <c r="P248" s="130" t="str">
        <f>$J$4</f>
        <v>Delay 600</v>
      </c>
      <c r="Q248" s="730"/>
      <c r="R248" s="131"/>
      <c r="S248" s="138" t="str">
        <f t="shared" si="6"/>
        <v>Delay 600</v>
      </c>
      <c r="T248" s="131"/>
      <c r="U248" s="138" t="str">
        <f t="shared" si="7"/>
        <v>Delay 600</v>
      </c>
      <c r="V248" s="131"/>
      <c r="W248" s="7"/>
      <c r="X248" s="714" t="str">
        <f>IF(Q245&lt;3,"//",U248)</f>
        <v>//</v>
      </c>
      <c r="Y248" s="715"/>
      <c r="AA248" t="str">
        <f>IF(Q245&lt;3,"//",X248)</f>
        <v>//</v>
      </c>
    </row>
    <row r="249" spans="11:27">
      <c r="K249" s="133"/>
      <c r="L249" s="134"/>
      <c r="M249" s="134"/>
      <c r="P249" s="130" t="s">
        <v>4068</v>
      </c>
      <c r="Q249" s="730"/>
      <c r="R249" s="131"/>
      <c r="S249" s="138" t="str">
        <f t="shared" si="6"/>
        <v>KeyPress "Enter", 1</v>
      </c>
      <c r="T249" s="131"/>
      <c r="U249" s="138" t="str">
        <f t="shared" si="7"/>
        <v>KeyPress "Enter", 1</v>
      </c>
      <c r="V249" s="131"/>
      <c r="W249" s="7"/>
      <c r="X249" s="714" t="str">
        <f>IF(Q245&lt;3,"//",U249)</f>
        <v>//</v>
      </c>
      <c r="Y249" s="715"/>
      <c r="AA249" t="str">
        <f>IF(Q245&lt;3,"//",X249)</f>
        <v>//</v>
      </c>
    </row>
    <row r="250" spans="11:27">
      <c r="K250" s="133"/>
      <c r="L250" s="134"/>
      <c r="M250" s="134"/>
      <c r="P250" s="130" t="str">
        <f>$J$5</f>
        <v>Delay 5000</v>
      </c>
      <c r="Q250" s="730"/>
      <c r="R250" s="131"/>
      <c r="S250" s="138" t="str">
        <f t="shared" si="6"/>
        <v>Delay 5000</v>
      </c>
      <c r="T250" s="131"/>
      <c r="U250" s="138" t="str">
        <f t="shared" si="7"/>
        <v>Delay 5000</v>
      </c>
      <c r="V250" s="131"/>
      <c r="X250" s="714" t="str">
        <f>IF(Q245&lt;3,"//",U250)</f>
        <v>//</v>
      </c>
      <c r="Y250" s="715"/>
      <c r="AA250" t="str">
        <f>IF(Q245&lt;3,"//",X250)</f>
        <v>//</v>
      </c>
    </row>
    <row r="251" spans="11:27">
      <c r="K251" s="133">
        <v>42</v>
      </c>
      <c r="L251" s="134">
        <v>2</v>
      </c>
      <c r="M251" s="134">
        <v>0</v>
      </c>
      <c r="P251" s="130" t="s">
        <v>2963</v>
      </c>
      <c r="Q251" s="724">
        <f>L251</f>
        <v>2</v>
      </c>
      <c r="R251" s="131"/>
      <c r="S251" s="138" t="str">
        <f t="shared" si="6"/>
        <v>KeyPress "Tab", 2</v>
      </c>
      <c r="T251" s="131"/>
      <c r="U251" s="138" t="str">
        <f t="shared" si="7"/>
        <v>KeyPress "Tab", 2</v>
      </c>
      <c r="V251" s="131"/>
      <c r="X251" s="714" t="str">
        <f>IF(Q251&lt;3,"//",U251)</f>
        <v>//</v>
      </c>
      <c r="Y251" s="715"/>
      <c r="AA251" t="str">
        <f>IF(Q251&lt;3,"//",X251)</f>
        <v>//</v>
      </c>
    </row>
    <row r="252" spans="11:27">
      <c r="K252" s="133"/>
      <c r="L252" s="134"/>
      <c r="M252" s="134"/>
      <c r="P252" s="130" t="str">
        <f>$J$4</f>
        <v>Delay 600</v>
      </c>
      <c r="Q252" s="730"/>
      <c r="R252" s="131"/>
      <c r="S252" s="138" t="str">
        <f t="shared" si="6"/>
        <v>Delay 600</v>
      </c>
      <c r="T252" s="131"/>
      <c r="U252" s="138" t="str">
        <f t="shared" si="7"/>
        <v>Delay 600</v>
      </c>
      <c r="V252" s="131"/>
      <c r="X252" s="714" t="str">
        <f>IF(Q251&lt;3,"//",U252)</f>
        <v>//</v>
      </c>
      <c r="Y252" s="715"/>
      <c r="AA252" t="str">
        <f>IF(Q251&lt;3,"//",X252)</f>
        <v>//</v>
      </c>
    </row>
    <row r="253" spans="11:27">
      <c r="K253" s="133"/>
      <c r="L253" s="134"/>
      <c r="M253" s="134"/>
      <c r="P253" s="130" t="s">
        <v>2964</v>
      </c>
      <c r="Q253" s="724">
        <f>M251</f>
        <v>0</v>
      </c>
      <c r="R253" s="131" t="s">
        <v>2965</v>
      </c>
      <c r="S253" s="138" t="str">
        <f t="shared" si="6"/>
        <v>SayString "0"</v>
      </c>
      <c r="T253" s="131"/>
      <c r="U253" s="138" t="str">
        <f t="shared" si="7"/>
        <v>SayString "0"</v>
      </c>
      <c r="V253" s="131"/>
      <c r="X253" s="714" t="str">
        <f>IF(Q251&lt;3,"//",U253)</f>
        <v>//</v>
      </c>
      <c r="Y253" s="715"/>
      <c r="AA253" t="str">
        <f>IF(Q251&lt;3,"//",X253)</f>
        <v>//</v>
      </c>
    </row>
    <row r="254" spans="11:27">
      <c r="K254" s="133"/>
      <c r="L254" s="134"/>
      <c r="M254" s="134"/>
      <c r="P254" s="130" t="str">
        <f>$J$4</f>
        <v>Delay 600</v>
      </c>
      <c r="Q254" s="730"/>
      <c r="R254" s="131"/>
      <c r="S254" s="138" t="str">
        <f t="shared" si="6"/>
        <v>Delay 600</v>
      </c>
      <c r="T254" s="131"/>
      <c r="U254" s="138" t="str">
        <f t="shared" si="7"/>
        <v>Delay 600</v>
      </c>
      <c r="V254" s="131"/>
      <c r="X254" s="714" t="str">
        <f>IF(Q251&lt;3,"//",U254)</f>
        <v>//</v>
      </c>
      <c r="Y254" s="715"/>
      <c r="AA254" t="str">
        <f>IF(Q251&lt;3,"//",X254)</f>
        <v>//</v>
      </c>
    </row>
    <row r="255" spans="11:27">
      <c r="K255" s="133"/>
      <c r="L255" s="134"/>
      <c r="M255" s="134"/>
      <c r="P255" s="130" t="s">
        <v>4068</v>
      </c>
      <c r="Q255" s="730"/>
      <c r="R255" s="131"/>
      <c r="S255" s="138" t="str">
        <f t="shared" si="6"/>
        <v>KeyPress "Enter", 1</v>
      </c>
      <c r="T255" s="131"/>
      <c r="U255" s="138" t="str">
        <f t="shared" si="7"/>
        <v>KeyPress "Enter", 1</v>
      </c>
      <c r="V255" s="131"/>
      <c r="X255" s="714" t="str">
        <f>IF(Q251&lt;3,"//",U255)</f>
        <v>//</v>
      </c>
      <c r="Y255" s="715"/>
      <c r="AA255" t="str">
        <f>IF(Q251&lt;3,"//",X255)</f>
        <v>//</v>
      </c>
    </row>
    <row r="256" spans="11:27">
      <c r="K256" s="133"/>
      <c r="L256" s="134"/>
      <c r="M256" s="134"/>
      <c r="P256" s="130" t="str">
        <f>$J$5</f>
        <v>Delay 5000</v>
      </c>
      <c r="Q256" s="730"/>
      <c r="R256" s="131"/>
      <c r="S256" s="138" t="str">
        <f t="shared" si="6"/>
        <v>Delay 5000</v>
      </c>
      <c r="T256" s="131"/>
      <c r="U256" s="138" t="str">
        <f t="shared" si="7"/>
        <v>Delay 5000</v>
      </c>
      <c r="V256" s="131"/>
      <c r="X256" s="714" t="str">
        <f>IF(Q251&lt;3,"//",U256)</f>
        <v>//</v>
      </c>
      <c r="Y256" s="715"/>
      <c r="AA256" t="str">
        <f>IF(Q251&lt;3,"//",X256)</f>
        <v>//</v>
      </c>
    </row>
    <row r="257" spans="11:27">
      <c r="K257" s="133">
        <v>43</v>
      </c>
      <c r="L257" s="134">
        <v>2</v>
      </c>
      <c r="M257" s="134">
        <v>0</v>
      </c>
      <c r="P257" s="130" t="s">
        <v>2963</v>
      </c>
      <c r="Q257" s="724">
        <f>L257</f>
        <v>2</v>
      </c>
      <c r="R257" s="131"/>
      <c r="S257" s="138" t="str">
        <f t="shared" si="6"/>
        <v>KeyPress "Tab", 2</v>
      </c>
      <c r="T257" s="131"/>
      <c r="U257" s="138" t="str">
        <f t="shared" si="7"/>
        <v>KeyPress "Tab", 2</v>
      </c>
      <c r="V257" s="131"/>
      <c r="X257" s="714" t="str">
        <f>IF(Q257&lt;3,"//",U257)</f>
        <v>//</v>
      </c>
      <c r="Y257" s="715"/>
      <c r="AA257" t="str">
        <f>IF(Q257&lt;3,"//",X257)</f>
        <v>//</v>
      </c>
    </row>
    <row r="258" spans="11:27">
      <c r="K258" s="133"/>
      <c r="L258" s="134"/>
      <c r="M258" s="134"/>
      <c r="P258" s="130" t="str">
        <f>$J$4</f>
        <v>Delay 600</v>
      </c>
      <c r="Q258" s="730"/>
      <c r="R258" s="131"/>
      <c r="S258" s="138" t="str">
        <f t="shared" si="6"/>
        <v>Delay 600</v>
      </c>
      <c r="T258" s="131"/>
      <c r="U258" s="138" t="str">
        <f t="shared" si="7"/>
        <v>Delay 600</v>
      </c>
      <c r="V258" s="131"/>
      <c r="X258" s="714" t="str">
        <f>IF(Q257&lt;3,"//",U258)</f>
        <v>//</v>
      </c>
      <c r="Y258" s="715"/>
      <c r="AA258" t="str">
        <f>IF(Q257&lt;3,"//",X258)</f>
        <v>//</v>
      </c>
    </row>
    <row r="259" spans="11:27">
      <c r="K259" s="133"/>
      <c r="L259" s="134"/>
      <c r="M259" s="134"/>
      <c r="P259" s="130" t="s">
        <v>2964</v>
      </c>
      <c r="Q259" s="724">
        <f>M257</f>
        <v>0</v>
      </c>
      <c r="R259" s="131" t="s">
        <v>2965</v>
      </c>
      <c r="S259" s="138" t="str">
        <f t="shared" ref="S259:S322" si="8">P259&amp;""&amp;Q259&amp;""&amp;R259</f>
        <v>SayString "0"</v>
      </c>
      <c r="T259" s="131"/>
      <c r="U259" s="138" t="str">
        <f t="shared" ref="U259:U322" si="9">S259</f>
        <v>SayString "0"</v>
      </c>
      <c r="V259" s="131"/>
      <c r="X259" s="714" t="str">
        <f>IF(Q257&lt;3,"//",U259)</f>
        <v>//</v>
      </c>
      <c r="Y259" s="715"/>
      <c r="AA259" t="str">
        <f>IF(Q257&lt;3,"//",X259)</f>
        <v>//</v>
      </c>
    </row>
    <row r="260" spans="11:27">
      <c r="K260" s="133"/>
      <c r="L260" s="134"/>
      <c r="M260" s="134"/>
      <c r="P260" s="130" t="str">
        <f>$J$4</f>
        <v>Delay 600</v>
      </c>
      <c r="Q260" s="730"/>
      <c r="R260" s="131"/>
      <c r="S260" s="138" t="str">
        <f t="shared" si="8"/>
        <v>Delay 600</v>
      </c>
      <c r="T260" s="131"/>
      <c r="U260" s="138" t="str">
        <f t="shared" si="9"/>
        <v>Delay 600</v>
      </c>
      <c r="V260" s="131"/>
      <c r="X260" s="714" t="str">
        <f>IF(Q257&lt;3,"//",U260)</f>
        <v>//</v>
      </c>
      <c r="Y260" s="715"/>
      <c r="AA260" t="str">
        <f>IF(Q257&lt;3,"//",X260)</f>
        <v>//</v>
      </c>
    </row>
    <row r="261" spans="11:27">
      <c r="K261" s="133"/>
      <c r="L261" s="134"/>
      <c r="M261" s="134"/>
      <c r="P261" s="130" t="s">
        <v>4068</v>
      </c>
      <c r="Q261" s="730"/>
      <c r="R261" s="131"/>
      <c r="S261" s="138" t="str">
        <f t="shared" si="8"/>
        <v>KeyPress "Enter", 1</v>
      </c>
      <c r="T261" s="131"/>
      <c r="U261" s="138" t="str">
        <f t="shared" si="9"/>
        <v>KeyPress "Enter", 1</v>
      </c>
      <c r="V261" s="131"/>
      <c r="X261" s="714" t="str">
        <f>IF(Q257&lt;3,"//",U261)</f>
        <v>//</v>
      </c>
      <c r="Y261" s="715"/>
      <c r="AA261" t="str">
        <f>IF(Q257&lt;3,"//",X261)</f>
        <v>//</v>
      </c>
    </row>
    <row r="262" spans="11:27">
      <c r="K262" s="133"/>
      <c r="L262" s="134"/>
      <c r="M262" s="134"/>
      <c r="P262" s="130" t="str">
        <f>$J$5</f>
        <v>Delay 5000</v>
      </c>
      <c r="Q262" s="730"/>
      <c r="R262" s="131"/>
      <c r="S262" s="138" t="str">
        <f t="shared" si="8"/>
        <v>Delay 5000</v>
      </c>
      <c r="T262" s="131"/>
      <c r="U262" s="138" t="str">
        <f t="shared" si="9"/>
        <v>Delay 5000</v>
      </c>
      <c r="V262" s="131"/>
      <c r="X262" s="714" t="str">
        <f>IF(Q257&lt;3,"//",U262)</f>
        <v>//</v>
      </c>
      <c r="Y262" s="715"/>
      <c r="AA262" t="str">
        <f>IF(Q257&lt;3,"//",X262)</f>
        <v>//</v>
      </c>
    </row>
    <row r="263" spans="11:27">
      <c r="K263" s="133">
        <v>44</v>
      </c>
      <c r="L263" s="134">
        <v>2</v>
      </c>
      <c r="M263" s="134">
        <v>0</v>
      </c>
      <c r="P263" s="130" t="s">
        <v>2963</v>
      </c>
      <c r="Q263" s="724">
        <f>L263</f>
        <v>2</v>
      </c>
      <c r="R263" s="131"/>
      <c r="S263" s="138" t="str">
        <f t="shared" si="8"/>
        <v>KeyPress "Tab", 2</v>
      </c>
      <c r="T263" s="131"/>
      <c r="U263" s="138" t="str">
        <f t="shared" si="9"/>
        <v>KeyPress "Tab", 2</v>
      </c>
      <c r="V263" s="131"/>
      <c r="X263" s="714" t="str">
        <f>IF(Q263&lt;3,"//",U263)</f>
        <v>//</v>
      </c>
      <c r="Y263" s="715"/>
      <c r="AA263" t="str">
        <f>IF(Q263&lt;3,"//",X263)</f>
        <v>//</v>
      </c>
    </row>
    <row r="264" spans="11:27">
      <c r="K264" s="133"/>
      <c r="L264" s="134"/>
      <c r="M264" s="134"/>
      <c r="P264" s="130" t="str">
        <f>$J$4</f>
        <v>Delay 600</v>
      </c>
      <c r="Q264" s="730"/>
      <c r="R264" s="131"/>
      <c r="S264" s="138" t="str">
        <f t="shared" si="8"/>
        <v>Delay 600</v>
      </c>
      <c r="T264" s="131"/>
      <c r="U264" s="138" t="str">
        <f t="shared" si="9"/>
        <v>Delay 600</v>
      </c>
      <c r="V264" s="131"/>
      <c r="X264" s="714" t="str">
        <f>IF(Q263&lt;3,"//",U264)</f>
        <v>//</v>
      </c>
      <c r="Y264" s="715"/>
      <c r="AA264" t="str">
        <f>IF(Q263&lt;3,"//",X264)</f>
        <v>//</v>
      </c>
    </row>
    <row r="265" spans="11:27">
      <c r="K265" s="133"/>
      <c r="L265" s="134"/>
      <c r="M265" s="134"/>
      <c r="P265" s="130" t="s">
        <v>2964</v>
      </c>
      <c r="Q265" s="724">
        <f>M263</f>
        <v>0</v>
      </c>
      <c r="R265" s="131" t="s">
        <v>2965</v>
      </c>
      <c r="S265" s="138" t="str">
        <f t="shared" si="8"/>
        <v>SayString "0"</v>
      </c>
      <c r="T265" s="131"/>
      <c r="U265" s="138" t="str">
        <f t="shared" si="9"/>
        <v>SayString "0"</v>
      </c>
      <c r="V265" s="131"/>
      <c r="X265" s="714" t="str">
        <f>IF(Q263&lt;3,"//",U265)</f>
        <v>//</v>
      </c>
      <c r="Y265" s="715"/>
      <c r="AA265" t="str">
        <f>IF(Q263&lt;3,"//",X265)</f>
        <v>//</v>
      </c>
    </row>
    <row r="266" spans="11:27">
      <c r="K266" s="133"/>
      <c r="L266" s="134"/>
      <c r="M266" s="134"/>
      <c r="P266" s="130" t="str">
        <f>$J$4</f>
        <v>Delay 600</v>
      </c>
      <c r="Q266" s="730"/>
      <c r="R266" s="131"/>
      <c r="S266" s="138" t="str">
        <f t="shared" si="8"/>
        <v>Delay 600</v>
      </c>
      <c r="T266" s="131"/>
      <c r="U266" s="138" t="str">
        <f t="shared" si="9"/>
        <v>Delay 600</v>
      </c>
      <c r="V266" s="131"/>
      <c r="X266" s="714" t="str">
        <f>IF(Q263&lt;3,"//",U266)</f>
        <v>//</v>
      </c>
      <c r="Y266" s="715"/>
      <c r="AA266" t="str">
        <f>IF(Q263&lt;3,"//",X266)</f>
        <v>//</v>
      </c>
    </row>
    <row r="267" spans="11:27">
      <c r="K267" s="133"/>
      <c r="L267" s="134"/>
      <c r="M267" s="134"/>
      <c r="P267" s="130" t="s">
        <v>4068</v>
      </c>
      <c r="Q267" s="730"/>
      <c r="R267" s="131"/>
      <c r="S267" s="138" t="str">
        <f t="shared" si="8"/>
        <v>KeyPress "Enter", 1</v>
      </c>
      <c r="T267" s="131"/>
      <c r="U267" s="138" t="str">
        <f t="shared" si="9"/>
        <v>KeyPress "Enter", 1</v>
      </c>
      <c r="V267" s="131"/>
      <c r="X267" s="714" t="str">
        <f>IF(Q263&lt;3,"//",U267)</f>
        <v>//</v>
      </c>
      <c r="Y267" s="715"/>
      <c r="AA267" t="str">
        <f>IF(Q263&lt;3,"//",X267)</f>
        <v>//</v>
      </c>
    </row>
    <row r="268" spans="11:27">
      <c r="K268" s="133"/>
      <c r="L268" s="134"/>
      <c r="M268" s="134"/>
      <c r="P268" s="130" t="str">
        <f>$J$5</f>
        <v>Delay 5000</v>
      </c>
      <c r="Q268" s="730"/>
      <c r="R268" s="131"/>
      <c r="S268" s="138" t="str">
        <f t="shared" si="8"/>
        <v>Delay 5000</v>
      </c>
      <c r="T268" s="131"/>
      <c r="U268" s="138" t="str">
        <f t="shared" si="9"/>
        <v>Delay 5000</v>
      </c>
      <c r="V268" s="131"/>
      <c r="X268" s="714" t="str">
        <f>IF(Q263&lt;3,"//",U268)</f>
        <v>//</v>
      </c>
      <c r="Y268" s="715"/>
      <c r="AA268" t="str">
        <f>IF(Q263&lt;3,"//",X268)</f>
        <v>//</v>
      </c>
    </row>
    <row r="269" spans="11:27">
      <c r="K269" s="133">
        <v>45</v>
      </c>
      <c r="L269" s="134">
        <v>2</v>
      </c>
      <c r="M269" s="134">
        <v>0</v>
      </c>
      <c r="P269" s="130" t="s">
        <v>2963</v>
      </c>
      <c r="Q269" s="724">
        <f>L269</f>
        <v>2</v>
      </c>
      <c r="R269" s="131"/>
      <c r="S269" s="138" t="str">
        <f t="shared" si="8"/>
        <v>KeyPress "Tab", 2</v>
      </c>
      <c r="T269" s="131"/>
      <c r="U269" s="138" t="str">
        <f t="shared" si="9"/>
        <v>KeyPress "Tab", 2</v>
      </c>
      <c r="V269" s="131"/>
      <c r="X269" s="714" t="str">
        <f>IF(Q269&lt;3,"//",U269)</f>
        <v>//</v>
      </c>
      <c r="Y269" s="715"/>
      <c r="AA269" t="str">
        <f>IF(Q269&lt;3,"//",X269)</f>
        <v>//</v>
      </c>
    </row>
    <row r="270" spans="11:27">
      <c r="K270" s="133"/>
      <c r="L270" s="134"/>
      <c r="M270" s="134"/>
      <c r="P270" s="130" t="str">
        <f>$J$4</f>
        <v>Delay 600</v>
      </c>
      <c r="Q270" s="730"/>
      <c r="R270" s="131"/>
      <c r="S270" s="138" t="str">
        <f t="shared" si="8"/>
        <v>Delay 600</v>
      </c>
      <c r="T270" s="131"/>
      <c r="U270" s="138" t="str">
        <f t="shared" si="9"/>
        <v>Delay 600</v>
      </c>
      <c r="V270" s="131"/>
      <c r="X270" s="714" t="str">
        <f>IF(Q269&lt;3,"//",U270)</f>
        <v>//</v>
      </c>
      <c r="Y270" s="715"/>
      <c r="AA270" t="str">
        <f>IF(Q269&lt;3,"//",X270)</f>
        <v>//</v>
      </c>
    </row>
    <row r="271" spans="11:27">
      <c r="K271" s="133"/>
      <c r="L271" s="134"/>
      <c r="M271" s="134"/>
      <c r="P271" s="130" t="s">
        <v>2964</v>
      </c>
      <c r="Q271" s="724">
        <f>M269</f>
        <v>0</v>
      </c>
      <c r="R271" s="131" t="s">
        <v>2965</v>
      </c>
      <c r="S271" s="138" t="str">
        <f t="shared" si="8"/>
        <v>SayString "0"</v>
      </c>
      <c r="T271" s="131"/>
      <c r="U271" s="138" t="str">
        <f t="shared" si="9"/>
        <v>SayString "0"</v>
      </c>
      <c r="V271" s="131"/>
      <c r="X271" s="714" t="str">
        <f>IF(Q269&lt;3,"//",U271)</f>
        <v>//</v>
      </c>
      <c r="Y271" s="715"/>
      <c r="AA271" t="str">
        <f>IF(Q269&lt;3,"//",X271)</f>
        <v>//</v>
      </c>
    </row>
    <row r="272" spans="11:27">
      <c r="K272" s="133"/>
      <c r="L272" s="134"/>
      <c r="M272" s="134"/>
      <c r="P272" s="130" t="str">
        <f>$J$4</f>
        <v>Delay 600</v>
      </c>
      <c r="Q272" s="730"/>
      <c r="R272" s="131"/>
      <c r="S272" s="138" t="str">
        <f t="shared" si="8"/>
        <v>Delay 600</v>
      </c>
      <c r="T272" s="131"/>
      <c r="U272" s="138" t="str">
        <f t="shared" si="9"/>
        <v>Delay 600</v>
      </c>
      <c r="V272" s="131"/>
      <c r="X272" s="714" t="str">
        <f>IF(Q269&lt;3,"//",U272)</f>
        <v>//</v>
      </c>
      <c r="Y272" s="715"/>
      <c r="AA272" t="str">
        <f>IF(Q269&lt;3,"//",X272)</f>
        <v>//</v>
      </c>
    </row>
    <row r="273" spans="11:27">
      <c r="K273" s="133"/>
      <c r="L273" s="134"/>
      <c r="M273" s="134"/>
      <c r="P273" s="130" t="s">
        <v>4068</v>
      </c>
      <c r="Q273" s="730"/>
      <c r="R273" s="131"/>
      <c r="S273" s="138" t="str">
        <f t="shared" si="8"/>
        <v>KeyPress "Enter", 1</v>
      </c>
      <c r="T273" s="131"/>
      <c r="U273" s="138" t="str">
        <f t="shared" si="9"/>
        <v>KeyPress "Enter", 1</v>
      </c>
      <c r="V273" s="131"/>
      <c r="X273" s="714" t="str">
        <f>IF(Q269&lt;3,"//",U273)</f>
        <v>//</v>
      </c>
      <c r="Y273" s="715"/>
      <c r="AA273" t="str">
        <f>IF(Q269&lt;3,"//",X273)</f>
        <v>//</v>
      </c>
    </row>
    <row r="274" spans="11:27">
      <c r="K274" s="133"/>
      <c r="L274" s="134"/>
      <c r="M274" s="134"/>
      <c r="P274" s="130" t="str">
        <f>$J$5</f>
        <v>Delay 5000</v>
      </c>
      <c r="Q274" s="730"/>
      <c r="R274" s="131"/>
      <c r="S274" s="138" t="str">
        <f t="shared" si="8"/>
        <v>Delay 5000</v>
      </c>
      <c r="T274" s="131"/>
      <c r="U274" s="138" t="str">
        <f t="shared" si="9"/>
        <v>Delay 5000</v>
      </c>
      <c r="V274" s="131"/>
      <c r="X274" s="714" t="str">
        <f>IF(Q269&lt;3,"//",U274)</f>
        <v>//</v>
      </c>
      <c r="Y274" s="715"/>
      <c r="AA274" t="str">
        <f>IF(Q269&lt;3,"//",X274)</f>
        <v>//</v>
      </c>
    </row>
    <row r="275" spans="11:27">
      <c r="K275" s="133">
        <v>46</v>
      </c>
      <c r="L275" s="134">
        <v>2</v>
      </c>
      <c r="M275" s="134">
        <v>0</v>
      </c>
      <c r="P275" s="130" t="s">
        <v>2963</v>
      </c>
      <c r="Q275" s="724">
        <f>L275</f>
        <v>2</v>
      </c>
      <c r="R275" s="131"/>
      <c r="S275" s="138" t="str">
        <f t="shared" si="8"/>
        <v>KeyPress "Tab", 2</v>
      </c>
      <c r="T275" s="131"/>
      <c r="U275" s="138" t="str">
        <f t="shared" si="9"/>
        <v>KeyPress "Tab", 2</v>
      </c>
      <c r="V275" s="131"/>
      <c r="X275" s="714" t="str">
        <f>IF(Q275&lt;3,"//",U275)</f>
        <v>//</v>
      </c>
      <c r="Y275" s="715"/>
      <c r="AA275" t="str">
        <f>IF(Q275&lt;3,"//",X275)</f>
        <v>//</v>
      </c>
    </row>
    <row r="276" spans="11:27">
      <c r="K276" s="133"/>
      <c r="L276" s="134"/>
      <c r="M276" s="134"/>
      <c r="P276" s="130" t="str">
        <f>$J$4</f>
        <v>Delay 600</v>
      </c>
      <c r="Q276" s="730"/>
      <c r="R276" s="131"/>
      <c r="S276" s="138" t="str">
        <f t="shared" si="8"/>
        <v>Delay 600</v>
      </c>
      <c r="T276" s="131"/>
      <c r="U276" s="138" t="str">
        <f t="shared" si="9"/>
        <v>Delay 600</v>
      </c>
      <c r="V276" s="131"/>
      <c r="X276" s="714" t="str">
        <f>IF(Q275&lt;3,"//",U276)</f>
        <v>//</v>
      </c>
      <c r="Y276" s="715"/>
      <c r="AA276" t="str">
        <f>IF(Q275&lt;3,"//",X276)</f>
        <v>//</v>
      </c>
    </row>
    <row r="277" spans="11:27">
      <c r="K277" s="133"/>
      <c r="L277" s="134"/>
      <c r="M277" s="134"/>
      <c r="P277" s="130" t="s">
        <v>2964</v>
      </c>
      <c r="Q277" s="724">
        <f>M275</f>
        <v>0</v>
      </c>
      <c r="R277" s="131" t="s">
        <v>2965</v>
      </c>
      <c r="S277" s="138" t="str">
        <f t="shared" si="8"/>
        <v>SayString "0"</v>
      </c>
      <c r="T277" s="131"/>
      <c r="U277" s="138" t="str">
        <f t="shared" si="9"/>
        <v>SayString "0"</v>
      </c>
      <c r="V277" s="131"/>
      <c r="X277" s="714" t="str">
        <f>IF(Q275&lt;3,"//",U277)</f>
        <v>//</v>
      </c>
      <c r="Y277" s="715"/>
      <c r="AA277" t="str">
        <f>IF(Q275&lt;3,"//",X277)</f>
        <v>//</v>
      </c>
    </row>
    <row r="278" spans="11:27">
      <c r="K278" s="133"/>
      <c r="L278" s="134"/>
      <c r="M278" s="134"/>
      <c r="P278" s="130" t="str">
        <f>$J$4</f>
        <v>Delay 600</v>
      </c>
      <c r="Q278" s="730"/>
      <c r="R278" s="131"/>
      <c r="S278" s="138" t="str">
        <f t="shared" si="8"/>
        <v>Delay 600</v>
      </c>
      <c r="T278" s="131"/>
      <c r="U278" s="138" t="str">
        <f t="shared" si="9"/>
        <v>Delay 600</v>
      </c>
      <c r="V278" s="131"/>
      <c r="X278" s="714" t="str">
        <f>IF(Q275&lt;3,"//",U278)</f>
        <v>//</v>
      </c>
      <c r="Y278" s="715"/>
      <c r="AA278" t="str">
        <f>IF(Q275&lt;3,"//",X278)</f>
        <v>//</v>
      </c>
    </row>
    <row r="279" spans="11:27">
      <c r="K279" s="133"/>
      <c r="L279" s="134"/>
      <c r="M279" s="134"/>
      <c r="P279" s="130" t="s">
        <v>4068</v>
      </c>
      <c r="Q279" s="730"/>
      <c r="R279" s="131"/>
      <c r="S279" s="138" t="str">
        <f t="shared" si="8"/>
        <v>KeyPress "Enter", 1</v>
      </c>
      <c r="T279" s="131"/>
      <c r="U279" s="138" t="str">
        <f t="shared" si="9"/>
        <v>KeyPress "Enter", 1</v>
      </c>
      <c r="V279" s="131"/>
      <c r="X279" s="714" t="str">
        <f>IF(Q275&lt;3,"//",U279)</f>
        <v>//</v>
      </c>
      <c r="Y279" s="715"/>
      <c r="AA279" t="str">
        <f>IF(Q275&lt;3,"//",X279)</f>
        <v>//</v>
      </c>
    </row>
    <row r="280" spans="11:27">
      <c r="K280" s="133"/>
      <c r="L280" s="134"/>
      <c r="M280" s="134"/>
      <c r="P280" s="130" t="str">
        <f>$J$5</f>
        <v>Delay 5000</v>
      </c>
      <c r="Q280" s="730"/>
      <c r="R280" s="131"/>
      <c r="S280" s="138" t="str">
        <f t="shared" si="8"/>
        <v>Delay 5000</v>
      </c>
      <c r="T280" s="131"/>
      <c r="U280" s="138" t="str">
        <f t="shared" si="9"/>
        <v>Delay 5000</v>
      </c>
      <c r="V280" s="131"/>
      <c r="X280" s="714" t="str">
        <f>IF(Q275&lt;3,"//",U280)</f>
        <v>//</v>
      </c>
      <c r="Y280" s="715"/>
      <c r="AA280" t="str">
        <f>IF(Q275&lt;3,"//",X280)</f>
        <v>//</v>
      </c>
    </row>
    <row r="281" spans="11:27">
      <c r="K281" s="133">
        <v>47</v>
      </c>
      <c r="L281" s="134">
        <v>2</v>
      </c>
      <c r="M281" s="134">
        <v>0</v>
      </c>
      <c r="P281" s="130" t="s">
        <v>2963</v>
      </c>
      <c r="Q281" s="724">
        <f>L281</f>
        <v>2</v>
      </c>
      <c r="R281" s="131"/>
      <c r="S281" s="138" t="str">
        <f t="shared" si="8"/>
        <v>KeyPress "Tab", 2</v>
      </c>
      <c r="T281" s="131"/>
      <c r="U281" s="138" t="str">
        <f t="shared" si="9"/>
        <v>KeyPress "Tab", 2</v>
      </c>
      <c r="V281" s="131"/>
      <c r="X281" s="714" t="str">
        <f>IF(Q281&lt;3,"//",U281)</f>
        <v>//</v>
      </c>
      <c r="Y281" s="715"/>
      <c r="AA281" t="str">
        <f>IF(Q281&lt;3,"//",X281)</f>
        <v>//</v>
      </c>
    </row>
    <row r="282" spans="11:27">
      <c r="K282" s="133"/>
      <c r="L282" s="134"/>
      <c r="M282" s="134"/>
      <c r="P282" s="130" t="str">
        <f>$J$4</f>
        <v>Delay 600</v>
      </c>
      <c r="Q282" s="730"/>
      <c r="R282" s="131"/>
      <c r="S282" s="138" t="str">
        <f t="shared" si="8"/>
        <v>Delay 600</v>
      </c>
      <c r="T282" s="131"/>
      <c r="U282" s="138" t="str">
        <f t="shared" si="9"/>
        <v>Delay 600</v>
      </c>
      <c r="V282" s="131"/>
      <c r="X282" s="714" t="str">
        <f>IF(Q281&lt;3,"//",U282)</f>
        <v>//</v>
      </c>
      <c r="Y282" s="715"/>
      <c r="AA282" t="str">
        <f>IF(Q281&lt;3,"//",X282)</f>
        <v>//</v>
      </c>
    </row>
    <row r="283" spans="11:27">
      <c r="K283" s="133"/>
      <c r="L283" s="134"/>
      <c r="M283" s="134"/>
      <c r="P283" s="130" t="s">
        <v>2964</v>
      </c>
      <c r="Q283" s="724">
        <f>M281</f>
        <v>0</v>
      </c>
      <c r="R283" s="131" t="s">
        <v>2965</v>
      </c>
      <c r="S283" s="138" t="str">
        <f t="shared" si="8"/>
        <v>SayString "0"</v>
      </c>
      <c r="T283" s="131"/>
      <c r="U283" s="138" t="str">
        <f t="shared" si="9"/>
        <v>SayString "0"</v>
      </c>
      <c r="V283" s="131"/>
      <c r="X283" s="714" t="str">
        <f>IF(Q281&lt;3,"//",U283)</f>
        <v>//</v>
      </c>
      <c r="Y283" s="715"/>
      <c r="AA283" t="str">
        <f>IF(Q281&lt;3,"//",X283)</f>
        <v>//</v>
      </c>
    </row>
    <row r="284" spans="11:27">
      <c r="K284" s="133"/>
      <c r="L284" s="134"/>
      <c r="M284" s="134"/>
      <c r="P284" s="130" t="str">
        <f>$J$4</f>
        <v>Delay 600</v>
      </c>
      <c r="Q284" s="730"/>
      <c r="R284" s="131"/>
      <c r="S284" s="138" t="str">
        <f t="shared" si="8"/>
        <v>Delay 600</v>
      </c>
      <c r="T284" s="131"/>
      <c r="U284" s="138" t="str">
        <f t="shared" si="9"/>
        <v>Delay 600</v>
      </c>
      <c r="V284" s="131"/>
      <c r="X284" s="714" t="str">
        <f>IF(Q281&lt;3,"//",U284)</f>
        <v>//</v>
      </c>
      <c r="Y284" s="715"/>
      <c r="AA284" t="str">
        <f>IF(Q281&lt;3,"//",X284)</f>
        <v>//</v>
      </c>
    </row>
    <row r="285" spans="11:27">
      <c r="K285" s="133"/>
      <c r="L285" s="134"/>
      <c r="M285" s="134"/>
      <c r="P285" s="130" t="s">
        <v>4068</v>
      </c>
      <c r="Q285" s="730"/>
      <c r="R285" s="131"/>
      <c r="S285" s="138" t="str">
        <f t="shared" si="8"/>
        <v>KeyPress "Enter", 1</v>
      </c>
      <c r="T285" s="131"/>
      <c r="U285" s="138" t="str">
        <f t="shared" si="9"/>
        <v>KeyPress "Enter", 1</v>
      </c>
      <c r="V285" s="131"/>
      <c r="X285" s="714" t="str">
        <f>IF(Q281&lt;3,"//",U285)</f>
        <v>//</v>
      </c>
      <c r="Y285" s="715"/>
      <c r="AA285" t="str">
        <f>IF(Q281&lt;3,"//",X285)</f>
        <v>//</v>
      </c>
    </row>
    <row r="286" spans="11:27">
      <c r="K286" s="133"/>
      <c r="L286" s="134"/>
      <c r="M286" s="134"/>
      <c r="P286" s="130" t="str">
        <f>$J$5</f>
        <v>Delay 5000</v>
      </c>
      <c r="Q286" s="730"/>
      <c r="R286" s="131"/>
      <c r="S286" s="138" t="str">
        <f t="shared" si="8"/>
        <v>Delay 5000</v>
      </c>
      <c r="T286" s="131"/>
      <c r="U286" s="138" t="str">
        <f t="shared" si="9"/>
        <v>Delay 5000</v>
      </c>
      <c r="V286" s="131"/>
      <c r="X286" s="714" t="str">
        <f>IF(Q281&lt;3,"//",U286)</f>
        <v>//</v>
      </c>
      <c r="Y286" s="715"/>
      <c r="AA286" t="str">
        <f>IF(Q281&lt;3,"//",X286)</f>
        <v>//</v>
      </c>
    </row>
    <row r="287" spans="11:27">
      <c r="K287" s="133">
        <v>48</v>
      </c>
      <c r="L287" s="134">
        <v>2</v>
      </c>
      <c r="M287" s="134">
        <v>0</v>
      </c>
      <c r="P287" s="130" t="s">
        <v>2963</v>
      </c>
      <c r="Q287" s="724">
        <f>L287</f>
        <v>2</v>
      </c>
      <c r="R287" s="131"/>
      <c r="S287" s="138" t="str">
        <f t="shared" si="8"/>
        <v>KeyPress "Tab", 2</v>
      </c>
      <c r="T287" s="131"/>
      <c r="U287" s="138" t="str">
        <f t="shared" si="9"/>
        <v>KeyPress "Tab", 2</v>
      </c>
      <c r="V287" s="131"/>
      <c r="X287" s="714" t="str">
        <f>IF(Q287&lt;3,"//",U287)</f>
        <v>//</v>
      </c>
      <c r="Y287" s="715"/>
      <c r="AA287" t="str">
        <f>IF(Q287&lt;3,"//",X287)</f>
        <v>//</v>
      </c>
    </row>
    <row r="288" spans="11:27">
      <c r="K288" s="133"/>
      <c r="L288" s="134"/>
      <c r="M288" s="134"/>
      <c r="P288" s="130" t="str">
        <f>$J$4</f>
        <v>Delay 600</v>
      </c>
      <c r="Q288" s="730"/>
      <c r="R288" s="131"/>
      <c r="S288" s="138" t="str">
        <f t="shared" si="8"/>
        <v>Delay 600</v>
      </c>
      <c r="T288" s="131"/>
      <c r="U288" s="138" t="str">
        <f t="shared" si="9"/>
        <v>Delay 600</v>
      </c>
      <c r="V288" s="131"/>
      <c r="X288" s="714" t="str">
        <f>IF(Q287&lt;3,"//",U288)</f>
        <v>//</v>
      </c>
      <c r="Y288" s="715"/>
      <c r="AA288" t="str">
        <f>IF(Q287&lt;3,"//",X288)</f>
        <v>//</v>
      </c>
    </row>
    <row r="289" spans="11:27">
      <c r="K289" s="133"/>
      <c r="L289" s="134"/>
      <c r="M289" s="134"/>
      <c r="P289" s="130" t="s">
        <v>2964</v>
      </c>
      <c r="Q289" s="724">
        <f>M287</f>
        <v>0</v>
      </c>
      <c r="R289" s="131" t="s">
        <v>2965</v>
      </c>
      <c r="S289" s="138" t="str">
        <f t="shared" si="8"/>
        <v>SayString "0"</v>
      </c>
      <c r="T289" s="131"/>
      <c r="U289" s="138" t="str">
        <f t="shared" si="9"/>
        <v>SayString "0"</v>
      </c>
      <c r="V289" s="131"/>
      <c r="X289" s="714" t="str">
        <f>IF(Q287&lt;3,"//",U289)</f>
        <v>//</v>
      </c>
      <c r="Y289" s="715"/>
      <c r="AA289" t="str">
        <f>IF(Q287&lt;3,"//",X289)</f>
        <v>//</v>
      </c>
    </row>
    <row r="290" spans="11:27">
      <c r="K290" s="133"/>
      <c r="L290" s="134"/>
      <c r="M290" s="134"/>
      <c r="P290" s="130" t="str">
        <f>$J$4</f>
        <v>Delay 600</v>
      </c>
      <c r="Q290" s="730"/>
      <c r="R290" s="131"/>
      <c r="S290" s="138" t="str">
        <f t="shared" si="8"/>
        <v>Delay 600</v>
      </c>
      <c r="T290" s="131"/>
      <c r="U290" s="138" t="str">
        <f t="shared" si="9"/>
        <v>Delay 600</v>
      </c>
      <c r="V290" s="131"/>
      <c r="X290" s="714" t="str">
        <f>IF(Q287&lt;3,"//",U290)</f>
        <v>//</v>
      </c>
      <c r="Y290" s="715"/>
      <c r="AA290" t="str">
        <f>IF(Q287&lt;3,"//",X290)</f>
        <v>//</v>
      </c>
    </row>
    <row r="291" spans="11:27">
      <c r="K291" s="133"/>
      <c r="L291" s="134"/>
      <c r="M291" s="134"/>
      <c r="P291" s="130" t="s">
        <v>4068</v>
      </c>
      <c r="Q291" s="730"/>
      <c r="R291" s="131"/>
      <c r="S291" s="138" t="str">
        <f t="shared" si="8"/>
        <v>KeyPress "Enter", 1</v>
      </c>
      <c r="T291" s="131"/>
      <c r="U291" s="138" t="str">
        <f t="shared" si="9"/>
        <v>KeyPress "Enter", 1</v>
      </c>
      <c r="V291" s="131"/>
      <c r="X291" s="714" t="str">
        <f>IF(Q287&lt;3,"//",U291)</f>
        <v>//</v>
      </c>
      <c r="Y291" s="715"/>
      <c r="AA291" t="str">
        <f>IF(Q287&lt;3,"//",X291)</f>
        <v>//</v>
      </c>
    </row>
    <row r="292" spans="11:27">
      <c r="K292" s="133"/>
      <c r="L292" s="134"/>
      <c r="M292" s="134"/>
      <c r="P292" s="130" t="str">
        <f>$J$5</f>
        <v>Delay 5000</v>
      </c>
      <c r="Q292" s="730"/>
      <c r="R292" s="131"/>
      <c r="S292" s="138" t="str">
        <f t="shared" si="8"/>
        <v>Delay 5000</v>
      </c>
      <c r="T292" s="131"/>
      <c r="U292" s="138" t="str">
        <f t="shared" si="9"/>
        <v>Delay 5000</v>
      </c>
      <c r="V292" s="131"/>
      <c r="X292" s="714" t="str">
        <f>IF(Q287&lt;3,"//",U292)</f>
        <v>//</v>
      </c>
      <c r="Y292" s="715"/>
      <c r="AA292" t="str">
        <f>IF(Q287&lt;3,"//",X292)</f>
        <v>//</v>
      </c>
    </row>
    <row r="293" spans="11:27">
      <c r="K293" s="133">
        <v>49</v>
      </c>
      <c r="L293" s="134">
        <v>2</v>
      </c>
      <c r="M293" s="134">
        <v>0</v>
      </c>
      <c r="P293" s="130" t="s">
        <v>2963</v>
      </c>
      <c r="Q293" s="724">
        <f>L293</f>
        <v>2</v>
      </c>
      <c r="R293" s="131"/>
      <c r="S293" s="138" t="str">
        <f t="shared" si="8"/>
        <v>KeyPress "Tab", 2</v>
      </c>
      <c r="T293" s="131"/>
      <c r="U293" s="138" t="str">
        <f t="shared" si="9"/>
        <v>KeyPress "Tab", 2</v>
      </c>
      <c r="V293" s="131"/>
      <c r="X293" s="714" t="str">
        <f>IF(Q293&lt;3,"//",U293)</f>
        <v>//</v>
      </c>
      <c r="Y293" s="715"/>
      <c r="AA293" t="str">
        <f>IF(Q293&lt;3,"//",X293)</f>
        <v>//</v>
      </c>
    </row>
    <row r="294" spans="11:27">
      <c r="K294" s="133"/>
      <c r="L294" s="134"/>
      <c r="M294" s="134"/>
      <c r="P294" s="130" t="str">
        <f>$J$4</f>
        <v>Delay 600</v>
      </c>
      <c r="Q294" s="730"/>
      <c r="R294" s="131"/>
      <c r="S294" s="138" t="str">
        <f t="shared" si="8"/>
        <v>Delay 600</v>
      </c>
      <c r="T294" s="131"/>
      <c r="U294" s="138" t="str">
        <f t="shared" si="9"/>
        <v>Delay 600</v>
      </c>
      <c r="V294" s="131"/>
      <c r="X294" s="714" t="str">
        <f>IF(Q293&lt;3,"//",U294)</f>
        <v>//</v>
      </c>
      <c r="Y294" s="715"/>
      <c r="AA294" t="str">
        <f>IF(Q293&lt;3,"//",X294)</f>
        <v>//</v>
      </c>
    </row>
    <row r="295" spans="11:27">
      <c r="K295" s="133"/>
      <c r="L295" s="134"/>
      <c r="M295" s="134"/>
      <c r="P295" s="130" t="s">
        <v>2964</v>
      </c>
      <c r="Q295" s="724">
        <f>M293</f>
        <v>0</v>
      </c>
      <c r="R295" s="131" t="s">
        <v>2965</v>
      </c>
      <c r="S295" s="138" t="str">
        <f t="shared" si="8"/>
        <v>SayString "0"</v>
      </c>
      <c r="T295" s="131"/>
      <c r="U295" s="138" t="str">
        <f t="shared" si="9"/>
        <v>SayString "0"</v>
      </c>
      <c r="V295" s="131"/>
      <c r="X295" s="714" t="str">
        <f>IF(Q293&lt;3,"//",U295)</f>
        <v>//</v>
      </c>
      <c r="Y295" s="715"/>
      <c r="AA295" t="str">
        <f>IF(Q293&lt;3,"//",X295)</f>
        <v>//</v>
      </c>
    </row>
    <row r="296" spans="11:27">
      <c r="K296" s="133"/>
      <c r="L296" s="134"/>
      <c r="M296" s="134"/>
      <c r="P296" s="130" t="str">
        <f>$J$4</f>
        <v>Delay 600</v>
      </c>
      <c r="Q296" s="730"/>
      <c r="R296" s="131"/>
      <c r="S296" s="138" t="str">
        <f t="shared" si="8"/>
        <v>Delay 600</v>
      </c>
      <c r="T296" s="131"/>
      <c r="U296" s="138" t="str">
        <f t="shared" si="9"/>
        <v>Delay 600</v>
      </c>
      <c r="V296" s="131"/>
      <c r="X296" s="714" t="str">
        <f>IF(Q293&lt;3,"//",U296)</f>
        <v>//</v>
      </c>
      <c r="Y296" s="715"/>
      <c r="AA296" t="str">
        <f>IF(Q293&lt;3,"//",X296)</f>
        <v>//</v>
      </c>
    </row>
    <row r="297" spans="11:27">
      <c r="K297" s="133"/>
      <c r="L297" s="134"/>
      <c r="M297" s="134"/>
      <c r="P297" s="130" t="s">
        <v>4068</v>
      </c>
      <c r="Q297" s="730"/>
      <c r="R297" s="131"/>
      <c r="S297" s="138" t="str">
        <f t="shared" si="8"/>
        <v>KeyPress "Enter", 1</v>
      </c>
      <c r="T297" s="131"/>
      <c r="U297" s="138" t="str">
        <f t="shared" si="9"/>
        <v>KeyPress "Enter", 1</v>
      </c>
      <c r="V297" s="131"/>
      <c r="X297" s="714" t="str">
        <f>IF(Q293&lt;3,"//",U297)</f>
        <v>//</v>
      </c>
      <c r="Y297" s="715"/>
      <c r="AA297" t="str">
        <f>IF(Q293&lt;3,"//",X297)</f>
        <v>//</v>
      </c>
    </row>
    <row r="298" spans="11:27">
      <c r="K298" s="133"/>
      <c r="L298" s="134"/>
      <c r="M298" s="134"/>
      <c r="P298" s="130" t="str">
        <f>$J$5</f>
        <v>Delay 5000</v>
      </c>
      <c r="Q298" s="730"/>
      <c r="R298" s="131"/>
      <c r="S298" s="138" t="str">
        <f t="shared" si="8"/>
        <v>Delay 5000</v>
      </c>
      <c r="T298" s="131"/>
      <c r="U298" s="138" t="str">
        <f t="shared" si="9"/>
        <v>Delay 5000</v>
      </c>
      <c r="V298" s="131"/>
      <c r="X298" s="714" t="str">
        <f>IF(Q293&lt;3,"//",U298)</f>
        <v>//</v>
      </c>
      <c r="Y298" s="715"/>
      <c r="AA298" t="str">
        <f>IF(Q293&lt;3,"//",X298)</f>
        <v>//</v>
      </c>
    </row>
    <row r="299" spans="11:27">
      <c r="K299" s="133">
        <v>50</v>
      </c>
      <c r="L299" s="134">
        <v>2</v>
      </c>
      <c r="M299" s="134"/>
      <c r="P299" s="130" t="s">
        <v>2963</v>
      </c>
      <c r="Q299" s="724">
        <f>L299</f>
        <v>2</v>
      </c>
      <c r="R299" s="131"/>
      <c r="S299" s="138" t="str">
        <f t="shared" si="8"/>
        <v>KeyPress "Tab", 2</v>
      </c>
      <c r="T299" s="131"/>
      <c r="U299" s="138" t="str">
        <f t="shared" si="9"/>
        <v>KeyPress "Tab", 2</v>
      </c>
      <c r="V299" s="131"/>
      <c r="X299" s="714" t="str">
        <f>IF(Q299&lt;3,"//",U299)</f>
        <v>//</v>
      </c>
      <c r="Y299" s="715"/>
      <c r="AA299" t="str">
        <f>IF(Q299&lt;3,"//",X299)</f>
        <v>//</v>
      </c>
    </row>
    <row r="300" spans="11:27">
      <c r="K300" s="133"/>
      <c r="L300" s="134"/>
      <c r="M300" s="134"/>
      <c r="P300" s="130" t="str">
        <f>$J$4</f>
        <v>Delay 600</v>
      </c>
      <c r="Q300" s="730"/>
      <c r="R300" s="131"/>
      <c r="S300" s="138" t="str">
        <f t="shared" si="8"/>
        <v>Delay 600</v>
      </c>
      <c r="T300" s="131"/>
      <c r="U300" s="138" t="str">
        <f t="shared" si="9"/>
        <v>Delay 600</v>
      </c>
      <c r="V300" s="131"/>
      <c r="X300" s="714" t="str">
        <f>IF(Q299&lt;3,"//",U300)</f>
        <v>//</v>
      </c>
      <c r="Y300" s="715"/>
      <c r="AA300" t="str">
        <f>IF(Q299&lt;3,"//",X300)</f>
        <v>//</v>
      </c>
    </row>
    <row r="301" spans="11:27">
      <c r="K301" s="133"/>
      <c r="L301" s="134"/>
      <c r="M301" s="134"/>
      <c r="P301" s="130" t="s">
        <v>2964</v>
      </c>
      <c r="Q301" s="724">
        <f>M299</f>
        <v>0</v>
      </c>
      <c r="R301" s="131" t="s">
        <v>2965</v>
      </c>
      <c r="S301" s="138" t="str">
        <f t="shared" si="8"/>
        <v>SayString "0"</v>
      </c>
      <c r="T301" s="131"/>
      <c r="U301" s="138" t="str">
        <f t="shared" si="9"/>
        <v>SayString "0"</v>
      </c>
      <c r="V301" s="131"/>
      <c r="X301" s="714" t="str">
        <f>IF(Q299&lt;3,"//",U301)</f>
        <v>//</v>
      </c>
      <c r="Y301" s="715"/>
      <c r="AA301" t="str">
        <f>IF(Q299&lt;3,"//",X301)</f>
        <v>//</v>
      </c>
    </row>
    <row r="302" spans="11:27">
      <c r="K302" s="133"/>
      <c r="L302" s="134"/>
      <c r="M302" s="134"/>
      <c r="P302" s="130" t="str">
        <f>$J$4</f>
        <v>Delay 600</v>
      </c>
      <c r="Q302" s="730"/>
      <c r="R302" s="131"/>
      <c r="S302" s="138" t="str">
        <f t="shared" si="8"/>
        <v>Delay 600</v>
      </c>
      <c r="T302" s="131"/>
      <c r="U302" s="138" t="str">
        <f t="shared" si="9"/>
        <v>Delay 600</v>
      </c>
      <c r="V302" s="131"/>
      <c r="X302" s="714" t="str">
        <f>IF(Q299&lt;3,"//",U302)</f>
        <v>//</v>
      </c>
      <c r="Y302" s="715"/>
      <c r="AA302" t="str">
        <f>IF(Q299&lt;3,"//",X302)</f>
        <v>//</v>
      </c>
    </row>
    <row r="303" spans="11:27">
      <c r="K303" s="133"/>
      <c r="L303" s="134"/>
      <c r="M303" s="134"/>
      <c r="P303" s="130" t="s">
        <v>4068</v>
      </c>
      <c r="Q303" s="730"/>
      <c r="R303" s="131"/>
      <c r="S303" s="138" t="str">
        <f t="shared" si="8"/>
        <v>KeyPress "Enter", 1</v>
      </c>
      <c r="T303" s="131"/>
      <c r="U303" s="138" t="str">
        <f t="shared" si="9"/>
        <v>KeyPress "Enter", 1</v>
      </c>
      <c r="V303" s="131"/>
      <c r="X303" s="714" t="str">
        <f>IF(Q299&lt;3,"//",U303)</f>
        <v>//</v>
      </c>
      <c r="Y303" s="715"/>
      <c r="AA303" t="str">
        <f>IF(Q299&lt;3,"//",X303)</f>
        <v>//</v>
      </c>
    </row>
    <row r="304" spans="11:27">
      <c r="K304" s="133"/>
      <c r="L304" s="134"/>
      <c r="M304" s="134"/>
      <c r="P304" s="130" t="str">
        <f>$J$5</f>
        <v>Delay 5000</v>
      </c>
      <c r="Q304" s="730"/>
      <c r="R304" s="131"/>
      <c r="S304" s="138" t="str">
        <f t="shared" si="8"/>
        <v>Delay 5000</v>
      </c>
      <c r="T304" s="131"/>
      <c r="U304" s="138" t="str">
        <f t="shared" si="9"/>
        <v>Delay 5000</v>
      </c>
      <c r="V304" s="131"/>
      <c r="X304" s="714" t="str">
        <f>IF(Q299&lt;3,"//",U304)</f>
        <v>//</v>
      </c>
      <c r="Y304" s="715"/>
      <c r="AA304" t="str">
        <f>IF(Q299&lt;3,"//",X304)</f>
        <v>//</v>
      </c>
    </row>
    <row r="305" spans="11:27">
      <c r="K305" s="133">
        <v>51</v>
      </c>
      <c r="L305" s="134">
        <v>2</v>
      </c>
      <c r="M305" s="134"/>
      <c r="P305" s="130" t="s">
        <v>2963</v>
      </c>
      <c r="Q305" s="724">
        <f>L305</f>
        <v>2</v>
      </c>
      <c r="R305" s="131"/>
      <c r="S305" s="138" t="str">
        <f t="shared" si="8"/>
        <v>KeyPress "Tab", 2</v>
      </c>
      <c r="T305" s="131"/>
      <c r="U305" s="138" t="str">
        <f t="shared" si="9"/>
        <v>KeyPress "Tab", 2</v>
      </c>
      <c r="V305" s="131"/>
      <c r="X305" s="714" t="str">
        <f>IF(Q305&lt;3,"//",U305)</f>
        <v>//</v>
      </c>
      <c r="Y305" s="715"/>
      <c r="AA305" t="str">
        <f>IF(Q305&lt;3,"//",X305)</f>
        <v>//</v>
      </c>
    </row>
    <row r="306" spans="11:27">
      <c r="K306" s="133"/>
      <c r="L306" s="134"/>
      <c r="M306" s="134"/>
      <c r="P306" s="130" t="str">
        <f>$J$4</f>
        <v>Delay 600</v>
      </c>
      <c r="Q306" s="730"/>
      <c r="R306" s="131"/>
      <c r="S306" s="138" t="str">
        <f t="shared" si="8"/>
        <v>Delay 600</v>
      </c>
      <c r="T306" s="131"/>
      <c r="U306" s="138" t="str">
        <f t="shared" si="9"/>
        <v>Delay 600</v>
      </c>
      <c r="V306" s="131"/>
      <c r="X306" s="714" t="str">
        <f>IF(Q305&lt;3,"//",U306)</f>
        <v>//</v>
      </c>
      <c r="Y306" s="715"/>
      <c r="AA306" t="str">
        <f>IF(Q305&lt;3,"//",X306)</f>
        <v>//</v>
      </c>
    </row>
    <row r="307" spans="11:27">
      <c r="K307" s="133"/>
      <c r="L307" s="134"/>
      <c r="M307" s="134"/>
      <c r="P307" s="130" t="s">
        <v>2964</v>
      </c>
      <c r="Q307" s="724">
        <f>M305</f>
        <v>0</v>
      </c>
      <c r="R307" s="131" t="s">
        <v>2965</v>
      </c>
      <c r="S307" s="138" t="str">
        <f t="shared" si="8"/>
        <v>SayString "0"</v>
      </c>
      <c r="T307" s="131"/>
      <c r="U307" s="138" t="str">
        <f t="shared" si="9"/>
        <v>SayString "0"</v>
      </c>
      <c r="V307" s="131"/>
      <c r="X307" s="714" t="str">
        <f>IF(Q305&lt;3,"//",U307)</f>
        <v>//</v>
      </c>
      <c r="Y307" s="715"/>
      <c r="AA307" t="str">
        <f>IF(Q305&lt;3,"//",X307)</f>
        <v>//</v>
      </c>
    </row>
    <row r="308" spans="11:27">
      <c r="K308" s="133"/>
      <c r="L308" s="134"/>
      <c r="M308" s="134"/>
      <c r="P308" s="130" t="str">
        <f>$J$4</f>
        <v>Delay 600</v>
      </c>
      <c r="Q308" s="730"/>
      <c r="R308" s="131"/>
      <c r="S308" s="138" t="str">
        <f t="shared" si="8"/>
        <v>Delay 600</v>
      </c>
      <c r="T308" s="131"/>
      <c r="U308" s="138" t="str">
        <f t="shared" si="9"/>
        <v>Delay 600</v>
      </c>
      <c r="V308" s="131"/>
      <c r="X308" s="714" t="str">
        <f>IF(Q305&lt;3,"//",U308)</f>
        <v>//</v>
      </c>
      <c r="Y308" s="715"/>
      <c r="AA308" t="str">
        <f>IF(Q305&lt;3,"//",X308)</f>
        <v>//</v>
      </c>
    </row>
    <row r="309" spans="11:27">
      <c r="K309" s="133"/>
      <c r="L309" s="134"/>
      <c r="M309" s="134"/>
      <c r="P309" s="130" t="s">
        <v>4068</v>
      </c>
      <c r="Q309" s="730"/>
      <c r="R309" s="131"/>
      <c r="S309" s="138" t="str">
        <f t="shared" si="8"/>
        <v>KeyPress "Enter", 1</v>
      </c>
      <c r="T309" s="131"/>
      <c r="U309" s="138" t="str">
        <f t="shared" si="9"/>
        <v>KeyPress "Enter", 1</v>
      </c>
      <c r="V309" s="131"/>
      <c r="X309" s="714" t="str">
        <f>IF(Q305&lt;3,"//",U309)</f>
        <v>//</v>
      </c>
      <c r="Y309" s="715"/>
      <c r="AA309" t="str">
        <f>IF(Q305&lt;3,"//",X309)</f>
        <v>//</v>
      </c>
    </row>
    <row r="310" spans="11:27">
      <c r="K310" s="133"/>
      <c r="L310" s="134"/>
      <c r="M310" s="134"/>
      <c r="P310" s="130" t="str">
        <f>$J$5</f>
        <v>Delay 5000</v>
      </c>
      <c r="Q310" s="730"/>
      <c r="R310" s="131"/>
      <c r="S310" s="138" t="str">
        <f t="shared" si="8"/>
        <v>Delay 5000</v>
      </c>
      <c r="T310" s="131"/>
      <c r="U310" s="138" t="str">
        <f t="shared" si="9"/>
        <v>Delay 5000</v>
      </c>
      <c r="V310" s="131"/>
      <c r="X310" s="714" t="str">
        <f>IF(Q305&lt;3,"//",U310)</f>
        <v>//</v>
      </c>
      <c r="Y310" s="715"/>
      <c r="AA310" t="str">
        <f>IF(Q305&lt;3,"//",X310)</f>
        <v>//</v>
      </c>
    </row>
    <row r="311" spans="11:27">
      <c r="K311" s="133">
        <v>52</v>
      </c>
      <c r="L311" s="134">
        <v>2</v>
      </c>
      <c r="M311" s="134"/>
      <c r="P311" s="130" t="s">
        <v>2963</v>
      </c>
      <c r="Q311" s="724">
        <f>L311</f>
        <v>2</v>
      </c>
      <c r="R311" s="131"/>
      <c r="S311" s="138" t="str">
        <f t="shared" si="8"/>
        <v>KeyPress "Tab", 2</v>
      </c>
      <c r="T311" s="131"/>
      <c r="U311" s="138" t="str">
        <f t="shared" si="9"/>
        <v>KeyPress "Tab", 2</v>
      </c>
      <c r="V311" s="131"/>
      <c r="X311" s="714" t="str">
        <f>IF(Q311&lt;3,"//",U311)</f>
        <v>//</v>
      </c>
      <c r="Y311" s="715"/>
      <c r="AA311" t="str">
        <f>IF(Q311&lt;3,"//",X311)</f>
        <v>//</v>
      </c>
    </row>
    <row r="312" spans="11:27">
      <c r="K312" s="133"/>
      <c r="L312" s="134"/>
      <c r="M312" s="134"/>
      <c r="P312" s="130" t="str">
        <f>$J$4</f>
        <v>Delay 600</v>
      </c>
      <c r="Q312" s="730"/>
      <c r="R312" s="131"/>
      <c r="S312" s="138" t="str">
        <f t="shared" si="8"/>
        <v>Delay 600</v>
      </c>
      <c r="T312" s="131"/>
      <c r="U312" s="138" t="str">
        <f t="shared" si="9"/>
        <v>Delay 600</v>
      </c>
      <c r="V312" s="131"/>
      <c r="X312" s="714" t="str">
        <f>IF(Q311&lt;3,"//",U312)</f>
        <v>//</v>
      </c>
      <c r="Y312" s="715"/>
      <c r="AA312" t="str">
        <f>IF(Q311&lt;3,"//",X312)</f>
        <v>//</v>
      </c>
    </row>
    <row r="313" spans="11:27">
      <c r="K313" s="133"/>
      <c r="L313" s="134"/>
      <c r="M313" s="134"/>
      <c r="P313" s="130" t="s">
        <v>2964</v>
      </c>
      <c r="Q313" s="724">
        <f>M311</f>
        <v>0</v>
      </c>
      <c r="R313" s="131" t="s">
        <v>2965</v>
      </c>
      <c r="S313" s="138" t="str">
        <f t="shared" si="8"/>
        <v>SayString "0"</v>
      </c>
      <c r="T313" s="131"/>
      <c r="U313" s="138" t="str">
        <f t="shared" si="9"/>
        <v>SayString "0"</v>
      </c>
      <c r="V313" s="131"/>
      <c r="X313" s="714" t="str">
        <f>IF(Q311&lt;3,"//",U313)</f>
        <v>//</v>
      </c>
      <c r="Y313" s="715"/>
      <c r="AA313" t="str">
        <f>IF(Q311&lt;3,"//",X313)</f>
        <v>//</v>
      </c>
    </row>
    <row r="314" spans="11:27">
      <c r="K314" s="133"/>
      <c r="L314" s="134"/>
      <c r="M314" s="134"/>
      <c r="P314" s="130" t="str">
        <f>$J$4</f>
        <v>Delay 600</v>
      </c>
      <c r="Q314" s="730"/>
      <c r="R314" s="131"/>
      <c r="S314" s="138" t="str">
        <f t="shared" si="8"/>
        <v>Delay 600</v>
      </c>
      <c r="T314" s="131"/>
      <c r="U314" s="138" t="str">
        <f t="shared" si="9"/>
        <v>Delay 600</v>
      </c>
      <c r="V314" s="131"/>
      <c r="X314" s="714" t="str">
        <f>IF(Q311&lt;3,"//",U314)</f>
        <v>//</v>
      </c>
      <c r="Y314" s="715"/>
      <c r="AA314" t="str">
        <f>IF(Q311&lt;3,"//",X314)</f>
        <v>//</v>
      </c>
    </row>
    <row r="315" spans="11:27">
      <c r="K315" s="133"/>
      <c r="L315" s="134"/>
      <c r="M315" s="134"/>
      <c r="P315" s="130" t="s">
        <v>4068</v>
      </c>
      <c r="Q315" s="730"/>
      <c r="R315" s="131"/>
      <c r="S315" s="138" t="str">
        <f t="shared" si="8"/>
        <v>KeyPress "Enter", 1</v>
      </c>
      <c r="T315" s="131"/>
      <c r="U315" s="138" t="str">
        <f t="shared" si="9"/>
        <v>KeyPress "Enter", 1</v>
      </c>
      <c r="V315" s="131"/>
      <c r="X315" s="714" t="str">
        <f>IF(Q311&lt;3,"//",U315)</f>
        <v>//</v>
      </c>
      <c r="Y315" s="715"/>
      <c r="AA315" t="str">
        <f>IF(Q311&lt;3,"//",X315)</f>
        <v>//</v>
      </c>
    </row>
    <row r="316" spans="11:27">
      <c r="K316" s="133"/>
      <c r="L316" s="134"/>
      <c r="M316" s="134"/>
      <c r="P316" s="130" t="str">
        <f>$J$5</f>
        <v>Delay 5000</v>
      </c>
      <c r="Q316" s="730"/>
      <c r="R316" s="131"/>
      <c r="S316" s="138" t="str">
        <f t="shared" si="8"/>
        <v>Delay 5000</v>
      </c>
      <c r="T316" s="131"/>
      <c r="U316" s="138" t="str">
        <f t="shared" si="9"/>
        <v>Delay 5000</v>
      </c>
      <c r="V316" s="131"/>
      <c r="X316" s="714" t="str">
        <f>IF(Q311&lt;3,"//",U316)</f>
        <v>//</v>
      </c>
      <c r="Y316" s="715"/>
      <c r="AA316" t="str">
        <f>IF(Q311&lt;3,"//",X316)</f>
        <v>//</v>
      </c>
    </row>
    <row r="317" spans="11:27">
      <c r="K317" s="133">
        <v>53</v>
      </c>
      <c r="L317" s="134">
        <v>2</v>
      </c>
      <c r="M317" s="134"/>
      <c r="P317" s="130" t="s">
        <v>2963</v>
      </c>
      <c r="Q317" s="724">
        <f>L317</f>
        <v>2</v>
      </c>
      <c r="R317" s="131"/>
      <c r="S317" s="138" t="str">
        <f t="shared" si="8"/>
        <v>KeyPress "Tab", 2</v>
      </c>
      <c r="T317" s="131"/>
      <c r="U317" s="138" t="str">
        <f t="shared" si="9"/>
        <v>KeyPress "Tab", 2</v>
      </c>
      <c r="V317" s="131"/>
      <c r="X317" s="714" t="str">
        <f>IF(Q317&lt;3,"//",U317)</f>
        <v>//</v>
      </c>
      <c r="Y317" s="715"/>
      <c r="AA317" t="str">
        <f>IF(Q317&lt;3,"//",X317)</f>
        <v>//</v>
      </c>
    </row>
    <row r="318" spans="11:27">
      <c r="K318" s="133"/>
      <c r="L318" s="134"/>
      <c r="M318" s="134"/>
      <c r="P318" s="130" t="str">
        <f>$J$4</f>
        <v>Delay 600</v>
      </c>
      <c r="Q318" s="730"/>
      <c r="R318" s="131"/>
      <c r="S318" s="138" t="str">
        <f t="shared" si="8"/>
        <v>Delay 600</v>
      </c>
      <c r="T318" s="131"/>
      <c r="U318" s="138" t="str">
        <f t="shared" si="9"/>
        <v>Delay 600</v>
      </c>
      <c r="V318" s="131"/>
      <c r="X318" s="714" t="str">
        <f>IF(Q317&lt;3,"//",U318)</f>
        <v>//</v>
      </c>
      <c r="Y318" s="715"/>
      <c r="AA318" t="str">
        <f>IF(Q317&lt;3,"//",X318)</f>
        <v>//</v>
      </c>
    </row>
    <row r="319" spans="11:27">
      <c r="K319" s="133"/>
      <c r="L319" s="134"/>
      <c r="M319" s="134"/>
      <c r="P319" s="130" t="s">
        <v>2964</v>
      </c>
      <c r="Q319" s="724">
        <f>M317</f>
        <v>0</v>
      </c>
      <c r="R319" s="131" t="s">
        <v>2965</v>
      </c>
      <c r="S319" s="138" t="str">
        <f t="shared" si="8"/>
        <v>SayString "0"</v>
      </c>
      <c r="T319" s="131"/>
      <c r="U319" s="138" t="str">
        <f t="shared" si="9"/>
        <v>SayString "0"</v>
      </c>
      <c r="V319" s="131"/>
      <c r="X319" s="714" t="str">
        <f>IF(Q317&lt;3,"//",U319)</f>
        <v>//</v>
      </c>
      <c r="Y319" s="715"/>
      <c r="AA319" t="str">
        <f>IF(Q317&lt;3,"//",X319)</f>
        <v>//</v>
      </c>
    </row>
    <row r="320" spans="11:27">
      <c r="K320" s="133"/>
      <c r="L320" s="134"/>
      <c r="M320" s="134"/>
      <c r="P320" s="130" t="str">
        <f>$J$4</f>
        <v>Delay 600</v>
      </c>
      <c r="Q320" s="730"/>
      <c r="R320" s="131"/>
      <c r="S320" s="138" t="str">
        <f t="shared" si="8"/>
        <v>Delay 600</v>
      </c>
      <c r="T320" s="131"/>
      <c r="U320" s="138" t="str">
        <f t="shared" si="9"/>
        <v>Delay 600</v>
      </c>
      <c r="V320" s="131"/>
      <c r="X320" s="714" t="str">
        <f>IF(Q317&lt;3,"//",U320)</f>
        <v>//</v>
      </c>
      <c r="Y320" s="715"/>
      <c r="AA320" t="str">
        <f>IF(Q317&lt;3,"//",X320)</f>
        <v>//</v>
      </c>
    </row>
    <row r="321" spans="11:27">
      <c r="K321" s="133"/>
      <c r="L321" s="134"/>
      <c r="M321" s="134"/>
      <c r="P321" s="130" t="s">
        <v>4068</v>
      </c>
      <c r="Q321" s="730"/>
      <c r="R321" s="131"/>
      <c r="S321" s="138" t="str">
        <f t="shared" si="8"/>
        <v>KeyPress "Enter", 1</v>
      </c>
      <c r="T321" s="131"/>
      <c r="U321" s="138" t="str">
        <f t="shared" si="9"/>
        <v>KeyPress "Enter", 1</v>
      </c>
      <c r="V321" s="131"/>
      <c r="X321" s="714" t="str">
        <f>IF(Q317&lt;3,"//",U321)</f>
        <v>//</v>
      </c>
      <c r="Y321" s="715"/>
      <c r="AA321" t="str">
        <f>IF(Q317&lt;3,"//",X321)</f>
        <v>//</v>
      </c>
    </row>
    <row r="322" spans="11:27">
      <c r="K322" s="133"/>
      <c r="L322" s="134"/>
      <c r="M322" s="134"/>
      <c r="P322" s="130" t="str">
        <f>$J$5</f>
        <v>Delay 5000</v>
      </c>
      <c r="Q322" s="730"/>
      <c r="R322" s="131"/>
      <c r="S322" s="138" t="str">
        <f t="shared" si="8"/>
        <v>Delay 5000</v>
      </c>
      <c r="T322" s="131"/>
      <c r="U322" s="138" t="str">
        <f t="shared" si="9"/>
        <v>Delay 5000</v>
      </c>
      <c r="V322" s="131"/>
      <c r="X322" s="714" t="str">
        <f>IF(Q317&lt;3,"//",U322)</f>
        <v>//</v>
      </c>
      <c r="Y322" s="715"/>
      <c r="AA322" t="str">
        <f>IF(Q317&lt;3,"//",X322)</f>
        <v>//</v>
      </c>
    </row>
    <row r="323" spans="11:27">
      <c r="K323" s="133">
        <v>54</v>
      </c>
      <c r="L323" s="134">
        <v>2</v>
      </c>
      <c r="M323" s="134"/>
      <c r="P323" s="130" t="s">
        <v>2963</v>
      </c>
      <c r="Q323" s="724">
        <f>L323</f>
        <v>2</v>
      </c>
      <c r="R323" s="131"/>
      <c r="S323" s="138" t="str">
        <f t="shared" ref="S323:S364" si="10">P323&amp;""&amp;Q323&amp;""&amp;R323</f>
        <v>KeyPress "Tab", 2</v>
      </c>
      <c r="T323" s="131"/>
      <c r="U323" s="138" t="str">
        <f t="shared" ref="U323:U364" si="11">S323</f>
        <v>KeyPress "Tab", 2</v>
      </c>
      <c r="V323" s="131"/>
      <c r="X323" s="714" t="str">
        <f>IF(Q323&lt;3,"//",U323)</f>
        <v>//</v>
      </c>
      <c r="Y323" s="715"/>
      <c r="AA323" t="str">
        <f>IF(Q323&lt;3,"//",X323)</f>
        <v>//</v>
      </c>
    </row>
    <row r="324" spans="11:27">
      <c r="K324" s="133"/>
      <c r="L324" s="134"/>
      <c r="M324" s="134"/>
      <c r="P324" s="130" t="str">
        <f>$J$4</f>
        <v>Delay 600</v>
      </c>
      <c r="Q324" s="730"/>
      <c r="R324" s="131"/>
      <c r="S324" s="138" t="str">
        <f t="shared" si="10"/>
        <v>Delay 600</v>
      </c>
      <c r="T324" s="131"/>
      <c r="U324" s="138" t="str">
        <f t="shared" si="11"/>
        <v>Delay 600</v>
      </c>
      <c r="V324" s="131"/>
      <c r="X324" s="714" t="str">
        <f>IF(Q323&lt;3,"//",U324)</f>
        <v>//</v>
      </c>
      <c r="Y324" s="715"/>
      <c r="AA324" t="str">
        <f>IF(Q323&lt;3,"//",X324)</f>
        <v>//</v>
      </c>
    </row>
    <row r="325" spans="11:27">
      <c r="K325" s="133"/>
      <c r="L325" s="134"/>
      <c r="M325" s="134"/>
      <c r="P325" s="130" t="s">
        <v>2964</v>
      </c>
      <c r="Q325" s="724">
        <f>M323</f>
        <v>0</v>
      </c>
      <c r="R325" s="131" t="s">
        <v>2965</v>
      </c>
      <c r="S325" s="138" t="str">
        <f t="shared" si="10"/>
        <v>SayString "0"</v>
      </c>
      <c r="T325" s="131"/>
      <c r="U325" s="138" t="str">
        <f t="shared" si="11"/>
        <v>SayString "0"</v>
      </c>
      <c r="V325" s="131"/>
      <c r="X325" s="714" t="str">
        <f>IF(Q323&lt;3,"//",U325)</f>
        <v>//</v>
      </c>
      <c r="Y325" s="715"/>
      <c r="AA325" t="str">
        <f>IF(Q323&lt;3,"//",X325)</f>
        <v>//</v>
      </c>
    </row>
    <row r="326" spans="11:27">
      <c r="K326" s="133"/>
      <c r="L326" s="134"/>
      <c r="M326" s="134"/>
      <c r="P326" s="130" t="str">
        <f>$J$4</f>
        <v>Delay 600</v>
      </c>
      <c r="Q326" s="730"/>
      <c r="R326" s="131"/>
      <c r="S326" s="138" t="str">
        <f t="shared" si="10"/>
        <v>Delay 600</v>
      </c>
      <c r="T326" s="131"/>
      <c r="U326" s="138" t="str">
        <f t="shared" si="11"/>
        <v>Delay 600</v>
      </c>
      <c r="V326" s="131"/>
      <c r="X326" s="714" t="str">
        <f>IF(Q323&lt;3,"//",U326)</f>
        <v>//</v>
      </c>
      <c r="Y326" s="715"/>
      <c r="AA326" t="str">
        <f>IF(Q323&lt;3,"//",X326)</f>
        <v>//</v>
      </c>
    </row>
    <row r="327" spans="11:27">
      <c r="K327" s="133"/>
      <c r="L327" s="134"/>
      <c r="M327" s="134"/>
      <c r="P327" s="130" t="s">
        <v>4068</v>
      </c>
      <c r="Q327" s="730"/>
      <c r="R327" s="131"/>
      <c r="S327" s="138" t="str">
        <f t="shared" si="10"/>
        <v>KeyPress "Enter", 1</v>
      </c>
      <c r="T327" s="131"/>
      <c r="U327" s="138" t="str">
        <f t="shared" si="11"/>
        <v>KeyPress "Enter", 1</v>
      </c>
      <c r="V327" s="131"/>
      <c r="X327" s="714" t="str">
        <f>IF(Q323&lt;3,"//",U327)</f>
        <v>//</v>
      </c>
      <c r="Y327" s="715"/>
      <c r="AA327" t="str">
        <f>IF(Q323&lt;3,"//",X327)</f>
        <v>//</v>
      </c>
    </row>
    <row r="328" spans="11:27">
      <c r="K328" s="133"/>
      <c r="L328" s="134"/>
      <c r="M328" s="134"/>
      <c r="P328" s="130" t="str">
        <f>$J$5</f>
        <v>Delay 5000</v>
      </c>
      <c r="Q328" s="730"/>
      <c r="R328" s="131"/>
      <c r="S328" s="138" t="str">
        <f t="shared" si="10"/>
        <v>Delay 5000</v>
      </c>
      <c r="T328" s="131"/>
      <c r="U328" s="138" t="str">
        <f t="shared" si="11"/>
        <v>Delay 5000</v>
      </c>
      <c r="V328" s="131"/>
      <c r="X328" s="714" t="str">
        <f>IF(Q323&lt;3,"//",U328)</f>
        <v>//</v>
      </c>
      <c r="Y328" s="715"/>
      <c r="AA328" t="str">
        <f>IF(Q323&lt;3,"//",X328)</f>
        <v>//</v>
      </c>
    </row>
    <row r="329" spans="11:27">
      <c r="K329" s="133">
        <v>55</v>
      </c>
      <c r="L329" s="134">
        <v>2</v>
      </c>
      <c r="M329" s="134"/>
      <c r="P329" s="130" t="s">
        <v>2963</v>
      </c>
      <c r="Q329" s="724">
        <f>L329</f>
        <v>2</v>
      </c>
      <c r="R329" s="131"/>
      <c r="S329" s="138" t="str">
        <f t="shared" si="10"/>
        <v>KeyPress "Tab", 2</v>
      </c>
      <c r="T329" s="131"/>
      <c r="U329" s="138" t="str">
        <f t="shared" si="11"/>
        <v>KeyPress "Tab", 2</v>
      </c>
      <c r="V329" s="131"/>
      <c r="X329" s="714" t="str">
        <f>IF(Q329&lt;3,"//",U329)</f>
        <v>//</v>
      </c>
      <c r="Y329" s="715"/>
      <c r="AA329" t="str">
        <f>IF(Q329&lt;3,"//",X329)</f>
        <v>//</v>
      </c>
    </row>
    <row r="330" spans="11:27">
      <c r="K330" s="133"/>
      <c r="L330" s="134"/>
      <c r="M330" s="134"/>
      <c r="P330" s="130" t="str">
        <f>$J$4</f>
        <v>Delay 600</v>
      </c>
      <c r="Q330" s="730"/>
      <c r="R330" s="131"/>
      <c r="S330" s="138" t="str">
        <f t="shared" si="10"/>
        <v>Delay 600</v>
      </c>
      <c r="T330" s="131"/>
      <c r="U330" s="138" t="str">
        <f t="shared" si="11"/>
        <v>Delay 600</v>
      </c>
      <c r="V330" s="131"/>
      <c r="X330" s="714" t="str">
        <f>IF(Q329&lt;3,"//",U330)</f>
        <v>//</v>
      </c>
      <c r="Y330" s="715"/>
      <c r="AA330" t="str">
        <f>IF(Q329&lt;3,"//",X330)</f>
        <v>//</v>
      </c>
    </row>
    <row r="331" spans="11:27">
      <c r="K331" s="133"/>
      <c r="L331" s="134"/>
      <c r="M331" s="134"/>
      <c r="P331" s="130" t="s">
        <v>2964</v>
      </c>
      <c r="Q331" s="724">
        <f>M329</f>
        <v>0</v>
      </c>
      <c r="R331" s="131" t="s">
        <v>2965</v>
      </c>
      <c r="S331" s="138" t="str">
        <f t="shared" si="10"/>
        <v>SayString "0"</v>
      </c>
      <c r="T331" s="131"/>
      <c r="U331" s="138" t="str">
        <f t="shared" si="11"/>
        <v>SayString "0"</v>
      </c>
      <c r="V331" s="131"/>
      <c r="X331" s="714" t="str">
        <f>IF(Q329&lt;3,"//",U331)</f>
        <v>//</v>
      </c>
      <c r="Y331" s="715"/>
      <c r="AA331" t="str">
        <f>IF(Q329&lt;3,"//",X331)</f>
        <v>//</v>
      </c>
    </row>
    <row r="332" spans="11:27">
      <c r="K332" s="133"/>
      <c r="L332" s="134"/>
      <c r="M332" s="134"/>
      <c r="P332" s="130" t="str">
        <f>$J$4</f>
        <v>Delay 600</v>
      </c>
      <c r="Q332" s="730"/>
      <c r="R332" s="131"/>
      <c r="S332" s="138" t="str">
        <f t="shared" si="10"/>
        <v>Delay 600</v>
      </c>
      <c r="T332" s="131"/>
      <c r="U332" s="138" t="str">
        <f t="shared" si="11"/>
        <v>Delay 600</v>
      </c>
      <c r="V332" s="131"/>
      <c r="X332" s="714" t="str">
        <f>IF(Q329&lt;3,"//",U332)</f>
        <v>//</v>
      </c>
      <c r="Y332" s="715"/>
      <c r="AA332" t="str">
        <f>IF(Q329&lt;3,"//",X332)</f>
        <v>//</v>
      </c>
    </row>
    <row r="333" spans="11:27">
      <c r="K333" s="133"/>
      <c r="L333" s="134"/>
      <c r="M333" s="134"/>
      <c r="P333" s="130" t="s">
        <v>4068</v>
      </c>
      <c r="Q333" s="730"/>
      <c r="R333" s="131"/>
      <c r="S333" s="138" t="str">
        <f t="shared" si="10"/>
        <v>KeyPress "Enter", 1</v>
      </c>
      <c r="T333" s="131"/>
      <c r="U333" s="138" t="str">
        <f t="shared" si="11"/>
        <v>KeyPress "Enter", 1</v>
      </c>
      <c r="V333" s="131"/>
      <c r="X333" s="714" t="str">
        <f>IF(Q329&lt;3,"//",U333)</f>
        <v>//</v>
      </c>
      <c r="Y333" s="715"/>
      <c r="AA333" t="str">
        <f>IF(Q329&lt;3,"//",X333)</f>
        <v>//</v>
      </c>
    </row>
    <row r="334" spans="11:27">
      <c r="K334" s="133"/>
      <c r="L334" s="134"/>
      <c r="M334" s="134"/>
      <c r="P334" s="130" t="str">
        <f>$J$5</f>
        <v>Delay 5000</v>
      </c>
      <c r="Q334" s="730"/>
      <c r="R334" s="131"/>
      <c r="S334" s="138" t="str">
        <f t="shared" si="10"/>
        <v>Delay 5000</v>
      </c>
      <c r="T334" s="131"/>
      <c r="U334" s="138" t="str">
        <f t="shared" si="11"/>
        <v>Delay 5000</v>
      </c>
      <c r="V334" s="131"/>
      <c r="X334" s="714" t="str">
        <f>IF(Q329&lt;3,"//",U334)</f>
        <v>//</v>
      </c>
      <c r="Y334" s="715"/>
      <c r="AA334" t="str">
        <f>IF(Q329&lt;3,"//",X334)</f>
        <v>//</v>
      </c>
    </row>
    <row r="335" spans="11:27">
      <c r="K335" s="133">
        <v>56</v>
      </c>
      <c r="L335" s="134">
        <v>2</v>
      </c>
      <c r="M335" s="134"/>
      <c r="P335" s="130" t="s">
        <v>2963</v>
      </c>
      <c r="Q335" s="724">
        <f>L335</f>
        <v>2</v>
      </c>
      <c r="R335" s="131"/>
      <c r="S335" s="138" t="str">
        <f t="shared" si="10"/>
        <v>KeyPress "Tab", 2</v>
      </c>
      <c r="T335" s="131"/>
      <c r="U335" s="138" t="str">
        <f t="shared" si="11"/>
        <v>KeyPress "Tab", 2</v>
      </c>
      <c r="V335" s="131"/>
      <c r="X335" s="714" t="str">
        <f>IF(Q335&lt;3,"//",U335)</f>
        <v>//</v>
      </c>
      <c r="Y335" s="715"/>
      <c r="AA335" t="str">
        <f>IF(Q335&lt;3,"//",X335)</f>
        <v>//</v>
      </c>
    </row>
    <row r="336" spans="11:27">
      <c r="K336" s="133"/>
      <c r="L336" s="134"/>
      <c r="M336" s="134"/>
      <c r="P336" s="130" t="str">
        <f>$J$4</f>
        <v>Delay 600</v>
      </c>
      <c r="Q336" s="730"/>
      <c r="R336" s="131"/>
      <c r="S336" s="138" t="str">
        <f t="shared" si="10"/>
        <v>Delay 600</v>
      </c>
      <c r="T336" s="131"/>
      <c r="U336" s="138" t="str">
        <f t="shared" si="11"/>
        <v>Delay 600</v>
      </c>
      <c r="V336" s="131"/>
      <c r="X336" s="714" t="str">
        <f>IF(Q335&lt;3,"//",U336)</f>
        <v>//</v>
      </c>
      <c r="Y336" s="715"/>
      <c r="AA336" t="str">
        <f>IF(Q335&lt;3,"//",X336)</f>
        <v>//</v>
      </c>
    </row>
    <row r="337" spans="11:27">
      <c r="K337" s="133"/>
      <c r="L337" s="134"/>
      <c r="M337" s="134"/>
      <c r="P337" s="130" t="s">
        <v>2964</v>
      </c>
      <c r="Q337" s="724">
        <f>M335</f>
        <v>0</v>
      </c>
      <c r="R337" s="131" t="s">
        <v>2965</v>
      </c>
      <c r="S337" s="138" t="str">
        <f t="shared" si="10"/>
        <v>SayString "0"</v>
      </c>
      <c r="T337" s="131"/>
      <c r="U337" s="138" t="str">
        <f t="shared" si="11"/>
        <v>SayString "0"</v>
      </c>
      <c r="V337" s="131"/>
      <c r="X337" s="714" t="str">
        <f>IF(Q335&lt;3,"//",U337)</f>
        <v>//</v>
      </c>
      <c r="Y337" s="715"/>
      <c r="AA337" t="str">
        <f>IF(Q335&lt;3,"//",X337)</f>
        <v>//</v>
      </c>
    </row>
    <row r="338" spans="11:27">
      <c r="K338" s="133"/>
      <c r="L338" s="134"/>
      <c r="M338" s="134"/>
      <c r="P338" s="130" t="str">
        <f>$J$4</f>
        <v>Delay 600</v>
      </c>
      <c r="Q338" s="730"/>
      <c r="R338" s="131"/>
      <c r="S338" s="138" t="str">
        <f t="shared" si="10"/>
        <v>Delay 600</v>
      </c>
      <c r="T338" s="131"/>
      <c r="U338" s="138" t="str">
        <f t="shared" si="11"/>
        <v>Delay 600</v>
      </c>
      <c r="V338" s="131"/>
      <c r="X338" s="714" t="str">
        <f>IF(Q335&lt;3,"//",U338)</f>
        <v>//</v>
      </c>
      <c r="Y338" s="715"/>
      <c r="AA338" t="str">
        <f>IF(Q335&lt;3,"//",X338)</f>
        <v>//</v>
      </c>
    </row>
    <row r="339" spans="11:27">
      <c r="K339" s="133"/>
      <c r="L339" s="134"/>
      <c r="M339" s="134"/>
      <c r="P339" s="130" t="s">
        <v>4068</v>
      </c>
      <c r="Q339" s="730"/>
      <c r="R339" s="131"/>
      <c r="S339" s="138" t="str">
        <f t="shared" si="10"/>
        <v>KeyPress "Enter", 1</v>
      </c>
      <c r="T339" s="131"/>
      <c r="U339" s="138" t="str">
        <f t="shared" si="11"/>
        <v>KeyPress "Enter", 1</v>
      </c>
      <c r="V339" s="131"/>
      <c r="X339" s="714" t="str">
        <f>IF(Q335&lt;3,"//",U339)</f>
        <v>//</v>
      </c>
      <c r="Y339" s="715"/>
      <c r="AA339" t="str">
        <f>IF(Q335&lt;3,"//",X339)</f>
        <v>//</v>
      </c>
    </row>
    <row r="340" spans="11:27">
      <c r="K340" s="133"/>
      <c r="L340" s="134"/>
      <c r="M340" s="134"/>
      <c r="P340" s="130" t="str">
        <f>$J$5</f>
        <v>Delay 5000</v>
      </c>
      <c r="Q340" s="730"/>
      <c r="R340" s="131"/>
      <c r="S340" s="138" t="str">
        <f t="shared" si="10"/>
        <v>Delay 5000</v>
      </c>
      <c r="T340" s="131"/>
      <c r="U340" s="138" t="str">
        <f t="shared" si="11"/>
        <v>Delay 5000</v>
      </c>
      <c r="V340" s="131"/>
      <c r="X340" s="714" t="str">
        <f>IF(Q335&lt;3,"//",U340)</f>
        <v>//</v>
      </c>
      <c r="Y340" s="715"/>
      <c r="AA340" t="str">
        <f>IF(Q335&lt;3,"//",X340)</f>
        <v>//</v>
      </c>
    </row>
    <row r="341" spans="11:27">
      <c r="K341" s="133">
        <v>57</v>
      </c>
      <c r="L341" s="134">
        <v>2</v>
      </c>
      <c r="M341" s="134"/>
      <c r="P341" s="130" t="s">
        <v>2963</v>
      </c>
      <c r="Q341" s="724">
        <f>L341</f>
        <v>2</v>
      </c>
      <c r="R341" s="131"/>
      <c r="S341" s="138" t="str">
        <f t="shared" si="10"/>
        <v>KeyPress "Tab", 2</v>
      </c>
      <c r="T341" s="131"/>
      <c r="U341" s="138" t="str">
        <f t="shared" si="11"/>
        <v>KeyPress "Tab", 2</v>
      </c>
      <c r="V341" s="131"/>
      <c r="X341" s="714" t="str">
        <f>IF(Q341&lt;3,"//",U341)</f>
        <v>//</v>
      </c>
      <c r="Y341" s="715"/>
      <c r="AA341" t="str">
        <f>IF(Q341&lt;3,"//",X341)</f>
        <v>//</v>
      </c>
    </row>
    <row r="342" spans="11:27">
      <c r="K342" s="133"/>
      <c r="L342" s="134"/>
      <c r="M342" s="134"/>
      <c r="P342" s="130" t="str">
        <f>$J$4</f>
        <v>Delay 600</v>
      </c>
      <c r="Q342" s="730"/>
      <c r="R342" s="131"/>
      <c r="S342" s="138" t="str">
        <f t="shared" si="10"/>
        <v>Delay 600</v>
      </c>
      <c r="T342" s="131"/>
      <c r="U342" s="138" t="str">
        <f t="shared" si="11"/>
        <v>Delay 600</v>
      </c>
      <c r="V342" s="131"/>
      <c r="X342" s="714" t="str">
        <f>IF(Q341&lt;3,"//",U342)</f>
        <v>//</v>
      </c>
      <c r="Y342" s="715"/>
      <c r="AA342" t="str">
        <f>IF(Q341&lt;3,"//",X342)</f>
        <v>//</v>
      </c>
    </row>
    <row r="343" spans="11:27">
      <c r="K343" s="133"/>
      <c r="L343" s="134"/>
      <c r="M343" s="134"/>
      <c r="P343" s="130" t="s">
        <v>2964</v>
      </c>
      <c r="Q343" s="724">
        <f>M341</f>
        <v>0</v>
      </c>
      <c r="R343" s="131" t="s">
        <v>2965</v>
      </c>
      <c r="S343" s="138" t="str">
        <f t="shared" si="10"/>
        <v>SayString "0"</v>
      </c>
      <c r="T343" s="131"/>
      <c r="U343" s="138" t="str">
        <f t="shared" si="11"/>
        <v>SayString "0"</v>
      </c>
      <c r="V343" s="131"/>
      <c r="X343" s="714" t="str">
        <f>IF(Q341&lt;3,"//",U343)</f>
        <v>//</v>
      </c>
      <c r="Y343" s="715"/>
      <c r="AA343" t="str">
        <f>IF(Q341&lt;3,"//",X343)</f>
        <v>//</v>
      </c>
    </row>
    <row r="344" spans="11:27">
      <c r="K344" s="133"/>
      <c r="L344" s="134"/>
      <c r="M344" s="134"/>
      <c r="P344" s="130" t="str">
        <f>$J$4</f>
        <v>Delay 600</v>
      </c>
      <c r="Q344" s="730"/>
      <c r="R344" s="131"/>
      <c r="S344" s="138" t="str">
        <f t="shared" si="10"/>
        <v>Delay 600</v>
      </c>
      <c r="T344" s="131"/>
      <c r="U344" s="138" t="str">
        <f t="shared" si="11"/>
        <v>Delay 600</v>
      </c>
      <c r="V344" s="131"/>
      <c r="X344" s="714" t="str">
        <f>IF(Q341&lt;3,"//",U344)</f>
        <v>//</v>
      </c>
      <c r="Y344" s="715"/>
      <c r="AA344" t="str">
        <f>IF(Q341&lt;3,"//",X344)</f>
        <v>//</v>
      </c>
    </row>
    <row r="345" spans="11:27">
      <c r="K345" s="133"/>
      <c r="L345" s="134"/>
      <c r="M345" s="134"/>
      <c r="P345" s="130" t="s">
        <v>4068</v>
      </c>
      <c r="Q345" s="730"/>
      <c r="R345" s="131"/>
      <c r="S345" s="138" t="str">
        <f t="shared" si="10"/>
        <v>KeyPress "Enter", 1</v>
      </c>
      <c r="T345" s="131"/>
      <c r="U345" s="138" t="str">
        <f t="shared" si="11"/>
        <v>KeyPress "Enter", 1</v>
      </c>
      <c r="V345" s="131"/>
      <c r="X345" s="714" t="str">
        <f>IF(Q341&lt;3,"//",U345)</f>
        <v>//</v>
      </c>
      <c r="Y345" s="715"/>
      <c r="AA345" t="str">
        <f>IF(Q341&lt;3,"//",X345)</f>
        <v>//</v>
      </c>
    </row>
    <row r="346" spans="11:27">
      <c r="K346" s="133"/>
      <c r="L346" s="134"/>
      <c r="M346" s="134"/>
      <c r="P346" s="130" t="str">
        <f>$J$5</f>
        <v>Delay 5000</v>
      </c>
      <c r="Q346" s="730"/>
      <c r="R346" s="131"/>
      <c r="S346" s="138" t="str">
        <f t="shared" si="10"/>
        <v>Delay 5000</v>
      </c>
      <c r="T346" s="131"/>
      <c r="U346" s="138" t="str">
        <f t="shared" si="11"/>
        <v>Delay 5000</v>
      </c>
      <c r="V346" s="131"/>
      <c r="X346" s="714" t="str">
        <f>IF(Q341&lt;3,"//",U346)</f>
        <v>//</v>
      </c>
      <c r="Y346" s="715"/>
      <c r="AA346" t="str">
        <f>IF(Q341&lt;3,"//",X346)</f>
        <v>//</v>
      </c>
    </row>
    <row r="347" spans="11:27">
      <c r="K347" s="133">
        <v>58</v>
      </c>
      <c r="L347" s="134">
        <v>2</v>
      </c>
      <c r="M347" s="134"/>
      <c r="P347" s="130" t="s">
        <v>2963</v>
      </c>
      <c r="Q347" s="724">
        <f>L347</f>
        <v>2</v>
      </c>
      <c r="R347" s="131"/>
      <c r="S347" s="138" t="str">
        <f t="shared" si="10"/>
        <v>KeyPress "Tab", 2</v>
      </c>
      <c r="T347" s="131"/>
      <c r="U347" s="138" t="str">
        <f t="shared" si="11"/>
        <v>KeyPress "Tab", 2</v>
      </c>
      <c r="V347" s="131"/>
      <c r="X347" s="714" t="str">
        <f>IF(Q347&lt;3,"//",U347)</f>
        <v>//</v>
      </c>
      <c r="Y347" s="715"/>
      <c r="AA347" t="str">
        <f>IF(Q347&lt;3,"//",X347)</f>
        <v>//</v>
      </c>
    </row>
    <row r="348" spans="11:27">
      <c r="K348" s="133"/>
      <c r="L348" s="134"/>
      <c r="M348" s="134"/>
      <c r="P348" s="130" t="str">
        <f>$J$4</f>
        <v>Delay 600</v>
      </c>
      <c r="Q348" s="730"/>
      <c r="R348" s="131"/>
      <c r="S348" s="138" t="str">
        <f t="shared" si="10"/>
        <v>Delay 600</v>
      </c>
      <c r="T348" s="131"/>
      <c r="U348" s="138" t="str">
        <f t="shared" si="11"/>
        <v>Delay 600</v>
      </c>
      <c r="V348" s="131"/>
      <c r="X348" s="714" t="str">
        <f>IF(Q347&lt;3,"//",U348)</f>
        <v>//</v>
      </c>
      <c r="Y348" s="715"/>
      <c r="AA348" t="str">
        <f>IF(Q347&lt;3,"//",X348)</f>
        <v>//</v>
      </c>
    </row>
    <row r="349" spans="11:27">
      <c r="K349" s="133"/>
      <c r="L349" s="134"/>
      <c r="M349" s="134"/>
      <c r="P349" s="130" t="s">
        <v>2964</v>
      </c>
      <c r="Q349" s="724">
        <f>M347</f>
        <v>0</v>
      </c>
      <c r="R349" s="131" t="s">
        <v>2965</v>
      </c>
      <c r="S349" s="138" t="str">
        <f t="shared" si="10"/>
        <v>SayString "0"</v>
      </c>
      <c r="T349" s="131"/>
      <c r="U349" s="138" t="str">
        <f t="shared" si="11"/>
        <v>SayString "0"</v>
      </c>
      <c r="V349" s="131"/>
      <c r="X349" s="714" t="str">
        <f>IF(Q347&lt;3,"//",U349)</f>
        <v>//</v>
      </c>
      <c r="Y349" s="715"/>
      <c r="AA349" t="str">
        <f>IF(Q347&lt;3,"//",X349)</f>
        <v>//</v>
      </c>
    </row>
    <row r="350" spans="11:27">
      <c r="K350" s="133"/>
      <c r="L350" s="134"/>
      <c r="M350" s="134"/>
      <c r="P350" s="130" t="str">
        <f>$J$4</f>
        <v>Delay 600</v>
      </c>
      <c r="Q350" s="730"/>
      <c r="R350" s="131"/>
      <c r="S350" s="138" t="str">
        <f t="shared" si="10"/>
        <v>Delay 600</v>
      </c>
      <c r="T350" s="131"/>
      <c r="U350" s="138" t="str">
        <f t="shared" si="11"/>
        <v>Delay 600</v>
      </c>
      <c r="V350" s="131"/>
      <c r="X350" s="714" t="str">
        <f>IF(Q347&lt;3,"//",U350)</f>
        <v>//</v>
      </c>
      <c r="Y350" s="715"/>
      <c r="AA350" t="str">
        <f>IF(Q347&lt;3,"//",X350)</f>
        <v>//</v>
      </c>
    </row>
    <row r="351" spans="11:27">
      <c r="K351" s="133"/>
      <c r="L351" s="134"/>
      <c r="M351" s="134"/>
      <c r="P351" s="130" t="s">
        <v>4068</v>
      </c>
      <c r="Q351" s="730"/>
      <c r="R351" s="131"/>
      <c r="S351" s="138" t="str">
        <f t="shared" si="10"/>
        <v>KeyPress "Enter", 1</v>
      </c>
      <c r="T351" s="131"/>
      <c r="U351" s="138" t="str">
        <f t="shared" si="11"/>
        <v>KeyPress "Enter", 1</v>
      </c>
      <c r="V351" s="131"/>
      <c r="X351" s="714" t="str">
        <f>IF(Q347&lt;3,"//",U351)</f>
        <v>//</v>
      </c>
      <c r="Y351" s="715"/>
      <c r="AA351" t="str">
        <f>IF(Q347&lt;3,"//",X351)</f>
        <v>//</v>
      </c>
    </row>
    <row r="352" spans="11:27">
      <c r="K352" s="133"/>
      <c r="L352" s="134"/>
      <c r="M352" s="134"/>
      <c r="P352" s="130" t="str">
        <f>$J$5</f>
        <v>Delay 5000</v>
      </c>
      <c r="Q352" s="730"/>
      <c r="R352" s="131"/>
      <c r="S352" s="138" t="str">
        <f t="shared" si="10"/>
        <v>Delay 5000</v>
      </c>
      <c r="T352" s="131"/>
      <c r="U352" s="138" t="str">
        <f t="shared" si="11"/>
        <v>Delay 5000</v>
      </c>
      <c r="V352" s="131"/>
      <c r="X352" s="714" t="str">
        <f>IF(Q347&lt;3,"//",U352)</f>
        <v>//</v>
      </c>
      <c r="Y352" s="715"/>
      <c r="AA352" t="str">
        <f>IF(Q347&lt;3,"//",X352)</f>
        <v>//</v>
      </c>
    </row>
    <row r="353" spans="11:27">
      <c r="K353" s="133">
        <v>59</v>
      </c>
      <c r="L353" s="134">
        <v>2</v>
      </c>
      <c r="M353" s="134"/>
      <c r="P353" s="130" t="s">
        <v>2963</v>
      </c>
      <c r="Q353" s="724">
        <f>L353</f>
        <v>2</v>
      </c>
      <c r="R353" s="131"/>
      <c r="S353" s="138" t="str">
        <f t="shared" si="10"/>
        <v>KeyPress "Tab", 2</v>
      </c>
      <c r="T353" s="131"/>
      <c r="U353" s="138" t="str">
        <f t="shared" si="11"/>
        <v>KeyPress "Tab", 2</v>
      </c>
      <c r="V353" s="131"/>
      <c r="X353" s="714" t="str">
        <f>IF(Q353&lt;3,"//",U353)</f>
        <v>//</v>
      </c>
      <c r="Y353" s="715"/>
      <c r="AA353" t="str">
        <f>IF(Q353&lt;3,"//",X353)</f>
        <v>//</v>
      </c>
    </row>
    <row r="354" spans="11:27">
      <c r="K354" s="133"/>
      <c r="L354" s="134"/>
      <c r="M354" s="134"/>
      <c r="P354" s="130" t="str">
        <f>$J$4</f>
        <v>Delay 600</v>
      </c>
      <c r="Q354" s="730"/>
      <c r="R354" s="131"/>
      <c r="S354" s="138" t="str">
        <f t="shared" si="10"/>
        <v>Delay 600</v>
      </c>
      <c r="T354" s="131"/>
      <c r="U354" s="138" t="str">
        <f t="shared" si="11"/>
        <v>Delay 600</v>
      </c>
      <c r="V354" s="131"/>
      <c r="X354" s="714" t="str">
        <f>IF(Q353&lt;3,"//",U354)</f>
        <v>//</v>
      </c>
      <c r="Y354" s="715"/>
      <c r="AA354" t="str">
        <f>IF(Q353&lt;3,"//",X354)</f>
        <v>//</v>
      </c>
    </row>
    <row r="355" spans="11:27">
      <c r="K355" s="133"/>
      <c r="L355" s="134"/>
      <c r="M355" s="134"/>
      <c r="P355" s="130" t="s">
        <v>2964</v>
      </c>
      <c r="Q355" s="724">
        <f>M353</f>
        <v>0</v>
      </c>
      <c r="R355" s="131" t="s">
        <v>2965</v>
      </c>
      <c r="S355" s="138" t="str">
        <f t="shared" si="10"/>
        <v>SayString "0"</v>
      </c>
      <c r="T355" s="131"/>
      <c r="U355" s="138" t="str">
        <f t="shared" si="11"/>
        <v>SayString "0"</v>
      </c>
      <c r="V355" s="131"/>
      <c r="X355" s="714" t="str">
        <f>IF(Q353&lt;3,"//",U355)</f>
        <v>//</v>
      </c>
      <c r="Y355" s="715"/>
      <c r="AA355" t="str">
        <f>IF(Q353&lt;3,"//",X355)</f>
        <v>//</v>
      </c>
    </row>
    <row r="356" spans="11:27">
      <c r="K356" s="133"/>
      <c r="L356" s="134"/>
      <c r="M356" s="134"/>
      <c r="P356" s="130" t="str">
        <f>$J$4</f>
        <v>Delay 600</v>
      </c>
      <c r="Q356" s="730"/>
      <c r="R356" s="131"/>
      <c r="S356" s="138" t="str">
        <f t="shared" si="10"/>
        <v>Delay 600</v>
      </c>
      <c r="T356" s="131"/>
      <c r="U356" s="138" t="str">
        <f t="shared" si="11"/>
        <v>Delay 600</v>
      </c>
      <c r="V356" s="131"/>
      <c r="X356" s="714" t="str">
        <f>IF(Q353&lt;3,"//",U356)</f>
        <v>//</v>
      </c>
      <c r="Y356" s="715"/>
      <c r="AA356" t="str">
        <f>IF(Q353&lt;3,"//",X356)</f>
        <v>//</v>
      </c>
    </row>
    <row r="357" spans="11:27">
      <c r="K357" s="133"/>
      <c r="L357" s="134"/>
      <c r="M357" s="134"/>
      <c r="P357" s="130" t="s">
        <v>4068</v>
      </c>
      <c r="Q357" s="730"/>
      <c r="R357" s="131"/>
      <c r="S357" s="138" t="str">
        <f t="shared" si="10"/>
        <v>KeyPress "Enter", 1</v>
      </c>
      <c r="T357" s="131"/>
      <c r="U357" s="138" t="str">
        <f t="shared" si="11"/>
        <v>KeyPress "Enter", 1</v>
      </c>
      <c r="V357" s="131"/>
      <c r="X357" s="714" t="str">
        <f>IF(Q353&lt;3,"//",U357)</f>
        <v>//</v>
      </c>
      <c r="Y357" s="715"/>
      <c r="AA357" t="str">
        <f>IF(Q353&lt;3,"//",X357)</f>
        <v>//</v>
      </c>
    </row>
    <row r="358" spans="11:27">
      <c r="K358" s="133"/>
      <c r="L358" s="134"/>
      <c r="M358" s="134"/>
      <c r="P358" s="130" t="str">
        <f>$J$5</f>
        <v>Delay 5000</v>
      </c>
      <c r="Q358" s="730"/>
      <c r="R358" s="131"/>
      <c r="S358" s="138" t="str">
        <f t="shared" si="10"/>
        <v>Delay 5000</v>
      </c>
      <c r="T358" s="131"/>
      <c r="U358" s="138" t="str">
        <f t="shared" si="11"/>
        <v>Delay 5000</v>
      </c>
      <c r="V358" s="131"/>
      <c r="X358" s="714" t="str">
        <f>IF(Q353&lt;3,"//",U358)</f>
        <v>//</v>
      </c>
      <c r="Y358" s="715"/>
      <c r="AA358" t="str">
        <f>IF(Q353&lt;3,"//",X358)</f>
        <v>//</v>
      </c>
    </row>
    <row r="359" spans="11:27">
      <c r="K359" s="133">
        <v>60</v>
      </c>
      <c r="L359" s="134">
        <v>2</v>
      </c>
      <c r="M359" s="134"/>
      <c r="P359" s="130" t="s">
        <v>2963</v>
      </c>
      <c r="Q359" s="724">
        <f>L359</f>
        <v>2</v>
      </c>
      <c r="R359" s="131"/>
      <c r="S359" s="138" t="str">
        <f t="shared" si="10"/>
        <v>KeyPress "Tab", 2</v>
      </c>
      <c r="T359" s="131"/>
      <c r="U359" s="138" t="str">
        <f t="shared" si="11"/>
        <v>KeyPress "Tab", 2</v>
      </c>
      <c r="V359" s="131"/>
      <c r="X359" s="714" t="str">
        <f>IF(Q359&lt;3,"//",U359)</f>
        <v>//</v>
      </c>
      <c r="Y359" s="715"/>
      <c r="AA359" t="str">
        <f>IF(Q359&lt;3,"//",X359)</f>
        <v>//</v>
      </c>
    </row>
    <row r="360" spans="11:27">
      <c r="K360" s="133"/>
      <c r="L360" s="134"/>
      <c r="M360" s="134"/>
      <c r="P360" s="130" t="str">
        <f>$J$4</f>
        <v>Delay 600</v>
      </c>
      <c r="Q360" s="730"/>
      <c r="R360" s="131"/>
      <c r="S360" s="138" t="str">
        <f t="shared" si="10"/>
        <v>Delay 600</v>
      </c>
      <c r="T360" s="131"/>
      <c r="U360" s="138" t="str">
        <f t="shared" si="11"/>
        <v>Delay 600</v>
      </c>
      <c r="V360" s="131"/>
      <c r="X360" s="714" t="str">
        <f>IF(Q359&lt;3,"//",U360)</f>
        <v>//</v>
      </c>
      <c r="Y360" s="715"/>
      <c r="AA360" t="str">
        <f>IF(Q359&lt;3,"//",X360)</f>
        <v>//</v>
      </c>
    </row>
    <row r="361" spans="11:27">
      <c r="K361" s="133"/>
      <c r="L361" s="134"/>
      <c r="M361" s="134"/>
      <c r="P361" s="130" t="s">
        <v>2964</v>
      </c>
      <c r="Q361" s="724">
        <f>M359</f>
        <v>0</v>
      </c>
      <c r="R361" s="131" t="s">
        <v>2965</v>
      </c>
      <c r="S361" s="138" t="str">
        <f t="shared" si="10"/>
        <v>SayString "0"</v>
      </c>
      <c r="T361" s="131"/>
      <c r="U361" s="138" t="str">
        <f t="shared" si="11"/>
        <v>SayString "0"</v>
      </c>
      <c r="V361" s="131"/>
      <c r="X361" s="714" t="str">
        <f>IF(Q359&lt;3,"//",U361)</f>
        <v>//</v>
      </c>
      <c r="Y361" s="715"/>
      <c r="AA361" t="str">
        <f>IF(Q359&lt;3,"//",X361)</f>
        <v>//</v>
      </c>
    </row>
    <row r="362" spans="11:27">
      <c r="K362" s="133"/>
      <c r="L362" s="134"/>
      <c r="M362" s="134"/>
      <c r="P362" s="130" t="str">
        <f>$J$4</f>
        <v>Delay 600</v>
      </c>
      <c r="Q362" s="730"/>
      <c r="R362" s="131"/>
      <c r="S362" s="138" t="str">
        <f t="shared" si="10"/>
        <v>Delay 600</v>
      </c>
      <c r="T362" s="131"/>
      <c r="U362" s="138" t="str">
        <f t="shared" si="11"/>
        <v>Delay 600</v>
      </c>
      <c r="V362" s="131"/>
      <c r="X362" s="714" t="str">
        <f>IF(Q359&lt;3,"//",U362)</f>
        <v>//</v>
      </c>
      <c r="Y362" s="715"/>
      <c r="AA362" t="str">
        <f>IF(Q359&lt;3,"//",X362)</f>
        <v>//</v>
      </c>
    </row>
    <row r="363" spans="11:27">
      <c r="K363" s="133"/>
      <c r="L363" s="134"/>
      <c r="M363" s="134"/>
      <c r="P363" s="130" t="s">
        <v>4068</v>
      </c>
      <c r="Q363" s="730"/>
      <c r="R363" s="131"/>
      <c r="S363" s="138" t="str">
        <f t="shared" si="10"/>
        <v>KeyPress "Enter", 1</v>
      </c>
      <c r="T363" s="131"/>
      <c r="U363" s="138" t="str">
        <f t="shared" si="11"/>
        <v>KeyPress "Enter", 1</v>
      </c>
      <c r="V363" s="131"/>
      <c r="X363" s="714" t="str">
        <f>IF(Q359&lt;3,"//",U363)</f>
        <v>//</v>
      </c>
      <c r="Y363" s="715"/>
      <c r="AA363" t="str">
        <f>IF(Q359&lt;3,"//",X363)</f>
        <v>//</v>
      </c>
    </row>
    <row r="364" spans="11:27">
      <c r="K364" s="133"/>
      <c r="L364" s="134"/>
      <c r="M364" s="134"/>
      <c r="P364" s="130" t="str">
        <f>$J$5</f>
        <v>Delay 5000</v>
      </c>
      <c r="Q364" s="730"/>
      <c r="R364" s="131"/>
      <c r="S364" s="138" t="str">
        <f t="shared" si="10"/>
        <v>Delay 5000</v>
      </c>
      <c r="T364" s="131"/>
      <c r="U364" s="138" t="str">
        <f t="shared" si="11"/>
        <v>Delay 5000</v>
      </c>
      <c r="V364" s="131"/>
      <c r="X364" s="714" t="str">
        <f>IF(Q359&lt;3,"//",U364)</f>
        <v>//</v>
      </c>
      <c r="Y364" s="715"/>
      <c r="AA364" t="str">
        <f>IF(Q359&lt;3,"//",X364)</f>
        <v>//</v>
      </c>
    </row>
    <row r="365" spans="11:27">
      <c r="K365" s="728"/>
      <c r="L365" s="728"/>
      <c r="M365" s="724"/>
    </row>
    <row r="366" spans="11:27">
      <c r="K366" s="728"/>
      <c r="L366" s="728"/>
      <c r="M366" s="724"/>
    </row>
    <row r="367" spans="11:27">
      <c r="K367" s="728"/>
      <c r="L367" s="728"/>
      <c r="M367" s="724"/>
    </row>
    <row r="368" spans="11:27">
      <c r="K368" s="728"/>
      <c r="L368" s="728"/>
      <c r="M368" s="724"/>
    </row>
    <row r="369" spans="11:13">
      <c r="K369" s="728"/>
      <c r="L369" s="728"/>
      <c r="M369" s="724"/>
    </row>
    <row r="370" spans="11:13">
      <c r="K370" s="728"/>
      <c r="L370" s="728"/>
      <c r="M370" s="724"/>
    </row>
    <row r="371" spans="11:13">
      <c r="K371" s="728"/>
      <c r="L371" s="728"/>
      <c r="M371" s="724"/>
    </row>
    <row r="372" spans="11:13">
      <c r="K372" s="728"/>
      <c r="L372" s="728"/>
      <c r="M372" s="724"/>
    </row>
    <row r="373" spans="11:13">
      <c r="K373" s="728"/>
      <c r="L373" s="728"/>
      <c r="M373" s="724"/>
    </row>
    <row r="374" spans="11:13">
      <c r="K374" s="728"/>
      <c r="L374" s="728"/>
      <c r="M374" s="724"/>
    </row>
    <row r="375" spans="11:13">
      <c r="K375" s="728"/>
      <c r="L375" s="728"/>
      <c r="M375" s="724"/>
    </row>
    <row r="376" spans="11:13">
      <c r="K376" s="728"/>
      <c r="L376" s="728"/>
      <c r="M376" s="724"/>
    </row>
    <row r="377" spans="11:13">
      <c r="K377" s="728"/>
      <c r="L377" s="728"/>
      <c r="M377" s="724"/>
    </row>
    <row r="378" spans="11:13">
      <c r="K378" s="728"/>
      <c r="L378" s="728"/>
      <c r="M378" s="724"/>
    </row>
    <row r="379" spans="11:13">
      <c r="K379" s="728"/>
      <c r="L379" s="728"/>
      <c r="M379" s="724"/>
    </row>
    <row r="380" spans="11:13">
      <c r="K380" s="728"/>
      <c r="L380" s="728"/>
      <c r="M380" s="724"/>
    </row>
    <row r="381" spans="11:13">
      <c r="K381" s="728"/>
      <c r="L381" s="728"/>
      <c r="M381" s="724"/>
    </row>
    <row r="382" spans="11:13">
      <c r="K382" s="728"/>
      <c r="L382" s="728"/>
      <c r="M382" s="724"/>
    </row>
    <row r="383" spans="11:13">
      <c r="K383" s="728"/>
      <c r="L383" s="728"/>
      <c r="M383" s="724"/>
    </row>
    <row r="384" spans="11:13">
      <c r="K384" s="728"/>
      <c r="L384" s="728"/>
      <c r="M384" s="724"/>
    </row>
    <row r="385" spans="11:13">
      <c r="K385" s="728"/>
      <c r="L385" s="728"/>
      <c r="M385" s="724"/>
    </row>
    <row r="386" spans="11:13">
      <c r="K386" s="728"/>
      <c r="L386" s="728"/>
      <c r="M386" s="724"/>
    </row>
    <row r="387" spans="11:13">
      <c r="K387" s="728"/>
      <c r="L387" s="728"/>
      <c r="M387" s="724"/>
    </row>
    <row r="388" spans="11:13">
      <c r="K388" s="728"/>
      <c r="L388" s="728"/>
      <c r="M388" s="724"/>
    </row>
    <row r="389" spans="11:13">
      <c r="K389" s="728"/>
      <c r="L389" s="728"/>
      <c r="M389" s="724"/>
    </row>
    <row r="390" spans="11:13">
      <c r="K390" s="728"/>
      <c r="L390" s="728"/>
      <c r="M390" s="724"/>
    </row>
    <row r="391" spans="11:13">
      <c r="K391" s="728"/>
      <c r="L391" s="728"/>
      <c r="M391" s="724"/>
    </row>
    <row r="392" spans="11:13">
      <c r="K392" s="728"/>
      <c r="L392" s="728"/>
      <c r="M392" s="724"/>
    </row>
    <row r="393" spans="11:13">
      <c r="K393" s="728"/>
      <c r="L393" s="728"/>
      <c r="M393" s="724"/>
    </row>
    <row r="394" spans="11:13">
      <c r="K394" s="728"/>
      <c r="L394" s="728"/>
      <c r="M394" s="724"/>
    </row>
    <row r="395" spans="11:13">
      <c r="K395" s="728"/>
      <c r="L395" s="728"/>
      <c r="M395" s="724"/>
    </row>
    <row r="396" spans="11:13">
      <c r="K396" s="728"/>
      <c r="L396" s="728"/>
      <c r="M396" s="724"/>
    </row>
    <row r="397" spans="11:13">
      <c r="K397" s="728"/>
      <c r="L397" s="728"/>
      <c r="M397" s="724"/>
    </row>
    <row r="398" spans="11:13">
      <c r="K398" s="728"/>
      <c r="L398" s="728"/>
      <c r="M398" s="724"/>
    </row>
    <row r="399" spans="11:13">
      <c r="K399" s="728"/>
      <c r="L399" s="728"/>
      <c r="M399" s="724"/>
    </row>
    <row r="400" spans="11:13">
      <c r="K400" s="728"/>
      <c r="L400" s="728"/>
      <c r="M400" s="724"/>
    </row>
    <row r="401" spans="11:13">
      <c r="K401" s="728"/>
      <c r="L401" s="728"/>
      <c r="M401" s="724"/>
    </row>
    <row r="402" spans="11:13">
      <c r="K402" s="728"/>
      <c r="L402" s="728"/>
      <c r="M402" s="724"/>
    </row>
    <row r="403" spans="11:13">
      <c r="K403" s="728"/>
      <c r="L403" s="728"/>
      <c r="M403" s="724"/>
    </row>
    <row r="404" spans="11:13">
      <c r="K404" s="728"/>
      <c r="L404" s="728"/>
      <c r="M404" s="724"/>
    </row>
    <row r="405" spans="11:13">
      <c r="K405" s="728"/>
      <c r="L405" s="728"/>
      <c r="M405" s="724"/>
    </row>
    <row r="406" spans="11:13">
      <c r="K406" s="728"/>
      <c r="L406" s="728"/>
      <c r="M406" s="724"/>
    </row>
    <row r="407" spans="11:13">
      <c r="K407" s="728"/>
      <c r="L407" s="728"/>
      <c r="M407" s="724"/>
    </row>
    <row r="408" spans="11:13">
      <c r="K408" s="728"/>
      <c r="L408" s="728"/>
      <c r="M408" s="724"/>
    </row>
    <row r="409" spans="11:13">
      <c r="K409" s="728"/>
      <c r="L409" s="728"/>
      <c r="M409" s="724"/>
    </row>
    <row r="410" spans="11:13">
      <c r="K410" s="728"/>
      <c r="L410" s="728"/>
      <c r="M410" s="724"/>
    </row>
    <row r="411" spans="11:13">
      <c r="K411" s="728"/>
      <c r="L411" s="728"/>
      <c r="M411" s="724"/>
    </row>
    <row r="412" spans="11:13">
      <c r="K412" s="728"/>
      <c r="L412" s="728"/>
      <c r="M412" s="724"/>
    </row>
    <row r="413" spans="11:13">
      <c r="K413" s="728"/>
      <c r="L413" s="728"/>
      <c r="M413" s="724"/>
    </row>
    <row r="414" spans="11:13">
      <c r="K414" s="728"/>
      <c r="L414" s="728"/>
      <c r="M414" s="724"/>
    </row>
    <row r="415" spans="11:13">
      <c r="K415" s="728"/>
      <c r="L415" s="728"/>
      <c r="M415" s="724"/>
    </row>
    <row r="416" spans="11:13">
      <c r="K416" s="728"/>
      <c r="L416" s="728"/>
      <c r="M416" s="724"/>
    </row>
    <row r="417" spans="11:13">
      <c r="K417" s="728"/>
      <c r="L417" s="728"/>
      <c r="M417" s="724"/>
    </row>
    <row r="418" spans="11:13">
      <c r="K418" s="728"/>
      <c r="L418" s="728"/>
      <c r="M418" s="724"/>
    </row>
    <row r="419" spans="11:13">
      <c r="K419" s="728"/>
      <c r="L419" s="728"/>
      <c r="M419" s="724"/>
    </row>
    <row r="420" spans="11:13">
      <c r="K420" s="728"/>
      <c r="L420" s="728"/>
      <c r="M420" s="724"/>
    </row>
    <row r="421" spans="11:13">
      <c r="K421" s="728"/>
      <c r="L421" s="728"/>
      <c r="M421" s="724"/>
    </row>
    <row r="422" spans="11:13">
      <c r="K422" s="728"/>
      <c r="L422" s="728"/>
      <c r="M422" s="724"/>
    </row>
    <row r="423" spans="11:13">
      <c r="K423" s="728"/>
      <c r="L423" s="728"/>
      <c r="M423" s="724"/>
    </row>
    <row r="424" spans="11:13">
      <c r="K424" s="728"/>
      <c r="L424" s="728"/>
      <c r="M424" s="724"/>
    </row>
    <row r="425" spans="11:13">
      <c r="K425" s="728"/>
      <c r="L425" s="728"/>
      <c r="M425" s="724"/>
    </row>
    <row r="426" spans="11:13">
      <c r="K426" s="728"/>
      <c r="L426" s="728"/>
      <c r="M426" s="724"/>
    </row>
    <row r="427" spans="11:13">
      <c r="K427" s="728"/>
      <c r="L427" s="728"/>
      <c r="M427" s="724"/>
    </row>
    <row r="428" spans="11:13">
      <c r="K428" s="728"/>
      <c r="L428" s="728"/>
      <c r="M428" s="724"/>
    </row>
    <row r="429" spans="11:13">
      <c r="K429" s="728"/>
      <c r="L429" s="728"/>
      <c r="M429" s="724"/>
    </row>
    <row r="430" spans="11:13">
      <c r="K430" s="728"/>
      <c r="L430" s="728"/>
      <c r="M430" s="724"/>
    </row>
    <row r="431" spans="11:13">
      <c r="K431" s="728"/>
      <c r="L431" s="728"/>
      <c r="M431" s="724"/>
    </row>
    <row r="432" spans="11:13">
      <c r="K432" s="728"/>
      <c r="L432" s="728"/>
      <c r="M432" s="724"/>
    </row>
    <row r="433" spans="11:13">
      <c r="K433" s="728"/>
      <c r="L433" s="728"/>
      <c r="M433" s="724"/>
    </row>
    <row r="434" spans="11:13">
      <c r="K434" s="728"/>
      <c r="L434" s="728"/>
      <c r="M434" s="724"/>
    </row>
    <row r="435" spans="11:13">
      <c r="K435" s="728"/>
      <c r="L435" s="728"/>
      <c r="M435" s="724"/>
    </row>
    <row r="436" spans="11:13">
      <c r="K436" s="728"/>
      <c r="L436" s="728"/>
      <c r="M436" s="724"/>
    </row>
    <row r="437" spans="11:13">
      <c r="K437" s="728"/>
      <c r="L437" s="728"/>
      <c r="M437" s="724"/>
    </row>
    <row r="438" spans="11:13">
      <c r="K438" s="728"/>
      <c r="L438" s="728"/>
      <c r="M438" s="724"/>
    </row>
    <row r="439" spans="11:13">
      <c r="K439" s="728"/>
      <c r="L439" s="728"/>
      <c r="M439" s="724"/>
    </row>
    <row r="440" spans="11:13">
      <c r="K440" s="728"/>
      <c r="L440" s="728"/>
      <c r="M440" s="724"/>
    </row>
    <row r="441" spans="11:13">
      <c r="K441" s="728"/>
      <c r="L441" s="728"/>
      <c r="M441" s="724"/>
    </row>
    <row r="442" spans="11:13">
      <c r="K442" s="728"/>
      <c r="L442" s="728"/>
      <c r="M442" s="724"/>
    </row>
    <row r="443" spans="11:13">
      <c r="K443" s="728"/>
      <c r="L443" s="728"/>
      <c r="M443" s="724"/>
    </row>
    <row r="444" spans="11:13">
      <c r="K444" s="728"/>
      <c r="L444" s="728"/>
      <c r="M444" s="724"/>
    </row>
    <row r="445" spans="11:13">
      <c r="K445" s="728"/>
      <c r="L445" s="728"/>
      <c r="M445" s="724"/>
    </row>
    <row r="446" spans="11:13">
      <c r="K446" s="728"/>
      <c r="L446" s="728"/>
      <c r="M446" s="724"/>
    </row>
    <row r="447" spans="11:13">
      <c r="K447" s="728"/>
      <c r="L447" s="728"/>
      <c r="M447" s="724"/>
    </row>
    <row r="448" spans="11:13">
      <c r="K448" s="728"/>
      <c r="L448" s="728"/>
      <c r="M448" s="724"/>
    </row>
    <row r="449" spans="11:13">
      <c r="K449" s="728"/>
      <c r="L449" s="728"/>
      <c r="M449" s="724"/>
    </row>
    <row r="450" spans="11:13">
      <c r="K450" s="728"/>
      <c r="L450" s="728"/>
      <c r="M450" s="724"/>
    </row>
    <row r="451" spans="11:13">
      <c r="K451" s="728"/>
      <c r="L451" s="728"/>
      <c r="M451" s="724"/>
    </row>
    <row r="452" spans="11:13">
      <c r="K452" s="728"/>
      <c r="L452" s="728"/>
      <c r="M452" s="724"/>
    </row>
    <row r="453" spans="11:13">
      <c r="K453" s="728"/>
      <c r="L453" s="728"/>
      <c r="M453" s="724"/>
    </row>
    <row r="454" spans="11:13">
      <c r="K454" s="728"/>
      <c r="L454" s="728"/>
      <c r="M454" s="724"/>
    </row>
    <row r="455" spans="11:13">
      <c r="K455" s="728"/>
      <c r="L455" s="728"/>
      <c r="M455" s="724"/>
    </row>
    <row r="456" spans="11:13">
      <c r="K456" s="728"/>
      <c r="L456" s="728"/>
      <c r="M456" s="724"/>
    </row>
    <row r="457" spans="11:13">
      <c r="K457" s="728"/>
      <c r="L457" s="728"/>
      <c r="M457" s="724"/>
    </row>
    <row r="458" spans="11:13">
      <c r="K458" s="728"/>
      <c r="L458" s="728"/>
      <c r="M458" s="724"/>
    </row>
    <row r="459" spans="11:13">
      <c r="K459" s="728"/>
      <c r="L459" s="728"/>
      <c r="M459" s="724"/>
    </row>
    <row r="460" spans="11:13">
      <c r="K460" s="728"/>
      <c r="L460" s="728"/>
      <c r="M460" s="724"/>
    </row>
    <row r="461" spans="11:13">
      <c r="K461" s="728"/>
      <c r="L461" s="728"/>
      <c r="M461" s="724"/>
    </row>
    <row r="462" spans="11:13">
      <c r="K462" s="728"/>
      <c r="L462" s="728"/>
      <c r="M462" s="724"/>
    </row>
    <row r="463" spans="11:13">
      <c r="K463" s="728"/>
      <c r="L463" s="728"/>
      <c r="M463" s="724"/>
    </row>
    <row r="464" spans="11:13">
      <c r="K464" s="728"/>
      <c r="L464" s="728"/>
      <c r="M464" s="724"/>
    </row>
    <row r="465" spans="11:13">
      <c r="K465" s="728"/>
      <c r="L465" s="728"/>
      <c r="M465" s="724"/>
    </row>
    <row r="466" spans="11:13">
      <c r="K466" s="728"/>
      <c r="L466" s="728"/>
      <c r="M466" s="724"/>
    </row>
    <row r="467" spans="11:13">
      <c r="K467" s="728"/>
      <c r="L467" s="728"/>
      <c r="M467" s="724"/>
    </row>
    <row r="468" spans="11:13">
      <c r="K468" s="728"/>
      <c r="L468" s="728"/>
      <c r="M468" s="724"/>
    </row>
    <row r="469" spans="11:13">
      <c r="K469" s="728"/>
      <c r="L469" s="728"/>
      <c r="M469" s="724"/>
    </row>
    <row r="470" spans="11:13">
      <c r="K470" s="728"/>
      <c r="L470" s="728"/>
      <c r="M470" s="724"/>
    </row>
    <row r="471" spans="11:13">
      <c r="K471" s="728"/>
      <c r="L471" s="728"/>
      <c r="M471" s="724"/>
    </row>
    <row r="472" spans="11:13">
      <c r="K472" s="728"/>
      <c r="L472" s="728"/>
      <c r="M472" s="724"/>
    </row>
    <row r="473" spans="11:13">
      <c r="K473" s="728"/>
      <c r="L473" s="728"/>
      <c r="M473" s="724"/>
    </row>
    <row r="474" spans="11:13">
      <c r="K474" s="728"/>
      <c r="L474" s="728"/>
      <c r="M474" s="724"/>
    </row>
    <row r="475" spans="11:13">
      <c r="K475" s="728"/>
      <c r="L475" s="728"/>
      <c r="M475" s="724"/>
    </row>
    <row r="476" spans="11:13">
      <c r="K476" s="728"/>
      <c r="L476" s="728"/>
      <c r="M476" s="724"/>
    </row>
    <row r="477" spans="11:13">
      <c r="K477" s="728"/>
      <c r="L477" s="728"/>
      <c r="M477" s="724"/>
    </row>
    <row r="478" spans="11:13">
      <c r="K478" s="728"/>
      <c r="L478" s="728"/>
      <c r="M478" s="724"/>
    </row>
    <row r="479" spans="11:13">
      <c r="K479" s="728"/>
      <c r="L479" s="728"/>
      <c r="M479" s="724"/>
    </row>
    <row r="480" spans="11:13">
      <c r="K480" s="728"/>
      <c r="L480" s="728"/>
      <c r="M480" s="724"/>
    </row>
    <row r="481" spans="11:13">
      <c r="K481" s="728"/>
      <c r="L481" s="728"/>
      <c r="M481" s="724"/>
    </row>
    <row r="482" spans="11:13">
      <c r="K482" s="728"/>
      <c r="L482" s="728"/>
      <c r="M482" s="724"/>
    </row>
    <row r="483" spans="11:13">
      <c r="K483" s="728"/>
      <c r="L483" s="728"/>
      <c r="M483" s="724"/>
    </row>
    <row r="484" spans="11:13">
      <c r="K484" s="728"/>
      <c r="L484" s="728"/>
      <c r="M484" s="724"/>
    </row>
    <row r="485" spans="11:13">
      <c r="K485" s="728"/>
      <c r="L485" s="728"/>
      <c r="M485" s="724"/>
    </row>
    <row r="486" spans="11:13">
      <c r="K486" s="728"/>
      <c r="L486" s="728"/>
      <c r="M486" s="724"/>
    </row>
    <row r="487" spans="11:13">
      <c r="K487" s="728"/>
      <c r="L487" s="728"/>
      <c r="M487" s="724"/>
    </row>
    <row r="488" spans="11:13">
      <c r="K488" s="728"/>
      <c r="L488" s="728"/>
      <c r="M488" s="724"/>
    </row>
    <row r="489" spans="11:13">
      <c r="K489" s="728"/>
      <c r="L489" s="728"/>
      <c r="M489" s="724"/>
    </row>
    <row r="490" spans="11:13">
      <c r="K490" s="728"/>
      <c r="L490" s="728"/>
      <c r="M490" s="724"/>
    </row>
    <row r="491" spans="11:13">
      <c r="K491" s="728"/>
      <c r="L491" s="728"/>
      <c r="M491" s="724"/>
    </row>
    <row r="492" spans="11:13">
      <c r="K492" s="728"/>
      <c r="L492" s="728"/>
      <c r="M492" s="724"/>
    </row>
    <row r="493" spans="11:13">
      <c r="K493" s="728"/>
      <c r="L493" s="728"/>
      <c r="M493" s="724"/>
    </row>
    <row r="494" spans="11:13">
      <c r="K494" s="728"/>
      <c r="L494" s="728"/>
      <c r="M494" s="724"/>
    </row>
    <row r="495" spans="11:13">
      <c r="K495" s="728"/>
      <c r="L495" s="728"/>
      <c r="M495" s="724"/>
    </row>
    <row r="496" spans="11:13">
      <c r="K496" s="728"/>
      <c r="L496" s="728"/>
      <c r="M496" s="724"/>
    </row>
    <row r="497" spans="11:13">
      <c r="K497" s="728"/>
      <c r="L497" s="728"/>
      <c r="M497" s="724"/>
    </row>
    <row r="498" spans="11:13">
      <c r="K498" s="728"/>
      <c r="L498" s="728"/>
      <c r="M498" s="724"/>
    </row>
    <row r="499" spans="11:13">
      <c r="K499" s="728"/>
      <c r="L499" s="728"/>
      <c r="M499" s="724"/>
    </row>
    <row r="500" spans="11:13">
      <c r="K500" s="728"/>
      <c r="L500" s="728"/>
      <c r="M500" s="724"/>
    </row>
    <row r="501" spans="11:13">
      <c r="K501" s="728"/>
      <c r="L501" s="728"/>
      <c r="M501" s="724"/>
    </row>
    <row r="502" spans="11:13">
      <c r="K502" s="728"/>
      <c r="L502" s="728"/>
      <c r="M502" s="724"/>
    </row>
    <row r="503" spans="11:13">
      <c r="K503" s="728"/>
      <c r="L503" s="728"/>
      <c r="M503" s="724"/>
    </row>
    <row r="504" spans="11:13">
      <c r="K504" s="728"/>
      <c r="L504" s="728"/>
      <c r="M504" s="724"/>
    </row>
    <row r="505" spans="11:13">
      <c r="K505" s="728"/>
      <c r="L505" s="728"/>
      <c r="M505" s="724"/>
    </row>
    <row r="506" spans="11:13">
      <c r="K506" s="728"/>
      <c r="L506" s="728"/>
      <c r="M506" s="724"/>
    </row>
    <row r="507" spans="11:13">
      <c r="K507" s="728"/>
      <c r="L507" s="728"/>
      <c r="M507" s="724"/>
    </row>
    <row r="508" spans="11:13">
      <c r="K508" s="728"/>
      <c r="L508" s="728"/>
      <c r="M508" s="724"/>
    </row>
    <row r="509" spans="11:13">
      <c r="K509" s="728"/>
      <c r="L509" s="728"/>
      <c r="M509" s="724"/>
    </row>
    <row r="510" spans="11:13">
      <c r="K510" s="728"/>
      <c r="L510" s="728"/>
      <c r="M510" s="724"/>
    </row>
    <row r="511" spans="11:13">
      <c r="K511" s="728"/>
      <c r="L511" s="728"/>
      <c r="M511" s="724"/>
    </row>
    <row r="512" spans="11:13">
      <c r="K512" s="728"/>
      <c r="L512" s="728"/>
      <c r="M512" s="724"/>
    </row>
    <row r="513" spans="11:13">
      <c r="K513" s="7"/>
      <c r="L513" s="7"/>
      <c r="M513" s="7"/>
    </row>
    <row r="514" spans="11:13">
      <c r="K514" s="7"/>
      <c r="L514" s="7"/>
      <c r="M514" s="7"/>
    </row>
    <row r="515" spans="11:13">
      <c r="K515" s="7"/>
      <c r="L515" s="7"/>
      <c r="M515" s="7"/>
    </row>
    <row r="516" spans="11:13">
      <c r="K516" s="7"/>
      <c r="L516" s="7"/>
      <c r="M516" s="7"/>
    </row>
    <row r="517" spans="11:13">
      <c r="K517" s="7"/>
      <c r="L517" s="7"/>
      <c r="M517" s="7"/>
    </row>
    <row r="518" spans="11:13">
      <c r="K518" s="7"/>
      <c r="L518" s="7"/>
      <c r="M518" s="7"/>
    </row>
    <row r="519" spans="11:13">
      <c r="K519" s="7"/>
      <c r="L519" s="7"/>
      <c r="M519" s="7"/>
    </row>
    <row r="520" spans="11:13">
      <c r="K520" s="7"/>
      <c r="L520" s="7"/>
      <c r="M520" s="7"/>
    </row>
    <row r="521" spans="11:13">
      <c r="K521" s="7"/>
      <c r="L521" s="7"/>
      <c r="M521" s="7"/>
    </row>
    <row r="522" spans="11:13">
      <c r="K522" s="7"/>
      <c r="L522" s="7"/>
      <c r="M522" s="7"/>
    </row>
    <row r="523" spans="11:13">
      <c r="K523" s="7"/>
      <c r="L523" s="7"/>
      <c r="M523" s="7"/>
    </row>
    <row r="524" spans="11:13">
      <c r="K524" s="7"/>
      <c r="L524" s="7"/>
      <c r="M524" s="7"/>
    </row>
    <row r="525" spans="11:13">
      <c r="K525" s="7"/>
      <c r="L525" s="7"/>
      <c r="M525" s="7"/>
    </row>
    <row r="526" spans="11:13">
      <c r="K526" s="7"/>
      <c r="L526" s="7"/>
      <c r="M526" s="7"/>
    </row>
    <row r="527" spans="11:13">
      <c r="K527" s="7"/>
      <c r="L527" s="7"/>
      <c r="M527" s="7"/>
    </row>
    <row r="528" spans="11:13">
      <c r="K528" s="7"/>
      <c r="L528" s="7"/>
      <c r="M528" s="7"/>
    </row>
  </sheetData>
  <mergeCells count="2">
    <mergeCell ref="O1:R1"/>
    <mergeCell ref="S1:V1"/>
  </mergeCells>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5">
    <tabColor theme="5" tint="0.59999389629810485"/>
  </sheetPr>
  <dimension ref="A1:K555"/>
  <sheetViews>
    <sheetView zoomScaleNormal="100" workbookViewId="0">
      <selection activeCell="I14" sqref="I14"/>
    </sheetView>
  </sheetViews>
  <sheetFormatPr defaultRowHeight="16.5"/>
  <cols>
    <col min="1" max="1" width="5.25" style="162" customWidth="1"/>
    <col min="2" max="2" width="26.25" style="162" customWidth="1"/>
    <col min="3" max="3" width="5.5" style="162" customWidth="1"/>
    <col min="4" max="4" width="8.5" style="163" customWidth="1"/>
    <col min="5" max="5" width="10.875" style="162" customWidth="1"/>
    <col min="6" max="6" width="10.875" style="164" customWidth="1"/>
    <col min="7" max="7" width="15.25" style="165" customWidth="1"/>
    <col min="8" max="8" width="14.375" style="1271" customWidth="1"/>
    <col min="9" max="9" width="9" style="664" customWidth="1"/>
    <col min="10" max="10" width="72.625" hidden="1" customWidth="1"/>
  </cols>
  <sheetData>
    <row r="1" spans="1:10" s="4" customFormat="1" ht="16.5" customHeight="1">
      <c r="A1" s="1732" t="s">
        <v>914</v>
      </c>
      <c r="B1" s="1733"/>
      <c r="C1" s="1733"/>
      <c r="D1" s="1733"/>
      <c r="E1" s="1733"/>
      <c r="F1" s="1733"/>
      <c r="G1" s="1733"/>
      <c r="H1" s="166"/>
      <c r="I1" s="11"/>
      <c r="J1" s="4" t="str">
        <f>A1</f>
        <v>臺北市政府工務局水利工程處</v>
      </c>
    </row>
    <row r="2" spans="1:10" s="4" customFormat="1" ht="16.5" customHeight="1">
      <c r="A2" s="1734" t="s">
        <v>6101</v>
      </c>
      <c r="B2" s="1735"/>
      <c r="C2" s="1735"/>
      <c r="D2" s="1735"/>
      <c r="E2" s="1735"/>
      <c r="F2" s="1735"/>
      <c r="G2" s="1735"/>
      <c r="H2" s="166"/>
      <c r="I2" s="11"/>
      <c r="J2" s="4" t="str">
        <f t="shared" ref="J2:J65" si="0">A2</f>
        <v>詳 細 價 目 表</v>
      </c>
    </row>
    <row r="3" spans="1:10" s="4" customFormat="1" ht="16.5" customHeight="1">
      <c r="A3" s="1736"/>
      <c r="B3" s="1737"/>
      <c r="C3" s="1737"/>
      <c r="D3" s="1737"/>
      <c r="E3" s="1737"/>
      <c r="F3" s="1737"/>
      <c r="G3" s="1737"/>
      <c r="H3" s="167"/>
      <c r="I3" s="11"/>
      <c r="J3" s="4">
        <f t="shared" si="0"/>
        <v>0</v>
      </c>
    </row>
    <row r="4" spans="1:10" s="4" customFormat="1" ht="17.100000000000001" customHeight="1">
      <c r="A4" s="1738" t="s">
        <v>5522</v>
      </c>
      <c r="B4" s="1739"/>
      <c r="C4" s="1739"/>
      <c r="D4" s="1739"/>
      <c r="E4" s="1739"/>
      <c r="F4" s="1740"/>
      <c r="G4" s="1740"/>
      <c r="H4" s="963" t="s">
        <v>6102</v>
      </c>
      <c r="I4" s="11"/>
      <c r="J4" s="4" t="str">
        <f t="shared" si="0"/>
        <v>工程名稱：114年度續約-113年度雨水下水道預約維護工程(士林、大同區)</v>
      </c>
    </row>
    <row r="5" spans="1:10" s="5" customFormat="1" ht="18" customHeight="1">
      <c r="A5" s="1738" t="s">
        <v>5057</v>
      </c>
      <c r="B5" s="1739"/>
      <c r="C5" s="1739"/>
      <c r="D5" s="1739"/>
      <c r="E5" s="1739"/>
      <c r="F5" s="1741" t="s">
        <v>5523</v>
      </c>
      <c r="G5" s="1673"/>
      <c r="H5" s="48"/>
      <c r="I5" s="13"/>
      <c r="J5" s="4" t="str">
        <f t="shared" si="0"/>
        <v>施工地點：臺北市士林、大同區</v>
      </c>
    </row>
    <row r="6" spans="1:10" s="4" customFormat="1">
      <c r="A6" s="1742" t="s">
        <v>10</v>
      </c>
      <c r="B6" s="1743" t="s">
        <v>6103</v>
      </c>
      <c r="C6" s="1743" t="s">
        <v>12</v>
      </c>
      <c r="D6" s="1744" t="s">
        <v>11</v>
      </c>
      <c r="E6" s="1745" t="s">
        <v>6104</v>
      </c>
      <c r="F6" s="1746" t="s">
        <v>6105</v>
      </c>
      <c r="G6" s="1743" t="s">
        <v>6106</v>
      </c>
      <c r="H6" s="168"/>
      <c r="I6" s="11"/>
      <c r="J6" s="4" t="str">
        <f t="shared" si="0"/>
        <v>項次</v>
      </c>
    </row>
    <row r="7" spans="1:10" s="4" customFormat="1">
      <c r="A7" s="1747" t="s">
        <v>2991</v>
      </c>
      <c r="B7" s="1748" t="s">
        <v>2992</v>
      </c>
      <c r="C7" s="1749" t="s">
        <v>14</v>
      </c>
      <c r="D7" s="678">
        <v>1</v>
      </c>
      <c r="E7" s="1287"/>
      <c r="F7" s="678">
        <v>16500000</v>
      </c>
      <c r="G7" s="1750" t="s">
        <v>2</v>
      </c>
      <c r="H7" s="169"/>
      <c r="I7" s="11"/>
      <c r="J7" s="4" t="str">
        <f t="shared" si="0"/>
        <v>壹</v>
      </c>
    </row>
    <row r="8" spans="1:10" s="4" customFormat="1">
      <c r="A8" s="1747" t="s">
        <v>2993</v>
      </c>
      <c r="B8" s="1748" t="s">
        <v>2994</v>
      </c>
      <c r="C8" s="1749" t="s">
        <v>14</v>
      </c>
      <c r="D8" s="678">
        <v>1</v>
      </c>
      <c r="E8" s="1287"/>
      <c r="F8" s="678">
        <v>12859915.57</v>
      </c>
      <c r="G8" s="1750" t="s">
        <v>2995</v>
      </c>
      <c r="H8" s="169"/>
      <c r="I8" s="11"/>
      <c r="J8" s="4" t="str">
        <f t="shared" si="0"/>
        <v>　一</v>
      </c>
    </row>
    <row r="9" spans="1:10" s="4" customFormat="1" ht="28.5">
      <c r="A9" s="1747" t="s">
        <v>28</v>
      </c>
      <c r="B9" s="1748" t="s">
        <v>2996</v>
      </c>
      <c r="C9" s="1749" t="s">
        <v>927</v>
      </c>
      <c r="D9" s="678">
        <v>100</v>
      </c>
      <c r="E9" s="1287">
        <v>401</v>
      </c>
      <c r="F9" s="678">
        <v>40100</v>
      </c>
      <c r="G9" s="1750" t="s">
        <v>2997</v>
      </c>
      <c r="H9" s="962" t="str">
        <f>LEFT(G9, FIND(CHAR(10), G9) - 1)</f>
        <v>L0000051000Q1</v>
      </c>
      <c r="I9" s="22">
        <v>1</v>
      </c>
      <c r="J9" s="4" t="str">
        <f t="shared" si="0"/>
        <v>1.1</v>
      </c>
    </row>
    <row r="10" spans="1:10" s="4" customFormat="1" ht="28.5">
      <c r="A10" s="1747" t="s">
        <v>29</v>
      </c>
      <c r="B10" s="1748" t="s">
        <v>2998</v>
      </c>
      <c r="C10" s="1749" t="s">
        <v>927</v>
      </c>
      <c r="D10" s="678">
        <v>100</v>
      </c>
      <c r="E10" s="1287">
        <v>401</v>
      </c>
      <c r="F10" s="678">
        <v>40100</v>
      </c>
      <c r="G10" s="1750" t="s">
        <v>2999</v>
      </c>
      <c r="H10" s="962" t="str">
        <f t="shared" ref="H10:H73" si="1">LEFT(G10, FIND(CHAR(10), G10) - 1)</f>
        <v>L000005301021</v>
      </c>
      <c r="I10" s="22">
        <v>2</v>
      </c>
      <c r="J10" s="4" t="str">
        <f t="shared" si="0"/>
        <v>1.2</v>
      </c>
    </row>
    <row r="11" spans="1:10" s="4" customFormat="1" ht="28.5">
      <c r="A11" s="1747" t="s">
        <v>30</v>
      </c>
      <c r="B11" s="1748" t="s">
        <v>1078</v>
      </c>
      <c r="C11" s="1749" t="s">
        <v>927</v>
      </c>
      <c r="D11" s="678">
        <v>100</v>
      </c>
      <c r="E11" s="1287">
        <v>401</v>
      </c>
      <c r="F11" s="678">
        <v>40100</v>
      </c>
      <c r="G11" s="1750" t="s">
        <v>3000</v>
      </c>
      <c r="H11" s="962" t="str">
        <f t="shared" si="1"/>
        <v>L000005300061</v>
      </c>
      <c r="I11" s="22">
        <v>3</v>
      </c>
      <c r="J11" s="4" t="str">
        <f t="shared" si="0"/>
        <v>1.3</v>
      </c>
    </row>
    <row r="12" spans="1:10" s="4" customFormat="1" ht="28.5">
      <c r="A12" s="1747" t="s">
        <v>31</v>
      </c>
      <c r="B12" s="1748" t="s">
        <v>6107</v>
      </c>
      <c r="C12" s="1749" t="s">
        <v>927</v>
      </c>
      <c r="D12" s="678">
        <v>100</v>
      </c>
      <c r="E12" s="1287">
        <v>281</v>
      </c>
      <c r="F12" s="678">
        <v>28100</v>
      </c>
      <c r="G12" s="1750" t="s">
        <v>3002</v>
      </c>
      <c r="H12" s="962" t="str">
        <f t="shared" si="1"/>
        <v>L000006A00001</v>
      </c>
      <c r="I12" s="22">
        <v>4</v>
      </c>
      <c r="J12" s="4" t="str">
        <f t="shared" si="0"/>
        <v>1.4</v>
      </c>
    </row>
    <row r="13" spans="1:10" s="4" customFormat="1" ht="28.5">
      <c r="A13" s="1747" t="s">
        <v>32</v>
      </c>
      <c r="B13" s="1748" t="s">
        <v>3003</v>
      </c>
      <c r="C13" s="1749" t="s">
        <v>927</v>
      </c>
      <c r="D13" s="678">
        <v>100</v>
      </c>
      <c r="E13" s="1287">
        <v>410</v>
      </c>
      <c r="F13" s="678">
        <v>41000</v>
      </c>
      <c r="G13" s="1750" t="s">
        <v>3004</v>
      </c>
      <c r="H13" s="962" t="str">
        <f t="shared" si="1"/>
        <v>L000005000301</v>
      </c>
      <c r="I13" s="22">
        <v>5</v>
      </c>
      <c r="J13" s="4" t="str">
        <f t="shared" si="0"/>
        <v>1.5</v>
      </c>
    </row>
    <row r="14" spans="1:10" s="4" customFormat="1" ht="28.5">
      <c r="A14" s="1747" t="s">
        <v>33</v>
      </c>
      <c r="B14" s="1748" t="s">
        <v>4408</v>
      </c>
      <c r="C14" s="1749" t="s">
        <v>927</v>
      </c>
      <c r="D14" s="678">
        <v>100</v>
      </c>
      <c r="E14" s="1287">
        <v>820</v>
      </c>
      <c r="F14" s="678">
        <v>82000</v>
      </c>
      <c r="G14" s="1750" t="s">
        <v>4409</v>
      </c>
      <c r="H14" s="962" t="str">
        <f t="shared" si="1"/>
        <v>L000005020301</v>
      </c>
      <c r="I14" s="22">
        <v>6</v>
      </c>
      <c r="J14" s="4" t="str">
        <f t="shared" si="0"/>
        <v>1.6</v>
      </c>
    </row>
    <row r="15" spans="1:10" s="4" customFormat="1" ht="28.5">
      <c r="A15" s="1747" t="s">
        <v>34</v>
      </c>
      <c r="B15" s="1748" t="s">
        <v>4410</v>
      </c>
      <c r="C15" s="1749" t="s">
        <v>927</v>
      </c>
      <c r="D15" s="678">
        <v>100</v>
      </c>
      <c r="E15" s="1287">
        <v>802</v>
      </c>
      <c r="F15" s="678">
        <v>80200</v>
      </c>
      <c r="G15" s="1750" t="s">
        <v>4411</v>
      </c>
      <c r="H15" s="962" t="str">
        <f t="shared" si="1"/>
        <v>L0000051020Q1</v>
      </c>
      <c r="I15" s="22">
        <v>7</v>
      </c>
      <c r="J15" s="4" t="str">
        <f t="shared" si="0"/>
        <v>1.7</v>
      </c>
    </row>
    <row r="16" spans="1:10" s="4" customFormat="1" ht="28.5">
      <c r="A16" s="1747" t="s">
        <v>35</v>
      </c>
      <c r="B16" s="1748" t="s">
        <v>4412</v>
      </c>
      <c r="C16" s="1749" t="s">
        <v>927</v>
      </c>
      <c r="D16" s="678">
        <v>100</v>
      </c>
      <c r="E16" s="1287">
        <v>802</v>
      </c>
      <c r="F16" s="678">
        <v>80200</v>
      </c>
      <c r="G16" s="1750" t="s">
        <v>4413</v>
      </c>
      <c r="H16" s="962" t="str">
        <f t="shared" si="1"/>
        <v>L000005302061</v>
      </c>
      <c r="I16" s="22">
        <v>8</v>
      </c>
      <c r="J16" s="4" t="str">
        <f t="shared" si="0"/>
        <v>1.8</v>
      </c>
    </row>
    <row r="17" spans="1:10" s="4" customFormat="1" ht="28.5">
      <c r="A17" s="1747" t="s">
        <v>36</v>
      </c>
      <c r="B17" s="1748" t="s">
        <v>4414</v>
      </c>
      <c r="C17" s="1749" t="s">
        <v>927</v>
      </c>
      <c r="D17" s="678">
        <v>100</v>
      </c>
      <c r="E17" s="1287">
        <v>562</v>
      </c>
      <c r="F17" s="678">
        <v>56200</v>
      </c>
      <c r="G17" s="1750" t="s">
        <v>4415</v>
      </c>
      <c r="H17" s="962" t="str">
        <f t="shared" si="1"/>
        <v>L000006A02001</v>
      </c>
      <c r="I17" s="22">
        <v>9</v>
      </c>
      <c r="J17" s="4" t="str">
        <f t="shared" si="0"/>
        <v>1.9</v>
      </c>
    </row>
    <row r="18" spans="1:10" s="4" customFormat="1" ht="28.5">
      <c r="A18" s="1747" t="s">
        <v>37</v>
      </c>
      <c r="B18" s="1748" t="s">
        <v>3005</v>
      </c>
      <c r="C18" s="1749" t="s">
        <v>927</v>
      </c>
      <c r="D18" s="678">
        <v>20</v>
      </c>
      <c r="E18" s="1287">
        <v>1125.73</v>
      </c>
      <c r="F18" s="678">
        <v>22514.6</v>
      </c>
      <c r="G18" s="1750" t="s">
        <v>3006</v>
      </c>
      <c r="H18" s="962" t="str">
        <f t="shared" si="1"/>
        <v>E000002500BA1</v>
      </c>
      <c r="I18" s="22">
        <v>10</v>
      </c>
      <c r="J18" s="4" t="str">
        <f t="shared" si="0"/>
        <v>1.10</v>
      </c>
    </row>
    <row r="19" spans="1:10" s="4" customFormat="1" ht="28.5">
      <c r="A19" s="1747" t="s">
        <v>38</v>
      </c>
      <c r="B19" s="1748" t="s">
        <v>794</v>
      </c>
      <c r="C19" s="1749" t="s">
        <v>927</v>
      </c>
      <c r="D19" s="678">
        <v>20</v>
      </c>
      <c r="E19" s="1287">
        <v>769.08</v>
      </c>
      <c r="F19" s="678">
        <v>15381.6</v>
      </c>
      <c r="G19" s="1750" t="s">
        <v>1057</v>
      </c>
      <c r="H19" s="962" t="str">
        <f t="shared" si="1"/>
        <v>E000002880001</v>
      </c>
      <c r="I19" s="22">
        <v>11</v>
      </c>
      <c r="J19" s="4" t="str">
        <f t="shared" si="0"/>
        <v>1.11</v>
      </c>
    </row>
    <row r="20" spans="1:10" s="4" customFormat="1" ht="28.5">
      <c r="A20" s="1747" t="s">
        <v>39</v>
      </c>
      <c r="B20" s="1748" t="s">
        <v>1076</v>
      </c>
      <c r="C20" s="1749" t="s">
        <v>927</v>
      </c>
      <c r="D20" s="678">
        <v>20</v>
      </c>
      <c r="E20" s="1287">
        <v>398.49</v>
      </c>
      <c r="F20" s="678">
        <v>7969.8</v>
      </c>
      <c r="G20" s="1750" t="s">
        <v>1077</v>
      </c>
      <c r="H20" s="962" t="str">
        <f t="shared" si="1"/>
        <v>E000003903001</v>
      </c>
      <c r="I20" s="22">
        <v>12</v>
      </c>
      <c r="J20" s="4" t="str">
        <f t="shared" si="0"/>
        <v>1.12</v>
      </c>
    </row>
    <row r="21" spans="1:10" s="4" customFormat="1" ht="28.5">
      <c r="A21" s="1747" t="s">
        <v>40</v>
      </c>
      <c r="B21" s="1748" t="s">
        <v>1084</v>
      </c>
      <c r="C21" s="1749" t="s">
        <v>927</v>
      </c>
      <c r="D21" s="678">
        <v>20</v>
      </c>
      <c r="E21" s="1287">
        <v>687.39</v>
      </c>
      <c r="F21" s="678">
        <v>13747.8</v>
      </c>
      <c r="G21" s="1750" t="s">
        <v>1085</v>
      </c>
      <c r="H21" s="962" t="str">
        <f t="shared" si="1"/>
        <v>E000003400001</v>
      </c>
      <c r="I21" s="22">
        <v>13</v>
      </c>
      <c r="J21" s="4" t="str">
        <f t="shared" si="0"/>
        <v>1.13</v>
      </c>
    </row>
    <row r="22" spans="1:10" s="4" customFormat="1" ht="28.5">
      <c r="A22" s="1747" t="s">
        <v>41</v>
      </c>
      <c r="B22" s="1748" t="s">
        <v>997</v>
      </c>
      <c r="C22" s="1749" t="s">
        <v>927</v>
      </c>
      <c r="D22" s="678">
        <v>20</v>
      </c>
      <c r="E22" s="1287">
        <v>1155.6099999999999</v>
      </c>
      <c r="F22" s="678">
        <v>23112.2</v>
      </c>
      <c r="G22" s="1750" t="s">
        <v>998</v>
      </c>
      <c r="H22" s="962" t="str">
        <f t="shared" si="1"/>
        <v>E000003415001</v>
      </c>
      <c r="I22" s="22">
        <v>14</v>
      </c>
      <c r="J22" s="4" t="str">
        <f t="shared" si="0"/>
        <v>1.14</v>
      </c>
    </row>
    <row r="23" spans="1:10" s="4" customFormat="1" ht="28.5">
      <c r="A23" s="1747" t="s">
        <v>42</v>
      </c>
      <c r="B23" s="1748" t="s">
        <v>1093</v>
      </c>
      <c r="C23" s="1749" t="s">
        <v>927</v>
      </c>
      <c r="D23" s="678">
        <v>20</v>
      </c>
      <c r="E23" s="1287">
        <v>1574.03</v>
      </c>
      <c r="F23" s="678">
        <v>31480.6</v>
      </c>
      <c r="G23" s="1750" t="s">
        <v>1094</v>
      </c>
      <c r="H23" s="962" t="str">
        <f t="shared" si="1"/>
        <v>E000003435001</v>
      </c>
      <c r="I23" s="22">
        <v>15</v>
      </c>
      <c r="J23" s="4" t="str">
        <f t="shared" si="0"/>
        <v>1.15</v>
      </c>
    </row>
    <row r="24" spans="1:10" s="4" customFormat="1" ht="28.5">
      <c r="A24" s="1747" t="s">
        <v>43</v>
      </c>
      <c r="B24" s="1748" t="s">
        <v>1774</v>
      </c>
      <c r="C24" s="1749" t="s">
        <v>927</v>
      </c>
      <c r="D24" s="678">
        <v>20</v>
      </c>
      <c r="E24" s="1287">
        <v>1414.63</v>
      </c>
      <c r="F24" s="678">
        <v>28292.6</v>
      </c>
      <c r="G24" s="1750" t="s">
        <v>1775</v>
      </c>
      <c r="H24" s="962" t="str">
        <f t="shared" si="1"/>
        <v>E000003E10001</v>
      </c>
      <c r="I24" s="22">
        <v>16</v>
      </c>
      <c r="J24" s="4" t="str">
        <f t="shared" si="0"/>
        <v>1.16</v>
      </c>
    </row>
    <row r="25" spans="1:10" s="4" customFormat="1" ht="28.5">
      <c r="A25" s="1747" t="s">
        <v>44</v>
      </c>
      <c r="B25" s="1748" t="s">
        <v>1050</v>
      </c>
      <c r="C25" s="1749" t="s">
        <v>927</v>
      </c>
      <c r="D25" s="678">
        <v>20</v>
      </c>
      <c r="E25" s="1287">
        <v>1394.71</v>
      </c>
      <c r="F25" s="678">
        <v>27894.2</v>
      </c>
      <c r="G25" s="1750" t="s">
        <v>1051</v>
      </c>
      <c r="H25" s="962" t="str">
        <f t="shared" si="1"/>
        <v>E000004101201</v>
      </c>
      <c r="I25" s="22">
        <v>17</v>
      </c>
      <c r="J25" s="4" t="str">
        <f t="shared" si="0"/>
        <v>1.17</v>
      </c>
    </row>
    <row r="26" spans="1:10" s="4" customFormat="1" ht="28.5">
      <c r="A26" s="1747" t="s">
        <v>45</v>
      </c>
      <c r="B26" s="1748" t="s">
        <v>801</v>
      </c>
      <c r="C26" s="1749" t="s">
        <v>927</v>
      </c>
      <c r="D26" s="678">
        <v>20</v>
      </c>
      <c r="E26" s="1287">
        <v>1494.33</v>
      </c>
      <c r="F26" s="678">
        <v>29886.6</v>
      </c>
      <c r="G26" s="1750" t="s">
        <v>930</v>
      </c>
      <c r="H26" s="962" t="str">
        <f t="shared" si="1"/>
        <v>E000004407001</v>
      </c>
      <c r="I26" s="22">
        <v>18</v>
      </c>
      <c r="J26" s="4" t="str">
        <f t="shared" si="0"/>
        <v>1.18</v>
      </c>
    </row>
    <row r="27" spans="1:10" s="4" customFormat="1" ht="28.5">
      <c r="A27" s="1747" t="s">
        <v>46</v>
      </c>
      <c r="B27" s="1748" t="s">
        <v>3007</v>
      </c>
      <c r="C27" s="1749" t="s">
        <v>927</v>
      </c>
      <c r="D27" s="678">
        <v>20</v>
      </c>
      <c r="E27" s="1287">
        <v>713.29</v>
      </c>
      <c r="F27" s="678">
        <v>14265.8</v>
      </c>
      <c r="G27" s="1750" t="s">
        <v>3008</v>
      </c>
      <c r="H27" s="962" t="str">
        <f t="shared" si="1"/>
        <v>E000002420001</v>
      </c>
      <c r="I27" s="22">
        <v>19</v>
      </c>
      <c r="J27" s="4" t="str">
        <f t="shared" si="0"/>
        <v>1.19</v>
      </c>
    </row>
    <row r="28" spans="1:10" s="4" customFormat="1" ht="42.75">
      <c r="A28" s="1747" t="s">
        <v>47</v>
      </c>
      <c r="B28" s="1748" t="s">
        <v>923</v>
      </c>
      <c r="C28" s="1749" t="s">
        <v>0</v>
      </c>
      <c r="D28" s="678">
        <v>20</v>
      </c>
      <c r="E28" s="1287">
        <v>1055.19</v>
      </c>
      <c r="F28" s="678">
        <v>21103.8</v>
      </c>
      <c r="G28" s="1750" t="s">
        <v>6108</v>
      </c>
      <c r="H28" s="962" t="str">
        <f t="shared" si="1"/>
        <v>0222010E23</v>
      </c>
      <c r="I28" s="22">
        <v>20</v>
      </c>
      <c r="J28" s="4" t="str">
        <f t="shared" si="0"/>
        <v>1.20</v>
      </c>
    </row>
    <row r="29" spans="1:10" s="4" customFormat="1" ht="42.75">
      <c r="A29" s="1747" t="s">
        <v>48</v>
      </c>
      <c r="B29" s="1748" t="s">
        <v>936</v>
      </c>
      <c r="C29" s="1749" t="s">
        <v>0</v>
      </c>
      <c r="D29" s="678">
        <v>20</v>
      </c>
      <c r="E29" s="1287">
        <v>683.66</v>
      </c>
      <c r="F29" s="678">
        <v>13673.2</v>
      </c>
      <c r="G29" s="1750" t="s">
        <v>6109</v>
      </c>
      <c r="H29" s="962" t="str">
        <f t="shared" si="1"/>
        <v>0222010423</v>
      </c>
      <c r="I29" s="22">
        <v>21</v>
      </c>
      <c r="J29" s="4" t="str">
        <f t="shared" si="0"/>
        <v>1.21</v>
      </c>
    </row>
    <row r="30" spans="1:10" s="4" customFormat="1" ht="42.75">
      <c r="A30" s="1747" t="s">
        <v>49</v>
      </c>
      <c r="B30" s="1748" t="s">
        <v>4416</v>
      </c>
      <c r="C30" s="1749" t="s">
        <v>0</v>
      </c>
      <c r="D30" s="678">
        <v>20</v>
      </c>
      <c r="E30" s="1287">
        <v>1724.83</v>
      </c>
      <c r="F30" s="678">
        <v>34496.6</v>
      </c>
      <c r="G30" s="1750" t="s">
        <v>6110</v>
      </c>
      <c r="H30" s="962" t="str">
        <f t="shared" si="1"/>
        <v>0222010N23</v>
      </c>
      <c r="I30" s="22">
        <v>22</v>
      </c>
      <c r="J30" s="4" t="str">
        <f t="shared" si="0"/>
        <v>1.22</v>
      </c>
    </row>
    <row r="31" spans="1:10" s="4" customFormat="1" ht="42.75">
      <c r="A31" s="1747" t="s">
        <v>50</v>
      </c>
      <c r="B31" s="1748" t="s">
        <v>953</v>
      </c>
      <c r="C31" s="1749" t="s">
        <v>0</v>
      </c>
      <c r="D31" s="678">
        <v>20</v>
      </c>
      <c r="E31" s="1287">
        <v>4382.74</v>
      </c>
      <c r="F31" s="678">
        <v>87654.8</v>
      </c>
      <c r="G31" s="1750" t="s">
        <v>6111</v>
      </c>
      <c r="H31" s="962" t="str">
        <f t="shared" si="1"/>
        <v>0222020433</v>
      </c>
      <c r="I31" s="22">
        <v>23</v>
      </c>
      <c r="J31" s="4" t="str">
        <f t="shared" si="0"/>
        <v>1.23</v>
      </c>
    </row>
    <row r="32" spans="1:10" s="4" customFormat="1" ht="71.25">
      <c r="A32" s="1747" t="s">
        <v>51</v>
      </c>
      <c r="B32" s="1748" t="s">
        <v>535</v>
      </c>
      <c r="C32" s="1749" t="s">
        <v>0</v>
      </c>
      <c r="D32" s="678">
        <v>20</v>
      </c>
      <c r="E32" s="1287">
        <v>5830.2</v>
      </c>
      <c r="F32" s="678">
        <v>116604</v>
      </c>
      <c r="G32" s="1750" t="s">
        <v>6112</v>
      </c>
      <c r="H32" s="962" t="str">
        <f t="shared" si="1"/>
        <v>0222020403</v>
      </c>
      <c r="I32" s="22">
        <v>24</v>
      </c>
      <c r="J32" s="4" t="str">
        <f t="shared" si="0"/>
        <v>1.24</v>
      </c>
    </row>
    <row r="33" spans="1:10" s="4" customFormat="1" ht="42.75">
      <c r="A33" s="1747" t="s">
        <v>52</v>
      </c>
      <c r="B33" s="1748" t="s">
        <v>453</v>
      </c>
      <c r="C33" s="1749" t="s">
        <v>0</v>
      </c>
      <c r="D33" s="678">
        <v>20</v>
      </c>
      <c r="E33" s="1287">
        <v>5651.42</v>
      </c>
      <c r="F33" s="678">
        <v>113028.4</v>
      </c>
      <c r="G33" s="1750" t="s">
        <v>6113</v>
      </c>
      <c r="H33" s="962" t="str">
        <f t="shared" si="1"/>
        <v>0222020E33</v>
      </c>
      <c r="I33" s="22">
        <v>25</v>
      </c>
      <c r="J33" s="4" t="str">
        <f t="shared" si="0"/>
        <v>1.25</v>
      </c>
    </row>
    <row r="34" spans="1:10" s="4" customFormat="1" ht="71.25">
      <c r="A34" s="1747" t="s">
        <v>53</v>
      </c>
      <c r="B34" s="1748" t="s">
        <v>564</v>
      </c>
      <c r="C34" s="1749" t="s">
        <v>0</v>
      </c>
      <c r="D34" s="678">
        <v>20</v>
      </c>
      <c r="E34" s="1287">
        <v>7516.98</v>
      </c>
      <c r="F34" s="678">
        <v>150339.6</v>
      </c>
      <c r="G34" s="1750" t="s">
        <v>6114</v>
      </c>
      <c r="H34" s="962" t="str">
        <f t="shared" si="1"/>
        <v>0222020E03</v>
      </c>
      <c r="I34" s="22">
        <v>26</v>
      </c>
      <c r="J34" s="4" t="str">
        <f t="shared" si="0"/>
        <v>1.26</v>
      </c>
    </row>
    <row r="35" spans="1:10" s="4" customFormat="1" ht="42.75">
      <c r="A35" s="1747" t="s">
        <v>54</v>
      </c>
      <c r="B35" s="1748" t="s">
        <v>5486</v>
      </c>
      <c r="C35" s="1749" t="s">
        <v>0</v>
      </c>
      <c r="D35" s="678">
        <v>20</v>
      </c>
      <c r="E35" s="1287">
        <v>12998.05</v>
      </c>
      <c r="F35" s="678">
        <v>259961</v>
      </c>
      <c r="G35" s="1750" t="s">
        <v>6115</v>
      </c>
      <c r="H35" s="962" t="str">
        <f t="shared" si="1"/>
        <v>02220212N3</v>
      </c>
      <c r="I35" s="22">
        <v>27</v>
      </c>
      <c r="J35" s="4" t="str">
        <f t="shared" si="0"/>
        <v>1.27</v>
      </c>
    </row>
    <row r="36" spans="1:10" s="4" customFormat="1" ht="47.25">
      <c r="A36" s="1747" t="s">
        <v>55</v>
      </c>
      <c r="B36" s="1748" t="s">
        <v>939</v>
      </c>
      <c r="C36" s="1749" t="s">
        <v>1</v>
      </c>
      <c r="D36" s="678">
        <v>20</v>
      </c>
      <c r="E36" s="1287">
        <v>1405.39</v>
      </c>
      <c r="F36" s="678">
        <v>28107.8</v>
      </c>
      <c r="G36" s="1750" t="s">
        <v>6116</v>
      </c>
      <c r="H36" s="962" t="str">
        <f t="shared" si="1"/>
        <v>023215F00A</v>
      </c>
      <c r="I36" s="22">
        <v>28</v>
      </c>
      <c r="J36" s="4" t="str">
        <f t="shared" si="0"/>
        <v>1.28</v>
      </c>
    </row>
    <row r="37" spans="1:10" s="4" customFormat="1" ht="42.75">
      <c r="A37" s="1747" t="s">
        <v>56</v>
      </c>
      <c r="B37" s="1748" t="s">
        <v>958</v>
      </c>
      <c r="C37" s="1749" t="s">
        <v>1</v>
      </c>
      <c r="D37" s="678">
        <v>20</v>
      </c>
      <c r="E37" s="1287">
        <v>3575.4</v>
      </c>
      <c r="F37" s="678">
        <v>71508</v>
      </c>
      <c r="G37" s="1750" t="s">
        <v>6117</v>
      </c>
      <c r="H37" s="962" t="str">
        <f t="shared" si="1"/>
        <v>023214D00A</v>
      </c>
      <c r="I37" s="22">
        <v>29</v>
      </c>
      <c r="J37" s="4" t="str">
        <f t="shared" si="0"/>
        <v>1.29</v>
      </c>
    </row>
    <row r="38" spans="1:10" s="4" customFormat="1" ht="47.25">
      <c r="A38" s="1747" t="s">
        <v>57</v>
      </c>
      <c r="B38" s="1748" t="s">
        <v>3671</v>
      </c>
      <c r="C38" s="1749" t="s">
        <v>1</v>
      </c>
      <c r="D38" s="678">
        <v>100</v>
      </c>
      <c r="E38" s="1287">
        <v>48.77</v>
      </c>
      <c r="F38" s="678">
        <v>4877</v>
      </c>
      <c r="G38" s="1750" t="s">
        <v>6118</v>
      </c>
      <c r="H38" s="962" t="str">
        <f t="shared" si="1"/>
        <v>02321PWD05AB1</v>
      </c>
      <c r="I38" s="22">
        <v>30</v>
      </c>
      <c r="J38" s="4" t="str">
        <f t="shared" si="0"/>
        <v>1.30</v>
      </c>
    </row>
    <row r="39" spans="1:10" s="4" customFormat="1" ht="71.25">
      <c r="A39" s="1747" t="s">
        <v>58</v>
      </c>
      <c r="B39" s="1748" t="s">
        <v>4012</v>
      </c>
      <c r="C39" s="1749" t="s">
        <v>1</v>
      </c>
      <c r="D39" s="678">
        <v>50</v>
      </c>
      <c r="E39" s="1287">
        <v>64.959999999999994</v>
      </c>
      <c r="F39" s="678">
        <v>3248</v>
      </c>
      <c r="G39" s="1750" t="s">
        <v>6119</v>
      </c>
      <c r="H39" s="962" t="str">
        <f t="shared" si="1"/>
        <v>023210E00A</v>
      </c>
      <c r="I39" s="22">
        <v>31</v>
      </c>
      <c r="J39" s="4" t="str">
        <f t="shared" si="0"/>
        <v>1.31</v>
      </c>
    </row>
    <row r="40" spans="1:10" s="4" customFormat="1" ht="47.25">
      <c r="A40" s="1747" t="s">
        <v>59</v>
      </c>
      <c r="B40" s="1748" t="s">
        <v>2579</v>
      </c>
      <c r="C40" s="1749" t="s">
        <v>1</v>
      </c>
      <c r="D40" s="678">
        <v>50</v>
      </c>
      <c r="E40" s="1287">
        <v>68.03</v>
      </c>
      <c r="F40" s="678">
        <v>3401.5</v>
      </c>
      <c r="G40" s="1750" t="s">
        <v>6120</v>
      </c>
      <c r="H40" s="962" t="str">
        <f t="shared" si="1"/>
        <v>0232105AN1</v>
      </c>
      <c r="I40" s="22">
        <v>32</v>
      </c>
      <c r="J40" s="4" t="str">
        <f t="shared" si="0"/>
        <v>1.32</v>
      </c>
    </row>
    <row r="41" spans="1:10" s="4" customFormat="1" ht="42.75">
      <c r="A41" s="1747" t="s">
        <v>60</v>
      </c>
      <c r="B41" s="1748" t="s">
        <v>964</v>
      </c>
      <c r="C41" s="1749" t="s">
        <v>1</v>
      </c>
      <c r="D41" s="678">
        <v>10</v>
      </c>
      <c r="E41" s="1287">
        <v>4959.42</v>
      </c>
      <c r="F41" s="678">
        <v>49594.2</v>
      </c>
      <c r="G41" s="1750" t="s">
        <v>6121</v>
      </c>
      <c r="H41" s="962" t="str">
        <f t="shared" si="1"/>
        <v>023215D00A</v>
      </c>
      <c r="I41" s="22">
        <v>33</v>
      </c>
      <c r="J41" s="4" t="str">
        <f t="shared" si="0"/>
        <v>1.33</v>
      </c>
    </row>
    <row r="42" spans="1:10" s="4" customFormat="1" ht="47.25">
      <c r="A42" s="1747" t="s">
        <v>61</v>
      </c>
      <c r="B42" s="1748" t="s">
        <v>961</v>
      </c>
      <c r="C42" s="1749" t="s">
        <v>1</v>
      </c>
      <c r="D42" s="678">
        <v>10</v>
      </c>
      <c r="E42" s="1287">
        <v>472.62</v>
      </c>
      <c r="F42" s="678">
        <v>4726.2</v>
      </c>
      <c r="G42" s="1750" t="s">
        <v>6122</v>
      </c>
      <c r="H42" s="962" t="str">
        <f t="shared" si="1"/>
        <v>023214F00A</v>
      </c>
      <c r="I42" s="22">
        <v>34</v>
      </c>
      <c r="J42" s="4" t="str">
        <f t="shared" si="0"/>
        <v>1.34</v>
      </c>
    </row>
    <row r="43" spans="1:10" s="4" customFormat="1" ht="42.75">
      <c r="A43" s="1747" t="s">
        <v>62</v>
      </c>
      <c r="B43" s="1748" t="s">
        <v>985</v>
      </c>
      <c r="C43" s="1749" t="s">
        <v>1</v>
      </c>
      <c r="D43" s="678">
        <v>10</v>
      </c>
      <c r="E43" s="1287">
        <v>645.88</v>
      </c>
      <c r="F43" s="678">
        <v>6458.8</v>
      </c>
      <c r="G43" s="1750" t="s">
        <v>6123</v>
      </c>
      <c r="H43" s="962" t="str">
        <f t="shared" si="1"/>
        <v>0231600Z6A</v>
      </c>
      <c r="I43" s="22">
        <v>35</v>
      </c>
      <c r="J43" s="4" t="str">
        <f t="shared" si="0"/>
        <v>1.35</v>
      </c>
    </row>
    <row r="44" spans="1:10" s="4" customFormat="1" ht="42.75">
      <c r="A44" s="1747" t="s">
        <v>63</v>
      </c>
      <c r="B44" s="1748" t="s">
        <v>2214</v>
      </c>
      <c r="C44" s="1749" t="s">
        <v>1</v>
      </c>
      <c r="D44" s="678">
        <v>10</v>
      </c>
      <c r="E44" s="1287">
        <v>1487.79</v>
      </c>
      <c r="F44" s="678">
        <v>14877.9</v>
      </c>
      <c r="G44" s="1750" t="s">
        <v>6124</v>
      </c>
      <c r="H44" s="962" t="str">
        <f t="shared" si="1"/>
        <v>023160NZ61</v>
      </c>
      <c r="I44" s="22">
        <v>36</v>
      </c>
      <c r="J44" s="4" t="str">
        <f t="shared" si="0"/>
        <v>1.36</v>
      </c>
    </row>
    <row r="45" spans="1:10" s="4" customFormat="1" ht="71.25">
      <c r="A45" s="1747" t="s">
        <v>64</v>
      </c>
      <c r="B45" s="1748" t="s">
        <v>566</v>
      </c>
      <c r="C45" s="1749" t="s">
        <v>0</v>
      </c>
      <c r="D45" s="678">
        <v>10</v>
      </c>
      <c r="E45" s="1287">
        <v>909.27</v>
      </c>
      <c r="F45" s="678">
        <v>9092.7000000000007</v>
      </c>
      <c r="G45" s="1750" t="s">
        <v>6125</v>
      </c>
      <c r="H45" s="962" t="str">
        <f t="shared" si="1"/>
        <v>0222010403</v>
      </c>
      <c r="I45" s="22">
        <v>37</v>
      </c>
      <c r="J45" s="4" t="str">
        <f t="shared" si="0"/>
        <v>1.37</v>
      </c>
    </row>
    <row r="46" spans="1:10" s="4" customFormat="1" ht="71.25">
      <c r="A46" s="1747" t="s">
        <v>65</v>
      </c>
      <c r="B46" s="1748" t="s">
        <v>568</v>
      </c>
      <c r="C46" s="1749" t="s">
        <v>0</v>
      </c>
      <c r="D46" s="678">
        <v>10</v>
      </c>
      <c r="E46" s="1287">
        <v>1403.41</v>
      </c>
      <c r="F46" s="678">
        <v>14034.1</v>
      </c>
      <c r="G46" s="1750" t="s">
        <v>6126</v>
      </c>
      <c r="H46" s="962" t="str">
        <f t="shared" si="1"/>
        <v>0222010E03</v>
      </c>
      <c r="I46" s="22">
        <v>38</v>
      </c>
      <c r="J46" s="4" t="str">
        <f t="shared" si="0"/>
        <v>1.38</v>
      </c>
    </row>
    <row r="47" spans="1:10" s="4" customFormat="1" ht="71.25">
      <c r="A47" s="1747" t="s">
        <v>66</v>
      </c>
      <c r="B47" s="1748" t="s">
        <v>536</v>
      </c>
      <c r="C47" s="1749" t="s">
        <v>1</v>
      </c>
      <c r="D47" s="678">
        <v>10</v>
      </c>
      <c r="E47" s="1287">
        <v>4754.7</v>
      </c>
      <c r="F47" s="678">
        <v>47547</v>
      </c>
      <c r="G47" s="1750" t="s">
        <v>6127</v>
      </c>
      <c r="H47" s="962" t="str">
        <f t="shared" si="1"/>
        <v>023214D10A</v>
      </c>
      <c r="I47" s="22">
        <v>39</v>
      </c>
      <c r="J47" s="4" t="str">
        <f t="shared" si="0"/>
        <v>1.39</v>
      </c>
    </row>
    <row r="48" spans="1:10" s="4" customFormat="1" ht="71.25">
      <c r="A48" s="1747" t="s">
        <v>67</v>
      </c>
      <c r="B48" s="1748" t="s">
        <v>3628</v>
      </c>
      <c r="C48" s="1749" t="s">
        <v>1</v>
      </c>
      <c r="D48" s="678">
        <v>10</v>
      </c>
      <c r="E48" s="1287">
        <v>628.59</v>
      </c>
      <c r="F48" s="678">
        <v>6285.9</v>
      </c>
      <c r="G48" s="1750" t="s">
        <v>6128</v>
      </c>
      <c r="H48" s="962" t="str">
        <f t="shared" si="1"/>
        <v>023214F01A</v>
      </c>
      <c r="I48" s="22">
        <v>40</v>
      </c>
      <c r="J48" s="4" t="str">
        <f t="shared" si="0"/>
        <v>1.40</v>
      </c>
    </row>
    <row r="49" spans="1:11" s="4" customFormat="1" ht="71.25">
      <c r="A49" s="1747" t="s">
        <v>68</v>
      </c>
      <c r="B49" s="1748" t="s">
        <v>571</v>
      </c>
      <c r="C49" s="1749" t="s">
        <v>1</v>
      </c>
      <c r="D49" s="678">
        <v>10</v>
      </c>
      <c r="E49" s="1287">
        <v>6597.18</v>
      </c>
      <c r="F49" s="678">
        <v>65971.8</v>
      </c>
      <c r="G49" s="1750" t="s">
        <v>6129</v>
      </c>
      <c r="H49" s="962" t="str">
        <f t="shared" si="1"/>
        <v>023215D10A</v>
      </c>
      <c r="I49" s="22">
        <v>41</v>
      </c>
      <c r="J49" s="4" t="str">
        <f t="shared" si="0"/>
        <v>1.41</v>
      </c>
    </row>
    <row r="50" spans="1:11" s="4" customFormat="1" ht="71.25">
      <c r="A50" s="1747" t="s">
        <v>69</v>
      </c>
      <c r="B50" s="1748" t="s">
        <v>3627</v>
      </c>
      <c r="C50" s="1749" t="s">
        <v>1</v>
      </c>
      <c r="D50" s="678">
        <v>10</v>
      </c>
      <c r="E50" s="1287">
        <v>1869.16</v>
      </c>
      <c r="F50" s="678">
        <v>18691.599999999999</v>
      </c>
      <c r="G50" s="1750" t="s">
        <v>6130</v>
      </c>
      <c r="H50" s="962" t="str">
        <f t="shared" si="1"/>
        <v>023215F01A</v>
      </c>
      <c r="I50" s="22">
        <v>42</v>
      </c>
      <c r="J50" s="4" t="str">
        <f t="shared" si="0"/>
        <v>1.42</v>
      </c>
    </row>
    <row r="51" spans="1:11" s="4" customFormat="1" ht="71.25">
      <c r="A51" s="1747" t="s">
        <v>70</v>
      </c>
      <c r="B51" s="1748" t="s">
        <v>3626</v>
      </c>
      <c r="C51" s="1749" t="s">
        <v>1</v>
      </c>
      <c r="D51" s="678">
        <v>10</v>
      </c>
      <c r="E51" s="1287">
        <v>859.25</v>
      </c>
      <c r="F51" s="678">
        <v>8592.5</v>
      </c>
      <c r="G51" s="1750" t="s">
        <v>6131</v>
      </c>
      <c r="H51" s="962" t="str">
        <f t="shared" si="1"/>
        <v>0231601Z6A</v>
      </c>
      <c r="I51" s="22">
        <v>43</v>
      </c>
      <c r="J51" s="4" t="str">
        <f t="shared" si="0"/>
        <v>1.43</v>
      </c>
    </row>
    <row r="52" spans="1:11" s="4" customFormat="1" ht="42.75">
      <c r="A52" s="1747" t="s">
        <v>71</v>
      </c>
      <c r="B52" s="1748" t="s">
        <v>990</v>
      </c>
      <c r="C52" s="1749" t="s">
        <v>17</v>
      </c>
      <c r="D52" s="678">
        <v>10</v>
      </c>
      <c r="E52" s="1287">
        <v>89.56</v>
      </c>
      <c r="F52" s="678">
        <v>895.6</v>
      </c>
      <c r="G52" s="1750" t="s">
        <v>6132</v>
      </c>
      <c r="H52" s="962" t="str">
        <f t="shared" si="1"/>
        <v>022201E201</v>
      </c>
      <c r="I52" s="22">
        <v>44</v>
      </c>
      <c r="J52" s="4" t="str">
        <f t="shared" si="0"/>
        <v>1.44</v>
      </c>
    </row>
    <row r="53" spans="1:11" s="4" customFormat="1" ht="71.25">
      <c r="A53" s="1747" t="s">
        <v>72</v>
      </c>
      <c r="B53" s="1748" t="s">
        <v>537</v>
      </c>
      <c r="C53" s="1749" t="s">
        <v>17</v>
      </c>
      <c r="D53" s="678">
        <v>10</v>
      </c>
      <c r="E53" s="1287">
        <v>119.11</v>
      </c>
      <c r="F53" s="678">
        <v>1191.0999999999999</v>
      </c>
      <c r="G53" s="1750" t="s">
        <v>6133</v>
      </c>
      <c r="H53" s="962" t="str">
        <f t="shared" si="1"/>
        <v>0222010E01</v>
      </c>
      <c r="I53" s="22">
        <v>45</v>
      </c>
      <c r="J53" s="4" t="str">
        <f t="shared" si="0"/>
        <v>1.45</v>
      </c>
    </row>
    <row r="54" spans="1:11" s="4" customFormat="1" ht="42.75">
      <c r="A54" s="1747" t="s">
        <v>73</v>
      </c>
      <c r="B54" s="1748" t="s">
        <v>995</v>
      </c>
      <c r="C54" s="1749" t="s">
        <v>0</v>
      </c>
      <c r="D54" s="678">
        <v>20</v>
      </c>
      <c r="E54" s="1287">
        <v>592.16</v>
      </c>
      <c r="F54" s="678">
        <v>11843.2</v>
      </c>
      <c r="G54" s="1750" t="s">
        <v>6134</v>
      </c>
      <c r="H54" s="962" t="str">
        <f t="shared" si="1"/>
        <v>0296103003</v>
      </c>
      <c r="I54" s="22">
        <v>46</v>
      </c>
      <c r="J54" s="4" t="str">
        <f t="shared" si="0"/>
        <v>1.46</v>
      </c>
    </row>
    <row r="55" spans="1:11" s="4" customFormat="1" ht="71.25">
      <c r="A55" s="1747" t="s">
        <v>74</v>
      </c>
      <c r="B55" s="1748" t="s">
        <v>578</v>
      </c>
      <c r="C55" s="1749" t="s">
        <v>0</v>
      </c>
      <c r="D55" s="678">
        <v>20</v>
      </c>
      <c r="E55" s="1287">
        <v>787.58</v>
      </c>
      <c r="F55" s="678">
        <v>15751.6</v>
      </c>
      <c r="G55" s="1750" t="s">
        <v>6135</v>
      </c>
      <c r="H55" s="962" t="str">
        <f t="shared" si="1"/>
        <v>0296103023</v>
      </c>
      <c r="I55" s="22">
        <v>47</v>
      </c>
      <c r="J55" s="4" t="str">
        <f t="shared" si="0"/>
        <v>1.47</v>
      </c>
    </row>
    <row r="56" spans="1:11" s="4" customFormat="1" ht="42.75">
      <c r="A56" s="1747" t="s">
        <v>75</v>
      </c>
      <c r="B56" s="1748" t="s">
        <v>4443</v>
      </c>
      <c r="C56" s="1749" t="s">
        <v>0</v>
      </c>
      <c r="D56" s="678">
        <v>20</v>
      </c>
      <c r="E56" s="1287">
        <v>856.02</v>
      </c>
      <c r="F56" s="678">
        <v>17120.400000000001</v>
      </c>
      <c r="G56" s="1750" t="s">
        <v>6136</v>
      </c>
      <c r="H56" s="962" t="str">
        <f t="shared" si="1"/>
        <v>02961030N3</v>
      </c>
      <c r="I56" s="22">
        <v>48</v>
      </c>
      <c r="J56" s="4" t="str">
        <f t="shared" si="0"/>
        <v>1.48</v>
      </c>
    </row>
    <row r="57" spans="1:11" s="4" customFormat="1" ht="42.75">
      <c r="A57" s="1747" t="s">
        <v>76</v>
      </c>
      <c r="B57" s="1748" t="s">
        <v>1003</v>
      </c>
      <c r="C57" s="1749" t="s">
        <v>1</v>
      </c>
      <c r="D57" s="678">
        <v>20</v>
      </c>
      <c r="E57" s="1287">
        <v>98.39</v>
      </c>
      <c r="F57" s="678">
        <v>1967.8</v>
      </c>
      <c r="G57" s="1750" t="s">
        <v>6137</v>
      </c>
      <c r="H57" s="962" t="str">
        <f t="shared" si="1"/>
        <v>02325C0001</v>
      </c>
      <c r="I57" s="22">
        <v>49</v>
      </c>
      <c r="J57" s="4" t="str">
        <f t="shared" si="0"/>
        <v>1.49</v>
      </c>
    </row>
    <row r="58" spans="1:11" s="4" customFormat="1" ht="42.75">
      <c r="A58" s="1747" t="s">
        <v>77</v>
      </c>
      <c r="B58" s="1748" t="s">
        <v>1010</v>
      </c>
      <c r="C58" s="1749" t="s">
        <v>1</v>
      </c>
      <c r="D58" s="678">
        <v>10</v>
      </c>
      <c r="E58" s="1287">
        <v>600.27</v>
      </c>
      <c r="F58" s="678">
        <v>6002.7</v>
      </c>
      <c r="G58" s="1750" t="s">
        <v>6138</v>
      </c>
      <c r="H58" s="962" t="str">
        <f t="shared" si="1"/>
        <v>023250A00A</v>
      </c>
      <c r="I58" s="22">
        <v>50</v>
      </c>
      <c r="J58" s="4" t="str">
        <f t="shared" si="0"/>
        <v>1.50</v>
      </c>
    </row>
    <row r="59" spans="1:11" s="4" customFormat="1" ht="42.75">
      <c r="A59" s="1747" t="s">
        <v>78</v>
      </c>
      <c r="B59" s="1748" t="s">
        <v>1019</v>
      </c>
      <c r="C59" s="1749" t="s">
        <v>1</v>
      </c>
      <c r="D59" s="678">
        <v>10</v>
      </c>
      <c r="E59" s="1287">
        <v>138.47999999999999</v>
      </c>
      <c r="F59" s="678">
        <v>1384.8</v>
      </c>
      <c r="G59" s="1750" t="s">
        <v>6139</v>
      </c>
      <c r="H59" s="962" t="str">
        <f t="shared" si="1"/>
        <v>023250500A</v>
      </c>
      <c r="I59" s="22">
        <v>51</v>
      </c>
      <c r="J59" s="4" t="str">
        <f t="shared" si="0"/>
        <v>1.51</v>
      </c>
      <c r="K59" s="4">
        <v>0.64000000000000012</v>
      </c>
    </row>
    <row r="60" spans="1:11" s="4" customFormat="1" ht="42.75">
      <c r="A60" s="1747" t="s">
        <v>79</v>
      </c>
      <c r="B60" s="1748" t="s">
        <v>1033</v>
      </c>
      <c r="C60" s="1749" t="s">
        <v>17</v>
      </c>
      <c r="D60" s="678">
        <v>10</v>
      </c>
      <c r="E60" s="1287">
        <v>60.55</v>
      </c>
      <c r="F60" s="678">
        <v>605.5</v>
      </c>
      <c r="G60" s="1750" t="s">
        <v>6140</v>
      </c>
      <c r="H60" s="962" t="str">
        <f t="shared" si="1"/>
        <v>023250B001</v>
      </c>
      <c r="I60" s="22">
        <v>52</v>
      </c>
      <c r="J60" s="4" t="str">
        <f t="shared" si="0"/>
        <v>1.52</v>
      </c>
      <c r="K60" s="4">
        <v>6.5975000000000006E-2</v>
      </c>
    </row>
    <row r="61" spans="1:11" s="4" customFormat="1" ht="31.5">
      <c r="A61" s="1747" t="s">
        <v>80</v>
      </c>
      <c r="B61" s="1748" t="s">
        <v>1014</v>
      </c>
      <c r="C61" s="1749" t="s">
        <v>1</v>
      </c>
      <c r="D61" s="678">
        <v>20</v>
      </c>
      <c r="E61" s="1287">
        <v>697.35</v>
      </c>
      <c r="F61" s="678">
        <v>13947</v>
      </c>
      <c r="G61" s="1750" t="s">
        <v>1015</v>
      </c>
      <c r="H61" s="962" t="str">
        <f t="shared" si="1"/>
        <v>023250D00A</v>
      </c>
      <c r="I61" s="22">
        <v>53</v>
      </c>
      <c r="J61" s="4" t="str">
        <f t="shared" si="0"/>
        <v>1.53</v>
      </c>
      <c r="K61" s="4">
        <v>0.2</v>
      </c>
    </row>
    <row r="62" spans="1:11" s="4" customFormat="1" ht="42.75">
      <c r="A62" s="1747" t="s">
        <v>81</v>
      </c>
      <c r="B62" s="1748" t="s">
        <v>1036</v>
      </c>
      <c r="C62" s="1749" t="s">
        <v>3</v>
      </c>
      <c r="D62" s="678">
        <v>50</v>
      </c>
      <c r="E62" s="1287">
        <v>15.06</v>
      </c>
      <c r="F62" s="678">
        <v>753</v>
      </c>
      <c r="G62" s="1750" t="s">
        <v>6141</v>
      </c>
      <c r="H62" s="962" t="str">
        <f t="shared" si="1"/>
        <v>02234W0002</v>
      </c>
      <c r="I62" s="22">
        <v>54</v>
      </c>
      <c r="J62" s="4" t="str">
        <f t="shared" si="0"/>
        <v>1.54</v>
      </c>
    </row>
    <row r="63" spans="1:11" s="4" customFormat="1" ht="42.75">
      <c r="A63" s="1747" t="s">
        <v>82</v>
      </c>
      <c r="B63" s="1748" t="s">
        <v>4064</v>
      </c>
      <c r="C63" s="1749" t="s">
        <v>0</v>
      </c>
      <c r="D63" s="678">
        <v>50</v>
      </c>
      <c r="E63" s="1287">
        <v>306.83999999999997</v>
      </c>
      <c r="F63" s="678">
        <v>15342</v>
      </c>
      <c r="G63" s="1750" t="s">
        <v>6142</v>
      </c>
      <c r="H63" s="962" t="str">
        <f t="shared" si="1"/>
        <v>02233A1003</v>
      </c>
      <c r="I63" s="22">
        <v>55</v>
      </c>
      <c r="J63" s="4" t="str">
        <f t="shared" si="0"/>
        <v>1.55</v>
      </c>
    </row>
    <row r="64" spans="1:11" s="4" customFormat="1" ht="42.75">
      <c r="A64" s="1747" t="s">
        <v>83</v>
      </c>
      <c r="B64" s="1748" t="s">
        <v>1048</v>
      </c>
      <c r="C64" s="1749" t="s">
        <v>15</v>
      </c>
      <c r="D64" s="678">
        <v>50</v>
      </c>
      <c r="E64" s="1287">
        <v>58.17</v>
      </c>
      <c r="F64" s="678">
        <v>2908.5</v>
      </c>
      <c r="G64" s="1750" t="s">
        <v>6143</v>
      </c>
      <c r="H64" s="962" t="str">
        <f t="shared" si="1"/>
        <v>023310000B</v>
      </c>
      <c r="I64" s="22">
        <v>56</v>
      </c>
      <c r="J64" s="4" t="str">
        <f t="shared" si="0"/>
        <v>1.56</v>
      </c>
    </row>
    <row r="65" spans="1:10" s="4" customFormat="1" ht="42.75">
      <c r="A65" s="1747" t="s">
        <v>84</v>
      </c>
      <c r="B65" s="1748" t="s">
        <v>1067</v>
      </c>
      <c r="C65" s="1749" t="s">
        <v>15</v>
      </c>
      <c r="D65" s="678">
        <v>50</v>
      </c>
      <c r="E65" s="1287">
        <v>325.69</v>
      </c>
      <c r="F65" s="678">
        <v>16284.5</v>
      </c>
      <c r="G65" s="1750" t="s">
        <v>6144</v>
      </c>
      <c r="H65" s="962" t="str">
        <f t="shared" si="1"/>
        <v>023174000A</v>
      </c>
      <c r="I65" s="22">
        <v>57</v>
      </c>
      <c r="J65" s="4" t="str">
        <f t="shared" si="0"/>
        <v>1.57</v>
      </c>
    </row>
    <row r="66" spans="1:10" s="4" customFormat="1" ht="42.75">
      <c r="A66" s="1747" t="s">
        <v>85</v>
      </c>
      <c r="B66" s="1748" t="s">
        <v>1072</v>
      </c>
      <c r="C66" s="1749" t="s">
        <v>0</v>
      </c>
      <c r="D66" s="678">
        <v>50</v>
      </c>
      <c r="E66" s="1287">
        <v>105.08</v>
      </c>
      <c r="F66" s="678">
        <v>5254</v>
      </c>
      <c r="G66" s="1750" t="s">
        <v>6145</v>
      </c>
      <c r="H66" s="962" t="str">
        <f t="shared" si="1"/>
        <v>02931BDD101</v>
      </c>
      <c r="I66" s="22">
        <v>58</v>
      </c>
      <c r="J66" s="4" t="str">
        <f t="shared" ref="J66:J129" si="2">A66</f>
        <v>1.58</v>
      </c>
    </row>
    <row r="67" spans="1:10" s="4" customFormat="1" ht="57">
      <c r="A67" s="1747" t="s">
        <v>86</v>
      </c>
      <c r="B67" s="1748" t="s">
        <v>543</v>
      </c>
      <c r="C67" s="1749" t="s">
        <v>1</v>
      </c>
      <c r="D67" s="678">
        <v>20</v>
      </c>
      <c r="E67" s="1287">
        <v>1191.51</v>
      </c>
      <c r="F67" s="678">
        <v>23830.2</v>
      </c>
      <c r="G67" s="1750" t="s">
        <v>6146</v>
      </c>
      <c r="H67" s="962" t="str">
        <f t="shared" si="1"/>
        <v>02323400003</v>
      </c>
      <c r="I67" s="22">
        <v>59</v>
      </c>
      <c r="J67" s="4" t="str">
        <f t="shared" si="2"/>
        <v>1.59</v>
      </c>
    </row>
    <row r="68" spans="1:10" s="4" customFormat="1" ht="42.75">
      <c r="A68" s="1747" t="s">
        <v>87</v>
      </c>
      <c r="B68" s="1748" t="s">
        <v>3971</v>
      </c>
      <c r="C68" s="1749" t="s">
        <v>1</v>
      </c>
      <c r="D68" s="678">
        <v>20</v>
      </c>
      <c r="E68" s="1287">
        <v>1067.76</v>
      </c>
      <c r="F68" s="678">
        <v>21355.200000000001</v>
      </c>
      <c r="G68" s="1750" t="s">
        <v>6147</v>
      </c>
      <c r="H68" s="962" t="str">
        <f t="shared" si="1"/>
        <v>0232340003</v>
      </c>
      <c r="I68" s="22">
        <v>60</v>
      </c>
      <c r="J68" s="4" t="str">
        <f t="shared" si="2"/>
        <v>1.60</v>
      </c>
    </row>
    <row r="69" spans="1:10" s="4" customFormat="1" ht="42.75">
      <c r="A69" s="1747" t="s">
        <v>88</v>
      </c>
      <c r="B69" s="1748" t="s">
        <v>26</v>
      </c>
      <c r="C69" s="1749" t="s">
        <v>1</v>
      </c>
      <c r="D69" s="678">
        <v>20</v>
      </c>
      <c r="E69" s="1287">
        <v>713.77</v>
      </c>
      <c r="F69" s="678">
        <v>14275.4</v>
      </c>
      <c r="G69" s="1750" t="s">
        <v>6148</v>
      </c>
      <c r="H69" s="962" t="str">
        <f t="shared" si="1"/>
        <v>023234004A</v>
      </c>
      <c r="I69" s="22">
        <v>61</v>
      </c>
      <c r="J69" s="4" t="str">
        <f t="shared" si="2"/>
        <v>1.61</v>
      </c>
    </row>
    <row r="70" spans="1:10" s="4" customFormat="1" ht="42.75">
      <c r="A70" s="1747" t="s">
        <v>89</v>
      </c>
      <c r="B70" s="1748" t="s">
        <v>1091</v>
      </c>
      <c r="C70" s="1749" t="s">
        <v>1</v>
      </c>
      <c r="D70" s="678">
        <v>20</v>
      </c>
      <c r="E70" s="1287">
        <v>474.15</v>
      </c>
      <c r="F70" s="678">
        <v>9483</v>
      </c>
      <c r="G70" s="1750" t="s">
        <v>6149</v>
      </c>
      <c r="H70" s="962" t="str">
        <f t="shared" si="1"/>
        <v>023234006A</v>
      </c>
      <c r="I70" s="22">
        <v>62</v>
      </c>
      <c r="J70" s="4" t="str">
        <f t="shared" si="2"/>
        <v>1.62</v>
      </c>
    </row>
    <row r="71" spans="1:10" s="4" customFormat="1" ht="42.75">
      <c r="A71" s="1747" t="s">
        <v>90</v>
      </c>
      <c r="B71" s="1748" t="s">
        <v>1096</v>
      </c>
      <c r="C71" s="1749" t="s">
        <v>1</v>
      </c>
      <c r="D71" s="678">
        <v>50</v>
      </c>
      <c r="E71" s="1287">
        <v>508.55</v>
      </c>
      <c r="F71" s="678">
        <v>25427.5</v>
      </c>
      <c r="G71" s="1750" t="s">
        <v>6150</v>
      </c>
      <c r="H71" s="962" t="str">
        <f t="shared" si="1"/>
        <v>023232000A</v>
      </c>
      <c r="I71" s="22">
        <v>63</v>
      </c>
      <c r="J71" s="4" t="str">
        <f t="shared" si="2"/>
        <v>1.63</v>
      </c>
    </row>
    <row r="72" spans="1:10" s="4" customFormat="1" ht="42.75">
      <c r="A72" s="1747" t="s">
        <v>91</v>
      </c>
      <c r="B72" s="1748" t="s">
        <v>1099</v>
      </c>
      <c r="C72" s="1749" t="s">
        <v>0</v>
      </c>
      <c r="D72" s="678">
        <v>10</v>
      </c>
      <c r="E72" s="1287">
        <v>949.77</v>
      </c>
      <c r="F72" s="678">
        <v>9497.7000000000007</v>
      </c>
      <c r="G72" s="1750" t="s">
        <v>6151</v>
      </c>
      <c r="H72" s="962" t="str">
        <f t="shared" si="1"/>
        <v>02323PWD0A001</v>
      </c>
      <c r="I72" s="22">
        <v>64</v>
      </c>
      <c r="J72" s="4" t="str">
        <f t="shared" si="2"/>
        <v>1.64</v>
      </c>
    </row>
    <row r="73" spans="1:10" s="4" customFormat="1" ht="42.75">
      <c r="A73" s="1747" t="s">
        <v>92</v>
      </c>
      <c r="B73" s="1748" t="s">
        <v>1104</v>
      </c>
      <c r="C73" s="1749" t="s">
        <v>0</v>
      </c>
      <c r="D73" s="678">
        <v>10</v>
      </c>
      <c r="E73" s="1287">
        <v>1483.24</v>
      </c>
      <c r="F73" s="678">
        <v>14832.4</v>
      </c>
      <c r="G73" s="1750" t="s">
        <v>6152</v>
      </c>
      <c r="H73" s="962" t="str">
        <f t="shared" si="1"/>
        <v>02323H0003</v>
      </c>
      <c r="I73" s="22">
        <v>65</v>
      </c>
      <c r="J73" s="4" t="str">
        <f t="shared" si="2"/>
        <v>1.65</v>
      </c>
    </row>
    <row r="74" spans="1:10" s="4" customFormat="1" ht="42.75">
      <c r="A74" s="1747" t="s">
        <v>93</v>
      </c>
      <c r="B74" s="1748" t="s">
        <v>1111</v>
      </c>
      <c r="C74" s="1749" t="s">
        <v>3</v>
      </c>
      <c r="D74" s="678">
        <v>50</v>
      </c>
      <c r="E74" s="1287">
        <v>11.9</v>
      </c>
      <c r="F74" s="678">
        <v>595</v>
      </c>
      <c r="G74" s="1750" t="s">
        <v>6153</v>
      </c>
      <c r="H74" s="962" t="str">
        <f t="shared" ref="H74:H137" si="3">LEFT(G74, FIND(CHAR(10), G74) - 1)</f>
        <v>0233600002</v>
      </c>
      <c r="I74" s="22">
        <v>66</v>
      </c>
      <c r="J74" s="4" t="str">
        <f t="shared" si="2"/>
        <v>1.66</v>
      </c>
    </row>
    <row r="75" spans="1:10" s="4" customFormat="1" ht="42.75">
      <c r="A75" s="1747" t="s">
        <v>94</v>
      </c>
      <c r="B75" s="1748" t="s">
        <v>1118</v>
      </c>
      <c r="C75" s="1749" t="s">
        <v>15</v>
      </c>
      <c r="D75" s="678">
        <v>50</v>
      </c>
      <c r="E75" s="1287">
        <v>1293.5999999999999</v>
      </c>
      <c r="F75" s="678">
        <v>64680</v>
      </c>
      <c r="G75" s="1750" t="s">
        <v>6154</v>
      </c>
      <c r="H75" s="962" t="str">
        <f t="shared" si="3"/>
        <v>027261000B</v>
      </c>
      <c r="I75" s="22">
        <v>67</v>
      </c>
      <c r="J75" s="4" t="str">
        <f t="shared" si="2"/>
        <v>1.67</v>
      </c>
    </row>
    <row r="76" spans="1:10" s="4" customFormat="1" ht="42.75">
      <c r="A76" s="1747" t="s">
        <v>95</v>
      </c>
      <c r="B76" s="1748" t="s">
        <v>1130</v>
      </c>
      <c r="C76" s="1749" t="s">
        <v>15</v>
      </c>
      <c r="D76" s="678">
        <v>10</v>
      </c>
      <c r="E76" s="1287">
        <v>1461.69</v>
      </c>
      <c r="F76" s="678">
        <v>14616.9</v>
      </c>
      <c r="G76" s="1750" t="s">
        <v>6155</v>
      </c>
      <c r="H76" s="962" t="str">
        <f t="shared" si="3"/>
        <v>02319130BA</v>
      </c>
      <c r="I76" s="22">
        <v>68</v>
      </c>
      <c r="J76" s="4" t="str">
        <f t="shared" si="2"/>
        <v>1.68</v>
      </c>
    </row>
    <row r="77" spans="1:10" s="4" customFormat="1" ht="42.75">
      <c r="A77" s="1747" t="s">
        <v>96</v>
      </c>
      <c r="B77" s="1748" t="s">
        <v>1135</v>
      </c>
      <c r="C77" s="1749" t="s">
        <v>15</v>
      </c>
      <c r="D77" s="678">
        <v>10</v>
      </c>
      <c r="E77" s="1287">
        <v>1330.35</v>
      </c>
      <c r="F77" s="678">
        <v>13303.5</v>
      </c>
      <c r="G77" s="1750" t="s">
        <v>6156</v>
      </c>
      <c r="H77" s="962" t="str">
        <f t="shared" si="3"/>
        <v>02319140BA</v>
      </c>
      <c r="I77" s="22">
        <v>69</v>
      </c>
      <c r="J77" s="4" t="str">
        <f t="shared" si="2"/>
        <v>1.69</v>
      </c>
    </row>
    <row r="78" spans="1:10" s="4" customFormat="1" ht="42.75">
      <c r="A78" s="1747" t="s">
        <v>97</v>
      </c>
      <c r="B78" s="1748" t="s">
        <v>1140</v>
      </c>
      <c r="C78" s="1749" t="s">
        <v>3</v>
      </c>
      <c r="D78" s="678">
        <v>50</v>
      </c>
      <c r="E78" s="1287">
        <v>44.22</v>
      </c>
      <c r="F78" s="678">
        <v>2211</v>
      </c>
      <c r="G78" s="1750" t="s">
        <v>6157</v>
      </c>
      <c r="H78" s="962" t="str">
        <f t="shared" si="3"/>
        <v>0274512002</v>
      </c>
      <c r="I78" s="22">
        <v>70</v>
      </c>
      <c r="J78" s="4" t="str">
        <f t="shared" si="2"/>
        <v>1.70</v>
      </c>
    </row>
    <row r="79" spans="1:10" s="4" customFormat="1" ht="42.75">
      <c r="A79" s="1747" t="s">
        <v>98</v>
      </c>
      <c r="B79" s="1748" t="s">
        <v>1149</v>
      </c>
      <c r="C79" s="1749" t="s">
        <v>3</v>
      </c>
      <c r="D79" s="678">
        <v>50</v>
      </c>
      <c r="E79" s="1287">
        <v>17.57</v>
      </c>
      <c r="F79" s="678">
        <v>878.5</v>
      </c>
      <c r="G79" s="1750" t="s">
        <v>6158</v>
      </c>
      <c r="H79" s="962" t="str">
        <f t="shared" si="3"/>
        <v>0274711002</v>
      </c>
      <c r="I79" s="22">
        <v>71</v>
      </c>
      <c r="J79" s="4" t="str">
        <f t="shared" si="2"/>
        <v>1.71</v>
      </c>
    </row>
    <row r="80" spans="1:10" s="4" customFormat="1" ht="42.75">
      <c r="A80" s="1747" t="s">
        <v>99</v>
      </c>
      <c r="B80" s="1748" t="s">
        <v>4467</v>
      </c>
      <c r="C80" s="1749" t="s">
        <v>3</v>
      </c>
      <c r="D80" s="678">
        <v>50</v>
      </c>
      <c r="E80" s="1287">
        <v>20.59</v>
      </c>
      <c r="F80" s="678">
        <v>1029.5</v>
      </c>
      <c r="G80" s="1750" t="s">
        <v>6159</v>
      </c>
      <c r="H80" s="962" t="str">
        <f t="shared" si="3"/>
        <v>02747110N2</v>
      </c>
      <c r="I80" s="22">
        <v>72</v>
      </c>
      <c r="J80" s="4" t="str">
        <f t="shared" si="2"/>
        <v>1.72</v>
      </c>
    </row>
    <row r="81" spans="1:10" s="4" customFormat="1" ht="42.75">
      <c r="A81" s="1747" t="s">
        <v>100</v>
      </c>
      <c r="B81" s="1748" t="s">
        <v>1154</v>
      </c>
      <c r="C81" s="1749" t="s">
        <v>0</v>
      </c>
      <c r="D81" s="678">
        <v>20</v>
      </c>
      <c r="E81" s="1287">
        <v>7724.6</v>
      </c>
      <c r="F81" s="678">
        <v>154492</v>
      </c>
      <c r="G81" s="1750" t="s">
        <v>6160</v>
      </c>
      <c r="H81" s="962" t="str">
        <f t="shared" si="3"/>
        <v>0274205303</v>
      </c>
      <c r="I81" s="22">
        <v>73</v>
      </c>
      <c r="J81" s="4" t="str">
        <f t="shared" si="2"/>
        <v>1.73</v>
      </c>
    </row>
    <row r="82" spans="1:10" s="4" customFormat="1" ht="47.25">
      <c r="A82" s="1747" t="s">
        <v>101</v>
      </c>
      <c r="B82" s="1748" t="s">
        <v>3639</v>
      </c>
      <c r="C82" s="1749" t="s">
        <v>0</v>
      </c>
      <c r="D82" s="678">
        <v>20</v>
      </c>
      <c r="E82" s="1287">
        <v>8226.06</v>
      </c>
      <c r="F82" s="678">
        <v>164521.20000000001</v>
      </c>
      <c r="G82" s="1750" t="s">
        <v>6161</v>
      </c>
      <c r="H82" s="962" t="str">
        <f t="shared" si="3"/>
        <v>0274205B03</v>
      </c>
      <c r="I82" s="22">
        <v>74</v>
      </c>
      <c r="J82" s="4" t="str">
        <f t="shared" si="2"/>
        <v>1.74</v>
      </c>
    </row>
    <row r="83" spans="1:10" s="4" customFormat="1" ht="47.25">
      <c r="A83" s="1747" t="s">
        <v>102</v>
      </c>
      <c r="B83" s="1748" t="s">
        <v>4049</v>
      </c>
      <c r="C83" s="1749" t="s">
        <v>0</v>
      </c>
      <c r="D83" s="678">
        <v>20</v>
      </c>
      <c r="E83" s="1287">
        <v>8720.94</v>
      </c>
      <c r="F83" s="678">
        <v>174418.8</v>
      </c>
      <c r="G83" s="1750" t="s">
        <v>5014</v>
      </c>
      <c r="H83" s="962" t="str">
        <f t="shared" si="3"/>
        <v>0274205B53</v>
      </c>
      <c r="I83" s="22">
        <v>75</v>
      </c>
      <c r="J83" s="4" t="str">
        <f t="shared" si="2"/>
        <v>1.75</v>
      </c>
    </row>
    <row r="84" spans="1:10" s="4" customFormat="1" ht="42.75">
      <c r="A84" s="1747" t="s">
        <v>103</v>
      </c>
      <c r="B84" s="1748" t="s">
        <v>1162</v>
      </c>
      <c r="C84" s="1749" t="s">
        <v>0</v>
      </c>
      <c r="D84" s="678">
        <v>20</v>
      </c>
      <c r="E84" s="1287">
        <v>7663.02</v>
      </c>
      <c r="F84" s="678">
        <v>153260.4</v>
      </c>
      <c r="G84" s="1750" t="s">
        <v>6162</v>
      </c>
      <c r="H84" s="962" t="str">
        <f t="shared" si="3"/>
        <v>0274203303</v>
      </c>
      <c r="I84" s="22">
        <v>76</v>
      </c>
      <c r="J84" s="4" t="str">
        <f t="shared" si="2"/>
        <v>1.76</v>
      </c>
    </row>
    <row r="85" spans="1:10" s="4" customFormat="1" ht="47.25">
      <c r="A85" s="1747" t="s">
        <v>104</v>
      </c>
      <c r="B85" s="1748" t="s">
        <v>3640</v>
      </c>
      <c r="C85" s="1749" t="s">
        <v>0</v>
      </c>
      <c r="D85" s="678">
        <v>20</v>
      </c>
      <c r="E85" s="1287">
        <v>8164.49</v>
      </c>
      <c r="F85" s="678">
        <v>163289.79999999999</v>
      </c>
      <c r="G85" s="1750" t="s">
        <v>6163</v>
      </c>
      <c r="H85" s="962" t="str">
        <f t="shared" si="3"/>
        <v>0274203B03</v>
      </c>
      <c r="I85" s="22">
        <v>77</v>
      </c>
      <c r="J85" s="4" t="str">
        <f t="shared" si="2"/>
        <v>1.77</v>
      </c>
    </row>
    <row r="86" spans="1:10" s="4" customFormat="1" ht="47.25">
      <c r="A86" s="1747" t="s">
        <v>105</v>
      </c>
      <c r="B86" s="1748" t="s">
        <v>4048</v>
      </c>
      <c r="C86" s="1749" t="s">
        <v>0</v>
      </c>
      <c r="D86" s="678">
        <v>20</v>
      </c>
      <c r="E86" s="1287">
        <v>8659.36</v>
      </c>
      <c r="F86" s="678">
        <v>173187.20000000001</v>
      </c>
      <c r="G86" s="1750" t="s">
        <v>6164</v>
      </c>
      <c r="H86" s="962" t="str">
        <f t="shared" si="3"/>
        <v>0274203B53</v>
      </c>
      <c r="I86" s="22">
        <v>78</v>
      </c>
      <c r="J86" s="4" t="str">
        <f t="shared" si="2"/>
        <v>1.78</v>
      </c>
    </row>
    <row r="87" spans="1:10" s="4" customFormat="1" ht="42.75">
      <c r="A87" s="1747" t="s">
        <v>106</v>
      </c>
      <c r="B87" s="1748" t="s">
        <v>1174</v>
      </c>
      <c r="C87" s="1749" t="s">
        <v>0</v>
      </c>
      <c r="D87" s="678">
        <v>20</v>
      </c>
      <c r="E87" s="1287">
        <v>7488.59</v>
      </c>
      <c r="F87" s="678">
        <v>149771.79999999999</v>
      </c>
      <c r="G87" s="1750" t="s">
        <v>6165</v>
      </c>
      <c r="H87" s="962" t="str">
        <f t="shared" si="3"/>
        <v>0279605303</v>
      </c>
      <c r="I87" s="22">
        <v>79</v>
      </c>
      <c r="J87" s="4" t="str">
        <f t="shared" si="2"/>
        <v>1.79</v>
      </c>
    </row>
    <row r="88" spans="1:10" s="4" customFormat="1" ht="47.25">
      <c r="A88" s="1747" t="s">
        <v>107</v>
      </c>
      <c r="B88" s="1748" t="s">
        <v>1179</v>
      </c>
      <c r="C88" s="1749" t="s">
        <v>0</v>
      </c>
      <c r="D88" s="678">
        <v>20</v>
      </c>
      <c r="E88" s="1287">
        <v>7990.06</v>
      </c>
      <c r="F88" s="678">
        <v>159801.20000000001</v>
      </c>
      <c r="G88" s="1750" t="s">
        <v>6166</v>
      </c>
      <c r="H88" s="962" t="str">
        <f t="shared" si="3"/>
        <v>0279605313</v>
      </c>
      <c r="I88" s="22">
        <v>80</v>
      </c>
      <c r="J88" s="4" t="str">
        <f t="shared" si="2"/>
        <v>1.80</v>
      </c>
    </row>
    <row r="89" spans="1:10" s="4" customFormat="1" ht="47.25">
      <c r="A89" s="1747" t="s">
        <v>108</v>
      </c>
      <c r="B89" s="1748" t="s">
        <v>4477</v>
      </c>
      <c r="C89" s="1749" t="s">
        <v>0</v>
      </c>
      <c r="D89" s="678">
        <v>20</v>
      </c>
      <c r="E89" s="1287">
        <v>8484.93</v>
      </c>
      <c r="F89" s="678">
        <v>169698.6</v>
      </c>
      <c r="G89" s="1750" t="s">
        <v>6167</v>
      </c>
      <c r="H89" s="962" t="str">
        <f t="shared" si="3"/>
        <v>02796053N3</v>
      </c>
      <c r="I89" s="22">
        <v>81</v>
      </c>
      <c r="J89" s="4" t="str">
        <f t="shared" si="2"/>
        <v>1.81</v>
      </c>
    </row>
    <row r="90" spans="1:10" s="4" customFormat="1" ht="42.75">
      <c r="A90" s="1747" t="s">
        <v>109</v>
      </c>
      <c r="B90" s="1748" t="s">
        <v>1182</v>
      </c>
      <c r="C90" s="1749" t="s">
        <v>0</v>
      </c>
      <c r="D90" s="678">
        <v>20</v>
      </c>
      <c r="E90" s="1287">
        <v>8001.65</v>
      </c>
      <c r="F90" s="678">
        <v>160033</v>
      </c>
      <c r="G90" s="1750" t="s">
        <v>6168</v>
      </c>
      <c r="H90" s="962" t="str">
        <f t="shared" si="3"/>
        <v>0279800003</v>
      </c>
      <c r="I90" s="22">
        <v>82</v>
      </c>
      <c r="J90" s="4" t="str">
        <f t="shared" si="2"/>
        <v>1.82</v>
      </c>
    </row>
    <row r="91" spans="1:10" s="4" customFormat="1" ht="47.25">
      <c r="A91" s="1747" t="s">
        <v>110</v>
      </c>
      <c r="B91" s="1748" t="s">
        <v>1187</v>
      </c>
      <c r="C91" s="1749" t="s">
        <v>0</v>
      </c>
      <c r="D91" s="678">
        <v>20</v>
      </c>
      <c r="E91" s="1287">
        <v>7098.67</v>
      </c>
      <c r="F91" s="678">
        <v>141973.4</v>
      </c>
      <c r="G91" s="1750" t="s">
        <v>6169</v>
      </c>
      <c r="H91" s="962" t="str">
        <f t="shared" si="3"/>
        <v>0296613003</v>
      </c>
      <c r="I91" s="22">
        <v>83</v>
      </c>
      <c r="J91" s="4" t="str">
        <f t="shared" si="2"/>
        <v>1.83</v>
      </c>
    </row>
    <row r="92" spans="1:10" s="4" customFormat="1" ht="47.25">
      <c r="A92" s="1747" t="s">
        <v>111</v>
      </c>
      <c r="B92" s="1748" t="s">
        <v>1192</v>
      </c>
      <c r="C92" s="1749" t="s">
        <v>0</v>
      </c>
      <c r="D92" s="678">
        <v>20</v>
      </c>
      <c r="E92" s="1287">
        <v>7600.13</v>
      </c>
      <c r="F92" s="678">
        <v>152002.6</v>
      </c>
      <c r="G92" s="1750" t="s">
        <v>6170</v>
      </c>
      <c r="H92" s="962" t="str">
        <f t="shared" si="3"/>
        <v>02966130B3</v>
      </c>
      <c r="I92" s="22">
        <v>84</v>
      </c>
      <c r="J92" s="4" t="str">
        <f t="shared" si="2"/>
        <v>1.84</v>
      </c>
    </row>
    <row r="93" spans="1:10" s="4" customFormat="1" ht="47.25">
      <c r="A93" s="1747" t="s">
        <v>112</v>
      </c>
      <c r="B93" s="1748" t="s">
        <v>4482</v>
      </c>
      <c r="C93" s="1749" t="s">
        <v>0</v>
      </c>
      <c r="D93" s="678">
        <v>20</v>
      </c>
      <c r="E93" s="1287">
        <v>8095.01</v>
      </c>
      <c r="F93" s="678">
        <v>161900.20000000001</v>
      </c>
      <c r="G93" s="1750" t="s">
        <v>6171</v>
      </c>
      <c r="H93" s="962" t="str">
        <f t="shared" si="3"/>
        <v>0296613NB3</v>
      </c>
      <c r="I93" s="22">
        <v>85</v>
      </c>
      <c r="J93" s="4" t="str">
        <f t="shared" si="2"/>
        <v>1.85</v>
      </c>
    </row>
    <row r="94" spans="1:10" s="4" customFormat="1" ht="47.25">
      <c r="A94" s="1747" t="s">
        <v>113</v>
      </c>
      <c r="B94" s="1748" t="s">
        <v>1195</v>
      </c>
      <c r="C94" s="1749" t="s">
        <v>0</v>
      </c>
      <c r="D94" s="678">
        <v>20</v>
      </c>
      <c r="E94" s="1287">
        <v>6729.28</v>
      </c>
      <c r="F94" s="678">
        <v>134585.60000000001</v>
      </c>
      <c r="G94" s="1750" t="s">
        <v>6172</v>
      </c>
      <c r="H94" s="962" t="str">
        <f t="shared" si="3"/>
        <v>0296615003</v>
      </c>
      <c r="I94" s="22">
        <v>86</v>
      </c>
      <c r="J94" s="4" t="str">
        <f t="shared" si="2"/>
        <v>1.86</v>
      </c>
    </row>
    <row r="95" spans="1:10" s="4" customFormat="1" ht="47.25">
      <c r="A95" s="1747" t="s">
        <v>114</v>
      </c>
      <c r="B95" s="1748" t="s">
        <v>1200</v>
      </c>
      <c r="C95" s="1749" t="s">
        <v>0</v>
      </c>
      <c r="D95" s="678">
        <v>20</v>
      </c>
      <c r="E95" s="1287">
        <v>7230.74</v>
      </c>
      <c r="F95" s="678">
        <v>144614.79999999999</v>
      </c>
      <c r="G95" s="1750" t="s">
        <v>6173</v>
      </c>
      <c r="H95" s="962" t="str">
        <f t="shared" si="3"/>
        <v>02966150B3</v>
      </c>
      <c r="I95" s="22">
        <v>87</v>
      </c>
      <c r="J95" s="4" t="str">
        <f t="shared" si="2"/>
        <v>1.87</v>
      </c>
    </row>
    <row r="96" spans="1:10" s="4" customFormat="1" ht="47.25">
      <c r="A96" s="1747" t="s">
        <v>115</v>
      </c>
      <c r="B96" s="1748" t="s">
        <v>4486</v>
      </c>
      <c r="C96" s="1749" t="s">
        <v>0</v>
      </c>
      <c r="D96" s="678">
        <v>20</v>
      </c>
      <c r="E96" s="1287">
        <v>7725.62</v>
      </c>
      <c r="F96" s="678">
        <v>154512.4</v>
      </c>
      <c r="G96" s="1750" t="s">
        <v>6174</v>
      </c>
      <c r="H96" s="962" t="str">
        <f t="shared" si="3"/>
        <v>0296615NB3</v>
      </c>
      <c r="I96" s="22">
        <v>88</v>
      </c>
      <c r="J96" s="4" t="str">
        <f t="shared" si="2"/>
        <v>1.88</v>
      </c>
    </row>
    <row r="97" spans="1:10" s="4" customFormat="1" ht="42.75">
      <c r="A97" s="1747" t="s">
        <v>116</v>
      </c>
      <c r="B97" s="1748" t="s">
        <v>1203</v>
      </c>
      <c r="C97" s="1749" t="s">
        <v>0</v>
      </c>
      <c r="D97" s="678">
        <v>5</v>
      </c>
      <c r="E97" s="1287">
        <v>57225.46</v>
      </c>
      <c r="F97" s="678">
        <v>286127.3</v>
      </c>
      <c r="G97" s="1750" t="s">
        <v>6175</v>
      </c>
      <c r="H97" s="962" t="str">
        <f t="shared" si="3"/>
        <v>0295240003</v>
      </c>
      <c r="I97" s="22">
        <v>89</v>
      </c>
      <c r="J97" s="4" t="str">
        <f t="shared" si="2"/>
        <v>1.89</v>
      </c>
    </row>
    <row r="98" spans="1:10" s="4" customFormat="1" ht="42.75">
      <c r="A98" s="1747" t="s">
        <v>117</v>
      </c>
      <c r="B98" s="1748" t="s">
        <v>1215</v>
      </c>
      <c r="C98" s="1749" t="s">
        <v>3</v>
      </c>
      <c r="D98" s="678">
        <v>100</v>
      </c>
      <c r="E98" s="1287">
        <v>25.49</v>
      </c>
      <c r="F98" s="678">
        <v>2549</v>
      </c>
      <c r="G98" s="1750" t="s">
        <v>6176</v>
      </c>
      <c r="H98" s="962" t="str">
        <f t="shared" si="3"/>
        <v>0296140332</v>
      </c>
      <c r="I98" s="22">
        <v>90</v>
      </c>
      <c r="J98" s="4" t="str">
        <f t="shared" si="2"/>
        <v>1.90</v>
      </c>
    </row>
    <row r="99" spans="1:10" s="4" customFormat="1" ht="47.25">
      <c r="A99" s="1747" t="s">
        <v>118</v>
      </c>
      <c r="B99" s="1748" t="s">
        <v>4490</v>
      </c>
      <c r="C99" s="1749" t="s">
        <v>3</v>
      </c>
      <c r="D99" s="678">
        <v>100</v>
      </c>
      <c r="E99" s="1287">
        <v>40.79</v>
      </c>
      <c r="F99" s="678">
        <v>4079</v>
      </c>
      <c r="G99" s="1750" t="s">
        <v>6177</v>
      </c>
      <c r="H99" s="962" t="str">
        <f t="shared" si="3"/>
        <v>02961403N2</v>
      </c>
      <c r="I99" s="22">
        <v>91</v>
      </c>
      <c r="J99" s="4" t="str">
        <f t="shared" si="2"/>
        <v>1.91</v>
      </c>
    </row>
    <row r="100" spans="1:10" s="4" customFormat="1" ht="42.75">
      <c r="A100" s="1747" t="s">
        <v>119</v>
      </c>
      <c r="B100" s="1748" t="s">
        <v>1231</v>
      </c>
      <c r="C100" s="1749" t="s">
        <v>3</v>
      </c>
      <c r="D100" s="678">
        <v>100</v>
      </c>
      <c r="E100" s="1287">
        <v>16.61</v>
      </c>
      <c r="F100" s="678">
        <v>1661</v>
      </c>
      <c r="G100" s="1750" t="s">
        <v>6178</v>
      </c>
      <c r="H100" s="962" t="str">
        <f t="shared" si="3"/>
        <v>0296140432</v>
      </c>
      <c r="I100" s="22">
        <v>92</v>
      </c>
      <c r="J100" s="4" t="str">
        <f t="shared" si="2"/>
        <v>1.92</v>
      </c>
    </row>
    <row r="101" spans="1:10" s="4" customFormat="1" ht="47.25">
      <c r="A101" s="1747" t="s">
        <v>120</v>
      </c>
      <c r="B101" s="1748" t="s">
        <v>1236</v>
      </c>
      <c r="C101" s="1749" t="s">
        <v>3</v>
      </c>
      <c r="D101" s="678">
        <v>100</v>
      </c>
      <c r="E101" s="1287">
        <v>43.51</v>
      </c>
      <c r="F101" s="678">
        <v>4351</v>
      </c>
      <c r="G101" s="1750" t="s">
        <v>6179</v>
      </c>
      <c r="H101" s="962" t="str">
        <f t="shared" si="3"/>
        <v>0296190332</v>
      </c>
      <c r="I101" s="22">
        <v>93</v>
      </c>
      <c r="J101" s="4" t="str">
        <f t="shared" si="2"/>
        <v>1.93</v>
      </c>
    </row>
    <row r="102" spans="1:10" s="4" customFormat="1" ht="47.25">
      <c r="A102" s="1747" t="s">
        <v>121</v>
      </c>
      <c r="B102" s="1748" t="s">
        <v>4494</v>
      </c>
      <c r="C102" s="1749" t="s">
        <v>3</v>
      </c>
      <c r="D102" s="678">
        <v>100</v>
      </c>
      <c r="E102" s="1287">
        <v>69</v>
      </c>
      <c r="F102" s="678">
        <v>6900</v>
      </c>
      <c r="G102" s="1750" t="s">
        <v>6180</v>
      </c>
      <c r="H102" s="962" t="str">
        <f t="shared" si="3"/>
        <v>02961903N2</v>
      </c>
      <c r="I102" s="22">
        <v>94</v>
      </c>
      <c r="J102" s="4" t="str">
        <f t="shared" si="2"/>
        <v>1.94</v>
      </c>
    </row>
    <row r="103" spans="1:10" s="4" customFormat="1" ht="47.25">
      <c r="A103" s="1747" t="s">
        <v>122</v>
      </c>
      <c r="B103" s="1748" t="s">
        <v>1239</v>
      </c>
      <c r="C103" s="1749" t="s">
        <v>3</v>
      </c>
      <c r="D103" s="678">
        <v>100</v>
      </c>
      <c r="E103" s="1287">
        <v>28.64</v>
      </c>
      <c r="F103" s="678">
        <v>2864</v>
      </c>
      <c r="G103" s="1750" t="s">
        <v>6181</v>
      </c>
      <c r="H103" s="962" t="str">
        <f t="shared" si="3"/>
        <v>0296190432</v>
      </c>
      <c r="I103" s="22">
        <v>95</v>
      </c>
      <c r="J103" s="4" t="str">
        <f t="shared" si="2"/>
        <v>1.95</v>
      </c>
    </row>
    <row r="104" spans="1:10" s="4" customFormat="1" ht="42.75">
      <c r="A104" s="1747" t="s">
        <v>123</v>
      </c>
      <c r="B104" s="1748" t="s">
        <v>462</v>
      </c>
      <c r="C104" s="1749" t="s">
        <v>17</v>
      </c>
      <c r="D104" s="678">
        <v>100</v>
      </c>
      <c r="E104" s="1287">
        <v>65.94</v>
      </c>
      <c r="F104" s="678">
        <v>6594</v>
      </c>
      <c r="G104" s="1750" t="s">
        <v>6182</v>
      </c>
      <c r="H104" s="962" t="str">
        <f t="shared" si="3"/>
        <v>02220PWD00021</v>
      </c>
      <c r="I104" s="22">
        <v>96</v>
      </c>
      <c r="J104" s="4" t="str">
        <f t="shared" si="2"/>
        <v>1.96</v>
      </c>
    </row>
    <row r="105" spans="1:10" s="4" customFormat="1" ht="42.75">
      <c r="A105" s="1747" t="s">
        <v>124</v>
      </c>
      <c r="B105" s="1748" t="s">
        <v>1250</v>
      </c>
      <c r="C105" s="1749" t="s">
        <v>17</v>
      </c>
      <c r="D105" s="678">
        <v>100</v>
      </c>
      <c r="E105" s="1287">
        <v>76.930000000000007</v>
      </c>
      <c r="F105" s="678">
        <v>7693</v>
      </c>
      <c r="G105" s="1750" t="s">
        <v>6183</v>
      </c>
      <c r="H105" s="962" t="str">
        <f t="shared" si="3"/>
        <v>02220PWD00031</v>
      </c>
      <c r="I105" s="22">
        <v>97</v>
      </c>
      <c r="J105" s="4" t="str">
        <f t="shared" si="2"/>
        <v>1.97</v>
      </c>
    </row>
    <row r="106" spans="1:10" s="4" customFormat="1" ht="42.75">
      <c r="A106" s="1747" t="s">
        <v>125</v>
      </c>
      <c r="B106" s="1748" t="s">
        <v>1253</v>
      </c>
      <c r="C106" s="1749" t="s">
        <v>17</v>
      </c>
      <c r="D106" s="678">
        <v>50</v>
      </c>
      <c r="E106" s="1287">
        <v>139.58000000000001</v>
      </c>
      <c r="F106" s="678">
        <v>6979</v>
      </c>
      <c r="G106" s="1750" t="s">
        <v>6184</v>
      </c>
      <c r="H106" s="962" t="str">
        <f t="shared" si="3"/>
        <v>02220#0041</v>
      </c>
      <c r="I106" s="22">
        <v>98</v>
      </c>
      <c r="J106" s="4" t="str">
        <f t="shared" si="2"/>
        <v>1.98</v>
      </c>
    </row>
    <row r="107" spans="1:10" s="4" customFormat="1" ht="42.75">
      <c r="A107" s="1747" t="s">
        <v>126</v>
      </c>
      <c r="B107" s="1748" t="s">
        <v>464</v>
      </c>
      <c r="C107" s="1749" t="s">
        <v>0</v>
      </c>
      <c r="D107" s="678">
        <v>20</v>
      </c>
      <c r="E107" s="1287">
        <v>3327.95</v>
      </c>
      <c r="F107" s="678">
        <v>66559</v>
      </c>
      <c r="G107" s="1750" t="s">
        <v>6185</v>
      </c>
      <c r="H107" s="962" t="str">
        <f t="shared" si="3"/>
        <v>0331023003</v>
      </c>
      <c r="I107" s="22">
        <v>99</v>
      </c>
      <c r="J107" s="4" t="str">
        <f t="shared" si="2"/>
        <v>1.99</v>
      </c>
    </row>
    <row r="108" spans="1:10" s="4" customFormat="1" ht="42.75">
      <c r="A108" s="1747" t="s">
        <v>127</v>
      </c>
      <c r="B108" s="1748" t="s">
        <v>4501</v>
      </c>
      <c r="C108" s="1749" t="s">
        <v>0</v>
      </c>
      <c r="D108" s="678">
        <v>20</v>
      </c>
      <c r="E108" s="1287">
        <v>3641.34</v>
      </c>
      <c r="F108" s="678">
        <v>72826.8</v>
      </c>
      <c r="G108" s="1750" t="s">
        <v>6186</v>
      </c>
      <c r="H108" s="962" t="str">
        <f t="shared" si="3"/>
        <v>03310230N3</v>
      </c>
      <c r="I108" s="22">
        <v>100</v>
      </c>
      <c r="J108" s="4" t="str">
        <f t="shared" si="2"/>
        <v>1.100</v>
      </c>
    </row>
    <row r="109" spans="1:10" s="4" customFormat="1" ht="42.75">
      <c r="A109" s="1747" t="s">
        <v>128</v>
      </c>
      <c r="B109" s="1748" t="s">
        <v>1270</v>
      </c>
      <c r="C109" s="1749" t="s">
        <v>0</v>
      </c>
      <c r="D109" s="678">
        <v>50</v>
      </c>
      <c r="E109" s="1287">
        <v>3420.3</v>
      </c>
      <c r="F109" s="678">
        <v>171015</v>
      </c>
      <c r="G109" s="1750" t="s">
        <v>6187</v>
      </c>
      <c r="H109" s="962" t="str">
        <f t="shared" si="3"/>
        <v>0331024003</v>
      </c>
      <c r="I109" s="22">
        <v>101</v>
      </c>
      <c r="J109" s="4" t="str">
        <f t="shared" si="2"/>
        <v>1.101</v>
      </c>
    </row>
    <row r="110" spans="1:10" s="4" customFormat="1" ht="71.25">
      <c r="A110" s="1747" t="s">
        <v>129</v>
      </c>
      <c r="B110" s="1748" t="s">
        <v>1275</v>
      </c>
      <c r="C110" s="1749" t="s">
        <v>0</v>
      </c>
      <c r="D110" s="678">
        <v>50</v>
      </c>
      <c r="E110" s="1287">
        <v>3522.91</v>
      </c>
      <c r="F110" s="678">
        <v>176145.5</v>
      </c>
      <c r="G110" s="1750" t="s">
        <v>4985</v>
      </c>
      <c r="H110" s="962" t="str">
        <f t="shared" si="3"/>
        <v>0331025003</v>
      </c>
      <c r="I110" s="22">
        <v>102</v>
      </c>
      <c r="J110" s="4" t="str">
        <f t="shared" si="2"/>
        <v>1.102</v>
      </c>
    </row>
    <row r="111" spans="1:10" s="4" customFormat="1" ht="71.25">
      <c r="A111" s="1747" t="s">
        <v>130</v>
      </c>
      <c r="B111" s="1748" t="s">
        <v>4505</v>
      </c>
      <c r="C111" s="1749" t="s">
        <v>0</v>
      </c>
      <c r="D111" s="678">
        <v>50</v>
      </c>
      <c r="E111" s="1287">
        <v>3836.3</v>
      </c>
      <c r="F111" s="678">
        <v>191815</v>
      </c>
      <c r="G111" s="1750" t="s">
        <v>6188</v>
      </c>
      <c r="H111" s="962" t="str">
        <f t="shared" si="3"/>
        <v>03310250N3</v>
      </c>
      <c r="I111" s="22">
        <v>103</v>
      </c>
      <c r="J111" s="4" t="str">
        <f t="shared" si="2"/>
        <v>1.103</v>
      </c>
    </row>
    <row r="112" spans="1:10" s="4" customFormat="1" ht="42.75">
      <c r="A112" s="1747" t="s">
        <v>131</v>
      </c>
      <c r="B112" s="1748" t="s">
        <v>1280</v>
      </c>
      <c r="C112" s="1749" t="s">
        <v>0</v>
      </c>
      <c r="D112" s="678">
        <v>50</v>
      </c>
      <c r="E112" s="1287">
        <v>3692.17</v>
      </c>
      <c r="F112" s="678">
        <v>184608.5</v>
      </c>
      <c r="G112" s="1750" t="s">
        <v>6189</v>
      </c>
      <c r="H112" s="962" t="str">
        <f t="shared" si="3"/>
        <v>0331026003</v>
      </c>
      <c r="I112" s="22">
        <v>104</v>
      </c>
      <c r="J112" s="4" t="str">
        <f t="shared" si="2"/>
        <v>1.104</v>
      </c>
    </row>
    <row r="113" spans="1:10" s="4" customFormat="1" ht="71.25">
      <c r="A113" s="1747" t="s">
        <v>132</v>
      </c>
      <c r="B113" s="1748" t="s">
        <v>16</v>
      </c>
      <c r="C113" s="1749" t="s">
        <v>0</v>
      </c>
      <c r="D113" s="678">
        <v>50</v>
      </c>
      <c r="E113" s="1287">
        <v>3847.4</v>
      </c>
      <c r="F113" s="678">
        <v>192370</v>
      </c>
      <c r="G113" s="1750" t="s">
        <v>6190</v>
      </c>
      <c r="H113" s="962" t="str">
        <f t="shared" si="3"/>
        <v>0331027003</v>
      </c>
      <c r="I113" s="22">
        <v>105</v>
      </c>
      <c r="J113" s="4" t="str">
        <f t="shared" si="2"/>
        <v>1.105</v>
      </c>
    </row>
    <row r="114" spans="1:10" s="4" customFormat="1" ht="71.25">
      <c r="A114" s="1747" t="s">
        <v>133</v>
      </c>
      <c r="B114" s="1748" t="s">
        <v>4509</v>
      </c>
      <c r="C114" s="1749" t="s">
        <v>0</v>
      </c>
      <c r="D114" s="678">
        <v>50</v>
      </c>
      <c r="E114" s="1287">
        <v>4295.12</v>
      </c>
      <c r="F114" s="678">
        <v>214756</v>
      </c>
      <c r="G114" s="1750" t="s">
        <v>6191</v>
      </c>
      <c r="H114" s="962" t="str">
        <f t="shared" si="3"/>
        <v>03310270N3</v>
      </c>
      <c r="I114" s="22">
        <v>106</v>
      </c>
      <c r="J114" s="4" t="str">
        <f t="shared" si="2"/>
        <v>1.106</v>
      </c>
    </row>
    <row r="115" spans="1:10" s="4" customFormat="1" ht="42.75">
      <c r="A115" s="1747" t="s">
        <v>134</v>
      </c>
      <c r="B115" s="1748" t="s">
        <v>1287</v>
      </c>
      <c r="C115" s="1749" t="s">
        <v>0</v>
      </c>
      <c r="D115" s="678">
        <v>10</v>
      </c>
      <c r="E115" s="1287">
        <v>4116.53</v>
      </c>
      <c r="F115" s="678">
        <v>41165.300000000003</v>
      </c>
      <c r="G115" s="1750" t="s">
        <v>6192</v>
      </c>
      <c r="H115" s="962" t="str">
        <f t="shared" si="3"/>
        <v>0331029003</v>
      </c>
      <c r="I115" s="22">
        <v>107</v>
      </c>
      <c r="J115" s="4" t="str">
        <f t="shared" si="2"/>
        <v>1.107</v>
      </c>
    </row>
    <row r="116" spans="1:10" s="4" customFormat="1" ht="71.25">
      <c r="A116" s="1747" t="s">
        <v>135</v>
      </c>
      <c r="B116" s="1748" t="s">
        <v>1292</v>
      </c>
      <c r="C116" s="1749" t="s">
        <v>0</v>
      </c>
      <c r="D116" s="678">
        <v>10</v>
      </c>
      <c r="E116" s="1287">
        <v>4379.1099999999997</v>
      </c>
      <c r="F116" s="678">
        <v>43791.1</v>
      </c>
      <c r="G116" s="1750" t="s">
        <v>6193</v>
      </c>
      <c r="H116" s="962" t="str">
        <f t="shared" si="3"/>
        <v>0331013003</v>
      </c>
      <c r="I116" s="22">
        <v>108</v>
      </c>
      <c r="J116" s="4" t="str">
        <f t="shared" si="2"/>
        <v>1.108</v>
      </c>
    </row>
    <row r="117" spans="1:10" s="4" customFormat="1" ht="71.25">
      <c r="A117" s="1747" t="s">
        <v>136</v>
      </c>
      <c r="B117" s="1748" t="s">
        <v>1306</v>
      </c>
      <c r="C117" s="1749" t="s">
        <v>0</v>
      </c>
      <c r="D117" s="678">
        <v>10</v>
      </c>
      <c r="E117" s="1287">
        <v>4535.66</v>
      </c>
      <c r="F117" s="678">
        <v>45356.6</v>
      </c>
      <c r="G117" s="1750" t="s">
        <v>6194</v>
      </c>
      <c r="H117" s="962" t="str">
        <f t="shared" si="3"/>
        <v>0331014003</v>
      </c>
      <c r="I117" s="22">
        <v>109</v>
      </c>
      <c r="J117" s="4" t="str">
        <f t="shared" si="2"/>
        <v>1.109</v>
      </c>
    </row>
    <row r="118" spans="1:10" s="4" customFormat="1" ht="71.25">
      <c r="A118" s="1747" t="s">
        <v>137</v>
      </c>
      <c r="B118" s="1748" t="s">
        <v>1309</v>
      </c>
      <c r="C118" s="1749" t="s">
        <v>0</v>
      </c>
      <c r="D118" s="678">
        <v>10</v>
      </c>
      <c r="E118" s="1287">
        <v>4699.68</v>
      </c>
      <c r="F118" s="678">
        <v>46996.800000000003</v>
      </c>
      <c r="G118" s="1750" t="s">
        <v>6195</v>
      </c>
      <c r="H118" s="962" t="str">
        <f t="shared" si="3"/>
        <v>0331015003</v>
      </c>
      <c r="I118" s="22">
        <v>110</v>
      </c>
      <c r="J118" s="4" t="str">
        <f t="shared" si="2"/>
        <v>1.110</v>
      </c>
    </row>
    <row r="119" spans="1:10" s="4" customFormat="1" ht="71.25">
      <c r="A119" s="1747" t="s">
        <v>138</v>
      </c>
      <c r="B119" s="1748" t="s">
        <v>1312</v>
      </c>
      <c r="C119" s="1749" t="s">
        <v>0</v>
      </c>
      <c r="D119" s="678">
        <v>10</v>
      </c>
      <c r="E119" s="1287">
        <v>4778.03</v>
      </c>
      <c r="F119" s="678">
        <v>47780.3</v>
      </c>
      <c r="G119" s="1750" t="s">
        <v>6196</v>
      </c>
      <c r="H119" s="962" t="str">
        <f t="shared" si="3"/>
        <v>0331016003</v>
      </c>
      <c r="I119" s="22">
        <v>111</v>
      </c>
      <c r="J119" s="4" t="str">
        <f t="shared" si="2"/>
        <v>1.111</v>
      </c>
    </row>
    <row r="120" spans="1:10" s="4" customFormat="1" ht="71.25">
      <c r="A120" s="1747" t="s">
        <v>139</v>
      </c>
      <c r="B120" s="1748" t="s">
        <v>1315</v>
      </c>
      <c r="C120" s="1749" t="s">
        <v>0</v>
      </c>
      <c r="D120" s="678">
        <v>10</v>
      </c>
      <c r="E120" s="1287">
        <v>6850.6</v>
      </c>
      <c r="F120" s="678">
        <v>68506</v>
      </c>
      <c r="G120" s="1750" t="s">
        <v>6197</v>
      </c>
      <c r="H120" s="962" t="str">
        <f t="shared" si="3"/>
        <v>033100E0B3</v>
      </c>
      <c r="I120" s="22">
        <v>112</v>
      </c>
      <c r="J120" s="4" t="str">
        <f t="shared" si="2"/>
        <v>1.112</v>
      </c>
    </row>
    <row r="121" spans="1:10" s="4" customFormat="1" ht="71.25">
      <c r="A121" s="1747" t="s">
        <v>140</v>
      </c>
      <c r="B121" s="1748" t="s">
        <v>4517</v>
      </c>
      <c r="C121" s="1749" t="s">
        <v>0</v>
      </c>
      <c r="D121" s="678">
        <v>10</v>
      </c>
      <c r="E121" s="1287">
        <v>8554.76</v>
      </c>
      <c r="F121" s="678">
        <v>85547.6</v>
      </c>
      <c r="G121" s="1750" t="s">
        <v>6198</v>
      </c>
      <c r="H121" s="962" t="str">
        <f t="shared" si="3"/>
        <v>033100E0N3</v>
      </c>
      <c r="I121" s="22">
        <v>113</v>
      </c>
      <c r="J121" s="4" t="str">
        <f t="shared" si="2"/>
        <v>1.113</v>
      </c>
    </row>
    <row r="122" spans="1:10" s="4" customFormat="1" ht="71.25">
      <c r="A122" s="1747" t="s">
        <v>141</v>
      </c>
      <c r="B122" s="1748" t="s">
        <v>4519</v>
      </c>
      <c r="C122" s="1749" t="s">
        <v>0</v>
      </c>
      <c r="D122" s="678">
        <v>10</v>
      </c>
      <c r="E122" s="1287">
        <v>1749.87</v>
      </c>
      <c r="F122" s="678">
        <v>17498.7</v>
      </c>
      <c r="G122" s="1750" t="s">
        <v>5006</v>
      </c>
      <c r="H122" s="962" t="str">
        <f t="shared" si="3"/>
        <v>03377PWD00A03</v>
      </c>
      <c r="I122" s="22">
        <v>114</v>
      </c>
      <c r="J122" s="4" t="str">
        <f t="shared" si="2"/>
        <v>1.114</v>
      </c>
    </row>
    <row r="123" spans="1:10" s="4" customFormat="1" ht="71.25">
      <c r="A123" s="1747" t="s">
        <v>142</v>
      </c>
      <c r="B123" s="1748" t="s">
        <v>4521</v>
      </c>
      <c r="C123" s="1749" t="s">
        <v>0</v>
      </c>
      <c r="D123" s="678">
        <v>10</v>
      </c>
      <c r="E123" s="1287">
        <v>2002.08</v>
      </c>
      <c r="F123" s="678">
        <v>20020.8</v>
      </c>
      <c r="G123" s="1750" t="s">
        <v>6199</v>
      </c>
      <c r="H123" s="962" t="str">
        <f t="shared" si="3"/>
        <v>03377PWD00An3</v>
      </c>
      <c r="I123" s="22">
        <v>115</v>
      </c>
      <c r="J123" s="4" t="str">
        <f t="shared" si="2"/>
        <v>1.115</v>
      </c>
    </row>
    <row r="124" spans="1:10" s="4" customFormat="1" ht="42.75">
      <c r="A124" s="1747" t="s">
        <v>143</v>
      </c>
      <c r="B124" s="1748" t="s">
        <v>1320</v>
      </c>
      <c r="C124" s="1749" t="s">
        <v>0</v>
      </c>
      <c r="D124" s="678">
        <v>10</v>
      </c>
      <c r="E124" s="1287">
        <v>5076.34</v>
      </c>
      <c r="F124" s="678">
        <v>50763.4</v>
      </c>
      <c r="G124" s="1750" t="s">
        <v>6200</v>
      </c>
      <c r="H124" s="962" t="str">
        <f t="shared" si="3"/>
        <v>030521#231</v>
      </c>
      <c r="I124" s="22">
        <v>116</v>
      </c>
      <c r="J124" s="4" t="str">
        <f t="shared" si="2"/>
        <v>1.116</v>
      </c>
    </row>
    <row r="125" spans="1:10" s="4" customFormat="1" ht="31.5">
      <c r="A125" s="1747" t="s">
        <v>144</v>
      </c>
      <c r="B125" s="1748" t="s">
        <v>3086</v>
      </c>
      <c r="C125" s="1749" t="s">
        <v>0</v>
      </c>
      <c r="D125" s="678">
        <v>20</v>
      </c>
      <c r="E125" s="1287">
        <v>199.24</v>
      </c>
      <c r="F125" s="678">
        <v>3984.8</v>
      </c>
      <c r="G125" s="1750" t="s">
        <v>3087</v>
      </c>
      <c r="H125" s="962" t="str">
        <f t="shared" si="3"/>
        <v>03310000Z5</v>
      </c>
      <c r="I125" s="22">
        <v>117</v>
      </c>
      <c r="J125" s="4" t="str">
        <f t="shared" si="2"/>
        <v>1.117</v>
      </c>
    </row>
    <row r="126" spans="1:10" s="4" customFormat="1" ht="42.75">
      <c r="A126" s="1747" t="s">
        <v>145</v>
      </c>
      <c r="B126" s="1748" t="s">
        <v>1328</v>
      </c>
      <c r="C126" s="1749" t="s">
        <v>3</v>
      </c>
      <c r="D126" s="678">
        <v>10</v>
      </c>
      <c r="E126" s="1287">
        <v>264.97000000000003</v>
      </c>
      <c r="F126" s="678">
        <v>2649.7</v>
      </c>
      <c r="G126" s="1750" t="s">
        <v>6201</v>
      </c>
      <c r="H126" s="962" t="str">
        <f t="shared" si="3"/>
        <v>0336020002</v>
      </c>
      <c r="I126" s="22">
        <v>118</v>
      </c>
      <c r="J126" s="4" t="str">
        <f t="shared" si="2"/>
        <v>1.118</v>
      </c>
    </row>
    <row r="127" spans="1:10" s="4" customFormat="1" ht="42.75">
      <c r="A127" s="1747" t="s">
        <v>146</v>
      </c>
      <c r="B127" s="1748" t="s">
        <v>1333</v>
      </c>
      <c r="C127" s="1749" t="s">
        <v>3</v>
      </c>
      <c r="D127" s="678">
        <v>10</v>
      </c>
      <c r="E127" s="1287">
        <v>957</v>
      </c>
      <c r="F127" s="678">
        <v>9570</v>
      </c>
      <c r="G127" s="1750" t="s">
        <v>6202</v>
      </c>
      <c r="H127" s="962" t="str">
        <f t="shared" si="3"/>
        <v>0311021102</v>
      </c>
      <c r="I127" s="22">
        <v>119</v>
      </c>
      <c r="J127" s="4" t="str">
        <f t="shared" si="2"/>
        <v>1.119</v>
      </c>
    </row>
    <row r="128" spans="1:10" s="4" customFormat="1" ht="71.25">
      <c r="A128" s="1747" t="s">
        <v>147</v>
      </c>
      <c r="B128" s="1748" t="s">
        <v>1384</v>
      </c>
      <c r="C128" s="1749" t="s">
        <v>3</v>
      </c>
      <c r="D128" s="678">
        <v>10</v>
      </c>
      <c r="E128" s="1287">
        <v>1197.05</v>
      </c>
      <c r="F128" s="678">
        <v>11970.5</v>
      </c>
      <c r="G128" s="1750" t="s">
        <v>6203</v>
      </c>
      <c r="H128" s="962" t="str">
        <f t="shared" si="3"/>
        <v>0311021112</v>
      </c>
      <c r="I128" s="22">
        <v>120</v>
      </c>
      <c r="J128" s="4" t="str">
        <f t="shared" si="2"/>
        <v>1.120</v>
      </c>
    </row>
    <row r="129" spans="1:10" s="4" customFormat="1" ht="85.5">
      <c r="A129" s="1747" t="s">
        <v>148</v>
      </c>
      <c r="B129" s="1748" t="s">
        <v>1347</v>
      </c>
      <c r="C129" s="1749" t="s">
        <v>3</v>
      </c>
      <c r="D129" s="678">
        <v>10</v>
      </c>
      <c r="E129" s="1287">
        <v>801.75</v>
      </c>
      <c r="F129" s="678">
        <v>8017.5</v>
      </c>
      <c r="G129" s="1750" t="s">
        <v>6204</v>
      </c>
      <c r="H129" s="962" t="str">
        <f t="shared" si="3"/>
        <v>0311021202</v>
      </c>
      <c r="I129" s="22">
        <v>121</v>
      </c>
      <c r="J129" s="4" t="str">
        <f t="shared" si="2"/>
        <v>1.121</v>
      </c>
    </row>
    <row r="130" spans="1:10" s="4" customFormat="1" ht="114">
      <c r="A130" s="1747" t="s">
        <v>149</v>
      </c>
      <c r="B130" s="1748" t="s">
        <v>1347</v>
      </c>
      <c r="C130" s="1749" t="s">
        <v>3</v>
      </c>
      <c r="D130" s="678">
        <v>10</v>
      </c>
      <c r="E130" s="1287">
        <v>1007.66</v>
      </c>
      <c r="F130" s="678">
        <v>10076.6</v>
      </c>
      <c r="G130" s="1750" t="s">
        <v>6205</v>
      </c>
      <c r="H130" s="962" t="str">
        <f t="shared" si="3"/>
        <v>0311021212</v>
      </c>
      <c r="I130" s="22">
        <v>122</v>
      </c>
      <c r="J130" s="4" t="str">
        <f t="shared" ref="J130:J193" si="4">A130</f>
        <v>1.122</v>
      </c>
    </row>
    <row r="131" spans="1:10" s="4" customFormat="1" ht="42.75">
      <c r="A131" s="1747" t="s">
        <v>150</v>
      </c>
      <c r="B131" s="1748" t="s">
        <v>1352</v>
      </c>
      <c r="C131" s="1749" t="s">
        <v>3</v>
      </c>
      <c r="D131" s="678">
        <v>10</v>
      </c>
      <c r="E131" s="1287">
        <v>550.35</v>
      </c>
      <c r="F131" s="678">
        <v>5503.5</v>
      </c>
      <c r="G131" s="1750" t="s">
        <v>6206</v>
      </c>
      <c r="H131" s="962" t="str">
        <f t="shared" si="3"/>
        <v>0311021302</v>
      </c>
      <c r="I131" s="22">
        <v>123</v>
      </c>
      <c r="J131" s="4" t="str">
        <f t="shared" si="4"/>
        <v>1.123</v>
      </c>
    </row>
    <row r="132" spans="1:10" s="4" customFormat="1" ht="71.25">
      <c r="A132" s="1747" t="s">
        <v>151</v>
      </c>
      <c r="B132" s="1748" t="s">
        <v>3624</v>
      </c>
      <c r="C132" s="1749" t="s">
        <v>3</v>
      </c>
      <c r="D132" s="678">
        <v>10</v>
      </c>
      <c r="E132" s="1287">
        <v>688.37</v>
      </c>
      <c r="F132" s="678">
        <v>6883.7</v>
      </c>
      <c r="G132" s="1750" t="s">
        <v>6207</v>
      </c>
      <c r="H132" s="962" t="str">
        <f t="shared" si="3"/>
        <v>0311021312</v>
      </c>
      <c r="I132" s="22">
        <v>124</v>
      </c>
      <c r="J132" s="4" t="str">
        <f t="shared" si="4"/>
        <v>1.124</v>
      </c>
    </row>
    <row r="133" spans="1:10" s="4" customFormat="1" ht="42.75">
      <c r="A133" s="1747" t="s">
        <v>152</v>
      </c>
      <c r="B133" s="1748" t="s">
        <v>4531</v>
      </c>
      <c r="C133" s="1749" t="s">
        <v>3</v>
      </c>
      <c r="D133" s="678">
        <v>10</v>
      </c>
      <c r="E133" s="1287">
        <v>1094.06</v>
      </c>
      <c r="F133" s="678">
        <v>10940.6</v>
      </c>
      <c r="G133" s="1750" t="s">
        <v>6208</v>
      </c>
      <c r="H133" s="962" t="str">
        <f t="shared" si="3"/>
        <v>03110213N2</v>
      </c>
      <c r="I133" s="22">
        <v>125</v>
      </c>
      <c r="J133" s="4" t="str">
        <f t="shared" si="4"/>
        <v>1.125</v>
      </c>
    </row>
    <row r="134" spans="1:10" s="4" customFormat="1" ht="57">
      <c r="A134" s="1747" t="s">
        <v>153</v>
      </c>
      <c r="B134" s="1748" t="s">
        <v>1357</v>
      </c>
      <c r="C134" s="1749" t="s">
        <v>3</v>
      </c>
      <c r="D134" s="678">
        <v>10</v>
      </c>
      <c r="E134" s="1287">
        <v>655.4</v>
      </c>
      <c r="F134" s="678">
        <v>6554</v>
      </c>
      <c r="G134" s="1750" t="s">
        <v>6209</v>
      </c>
      <c r="H134" s="962" t="str">
        <f t="shared" si="3"/>
        <v>0311011202</v>
      </c>
      <c r="I134" s="22">
        <v>126</v>
      </c>
      <c r="J134" s="4" t="str">
        <f t="shared" si="4"/>
        <v>1.126</v>
      </c>
    </row>
    <row r="135" spans="1:10" s="4" customFormat="1" ht="99.75">
      <c r="A135" s="1747" t="s">
        <v>154</v>
      </c>
      <c r="B135" s="1748" t="s">
        <v>3623</v>
      </c>
      <c r="C135" s="1749" t="s">
        <v>3</v>
      </c>
      <c r="D135" s="678">
        <v>10</v>
      </c>
      <c r="E135" s="1287">
        <v>824.15</v>
      </c>
      <c r="F135" s="678">
        <v>8241.5</v>
      </c>
      <c r="G135" s="1750" t="s">
        <v>6210</v>
      </c>
      <c r="H135" s="962" t="str">
        <f t="shared" si="3"/>
        <v>0311011212</v>
      </c>
      <c r="I135" s="22">
        <v>127</v>
      </c>
      <c r="J135" s="4" t="str">
        <f t="shared" si="4"/>
        <v>1.127</v>
      </c>
    </row>
    <row r="136" spans="1:10" s="4" customFormat="1" ht="57">
      <c r="A136" s="1747" t="s">
        <v>155</v>
      </c>
      <c r="B136" s="1748" t="s">
        <v>1360</v>
      </c>
      <c r="C136" s="1749" t="s">
        <v>3</v>
      </c>
      <c r="D136" s="678">
        <v>10</v>
      </c>
      <c r="E136" s="1287">
        <v>417.54</v>
      </c>
      <c r="F136" s="678">
        <v>4175.3999999999996</v>
      </c>
      <c r="G136" s="1750" t="s">
        <v>6211</v>
      </c>
      <c r="H136" s="962" t="str">
        <f t="shared" si="3"/>
        <v>0311011302</v>
      </c>
      <c r="I136" s="22">
        <v>128</v>
      </c>
      <c r="J136" s="4" t="str">
        <f t="shared" si="4"/>
        <v>1.128</v>
      </c>
    </row>
    <row r="137" spans="1:10" s="4" customFormat="1" ht="85.5">
      <c r="A137" s="1747" t="s">
        <v>156</v>
      </c>
      <c r="B137" s="1748" t="s">
        <v>2973</v>
      </c>
      <c r="C137" s="1749" t="s">
        <v>3</v>
      </c>
      <c r="D137" s="678">
        <v>10</v>
      </c>
      <c r="E137" s="1287">
        <v>525.94000000000005</v>
      </c>
      <c r="F137" s="678">
        <v>5259.4</v>
      </c>
      <c r="G137" s="1750" t="s">
        <v>6212</v>
      </c>
      <c r="H137" s="962" t="str">
        <f t="shared" si="3"/>
        <v>0311011312</v>
      </c>
      <c r="I137" s="22">
        <v>129</v>
      </c>
      <c r="J137" s="4" t="str">
        <f t="shared" si="4"/>
        <v>1.129</v>
      </c>
    </row>
    <row r="138" spans="1:10" s="4" customFormat="1" ht="57">
      <c r="A138" s="1747" t="s">
        <v>157</v>
      </c>
      <c r="B138" s="1748" t="s">
        <v>4537</v>
      </c>
      <c r="C138" s="1749" t="s">
        <v>3</v>
      </c>
      <c r="D138" s="678">
        <v>10</v>
      </c>
      <c r="E138" s="1287">
        <v>843.76</v>
      </c>
      <c r="F138" s="678">
        <v>8437.6</v>
      </c>
      <c r="G138" s="1750" t="s">
        <v>6213</v>
      </c>
      <c r="H138" s="962" t="str">
        <f t="shared" ref="H138:H201" si="5">LEFT(G138, FIND(CHAR(10), G138) - 1)</f>
        <v>03110113N2</v>
      </c>
      <c r="I138" s="22">
        <v>130</v>
      </c>
      <c r="J138" s="4" t="str">
        <f t="shared" si="4"/>
        <v>1.130</v>
      </c>
    </row>
    <row r="139" spans="1:10" s="4" customFormat="1" ht="42.75">
      <c r="A139" s="1747" t="s">
        <v>158</v>
      </c>
      <c r="B139" s="1748" t="s">
        <v>404</v>
      </c>
      <c r="C139" s="1749" t="s">
        <v>17</v>
      </c>
      <c r="D139" s="678">
        <v>10</v>
      </c>
      <c r="E139" s="1287">
        <v>638.77</v>
      </c>
      <c r="F139" s="678">
        <v>6387.7</v>
      </c>
      <c r="G139" s="1750" t="s">
        <v>6214</v>
      </c>
      <c r="H139" s="962" t="str">
        <f t="shared" si="5"/>
        <v>03110960a1</v>
      </c>
      <c r="I139" s="22">
        <v>131</v>
      </c>
      <c r="J139" s="4" t="str">
        <f t="shared" si="4"/>
        <v>1.131</v>
      </c>
    </row>
    <row r="140" spans="1:10" s="4" customFormat="1" ht="42.75">
      <c r="A140" s="1747" t="s">
        <v>159</v>
      </c>
      <c r="B140" s="1748" t="s">
        <v>1369</v>
      </c>
      <c r="C140" s="1749" t="s">
        <v>3</v>
      </c>
      <c r="D140" s="678">
        <v>10</v>
      </c>
      <c r="E140" s="1287">
        <v>381.1</v>
      </c>
      <c r="F140" s="678">
        <v>3811</v>
      </c>
      <c r="G140" s="1750" t="s">
        <v>6215</v>
      </c>
      <c r="H140" s="962" t="str">
        <f t="shared" si="5"/>
        <v>03110960a2</v>
      </c>
      <c r="I140" s="22">
        <v>132</v>
      </c>
      <c r="J140" s="4" t="str">
        <f t="shared" si="4"/>
        <v>1.132</v>
      </c>
    </row>
    <row r="141" spans="1:10" s="4" customFormat="1" ht="42.75">
      <c r="A141" s="1747" t="s">
        <v>160</v>
      </c>
      <c r="B141" s="1748" t="s">
        <v>1372</v>
      </c>
      <c r="C141" s="1749" t="s">
        <v>17</v>
      </c>
      <c r="D141" s="678">
        <v>10</v>
      </c>
      <c r="E141" s="1287">
        <v>777.18</v>
      </c>
      <c r="F141" s="678">
        <v>7771.8</v>
      </c>
      <c r="G141" s="1750" t="s">
        <v>6216</v>
      </c>
      <c r="H141" s="962" t="str">
        <f t="shared" si="5"/>
        <v>03110960b1</v>
      </c>
      <c r="I141" s="22">
        <v>133</v>
      </c>
      <c r="J141" s="4" t="str">
        <f t="shared" si="4"/>
        <v>1.133</v>
      </c>
    </row>
    <row r="142" spans="1:10" s="4" customFormat="1" ht="42.75">
      <c r="A142" s="1747" t="s">
        <v>161</v>
      </c>
      <c r="B142" s="1748" t="s">
        <v>1375</v>
      </c>
      <c r="C142" s="1749" t="s">
        <v>3</v>
      </c>
      <c r="D142" s="678">
        <v>10</v>
      </c>
      <c r="E142" s="1287">
        <v>460.56</v>
      </c>
      <c r="F142" s="678">
        <v>4605.6000000000004</v>
      </c>
      <c r="G142" s="1750" t="s">
        <v>6217</v>
      </c>
      <c r="H142" s="962" t="str">
        <f t="shared" si="5"/>
        <v>03110960b2</v>
      </c>
      <c r="I142" s="22">
        <v>134</v>
      </c>
      <c r="J142" s="4" t="str">
        <f t="shared" si="4"/>
        <v>1.134</v>
      </c>
    </row>
    <row r="143" spans="1:10" s="4" customFormat="1" ht="42.75">
      <c r="A143" s="1747" t="s">
        <v>162</v>
      </c>
      <c r="B143" s="1748" t="s">
        <v>1378</v>
      </c>
      <c r="C143" s="1749" t="s">
        <v>17</v>
      </c>
      <c r="D143" s="678">
        <v>10</v>
      </c>
      <c r="E143" s="1287">
        <v>902.77</v>
      </c>
      <c r="F143" s="678">
        <v>9027.7000000000007</v>
      </c>
      <c r="G143" s="1750" t="s">
        <v>6218</v>
      </c>
      <c r="H143" s="962" t="str">
        <f t="shared" si="5"/>
        <v>03110960c1</v>
      </c>
      <c r="I143" s="22">
        <v>135</v>
      </c>
      <c r="J143" s="4" t="str">
        <f t="shared" si="4"/>
        <v>1.135</v>
      </c>
    </row>
    <row r="144" spans="1:10" s="4" customFormat="1" ht="42.75">
      <c r="A144" s="1747" t="s">
        <v>163</v>
      </c>
      <c r="B144" s="1748" t="s">
        <v>3622</v>
      </c>
      <c r="C144" s="1749" t="s">
        <v>3</v>
      </c>
      <c r="D144" s="678">
        <v>10</v>
      </c>
      <c r="E144" s="1287">
        <v>535.96</v>
      </c>
      <c r="F144" s="678">
        <v>5359.6</v>
      </c>
      <c r="G144" s="1750" t="s">
        <v>6219</v>
      </c>
      <c r="H144" s="962" t="str">
        <f t="shared" si="5"/>
        <v>03110960c2</v>
      </c>
      <c r="I144" s="22">
        <v>136</v>
      </c>
      <c r="J144" s="4" t="str">
        <f t="shared" si="4"/>
        <v>1.136</v>
      </c>
    </row>
    <row r="145" spans="1:10" s="4" customFormat="1" ht="71.25">
      <c r="A145" s="1747" t="s">
        <v>164</v>
      </c>
      <c r="B145" s="1748" t="s">
        <v>3618</v>
      </c>
      <c r="C145" s="1749" t="s">
        <v>17</v>
      </c>
      <c r="D145" s="678">
        <v>10</v>
      </c>
      <c r="E145" s="1287">
        <v>807.53</v>
      </c>
      <c r="F145" s="678">
        <v>8075.3</v>
      </c>
      <c r="G145" s="1750" t="s">
        <v>6220</v>
      </c>
      <c r="H145" s="962" t="str">
        <f t="shared" si="5"/>
        <v>03110900a1</v>
      </c>
      <c r="I145" s="22">
        <v>137</v>
      </c>
      <c r="J145" s="4" t="str">
        <f t="shared" si="4"/>
        <v>1.137</v>
      </c>
    </row>
    <row r="146" spans="1:10" s="4" customFormat="1" ht="71.25">
      <c r="A146" s="1747" t="s">
        <v>165</v>
      </c>
      <c r="B146" s="1748" t="s">
        <v>3619</v>
      </c>
      <c r="C146" s="1749" t="s">
        <v>3</v>
      </c>
      <c r="D146" s="678">
        <v>10</v>
      </c>
      <c r="E146" s="1287">
        <v>474.69</v>
      </c>
      <c r="F146" s="678">
        <v>4746.8999999999996</v>
      </c>
      <c r="G146" s="1750" t="s">
        <v>6221</v>
      </c>
      <c r="H146" s="962" t="str">
        <f t="shared" si="5"/>
        <v>03110900a2</v>
      </c>
      <c r="I146" s="22">
        <v>138</v>
      </c>
      <c r="J146" s="4" t="str">
        <f t="shared" si="4"/>
        <v>1.138</v>
      </c>
    </row>
    <row r="147" spans="1:10" s="4" customFormat="1" ht="71.25">
      <c r="A147" s="1747" t="s">
        <v>166</v>
      </c>
      <c r="B147" s="1748" t="s">
        <v>5485</v>
      </c>
      <c r="C147" s="1749" t="s">
        <v>17</v>
      </c>
      <c r="D147" s="678">
        <v>10</v>
      </c>
      <c r="E147" s="1287">
        <v>991.49</v>
      </c>
      <c r="F147" s="678">
        <v>9914.9</v>
      </c>
      <c r="G147" s="1750" t="s">
        <v>6222</v>
      </c>
      <c r="H147" s="962" t="str">
        <f t="shared" si="5"/>
        <v>03110900b1</v>
      </c>
      <c r="I147" s="22">
        <v>139</v>
      </c>
      <c r="J147" s="4" t="str">
        <f t="shared" si="4"/>
        <v>1.139</v>
      </c>
    </row>
    <row r="148" spans="1:10" s="4" customFormat="1" ht="71.25">
      <c r="A148" s="1747" t="s">
        <v>167</v>
      </c>
      <c r="B148" s="1748" t="s">
        <v>3620</v>
      </c>
      <c r="C148" s="1749" t="s">
        <v>3</v>
      </c>
      <c r="D148" s="678">
        <v>10</v>
      </c>
      <c r="E148" s="1287">
        <v>576.92999999999995</v>
      </c>
      <c r="F148" s="678">
        <v>5769.3</v>
      </c>
      <c r="G148" s="1750" t="s">
        <v>6223</v>
      </c>
      <c r="H148" s="962" t="str">
        <f t="shared" si="5"/>
        <v>03110900b2</v>
      </c>
      <c r="I148" s="22">
        <v>140</v>
      </c>
      <c r="J148" s="4" t="str">
        <f t="shared" si="4"/>
        <v>1.140</v>
      </c>
    </row>
    <row r="149" spans="1:10" s="4" customFormat="1" ht="71.25">
      <c r="A149" s="1747" t="s">
        <v>168</v>
      </c>
      <c r="B149" s="1748" t="s">
        <v>3621</v>
      </c>
      <c r="C149" s="1749" t="s">
        <v>17</v>
      </c>
      <c r="D149" s="678">
        <v>10</v>
      </c>
      <c r="E149" s="1287">
        <v>1155.1400000000001</v>
      </c>
      <c r="F149" s="678">
        <v>11551.4</v>
      </c>
      <c r="G149" s="1750" t="s">
        <v>6224</v>
      </c>
      <c r="H149" s="962" t="str">
        <f t="shared" si="5"/>
        <v>03110900c1</v>
      </c>
      <c r="I149" s="22">
        <v>141</v>
      </c>
      <c r="J149" s="4" t="str">
        <f t="shared" si="4"/>
        <v>1.141</v>
      </c>
    </row>
    <row r="150" spans="1:10" s="4" customFormat="1" ht="71.25">
      <c r="A150" s="1747" t="s">
        <v>169</v>
      </c>
      <c r="B150" s="1748" t="s">
        <v>3622</v>
      </c>
      <c r="C150" s="1749" t="s">
        <v>3</v>
      </c>
      <c r="D150" s="678">
        <v>10</v>
      </c>
      <c r="E150" s="1287">
        <v>674</v>
      </c>
      <c r="F150" s="678">
        <v>6740</v>
      </c>
      <c r="G150" s="1750" t="s">
        <v>6225</v>
      </c>
      <c r="H150" s="962" t="str">
        <f t="shared" si="5"/>
        <v>03110900c2</v>
      </c>
      <c r="I150" s="22">
        <v>142</v>
      </c>
      <c r="J150" s="4" t="str">
        <f t="shared" si="4"/>
        <v>1.142</v>
      </c>
    </row>
    <row r="151" spans="1:10" s="4" customFormat="1" ht="42.75">
      <c r="A151" s="1747" t="s">
        <v>170</v>
      </c>
      <c r="B151" s="1748" t="s">
        <v>4551</v>
      </c>
      <c r="C151" s="1749" t="s">
        <v>17</v>
      </c>
      <c r="D151" s="678">
        <v>10</v>
      </c>
      <c r="E151" s="1287">
        <v>1302.43</v>
      </c>
      <c r="F151" s="678">
        <v>13024.3</v>
      </c>
      <c r="G151" s="1750" t="s">
        <v>6226</v>
      </c>
      <c r="H151" s="962" t="str">
        <f t="shared" si="5"/>
        <v>0311096Na1</v>
      </c>
      <c r="I151" s="22">
        <v>143</v>
      </c>
      <c r="J151" s="4" t="str">
        <f t="shared" si="4"/>
        <v>1.143</v>
      </c>
    </row>
    <row r="152" spans="1:10" s="4" customFormat="1" ht="42.75">
      <c r="A152" s="1747" t="s">
        <v>171</v>
      </c>
      <c r="B152" s="1748" t="s">
        <v>4553</v>
      </c>
      <c r="C152" s="1749" t="s">
        <v>3</v>
      </c>
      <c r="D152" s="678">
        <v>10</v>
      </c>
      <c r="E152" s="1287">
        <v>749.79</v>
      </c>
      <c r="F152" s="678">
        <v>7497.9</v>
      </c>
      <c r="G152" s="1750" t="s">
        <v>6227</v>
      </c>
      <c r="H152" s="962" t="str">
        <f t="shared" si="5"/>
        <v>0311096Na2</v>
      </c>
      <c r="I152" s="22">
        <v>144</v>
      </c>
      <c r="J152" s="4" t="str">
        <f t="shared" si="4"/>
        <v>1.144</v>
      </c>
    </row>
    <row r="153" spans="1:10" s="4" customFormat="1" ht="42.75">
      <c r="A153" s="1747" t="s">
        <v>172</v>
      </c>
      <c r="B153" s="1748" t="s">
        <v>4555</v>
      </c>
      <c r="C153" s="1749" t="s">
        <v>17</v>
      </c>
      <c r="D153" s="678">
        <v>10</v>
      </c>
      <c r="E153" s="1287">
        <v>1620.75</v>
      </c>
      <c r="F153" s="678">
        <v>16207.5</v>
      </c>
      <c r="G153" s="1750" t="s">
        <v>6228</v>
      </c>
      <c r="H153" s="962" t="str">
        <f t="shared" si="5"/>
        <v>0311096Nb1</v>
      </c>
      <c r="I153" s="22">
        <v>145</v>
      </c>
      <c r="J153" s="4" t="str">
        <f t="shared" si="4"/>
        <v>1.145</v>
      </c>
    </row>
    <row r="154" spans="1:10" s="4" customFormat="1" ht="42.75">
      <c r="A154" s="1747" t="s">
        <v>173</v>
      </c>
      <c r="B154" s="1748" t="s">
        <v>4557</v>
      </c>
      <c r="C154" s="1749" t="s">
        <v>3</v>
      </c>
      <c r="D154" s="678">
        <v>10</v>
      </c>
      <c r="E154" s="1287">
        <v>919.22</v>
      </c>
      <c r="F154" s="678">
        <v>9192.2000000000007</v>
      </c>
      <c r="G154" s="1750" t="s">
        <v>6229</v>
      </c>
      <c r="H154" s="962" t="str">
        <f t="shared" si="5"/>
        <v>0311096Nb2</v>
      </c>
      <c r="I154" s="22">
        <v>146</v>
      </c>
      <c r="J154" s="4" t="str">
        <f t="shared" si="4"/>
        <v>1.146</v>
      </c>
    </row>
    <row r="155" spans="1:10" s="4" customFormat="1" ht="42.75">
      <c r="A155" s="1747" t="s">
        <v>174</v>
      </c>
      <c r="B155" s="1748" t="s">
        <v>4559</v>
      </c>
      <c r="C155" s="1749" t="s">
        <v>17</v>
      </c>
      <c r="D155" s="678">
        <v>10</v>
      </c>
      <c r="E155" s="1287">
        <v>1896.28</v>
      </c>
      <c r="F155" s="678">
        <v>18962.8</v>
      </c>
      <c r="G155" s="1750" t="s">
        <v>6230</v>
      </c>
      <c r="H155" s="962" t="str">
        <f t="shared" si="5"/>
        <v>0311096NC1</v>
      </c>
      <c r="I155" s="22">
        <v>147</v>
      </c>
      <c r="J155" s="4" t="str">
        <f t="shared" si="4"/>
        <v>1.147</v>
      </c>
    </row>
    <row r="156" spans="1:10" s="4" customFormat="1" ht="42.75">
      <c r="A156" s="1747" t="s">
        <v>175</v>
      </c>
      <c r="B156" s="1748" t="s">
        <v>4561</v>
      </c>
      <c r="C156" s="1749" t="s">
        <v>3</v>
      </c>
      <c r="D156" s="678">
        <v>10</v>
      </c>
      <c r="E156" s="1287">
        <v>1079.29</v>
      </c>
      <c r="F156" s="678">
        <v>10792.9</v>
      </c>
      <c r="G156" s="1750" t="s">
        <v>6231</v>
      </c>
      <c r="H156" s="962" t="str">
        <f t="shared" si="5"/>
        <v>0311096NC2</v>
      </c>
      <c r="I156" s="22">
        <v>148</v>
      </c>
      <c r="J156" s="4" t="str">
        <f t="shared" si="4"/>
        <v>1.148</v>
      </c>
    </row>
    <row r="157" spans="1:10" s="4" customFormat="1" ht="42.75">
      <c r="A157" s="1747" t="s">
        <v>176</v>
      </c>
      <c r="B157" s="1748" t="s">
        <v>1472</v>
      </c>
      <c r="C157" s="1749" t="s">
        <v>4563</v>
      </c>
      <c r="D157" s="678">
        <v>10</v>
      </c>
      <c r="E157" s="1287">
        <v>265.76</v>
      </c>
      <c r="F157" s="678">
        <v>2657.6</v>
      </c>
      <c r="G157" s="1750" t="s">
        <v>6232</v>
      </c>
      <c r="H157" s="962" t="str">
        <f t="shared" si="5"/>
        <v>0311090012</v>
      </c>
      <c r="I157" s="22">
        <v>149</v>
      </c>
      <c r="J157" s="4" t="str">
        <f t="shared" si="4"/>
        <v>1.149</v>
      </c>
    </row>
    <row r="158" spans="1:10" s="4" customFormat="1" ht="42.75">
      <c r="A158" s="1747" t="s">
        <v>177</v>
      </c>
      <c r="B158" s="1748" t="s">
        <v>4565</v>
      </c>
      <c r="C158" s="1749" t="s">
        <v>4563</v>
      </c>
      <c r="D158" s="678">
        <v>10</v>
      </c>
      <c r="E158" s="1287">
        <v>484.53</v>
      </c>
      <c r="F158" s="678">
        <v>4845.3</v>
      </c>
      <c r="G158" s="1750" t="s">
        <v>6233</v>
      </c>
      <c r="H158" s="962" t="str">
        <f t="shared" si="5"/>
        <v>0311090n12</v>
      </c>
      <c r="I158" s="22">
        <v>150</v>
      </c>
      <c r="J158" s="4" t="str">
        <f t="shared" si="4"/>
        <v>1.150</v>
      </c>
    </row>
    <row r="159" spans="1:10" s="4" customFormat="1" ht="57">
      <c r="A159" s="1747" t="s">
        <v>178</v>
      </c>
      <c r="B159" s="1748" t="s">
        <v>513</v>
      </c>
      <c r="C159" s="1749" t="s">
        <v>18</v>
      </c>
      <c r="D159" s="678">
        <v>500</v>
      </c>
      <c r="E159" s="1287">
        <v>32.020000000000003</v>
      </c>
      <c r="F159" s="678">
        <v>16010</v>
      </c>
      <c r="G159" s="1750" t="s">
        <v>4952</v>
      </c>
      <c r="H159" s="962" t="str">
        <f t="shared" si="5"/>
        <v>0321040009</v>
      </c>
      <c r="I159" s="22">
        <v>151</v>
      </c>
      <c r="J159" s="4" t="str">
        <f t="shared" si="4"/>
        <v>1.151</v>
      </c>
    </row>
    <row r="160" spans="1:10" s="4" customFormat="1" ht="57">
      <c r="A160" s="1747" t="s">
        <v>179</v>
      </c>
      <c r="B160" s="1748" t="s">
        <v>1417</v>
      </c>
      <c r="C160" s="1749" t="s">
        <v>18</v>
      </c>
      <c r="D160" s="678">
        <v>500</v>
      </c>
      <c r="E160" s="1287">
        <v>31.63</v>
      </c>
      <c r="F160" s="678">
        <v>15815</v>
      </c>
      <c r="G160" s="1750" t="s">
        <v>6234</v>
      </c>
      <c r="H160" s="962" t="str">
        <f t="shared" si="5"/>
        <v>0321030009</v>
      </c>
      <c r="I160" s="22">
        <v>152</v>
      </c>
      <c r="J160" s="4" t="str">
        <f t="shared" si="4"/>
        <v>1.152</v>
      </c>
    </row>
    <row r="161" spans="1:10" s="4" customFormat="1" ht="42.75">
      <c r="A161" s="1747" t="s">
        <v>180</v>
      </c>
      <c r="B161" s="1748" t="s">
        <v>1420</v>
      </c>
      <c r="C161" s="1749" t="s">
        <v>18</v>
      </c>
      <c r="D161" s="678">
        <v>500</v>
      </c>
      <c r="E161" s="1287">
        <v>33.630000000000003</v>
      </c>
      <c r="F161" s="678">
        <v>16815</v>
      </c>
      <c r="G161" s="1750" t="s">
        <v>6235</v>
      </c>
      <c r="H161" s="962" t="str">
        <f t="shared" si="5"/>
        <v>0321050009</v>
      </c>
      <c r="I161" s="22">
        <v>153</v>
      </c>
      <c r="J161" s="4" t="str">
        <f t="shared" si="4"/>
        <v>1.153</v>
      </c>
    </row>
    <row r="162" spans="1:10" s="4" customFormat="1" ht="42.75">
      <c r="A162" s="1747" t="s">
        <v>181</v>
      </c>
      <c r="B162" s="1748" t="s">
        <v>1425</v>
      </c>
      <c r="C162" s="1749" t="s">
        <v>18</v>
      </c>
      <c r="D162" s="678">
        <v>500</v>
      </c>
      <c r="E162" s="1287">
        <v>33.83</v>
      </c>
      <c r="F162" s="678">
        <v>16915</v>
      </c>
      <c r="G162" s="1750" t="s">
        <v>6236</v>
      </c>
      <c r="H162" s="962" t="str">
        <f t="shared" si="5"/>
        <v>0321060009</v>
      </c>
      <c r="I162" s="22">
        <v>154</v>
      </c>
      <c r="J162" s="4" t="str">
        <f t="shared" si="4"/>
        <v>1.154</v>
      </c>
    </row>
    <row r="163" spans="1:10" s="4" customFormat="1" ht="99.75">
      <c r="A163" s="1747" t="s">
        <v>182</v>
      </c>
      <c r="B163" s="1748" t="s">
        <v>3629</v>
      </c>
      <c r="C163" s="1749" t="s">
        <v>18</v>
      </c>
      <c r="D163" s="678">
        <v>500</v>
      </c>
      <c r="E163" s="1287">
        <v>34.520000000000003</v>
      </c>
      <c r="F163" s="678">
        <v>17260</v>
      </c>
      <c r="G163" s="1750" t="s">
        <v>6237</v>
      </c>
      <c r="H163" s="962" t="str">
        <f t="shared" si="5"/>
        <v>0321031009</v>
      </c>
      <c r="I163" s="22">
        <v>155</v>
      </c>
      <c r="J163" s="4" t="str">
        <f t="shared" si="4"/>
        <v>1.155</v>
      </c>
    </row>
    <row r="164" spans="1:10" s="4" customFormat="1" ht="99.75">
      <c r="A164" s="1747" t="s">
        <v>183</v>
      </c>
      <c r="B164" s="1748" t="s">
        <v>2939</v>
      </c>
      <c r="C164" s="1749" t="s">
        <v>18</v>
      </c>
      <c r="D164" s="678">
        <v>500</v>
      </c>
      <c r="E164" s="1287">
        <v>34.9</v>
      </c>
      <c r="F164" s="678">
        <v>17450</v>
      </c>
      <c r="G164" s="1750" t="s">
        <v>6238</v>
      </c>
      <c r="H164" s="962" t="str">
        <f t="shared" si="5"/>
        <v>0321041009</v>
      </c>
      <c r="I164" s="22">
        <v>156</v>
      </c>
      <c r="J164" s="4" t="str">
        <f t="shared" si="4"/>
        <v>1.156</v>
      </c>
    </row>
    <row r="165" spans="1:10" s="4" customFormat="1" ht="71.25">
      <c r="A165" s="1747" t="s">
        <v>184</v>
      </c>
      <c r="B165" s="1748" t="s">
        <v>3630</v>
      </c>
      <c r="C165" s="1749" t="s">
        <v>18</v>
      </c>
      <c r="D165" s="678">
        <v>500</v>
      </c>
      <c r="E165" s="1287">
        <v>36.409999999999997</v>
      </c>
      <c r="F165" s="678">
        <v>18205</v>
      </c>
      <c r="G165" s="1750" t="s">
        <v>6239</v>
      </c>
      <c r="H165" s="962" t="str">
        <f t="shared" si="5"/>
        <v>0321051009</v>
      </c>
      <c r="I165" s="22">
        <v>157</v>
      </c>
      <c r="J165" s="4" t="str">
        <f t="shared" si="4"/>
        <v>1.157</v>
      </c>
    </row>
    <row r="166" spans="1:10" s="4" customFormat="1" ht="71.25">
      <c r="A166" s="1747" t="s">
        <v>185</v>
      </c>
      <c r="B166" s="1748" t="s">
        <v>2940</v>
      </c>
      <c r="C166" s="1749" t="s">
        <v>18</v>
      </c>
      <c r="D166" s="678">
        <v>500</v>
      </c>
      <c r="E166" s="1287">
        <v>36.61</v>
      </c>
      <c r="F166" s="678">
        <v>18305</v>
      </c>
      <c r="G166" s="1750" t="s">
        <v>6240</v>
      </c>
      <c r="H166" s="962" t="str">
        <f t="shared" si="5"/>
        <v>0321061009</v>
      </c>
      <c r="I166" s="22">
        <v>158</v>
      </c>
      <c r="J166" s="4" t="str">
        <f t="shared" si="4"/>
        <v>1.158</v>
      </c>
    </row>
    <row r="167" spans="1:10" s="4" customFormat="1" ht="57">
      <c r="A167" s="1747" t="s">
        <v>186</v>
      </c>
      <c r="B167" s="1748" t="s">
        <v>4575</v>
      </c>
      <c r="C167" s="1749" t="s">
        <v>18</v>
      </c>
      <c r="D167" s="678">
        <v>500</v>
      </c>
      <c r="E167" s="1287">
        <v>43.39</v>
      </c>
      <c r="F167" s="678">
        <v>21695</v>
      </c>
      <c r="G167" s="1750" t="s">
        <v>6241</v>
      </c>
      <c r="H167" s="962" t="str">
        <f t="shared" si="5"/>
        <v>03210400N9</v>
      </c>
      <c r="I167" s="22">
        <v>159</v>
      </c>
      <c r="J167" s="4" t="str">
        <f t="shared" si="4"/>
        <v>1.159</v>
      </c>
    </row>
    <row r="168" spans="1:10" s="4" customFormat="1" ht="42.75">
      <c r="A168" s="1747" t="s">
        <v>187</v>
      </c>
      <c r="B168" s="1748" t="s">
        <v>4577</v>
      </c>
      <c r="C168" s="1749" t="s">
        <v>18</v>
      </c>
      <c r="D168" s="678">
        <v>500</v>
      </c>
      <c r="E168" s="1287">
        <v>44.77</v>
      </c>
      <c r="F168" s="678">
        <v>22385</v>
      </c>
      <c r="G168" s="1750" t="s">
        <v>6242</v>
      </c>
      <c r="H168" s="962" t="str">
        <f t="shared" si="5"/>
        <v>03210600N9</v>
      </c>
      <c r="I168" s="22">
        <v>160</v>
      </c>
      <c r="J168" s="4" t="str">
        <f t="shared" si="4"/>
        <v>1.160</v>
      </c>
    </row>
    <row r="169" spans="1:10" s="4" customFormat="1" ht="42.75">
      <c r="A169" s="1747" t="s">
        <v>188</v>
      </c>
      <c r="B169" s="1748" t="s">
        <v>1437</v>
      </c>
      <c r="C169" s="1749" t="s">
        <v>18</v>
      </c>
      <c r="D169" s="678">
        <v>50</v>
      </c>
      <c r="E169" s="1287">
        <v>35.44</v>
      </c>
      <c r="F169" s="678">
        <v>1772</v>
      </c>
      <c r="G169" s="1750" t="s">
        <v>6243</v>
      </c>
      <c r="H169" s="962" t="str">
        <f t="shared" si="5"/>
        <v>05500R1009</v>
      </c>
      <c r="I169" s="22">
        <v>161</v>
      </c>
      <c r="J169" s="4" t="str">
        <f t="shared" si="4"/>
        <v>1.161</v>
      </c>
    </row>
    <row r="170" spans="1:10" s="4" customFormat="1" ht="28.5">
      <c r="A170" s="1747" t="s">
        <v>189</v>
      </c>
      <c r="B170" s="1748" t="s">
        <v>1445</v>
      </c>
      <c r="C170" s="1749" t="s">
        <v>18</v>
      </c>
      <c r="D170" s="678">
        <v>50</v>
      </c>
      <c r="E170" s="1287">
        <v>21.92</v>
      </c>
      <c r="F170" s="678">
        <v>1096</v>
      </c>
      <c r="G170" s="1750" t="s">
        <v>1446</v>
      </c>
      <c r="H170" s="962" t="str">
        <f t="shared" si="5"/>
        <v>0550011009</v>
      </c>
      <c r="I170" s="22">
        <v>162</v>
      </c>
      <c r="J170" s="4" t="str">
        <f t="shared" si="4"/>
        <v>1.162</v>
      </c>
    </row>
    <row r="171" spans="1:10" s="4" customFormat="1" ht="28.5">
      <c r="A171" s="1747" t="s">
        <v>190</v>
      </c>
      <c r="B171" s="1748" t="s">
        <v>2049</v>
      </c>
      <c r="C171" s="1749" t="s">
        <v>18</v>
      </c>
      <c r="D171" s="678">
        <v>200</v>
      </c>
      <c r="E171" s="1287">
        <v>31.88</v>
      </c>
      <c r="F171" s="678">
        <v>6376</v>
      </c>
      <c r="G171" s="1750" t="s">
        <v>2050</v>
      </c>
      <c r="H171" s="962" t="str">
        <f t="shared" si="5"/>
        <v>M0550010009</v>
      </c>
      <c r="I171" s="22">
        <v>163</v>
      </c>
      <c r="J171" s="4" t="str">
        <f t="shared" si="4"/>
        <v>1.163</v>
      </c>
    </row>
    <row r="172" spans="1:10" s="4" customFormat="1" ht="42.75">
      <c r="A172" s="1747" t="s">
        <v>191</v>
      </c>
      <c r="B172" s="1748" t="s">
        <v>1448</v>
      </c>
      <c r="C172" s="1749" t="s">
        <v>18</v>
      </c>
      <c r="D172" s="678">
        <v>10</v>
      </c>
      <c r="E172" s="1287">
        <v>277.05</v>
      </c>
      <c r="F172" s="678">
        <v>2770.5</v>
      </c>
      <c r="G172" s="1750" t="s">
        <v>6244</v>
      </c>
      <c r="H172" s="962" t="str">
        <f t="shared" si="5"/>
        <v>05500Pc009</v>
      </c>
      <c r="I172" s="22">
        <v>164</v>
      </c>
      <c r="J172" s="4" t="str">
        <f t="shared" si="4"/>
        <v>1.164</v>
      </c>
    </row>
    <row r="173" spans="1:10" s="4" customFormat="1" ht="42.75">
      <c r="A173" s="1747" t="s">
        <v>192</v>
      </c>
      <c r="B173" s="1748" t="s">
        <v>1455</v>
      </c>
      <c r="C173" s="1749" t="s">
        <v>18</v>
      </c>
      <c r="D173" s="678">
        <v>10</v>
      </c>
      <c r="E173" s="1287">
        <v>318.08</v>
      </c>
      <c r="F173" s="678">
        <v>3180.8</v>
      </c>
      <c r="G173" s="1750" t="s">
        <v>6245</v>
      </c>
      <c r="H173" s="962" t="str">
        <f t="shared" si="5"/>
        <v>05500Pd009</v>
      </c>
      <c r="I173" s="22">
        <v>165</v>
      </c>
      <c r="J173" s="4" t="str">
        <f t="shared" si="4"/>
        <v>1.165</v>
      </c>
    </row>
    <row r="174" spans="1:10" s="4" customFormat="1" ht="31.5">
      <c r="A174" s="1747" t="s">
        <v>193</v>
      </c>
      <c r="B174" s="1748" t="s">
        <v>3122</v>
      </c>
      <c r="C174" s="1749" t="s">
        <v>3</v>
      </c>
      <c r="D174" s="678">
        <v>20</v>
      </c>
      <c r="E174" s="1287">
        <v>78.7</v>
      </c>
      <c r="F174" s="678">
        <v>1574</v>
      </c>
      <c r="G174" s="1750" t="s">
        <v>3123</v>
      </c>
      <c r="H174" s="962" t="str">
        <f t="shared" si="5"/>
        <v>06050100F1</v>
      </c>
      <c r="I174" s="22">
        <v>166</v>
      </c>
      <c r="J174" s="4" t="str">
        <f t="shared" si="4"/>
        <v>1.166</v>
      </c>
    </row>
    <row r="175" spans="1:10" s="4" customFormat="1" ht="31.5">
      <c r="A175" s="1747" t="s">
        <v>194</v>
      </c>
      <c r="B175" s="1748" t="s">
        <v>3124</v>
      </c>
      <c r="C175" s="1749" t="s">
        <v>3</v>
      </c>
      <c r="D175" s="678">
        <v>20</v>
      </c>
      <c r="E175" s="1287">
        <v>87.67</v>
      </c>
      <c r="F175" s="678">
        <v>1753.4</v>
      </c>
      <c r="G175" s="1750" t="s">
        <v>3125</v>
      </c>
      <c r="H175" s="962" t="str">
        <f t="shared" si="5"/>
        <v>M0322004732</v>
      </c>
      <c r="I175" s="22">
        <v>167</v>
      </c>
      <c r="J175" s="4" t="str">
        <f t="shared" si="4"/>
        <v>1.167</v>
      </c>
    </row>
    <row r="176" spans="1:10" s="4" customFormat="1" ht="42.75">
      <c r="A176" s="1747" t="s">
        <v>195</v>
      </c>
      <c r="B176" s="1748" t="s">
        <v>1460</v>
      </c>
      <c r="C176" s="1749" t="s">
        <v>3</v>
      </c>
      <c r="D176" s="678">
        <v>5</v>
      </c>
      <c r="E176" s="1287">
        <v>865.64</v>
      </c>
      <c r="F176" s="678">
        <v>4328.2</v>
      </c>
      <c r="G176" s="1750" t="s">
        <v>6246</v>
      </c>
      <c r="H176" s="962" t="str">
        <f t="shared" si="5"/>
        <v>03110700h2</v>
      </c>
      <c r="I176" s="22">
        <v>168</v>
      </c>
      <c r="J176" s="4" t="str">
        <f t="shared" si="4"/>
        <v>1.168</v>
      </c>
    </row>
    <row r="177" spans="1:10" s="4" customFormat="1" ht="42.75">
      <c r="A177" s="1747" t="s">
        <v>196</v>
      </c>
      <c r="B177" s="1748" t="s">
        <v>1469</v>
      </c>
      <c r="C177" s="1749" t="s">
        <v>3</v>
      </c>
      <c r="D177" s="678">
        <v>5</v>
      </c>
      <c r="E177" s="1287">
        <v>1510.23</v>
      </c>
      <c r="F177" s="678">
        <v>7551.15</v>
      </c>
      <c r="G177" s="1750" t="s">
        <v>6247</v>
      </c>
      <c r="H177" s="962" t="str">
        <f t="shared" si="5"/>
        <v>03110700J2</v>
      </c>
      <c r="I177" s="22">
        <v>169</v>
      </c>
      <c r="J177" s="4" t="str">
        <f t="shared" si="4"/>
        <v>1.169</v>
      </c>
    </row>
    <row r="178" spans="1:10" s="4" customFormat="1" ht="42.75">
      <c r="A178" s="1747" t="s">
        <v>197</v>
      </c>
      <c r="B178" s="1748" t="s">
        <v>1472</v>
      </c>
      <c r="C178" s="1749" t="s">
        <v>4563</v>
      </c>
      <c r="D178" s="678">
        <v>5</v>
      </c>
      <c r="E178" s="1287">
        <v>265.76</v>
      </c>
      <c r="F178" s="678">
        <v>1328.8</v>
      </c>
      <c r="G178" s="1750" t="s">
        <v>6232</v>
      </c>
      <c r="H178" s="962" t="str">
        <f t="shared" si="5"/>
        <v>0311090012</v>
      </c>
      <c r="I178" s="22">
        <v>170</v>
      </c>
      <c r="J178" s="4" t="str">
        <f t="shared" si="4"/>
        <v>1.170</v>
      </c>
    </row>
    <row r="179" spans="1:10" s="4" customFormat="1" ht="31.5">
      <c r="A179" s="1747" t="s">
        <v>198</v>
      </c>
      <c r="B179" s="1748" t="s">
        <v>2817</v>
      </c>
      <c r="C179" s="1749" t="s">
        <v>2335</v>
      </c>
      <c r="D179" s="678">
        <v>10</v>
      </c>
      <c r="E179" s="1287">
        <v>39.85</v>
      </c>
      <c r="F179" s="678">
        <v>398.5</v>
      </c>
      <c r="G179" s="1750" t="s">
        <v>3129</v>
      </c>
      <c r="H179" s="962" t="str">
        <f t="shared" si="5"/>
        <v>032100E2GB</v>
      </c>
      <c r="I179" s="22">
        <v>171</v>
      </c>
      <c r="J179" s="4" t="str">
        <f t="shared" si="4"/>
        <v>1.171</v>
      </c>
    </row>
    <row r="180" spans="1:10" s="4" customFormat="1" ht="31.5">
      <c r="A180" s="1747" t="s">
        <v>199</v>
      </c>
      <c r="B180" s="1748" t="s">
        <v>3130</v>
      </c>
      <c r="C180" s="1749" t="s">
        <v>2335</v>
      </c>
      <c r="D180" s="678">
        <v>10</v>
      </c>
      <c r="E180" s="1287">
        <v>51.8</v>
      </c>
      <c r="F180" s="678">
        <v>518</v>
      </c>
      <c r="G180" s="1750" t="s">
        <v>3131</v>
      </c>
      <c r="H180" s="962" t="str">
        <f t="shared" si="5"/>
        <v>032100E3GB</v>
      </c>
      <c r="I180" s="22">
        <v>172</v>
      </c>
      <c r="J180" s="4" t="str">
        <f t="shared" si="4"/>
        <v>1.172</v>
      </c>
    </row>
    <row r="181" spans="1:10" s="4" customFormat="1" ht="31.5">
      <c r="A181" s="1747" t="s">
        <v>200</v>
      </c>
      <c r="B181" s="1748" t="s">
        <v>3132</v>
      </c>
      <c r="C181" s="1749" t="s">
        <v>2335</v>
      </c>
      <c r="D181" s="678">
        <v>10</v>
      </c>
      <c r="E181" s="1287">
        <v>94.64</v>
      </c>
      <c r="F181" s="678">
        <v>946.4</v>
      </c>
      <c r="G181" s="1750" t="s">
        <v>3133</v>
      </c>
      <c r="H181" s="962" t="str">
        <f t="shared" si="5"/>
        <v>032100E4GB</v>
      </c>
      <c r="I181" s="22">
        <v>173</v>
      </c>
      <c r="J181" s="4" t="str">
        <f t="shared" si="4"/>
        <v>1.173</v>
      </c>
    </row>
    <row r="182" spans="1:10" s="4" customFormat="1" ht="31.5">
      <c r="A182" s="1747" t="s">
        <v>201</v>
      </c>
      <c r="B182" s="1748" t="s">
        <v>3134</v>
      </c>
      <c r="C182" s="1749" t="s">
        <v>2335</v>
      </c>
      <c r="D182" s="678">
        <v>10</v>
      </c>
      <c r="E182" s="1287">
        <v>184.3</v>
      </c>
      <c r="F182" s="678">
        <v>1843</v>
      </c>
      <c r="G182" s="1750" t="s">
        <v>3135</v>
      </c>
      <c r="H182" s="962" t="str">
        <f t="shared" si="5"/>
        <v>032100E5GB</v>
      </c>
      <c r="I182" s="22">
        <v>174</v>
      </c>
      <c r="J182" s="4" t="str">
        <f t="shared" si="4"/>
        <v>1.174</v>
      </c>
    </row>
    <row r="183" spans="1:10" s="4" customFormat="1" ht="31.5">
      <c r="A183" s="1747" t="s">
        <v>202</v>
      </c>
      <c r="B183" s="1748" t="s">
        <v>3136</v>
      </c>
      <c r="C183" s="1749" t="s">
        <v>2335</v>
      </c>
      <c r="D183" s="678">
        <v>10</v>
      </c>
      <c r="E183" s="1287">
        <v>293.88</v>
      </c>
      <c r="F183" s="678">
        <v>2938.8</v>
      </c>
      <c r="G183" s="1750" t="s">
        <v>3137</v>
      </c>
      <c r="H183" s="962" t="str">
        <f t="shared" si="5"/>
        <v>032100E6GB</v>
      </c>
      <c r="I183" s="22">
        <v>175</v>
      </c>
      <c r="J183" s="4" t="str">
        <f t="shared" si="4"/>
        <v>1.175</v>
      </c>
    </row>
    <row r="184" spans="1:10" s="4" customFormat="1" ht="31.5">
      <c r="A184" s="1747" t="s">
        <v>203</v>
      </c>
      <c r="B184" s="1748" t="s">
        <v>3138</v>
      </c>
      <c r="C184" s="1749" t="s">
        <v>2335</v>
      </c>
      <c r="D184" s="678">
        <v>10</v>
      </c>
      <c r="E184" s="1287">
        <v>433.36</v>
      </c>
      <c r="F184" s="678">
        <v>4333.6000000000004</v>
      </c>
      <c r="G184" s="1750" t="s">
        <v>3139</v>
      </c>
      <c r="H184" s="962" t="str">
        <f t="shared" si="5"/>
        <v>032100E7GB</v>
      </c>
      <c r="I184" s="22">
        <v>176</v>
      </c>
      <c r="J184" s="4" t="str">
        <f t="shared" si="4"/>
        <v>1.176</v>
      </c>
    </row>
    <row r="185" spans="1:10" s="4" customFormat="1" ht="71.25">
      <c r="A185" s="1747" t="s">
        <v>204</v>
      </c>
      <c r="B185" s="1748" t="s">
        <v>1475</v>
      </c>
      <c r="C185" s="1749" t="s">
        <v>17</v>
      </c>
      <c r="D185" s="678">
        <v>5</v>
      </c>
      <c r="E185" s="1287">
        <v>1568.58</v>
      </c>
      <c r="F185" s="678">
        <v>7842.9</v>
      </c>
      <c r="G185" s="1750" t="s">
        <v>6248</v>
      </c>
      <c r="H185" s="962" t="str">
        <f t="shared" si="5"/>
        <v>02472PWD02301</v>
      </c>
      <c r="I185" s="22">
        <v>177</v>
      </c>
      <c r="J185" s="4" t="str">
        <f t="shared" si="4"/>
        <v>1.177</v>
      </c>
    </row>
    <row r="186" spans="1:10" s="4" customFormat="1" ht="71.25">
      <c r="A186" s="1747" t="s">
        <v>205</v>
      </c>
      <c r="B186" s="1748" t="s">
        <v>1484</v>
      </c>
      <c r="C186" s="1749" t="s">
        <v>17</v>
      </c>
      <c r="D186" s="678">
        <v>5</v>
      </c>
      <c r="E186" s="1287">
        <v>1923.37</v>
      </c>
      <c r="F186" s="678">
        <v>9616.85</v>
      </c>
      <c r="G186" s="1750" t="s">
        <v>6249</v>
      </c>
      <c r="H186" s="962" t="str">
        <f t="shared" si="5"/>
        <v>02472PWD03301</v>
      </c>
      <c r="I186" s="22">
        <v>178</v>
      </c>
      <c r="J186" s="4" t="str">
        <f t="shared" si="4"/>
        <v>1.178</v>
      </c>
    </row>
    <row r="187" spans="1:10" s="4" customFormat="1" ht="71.25">
      <c r="A187" s="1747" t="s">
        <v>206</v>
      </c>
      <c r="B187" s="1748" t="s">
        <v>1489</v>
      </c>
      <c r="C187" s="1749" t="s">
        <v>17</v>
      </c>
      <c r="D187" s="678">
        <v>5</v>
      </c>
      <c r="E187" s="1287">
        <v>2243.77</v>
      </c>
      <c r="F187" s="678">
        <v>11218.85</v>
      </c>
      <c r="G187" s="1750" t="s">
        <v>6250</v>
      </c>
      <c r="H187" s="962" t="str">
        <f t="shared" si="5"/>
        <v>02472PWD04301</v>
      </c>
      <c r="I187" s="22">
        <v>179</v>
      </c>
      <c r="J187" s="4" t="str">
        <f t="shared" si="4"/>
        <v>1.179</v>
      </c>
    </row>
    <row r="188" spans="1:10" s="4" customFormat="1" ht="63">
      <c r="A188" s="1747" t="s">
        <v>207</v>
      </c>
      <c r="B188" s="1748" t="s">
        <v>1494</v>
      </c>
      <c r="C188" s="1749" t="s">
        <v>17</v>
      </c>
      <c r="D188" s="678">
        <v>10</v>
      </c>
      <c r="E188" s="1287">
        <v>1521.05</v>
      </c>
      <c r="F188" s="678">
        <v>15210.5</v>
      </c>
      <c r="G188" s="1750" t="s">
        <v>6251</v>
      </c>
      <c r="H188" s="962" t="str">
        <f t="shared" si="5"/>
        <v>0225514811</v>
      </c>
      <c r="I188" s="22">
        <v>180</v>
      </c>
      <c r="J188" s="4" t="str">
        <f t="shared" si="4"/>
        <v>1.180</v>
      </c>
    </row>
    <row r="189" spans="1:10" s="4" customFormat="1" ht="63">
      <c r="A189" s="1747" t="s">
        <v>208</v>
      </c>
      <c r="B189" s="1748" t="s">
        <v>1508</v>
      </c>
      <c r="C189" s="1749" t="s">
        <v>17</v>
      </c>
      <c r="D189" s="678">
        <v>10</v>
      </c>
      <c r="E189" s="1287">
        <v>1219.23</v>
      </c>
      <c r="F189" s="678">
        <v>12192.3</v>
      </c>
      <c r="G189" s="1750" t="s">
        <v>6252</v>
      </c>
      <c r="H189" s="962" t="str">
        <f t="shared" si="5"/>
        <v>0225513611</v>
      </c>
      <c r="I189" s="22">
        <v>181</v>
      </c>
      <c r="J189" s="4" t="str">
        <f t="shared" si="4"/>
        <v>1.181</v>
      </c>
    </row>
    <row r="190" spans="1:10" s="4" customFormat="1" ht="63">
      <c r="A190" s="1747" t="s">
        <v>209</v>
      </c>
      <c r="B190" s="1748" t="s">
        <v>1513</v>
      </c>
      <c r="C190" s="1749" t="s">
        <v>17</v>
      </c>
      <c r="D190" s="678">
        <v>20</v>
      </c>
      <c r="E190" s="1287">
        <v>922.95</v>
      </c>
      <c r="F190" s="678">
        <v>18459</v>
      </c>
      <c r="G190" s="1750" t="s">
        <v>6253</v>
      </c>
      <c r="H190" s="962" t="str">
        <f t="shared" si="5"/>
        <v>0225512711</v>
      </c>
      <c r="I190" s="22">
        <v>182</v>
      </c>
      <c r="J190" s="4" t="str">
        <f t="shared" si="4"/>
        <v>1.182</v>
      </c>
    </row>
    <row r="191" spans="1:10" s="4" customFormat="1" ht="42.75">
      <c r="A191" s="1747" t="s">
        <v>210</v>
      </c>
      <c r="B191" s="1748" t="s">
        <v>1518</v>
      </c>
      <c r="C191" s="1749" t="s">
        <v>17</v>
      </c>
      <c r="D191" s="678">
        <v>5</v>
      </c>
      <c r="E191" s="1287">
        <v>3078.32</v>
      </c>
      <c r="F191" s="678">
        <v>15391.6</v>
      </c>
      <c r="G191" s="1750" t="s">
        <v>6254</v>
      </c>
      <c r="H191" s="962" t="str">
        <f t="shared" si="5"/>
        <v>0225630001</v>
      </c>
      <c r="I191" s="22">
        <v>183</v>
      </c>
      <c r="J191" s="4" t="str">
        <f t="shared" si="4"/>
        <v>1.183</v>
      </c>
    </row>
    <row r="192" spans="1:10" s="4" customFormat="1" ht="47.25">
      <c r="A192" s="1747" t="s">
        <v>211</v>
      </c>
      <c r="B192" s="1748" t="s">
        <v>1525</v>
      </c>
      <c r="C192" s="1749" t="s">
        <v>3</v>
      </c>
      <c r="D192" s="678">
        <v>5</v>
      </c>
      <c r="E192" s="1287">
        <v>634.26</v>
      </c>
      <c r="F192" s="678">
        <v>3171.3</v>
      </c>
      <c r="G192" s="1750" t="s">
        <v>6255</v>
      </c>
      <c r="H192" s="962" t="str">
        <f t="shared" si="5"/>
        <v>0225620022</v>
      </c>
      <c r="I192" s="22">
        <v>184</v>
      </c>
      <c r="J192" s="4" t="str">
        <f t="shared" si="4"/>
        <v>1.184</v>
      </c>
    </row>
    <row r="193" spans="1:10" s="4" customFormat="1" ht="47.25">
      <c r="A193" s="1747" t="s">
        <v>212</v>
      </c>
      <c r="B193" s="1748" t="s">
        <v>1533</v>
      </c>
      <c r="C193" s="1749" t="s">
        <v>17</v>
      </c>
      <c r="D193" s="678">
        <v>2</v>
      </c>
      <c r="E193" s="1287">
        <v>2344.66</v>
      </c>
      <c r="F193" s="678">
        <v>4689.32</v>
      </c>
      <c r="G193" s="1750" t="s">
        <v>6256</v>
      </c>
      <c r="H193" s="962" t="str">
        <f t="shared" si="5"/>
        <v>0225540321</v>
      </c>
      <c r="I193" s="22">
        <v>185</v>
      </c>
      <c r="J193" s="4" t="str">
        <f t="shared" si="4"/>
        <v>1.185</v>
      </c>
    </row>
    <row r="194" spans="1:10" s="4" customFormat="1" ht="47.25">
      <c r="A194" s="1747" t="s">
        <v>213</v>
      </c>
      <c r="B194" s="1748" t="s">
        <v>1543</v>
      </c>
      <c r="C194" s="1749" t="s">
        <v>17</v>
      </c>
      <c r="D194" s="678">
        <v>2</v>
      </c>
      <c r="E194" s="1287">
        <v>2606.31</v>
      </c>
      <c r="F194" s="678">
        <v>5212.62</v>
      </c>
      <c r="G194" s="1750" t="s">
        <v>6257</v>
      </c>
      <c r="H194" s="962" t="str">
        <f t="shared" si="5"/>
        <v>0225540121</v>
      </c>
      <c r="I194" s="22">
        <v>186</v>
      </c>
      <c r="J194" s="4" t="str">
        <f t="shared" ref="J194:J257" si="6">A194</f>
        <v>1.186</v>
      </c>
    </row>
    <row r="195" spans="1:10" s="4" customFormat="1" ht="47.25">
      <c r="A195" s="1747" t="s">
        <v>214</v>
      </c>
      <c r="B195" s="1748" t="s">
        <v>1550</v>
      </c>
      <c r="C195" s="1749" t="s">
        <v>17</v>
      </c>
      <c r="D195" s="678">
        <v>2</v>
      </c>
      <c r="E195" s="1287">
        <v>2773.04</v>
      </c>
      <c r="F195" s="678">
        <v>5546.08</v>
      </c>
      <c r="G195" s="1750" t="s">
        <v>6258</v>
      </c>
      <c r="H195" s="962" t="str">
        <f t="shared" si="5"/>
        <v>0225540621</v>
      </c>
      <c r="I195" s="22">
        <v>187</v>
      </c>
      <c r="J195" s="4" t="str">
        <f t="shared" si="6"/>
        <v>1.187</v>
      </c>
    </row>
    <row r="196" spans="1:10" s="4" customFormat="1" ht="47.25">
      <c r="A196" s="1747" t="s">
        <v>215</v>
      </c>
      <c r="B196" s="1748" t="s">
        <v>1557</v>
      </c>
      <c r="C196" s="1749" t="s">
        <v>17</v>
      </c>
      <c r="D196" s="678">
        <v>2</v>
      </c>
      <c r="E196" s="1287">
        <v>3899.19</v>
      </c>
      <c r="F196" s="678">
        <v>7798.38</v>
      </c>
      <c r="G196" s="1750" t="s">
        <v>6259</v>
      </c>
      <c r="H196" s="962" t="str">
        <f t="shared" si="5"/>
        <v>0225540921</v>
      </c>
      <c r="I196" s="22">
        <v>188</v>
      </c>
      <c r="J196" s="4" t="str">
        <f t="shared" si="6"/>
        <v>1.188</v>
      </c>
    </row>
    <row r="197" spans="1:10" s="4" customFormat="1" ht="47.25">
      <c r="A197" s="1747" t="s">
        <v>216</v>
      </c>
      <c r="B197" s="1748" t="s">
        <v>1564</v>
      </c>
      <c r="C197" s="1749" t="s">
        <v>17</v>
      </c>
      <c r="D197" s="678">
        <v>2</v>
      </c>
      <c r="E197" s="1287">
        <v>5702.59</v>
      </c>
      <c r="F197" s="678">
        <v>11405.18</v>
      </c>
      <c r="G197" s="1750" t="s">
        <v>6260</v>
      </c>
      <c r="H197" s="962" t="str">
        <f t="shared" si="5"/>
        <v>0225540D21</v>
      </c>
      <c r="I197" s="22">
        <v>189</v>
      </c>
      <c r="J197" s="4" t="str">
        <f t="shared" si="6"/>
        <v>1.189</v>
      </c>
    </row>
    <row r="198" spans="1:10" s="4" customFormat="1" ht="47.25">
      <c r="A198" s="1747" t="s">
        <v>217</v>
      </c>
      <c r="B198" s="1748" t="s">
        <v>1571</v>
      </c>
      <c r="C198" s="1749" t="s">
        <v>17</v>
      </c>
      <c r="D198" s="678">
        <v>2</v>
      </c>
      <c r="E198" s="1287">
        <v>8939.93</v>
      </c>
      <c r="F198" s="678">
        <v>17879.86</v>
      </c>
      <c r="G198" s="1750" t="s">
        <v>6261</v>
      </c>
      <c r="H198" s="962" t="str">
        <f t="shared" si="5"/>
        <v>0225540G21</v>
      </c>
      <c r="I198" s="22">
        <v>190</v>
      </c>
      <c r="J198" s="4" t="str">
        <f t="shared" si="6"/>
        <v>1.190</v>
      </c>
    </row>
    <row r="199" spans="1:10" s="4" customFormat="1" ht="42.75">
      <c r="A199" s="1747" t="s">
        <v>218</v>
      </c>
      <c r="B199" s="1748" t="s">
        <v>1578</v>
      </c>
      <c r="C199" s="1749" t="s">
        <v>17</v>
      </c>
      <c r="D199" s="678">
        <v>10</v>
      </c>
      <c r="E199" s="1287">
        <v>169.3</v>
      </c>
      <c r="F199" s="678">
        <v>1693</v>
      </c>
      <c r="G199" s="1750" t="s">
        <v>6262</v>
      </c>
      <c r="H199" s="962" t="str">
        <f t="shared" si="5"/>
        <v>0225520001</v>
      </c>
      <c r="I199" s="22">
        <v>191</v>
      </c>
      <c r="J199" s="4" t="str">
        <f t="shared" si="6"/>
        <v>1.191</v>
      </c>
    </row>
    <row r="200" spans="1:10" s="4" customFormat="1" ht="42.75">
      <c r="A200" s="1747" t="s">
        <v>219</v>
      </c>
      <c r="B200" s="1748" t="s">
        <v>1585</v>
      </c>
      <c r="C200" s="1749" t="s">
        <v>17</v>
      </c>
      <c r="D200" s="678">
        <v>10</v>
      </c>
      <c r="E200" s="1287">
        <v>246.26</v>
      </c>
      <c r="F200" s="678">
        <v>2462.6</v>
      </c>
      <c r="G200" s="1750" t="s">
        <v>6263</v>
      </c>
      <c r="H200" s="962" t="str">
        <f t="shared" si="5"/>
        <v>0225530001</v>
      </c>
      <c r="I200" s="22">
        <v>192</v>
      </c>
      <c r="J200" s="4" t="str">
        <f t="shared" si="6"/>
        <v>1.192</v>
      </c>
    </row>
    <row r="201" spans="1:10" s="4" customFormat="1" ht="42.75">
      <c r="A201" s="1747" t="s">
        <v>220</v>
      </c>
      <c r="B201" s="1748" t="s">
        <v>1592</v>
      </c>
      <c r="C201" s="1749" t="s">
        <v>17</v>
      </c>
      <c r="D201" s="678">
        <v>10</v>
      </c>
      <c r="E201" s="1287">
        <v>872.19</v>
      </c>
      <c r="F201" s="678">
        <v>8721.9</v>
      </c>
      <c r="G201" s="1750" t="s">
        <v>6264</v>
      </c>
      <c r="H201" s="962" t="str">
        <f t="shared" si="5"/>
        <v>02255200V1</v>
      </c>
      <c r="I201" s="22">
        <v>193</v>
      </c>
      <c r="J201" s="4" t="str">
        <f t="shared" si="6"/>
        <v>1.193</v>
      </c>
    </row>
    <row r="202" spans="1:10" s="4" customFormat="1" ht="42.75">
      <c r="A202" s="1747" t="s">
        <v>221</v>
      </c>
      <c r="B202" s="1748" t="s">
        <v>1599</v>
      </c>
      <c r="C202" s="1749" t="s">
        <v>17</v>
      </c>
      <c r="D202" s="678">
        <v>10</v>
      </c>
      <c r="E202" s="1287">
        <v>1195.42</v>
      </c>
      <c r="F202" s="678">
        <v>11954.2</v>
      </c>
      <c r="G202" s="1750" t="s">
        <v>6265</v>
      </c>
      <c r="H202" s="962" t="str">
        <f t="shared" ref="H202:H265" si="7">LEFT(G202, FIND(CHAR(10), G202) - 1)</f>
        <v>02255300V1</v>
      </c>
      <c r="I202" s="22">
        <v>194</v>
      </c>
      <c r="J202" s="4" t="str">
        <f t="shared" si="6"/>
        <v>1.194</v>
      </c>
    </row>
    <row r="203" spans="1:10" s="4" customFormat="1" ht="42.75">
      <c r="A203" s="1747" t="s">
        <v>222</v>
      </c>
      <c r="B203" s="1748" t="s">
        <v>1606</v>
      </c>
      <c r="C203" s="1749" t="s">
        <v>17</v>
      </c>
      <c r="D203" s="678">
        <v>10</v>
      </c>
      <c r="E203" s="1287">
        <v>371.1</v>
      </c>
      <c r="F203" s="678">
        <v>3711</v>
      </c>
      <c r="G203" s="1750" t="s">
        <v>6266</v>
      </c>
      <c r="H203" s="962" t="str">
        <f t="shared" si="7"/>
        <v>0225540051</v>
      </c>
      <c r="I203" s="22">
        <v>195</v>
      </c>
      <c r="J203" s="4" t="str">
        <f t="shared" si="6"/>
        <v>1.195</v>
      </c>
    </row>
    <row r="204" spans="1:10" s="4" customFormat="1" ht="42.75">
      <c r="A204" s="1747" t="s">
        <v>223</v>
      </c>
      <c r="B204" s="1748" t="s">
        <v>1613</v>
      </c>
      <c r="C204" s="1749" t="s">
        <v>17</v>
      </c>
      <c r="D204" s="678">
        <v>10</v>
      </c>
      <c r="E204" s="1287">
        <v>1325.39</v>
      </c>
      <c r="F204" s="678">
        <v>13253.9</v>
      </c>
      <c r="G204" s="1750" t="s">
        <v>6267</v>
      </c>
      <c r="H204" s="962" t="str">
        <f t="shared" si="7"/>
        <v>02255400U1</v>
      </c>
      <c r="I204" s="22">
        <v>196</v>
      </c>
      <c r="J204" s="4" t="str">
        <f t="shared" si="6"/>
        <v>1.196</v>
      </c>
    </row>
    <row r="205" spans="1:10" s="4" customFormat="1" ht="42.75">
      <c r="A205" s="1747" t="s">
        <v>224</v>
      </c>
      <c r="B205" s="1748" t="s">
        <v>1620</v>
      </c>
      <c r="C205" s="1749" t="s">
        <v>17</v>
      </c>
      <c r="D205" s="678">
        <v>10</v>
      </c>
      <c r="E205" s="1287">
        <v>164.17</v>
      </c>
      <c r="F205" s="678">
        <v>1641.7</v>
      </c>
      <c r="G205" s="1750" t="s">
        <v>6268</v>
      </c>
      <c r="H205" s="962" t="str">
        <f t="shared" si="7"/>
        <v>0225520E31</v>
      </c>
      <c r="I205" s="22">
        <v>197</v>
      </c>
      <c r="J205" s="4" t="str">
        <f t="shared" si="6"/>
        <v>1.197</v>
      </c>
    </row>
    <row r="206" spans="1:10" s="4" customFormat="1" ht="42.75">
      <c r="A206" s="1747" t="s">
        <v>225</v>
      </c>
      <c r="B206" s="1748" t="s">
        <v>1625</v>
      </c>
      <c r="C206" s="1749" t="s">
        <v>17</v>
      </c>
      <c r="D206" s="678">
        <v>10</v>
      </c>
      <c r="E206" s="1287">
        <v>236</v>
      </c>
      <c r="F206" s="678">
        <v>2360</v>
      </c>
      <c r="G206" s="1750" t="s">
        <v>6269</v>
      </c>
      <c r="H206" s="962" t="str">
        <f t="shared" si="7"/>
        <v>0225530E31</v>
      </c>
      <c r="I206" s="22">
        <v>198</v>
      </c>
      <c r="J206" s="4" t="str">
        <f t="shared" si="6"/>
        <v>1.198</v>
      </c>
    </row>
    <row r="207" spans="1:10" s="4" customFormat="1" ht="42.75">
      <c r="A207" s="1747" t="s">
        <v>226</v>
      </c>
      <c r="B207" s="1748" t="s">
        <v>1630</v>
      </c>
      <c r="C207" s="1749" t="s">
        <v>17</v>
      </c>
      <c r="D207" s="678">
        <v>10</v>
      </c>
      <c r="E207" s="1287">
        <v>335.19</v>
      </c>
      <c r="F207" s="678">
        <v>3351.9</v>
      </c>
      <c r="G207" s="1750" t="s">
        <v>6270</v>
      </c>
      <c r="H207" s="962" t="str">
        <f t="shared" si="7"/>
        <v>0225540E31</v>
      </c>
      <c r="I207" s="22">
        <v>199</v>
      </c>
      <c r="J207" s="4" t="str">
        <f t="shared" si="6"/>
        <v>1.199</v>
      </c>
    </row>
    <row r="208" spans="1:10" s="4" customFormat="1" ht="42.75">
      <c r="A208" s="1747" t="s">
        <v>227</v>
      </c>
      <c r="B208" s="1748" t="s">
        <v>1635</v>
      </c>
      <c r="C208" s="1749" t="s">
        <v>3</v>
      </c>
      <c r="D208" s="678">
        <v>10</v>
      </c>
      <c r="E208" s="1287">
        <v>338.57</v>
      </c>
      <c r="F208" s="678">
        <v>3385.7</v>
      </c>
      <c r="G208" s="1750" t="s">
        <v>6271</v>
      </c>
      <c r="H208" s="962" t="str">
        <f t="shared" si="7"/>
        <v>02386PWDA1302</v>
      </c>
      <c r="I208" s="22">
        <v>200</v>
      </c>
      <c r="J208" s="4" t="str">
        <f t="shared" si="6"/>
        <v>1.200</v>
      </c>
    </row>
    <row r="209" spans="1:10" s="4" customFormat="1" ht="42.75">
      <c r="A209" s="1747" t="s">
        <v>228</v>
      </c>
      <c r="B209" s="1748" t="s">
        <v>1641</v>
      </c>
      <c r="C209" s="1749" t="s">
        <v>3</v>
      </c>
      <c r="D209" s="678">
        <v>10</v>
      </c>
      <c r="E209" s="1287">
        <v>510</v>
      </c>
      <c r="F209" s="678">
        <v>5100</v>
      </c>
      <c r="G209" s="1750" t="s">
        <v>6272</v>
      </c>
      <c r="H209" s="962" t="str">
        <f t="shared" si="7"/>
        <v>0922010012</v>
      </c>
      <c r="I209" s="22">
        <v>201</v>
      </c>
      <c r="J209" s="4" t="str">
        <f t="shared" si="6"/>
        <v>1.201</v>
      </c>
    </row>
    <row r="210" spans="1:10" s="4" customFormat="1" ht="42.75">
      <c r="A210" s="1747" t="s">
        <v>229</v>
      </c>
      <c r="B210" s="1748" t="s">
        <v>1647</v>
      </c>
      <c r="C210" s="1749" t="s">
        <v>3</v>
      </c>
      <c r="D210" s="678">
        <v>10</v>
      </c>
      <c r="E210" s="1287">
        <v>481.74</v>
      </c>
      <c r="F210" s="678">
        <v>4817.3999999999996</v>
      </c>
      <c r="G210" s="1750" t="s">
        <v>6273</v>
      </c>
      <c r="H210" s="962" t="str">
        <f t="shared" si="7"/>
        <v>0922020012</v>
      </c>
      <c r="I210" s="22">
        <v>202</v>
      </c>
      <c r="J210" s="4" t="str">
        <f t="shared" si="6"/>
        <v>1.202</v>
      </c>
    </row>
    <row r="211" spans="1:10" s="4" customFormat="1" ht="57">
      <c r="A211" s="1747" t="s">
        <v>230</v>
      </c>
      <c r="B211" s="1748" t="s">
        <v>1651</v>
      </c>
      <c r="C211" s="1749" t="s">
        <v>3</v>
      </c>
      <c r="D211" s="678">
        <v>10</v>
      </c>
      <c r="E211" s="1287">
        <v>105.62</v>
      </c>
      <c r="F211" s="678">
        <v>1056.2</v>
      </c>
      <c r="G211" s="1750" t="s">
        <v>6274</v>
      </c>
      <c r="H211" s="962" t="str">
        <f t="shared" si="7"/>
        <v>0922030042</v>
      </c>
      <c r="I211" s="22">
        <v>203</v>
      </c>
      <c r="J211" s="4" t="str">
        <f t="shared" si="6"/>
        <v>1.203</v>
      </c>
    </row>
    <row r="212" spans="1:10" s="4" customFormat="1" ht="42.75">
      <c r="A212" s="1747" t="s">
        <v>231</v>
      </c>
      <c r="B212" s="1748" t="s">
        <v>1643</v>
      </c>
      <c r="C212" s="1749" t="s">
        <v>0</v>
      </c>
      <c r="D212" s="678">
        <v>5</v>
      </c>
      <c r="E212" s="1287">
        <v>5119.8900000000003</v>
      </c>
      <c r="F212" s="678">
        <v>25599.45</v>
      </c>
      <c r="G212" s="1750" t="s">
        <v>6275</v>
      </c>
      <c r="H212" s="962" t="str">
        <f t="shared" si="7"/>
        <v>0406110003</v>
      </c>
      <c r="I212" s="22">
        <v>204</v>
      </c>
      <c r="J212" s="4" t="str">
        <f t="shared" si="6"/>
        <v>1.204</v>
      </c>
    </row>
    <row r="213" spans="1:10" s="4" customFormat="1" ht="42.75">
      <c r="A213" s="1747" t="s">
        <v>232</v>
      </c>
      <c r="B213" s="1748" t="s">
        <v>1649</v>
      </c>
      <c r="C213" s="1749" t="s">
        <v>0</v>
      </c>
      <c r="D213" s="678">
        <v>5</v>
      </c>
      <c r="E213" s="1287">
        <v>3747.98</v>
      </c>
      <c r="F213" s="678">
        <v>18739.900000000001</v>
      </c>
      <c r="G213" s="1750" t="s">
        <v>6276</v>
      </c>
      <c r="H213" s="962" t="str">
        <f t="shared" si="7"/>
        <v>0406120003</v>
      </c>
      <c r="I213" s="22">
        <v>205</v>
      </c>
      <c r="J213" s="4" t="str">
        <f t="shared" si="6"/>
        <v>1.205</v>
      </c>
    </row>
    <row r="214" spans="1:10" s="4" customFormat="1" ht="42.75">
      <c r="A214" s="1747" t="s">
        <v>233</v>
      </c>
      <c r="B214" s="1748" t="s">
        <v>1637</v>
      </c>
      <c r="C214" s="1749" t="s">
        <v>0</v>
      </c>
      <c r="D214" s="678">
        <v>5</v>
      </c>
      <c r="E214" s="1287">
        <v>3556.7</v>
      </c>
      <c r="F214" s="678">
        <v>17783.5</v>
      </c>
      <c r="G214" s="1750" t="s">
        <v>6277</v>
      </c>
      <c r="H214" s="962" t="str">
        <f t="shared" si="7"/>
        <v>0406130003</v>
      </c>
      <c r="I214" s="22">
        <v>206</v>
      </c>
      <c r="J214" s="4" t="str">
        <f t="shared" si="6"/>
        <v>1.206</v>
      </c>
    </row>
    <row r="215" spans="1:10" s="4" customFormat="1" ht="42.75">
      <c r="A215" s="1747" t="s">
        <v>234</v>
      </c>
      <c r="B215" s="1748" t="s">
        <v>1666</v>
      </c>
      <c r="C215" s="1749" t="s">
        <v>3</v>
      </c>
      <c r="D215" s="678">
        <v>10</v>
      </c>
      <c r="E215" s="1287">
        <v>1219.1500000000001</v>
      </c>
      <c r="F215" s="678">
        <v>12191.5</v>
      </c>
      <c r="G215" s="1750" t="s">
        <v>6278</v>
      </c>
      <c r="H215" s="962" t="str">
        <f t="shared" si="7"/>
        <v>0238630302</v>
      </c>
      <c r="I215" s="22">
        <v>207</v>
      </c>
      <c r="J215" s="4" t="str">
        <f t="shared" si="6"/>
        <v>1.207</v>
      </c>
    </row>
    <row r="216" spans="1:10" s="4" customFormat="1" ht="42.75">
      <c r="A216" s="1747" t="s">
        <v>235</v>
      </c>
      <c r="B216" s="1748" t="s">
        <v>1675</v>
      </c>
      <c r="C216" s="1749" t="s">
        <v>3</v>
      </c>
      <c r="D216" s="678">
        <v>10</v>
      </c>
      <c r="E216" s="1287">
        <v>1402.45</v>
      </c>
      <c r="F216" s="678">
        <v>14024.5</v>
      </c>
      <c r="G216" s="1750" t="s">
        <v>6279</v>
      </c>
      <c r="H216" s="962" t="str">
        <f t="shared" si="7"/>
        <v>0238630402</v>
      </c>
      <c r="I216" s="22">
        <v>208</v>
      </c>
      <c r="J216" s="4" t="str">
        <f t="shared" si="6"/>
        <v>1.208</v>
      </c>
    </row>
    <row r="217" spans="1:10" s="4" customFormat="1" ht="42.75">
      <c r="A217" s="1747" t="s">
        <v>236</v>
      </c>
      <c r="B217" s="1748" t="s">
        <v>1680</v>
      </c>
      <c r="C217" s="1749" t="s">
        <v>3</v>
      </c>
      <c r="D217" s="678">
        <v>10</v>
      </c>
      <c r="E217" s="1287">
        <v>1567.82</v>
      </c>
      <c r="F217" s="678">
        <v>15678.2</v>
      </c>
      <c r="G217" s="1750" t="s">
        <v>6280</v>
      </c>
      <c r="H217" s="962" t="str">
        <f t="shared" si="7"/>
        <v>0238630502</v>
      </c>
      <c r="I217" s="22">
        <v>209</v>
      </c>
      <c r="J217" s="4" t="str">
        <f t="shared" si="6"/>
        <v>1.209</v>
      </c>
    </row>
    <row r="218" spans="1:10" s="4" customFormat="1" ht="42.75">
      <c r="A218" s="1747" t="s">
        <v>237</v>
      </c>
      <c r="B218" s="1748" t="s">
        <v>1685</v>
      </c>
      <c r="C218" s="1749" t="s">
        <v>3</v>
      </c>
      <c r="D218" s="678">
        <v>10</v>
      </c>
      <c r="E218" s="1287">
        <v>477.8</v>
      </c>
      <c r="F218" s="678">
        <v>4778</v>
      </c>
      <c r="G218" s="1750" t="s">
        <v>6281</v>
      </c>
      <c r="H218" s="962" t="str">
        <f t="shared" si="7"/>
        <v>0922030012</v>
      </c>
      <c r="I218" s="22">
        <v>210</v>
      </c>
      <c r="J218" s="4" t="str">
        <f t="shared" si="6"/>
        <v>1.210</v>
      </c>
    </row>
    <row r="219" spans="1:10" s="4" customFormat="1" ht="42.75">
      <c r="A219" s="1747" t="s">
        <v>238</v>
      </c>
      <c r="B219" s="1748" t="s">
        <v>1688</v>
      </c>
      <c r="C219" s="1749" t="s">
        <v>1689</v>
      </c>
      <c r="D219" s="678">
        <v>2</v>
      </c>
      <c r="E219" s="1287">
        <v>8062.18</v>
      </c>
      <c r="F219" s="678">
        <v>16124.36</v>
      </c>
      <c r="G219" s="1750" t="s">
        <v>6282</v>
      </c>
      <c r="H219" s="962" t="str">
        <f t="shared" si="7"/>
        <v>02374CD008</v>
      </c>
      <c r="I219" s="22">
        <v>211</v>
      </c>
      <c r="J219" s="4" t="str">
        <f t="shared" si="6"/>
        <v>1.211</v>
      </c>
    </row>
    <row r="220" spans="1:10" s="4" customFormat="1" ht="42.75">
      <c r="A220" s="1747" t="s">
        <v>239</v>
      </c>
      <c r="B220" s="1748" t="s">
        <v>1700</v>
      </c>
      <c r="C220" s="1749" t="s">
        <v>17</v>
      </c>
      <c r="D220" s="678">
        <v>10</v>
      </c>
      <c r="E220" s="1287">
        <v>1616.37</v>
      </c>
      <c r="F220" s="678">
        <v>16163.7</v>
      </c>
      <c r="G220" s="1750" t="s">
        <v>6283</v>
      </c>
      <c r="H220" s="962" t="str">
        <f t="shared" si="7"/>
        <v>0234420701</v>
      </c>
      <c r="I220" s="22">
        <v>212</v>
      </c>
      <c r="J220" s="4" t="str">
        <f t="shared" si="6"/>
        <v>1.212</v>
      </c>
    </row>
    <row r="221" spans="1:10" s="4" customFormat="1" ht="42.75">
      <c r="A221" s="1747" t="s">
        <v>240</v>
      </c>
      <c r="B221" s="1748" t="s">
        <v>1697</v>
      </c>
      <c r="C221" s="1749" t="s">
        <v>15</v>
      </c>
      <c r="D221" s="678">
        <v>10</v>
      </c>
      <c r="E221" s="1287">
        <v>1425.67</v>
      </c>
      <c r="F221" s="678">
        <v>14256.7</v>
      </c>
      <c r="G221" s="1750" t="s">
        <v>6284</v>
      </c>
      <c r="H221" s="962" t="str">
        <f t="shared" si="7"/>
        <v>02381A010A</v>
      </c>
      <c r="I221" s="22">
        <v>213</v>
      </c>
      <c r="J221" s="4" t="str">
        <f t="shared" si="6"/>
        <v>1.213</v>
      </c>
    </row>
    <row r="222" spans="1:10" s="4" customFormat="1" ht="42.75">
      <c r="A222" s="1747" t="s">
        <v>241</v>
      </c>
      <c r="B222" s="1748" t="s">
        <v>1711</v>
      </c>
      <c r="C222" s="1749" t="s">
        <v>3</v>
      </c>
      <c r="D222" s="678">
        <v>10</v>
      </c>
      <c r="E222" s="1287">
        <v>1648.41</v>
      </c>
      <c r="F222" s="678">
        <v>16484.099999999999</v>
      </c>
      <c r="G222" s="1750" t="s">
        <v>6285</v>
      </c>
      <c r="H222" s="962" t="str">
        <f t="shared" si="7"/>
        <v>0337225002</v>
      </c>
      <c r="I222" s="22">
        <v>214</v>
      </c>
      <c r="J222" s="4" t="str">
        <f t="shared" si="6"/>
        <v>1.214</v>
      </c>
    </row>
    <row r="223" spans="1:10" s="4" customFormat="1" ht="42.75">
      <c r="A223" s="1747" t="s">
        <v>242</v>
      </c>
      <c r="B223" s="1748" t="s">
        <v>1713</v>
      </c>
      <c r="C223" s="1749" t="s">
        <v>0</v>
      </c>
      <c r="D223" s="678">
        <v>10</v>
      </c>
      <c r="E223" s="1287">
        <v>2458.0500000000002</v>
      </c>
      <c r="F223" s="678">
        <v>24580.5</v>
      </c>
      <c r="G223" s="1750" t="s">
        <v>6286</v>
      </c>
      <c r="H223" s="962" t="str">
        <f t="shared" si="7"/>
        <v>0337201003</v>
      </c>
      <c r="I223" s="22">
        <v>215</v>
      </c>
      <c r="J223" s="4" t="str">
        <f t="shared" si="6"/>
        <v>1.215</v>
      </c>
    </row>
    <row r="224" spans="1:10" s="4" customFormat="1" ht="42.75">
      <c r="A224" s="1747" t="s">
        <v>243</v>
      </c>
      <c r="B224" s="1748" t="s">
        <v>1714</v>
      </c>
      <c r="C224" s="1749" t="s">
        <v>3</v>
      </c>
      <c r="D224" s="678">
        <v>10</v>
      </c>
      <c r="E224" s="1287">
        <v>417.34</v>
      </c>
      <c r="F224" s="678">
        <v>4173.3999999999996</v>
      </c>
      <c r="G224" s="1750" t="s">
        <v>6287</v>
      </c>
      <c r="H224" s="962" t="str">
        <f t="shared" si="7"/>
        <v>033722V022</v>
      </c>
      <c r="I224" s="22">
        <v>216</v>
      </c>
      <c r="J224" s="4" t="str">
        <f t="shared" si="6"/>
        <v>1.216</v>
      </c>
    </row>
    <row r="225" spans="1:10" s="4" customFormat="1" ht="47.25">
      <c r="A225" s="1747" t="s">
        <v>244</v>
      </c>
      <c r="B225" s="1748" t="s">
        <v>1719</v>
      </c>
      <c r="C225" s="1749" t="s">
        <v>1497</v>
      </c>
      <c r="D225" s="678">
        <v>20</v>
      </c>
      <c r="E225" s="1287">
        <v>55.49</v>
      </c>
      <c r="F225" s="678">
        <v>1109.8</v>
      </c>
      <c r="G225" s="1750" t="s">
        <v>6288</v>
      </c>
      <c r="H225" s="962" t="str">
        <f t="shared" si="7"/>
        <v>03372PWDB0SAE</v>
      </c>
      <c r="I225" s="22">
        <v>217</v>
      </c>
      <c r="J225" s="4" t="str">
        <f t="shared" si="6"/>
        <v>1.217</v>
      </c>
    </row>
    <row r="226" spans="1:10" s="4" customFormat="1" ht="28.5">
      <c r="A226" s="1747" t="s">
        <v>245</v>
      </c>
      <c r="B226" s="1748" t="s">
        <v>3181</v>
      </c>
      <c r="C226" s="1749" t="s">
        <v>18</v>
      </c>
      <c r="D226" s="678">
        <v>10</v>
      </c>
      <c r="E226" s="1287">
        <v>278.94</v>
      </c>
      <c r="F226" s="678">
        <v>2789.4</v>
      </c>
      <c r="G226" s="1750" t="s">
        <v>3182</v>
      </c>
      <c r="H226" s="962" t="str">
        <f t="shared" si="7"/>
        <v>0393010009</v>
      </c>
      <c r="I226" s="22">
        <v>218</v>
      </c>
      <c r="J226" s="4" t="str">
        <f t="shared" si="6"/>
        <v>1.218</v>
      </c>
    </row>
    <row r="227" spans="1:10" s="4" customFormat="1" ht="42.75">
      <c r="A227" s="1747" t="s">
        <v>246</v>
      </c>
      <c r="B227" s="1748" t="s">
        <v>1751</v>
      </c>
      <c r="C227" s="1749" t="s">
        <v>3</v>
      </c>
      <c r="D227" s="678">
        <v>5</v>
      </c>
      <c r="E227" s="1287">
        <v>5595.14</v>
      </c>
      <c r="F227" s="678">
        <v>27975.7</v>
      </c>
      <c r="G227" s="1750" t="s">
        <v>6289</v>
      </c>
      <c r="H227" s="962" t="str">
        <f t="shared" si="7"/>
        <v>0335021002</v>
      </c>
      <c r="I227" s="22">
        <v>219</v>
      </c>
      <c r="J227" s="4" t="str">
        <f t="shared" si="6"/>
        <v>1.219</v>
      </c>
    </row>
    <row r="228" spans="1:10" s="4" customFormat="1" ht="31.5">
      <c r="A228" s="1747" t="s">
        <v>247</v>
      </c>
      <c r="B228" s="1748" t="s">
        <v>3183</v>
      </c>
      <c r="C228" s="1749" t="s">
        <v>17</v>
      </c>
      <c r="D228" s="678">
        <v>2</v>
      </c>
      <c r="E228" s="1287">
        <v>3972.92</v>
      </c>
      <c r="F228" s="678">
        <v>7945.84</v>
      </c>
      <c r="G228" s="1750" t="s">
        <v>3184</v>
      </c>
      <c r="H228" s="962" t="str">
        <f t="shared" si="7"/>
        <v>026100C001</v>
      </c>
      <c r="I228" s="22">
        <v>220</v>
      </c>
      <c r="J228" s="4" t="str">
        <f t="shared" si="6"/>
        <v>1.220</v>
      </c>
    </row>
    <row r="229" spans="1:10" s="4" customFormat="1" ht="31.5">
      <c r="A229" s="1747" t="s">
        <v>248</v>
      </c>
      <c r="B229" s="1748" t="s">
        <v>3186</v>
      </c>
      <c r="C229" s="1749" t="s">
        <v>2238</v>
      </c>
      <c r="D229" s="678">
        <v>1</v>
      </c>
      <c r="E229" s="1287">
        <v>6524.23</v>
      </c>
      <c r="F229" s="678">
        <v>6524.23</v>
      </c>
      <c r="G229" s="1750" t="s">
        <v>3187</v>
      </c>
      <c r="H229" s="962" t="str">
        <f t="shared" si="7"/>
        <v>026108803H</v>
      </c>
      <c r="I229" s="22">
        <v>221</v>
      </c>
      <c r="J229" s="4" t="str">
        <f t="shared" si="6"/>
        <v>1.221</v>
      </c>
    </row>
    <row r="230" spans="1:10" s="4" customFormat="1" ht="31.5">
      <c r="A230" s="1747" t="s">
        <v>249</v>
      </c>
      <c r="B230" s="1748" t="s">
        <v>3188</v>
      </c>
      <c r="C230" s="1749" t="s">
        <v>17</v>
      </c>
      <c r="D230" s="678">
        <v>1</v>
      </c>
      <c r="E230" s="1287">
        <v>5789.03</v>
      </c>
      <c r="F230" s="678">
        <v>5789.03</v>
      </c>
      <c r="G230" s="1750" t="s">
        <v>3189</v>
      </c>
      <c r="H230" s="962" t="str">
        <f t="shared" si="7"/>
        <v>026100D001</v>
      </c>
      <c r="I230" s="22">
        <v>222</v>
      </c>
      <c r="J230" s="4" t="str">
        <f t="shared" si="6"/>
        <v>1.222</v>
      </c>
    </row>
    <row r="231" spans="1:10" s="4" customFormat="1" ht="31.5">
      <c r="A231" s="1747" t="s">
        <v>250</v>
      </c>
      <c r="B231" s="1748" t="s">
        <v>3190</v>
      </c>
      <c r="C231" s="1749" t="s">
        <v>2238</v>
      </c>
      <c r="D231" s="678">
        <v>1</v>
      </c>
      <c r="E231" s="1287">
        <v>10574.86</v>
      </c>
      <c r="F231" s="678">
        <v>10574.86</v>
      </c>
      <c r="G231" s="1750" t="s">
        <v>3191</v>
      </c>
      <c r="H231" s="962" t="str">
        <f t="shared" si="7"/>
        <v>026108903H</v>
      </c>
      <c r="I231" s="22">
        <v>223</v>
      </c>
      <c r="J231" s="4" t="str">
        <f t="shared" si="6"/>
        <v>1.223</v>
      </c>
    </row>
    <row r="232" spans="1:10" s="4" customFormat="1" ht="31.5">
      <c r="A232" s="1747" t="s">
        <v>251</v>
      </c>
      <c r="B232" s="1748" t="s">
        <v>3192</v>
      </c>
      <c r="C232" s="1749" t="s">
        <v>17</v>
      </c>
      <c r="D232" s="678">
        <v>1</v>
      </c>
      <c r="E232" s="1287">
        <v>10064.799999999999</v>
      </c>
      <c r="F232" s="678">
        <v>10064.799999999999</v>
      </c>
      <c r="G232" s="1750" t="s">
        <v>3193</v>
      </c>
      <c r="H232" s="962" t="str">
        <f t="shared" si="7"/>
        <v>026100F001</v>
      </c>
      <c r="I232" s="22">
        <v>224</v>
      </c>
      <c r="J232" s="4" t="str">
        <f t="shared" si="6"/>
        <v>1.224</v>
      </c>
    </row>
    <row r="233" spans="1:10" s="4" customFormat="1" ht="31.5">
      <c r="A233" s="1747" t="s">
        <v>252</v>
      </c>
      <c r="B233" s="1748" t="s">
        <v>3194</v>
      </c>
      <c r="C233" s="1749" t="s">
        <v>2238</v>
      </c>
      <c r="D233" s="678">
        <v>1</v>
      </c>
      <c r="E233" s="1287">
        <v>12350.12</v>
      </c>
      <c r="F233" s="678">
        <v>12350.12</v>
      </c>
      <c r="G233" s="1750" t="s">
        <v>3195</v>
      </c>
      <c r="H233" s="962" t="str">
        <f t="shared" si="7"/>
        <v>026108B03H</v>
      </c>
      <c r="I233" s="22">
        <v>225</v>
      </c>
      <c r="J233" s="4" t="str">
        <f t="shared" si="6"/>
        <v>1.225</v>
      </c>
    </row>
    <row r="234" spans="1:10" s="4" customFormat="1" ht="47.25">
      <c r="A234" s="1747" t="s">
        <v>253</v>
      </c>
      <c r="B234" s="1748" t="s">
        <v>3196</v>
      </c>
      <c r="C234" s="1749" t="s">
        <v>17</v>
      </c>
      <c r="D234" s="678">
        <v>1</v>
      </c>
      <c r="E234" s="1287">
        <v>14983.13</v>
      </c>
      <c r="F234" s="678">
        <v>14983.13</v>
      </c>
      <c r="G234" s="1750" t="s">
        <v>3197</v>
      </c>
      <c r="H234" s="962" t="str">
        <f t="shared" si="7"/>
        <v>026100H001</v>
      </c>
      <c r="I234" s="22">
        <v>226</v>
      </c>
      <c r="J234" s="4" t="str">
        <f t="shared" si="6"/>
        <v>1.226</v>
      </c>
    </row>
    <row r="235" spans="1:10" s="4" customFormat="1" ht="31.5">
      <c r="A235" s="1747" t="s">
        <v>254</v>
      </c>
      <c r="B235" s="1748" t="s">
        <v>3198</v>
      </c>
      <c r="C235" s="1749" t="s">
        <v>2238</v>
      </c>
      <c r="D235" s="678">
        <v>1</v>
      </c>
      <c r="E235" s="1287">
        <v>16885.900000000001</v>
      </c>
      <c r="F235" s="678">
        <v>16885.900000000001</v>
      </c>
      <c r="G235" s="1750" t="s">
        <v>3199</v>
      </c>
      <c r="H235" s="962" t="str">
        <f t="shared" si="7"/>
        <v>026108D03H</v>
      </c>
      <c r="I235" s="22">
        <v>227</v>
      </c>
      <c r="J235" s="4" t="str">
        <f t="shared" si="6"/>
        <v>1.227</v>
      </c>
    </row>
    <row r="236" spans="1:10" s="4" customFormat="1" ht="47.25">
      <c r="A236" s="1747" t="s">
        <v>255</v>
      </c>
      <c r="B236" s="1748" t="s">
        <v>3200</v>
      </c>
      <c r="C236" s="1749" t="s">
        <v>17</v>
      </c>
      <c r="D236" s="678">
        <v>1</v>
      </c>
      <c r="E236" s="1287">
        <v>21380.84</v>
      </c>
      <c r="F236" s="678">
        <v>21380.84</v>
      </c>
      <c r="G236" s="1750" t="s">
        <v>3201</v>
      </c>
      <c r="H236" s="962" t="str">
        <f t="shared" si="7"/>
        <v>026100L001</v>
      </c>
      <c r="I236" s="22">
        <v>228</v>
      </c>
      <c r="J236" s="4" t="str">
        <f t="shared" si="6"/>
        <v>1.228</v>
      </c>
    </row>
    <row r="237" spans="1:10" s="4" customFormat="1" ht="31.5">
      <c r="A237" s="1747" t="s">
        <v>256</v>
      </c>
      <c r="B237" s="1748" t="s">
        <v>3202</v>
      </c>
      <c r="C237" s="1749" t="s">
        <v>2238</v>
      </c>
      <c r="D237" s="678">
        <v>2</v>
      </c>
      <c r="E237" s="1287">
        <v>23613.37</v>
      </c>
      <c r="F237" s="678">
        <v>47226.74</v>
      </c>
      <c r="G237" s="1750" t="s">
        <v>3203</v>
      </c>
      <c r="H237" s="962" t="str">
        <f t="shared" si="7"/>
        <v>026108F03H</v>
      </c>
      <c r="I237" s="22">
        <v>229</v>
      </c>
      <c r="J237" s="4" t="str">
        <f t="shared" si="6"/>
        <v>1.229</v>
      </c>
    </row>
    <row r="238" spans="1:10" s="4" customFormat="1" ht="47.25">
      <c r="A238" s="1747" t="s">
        <v>257</v>
      </c>
      <c r="B238" s="1748" t="s">
        <v>1770</v>
      </c>
      <c r="C238" s="1749" t="s">
        <v>17</v>
      </c>
      <c r="D238" s="678">
        <v>2</v>
      </c>
      <c r="E238" s="1287">
        <v>3686.73</v>
      </c>
      <c r="F238" s="678">
        <v>7373.46</v>
      </c>
      <c r="G238" s="1750" t="s">
        <v>6290</v>
      </c>
      <c r="H238" s="962" t="str">
        <f t="shared" si="7"/>
        <v>026102D321</v>
      </c>
      <c r="I238" s="22">
        <v>230</v>
      </c>
      <c r="J238" s="4" t="str">
        <f t="shared" si="6"/>
        <v>1.230</v>
      </c>
    </row>
    <row r="239" spans="1:10" s="4" customFormat="1" ht="47.25">
      <c r="A239" s="1747" t="s">
        <v>258</v>
      </c>
      <c r="B239" s="1748" t="s">
        <v>1777</v>
      </c>
      <c r="C239" s="1749" t="s">
        <v>17</v>
      </c>
      <c r="D239" s="678">
        <v>2</v>
      </c>
      <c r="E239" s="1287">
        <v>4799.2700000000004</v>
      </c>
      <c r="F239" s="678">
        <v>9598.5400000000009</v>
      </c>
      <c r="G239" s="1750" t="s">
        <v>6291</v>
      </c>
      <c r="H239" s="962" t="str">
        <f t="shared" si="7"/>
        <v>026102F321</v>
      </c>
      <c r="I239" s="22">
        <v>231</v>
      </c>
      <c r="J239" s="4" t="str">
        <f t="shared" si="6"/>
        <v>1.231</v>
      </c>
    </row>
    <row r="240" spans="1:10" s="4" customFormat="1" ht="47.25">
      <c r="A240" s="1747" t="s">
        <v>259</v>
      </c>
      <c r="B240" s="1748" t="s">
        <v>1782</v>
      </c>
      <c r="C240" s="1749" t="s">
        <v>17</v>
      </c>
      <c r="D240" s="678">
        <v>2</v>
      </c>
      <c r="E240" s="1287">
        <v>6649.76</v>
      </c>
      <c r="F240" s="678">
        <v>13299.52</v>
      </c>
      <c r="G240" s="1750" t="s">
        <v>6292</v>
      </c>
      <c r="H240" s="962" t="str">
        <f t="shared" si="7"/>
        <v>026102H321</v>
      </c>
      <c r="I240" s="22">
        <v>232</v>
      </c>
      <c r="J240" s="4" t="str">
        <f t="shared" si="6"/>
        <v>1.232</v>
      </c>
    </row>
    <row r="241" spans="1:10" s="4" customFormat="1" ht="47.25">
      <c r="A241" s="1747" t="s">
        <v>260</v>
      </c>
      <c r="B241" s="1748" t="s">
        <v>1787</v>
      </c>
      <c r="C241" s="1749" t="s">
        <v>17</v>
      </c>
      <c r="D241" s="678">
        <v>2</v>
      </c>
      <c r="E241" s="1287">
        <v>8665.89</v>
      </c>
      <c r="F241" s="678">
        <v>17331.78</v>
      </c>
      <c r="G241" s="1750" t="s">
        <v>6293</v>
      </c>
      <c r="H241" s="962" t="str">
        <f t="shared" si="7"/>
        <v>026102L321</v>
      </c>
      <c r="I241" s="22">
        <v>233</v>
      </c>
      <c r="J241" s="4" t="str">
        <f t="shared" si="6"/>
        <v>1.233</v>
      </c>
    </row>
    <row r="242" spans="1:10" s="4" customFormat="1" ht="47.25">
      <c r="A242" s="1747" t="s">
        <v>261</v>
      </c>
      <c r="B242" s="1748" t="s">
        <v>1792</v>
      </c>
      <c r="C242" s="1749" t="s">
        <v>17</v>
      </c>
      <c r="D242" s="678">
        <v>2</v>
      </c>
      <c r="E242" s="1287">
        <v>10736.05</v>
      </c>
      <c r="F242" s="678">
        <v>21472.1</v>
      </c>
      <c r="G242" s="1750" t="s">
        <v>6294</v>
      </c>
      <c r="H242" s="962" t="str">
        <f t="shared" si="7"/>
        <v>026102M321</v>
      </c>
      <c r="I242" s="22">
        <v>234</v>
      </c>
      <c r="J242" s="4" t="str">
        <f t="shared" si="6"/>
        <v>1.234</v>
      </c>
    </row>
    <row r="243" spans="1:10" s="4" customFormat="1" ht="47.25">
      <c r="A243" s="1747" t="s">
        <v>262</v>
      </c>
      <c r="B243" s="1748" t="s">
        <v>1797</v>
      </c>
      <c r="C243" s="1749" t="s">
        <v>17</v>
      </c>
      <c r="D243" s="678">
        <v>2</v>
      </c>
      <c r="E243" s="1287">
        <v>12928.93</v>
      </c>
      <c r="F243" s="678">
        <v>25857.86</v>
      </c>
      <c r="G243" s="1750" t="s">
        <v>6295</v>
      </c>
      <c r="H243" s="962" t="str">
        <f t="shared" si="7"/>
        <v>026102N321</v>
      </c>
      <c r="I243" s="22">
        <v>235</v>
      </c>
      <c r="J243" s="4" t="str">
        <f t="shared" si="6"/>
        <v>1.235</v>
      </c>
    </row>
    <row r="244" spans="1:10" s="4" customFormat="1" ht="47.25">
      <c r="A244" s="1747" t="s">
        <v>263</v>
      </c>
      <c r="B244" s="1748" t="s">
        <v>1802</v>
      </c>
      <c r="C244" s="1749" t="s">
        <v>17</v>
      </c>
      <c r="D244" s="678">
        <v>2</v>
      </c>
      <c r="E244" s="1287">
        <v>16327.9</v>
      </c>
      <c r="F244" s="678">
        <v>32655.8</v>
      </c>
      <c r="G244" s="1750" t="s">
        <v>6296</v>
      </c>
      <c r="H244" s="962" t="str">
        <f t="shared" si="7"/>
        <v>026102P321</v>
      </c>
      <c r="I244" s="22">
        <v>236</v>
      </c>
      <c r="J244" s="4" t="str">
        <f t="shared" si="6"/>
        <v>1.236</v>
      </c>
    </row>
    <row r="245" spans="1:10" s="4" customFormat="1" ht="47.25">
      <c r="A245" s="1747" t="s">
        <v>264</v>
      </c>
      <c r="B245" s="1748" t="s">
        <v>1807</v>
      </c>
      <c r="C245" s="1749" t="s">
        <v>17</v>
      </c>
      <c r="D245" s="678">
        <v>2</v>
      </c>
      <c r="E245" s="1287">
        <v>20227.099999999999</v>
      </c>
      <c r="F245" s="678">
        <v>40454.199999999997</v>
      </c>
      <c r="G245" s="1750" t="s">
        <v>6297</v>
      </c>
      <c r="H245" s="962" t="str">
        <f t="shared" si="7"/>
        <v>026102Q321</v>
      </c>
      <c r="I245" s="22">
        <v>237</v>
      </c>
      <c r="J245" s="4" t="str">
        <f t="shared" si="6"/>
        <v>1.237</v>
      </c>
    </row>
    <row r="246" spans="1:10" s="4" customFormat="1" ht="47.25">
      <c r="A246" s="1747" t="s">
        <v>265</v>
      </c>
      <c r="B246" s="1748" t="s">
        <v>1812</v>
      </c>
      <c r="C246" s="1749" t="s">
        <v>17</v>
      </c>
      <c r="D246" s="678">
        <v>2</v>
      </c>
      <c r="E246" s="1287">
        <v>24271.279999999999</v>
      </c>
      <c r="F246" s="678">
        <v>48542.559999999998</v>
      </c>
      <c r="G246" s="1750" t="s">
        <v>6298</v>
      </c>
      <c r="H246" s="962" t="str">
        <f t="shared" si="7"/>
        <v>026102R321</v>
      </c>
      <c r="I246" s="22">
        <v>238</v>
      </c>
      <c r="J246" s="4" t="str">
        <f t="shared" si="6"/>
        <v>1.238</v>
      </c>
    </row>
    <row r="247" spans="1:10" s="4" customFormat="1" ht="42.75">
      <c r="A247" s="1747" t="s">
        <v>266</v>
      </c>
      <c r="B247" s="1748" t="s">
        <v>1817</v>
      </c>
      <c r="C247" s="1749" t="s">
        <v>1818</v>
      </c>
      <c r="D247" s="678">
        <v>2</v>
      </c>
      <c r="E247" s="1287">
        <v>1170.79</v>
      </c>
      <c r="F247" s="678">
        <v>2341.58</v>
      </c>
      <c r="G247" s="1750" t="s">
        <v>6299</v>
      </c>
      <c r="H247" s="962" t="str">
        <f t="shared" si="7"/>
        <v>026100B90H</v>
      </c>
      <c r="I247" s="22">
        <v>239</v>
      </c>
      <c r="J247" s="4" t="str">
        <f t="shared" si="6"/>
        <v>1.239</v>
      </c>
    </row>
    <row r="248" spans="1:10" s="4" customFormat="1" ht="42.75">
      <c r="A248" s="1747" t="s">
        <v>267</v>
      </c>
      <c r="B248" s="1748" t="s">
        <v>1825</v>
      </c>
      <c r="C248" s="1749" t="s">
        <v>1818</v>
      </c>
      <c r="D248" s="678">
        <v>2</v>
      </c>
      <c r="E248" s="1287">
        <v>1307.26</v>
      </c>
      <c r="F248" s="678">
        <v>2614.52</v>
      </c>
      <c r="G248" s="1750" t="s">
        <v>6300</v>
      </c>
      <c r="H248" s="962" t="str">
        <f t="shared" si="7"/>
        <v>026100BB0H</v>
      </c>
      <c r="I248" s="22">
        <v>240</v>
      </c>
      <c r="J248" s="4" t="str">
        <f t="shared" si="6"/>
        <v>1.240</v>
      </c>
    </row>
    <row r="249" spans="1:10" s="4" customFormat="1" ht="42.75">
      <c r="A249" s="1747" t="s">
        <v>268</v>
      </c>
      <c r="B249" s="1748" t="s">
        <v>1832</v>
      </c>
      <c r="C249" s="1749" t="s">
        <v>1818</v>
      </c>
      <c r="D249" s="678">
        <v>2</v>
      </c>
      <c r="E249" s="1287">
        <v>1591.48</v>
      </c>
      <c r="F249" s="678">
        <v>3182.96</v>
      </c>
      <c r="G249" s="1750" t="s">
        <v>6301</v>
      </c>
      <c r="H249" s="962" t="str">
        <f t="shared" si="7"/>
        <v>026100BD0H</v>
      </c>
      <c r="I249" s="22">
        <v>241</v>
      </c>
      <c r="J249" s="4" t="str">
        <f t="shared" si="6"/>
        <v>1.241</v>
      </c>
    </row>
    <row r="250" spans="1:10" s="4" customFormat="1" ht="42.75">
      <c r="A250" s="1747" t="s">
        <v>269</v>
      </c>
      <c r="B250" s="1748" t="s">
        <v>1839</v>
      </c>
      <c r="C250" s="1749" t="s">
        <v>1818</v>
      </c>
      <c r="D250" s="678">
        <v>2</v>
      </c>
      <c r="E250" s="1287">
        <v>1632.53</v>
      </c>
      <c r="F250" s="678">
        <v>3265.06</v>
      </c>
      <c r="G250" s="1750" t="s">
        <v>6302</v>
      </c>
      <c r="H250" s="962" t="str">
        <f t="shared" si="7"/>
        <v>026100BF0H</v>
      </c>
      <c r="I250" s="22">
        <v>242</v>
      </c>
      <c r="J250" s="4" t="str">
        <f t="shared" si="6"/>
        <v>1.242</v>
      </c>
    </row>
    <row r="251" spans="1:10" s="4" customFormat="1" ht="42.75">
      <c r="A251" s="1747" t="s">
        <v>270</v>
      </c>
      <c r="B251" s="1748" t="s">
        <v>1846</v>
      </c>
      <c r="C251" s="1749" t="s">
        <v>1818</v>
      </c>
      <c r="D251" s="678">
        <v>2</v>
      </c>
      <c r="E251" s="1287">
        <v>1836.73</v>
      </c>
      <c r="F251" s="678">
        <v>3673.46</v>
      </c>
      <c r="G251" s="1750" t="s">
        <v>6303</v>
      </c>
      <c r="H251" s="962" t="str">
        <f t="shared" si="7"/>
        <v>026100BG0H</v>
      </c>
      <c r="I251" s="22">
        <v>243</v>
      </c>
      <c r="J251" s="4" t="str">
        <f t="shared" si="6"/>
        <v>1.243</v>
      </c>
    </row>
    <row r="252" spans="1:10" s="4" customFormat="1" ht="42.75">
      <c r="A252" s="1747" t="s">
        <v>271</v>
      </c>
      <c r="B252" s="1748" t="s">
        <v>1853</v>
      </c>
      <c r="C252" s="1749" t="s">
        <v>1818</v>
      </c>
      <c r="D252" s="678">
        <v>2</v>
      </c>
      <c r="E252" s="1287">
        <v>2124.0500000000002</v>
      </c>
      <c r="F252" s="678">
        <v>4248.1000000000004</v>
      </c>
      <c r="G252" s="1750" t="s">
        <v>6304</v>
      </c>
      <c r="H252" s="962" t="str">
        <f t="shared" si="7"/>
        <v>026100BH0H</v>
      </c>
      <c r="I252" s="22">
        <v>244</v>
      </c>
      <c r="J252" s="4" t="str">
        <f t="shared" si="6"/>
        <v>1.244</v>
      </c>
    </row>
    <row r="253" spans="1:10" s="4" customFormat="1" ht="42.75">
      <c r="A253" s="1747" t="s">
        <v>272</v>
      </c>
      <c r="B253" s="1748" t="s">
        <v>1860</v>
      </c>
      <c r="C253" s="1749" t="s">
        <v>1818</v>
      </c>
      <c r="D253" s="678">
        <v>2</v>
      </c>
      <c r="E253" s="1287">
        <v>2280.0100000000002</v>
      </c>
      <c r="F253" s="678">
        <v>4560.0200000000004</v>
      </c>
      <c r="G253" s="1750" t="s">
        <v>6305</v>
      </c>
      <c r="H253" s="962" t="str">
        <f t="shared" si="7"/>
        <v>026100BJ0H</v>
      </c>
      <c r="I253" s="22">
        <v>245</v>
      </c>
      <c r="J253" s="4" t="str">
        <f t="shared" si="6"/>
        <v>1.245</v>
      </c>
    </row>
    <row r="254" spans="1:10" s="4" customFormat="1" ht="42.75">
      <c r="A254" s="1747" t="s">
        <v>273</v>
      </c>
      <c r="B254" s="1748" t="s">
        <v>1867</v>
      </c>
      <c r="C254" s="1749" t="s">
        <v>1818</v>
      </c>
      <c r="D254" s="678">
        <v>2</v>
      </c>
      <c r="E254" s="1287">
        <v>2416.48</v>
      </c>
      <c r="F254" s="678">
        <v>4832.96</v>
      </c>
      <c r="G254" s="1750" t="s">
        <v>6306</v>
      </c>
      <c r="H254" s="962" t="str">
        <f t="shared" si="7"/>
        <v>026100BL0H</v>
      </c>
      <c r="I254" s="22">
        <v>246</v>
      </c>
      <c r="J254" s="4" t="str">
        <f t="shared" si="6"/>
        <v>1.246</v>
      </c>
    </row>
    <row r="255" spans="1:10" s="4" customFormat="1" ht="47.25">
      <c r="A255" s="1747" t="s">
        <v>274</v>
      </c>
      <c r="B255" s="1748" t="s">
        <v>3221</v>
      </c>
      <c r="C255" s="1749" t="s">
        <v>17</v>
      </c>
      <c r="D255" s="678">
        <v>10</v>
      </c>
      <c r="E255" s="1287">
        <v>151.15</v>
      </c>
      <c r="F255" s="678">
        <v>1511.5</v>
      </c>
      <c r="G255" s="1750" t="s">
        <v>3222</v>
      </c>
      <c r="H255" s="962" t="str">
        <f t="shared" si="7"/>
        <v>02610PWD0A331</v>
      </c>
      <c r="I255" s="22">
        <v>247</v>
      </c>
      <c r="J255" s="4" t="str">
        <f t="shared" si="6"/>
        <v>1.247</v>
      </c>
    </row>
    <row r="256" spans="1:10" s="4" customFormat="1" ht="47.25">
      <c r="A256" s="1747" t="s">
        <v>275</v>
      </c>
      <c r="B256" s="1748" t="s">
        <v>3223</v>
      </c>
      <c r="C256" s="1749" t="s">
        <v>17</v>
      </c>
      <c r="D256" s="678">
        <v>10</v>
      </c>
      <c r="E256" s="1287">
        <v>187.99</v>
      </c>
      <c r="F256" s="678">
        <v>1879.9</v>
      </c>
      <c r="G256" s="1750" t="s">
        <v>3224</v>
      </c>
      <c r="H256" s="962" t="str">
        <f t="shared" si="7"/>
        <v>02610PWD0A441</v>
      </c>
      <c r="I256" s="22">
        <v>248</v>
      </c>
      <c r="J256" s="4" t="str">
        <f t="shared" si="6"/>
        <v>1.248</v>
      </c>
    </row>
    <row r="257" spans="1:10" s="4" customFormat="1" ht="47.25">
      <c r="A257" s="1747" t="s">
        <v>276</v>
      </c>
      <c r="B257" s="1748" t="s">
        <v>3225</v>
      </c>
      <c r="C257" s="1749" t="s">
        <v>17</v>
      </c>
      <c r="D257" s="678">
        <v>10</v>
      </c>
      <c r="E257" s="1287">
        <v>233.95</v>
      </c>
      <c r="F257" s="678">
        <v>2339.5</v>
      </c>
      <c r="G257" s="1750" t="s">
        <v>3226</v>
      </c>
      <c r="H257" s="962" t="str">
        <f t="shared" si="7"/>
        <v>02610PWD0A551</v>
      </c>
      <c r="I257" s="22">
        <v>249</v>
      </c>
      <c r="J257" s="4" t="str">
        <f t="shared" si="6"/>
        <v>1.249</v>
      </c>
    </row>
    <row r="258" spans="1:10" s="4" customFormat="1" ht="42.75">
      <c r="A258" s="1747" t="s">
        <v>277</v>
      </c>
      <c r="B258" s="1748" t="s">
        <v>1874</v>
      </c>
      <c r="C258" s="1749" t="s">
        <v>1875</v>
      </c>
      <c r="D258" s="678">
        <v>1</v>
      </c>
      <c r="E258" s="1287">
        <v>859.87</v>
      </c>
      <c r="F258" s="678">
        <v>859.87</v>
      </c>
      <c r="G258" s="1750" t="s">
        <v>6307</v>
      </c>
      <c r="H258" s="962" t="str">
        <f t="shared" si="7"/>
        <v>034006100A</v>
      </c>
      <c r="I258" s="22">
        <v>250</v>
      </c>
      <c r="J258" s="4" t="str">
        <f t="shared" ref="J258:J321" si="8">A258</f>
        <v>1.250</v>
      </c>
    </row>
    <row r="259" spans="1:10" s="4" customFormat="1" ht="42.75">
      <c r="A259" s="1747" t="s">
        <v>278</v>
      </c>
      <c r="B259" s="1748" t="s">
        <v>1882</v>
      </c>
      <c r="C259" s="1749" t="s">
        <v>1875</v>
      </c>
      <c r="D259" s="678">
        <v>1</v>
      </c>
      <c r="E259" s="1287">
        <v>944.02</v>
      </c>
      <c r="F259" s="678">
        <v>944.02</v>
      </c>
      <c r="G259" s="1750" t="s">
        <v>6308</v>
      </c>
      <c r="H259" s="962" t="str">
        <f t="shared" si="7"/>
        <v>034006300A</v>
      </c>
      <c r="I259" s="22">
        <v>251</v>
      </c>
      <c r="J259" s="4" t="str">
        <f t="shared" si="8"/>
        <v>1.251</v>
      </c>
    </row>
    <row r="260" spans="1:10" s="4" customFormat="1" ht="42.75">
      <c r="A260" s="1747" t="s">
        <v>279</v>
      </c>
      <c r="B260" s="1748" t="s">
        <v>1889</v>
      </c>
      <c r="C260" s="1749" t="s">
        <v>1875</v>
      </c>
      <c r="D260" s="678">
        <v>1</v>
      </c>
      <c r="E260" s="1287">
        <v>1059.96</v>
      </c>
      <c r="F260" s="678">
        <v>1059.96</v>
      </c>
      <c r="G260" s="1750" t="s">
        <v>6309</v>
      </c>
      <c r="H260" s="962" t="str">
        <f t="shared" si="7"/>
        <v>034006500A</v>
      </c>
      <c r="I260" s="22">
        <v>252</v>
      </c>
      <c r="J260" s="4" t="str">
        <f t="shared" si="8"/>
        <v>1.252</v>
      </c>
    </row>
    <row r="261" spans="1:10" s="4" customFormat="1" ht="42.75">
      <c r="A261" s="1747" t="s">
        <v>280</v>
      </c>
      <c r="B261" s="1748" t="s">
        <v>1896</v>
      </c>
      <c r="C261" s="1749" t="s">
        <v>1875</v>
      </c>
      <c r="D261" s="678">
        <v>1</v>
      </c>
      <c r="E261" s="1287">
        <v>1144.0999999999999</v>
      </c>
      <c r="F261" s="678">
        <v>1144.0999999999999</v>
      </c>
      <c r="G261" s="1750" t="s">
        <v>6310</v>
      </c>
      <c r="H261" s="962" t="str">
        <f t="shared" si="7"/>
        <v>034006700A</v>
      </c>
      <c r="I261" s="22">
        <v>253</v>
      </c>
      <c r="J261" s="4" t="str">
        <f t="shared" si="8"/>
        <v>1.253</v>
      </c>
    </row>
    <row r="262" spans="1:10" s="4" customFormat="1" ht="42.75">
      <c r="A262" s="1747" t="s">
        <v>281</v>
      </c>
      <c r="B262" s="1748" t="s">
        <v>1903</v>
      </c>
      <c r="C262" s="1749" t="s">
        <v>1875</v>
      </c>
      <c r="D262" s="678">
        <v>1</v>
      </c>
      <c r="E262" s="1287">
        <v>2062.4699999999998</v>
      </c>
      <c r="F262" s="678">
        <v>2062.4699999999998</v>
      </c>
      <c r="G262" s="1750" t="s">
        <v>6311</v>
      </c>
      <c r="H262" s="962" t="str">
        <f t="shared" si="7"/>
        <v>034006800A</v>
      </c>
      <c r="I262" s="22">
        <v>254</v>
      </c>
      <c r="J262" s="4" t="str">
        <f t="shared" si="8"/>
        <v>1.254</v>
      </c>
    </row>
    <row r="263" spans="1:10" s="4" customFormat="1" ht="42.75">
      <c r="A263" s="1747" t="s">
        <v>282</v>
      </c>
      <c r="B263" s="1748" t="s">
        <v>1910</v>
      </c>
      <c r="C263" s="1749" t="s">
        <v>1875</v>
      </c>
      <c r="D263" s="678">
        <v>1</v>
      </c>
      <c r="E263" s="1287">
        <v>3873.55</v>
      </c>
      <c r="F263" s="678">
        <v>3873.55</v>
      </c>
      <c r="G263" s="1750" t="s">
        <v>6312</v>
      </c>
      <c r="H263" s="962" t="str">
        <f t="shared" si="7"/>
        <v>034007200A</v>
      </c>
      <c r="I263" s="22">
        <v>255</v>
      </c>
      <c r="J263" s="4" t="str">
        <f t="shared" si="8"/>
        <v>1.255</v>
      </c>
    </row>
    <row r="264" spans="1:10" s="4" customFormat="1" ht="42.75">
      <c r="A264" s="1747" t="s">
        <v>283</v>
      </c>
      <c r="B264" s="1748" t="s">
        <v>1917</v>
      </c>
      <c r="C264" s="1749" t="s">
        <v>1875</v>
      </c>
      <c r="D264" s="678">
        <v>1</v>
      </c>
      <c r="E264" s="1287">
        <v>4499.47</v>
      </c>
      <c r="F264" s="678">
        <v>4499.47</v>
      </c>
      <c r="G264" s="1750" t="s">
        <v>6313</v>
      </c>
      <c r="H264" s="962" t="str">
        <f t="shared" si="7"/>
        <v>034007400A</v>
      </c>
      <c r="I264" s="22">
        <v>256</v>
      </c>
      <c r="J264" s="4" t="str">
        <f t="shared" si="8"/>
        <v>1.256</v>
      </c>
    </row>
    <row r="265" spans="1:10" s="4" customFormat="1" ht="42.75">
      <c r="A265" s="1747" t="s">
        <v>284</v>
      </c>
      <c r="B265" s="1748" t="s">
        <v>1924</v>
      </c>
      <c r="C265" s="1749" t="s">
        <v>1875</v>
      </c>
      <c r="D265" s="678">
        <v>1</v>
      </c>
      <c r="E265" s="1287">
        <v>5720.54</v>
      </c>
      <c r="F265" s="678">
        <v>5720.54</v>
      </c>
      <c r="G265" s="1750" t="s">
        <v>6314</v>
      </c>
      <c r="H265" s="962" t="str">
        <f t="shared" si="7"/>
        <v>034007600A</v>
      </c>
      <c r="I265" s="22">
        <v>257</v>
      </c>
      <c r="J265" s="4" t="str">
        <f t="shared" si="8"/>
        <v>1.257</v>
      </c>
    </row>
    <row r="266" spans="1:10" s="4" customFormat="1" ht="42.75">
      <c r="A266" s="1747" t="s">
        <v>285</v>
      </c>
      <c r="B266" s="1748" t="s">
        <v>1931</v>
      </c>
      <c r="C266" s="1749" t="s">
        <v>1875</v>
      </c>
      <c r="D266" s="678">
        <v>1</v>
      </c>
      <c r="E266" s="1287">
        <v>5104.87</v>
      </c>
      <c r="F266" s="678">
        <v>5104.87</v>
      </c>
      <c r="G266" s="1750" t="s">
        <v>6315</v>
      </c>
      <c r="H266" s="962" t="str">
        <f t="shared" ref="H266:H329" si="9">LEFT(G266, FIND(CHAR(10), G266) - 1)</f>
        <v>034007800A</v>
      </c>
      <c r="I266" s="22">
        <v>258</v>
      </c>
      <c r="J266" s="4" t="str">
        <f t="shared" si="8"/>
        <v>1.258</v>
      </c>
    </row>
    <row r="267" spans="1:10" s="4" customFormat="1" ht="47.25">
      <c r="A267" s="1747" t="s">
        <v>286</v>
      </c>
      <c r="B267" s="1748" t="s">
        <v>1938</v>
      </c>
      <c r="C267" s="1749" t="s">
        <v>1875</v>
      </c>
      <c r="D267" s="678">
        <v>1</v>
      </c>
      <c r="E267" s="1287">
        <v>2242.0300000000002</v>
      </c>
      <c r="F267" s="678">
        <v>2242.0300000000002</v>
      </c>
      <c r="G267" s="1750" t="s">
        <v>6316</v>
      </c>
      <c r="H267" s="962" t="str">
        <f t="shared" si="9"/>
        <v>034003112A</v>
      </c>
      <c r="I267" s="22">
        <v>259</v>
      </c>
      <c r="J267" s="4" t="str">
        <f t="shared" si="8"/>
        <v>1.259</v>
      </c>
    </row>
    <row r="268" spans="1:10" s="4" customFormat="1" ht="47.25">
      <c r="A268" s="1747" t="s">
        <v>287</v>
      </c>
      <c r="B268" s="1748" t="s">
        <v>1945</v>
      </c>
      <c r="C268" s="1749" t="s">
        <v>1875</v>
      </c>
      <c r="D268" s="678">
        <v>1</v>
      </c>
      <c r="E268" s="1287">
        <v>2467.7800000000002</v>
      </c>
      <c r="F268" s="678">
        <v>2467.7800000000002</v>
      </c>
      <c r="G268" s="1750" t="s">
        <v>6317</v>
      </c>
      <c r="H268" s="962" t="str">
        <f t="shared" si="9"/>
        <v>034003212A</v>
      </c>
      <c r="I268" s="22">
        <v>260</v>
      </c>
      <c r="J268" s="4" t="str">
        <f t="shared" si="8"/>
        <v>1.260</v>
      </c>
    </row>
    <row r="269" spans="1:10" s="4" customFormat="1" ht="47.25">
      <c r="A269" s="1747" t="s">
        <v>288</v>
      </c>
      <c r="B269" s="1748" t="s">
        <v>1952</v>
      </c>
      <c r="C269" s="1749" t="s">
        <v>1875</v>
      </c>
      <c r="D269" s="678">
        <v>1</v>
      </c>
      <c r="E269" s="1287">
        <v>2488.3000000000002</v>
      </c>
      <c r="F269" s="678">
        <v>2488.3000000000002</v>
      </c>
      <c r="G269" s="1750" t="s">
        <v>6318</v>
      </c>
      <c r="H269" s="962" t="str">
        <f t="shared" si="9"/>
        <v>034003312A</v>
      </c>
      <c r="I269" s="22">
        <v>261</v>
      </c>
      <c r="J269" s="4" t="str">
        <f t="shared" si="8"/>
        <v>1.261</v>
      </c>
    </row>
    <row r="270" spans="1:10" s="4" customFormat="1" ht="47.25">
      <c r="A270" s="1747" t="s">
        <v>289</v>
      </c>
      <c r="B270" s="1748" t="s">
        <v>1959</v>
      </c>
      <c r="C270" s="1749" t="s">
        <v>1875</v>
      </c>
      <c r="D270" s="678">
        <v>1</v>
      </c>
      <c r="E270" s="1287">
        <v>2365.17</v>
      </c>
      <c r="F270" s="678">
        <v>2365.17</v>
      </c>
      <c r="G270" s="1750" t="s">
        <v>6319</v>
      </c>
      <c r="H270" s="962" t="str">
        <f t="shared" si="9"/>
        <v>034003122A</v>
      </c>
      <c r="I270" s="22">
        <v>262</v>
      </c>
      <c r="J270" s="4" t="str">
        <f t="shared" si="8"/>
        <v>1.262</v>
      </c>
    </row>
    <row r="271" spans="1:10" s="4" customFormat="1" ht="47.25">
      <c r="A271" s="1747" t="s">
        <v>290</v>
      </c>
      <c r="B271" s="1748" t="s">
        <v>1966</v>
      </c>
      <c r="C271" s="1749" t="s">
        <v>1875</v>
      </c>
      <c r="D271" s="678">
        <v>1</v>
      </c>
      <c r="E271" s="1287">
        <v>2529.34</v>
      </c>
      <c r="F271" s="678">
        <v>2529.34</v>
      </c>
      <c r="G271" s="1750" t="s">
        <v>6320</v>
      </c>
      <c r="H271" s="962" t="str">
        <f t="shared" si="9"/>
        <v>034003222A</v>
      </c>
      <c r="I271" s="22">
        <v>263</v>
      </c>
      <c r="J271" s="4" t="str">
        <f t="shared" si="8"/>
        <v>1.263</v>
      </c>
    </row>
    <row r="272" spans="1:10" s="4" customFormat="1" ht="47.25">
      <c r="A272" s="1747" t="s">
        <v>291</v>
      </c>
      <c r="B272" s="1748" t="s">
        <v>1973</v>
      </c>
      <c r="C272" s="1749" t="s">
        <v>1875</v>
      </c>
      <c r="D272" s="678">
        <v>1</v>
      </c>
      <c r="E272" s="1287">
        <v>2652.49</v>
      </c>
      <c r="F272" s="678">
        <v>2652.49</v>
      </c>
      <c r="G272" s="1750" t="s">
        <v>6321</v>
      </c>
      <c r="H272" s="962" t="str">
        <f t="shared" si="9"/>
        <v>034003322A</v>
      </c>
      <c r="I272" s="22">
        <v>264</v>
      </c>
      <c r="J272" s="4" t="str">
        <f t="shared" si="8"/>
        <v>1.264</v>
      </c>
    </row>
    <row r="273" spans="1:10" s="4" customFormat="1" ht="47.25">
      <c r="A273" s="1747" t="s">
        <v>292</v>
      </c>
      <c r="B273" s="1748" t="s">
        <v>1980</v>
      </c>
      <c r="C273" s="1749" t="s">
        <v>1875</v>
      </c>
      <c r="D273" s="678">
        <v>1</v>
      </c>
      <c r="E273" s="1287">
        <v>4612.34</v>
      </c>
      <c r="F273" s="678">
        <v>4612.34</v>
      </c>
      <c r="G273" s="1750" t="s">
        <v>6322</v>
      </c>
      <c r="H273" s="962" t="str">
        <f t="shared" si="9"/>
        <v>034004112A</v>
      </c>
      <c r="I273" s="22">
        <v>265</v>
      </c>
      <c r="J273" s="4" t="str">
        <f t="shared" si="8"/>
        <v>1.265</v>
      </c>
    </row>
    <row r="274" spans="1:10" s="4" customFormat="1" ht="47.25">
      <c r="A274" s="1747" t="s">
        <v>293</v>
      </c>
      <c r="B274" s="1748" t="s">
        <v>1987</v>
      </c>
      <c r="C274" s="1749" t="s">
        <v>1875</v>
      </c>
      <c r="D274" s="678">
        <v>1</v>
      </c>
      <c r="E274" s="1287">
        <v>5115.13</v>
      </c>
      <c r="F274" s="678">
        <v>5115.13</v>
      </c>
      <c r="G274" s="1750" t="s">
        <v>6323</v>
      </c>
      <c r="H274" s="962" t="str">
        <f t="shared" si="9"/>
        <v>034004212A</v>
      </c>
      <c r="I274" s="22">
        <v>266</v>
      </c>
      <c r="J274" s="4" t="str">
        <f t="shared" si="8"/>
        <v>1.266</v>
      </c>
    </row>
    <row r="275" spans="1:10" s="4" customFormat="1" ht="47.25">
      <c r="A275" s="1747" t="s">
        <v>294</v>
      </c>
      <c r="B275" s="1748" t="s">
        <v>1994</v>
      </c>
      <c r="C275" s="1749" t="s">
        <v>1875</v>
      </c>
      <c r="D275" s="678">
        <v>1</v>
      </c>
      <c r="E275" s="1287">
        <v>5720.54</v>
      </c>
      <c r="F275" s="678">
        <v>5720.54</v>
      </c>
      <c r="G275" s="1750" t="s">
        <v>6324</v>
      </c>
      <c r="H275" s="962" t="str">
        <f t="shared" si="9"/>
        <v>034004312A</v>
      </c>
      <c r="I275" s="22">
        <v>267</v>
      </c>
      <c r="J275" s="4" t="str">
        <f t="shared" si="8"/>
        <v>1.267</v>
      </c>
    </row>
    <row r="276" spans="1:10" s="4" customFormat="1" ht="47.25">
      <c r="A276" s="1747" t="s">
        <v>295</v>
      </c>
      <c r="B276" s="1748" t="s">
        <v>2001</v>
      </c>
      <c r="C276" s="1749" t="s">
        <v>1875</v>
      </c>
      <c r="D276" s="678">
        <v>1</v>
      </c>
      <c r="E276" s="1287">
        <v>4663.6400000000003</v>
      </c>
      <c r="F276" s="678">
        <v>4663.6400000000003</v>
      </c>
      <c r="G276" s="1750" t="s">
        <v>6325</v>
      </c>
      <c r="H276" s="962" t="str">
        <f t="shared" si="9"/>
        <v>034004122A</v>
      </c>
      <c r="I276" s="22">
        <v>268</v>
      </c>
      <c r="J276" s="4" t="str">
        <f t="shared" si="8"/>
        <v>1.268</v>
      </c>
    </row>
    <row r="277" spans="1:10" s="4" customFormat="1" ht="47.25">
      <c r="A277" s="1747" t="s">
        <v>296</v>
      </c>
      <c r="B277" s="1748" t="s">
        <v>2008</v>
      </c>
      <c r="C277" s="1749" t="s">
        <v>1875</v>
      </c>
      <c r="D277" s="678">
        <v>1</v>
      </c>
      <c r="E277" s="1287">
        <v>5238.26</v>
      </c>
      <c r="F277" s="678">
        <v>5238.26</v>
      </c>
      <c r="G277" s="1750" t="s">
        <v>6326</v>
      </c>
      <c r="H277" s="962" t="str">
        <f t="shared" si="9"/>
        <v>034004222A</v>
      </c>
      <c r="I277" s="22">
        <v>269</v>
      </c>
      <c r="J277" s="4" t="str">
        <f t="shared" si="8"/>
        <v>1.269</v>
      </c>
    </row>
    <row r="278" spans="1:10" s="4" customFormat="1" ht="47.25">
      <c r="A278" s="1747" t="s">
        <v>297</v>
      </c>
      <c r="B278" s="1748" t="s">
        <v>2015</v>
      </c>
      <c r="C278" s="1749" t="s">
        <v>1875</v>
      </c>
      <c r="D278" s="678">
        <v>1</v>
      </c>
      <c r="E278" s="1287">
        <v>6059.15</v>
      </c>
      <c r="F278" s="678">
        <v>6059.15</v>
      </c>
      <c r="G278" s="1750" t="s">
        <v>6327</v>
      </c>
      <c r="H278" s="962" t="str">
        <f t="shared" si="9"/>
        <v>034004322A</v>
      </c>
      <c r="I278" s="22">
        <v>270</v>
      </c>
      <c r="J278" s="4" t="str">
        <f t="shared" si="8"/>
        <v>1.270</v>
      </c>
    </row>
    <row r="279" spans="1:10" s="4" customFormat="1" ht="47.25">
      <c r="A279" s="1747" t="s">
        <v>298</v>
      </c>
      <c r="B279" s="1748" t="s">
        <v>4664</v>
      </c>
      <c r="C279" s="1749" t="s">
        <v>1689</v>
      </c>
      <c r="D279" s="678">
        <v>1</v>
      </c>
      <c r="E279" s="1287">
        <v>6624.53</v>
      </c>
      <c r="F279" s="678">
        <v>6624.53</v>
      </c>
      <c r="G279" s="1750" t="s">
        <v>6328</v>
      </c>
      <c r="H279" s="962" t="str">
        <f t="shared" si="9"/>
        <v>055307B008</v>
      </c>
      <c r="I279" s="22">
        <v>271</v>
      </c>
      <c r="J279" s="4" t="str">
        <f t="shared" si="8"/>
        <v>1.271</v>
      </c>
    </row>
    <row r="280" spans="1:10" s="4" customFormat="1" ht="47.25">
      <c r="A280" s="1747" t="s">
        <v>299</v>
      </c>
      <c r="B280" s="1748" t="s">
        <v>4666</v>
      </c>
      <c r="C280" s="1749" t="s">
        <v>1689</v>
      </c>
      <c r="D280" s="678">
        <v>1</v>
      </c>
      <c r="E280" s="1287">
        <v>7806.61</v>
      </c>
      <c r="F280" s="678">
        <v>7806.61</v>
      </c>
      <c r="G280" s="1750" t="s">
        <v>6329</v>
      </c>
      <c r="H280" s="962" t="str">
        <f t="shared" si="9"/>
        <v>055307c008</v>
      </c>
      <c r="I280" s="22">
        <v>272</v>
      </c>
      <c r="J280" s="4" t="str">
        <f t="shared" si="8"/>
        <v>1.272</v>
      </c>
    </row>
    <row r="281" spans="1:10" s="4" customFormat="1" ht="47.25">
      <c r="A281" s="1747" t="s">
        <v>300</v>
      </c>
      <c r="B281" s="1748" t="s">
        <v>4668</v>
      </c>
      <c r="C281" s="1749" t="s">
        <v>1689</v>
      </c>
      <c r="D281" s="678">
        <v>1</v>
      </c>
      <c r="E281" s="1287">
        <v>8988.68</v>
      </c>
      <c r="F281" s="678">
        <v>8988.68</v>
      </c>
      <c r="G281" s="1750" t="s">
        <v>6330</v>
      </c>
      <c r="H281" s="962" t="str">
        <f t="shared" si="9"/>
        <v>055307D008</v>
      </c>
      <c r="I281" s="22">
        <v>273</v>
      </c>
      <c r="J281" s="4" t="str">
        <f t="shared" si="8"/>
        <v>1.273</v>
      </c>
    </row>
    <row r="282" spans="1:10" s="4" customFormat="1" ht="42.75">
      <c r="A282" s="1747" t="s">
        <v>301</v>
      </c>
      <c r="B282" s="1748" t="s">
        <v>2022</v>
      </c>
      <c r="C282" s="1749" t="s">
        <v>1689</v>
      </c>
      <c r="D282" s="678">
        <v>1</v>
      </c>
      <c r="E282" s="1287">
        <v>2262.02</v>
      </c>
      <c r="F282" s="678">
        <v>2262.02</v>
      </c>
      <c r="G282" s="1750" t="s">
        <v>6331</v>
      </c>
      <c r="H282" s="962" t="str">
        <f t="shared" si="9"/>
        <v>0553082008</v>
      </c>
      <c r="I282" s="22">
        <v>274</v>
      </c>
      <c r="J282" s="4" t="str">
        <f t="shared" si="8"/>
        <v>1.274</v>
      </c>
    </row>
    <row r="283" spans="1:10" s="4" customFormat="1" ht="42.75">
      <c r="A283" s="1747" t="s">
        <v>302</v>
      </c>
      <c r="B283" s="1748" t="s">
        <v>2029</v>
      </c>
      <c r="C283" s="1749" t="s">
        <v>1689</v>
      </c>
      <c r="D283" s="678">
        <v>1</v>
      </c>
      <c r="E283" s="1287">
        <v>2851.2</v>
      </c>
      <c r="F283" s="678">
        <v>2851.2</v>
      </c>
      <c r="G283" s="1750" t="s">
        <v>6332</v>
      </c>
      <c r="H283" s="962" t="str">
        <f t="shared" si="9"/>
        <v>0553083008</v>
      </c>
      <c r="I283" s="22">
        <v>275</v>
      </c>
      <c r="J283" s="4" t="str">
        <f t="shared" si="8"/>
        <v>1.275</v>
      </c>
    </row>
    <row r="284" spans="1:10" s="4" customFormat="1" ht="42.75">
      <c r="A284" s="1747" t="s">
        <v>303</v>
      </c>
      <c r="B284" s="1748" t="s">
        <v>2032</v>
      </c>
      <c r="C284" s="1749" t="s">
        <v>1689</v>
      </c>
      <c r="D284" s="678">
        <v>1</v>
      </c>
      <c r="E284" s="1287">
        <v>3119.36</v>
      </c>
      <c r="F284" s="678">
        <v>3119.36</v>
      </c>
      <c r="G284" s="1750" t="s">
        <v>6333</v>
      </c>
      <c r="H284" s="962" t="str">
        <f t="shared" si="9"/>
        <v>0553072008</v>
      </c>
      <c r="I284" s="22">
        <v>276</v>
      </c>
      <c r="J284" s="4" t="str">
        <f t="shared" si="8"/>
        <v>1.276</v>
      </c>
    </row>
    <row r="285" spans="1:10" s="4" customFormat="1" ht="42.75">
      <c r="A285" s="1747" t="s">
        <v>304</v>
      </c>
      <c r="B285" s="1748" t="s">
        <v>2037</v>
      </c>
      <c r="C285" s="1749" t="s">
        <v>1689</v>
      </c>
      <c r="D285" s="678">
        <v>1</v>
      </c>
      <c r="E285" s="1287">
        <v>3591.36</v>
      </c>
      <c r="F285" s="678">
        <v>3591.36</v>
      </c>
      <c r="G285" s="1750" t="s">
        <v>6334</v>
      </c>
      <c r="H285" s="962" t="str">
        <f t="shared" si="9"/>
        <v>0553073008</v>
      </c>
      <c r="I285" s="22">
        <v>277</v>
      </c>
      <c r="J285" s="4" t="str">
        <f t="shared" si="8"/>
        <v>1.277</v>
      </c>
    </row>
    <row r="286" spans="1:10" s="4" customFormat="1" ht="42.75">
      <c r="A286" s="1747" t="s">
        <v>305</v>
      </c>
      <c r="B286" s="1748" t="s">
        <v>2042</v>
      </c>
      <c r="C286" s="1749" t="s">
        <v>1689</v>
      </c>
      <c r="D286" s="678">
        <v>1</v>
      </c>
      <c r="E286" s="1287">
        <v>3929.98</v>
      </c>
      <c r="F286" s="678">
        <v>3929.98</v>
      </c>
      <c r="G286" s="1750" t="s">
        <v>6335</v>
      </c>
      <c r="H286" s="962" t="str">
        <f t="shared" si="9"/>
        <v>0553074008</v>
      </c>
      <c r="I286" s="22">
        <v>278</v>
      </c>
      <c r="J286" s="4" t="str">
        <f t="shared" si="8"/>
        <v>1.278</v>
      </c>
    </row>
    <row r="287" spans="1:10" s="4" customFormat="1" ht="42.75">
      <c r="A287" s="1747" t="s">
        <v>306</v>
      </c>
      <c r="B287" s="1748" t="s">
        <v>2047</v>
      </c>
      <c r="C287" s="1749" t="s">
        <v>18</v>
      </c>
      <c r="D287" s="678">
        <v>100</v>
      </c>
      <c r="E287" s="1287">
        <v>88.49</v>
      </c>
      <c r="F287" s="678">
        <v>8849</v>
      </c>
      <c r="G287" s="1750" t="s">
        <v>6336</v>
      </c>
      <c r="H287" s="962" t="str">
        <f t="shared" si="9"/>
        <v>0553070009</v>
      </c>
      <c r="I287" s="22">
        <v>279</v>
      </c>
      <c r="J287" s="4" t="str">
        <f t="shared" si="8"/>
        <v>1.279</v>
      </c>
    </row>
    <row r="288" spans="1:10" s="4" customFormat="1" ht="42.75">
      <c r="A288" s="1747" t="s">
        <v>307</v>
      </c>
      <c r="B288" s="1748" t="s">
        <v>2054</v>
      </c>
      <c r="C288" s="1749" t="s">
        <v>1689</v>
      </c>
      <c r="D288" s="678">
        <v>1</v>
      </c>
      <c r="E288" s="1287">
        <v>3601.62</v>
      </c>
      <c r="F288" s="678">
        <v>3601.62</v>
      </c>
      <c r="G288" s="1750" t="s">
        <v>6337</v>
      </c>
      <c r="H288" s="962" t="str">
        <f t="shared" si="9"/>
        <v>0553062008</v>
      </c>
      <c r="I288" s="22">
        <v>280</v>
      </c>
      <c r="J288" s="4" t="str">
        <f t="shared" si="8"/>
        <v>1.280</v>
      </c>
    </row>
    <row r="289" spans="1:10" s="4" customFormat="1" ht="42.75">
      <c r="A289" s="1747" t="s">
        <v>308</v>
      </c>
      <c r="B289" s="1748" t="s">
        <v>2059</v>
      </c>
      <c r="C289" s="1749" t="s">
        <v>1689</v>
      </c>
      <c r="D289" s="678">
        <v>1</v>
      </c>
      <c r="E289" s="1287">
        <v>4114.67</v>
      </c>
      <c r="F289" s="678">
        <v>4114.67</v>
      </c>
      <c r="G289" s="1750" t="s">
        <v>6338</v>
      </c>
      <c r="H289" s="962" t="str">
        <f t="shared" si="9"/>
        <v>0553063008</v>
      </c>
      <c r="I289" s="22">
        <v>281</v>
      </c>
      <c r="J289" s="4" t="str">
        <f t="shared" si="8"/>
        <v>1.281</v>
      </c>
    </row>
    <row r="290" spans="1:10" s="4" customFormat="1" ht="42.75">
      <c r="A290" s="1747" t="s">
        <v>309</v>
      </c>
      <c r="B290" s="1748" t="s">
        <v>2064</v>
      </c>
      <c r="C290" s="1749" t="s">
        <v>1689</v>
      </c>
      <c r="D290" s="678">
        <v>1</v>
      </c>
      <c r="E290" s="1287">
        <v>4730.34</v>
      </c>
      <c r="F290" s="678">
        <v>4730.34</v>
      </c>
      <c r="G290" s="1750" t="s">
        <v>6339</v>
      </c>
      <c r="H290" s="962" t="str">
        <f t="shared" si="9"/>
        <v>0553064008</v>
      </c>
      <c r="I290" s="22">
        <v>282</v>
      </c>
      <c r="J290" s="4" t="str">
        <f t="shared" si="8"/>
        <v>1.282</v>
      </c>
    </row>
    <row r="291" spans="1:10" s="4" customFormat="1" ht="47.25">
      <c r="A291" s="1747" t="s">
        <v>310</v>
      </c>
      <c r="B291" s="1748" t="s">
        <v>2069</v>
      </c>
      <c r="C291" s="1749" t="s">
        <v>1875</v>
      </c>
      <c r="D291" s="678">
        <v>1</v>
      </c>
      <c r="E291" s="1287">
        <v>6731.26</v>
      </c>
      <c r="F291" s="678">
        <v>6731.26</v>
      </c>
      <c r="G291" s="1750" t="s">
        <v>6340</v>
      </c>
      <c r="H291" s="962" t="str">
        <f t="shared" si="9"/>
        <v>03400K102A</v>
      </c>
      <c r="I291" s="22">
        <v>283</v>
      </c>
      <c r="J291" s="4" t="str">
        <f t="shared" si="8"/>
        <v>1.283</v>
      </c>
    </row>
    <row r="292" spans="1:10" s="4" customFormat="1" ht="47.25">
      <c r="A292" s="1747" t="s">
        <v>311</v>
      </c>
      <c r="B292" s="1748" t="s">
        <v>2076</v>
      </c>
      <c r="C292" s="1749" t="s">
        <v>1875</v>
      </c>
      <c r="D292" s="678">
        <v>1</v>
      </c>
      <c r="E292" s="1287">
        <v>4176.24</v>
      </c>
      <c r="F292" s="678">
        <v>4176.24</v>
      </c>
      <c r="G292" s="1750" t="s">
        <v>6341</v>
      </c>
      <c r="H292" s="962" t="str">
        <f t="shared" si="9"/>
        <v>03400M102A</v>
      </c>
      <c r="I292" s="22">
        <v>284</v>
      </c>
      <c r="J292" s="4" t="str">
        <f t="shared" si="8"/>
        <v>1.284</v>
      </c>
    </row>
    <row r="293" spans="1:10" s="4" customFormat="1" ht="42.75">
      <c r="A293" s="1747" t="s">
        <v>312</v>
      </c>
      <c r="B293" s="1748" t="s">
        <v>2083</v>
      </c>
      <c r="C293" s="1749" t="s">
        <v>1875</v>
      </c>
      <c r="D293" s="678">
        <v>1</v>
      </c>
      <c r="E293" s="1287">
        <v>16038.02</v>
      </c>
      <c r="F293" s="678">
        <v>16038.02</v>
      </c>
      <c r="G293" s="1750" t="s">
        <v>6342</v>
      </c>
      <c r="H293" s="962" t="str">
        <f t="shared" si="9"/>
        <v>02631P110C</v>
      </c>
      <c r="I293" s="22">
        <v>285</v>
      </c>
      <c r="J293" s="4" t="str">
        <f t="shared" si="8"/>
        <v>1.285</v>
      </c>
    </row>
    <row r="294" spans="1:10" s="4" customFormat="1" ht="42.75">
      <c r="A294" s="1747" t="s">
        <v>313</v>
      </c>
      <c r="B294" s="1748" t="s">
        <v>2090</v>
      </c>
      <c r="C294" s="1749" t="s">
        <v>1875</v>
      </c>
      <c r="D294" s="678">
        <v>1</v>
      </c>
      <c r="E294" s="1287">
        <v>10763.84</v>
      </c>
      <c r="F294" s="678">
        <v>10763.84</v>
      </c>
      <c r="G294" s="1750" t="s">
        <v>6343</v>
      </c>
      <c r="H294" s="962" t="str">
        <f t="shared" si="9"/>
        <v>02631P212C</v>
      </c>
      <c r="I294" s="22">
        <v>286</v>
      </c>
      <c r="J294" s="4" t="str">
        <f t="shared" si="8"/>
        <v>1.286</v>
      </c>
    </row>
    <row r="295" spans="1:10" s="4" customFormat="1" ht="42.75">
      <c r="A295" s="1747" t="s">
        <v>314</v>
      </c>
      <c r="B295" s="1748" t="s">
        <v>2097</v>
      </c>
      <c r="C295" s="1749" t="s">
        <v>1875</v>
      </c>
      <c r="D295" s="678">
        <v>1</v>
      </c>
      <c r="E295" s="1287">
        <v>10086.61</v>
      </c>
      <c r="F295" s="678">
        <v>10086.61</v>
      </c>
      <c r="G295" s="1750" t="s">
        <v>6344</v>
      </c>
      <c r="H295" s="962" t="str">
        <f t="shared" si="9"/>
        <v>02631P211C</v>
      </c>
      <c r="I295" s="22">
        <v>287</v>
      </c>
      <c r="J295" s="4" t="str">
        <f t="shared" si="8"/>
        <v>1.287</v>
      </c>
    </row>
    <row r="296" spans="1:10" s="4" customFormat="1" ht="47.25">
      <c r="A296" s="1747" t="s">
        <v>315</v>
      </c>
      <c r="B296" s="1748" t="s">
        <v>2102</v>
      </c>
      <c r="C296" s="1749" t="s">
        <v>1818</v>
      </c>
      <c r="D296" s="678">
        <v>1</v>
      </c>
      <c r="E296" s="1287">
        <v>24247.96</v>
      </c>
      <c r="F296" s="678">
        <v>24247.96</v>
      </c>
      <c r="G296" s="1750" t="s">
        <v>6345</v>
      </c>
      <c r="H296" s="962" t="str">
        <f t="shared" si="9"/>
        <v>055626021C</v>
      </c>
      <c r="I296" s="22">
        <v>288</v>
      </c>
      <c r="J296" s="4" t="str">
        <f t="shared" si="8"/>
        <v>1.288</v>
      </c>
    </row>
    <row r="297" spans="1:10" s="4" customFormat="1" ht="42.75">
      <c r="A297" s="1747" t="s">
        <v>316</v>
      </c>
      <c r="B297" s="1748" t="s">
        <v>2112</v>
      </c>
      <c r="C297" s="1749" t="s">
        <v>1818</v>
      </c>
      <c r="D297" s="678">
        <v>1</v>
      </c>
      <c r="E297" s="1287">
        <v>23458.95</v>
      </c>
      <c r="F297" s="678">
        <v>23458.95</v>
      </c>
      <c r="G297" s="1750" t="s">
        <v>6346</v>
      </c>
      <c r="H297" s="962" t="str">
        <f t="shared" si="9"/>
        <v>055626011C</v>
      </c>
      <c r="I297" s="22">
        <v>289</v>
      </c>
      <c r="J297" s="4" t="str">
        <f t="shared" si="8"/>
        <v>1.289</v>
      </c>
    </row>
    <row r="298" spans="1:10" s="4" customFormat="1" ht="42.75">
      <c r="A298" s="1747" t="s">
        <v>317</v>
      </c>
      <c r="B298" s="1748" t="s">
        <v>2115</v>
      </c>
      <c r="C298" s="1749" t="s">
        <v>1875</v>
      </c>
      <c r="D298" s="678">
        <v>1</v>
      </c>
      <c r="E298" s="1287">
        <v>4642.1000000000004</v>
      </c>
      <c r="F298" s="678">
        <v>4642.1000000000004</v>
      </c>
      <c r="G298" s="1750" t="s">
        <v>6347</v>
      </c>
      <c r="H298" s="962" t="str">
        <f t="shared" si="9"/>
        <v>02631T210C</v>
      </c>
      <c r="I298" s="22">
        <v>290</v>
      </c>
      <c r="J298" s="4" t="str">
        <f t="shared" si="8"/>
        <v>1.290</v>
      </c>
    </row>
    <row r="299" spans="1:10" s="4" customFormat="1" ht="42.75">
      <c r="A299" s="1747" t="s">
        <v>318</v>
      </c>
      <c r="B299" s="1748" t="s">
        <v>2124</v>
      </c>
      <c r="C299" s="1749" t="s">
        <v>1875</v>
      </c>
      <c r="D299" s="678">
        <v>1</v>
      </c>
      <c r="E299" s="1287">
        <v>7580.87</v>
      </c>
      <c r="F299" s="678">
        <v>7580.87</v>
      </c>
      <c r="G299" s="1750" t="s">
        <v>6348</v>
      </c>
      <c r="H299" s="962" t="str">
        <f t="shared" si="9"/>
        <v>02631T220C</v>
      </c>
      <c r="I299" s="22">
        <v>291</v>
      </c>
      <c r="J299" s="4" t="str">
        <f t="shared" si="8"/>
        <v>1.291</v>
      </c>
    </row>
    <row r="300" spans="1:10" s="4" customFormat="1" ht="42.75">
      <c r="A300" s="1747" t="s">
        <v>319</v>
      </c>
      <c r="B300" s="1748" t="s">
        <v>2129</v>
      </c>
      <c r="C300" s="1749" t="s">
        <v>1875</v>
      </c>
      <c r="D300" s="678">
        <v>1</v>
      </c>
      <c r="E300" s="1287">
        <v>3821.22</v>
      </c>
      <c r="F300" s="678">
        <v>3821.22</v>
      </c>
      <c r="G300" s="1750" t="s">
        <v>6349</v>
      </c>
      <c r="H300" s="962" t="str">
        <f t="shared" si="9"/>
        <v>02631T110C</v>
      </c>
      <c r="I300" s="22">
        <v>292</v>
      </c>
      <c r="J300" s="4" t="str">
        <f t="shared" si="8"/>
        <v>1.292</v>
      </c>
    </row>
    <row r="301" spans="1:10" s="4" customFormat="1" ht="42.75">
      <c r="A301" s="1747" t="s">
        <v>320</v>
      </c>
      <c r="B301" s="1748" t="s">
        <v>2134</v>
      </c>
      <c r="C301" s="1749" t="s">
        <v>1875</v>
      </c>
      <c r="D301" s="678">
        <v>1</v>
      </c>
      <c r="E301" s="1287">
        <v>4652.37</v>
      </c>
      <c r="F301" s="678">
        <v>4652.37</v>
      </c>
      <c r="G301" s="1750" t="s">
        <v>6350</v>
      </c>
      <c r="H301" s="962" t="str">
        <f t="shared" si="9"/>
        <v>02631S000C</v>
      </c>
      <c r="I301" s="22">
        <v>293</v>
      </c>
      <c r="J301" s="4" t="str">
        <f t="shared" si="8"/>
        <v>1.293</v>
      </c>
    </row>
    <row r="302" spans="1:10" s="4" customFormat="1" ht="42.75">
      <c r="A302" s="1747" t="s">
        <v>321</v>
      </c>
      <c r="B302" s="1748" t="s">
        <v>2141</v>
      </c>
      <c r="C302" s="1749" t="s">
        <v>3</v>
      </c>
      <c r="D302" s="678">
        <v>5</v>
      </c>
      <c r="E302" s="1287">
        <v>1631.2</v>
      </c>
      <c r="F302" s="678">
        <v>8156</v>
      </c>
      <c r="G302" s="1750" t="s">
        <v>6351</v>
      </c>
      <c r="H302" s="962" t="str">
        <f t="shared" si="9"/>
        <v>0277850021</v>
      </c>
      <c r="I302" s="22">
        <v>294</v>
      </c>
      <c r="J302" s="4" t="str">
        <f t="shared" si="8"/>
        <v>1.294</v>
      </c>
    </row>
    <row r="303" spans="1:10" s="4" customFormat="1" ht="42.75">
      <c r="A303" s="1747" t="s">
        <v>322</v>
      </c>
      <c r="B303" s="1748" t="s">
        <v>3641</v>
      </c>
      <c r="C303" s="1749" t="s">
        <v>1875</v>
      </c>
      <c r="D303" s="678">
        <v>5</v>
      </c>
      <c r="E303" s="1287">
        <v>3427.19</v>
      </c>
      <c r="F303" s="678">
        <v>17135.95</v>
      </c>
      <c r="G303" s="1750" t="s">
        <v>6352</v>
      </c>
      <c r="H303" s="962" t="str">
        <f t="shared" si="9"/>
        <v>02631J0000C</v>
      </c>
      <c r="I303" s="22">
        <v>295</v>
      </c>
      <c r="J303" s="4" t="str">
        <f t="shared" si="8"/>
        <v>1.295</v>
      </c>
    </row>
    <row r="304" spans="1:10" s="4" customFormat="1" ht="31.5">
      <c r="A304" s="1747" t="s">
        <v>323</v>
      </c>
      <c r="B304" s="1748" t="s">
        <v>3271</v>
      </c>
      <c r="C304" s="1749" t="s">
        <v>3</v>
      </c>
      <c r="D304" s="678">
        <v>2</v>
      </c>
      <c r="E304" s="1287">
        <v>1494.33</v>
      </c>
      <c r="F304" s="678">
        <v>2988.66</v>
      </c>
      <c r="G304" s="1750" t="s">
        <v>3272</v>
      </c>
      <c r="H304" s="962" t="str">
        <f t="shared" si="9"/>
        <v>M0963710902</v>
      </c>
      <c r="I304" s="22">
        <v>296</v>
      </c>
      <c r="J304" s="4" t="str">
        <f t="shared" si="8"/>
        <v>1.296</v>
      </c>
    </row>
    <row r="305" spans="1:10" s="4" customFormat="1" ht="31.5">
      <c r="A305" s="1747" t="s">
        <v>324</v>
      </c>
      <c r="B305" s="1748" t="s">
        <v>3273</v>
      </c>
      <c r="C305" s="1749" t="s">
        <v>3</v>
      </c>
      <c r="D305" s="678">
        <v>5</v>
      </c>
      <c r="E305" s="1287">
        <v>144.44999999999999</v>
      </c>
      <c r="F305" s="678">
        <v>722.25</v>
      </c>
      <c r="G305" s="1750" t="s">
        <v>3274</v>
      </c>
      <c r="H305" s="962" t="str">
        <f t="shared" si="9"/>
        <v>0234210212</v>
      </c>
      <c r="I305" s="22">
        <v>297</v>
      </c>
      <c r="J305" s="4" t="str">
        <f t="shared" si="8"/>
        <v>1.297</v>
      </c>
    </row>
    <row r="306" spans="1:10" s="4" customFormat="1" ht="42.75">
      <c r="A306" s="1747" t="s">
        <v>325</v>
      </c>
      <c r="B306" s="1748" t="s">
        <v>2146</v>
      </c>
      <c r="C306" s="1749" t="s">
        <v>3</v>
      </c>
      <c r="D306" s="678">
        <v>5</v>
      </c>
      <c r="E306" s="1287">
        <v>2486.2800000000002</v>
      </c>
      <c r="F306" s="678">
        <v>12431.4</v>
      </c>
      <c r="G306" s="1750" t="s">
        <v>6353</v>
      </c>
      <c r="H306" s="962" t="str">
        <f t="shared" si="9"/>
        <v>06100M0002</v>
      </c>
      <c r="I306" s="22">
        <v>298</v>
      </c>
      <c r="J306" s="4" t="str">
        <f t="shared" si="8"/>
        <v>1.298</v>
      </c>
    </row>
    <row r="307" spans="1:10" s="4" customFormat="1" ht="42.75">
      <c r="A307" s="1747" t="s">
        <v>326</v>
      </c>
      <c r="B307" s="1748" t="s">
        <v>2158</v>
      </c>
      <c r="C307" s="1749" t="s">
        <v>1497</v>
      </c>
      <c r="D307" s="678">
        <v>10</v>
      </c>
      <c r="E307" s="1287">
        <v>270.89</v>
      </c>
      <c r="F307" s="678">
        <v>2708.9</v>
      </c>
      <c r="G307" s="1750" t="s">
        <v>6354</v>
      </c>
      <c r="H307" s="962" t="str">
        <f t="shared" si="9"/>
        <v>06100M000B</v>
      </c>
      <c r="I307" s="22">
        <v>299</v>
      </c>
      <c r="J307" s="4" t="str">
        <f t="shared" si="8"/>
        <v>1.299</v>
      </c>
    </row>
    <row r="308" spans="1:10" s="4" customFormat="1" ht="42.75">
      <c r="A308" s="1747" t="s">
        <v>327</v>
      </c>
      <c r="B308" s="1748" t="s">
        <v>912</v>
      </c>
      <c r="C308" s="1749" t="s">
        <v>3</v>
      </c>
      <c r="D308" s="678">
        <v>10</v>
      </c>
      <c r="E308" s="1287">
        <v>700.83</v>
      </c>
      <c r="F308" s="678">
        <v>7008.3</v>
      </c>
      <c r="G308" s="1750" t="s">
        <v>6355</v>
      </c>
      <c r="H308" s="962" t="str">
        <f t="shared" si="9"/>
        <v>0991002002</v>
      </c>
      <c r="I308" s="22">
        <v>300</v>
      </c>
      <c r="J308" s="4" t="str">
        <f t="shared" si="8"/>
        <v>1.300</v>
      </c>
    </row>
    <row r="309" spans="1:10" ht="28.5">
      <c r="A309" s="1747" t="s">
        <v>328</v>
      </c>
      <c r="B309" s="1748" t="s">
        <v>3278</v>
      </c>
      <c r="C309" s="1749" t="s">
        <v>2149</v>
      </c>
      <c r="D309" s="678">
        <v>10</v>
      </c>
      <c r="E309" s="1287">
        <v>249.05</v>
      </c>
      <c r="F309" s="678">
        <v>2490.5</v>
      </c>
      <c r="G309" s="1750" t="s">
        <v>3279</v>
      </c>
      <c r="H309" s="962" t="str">
        <f t="shared" si="9"/>
        <v>M06060B00SB</v>
      </c>
      <c r="I309" s="22">
        <v>301</v>
      </c>
      <c r="J309" s="4" t="str">
        <f t="shared" si="8"/>
        <v>1.301</v>
      </c>
    </row>
    <row r="310" spans="1:10" ht="42.75">
      <c r="A310" s="1747" t="s">
        <v>329</v>
      </c>
      <c r="B310" s="1748" t="s">
        <v>2169</v>
      </c>
      <c r="C310" s="1749" t="s">
        <v>17</v>
      </c>
      <c r="D310" s="678">
        <v>10</v>
      </c>
      <c r="E310" s="1287">
        <v>138.47999999999999</v>
      </c>
      <c r="F310" s="678">
        <v>1384.8</v>
      </c>
      <c r="G310" s="1750" t="s">
        <v>6356</v>
      </c>
      <c r="H310" s="962" t="str">
        <f t="shared" si="9"/>
        <v>0315030001</v>
      </c>
      <c r="I310" s="22">
        <v>302</v>
      </c>
      <c r="J310" s="4" t="str">
        <f t="shared" si="8"/>
        <v>1.302</v>
      </c>
    </row>
    <row r="311" spans="1:10" ht="42.75">
      <c r="A311" s="1747" t="s">
        <v>330</v>
      </c>
      <c r="B311" s="1748" t="s">
        <v>3642</v>
      </c>
      <c r="C311" s="1749" t="s">
        <v>17</v>
      </c>
      <c r="D311" s="678">
        <v>10</v>
      </c>
      <c r="E311" s="1287">
        <v>117.96</v>
      </c>
      <c r="F311" s="678">
        <v>1179.5999999999999</v>
      </c>
      <c r="G311" s="1750" t="s">
        <v>6357</v>
      </c>
      <c r="H311" s="962" t="str">
        <f t="shared" si="9"/>
        <v>031503E001</v>
      </c>
      <c r="I311" s="22">
        <v>303</v>
      </c>
      <c r="J311" s="4" t="str">
        <f t="shared" si="8"/>
        <v>1.303</v>
      </c>
    </row>
    <row r="312" spans="1:10" ht="42.75">
      <c r="A312" s="1747" t="s">
        <v>331</v>
      </c>
      <c r="B312" s="1748" t="s">
        <v>4697</v>
      </c>
      <c r="C312" s="1749" t="s">
        <v>17</v>
      </c>
      <c r="D312" s="678">
        <v>10</v>
      </c>
      <c r="E312" s="1287">
        <v>177.93</v>
      </c>
      <c r="F312" s="678">
        <v>1779.3</v>
      </c>
      <c r="G312" s="1750" t="s">
        <v>6358</v>
      </c>
      <c r="H312" s="962" t="str">
        <f t="shared" si="9"/>
        <v>031503E0N1</v>
      </c>
      <c r="I312" s="22">
        <v>304</v>
      </c>
      <c r="J312" s="4" t="str">
        <f t="shared" si="8"/>
        <v>1.304</v>
      </c>
    </row>
    <row r="313" spans="1:10" ht="42.75">
      <c r="A313" s="1747" t="s">
        <v>332</v>
      </c>
      <c r="B313" s="1748" t="s">
        <v>2180</v>
      </c>
      <c r="C313" s="1749" t="s">
        <v>3</v>
      </c>
      <c r="D313" s="678">
        <v>10</v>
      </c>
      <c r="E313" s="1287">
        <v>1263.33</v>
      </c>
      <c r="F313" s="678">
        <v>12633.3</v>
      </c>
      <c r="G313" s="1750" t="s">
        <v>6359</v>
      </c>
      <c r="H313" s="962" t="str">
        <f t="shared" si="9"/>
        <v>0978000002</v>
      </c>
      <c r="I313" s="22">
        <v>305</v>
      </c>
      <c r="J313" s="4" t="str">
        <f t="shared" si="8"/>
        <v>1.305</v>
      </c>
    </row>
    <row r="314" spans="1:10" ht="42.75">
      <c r="A314" s="1747" t="s">
        <v>333</v>
      </c>
      <c r="B314" s="1748" t="s">
        <v>2191</v>
      </c>
      <c r="C314" s="1749" t="s">
        <v>3</v>
      </c>
      <c r="D314" s="678">
        <v>10</v>
      </c>
      <c r="E314" s="1287">
        <v>1821.12</v>
      </c>
      <c r="F314" s="678">
        <v>18211.2</v>
      </c>
      <c r="G314" s="1750" t="s">
        <v>6360</v>
      </c>
      <c r="H314" s="962" t="str">
        <f t="shared" si="9"/>
        <v>0978100002</v>
      </c>
      <c r="I314" s="22">
        <v>306</v>
      </c>
      <c r="J314" s="4" t="str">
        <f t="shared" si="8"/>
        <v>1.306</v>
      </c>
    </row>
    <row r="315" spans="1:10" ht="42.75">
      <c r="A315" s="1747" t="s">
        <v>334</v>
      </c>
      <c r="B315" s="1748" t="s">
        <v>2195</v>
      </c>
      <c r="C315" s="1749" t="s">
        <v>3</v>
      </c>
      <c r="D315" s="678">
        <v>10</v>
      </c>
      <c r="E315" s="1287">
        <v>1498.1</v>
      </c>
      <c r="F315" s="678">
        <v>14981</v>
      </c>
      <c r="G315" s="1750" t="s">
        <v>6361</v>
      </c>
      <c r="H315" s="962" t="str">
        <f t="shared" si="9"/>
        <v>0978200002</v>
      </c>
      <c r="I315" s="22">
        <v>307</v>
      </c>
      <c r="J315" s="4" t="str">
        <f t="shared" si="8"/>
        <v>1.307</v>
      </c>
    </row>
    <row r="316" spans="1:10" ht="42.75">
      <c r="A316" s="1747" t="s">
        <v>335</v>
      </c>
      <c r="B316" s="1748" t="s">
        <v>2204</v>
      </c>
      <c r="C316" s="1749" t="s">
        <v>1818</v>
      </c>
      <c r="D316" s="678">
        <v>1</v>
      </c>
      <c r="E316" s="1287">
        <v>2740.63</v>
      </c>
      <c r="F316" s="678">
        <v>2740.63</v>
      </c>
      <c r="G316" s="1750" t="s">
        <v>6362</v>
      </c>
      <c r="H316" s="962" t="str">
        <f t="shared" si="9"/>
        <v>02631N201B</v>
      </c>
      <c r="I316" s="22">
        <v>308</v>
      </c>
      <c r="J316" s="4" t="str">
        <f t="shared" si="8"/>
        <v>1.308</v>
      </c>
    </row>
    <row r="317" spans="1:10" ht="42.75">
      <c r="A317" s="1747" t="s">
        <v>336</v>
      </c>
      <c r="B317" s="1748" t="s">
        <v>2212</v>
      </c>
      <c r="C317" s="1749" t="s">
        <v>1818</v>
      </c>
      <c r="D317" s="678">
        <v>1</v>
      </c>
      <c r="E317" s="1287">
        <v>2930.96</v>
      </c>
      <c r="F317" s="678">
        <v>2930.96</v>
      </c>
      <c r="G317" s="1750" t="s">
        <v>6363</v>
      </c>
      <c r="H317" s="962" t="str">
        <f t="shared" si="9"/>
        <v>02631N202B</v>
      </c>
      <c r="I317" s="22">
        <v>309</v>
      </c>
      <c r="J317" s="4" t="str">
        <f t="shared" si="8"/>
        <v>1.309</v>
      </c>
    </row>
    <row r="318" spans="1:10" ht="42.75">
      <c r="A318" s="1747" t="s">
        <v>405</v>
      </c>
      <c r="B318" s="1748" t="s">
        <v>2219</v>
      </c>
      <c r="C318" s="1749" t="s">
        <v>1818</v>
      </c>
      <c r="D318" s="678">
        <v>1</v>
      </c>
      <c r="E318" s="1287">
        <v>15053.89</v>
      </c>
      <c r="F318" s="678">
        <v>15053.89</v>
      </c>
      <c r="G318" s="1750" t="s">
        <v>6364</v>
      </c>
      <c r="H318" s="962" t="str">
        <f t="shared" si="9"/>
        <v>02631N101B</v>
      </c>
      <c r="I318" s="22">
        <v>310</v>
      </c>
      <c r="J318" s="4" t="str">
        <f t="shared" si="8"/>
        <v>1.310</v>
      </c>
    </row>
    <row r="319" spans="1:10" ht="42.75">
      <c r="A319" s="1747" t="s">
        <v>406</v>
      </c>
      <c r="B319" s="1748" t="s">
        <v>2226</v>
      </c>
      <c r="C319" s="1749" t="s">
        <v>1818</v>
      </c>
      <c r="D319" s="678">
        <v>1</v>
      </c>
      <c r="E319" s="1287">
        <v>15244.22</v>
      </c>
      <c r="F319" s="678">
        <v>15244.22</v>
      </c>
      <c r="G319" s="1750" t="s">
        <v>6365</v>
      </c>
      <c r="H319" s="962" t="str">
        <f t="shared" si="9"/>
        <v>02631N102B</v>
      </c>
      <c r="I319" s="22">
        <v>311</v>
      </c>
      <c r="J319" s="4" t="str">
        <f t="shared" si="8"/>
        <v>1.311</v>
      </c>
    </row>
    <row r="320" spans="1:10" ht="47.25">
      <c r="A320" s="1747" t="s">
        <v>407</v>
      </c>
      <c r="B320" s="1748" t="s">
        <v>2229</v>
      </c>
      <c r="C320" s="1749" t="s">
        <v>1818</v>
      </c>
      <c r="D320" s="678">
        <v>1</v>
      </c>
      <c r="E320" s="1287">
        <v>16033.47</v>
      </c>
      <c r="F320" s="678">
        <v>16033.47</v>
      </c>
      <c r="G320" s="1750" t="s">
        <v>6366</v>
      </c>
      <c r="H320" s="962" t="str">
        <f t="shared" si="9"/>
        <v>02631N301B</v>
      </c>
      <c r="I320" s="22">
        <v>312</v>
      </c>
      <c r="J320" s="4" t="str">
        <f t="shared" si="8"/>
        <v>1.312</v>
      </c>
    </row>
    <row r="321" spans="1:10" ht="47.25">
      <c r="A321" s="1747" t="s">
        <v>408</v>
      </c>
      <c r="B321" s="1748" t="s">
        <v>2232</v>
      </c>
      <c r="C321" s="1749" t="s">
        <v>1818</v>
      </c>
      <c r="D321" s="678">
        <v>1</v>
      </c>
      <c r="E321" s="1287">
        <v>17496.77</v>
      </c>
      <c r="F321" s="678">
        <v>17496.77</v>
      </c>
      <c r="G321" s="1750" t="s">
        <v>6367</v>
      </c>
      <c r="H321" s="962" t="str">
        <f t="shared" si="9"/>
        <v>02631N302B</v>
      </c>
      <c r="I321" s="22">
        <v>313</v>
      </c>
      <c r="J321" s="4" t="str">
        <f t="shared" si="8"/>
        <v>1.313</v>
      </c>
    </row>
    <row r="322" spans="1:10" ht="42.75">
      <c r="A322" s="1747" t="s">
        <v>409</v>
      </c>
      <c r="B322" s="1748" t="s">
        <v>2237</v>
      </c>
      <c r="C322" s="1749" t="s">
        <v>2238</v>
      </c>
      <c r="D322" s="678">
        <v>20</v>
      </c>
      <c r="E322" s="1287">
        <v>1160.52</v>
      </c>
      <c r="F322" s="678">
        <v>23210.400000000001</v>
      </c>
      <c r="G322" s="1750" t="s">
        <v>6368</v>
      </c>
      <c r="H322" s="962" t="str">
        <f t="shared" si="9"/>
        <v>02610ZT002</v>
      </c>
      <c r="I322" s="22">
        <v>314</v>
      </c>
      <c r="J322" s="4" t="str">
        <f t="shared" ref="J322:J385" si="10">A322</f>
        <v>1.314</v>
      </c>
    </row>
    <row r="323" spans="1:10" ht="42.75">
      <c r="A323" s="1747" t="s">
        <v>410</v>
      </c>
      <c r="B323" s="1748" t="s">
        <v>2245</v>
      </c>
      <c r="C323" s="1749" t="s">
        <v>17</v>
      </c>
      <c r="D323" s="678">
        <v>1</v>
      </c>
      <c r="E323" s="1287">
        <v>2934.61</v>
      </c>
      <c r="F323" s="678">
        <v>2934.61</v>
      </c>
      <c r="G323" s="1750" t="s">
        <v>6369</v>
      </c>
      <c r="H323" s="962" t="str">
        <f t="shared" si="9"/>
        <v>028432A001</v>
      </c>
      <c r="I323" s="22">
        <v>315</v>
      </c>
      <c r="J323" s="4" t="str">
        <f t="shared" si="10"/>
        <v>1.315</v>
      </c>
    </row>
    <row r="324" spans="1:10" ht="42.75">
      <c r="A324" s="1747" t="s">
        <v>411</v>
      </c>
      <c r="B324" s="1748" t="s">
        <v>2256</v>
      </c>
      <c r="C324" s="1749" t="s">
        <v>17</v>
      </c>
      <c r="D324" s="678">
        <v>1</v>
      </c>
      <c r="E324" s="1287">
        <v>3776.99</v>
      </c>
      <c r="F324" s="678">
        <v>3776.99</v>
      </c>
      <c r="G324" s="1750" t="s">
        <v>6370</v>
      </c>
      <c r="H324" s="962" t="str">
        <f t="shared" si="9"/>
        <v>028432B001</v>
      </c>
      <c r="I324" s="22">
        <v>316</v>
      </c>
      <c r="J324" s="4" t="str">
        <f t="shared" si="10"/>
        <v>1.316</v>
      </c>
    </row>
    <row r="325" spans="1:10" ht="42.75">
      <c r="A325" s="1747" t="s">
        <v>412</v>
      </c>
      <c r="B325" s="1748" t="s">
        <v>2259</v>
      </c>
      <c r="C325" s="1749" t="s">
        <v>17</v>
      </c>
      <c r="D325" s="678">
        <v>1</v>
      </c>
      <c r="E325" s="1287">
        <v>2934.61</v>
      </c>
      <c r="F325" s="678">
        <v>2934.61</v>
      </c>
      <c r="G325" s="1750" t="s">
        <v>6371</v>
      </c>
      <c r="H325" s="962" t="str">
        <f t="shared" si="9"/>
        <v>028432C001</v>
      </c>
      <c r="I325" s="22">
        <v>317</v>
      </c>
      <c r="J325" s="4" t="str">
        <f t="shared" si="10"/>
        <v>1.317</v>
      </c>
    </row>
    <row r="326" spans="1:10" ht="42.75">
      <c r="A326" s="1747" t="s">
        <v>413</v>
      </c>
      <c r="B326" s="1748" t="s">
        <v>2262</v>
      </c>
      <c r="C326" s="1749" t="s">
        <v>17</v>
      </c>
      <c r="D326" s="678">
        <v>1</v>
      </c>
      <c r="E326" s="1287">
        <v>3280.23</v>
      </c>
      <c r="F326" s="678">
        <v>3280.23</v>
      </c>
      <c r="G326" s="1750" t="s">
        <v>6372</v>
      </c>
      <c r="H326" s="962" t="str">
        <f t="shared" si="9"/>
        <v>028432D001</v>
      </c>
      <c r="I326" s="22">
        <v>318</v>
      </c>
      <c r="J326" s="4" t="str">
        <f t="shared" si="10"/>
        <v>1.318</v>
      </c>
    </row>
    <row r="327" spans="1:10" ht="47.25">
      <c r="A327" s="1747" t="s">
        <v>414</v>
      </c>
      <c r="B327" s="1748" t="s">
        <v>3295</v>
      </c>
      <c r="C327" s="1749" t="s">
        <v>17</v>
      </c>
      <c r="D327" s="678">
        <v>10</v>
      </c>
      <c r="E327" s="1287">
        <v>34.869999999999997</v>
      </c>
      <c r="F327" s="678">
        <v>348.7</v>
      </c>
      <c r="G327" s="1750" t="s">
        <v>3643</v>
      </c>
      <c r="H327" s="962" t="str">
        <f t="shared" si="9"/>
        <v>161323006041</v>
      </c>
      <c r="I327" s="22">
        <v>319</v>
      </c>
      <c r="J327" s="4" t="str">
        <f t="shared" si="10"/>
        <v>1.319</v>
      </c>
    </row>
    <row r="328" spans="1:10" ht="47.25">
      <c r="A328" s="1747" t="s">
        <v>415</v>
      </c>
      <c r="B328" s="1748" t="s">
        <v>2937</v>
      </c>
      <c r="C328" s="1749" t="s">
        <v>17</v>
      </c>
      <c r="D328" s="678">
        <v>10</v>
      </c>
      <c r="E328" s="1287">
        <v>39.85</v>
      </c>
      <c r="F328" s="678">
        <v>398.5</v>
      </c>
      <c r="G328" s="1750" t="s">
        <v>3644</v>
      </c>
      <c r="H328" s="962" t="str">
        <f t="shared" si="9"/>
        <v>161323007041</v>
      </c>
      <c r="I328" s="22">
        <v>320</v>
      </c>
      <c r="J328" s="4" t="str">
        <f t="shared" si="10"/>
        <v>1.320</v>
      </c>
    </row>
    <row r="329" spans="1:10" ht="47.25">
      <c r="A329" s="1747" t="s">
        <v>416</v>
      </c>
      <c r="B329" s="1748" t="s">
        <v>3298</v>
      </c>
      <c r="C329" s="1749" t="s">
        <v>17</v>
      </c>
      <c r="D329" s="678">
        <v>10</v>
      </c>
      <c r="E329" s="1287">
        <v>44.83</v>
      </c>
      <c r="F329" s="678">
        <v>448.3</v>
      </c>
      <c r="G329" s="1750" t="s">
        <v>3645</v>
      </c>
      <c r="H329" s="962" t="str">
        <f t="shared" si="9"/>
        <v>161323009041</v>
      </c>
      <c r="I329" s="22">
        <v>321</v>
      </c>
      <c r="J329" s="4" t="str">
        <f t="shared" si="10"/>
        <v>1.321</v>
      </c>
    </row>
    <row r="330" spans="1:10" ht="47.25">
      <c r="A330" s="1747" t="s">
        <v>417</v>
      </c>
      <c r="B330" s="1748" t="s">
        <v>3300</v>
      </c>
      <c r="C330" s="1749" t="s">
        <v>17</v>
      </c>
      <c r="D330" s="678">
        <v>10</v>
      </c>
      <c r="E330" s="1287">
        <v>49.81</v>
      </c>
      <c r="F330" s="678">
        <v>498.1</v>
      </c>
      <c r="G330" s="1750" t="s">
        <v>3646</v>
      </c>
      <c r="H330" s="962" t="str">
        <f t="shared" ref="H330:H393" si="11">LEFT(G330, FIND(CHAR(10), G330) - 1)</f>
        <v>16132300A041</v>
      </c>
      <c r="I330" s="22">
        <v>322</v>
      </c>
      <c r="J330" s="4" t="str">
        <f t="shared" si="10"/>
        <v>1.322</v>
      </c>
    </row>
    <row r="331" spans="1:10" ht="47.25">
      <c r="A331" s="1747" t="s">
        <v>418</v>
      </c>
      <c r="B331" s="1748" t="s">
        <v>3302</v>
      </c>
      <c r="C331" s="1749" t="s">
        <v>17</v>
      </c>
      <c r="D331" s="678">
        <v>10</v>
      </c>
      <c r="E331" s="1287">
        <v>54.79</v>
      </c>
      <c r="F331" s="678">
        <v>547.9</v>
      </c>
      <c r="G331" s="1750" t="s">
        <v>3647</v>
      </c>
      <c r="H331" s="962" t="str">
        <f t="shared" si="11"/>
        <v>16132300B041</v>
      </c>
      <c r="I331" s="22">
        <v>323</v>
      </c>
      <c r="J331" s="4" t="str">
        <f t="shared" si="10"/>
        <v>1.323</v>
      </c>
    </row>
    <row r="332" spans="1:10" ht="47.25">
      <c r="A332" s="1747" t="s">
        <v>419</v>
      </c>
      <c r="B332" s="1748" t="s">
        <v>3304</v>
      </c>
      <c r="C332" s="1749" t="s">
        <v>17</v>
      </c>
      <c r="D332" s="678">
        <v>10</v>
      </c>
      <c r="E332" s="1287">
        <v>59.77</v>
      </c>
      <c r="F332" s="678">
        <v>597.70000000000005</v>
      </c>
      <c r="G332" s="1750" t="s">
        <v>3648</v>
      </c>
      <c r="H332" s="962" t="str">
        <f t="shared" si="11"/>
        <v>16132300C041</v>
      </c>
      <c r="I332" s="22">
        <v>324</v>
      </c>
      <c r="J332" s="4" t="str">
        <f t="shared" si="10"/>
        <v>1.324</v>
      </c>
    </row>
    <row r="333" spans="1:10" ht="47.25">
      <c r="A333" s="1747" t="s">
        <v>420</v>
      </c>
      <c r="B333" s="1748" t="s">
        <v>3306</v>
      </c>
      <c r="C333" s="1749" t="s">
        <v>17</v>
      </c>
      <c r="D333" s="678">
        <v>10</v>
      </c>
      <c r="E333" s="1287">
        <v>437.84</v>
      </c>
      <c r="F333" s="678">
        <v>4378.3999999999996</v>
      </c>
      <c r="G333" s="1750" t="s">
        <v>3307</v>
      </c>
      <c r="H333" s="962" t="str">
        <f t="shared" si="11"/>
        <v>151072DF0011</v>
      </c>
      <c r="I333" s="22">
        <v>325</v>
      </c>
      <c r="J333" s="4" t="str">
        <f t="shared" si="10"/>
        <v>1.325</v>
      </c>
    </row>
    <row r="334" spans="1:10" ht="47.25">
      <c r="A334" s="1747" t="s">
        <v>421</v>
      </c>
      <c r="B334" s="1748" t="s">
        <v>3308</v>
      </c>
      <c r="C334" s="1749" t="s">
        <v>17</v>
      </c>
      <c r="D334" s="678">
        <v>10</v>
      </c>
      <c r="E334" s="1287">
        <v>662.56</v>
      </c>
      <c r="F334" s="678">
        <v>6625.6</v>
      </c>
      <c r="G334" s="1750" t="s">
        <v>3309</v>
      </c>
      <c r="H334" s="962" t="str">
        <f t="shared" si="11"/>
        <v>151072EH0011</v>
      </c>
      <c r="I334" s="22">
        <v>326</v>
      </c>
      <c r="J334" s="4" t="str">
        <f t="shared" si="10"/>
        <v>1.326</v>
      </c>
    </row>
    <row r="335" spans="1:10" ht="47.25">
      <c r="A335" s="1747" t="s">
        <v>422</v>
      </c>
      <c r="B335" s="1748" t="s">
        <v>3310</v>
      </c>
      <c r="C335" s="1749" t="s">
        <v>17</v>
      </c>
      <c r="D335" s="678">
        <v>10</v>
      </c>
      <c r="E335" s="1287">
        <v>763.1</v>
      </c>
      <c r="F335" s="678">
        <v>7631</v>
      </c>
      <c r="G335" s="1750" t="s">
        <v>3311</v>
      </c>
      <c r="H335" s="962" t="str">
        <f t="shared" si="11"/>
        <v>151072FK0011</v>
      </c>
      <c r="I335" s="22">
        <v>327</v>
      </c>
      <c r="J335" s="4" t="str">
        <f t="shared" si="10"/>
        <v>1.327</v>
      </c>
    </row>
    <row r="336" spans="1:10" ht="47.25">
      <c r="A336" s="1747" t="s">
        <v>423</v>
      </c>
      <c r="B336" s="1748" t="s">
        <v>3312</v>
      </c>
      <c r="C336" s="1749" t="s">
        <v>17</v>
      </c>
      <c r="D336" s="678">
        <v>10</v>
      </c>
      <c r="E336" s="1287">
        <v>1211.4000000000001</v>
      </c>
      <c r="F336" s="678">
        <v>12114</v>
      </c>
      <c r="G336" s="1750" t="s">
        <v>3313</v>
      </c>
      <c r="H336" s="962" t="str">
        <f t="shared" si="11"/>
        <v>151072GN0011</v>
      </c>
      <c r="I336" s="22">
        <v>328</v>
      </c>
      <c r="J336" s="4" t="str">
        <f t="shared" si="10"/>
        <v>1.328</v>
      </c>
    </row>
    <row r="337" spans="1:10" ht="47.25">
      <c r="A337" s="1747" t="s">
        <v>424</v>
      </c>
      <c r="B337" s="1748" t="s">
        <v>3314</v>
      </c>
      <c r="C337" s="1749" t="s">
        <v>17</v>
      </c>
      <c r="D337" s="678">
        <v>10</v>
      </c>
      <c r="E337" s="1287">
        <v>1530.19</v>
      </c>
      <c r="F337" s="678">
        <v>15301.9</v>
      </c>
      <c r="G337" s="1750" t="s">
        <v>3315</v>
      </c>
      <c r="H337" s="962" t="str">
        <f t="shared" si="11"/>
        <v>151072JR0011</v>
      </c>
      <c r="I337" s="22">
        <v>329</v>
      </c>
      <c r="J337" s="4" t="str">
        <f t="shared" si="10"/>
        <v>1.329</v>
      </c>
    </row>
    <row r="338" spans="1:10" ht="42.75">
      <c r="A338" s="1747" t="s">
        <v>425</v>
      </c>
      <c r="B338" s="1748" t="s">
        <v>2265</v>
      </c>
      <c r="C338" s="1749" t="s">
        <v>3</v>
      </c>
      <c r="D338" s="678">
        <v>10</v>
      </c>
      <c r="E338" s="1287">
        <v>400.19</v>
      </c>
      <c r="F338" s="678">
        <v>4001.9</v>
      </c>
      <c r="G338" s="1750" t="s">
        <v>6373</v>
      </c>
      <c r="H338" s="962" t="str">
        <f t="shared" si="11"/>
        <v>0154011102</v>
      </c>
      <c r="I338" s="22">
        <v>330</v>
      </c>
      <c r="J338" s="4" t="str">
        <f t="shared" si="10"/>
        <v>1.330</v>
      </c>
    </row>
    <row r="339" spans="1:10" ht="57">
      <c r="A339" s="1747" t="s">
        <v>426</v>
      </c>
      <c r="B339" s="1748" t="s">
        <v>2274</v>
      </c>
      <c r="C339" s="1749" t="s">
        <v>3</v>
      </c>
      <c r="D339" s="678">
        <v>10</v>
      </c>
      <c r="E339" s="1287">
        <v>689.53</v>
      </c>
      <c r="F339" s="678">
        <v>6895.3</v>
      </c>
      <c r="G339" s="1750" t="s">
        <v>6374</v>
      </c>
      <c r="H339" s="962" t="str">
        <f t="shared" si="11"/>
        <v>0154011202</v>
      </c>
      <c r="I339" s="22">
        <v>331</v>
      </c>
      <c r="J339" s="4" t="str">
        <f t="shared" si="10"/>
        <v>1.331</v>
      </c>
    </row>
    <row r="340" spans="1:10" ht="47.25">
      <c r="A340" s="1747" t="s">
        <v>427</v>
      </c>
      <c r="B340" s="1748" t="s">
        <v>2281</v>
      </c>
      <c r="C340" s="1749" t="s">
        <v>3</v>
      </c>
      <c r="D340" s="678">
        <v>2</v>
      </c>
      <c r="E340" s="1287">
        <v>4078.77</v>
      </c>
      <c r="F340" s="678">
        <v>8157.54</v>
      </c>
      <c r="G340" s="1750" t="s">
        <v>6375</v>
      </c>
      <c r="H340" s="962" t="str">
        <f t="shared" si="11"/>
        <v>0153210012</v>
      </c>
      <c r="I340" s="22">
        <v>332</v>
      </c>
      <c r="J340" s="4" t="str">
        <f t="shared" si="10"/>
        <v>1.332</v>
      </c>
    </row>
    <row r="341" spans="1:10" ht="47.25">
      <c r="A341" s="1747" t="s">
        <v>428</v>
      </c>
      <c r="B341" s="1748" t="s">
        <v>6376</v>
      </c>
      <c r="C341" s="1749" t="s">
        <v>3</v>
      </c>
      <c r="D341" s="678">
        <v>10</v>
      </c>
      <c r="E341" s="1287">
        <v>251.39</v>
      </c>
      <c r="F341" s="678">
        <v>2513.9</v>
      </c>
      <c r="G341" s="1750" t="s">
        <v>6377</v>
      </c>
      <c r="H341" s="962" t="str">
        <f t="shared" si="11"/>
        <v>01532AB002</v>
      </c>
      <c r="I341" s="22">
        <v>333</v>
      </c>
      <c r="J341" s="4" t="str">
        <f t="shared" si="10"/>
        <v>1.333</v>
      </c>
    </row>
    <row r="342" spans="1:10" ht="42.75">
      <c r="A342" s="1747" t="s">
        <v>429</v>
      </c>
      <c r="B342" s="1748" t="s">
        <v>3654</v>
      </c>
      <c r="C342" s="1749" t="s">
        <v>1689</v>
      </c>
      <c r="D342" s="678">
        <v>10</v>
      </c>
      <c r="E342" s="1287">
        <v>496.84</v>
      </c>
      <c r="F342" s="678">
        <v>4968.3999999999996</v>
      </c>
      <c r="G342" s="1750" t="s">
        <v>6378</v>
      </c>
      <c r="H342" s="962" t="str">
        <f t="shared" si="11"/>
        <v>01532C1012</v>
      </c>
      <c r="I342" s="22">
        <v>334</v>
      </c>
      <c r="J342" s="4" t="str">
        <f t="shared" si="10"/>
        <v>1.334</v>
      </c>
    </row>
    <row r="343" spans="1:10" ht="42.75">
      <c r="A343" s="1747" t="s">
        <v>430</v>
      </c>
      <c r="B343" s="1748" t="s">
        <v>3652</v>
      </c>
      <c r="C343" s="1749" t="s">
        <v>1689</v>
      </c>
      <c r="D343" s="678">
        <v>10</v>
      </c>
      <c r="E343" s="1287">
        <v>638.14</v>
      </c>
      <c r="F343" s="678">
        <v>6381.4</v>
      </c>
      <c r="G343" s="1750" t="s">
        <v>6379</v>
      </c>
      <c r="H343" s="962" t="str">
        <f t="shared" si="11"/>
        <v>01532C1102</v>
      </c>
      <c r="I343" s="22">
        <v>335</v>
      </c>
      <c r="J343" s="4" t="str">
        <f t="shared" si="10"/>
        <v>1.335</v>
      </c>
    </row>
    <row r="344" spans="1:10" ht="42.75">
      <c r="A344" s="1747" t="s">
        <v>431</v>
      </c>
      <c r="B344" s="1748" t="s">
        <v>3649</v>
      </c>
      <c r="C344" s="1749" t="s">
        <v>3</v>
      </c>
      <c r="D344" s="678">
        <v>10</v>
      </c>
      <c r="E344" s="1287">
        <v>783.73</v>
      </c>
      <c r="F344" s="678">
        <v>7837.3</v>
      </c>
      <c r="G344" s="1750" t="s">
        <v>6380</v>
      </c>
      <c r="H344" s="962" t="str">
        <f t="shared" si="11"/>
        <v>01532AD002</v>
      </c>
      <c r="I344" s="22">
        <v>336</v>
      </c>
      <c r="J344" s="4" t="str">
        <f t="shared" si="10"/>
        <v>1.336</v>
      </c>
    </row>
    <row r="345" spans="1:10" ht="42.75">
      <c r="A345" s="1747" t="s">
        <v>432</v>
      </c>
      <c r="B345" s="1748" t="s">
        <v>3650</v>
      </c>
      <c r="C345" s="1749" t="s">
        <v>3</v>
      </c>
      <c r="D345" s="678">
        <v>10</v>
      </c>
      <c r="E345" s="1287">
        <v>868.17</v>
      </c>
      <c r="F345" s="678">
        <v>8681.7000000000007</v>
      </c>
      <c r="G345" s="1750" t="s">
        <v>6381</v>
      </c>
      <c r="H345" s="962" t="str">
        <f t="shared" si="11"/>
        <v>01532AQ002</v>
      </c>
      <c r="I345" s="22">
        <v>337</v>
      </c>
      <c r="J345" s="4" t="str">
        <f t="shared" si="10"/>
        <v>1.337</v>
      </c>
    </row>
    <row r="346" spans="1:10" ht="42.75">
      <c r="A346" s="1747" t="s">
        <v>433</v>
      </c>
      <c r="B346" s="1748" t="s">
        <v>3651</v>
      </c>
      <c r="C346" s="1749" t="s">
        <v>3</v>
      </c>
      <c r="D346" s="678">
        <v>10</v>
      </c>
      <c r="E346" s="1287">
        <v>966.69</v>
      </c>
      <c r="F346" s="678">
        <v>9666.9</v>
      </c>
      <c r="G346" s="1750" t="s">
        <v>6382</v>
      </c>
      <c r="H346" s="962" t="str">
        <f t="shared" si="11"/>
        <v>01532AT002</v>
      </c>
      <c r="I346" s="22">
        <v>338</v>
      </c>
      <c r="J346" s="4" t="str">
        <f t="shared" si="10"/>
        <v>1.338</v>
      </c>
    </row>
    <row r="347" spans="1:10" ht="42.75">
      <c r="A347" s="1747" t="s">
        <v>434</v>
      </c>
      <c r="B347" s="1748" t="s">
        <v>2299</v>
      </c>
      <c r="C347" s="1749" t="s">
        <v>1689</v>
      </c>
      <c r="D347" s="678">
        <v>1</v>
      </c>
      <c r="E347" s="1287">
        <v>73366.509999999995</v>
      </c>
      <c r="F347" s="678">
        <v>73366.509999999995</v>
      </c>
      <c r="G347" s="1750" t="s">
        <v>6383</v>
      </c>
      <c r="H347" s="962" t="str">
        <f t="shared" si="11"/>
        <v>15110X150R08</v>
      </c>
      <c r="I347" s="22">
        <v>339</v>
      </c>
      <c r="J347" s="4" t="str">
        <f t="shared" si="10"/>
        <v>1.339</v>
      </c>
    </row>
    <row r="348" spans="1:10" ht="42.75">
      <c r="A348" s="1747" t="s">
        <v>435</v>
      </c>
      <c r="B348" s="1748" t="s">
        <v>2306</v>
      </c>
      <c r="C348" s="1749" t="s">
        <v>1497</v>
      </c>
      <c r="D348" s="678">
        <v>20</v>
      </c>
      <c r="E348" s="1287">
        <v>528.44000000000005</v>
      </c>
      <c r="F348" s="678">
        <v>10568.8</v>
      </c>
      <c r="G348" s="1750" t="s">
        <v>6384</v>
      </c>
      <c r="H348" s="962" t="str">
        <f t="shared" si="11"/>
        <v>05500h0R0A</v>
      </c>
      <c r="I348" s="22">
        <v>340</v>
      </c>
      <c r="J348" s="4" t="str">
        <f t="shared" si="10"/>
        <v>1.340</v>
      </c>
    </row>
    <row r="349" spans="1:10" ht="42.75">
      <c r="A349" s="1747" t="s">
        <v>436</v>
      </c>
      <c r="B349" s="1748" t="s">
        <v>2313</v>
      </c>
      <c r="C349" s="1749" t="s">
        <v>1497</v>
      </c>
      <c r="D349" s="678">
        <v>20</v>
      </c>
      <c r="E349" s="1287">
        <v>701.86</v>
      </c>
      <c r="F349" s="678">
        <v>14037.2</v>
      </c>
      <c r="G349" s="1750" t="s">
        <v>6385</v>
      </c>
      <c r="H349" s="962" t="str">
        <f t="shared" si="11"/>
        <v>05500f4R0A</v>
      </c>
      <c r="I349" s="22">
        <v>341</v>
      </c>
      <c r="J349" s="4" t="str">
        <f t="shared" si="10"/>
        <v>1.341</v>
      </c>
    </row>
    <row r="350" spans="1:10" ht="47.25">
      <c r="A350" s="1747" t="s">
        <v>437</v>
      </c>
      <c r="B350" s="1748" t="s">
        <v>2318</v>
      </c>
      <c r="C350" s="1749" t="s">
        <v>1497</v>
      </c>
      <c r="D350" s="678">
        <v>10</v>
      </c>
      <c r="E350" s="1287">
        <v>712.12</v>
      </c>
      <c r="F350" s="678">
        <v>7121.2</v>
      </c>
      <c r="G350" s="1750" t="s">
        <v>6386</v>
      </c>
      <c r="H350" s="962" t="str">
        <f t="shared" si="11"/>
        <v>05500FAA14</v>
      </c>
      <c r="I350" s="22">
        <v>342</v>
      </c>
      <c r="J350" s="4" t="str">
        <f t="shared" si="10"/>
        <v>1.342</v>
      </c>
    </row>
    <row r="351" spans="1:10" ht="47.25">
      <c r="A351" s="1747" t="s">
        <v>438</v>
      </c>
      <c r="B351" s="1748" t="s">
        <v>2327</v>
      </c>
      <c r="C351" s="1749" t="s">
        <v>1497</v>
      </c>
      <c r="D351" s="678">
        <v>10</v>
      </c>
      <c r="E351" s="1287">
        <v>489.42</v>
      </c>
      <c r="F351" s="678">
        <v>4894.2</v>
      </c>
      <c r="G351" s="1750" t="s">
        <v>6387</v>
      </c>
      <c r="H351" s="962" t="str">
        <f t="shared" si="11"/>
        <v>05500FAB14</v>
      </c>
      <c r="I351" s="22">
        <v>343</v>
      </c>
      <c r="J351" s="4" t="str">
        <f t="shared" si="10"/>
        <v>1.343</v>
      </c>
    </row>
    <row r="352" spans="1:10" ht="47.25">
      <c r="A352" s="1747" t="s">
        <v>439</v>
      </c>
      <c r="B352" s="1748" t="s">
        <v>2338</v>
      </c>
      <c r="C352" s="1749" t="s">
        <v>2238</v>
      </c>
      <c r="D352" s="678">
        <v>10</v>
      </c>
      <c r="E352" s="1287">
        <v>1303.17</v>
      </c>
      <c r="F352" s="678">
        <v>13031.7</v>
      </c>
      <c r="G352" s="1750" t="s">
        <v>6388</v>
      </c>
      <c r="H352" s="962" t="str">
        <f t="shared" si="11"/>
        <v>05500FAC18</v>
      </c>
      <c r="I352" s="22">
        <v>344</v>
      </c>
      <c r="J352" s="4" t="str">
        <f t="shared" si="10"/>
        <v>1.344</v>
      </c>
    </row>
    <row r="353" spans="1:10" ht="57">
      <c r="A353" s="1747" t="s">
        <v>440</v>
      </c>
      <c r="B353" s="1748" t="s">
        <v>2341</v>
      </c>
      <c r="C353" s="1749" t="s">
        <v>15</v>
      </c>
      <c r="D353" s="678">
        <v>10</v>
      </c>
      <c r="E353" s="1287">
        <v>702.57</v>
      </c>
      <c r="F353" s="678">
        <v>7025.7</v>
      </c>
      <c r="G353" s="1750" t="s">
        <v>6389</v>
      </c>
      <c r="H353" s="962" t="str">
        <f t="shared" si="11"/>
        <v>02900B100C</v>
      </c>
      <c r="I353" s="22">
        <v>345</v>
      </c>
      <c r="J353" s="4" t="str">
        <f t="shared" si="10"/>
        <v>1.345</v>
      </c>
    </row>
    <row r="354" spans="1:10" ht="42.75">
      <c r="A354" s="1747" t="s">
        <v>441</v>
      </c>
      <c r="B354" s="1748" t="s">
        <v>2346</v>
      </c>
      <c r="C354" s="1749" t="s">
        <v>3</v>
      </c>
      <c r="D354" s="678">
        <v>20</v>
      </c>
      <c r="E354" s="1287">
        <v>43.63</v>
      </c>
      <c r="F354" s="678">
        <v>872.6</v>
      </c>
      <c r="G354" s="1750" t="s">
        <v>6390</v>
      </c>
      <c r="H354" s="962" t="str">
        <f t="shared" si="11"/>
        <v>0292012C02</v>
      </c>
      <c r="I354" s="22">
        <v>346</v>
      </c>
      <c r="J354" s="4" t="str">
        <f t="shared" si="10"/>
        <v>1.346</v>
      </c>
    </row>
    <row r="355" spans="1:10" ht="42.75">
      <c r="A355" s="1747" t="s">
        <v>442</v>
      </c>
      <c r="B355" s="1748" t="s">
        <v>2360</v>
      </c>
      <c r="C355" s="1749" t="s">
        <v>3</v>
      </c>
      <c r="D355" s="678">
        <v>10</v>
      </c>
      <c r="E355" s="1287">
        <v>249.2</v>
      </c>
      <c r="F355" s="678">
        <v>2492</v>
      </c>
      <c r="G355" s="1750" t="s">
        <v>6391</v>
      </c>
      <c r="H355" s="962" t="str">
        <f t="shared" si="11"/>
        <v>0292000U02</v>
      </c>
      <c r="I355" s="22">
        <v>347</v>
      </c>
      <c r="J355" s="4" t="str">
        <f t="shared" si="10"/>
        <v>1.347</v>
      </c>
    </row>
    <row r="356" spans="1:10" ht="42.75">
      <c r="A356" s="1747" t="s">
        <v>443</v>
      </c>
      <c r="B356" s="1748" t="s">
        <v>2372</v>
      </c>
      <c r="C356" s="1749" t="s">
        <v>3</v>
      </c>
      <c r="D356" s="678">
        <v>10</v>
      </c>
      <c r="E356" s="1287">
        <v>684.33</v>
      </c>
      <c r="F356" s="678">
        <v>6843.3</v>
      </c>
      <c r="G356" s="1750" t="s">
        <v>6392</v>
      </c>
      <c r="H356" s="962" t="str">
        <f t="shared" si="11"/>
        <v>0422200002</v>
      </c>
      <c r="I356" s="22">
        <v>348</v>
      </c>
      <c r="J356" s="4" t="str">
        <f t="shared" si="10"/>
        <v>1.348</v>
      </c>
    </row>
    <row r="357" spans="1:10" ht="31.5">
      <c r="A357" s="1747" t="s">
        <v>444</v>
      </c>
      <c r="B357" s="1748" t="s">
        <v>3331</v>
      </c>
      <c r="C357" s="1749" t="s">
        <v>2400</v>
      </c>
      <c r="D357" s="678">
        <v>50</v>
      </c>
      <c r="E357" s="1287">
        <v>23.22</v>
      </c>
      <c r="F357" s="678">
        <v>1161</v>
      </c>
      <c r="G357" s="1750" t="s">
        <v>3332</v>
      </c>
      <c r="H357" s="962" t="str">
        <f t="shared" si="11"/>
        <v>02922000211</v>
      </c>
      <c r="I357" s="22">
        <v>349</v>
      </c>
      <c r="J357" s="4" t="str">
        <f t="shared" si="10"/>
        <v>1.349</v>
      </c>
    </row>
    <row r="358" spans="1:10" ht="28.5">
      <c r="A358" s="1747" t="s">
        <v>445</v>
      </c>
      <c r="B358" s="1748" t="s">
        <v>4732</v>
      </c>
      <c r="C358" s="1749" t="s">
        <v>1497</v>
      </c>
      <c r="D358" s="678">
        <v>50</v>
      </c>
      <c r="E358" s="1287">
        <v>290.89999999999998</v>
      </c>
      <c r="F358" s="678">
        <v>14545</v>
      </c>
      <c r="G358" s="1750" t="s">
        <v>4733</v>
      </c>
      <c r="H358" s="962" t="str">
        <f t="shared" si="11"/>
        <v>M02900U105A0</v>
      </c>
      <c r="I358" s="22">
        <v>350</v>
      </c>
      <c r="J358" s="4" t="str">
        <f t="shared" si="10"/>
        <v>1.350</v>
      </c>
    </row>
    <row r="359" spans="1:10" ht="42.75">
      <c r="A359" s="1747" t="s">
        <v>446</v>
      </c>
      <c r="B359" s="1748" t="s">
        <v>2379</v>
      </c>
      <c r="C359" s="1749" t="s">
        <v>3</v>
      </c>
      <c r="D359" s="678">
        <v>50</v>
      </c>
      <c r="E359" s="1287">
        <v>22.43</v>
      </c>
      <c r="F359" s="678">
        <v>1121.5</v>
      </c>
      <c r="G359" s="1750" t="s">
        <v>6393</v>
      </c>
      <c r="H359" s="962" t="str">
        <f t="shared" si="11"/>
        <v>02233A0002</v>
      </c>
      <c r="I359" s="22">
        <v>351</v>
      </c>
      <c r="J359" s="4" t="str">
        <f t="shared" si="10"/>
        <v>1.351</v>
      </c>
    </row>
    <row r="360" spans="1:10" ht="42.75">
      <c r="A360" s="1747" t="s">
        <v>447</v>
      </c>
      <c r="B360" s="1748" t="s">
        <v>2383</v>
      </c>
      <c r="C360" s="1749" t="s">
        <v>3</v>
      </c>
      <c r="D360" s="678">
        <v>100</v>
      </c>
      <c r="E360" s="1287">
        <v>11.58</v>
      </c>
      <c r="F360" s="678">
        <v>1158</v>
      </c>
      <c r="G360" s="1750" t="s">
        <v>6394</v>
      </c>
      <c r="H360" s="962" t="str">
        <f t="shared" si="11"/>
        <v>0223102002</v>
      </c>
      <c r="I360" s="22">
        <v>352</v>
      </c>
      <c r="J360" s="4" t="str">
        <f t="shared" si="10"/>
        <v>1.352</v>
      </c>
    </row>
    <row r="361" spans="1:10" ht="42.75">
      <c r="A361" s="1747" t="s">
        <v>448</v>
      </c>
      <c r="B361" s="1748" t="s">
        <v>2390</v>
      </c>
      <c r="C361" s="1749" t="s">
        <v>3</v>
      </c>
      <c r="D361" s="678">
        <v>100</v>
      </c>
      <c r="E361" s="1287">
        <v>20.18</v>
      </c>
      <c r="F361" s="678">
        <v>2018</v>
      </c>
      <c r="G361" s="1750" t="s">
        <v>6395</v>
      </c>
      <c r="H361" s="962" t="str">
        <f t="shared" si="11"/>
        <v>0223109002</v>
      </c>
      <c r="I361" s="22">
        <v>353</v>
      </c>
      <c r="J361" s="4" t="str">
        <f t="shared" si="10"/>
        <v>1.353</v>
      </c>
    </row>
    <row r="362" spans="1:10" s="7" customFormat="1" ht="42.75">
      <c r="A362" s="1747" t="s">
        <v>449</v>
      </c>
      <c r="B362" s="1748" t="s">
        <v>2393</v>
      </c>
      <c r="C362" s="1749" t="s">
        <v>2394</v>
      </c>
      <c r="D362" s="678">
        <v>10</v>
      </c>
      <c r="E362" s="1287">
        <v>2480.61</v>
      </c>
      <c r="F362" s="678">
        <v>24806.1</v>
      </c>
      <c r="G362" s="1750" t="s">
        <v>6396</v>
      </c>
      <c r="H362" s="962" t="str">
        <f t="shared" si="11"/>
        <v>02234A0001</v>
      </c>
      <c r="I362" s="22">
        <v>354</v>
      </c>
      <c r="J362" s="4" t="str">
        <f t="shared" si="10"/>
        <v>1.354</v>
      </c>
    </row>
    <row r="363" spans="1:10" s="7" customFormat="1" ht="57">
      <c r="A363" s="1747" t="s">
        <v>450</v>
      </c>
      <c r="B363" s="1748" t="s">
        <v>2399</v>
      </c>
      <c r="C363" s="1749" t="s">
        <v>2400</v>
      </c>
      <c r="D363" s="678">
        <v>10</v>
      </c>
      <c r="E363" s="1287">
        <v>4555</v>
      </c>
      <c r="F363" s="678">
        <v>45550</v>
      </c>
      <c r="G363" s="1750" t="s">
        <v>6397</v>
      </c>
      <c r="H363" s="962" t="str">
        <f t="shared" si="11"/>
        <v>029351C32A</v>
      </c>
      <c r="I363" s="22">
        <v>355</v>
      </c>
      <c r="J363" s="4" t="str">
        <f t="shared" si="10"/>
        <v>1.355</v>
      </c>
    </row>
    <row r="364" spans="1:10" s="7" customFormat="1" ht="42.75">
      <c r="A364" s="1747" t="s">
        <v>451</v>
      </c>
      <c r="B364" s="1748" t="s">
        <v>2405</v>
      </c>
      <c r="C364" s="1749" t="s">
        <v>3</v>
      </c>
      <c r="D364" s="678">
        <v>50</v>
      </c>
      <c r="E364" s="1287">
        <v>34.6</v>
      </c>
      <c r="F364" s="678">
        <v>1730</v>
      </c>
      <c r="G364" s="1750" t="s">
        <v>6398</v>
      </c>
      <c r="H364" s="962" t="str">
        <f t="shared" si="11"/>
        <v>02234A0002</v>
      </c>
      <c r="I364" s="22">
        <v>356</v>
      </c>
      <c r="J364" s="4" t="str">
        <f t="shared" si="10"/>
        <v>1.356</v>
      </c>
    </row>
    <row r="365" spans="1:10" s="9" customFormat="1" ht="42.75">
      <c r="A365" s="1747" t="s">
        <v>452</v>
      </c>
      <c r="B365" s="1748" t="s">
        <v>2410</v>
      </c>
      <c r="C365" s="1749" t="s">
        <v>0</v>
      </c>
      <c r="D365" s="678">
        <v>10</v>
      </c>
      <c r="E365" s="1287">
        <v>2282.59</v>
      </c>
      <c r="F365" s="678">
        <v>22825.9</v>
      </c>
      <c r="G365" s="1750" t="s">
        <v>6399</v>
      </c>
      <c r="H365" s="962" t="str">
        <f t="shared" si="11"/>
        <v>02234A0003</v>
      </c>
      <c r="I365" s="22">
        <v>357</v>
      </c>
      <c r="J365" s="4" t="str">
        <f t="shared" si="10"/>
        <v>1.357</v>
      </c>
    </row>
    <row r="366" spans="1:10" s="7" customFormat="1" ht="57">
      <c r="A366" s="1747" t="s">
        <v>455</v>
      </c>
      <c r="B366" s="1748" t="s">
        <v>4390</v>
      </c>
      <c r="C366" s="1749" t="s">
        <v>927</v>
      </c>
      <c r="D366" s="678">
        <v>10</v>
      </c>
      <c r="E366" s="1287">
        <v>206.33</v>
      </c>
      <c r="F366" s="678">
        <v>2063.3000000000002</v>
      </c>
      <c r="G366" s="1750" t="s">
        <v>6400</v>
      </c>
      <c r="H366" s="962" t="str">
        <f t="shared" si="11"/>
        <v>02240B100D</v>
      </c>
      <c r="I366" s="22">
        <v>358</v>
      </c>
      <c r="J366" s="4" t="str">
        <f t="shared" si="10"/>
        <v>1.358</v>
      </c>
    </row>
    <row r="367" spans="1:10" s="7" customFormat="1" ht="57">
      <c r="A367" s="1747" t="s">
        <v>456</v>
      </c>
      <c r="B367" s="1748" t="s">
        <v>4392</v>
      </c>
      <c r="C367" s="1749" t="s">
        <v>927</v>
      </c>
      <c r="D367" s="678">
        <v>20</v>
      </c>
      <c r="E367" s="1287">
        <v>161.91</v>
      </c>
      <c r="F367" s="678">
        <v>3238.2</v>
      </c>
      <c r="G367" s="1750" t="s">
        <v>6401</v>
      </c>
      <c r="H367" s="962" t="str">
        <f t="shared" si="11"/>
        <v>02240B200D</v>
      </c>
      <c r="I367" s="22">
        <v>359</v>
      </c>
      <c r="J367" s="4" t="str">
        <f t="shared" si="10"/>
        <v>1.359</v>
      </c>
    </row>
    <row r="368" spans="1:10" s="9" customFormat="1" ht="42.75">
      <c r="A368" s="1747" t="s">
        <v>457</v>
      </c>
      <c r="B368" s="1748" t="s">
        <v>2381</v>
      </c>
      <c r="C368" s="1749" t="s">
        <v>927</v>
      </c>
      <c r="D368" s="678">
        <v>5</v>
      </c>
      <c r="E368" s="1287">
        <v>2158.11</v>
      </c>
      <c r="F368" s="678">
        <v>10790.55</v>
      </c>
      <c r="G368" s="1750" t="s">
        <v>6402</v>
      </c>
      <c r="H368" s="962" t="str">
        <f t="shared" si="11"/>
        <v>01271AB101</v>
      </c>
      <c r="I368" s="22">
        <v>360</v>
      </c>
      <c r="J368" s="4" t="str">
        <f t="shared" si="10"/>
        <v>1.360</v>
      </c>
    </row>
    <row r="369" spans="1:10" s="7" customFormat="1" ht="42.75">
      <c r="A369" s="1747" t="s">
        <v>466</v>
      </c>
      <c r="B369" s="1748" t="s">
        <v>2422</v>
      </c>
      <c r="C369" s="1749" t="s">
        <v>927</v>
      </c>
      <c r="D369" s="678">
        <v>5</v>
      </c>
      <c r="E369" s="1287">
        <v>3922.29</v>
      </c>
      <c r="F369" s="678">
        <v>19611.45</v>
      </c>
      <c r="G369" s="1750" t="s">
        <v>6403</v>
      </c>
      <c r="H369" s="962" t="str">
        <f t="shared" si="11"/>
        <v>01271AB201</v>
      </c>
      <c r="I369" s="22">
        <v>361</v>
      </c>
      <c r="J369" s="4" t="str">
        <f t="shared" si="10"/>
        <v>1.361</v>
      </c>
    </row>
    <row r="370" spans="1:10" s="7" customFormat="1" ht="42.75">
      <c r="A370" s="1747" t="s">
        <v>467</v>
      </c>
      <c r="B370" s="1748" t="s">
        <v>514</v>
      </c>
      <c r="C370" s="1749" t="s">
        <v>927</v>
      </c>
      <c r="D370" s="678">
        <v>20</v>
      </c>
      <c r="E370" s="1287">
        <v>927.9</v>
      </c>
      <c r="F370" s="678">
        <v>18558</v>
      </c>
      <c r="G370" s="1750" t="s">
        <v>6404</v>
      </c>
      <c r="H370" s="962" t="str">
        <f t="shared" si="11"/>
        <v>01510522BD</v>
      </c>
      <c r="I370" s="22">
        <v>362</v>
      </c>
      <c r="J370" s="4" t="str">
        <f t="shared" si="10"/>
        <v>1.362</v>
      </c>
    </row>
    <row r="371" spans="1:10" s="7" customFormat="1" ht="42.75">
      <c r="A371" s="1747" t="s">
        <v>468</v>
      </c>
      <c r="B371" s="1748" t="s">
        <v>2433</v>
      </c>
      <c r="C371" s="1749" t="s">
        <v>927</v>
      </c>
      <c r="D371" s="678">
        <v>20</v>
      </c>
      <c r="E371" s="1287">
        <v>907.38</v>
      </c>
      <c r="F371" s="678">
        <v>18147.599999999999</v>
      </c>
      <c r="G371" s="1750" t="s">
        <v>6405</v>
      </c>
      <c r="H371" s="962" t="str">
        <f t="shared" si="11"/>
        <v>01510533BD</v>
      </c>
      <c r="I371" s="22">
        <v>363</v>
      </c>
      <c r="J371" s="4" t="str">
        <f t="shared" si="10"/>
        <v>1.363</v>
      </c>
    </row>
    <row r="372" spans="1:10" s="7" customFormat="1" ht="42.75">
      <c r="A372" s="1747" t="s">
        <v>469</v>
      </c>
      <c r="B372" s="1748" t="s">
        <v>2438</v>
      </c>
      <c r="C372" s="1749" t="s">
        <v>927</v>
      </c>
      <c r="D372" s="678">
        <v>20</v>
      </c>
      <c r="E372" s="1287">
        <v>804.77</v>
      </c>
      <c r="F372" s="678">
        <v>16095.4</v>
      </c>
      <c r="G372" s="1750" t="s">
        <v>6406</v>
      </c>
      <c r="H372" s="962" t="str">
        <f t="shared" si="11"/>
        <v>01510532BD</v>
      </c>
      <c r="I372" s="22">
        <v>364</v>
      </c>
      <c r="J372" s="4" t="str">
        <f t="shared" si="10"/>
        <v>1.364</v>
      </c>
    </row>
    <row r="373" spans="1:10" s="7" customFormat="1" ht="42.75">
      <c r="A373" s="1747" t="s">
        <v>470</v>
      </c>
      <c r="B373" s="1748" t="s">
        <v>2443</v>
      </c>
      <c r="C373" s="1749" t="s">
        <v>4395</v>
      </c>
      <c r="D373" s="678">
        <v>2</v>
      </c>
      <c r="E373" s="1287">
        <v>31251.040000000001</v>
      </c>
      <c r="F373" s="678">
        <v>62502.080000000002</v>
      </c>
      <c r="G373" s="1750" t="s">
        <v>6407</v>
      </c>
      <c r="H373" s="962" t="str">
        <f t="shared" si="11"/>
        <v>01572D0007</v>
      </c>
      <c r="I373" s="22">
        <v>365</v>
      </c>
      <c r="J373" s="4" t="str">
        <f t="shared" si="10"/>
        <v>1.365</v>
      </c>
    </row>
    <row r="374" spans="1:10" s="7" customFormat="1" ht="42.75">
      <c r="A374" s="1747" t="s">
        <v>471</v>
      </c>
      <c r="B374" s="1748" t="s">
        <v>515</v>
      </c>
      <c r="C374" s="1749" t="s">
        <v>0</v>
      </c>
      <c r="D374" s="678">
        <v>5</v>
      </c>
      <c r="E374" s="1287">
        <v>3350.11</v>
      </c>
      <c r="F374" s="678">
        <v>16750.55</v>
      </c>
      <c r="G374" s="1750" t="s">
        <v>6408</v>
      </c>
      <c r="H374" s="962" t="str">
        <f t="shared" si="11"/>
        <v>0226210003</v>
      </c>
      <c r="I374" s="22">
        <v>366</v>
      </c>
      <c r="J374" s="4" t="str">
        <f t="shared" si="10"/>
        <v>1.366</v>
      </c>
    </row>
    <row r="375" spans="1:10" s="7" customFormat="1" ht="31.5">
      <c r="A375" s="1747" t="s">
        <v>472</v>
      </c>
      <c r="B375" s="1748" t="s">
        <v>3349</v>
      </c>
      <c r="C375" s="1749" t="s">
        <v>1497</v>
      </c>
      <c r="D375" s="678">
        <v>20</v>
      </c>
      <c r="E375" s="1287">
        <v>49.81</v>
      </c>
      <c r="F375" s="678">
        <v>996.2</v>
      </c>
      <c r="G375" s="1750" t="s">
        <v>3350</v>
      </c>
      <c r="H375" s="962" t="str">
        <f t="shared" si="11"/>
        <v>050900GGCA</v>
      </c>
      <c r="I375" s="22">
        <v>367</v>
      </c>
      <c r="J375" s="4" t="str">
        <f t="shared" si="10"/>
        <v>1.367</v>
      </c>
    </row>
    <row r="376" spans="1:10" s="7" customFormat="1" ht="31.5">
      <c r="A376" s="1747" t="s">
        <v>473</v>
      </c>
      <c r="B376" s="1748" t="s">
        <v>2333</v>
      </c>
      <c r="C376" s="1749" t="s">
        <v>1497</v>
      </c>
      <c r="D376" s="678">
        <v>20</v>
      </c>
      <c r="E376" s="1287">
        <v>69.739999999999995</v>
      </c>
      <c r="F376" s="678">
        <v>1394.8</v>
      </c>
      <c r="G376" s="1750" t="s">
        <v>2334</v>
      </c>
      <c r="H376" s="962" t="str">
        <f t="shared" si="11"/>
        <v>050900MH0A</v>
      </c>
      <c r="I376" s="22">
        <v>368</v>
      </c>
      <c r="J376" s="4" t="str">
        <f t="shared" si="10"/>
        <v>1.368</v>
      </c>
    </row>
    <row r="377" spans="1:10" s="7" customFormat="1" ht="47.25">
      <c r="A377" s="1747" t="s">
        <v>474</v>
      </c>
      <c r="B377" s="1748" t="s">
        <v>3351</v>
      </c>
      <c r="C377" s="1749" t="s">
        <v>1818</v>
      </c>
      <c r="D377" s="678">
        <v>2</v>
      </c>
      <c r="E377" s="1287">
        <v>4383.3599999999997</v>
      </c>
      <c r="F377" s="678">
        <v>8766.7199999999993</v>
      </c>
      <c r="G377" s="1750" t="s">
        <v>3352</v>
      </c>
      <c r="H377" s="962" t="str">
        <f t="shared" si="11"/>
        <v>02220301BE</v>
      </c>
      <c r="I377" s="22">
        <v>369</v>
      </c>
      <c r="J377" s="4" t="str">
        <f t="shared" si="10"/>
        <v>1.369</v>
      </c>
    </row>
    <row r="378" spans="1:10" s="7" customFormat="1" ht="31.5">
      <c r="A378" s="1747" t="s">
        <v>475</v>
      </c>
      <c r="B378" s="1748" t="s">
        <v>3353</v>
      </c>
      <c r="C378" s="1749" t="s">
        <v>1689</v>
      </c>
      <c r="D378" s="678">
        <v>1</v>
      </c>
      <c r="E378" s="1287">
        <v>8102.24</v>
      </c>
      <c r="F378" s="678">
        <v>8102.24</v>
      </c>
      <c r="G378" s="1750" t="s">
        <v>3354</v>
      </c>
      <c r="H378" s="962" t="str">
        <f t="shared" si="11"/>
        <v>M0556210008</v>
      </c>
      <c r="I378" s="22">
        <v>370</v>
      </c>
      <c r="J378" s="4" t="str">
        <f t="shared" si="10"/>
        <v>1.370</v>
      </c>
    </row>
    <row r="379" spans="1:10" s="7" customFormat="1" ht="47.25">
      <c r="A379" s="1747" t="s">
        <v>476</v>
      </c>
      <c r="B379" s="1748" t="s">
        <v>3355</v>
      </c>
      <c r="C379" s="1749" t="s">
        <v>1497</v>
      </c>
      <c r="D379" s="678">
        <v>50</v>
      </c>
      <c r="E379" s="1287">
        <v>58.78</v>
      </c>
      <c r="F379" s="678">
        <v>2939</v>
      </c>
      <c r="G379" s="1750" t="s">
        <v>3356</v>
      </c>
      <c r="H379" s="962" t="str">
        <f t="shared" si="11"/>
        <v>M050900M80A</v>
      </c>
      <c r="I379" s="22">
        <v>371</v>
      </c>
      <c r="J379" s="4" t="str">
        <f t="shared" si="10"/>
        <v>1.371</v>
      </c>
    </row>
    <row r="380" spans="1:10" s="7" customFormat="1" ht="31.5">
      <c r="A380" s="1747" t="s">
        <v>477</v>
      </c>
      <c r="B380" s="1748" t="s">
        <v>3357</v>
      </c>
      <c r="C380" s="1749" t="s">
        <v>17</v>
      </c>
      <c r="D380" s="678">
        <v>70</v>
      </c>
      <c r="E380" s="1287">
        <v>7.97</v>
      </c>
      <c r="F380" s="678">
        <v>557.9</v>
      </c>
      <c r="G380" s="1750" t="s">
        <v>3358</v>
      </c>
      <c r="H380" s="962" t="str">
        <f t="shared" si="11"/>
        <v>0250611011</v>
      </c>
      <c r="I380" s="22">
        <v>372</v>
      </c>
      <c r="J380" s="4" t="str">
        <f t="shared" si="10"/>
        <v>1.372</v>
      </c>
    </row>
    <row r="381" spans="1:10" s="7" customFormat="1" ht="31.5">
      <c r="A381" s="1747" t="s">
        <v>478</v>
      </c>
      <c r="B381" s="1748" t="s">
        <v>3359</v>
      </c>
      <c r="C381" s="1749" t="s">
        <v>2679</v>
      </c>
      <c r="D381" s="678">
        <v>1</v>
      </c>
      <c r="E381" s="1287">
        <v>21916.81</v>
      </c>
      <c r="F381" s="678">
        <v>21916.81</v>
      </c>
      <c r="G381" s="1750" t="s">
        <v>3360</v>
      </c>
      <c r="H381" s="962" t="str">
        <f t="shared" si="11"/>
        <v>03400B0007</v>
      </c>
      <c r="I381" s="22">
        <v>373</v>
      </c>
      <c r="J381" s="4" t="str">
        <f t="shared" si="10"/>
        <v>1.373</v>
      </c>
    </row>
    <row r="382" spans="1:10" s="7" customFormat="1" ht="31.5">
      <c r="A382" s="1747" t="s">
        <v>479</v>
      </c>
      <c r="B382" s="1748" t="s">
        <v>3361</v>
      </c>
      <c r="C382" s="1749" t="s">
        <v>2679</v>
      </c>
      <c r="D382" s="678">
        <v>1</v>
      </c>
      <c r="E382" s="1287">
        <v>24905.46</v>
      </c>
      <c r="F382" s="678">
        <v>24905.46</v>
      </c>
      <c r="G382" s="1750" t="s">
        <v>3362</v>
      </c>
      <c r="H382" s="962" t="str">
        <f t="shared" si="11"/>
        <v>03400R0007</v>
      </c>
      <c r="I382" s="22">
        <v>374</v>
      </c>
      <c r="J382" s="4" t="str">
        <f t="shared" si="10"/>
        <v>1.374</v>
      </c>
    </row>
    <row r="383" spans="1:10" s="7" customFormat="1" ht="28.5">
      <c r="A383" s="1747" t="s">
        <v>480</v>
      </c>
      <c r="B383" s="1748" t="s">
        <v>3363</v>
      </c>
      <c r="C383" s="1749" t="s">
        <v>1875</v>
      </c>
      <c r="D383" s="678">
        <v>10</v>
      </c>
      <c r="E383" s="1287">
        <v>41.84</v>
      </c>
      <c r="F383" s="678">
        <v>418.4</v>
      </c>
      <c r="G383" s="1750" t="s">
        <v>3364</v>
      </c>
      <c r="H383" s="962" t="str">
        <f t="shared" si="11"/>
        <v>03400X000A</v>
      </c>
      <c r="I383" s="22">
        <v>375</v>
      </c>
      <c r="J383" s="4" t="str">
        <f t="shared" si="10"/>
        <v>1.375</v>
      </c>
    </row>
    <row r="384" spans="1:10" s="7" customFormat="1" ht="28.5">
      <c r="A384" s="1747" t="s">
        <v>481</v>
      </c>
      <c r="B384" s="1748" t="s">
        <v>3365</v>
      </c>
      <c r="C384" s="1749" t="s">
        <v>1875</v>
      </c>
      <c r="D384" s="678">
        <v>10</v>
      </c>
      <c r="E384" s="1287">
        <v>36.86</v>
      </c>
      <c r="F384" s="678">
        <v>368.6</v>
      </c>
      <c r="G384" s="1750" t="s">
        <v>3366</v>
      </c>
      <c r="H384" s="962" t="str">
        <f t="shared" si="11"/>
        <v>03400Y000A</v>
      </c>
      <c r="I384" s="22">
        <v>376</v>
      </c>
      <c r="J384" s="4" t="str">
        <f t="shared" si="10"/>
        <v>1.376</v>
      </c>
    </row>
    <row r="385" spans="1:10" s="7" customFormat="1" ht="31.5">
      <c r="A385" s="1747" t="s">
        <v>482</v>
      </c>
      <c r="B385" s="1748" t="s">
        <v>3367</v>
      </c>
      <c r="C385" s="1749" t="s">
        <v>17</v>
      </c>
      <c r="D385" s="678">
        <v>10</v>
      </c>
      <c r="E385" s="1287">
        <v>309.82</v>
      </c>
      <c r="F385" s="678">
        <v>3098.2</v>
      </c>
      <c r="G385" s="1750" t="s">
        <v>3368</v>
      </c>
      <c r="H385" s="962" t="str">
        <f t="shared" si="11"/>
        <v>151070000001</v>
      </c>
      <c r="I385" s="22">
        <v>377</v>
      </c>
      <c r="J385" s="4" t="str">
        <f t="shared" si="10"/>
        <v>1.377</v>
      </c>
    </row>
    <row r="386" spans="1:10" s="7" customFormat="1" ht="42.75">
      <c r="A386" s="1747" t="s">
        <v>483</v>
      </c>
      <c r="B386" s="1748" t="s">
        <v>2458</v>
      </c>
      <c r="C386" s="1749" t="s">
        <v>2335</v>
      </c>
      <c r="D386" s="678">
        <v>5</v>
      </c>
      <c r="E386" s="1287">
        <v>823.27</v>
      </c>
      <c r="F386" s="678">
        <v>4116.3500000000004</v>
      </c>
      <c r="G386" s="1750" t="s">
        <v>6409</v>
      </c>
      <c r="H386" s="962" t="str">
        <f t="shared" si="11"/>
        <v>022180A005</v>
      </c>
      <c r="I386" s="22">
        <v>378</v>
      </c>
      <c r="J386" s="4" t="str">
        <f t="shared" ref="J386:J449" si="12">A386</f>
        <v>1.378</v>
      </c>
    </row>
    <row r="387" spans="1:10" s="7" customFormat="1" ht="31.5">
      <c r="A387" s="1747" t="s">
        <v>484</v>
      </c>
      <c r="B387" s="1748" t="s">
        <v>2954</v>
      </c>
      <c r="C387" s="1749" t="s">
        <v>2490</v>
      </c>
      <c r="D387" s="678">
        <v>5</v>
      </c>
      <c r="E387" s="1287">
        <v>29886.55</v>
      </c>
      <c r="F387" s="678">
        <v>149432.75</v>
      </c>
      <c r="G387" s="1750" t="s">
        <v>3370</v>
      </c>
      <c r="H387" s="962" t="str">
        <f t="shared" si="11"/>
        <v>012714000A</v>
      </c>
      <c r="I387" s="22">
        <v>379</v>
      </c>
      <c r="J387" s="4" t="str">
        <f t="shared" si="12"/>
        <v>1.379</v>
      </c>
    </row>
    <row r="388" spans="1:10" s="7" customFormat="1" ht="31.5">
      <c r="A388" s="1747" t="s">
        <v>485</v>
      </c>
      <c r="B388" s="1748" t="s">
        <v>3371</v>
      </c>
      <c r="C388" s="1749" t="s">
        <v>2490</v>
      </c>
      <c r="D388" s="678">
        <v>5</v>
      </c>
      <c r="E388" s="1287">
        <v>7471.64</v>
      </c>
      <c r="F388" s="678">
        <v>37358.199999999997</v>
      </c>
      <c r="G388" s="1750" t="s">
        <v>3372</v>
      </c>
      <c r="H388" s="962" t="str">
        <f t="shared" si="11"/>
        <v>012714100A</v>
      </c>
      <c r="I388" s="22">
        <v>380</v>
      </c>
      <c r="J388" s="4" t="str">
        <f t="shared" si="12"/>
        <v>1.380</v>
      </c>
    </row>
    <row r="389" spans="1:10" s="7" customFormat="1" ht="42.75">
      <c r="A389" s="1747" t="s">
        <v>486</v>
      </c>
      <c r="B389" s="1748" t="s">
        <v>2468</v>
      </c>
      <c r="C389" s="1749" t="s">
        <v>0</v>
      </c>
      <c r="D389" s="678">
        <v>1</v>
      </c>
      <c r="E389" s="1287">
        <v>49598.63</v>
      </c>
      <c r="F389" s="678">
        <v>49598.63</v>
      </c>
      <c r="G389" s="1750" t="s">
        <v>6410</v>
      </c>
      <c r="H389" s="962" t="str">
        <f t="shared" si="11"/>
        <v>02742B0H03</v>
      </c>
      <c r="I389" s="22">
        <v>381</v>
      </c>
      <c r="J389" s="4" t="str">
        <f t="shared" si="12"/>
        <v>1.381</v>
      </c>
    </row>
    <row r="390" spans="1:10" s="7" customFormat="1" ht="42.75">
      <c r="A390" s="1747" t="s">
        <v>487</v>
      </c>
      <c r="B390" s="1748" t="s">
        <v>2475</v>
      </c>
      <c r="C390" s="1749" t="s">
        <v>2238</v>
      </c>
      <c r="D390" s="678">
        <v>5</v>
      </c>
      <c r="E390" s="1287">
        <v>58149.69</v>
      </c>
      <c r="F390" s="678">
        <v>290748.45</v>
      </c>
      <c r="G390" s="1750" t="s">
        <v>6411</v>
      </c>
      <c r="H390" s="962" t="str">
        <f t="shared" si="11"/>
        <v>0151111021</v>
      </c>
      <c r="I390" s="22">
        <v>382</v>
      </c>
      <c r="J390" s="4" t="str">
        <f t="shared" si="12"/>
        <v>1.382</v>
      </c>
    </row>
    <row r="391" spans="1:10" s="7" customFormat="1" ht="42.75">
      <c r="A391" s="1747" t="s">
        <v>488</v>
      </c>
      <c r="B391" s="1748" t="s">
        <v>2480</v>
      </c>
      <c r="C391" s="1749" t="s">
        <v>2238</v>
      </c>
      <c r="D391" s="678">
        <v>5</v>
      </c>
      <c r="E391" s="1287">
        <v>75570.44</v>
      </c>
      <c r="F391" s="678">
        <v>377852.2</v>
      </c>
      <c r="G391" s="1750" t="s">
        <v>6412</v>
      </c>
      <c r="H391" s="962" t="str">
        <f t="shared" si="11"/>
        <v>0151112021</v>
      </c>
      <c r="I391" s="22">
        <v>383</v>
      </c>
      <c r="J391" s="4" t="str">
        <f t="shared" si="12"/>
        <v>1.383</v>
      </c>
    </row>
    <row r="392" spans="1:10" s="7" customFormat="1" ht="42.75">
      <c r="A392" s="1747" t="s">
        <v>489</v>
      </c>
      <c r="B392" s="1748" t="s">
        <v>2483</v>
      </c>
      <c r="C392" s="1749" t="s">
        <v>2238</v>
      </c>
      <c r="D392" s="678">
        <v>5</v>
      </c>
      <c r="E392" s="1287">
        <v>42176.2</v>
      </c>
      <c r="F392" s="678">
        <v>210881</v>
      </c>
      <c r="G392" s="1750" t="s">
        <v>6413</v>
      </c>
      <c r="H392" s="962" t="str">
        <f t="shared" si="11"/>
        <v>0151111221</v>
      </c>
      <c r="I392" s="22">
        <v>384</v>
      </c>
      <c r="J392" s="4" t="str">
        <f t="shared" si="12"/>
        <v>1.384</v>
      </c>
    </row>
    <row r="393" spans="1:10" s="7" customFormat="1" ht="42.75">
      <c r="A393" s="1747" t="s">
        <v>490</v>
      </c>
      <c r="B393" s="1748" t="s">
        <v>2486</v>
      </c>
      <c r="C393" s="1749" t="s">
        <v>2238</v>
      </c>
      <c r="D393" s="678">
        <v>5</v>
      </c>
      <c r="E393" s="1287">
        <v>54161.93</v>
      </c>
      <c r="F393" s="678">
        <v>270809.65000000002</v>
      </c>
      <c r="G393" s="1750" t="s">
        <v>6414</v>
      </c>
      <c r="H393" s="962" t="str">
        <f t="shared" si="11"/>
        <v>0151112221</v>
      </c>
      <c r="I393" s="22">
        <v>385</v>
      </c>
      <c r="J393" s="4" t="str">
        <f t="shared" si="12"/>
        <v>1.385</v>
      </c>
    </row>
    <row r="394" spans="1:10" s="7" customFormat="1" ht="31.5">
      <c r="A394" s="1747" t="s">
        <v>491</v>
      </c>
      <c r="B394" s="1748" t="s">
        <v>4756</v>
      </c>
      <c r="C394" s="1749" t="s">
        <v>2490</v>
      </c>
      <c r="D394" s="678">
        <v>5</v>
      </c>
      <c r="E394" s="1287">
        <v>24905.46</v>
      </c>
      <c r="F394" s="678">
        <v>124527.3</v>
      </c>
      <c r="G394" s="1750" t="s">
        <v>4757</v>
      </c>
      <c r="H394" s="962" t="str">
        <f t="shared" ref="H394:H457" si="13">LEFT(G394, FIND(CHAR(10), G394) - 1)</f>
        <v>0151132204</v>
      </c>
      <c r="I394" s="22">
        <v>386</v>
      </c>
      <c r="J394" s="4" t="str">
        <f t="shared" si="12"/>
        <v>1.386</v>
      </c>
    </row>
    <row r="395" spans="1:10" s="7" customFormat="1" ht="47.25">
      <c r="A395" s="1747" t="s">
        <v>492</v>
      </c>
      <c r="B395" s="1748" t="s">
        <v>6415</v>
      </c>
      <c r="C395" s="1749" t="s">
        <v>2490</v>
      </c>
      <c r="D395" s="678">
        <v>10</v>
      </c>
      <c r="E395" s="1287">
        <v>7222.58</v>
      </c>
      <c r="F395" s="678">
        <v>72225.8</v>
      </c>
      <c r="G395" s="1750" t="s">
        <v>3378</v>
      </c>
      <c r="H395" s="962" t="str">
        <f t="shared" si="13"/>
        <v>01510CC11G</v>
      </c>
      <c r="I395" s="22">
        <v>387</v>
      </c>
      <c r="J395" s="4" t="str">
        <f t="shared" si="12"/>
        <v>1.387</v>
      </c>
    </row>
    <row r="396" spans="1:10" s="7" customFormat="1" ht="47.25">
      <c r="A396" s="1747" t="s">
        <v>493</v>
      </c>
      <c r="B396" s="1748" t="s">
        <v>3379</v>
      </c>
      <c r="C396" s="1749" t="s">
        <v>2490</v>
      </c>
      <c r="D396" s="678">
        <v>10</v>
      </c>
      <c r="E396" s="1287">
        <v>10759.16</v>
      </c>
      <c r="F396" s="678">
        <v>107591.6</v>
      </c>
      <c r="G396" s="1750" t="s">
        <v>3380</v>
      </c>
      <c r="H396" s="962" t="str">
        <f t="shared" si="13"/>
        <v>01510CC12G</v>
      </c>
      <c r="I396" s="22">
        <v>388</v>
      </c>
      <c r="J396" s="4" t="str">
        <f t="shared" si="12"/>
        <v>1.388</v>
      </c>
    </row>
    <row r="397" spans="1:10" s="7" customFormat="1" ht="47.25">
      <c r="A397" s="1747" t="s">
        <v>494</v>
      </c>
      <c r="B397" s="1748" t="s">
        <v>4758</v>
      </c>
      <c r="C397" s="1749" t="s">
        <v>2490</v>
      </c>
      <c r="D397" s="678">
        <v>10</v>
      </c>
      <c r="E397" s="1287">
        <v>14943.28</v>
      </c>
      <c r="F397" s="678">
        <v>149432.79999999999</v>
      </c>
      <c r="G397" s="1750" t="s">
        <v>4759</v>
      </c>
      <c r="H397" s="962" t="str">
        <f t="shared" si="13"/>
        <v>01510CC13G</v>
      </c>
      <c r="I397" s="22">
        <v>389</v>
      </c>
      <c r="J397" s="4" t="str">
        <f t="shared" si="12"/>
        <v>1.389</v>
      </c>
    </row>
    <row r="398" spans="1:10" s="7" customFormat="1" ht="42.75">
      <c r="A398" s="1747" t="s">
        <v>495</v>
      </c>
      <c r="B398" s="1748" t="s">
        <v>2489</v>
      </c>
      <c r="C398" s="1749" t="s">
        <v>2490</v>
      </c>
      <c r="D398" s="678">
        <v>5</v>
      </c>
      <c r="E398" s="1287">
        <v>3112.19</v>
      </c>
      <c r="F398" s="678">
        <v>15560.95</v>
      </c>
      <c r="G398" s="1750" t="s">
        <v>6416</v>
      </c>
      <c r="H398" s="962" t="str">
        <f t="shared" si="13"/>
        <v>0221071026</v>
      </c>
      <c r="I398" s="22">
        <v>390</v>
      </c>
      <c r="J398" s="4" t="str">
        <f t="shared" si="12"/>
        <v>1.390</v>
      </c>
    </row>
    <row r="399" spans="1:10" s="7" customFormat="1" ht="42.75">
      <c r="A399" s="1747" t="s">
        <v>496</v>
      </c>
      <c r="B399" s="1748" t="s">
        <v>2497</v>
      </c>
      <c r="C399" s="1749" t="s">
        <v>2490</v>
      </c>
      <c r="D399" s="678">
        <v>5</v>
      </c>
      <c r="E399" s="1287">
        <v>779.04</v>
      </c>
      <c r="F399" s="678">
        <v>3895.2</v>
      </c>
      <c r="G399" s="1750" t="s">
        <v>6417</v>
      </c>
      <c r="H399" s="962" t="str">
        <f t="shared" si="13"/>
        <v>0221071123</v>
      </c>
      <c r="I399" s="22">
        <v>391</v>
      </c>
      <c r="J399" s="4" t="str">
        <f t="shared" si="12"/>
        <v>1.391</v>
      </c>
    </row>
    <row r="400" spans="1:10" s="7" customFormat="1" ht="42.75">
      <c r="A400" s="1747" t="s">
        <v>497</v>
      </c>
      <c r="B400" s="1748" t="s">
        <v>2506</v>
      </c>
      <c r="C400" s="1749" t="s">
        <v>2490</v>
      </c>
      <c r="D400" s="678">
        <v>5</v>
      </c>
      <c r="E400" s="1287">
        <v>4231.9399999999996</v>
      </c>
      <c r="F400" s="678">
        <v>21159.7</v>
      </c>
      <c r="G400" s="1750" t="s">
        <v>6418</v>
      </c>
      <c r="H400" s="962" t="str">
        <f t="shared" si="13"/>
        <v>0221072026</v>
      </c>
      <c r="I400" s="22">
        <v>392</v>
      </c>
      <c r="J400" s="4" t="str">
        <f t="shared" si="12"/>
        <v>1.392</v>
      </c>
    </row>
    <row r="401" spans="1:10" s="7" customFormat="1" ht="42.75">
      <c r="A401" s="1747" t="s">
        <v>498</v>
      </c>
      <c r="B401" s="1748" t="s">
        <v>2509</v>
      </c>
      <c r="C401" s="1749" t="s">
        <v>2490</v>
      </c>
      <c r="D401" s="678">
        <v>5</v>
      </c>
      <c r="E401" s="1287">
        <v>1352.86</v>
      </c>
      <c r="F401" s="678">
        <v>6764.3</v>
      </c>
      <c r="G401" s="1750" t="s">
        <v>6419</v>
      </c>
      <c r="H401" s="962" t="str">
        <f t="shared" si="13"/>
        <v>0221072123</v>
      </c>
      <c r="I401" s="22">
        <v>393</v>
      </c>
      <c r="J401" s="4" t="str">
        <f t="shared" si="12"/>
        <v>1.393</v>
      </c>
    </row>
    <row r="402" spans="1:10" s="7" customFormat="1" ht="31.5">
      <c r="A402" s="1747" t="s">
        <v>499</v>
      </c>
      <c r="B402" s="1748" t="s">
        <v>3385</v>
      </c>
      <c r="C402" s="1749" t="s">
        <v>2238</v>
      </c>
      <c r="D402" s="678">
        <v>5</v>
      </c>
      <c r="E402" s="1287">
        <v>251.05</v>
      </c>
      <c r="F402" s="678">
        <v>1255.25</v>
      </c>
      <c r="G402" s="1750" t="s">
        <v>3386</v>
      </c>
      <c r="H402" s="962" t="str">
        <f t="shared" si="13"/>
        <v>0221092102</v>
      </c>
      <c r="I402" s="22">
        <v>394</v>
      </c>
      <c r="J402" s="4" t="str">
        <f t="shared" si="12"/>
        <v>1.394</v>
      </c>
    </row>
    <row r="403" spans="1:10" s="7" customFormat="1" ht="31.5">
      <c r="A403" s="1747" t="s">
        <v>521</v>
      </c>
      <c r="B403" s="1748" t="s">
        <v>3387</v>
      </c>
      <c r="C403" s="1749" t="s">
        <v>2238</v>
      </c>
      <c r="D403" s="678">
        <v>5</v>
      </c>
      <c r="E403" s="1287">
        <v>121.04</v>
      </c>
      <c r="F403" s="678">
        <v>605.20000000000005</v>
      </c>
      <c r="G403" s="1750" t="s">
        <v>3388</v>
      </c>
      <c r="H403" s="962" t="str">
        <f t="shared" si="13"/>
        <v>0221092202</v>
      </c>
      <c r="I403" s="22">
        <v>395</v>
      </c>
      <c r="J403" s="4" t="str">
        <f t="shared" si="12"/>
        <v>1.395</v>
      </c>
    </row>
    <row r="404" spans="1:10" s="7" customFormat="1" ht="42.75">
      <c r="A404" s="1747" t="s">
        <v>522</v>
      </c>
      <c r="B404" s="1748" t="s">
        <v>2512</v>
      </c>
      <c r="C404" s="1749" t="s">
        <v>2238</v>
      </c>
      <c r="D404" s="678">
        <v>5</v>
      </c>
      <c r="E404" s="1287">
        <v>22525.11</v>
      </c>
      <c r="F404" s="678">
        <v>112625.55</v>
      </c>
      <c r="G404" s="1750" t="s">
        <v>6420</v>
      </c>
      <c r="H404" s="962" t="str">
        <f t="shared" si="13"/>
        <v>0151113021</v>
      </c>
      <c r="I404" s="22">
        <v>396</v>
      </c>
      <c r="J404" s="4" t="str">
        <f t="shared" si="12"/>
        <v>1.396</v>
      </c>
    </row>
    <row r="405" spans="1:10" s="7" customFormat="1" ht="42.75">
      <c r="A405" s="1747" t="s">
        <v>523</v>
      </c>
      <c r="B405" s="1748" t="s">
        <v>2515</v>
      </c>
      <c r="C405" s="1749" t="s">
        <v>2238</v>
      </c>
      <c r="D405" s="678">
        <v>5</v>
      </c>
      <c r="E405" s="1287">
        <v>32736.78</v>
      </c>
      <c r="F405" s="678">
        <v>163683.9</v>
      </c>
      <c r="G405" s="1750" t="s">
        <v>6421</v>
      </c>
      <c r="H405" s="962" t="str">
        <f t="shared" si="13"/>
        <v>0151113221</v>
      </c>
      <c r="I405" s="22">
        <v>397</v>
      </c>
      <c r="J405" s="4" t="str">
        <f t="shared" si="12"/>
        <v>1.397</v>
      </c>
    </row>
    <row r="406" spans="1:10" s="7" customFormat="1" ht="47.25">
      <c r="A406" s="1747" t="s">
        <v>524</v>
      </c>
      <c r="B406" s="1748" t="s">
        <v>2518</v>
      </c>
      <c r="C406" s="1749" t="s">
        <v>2238</v>
      </c>
      <c r="D406" s="678">
        <v>5</v>
      </c>
      <c r="E406" s="1287">
        <v>10819.24</v>
      </c>
      <c r="F406" s="678">
        <v>54096.2</v>
      </c>
      <c r="G406" s="1750" t="s">
        <v>6422</v>
      </c>
      <c r="H406" s="962" t="str">
        <f t="shared" si="13"/>
        <v>02742000S3</v>
      </c>
      <c r="I406" s="22">
        <v>398</v>
      </c>
      <c r="J406" s="4" t="str">
        <f t="shared" si="12"/>
        <v>1.398</v>
      </c>
    </row>
    <row r="407" spans="1:10" s="7" customFormat="1" ht="47.25">
      <c r="A407" s="1747" t="s">
        <v>525</v>
      </c>
      <c r="B407" s="1748" t="s">
        <v>2527</v>
      </c>
      <c r="C407" s="1749" t="s">
        <v>2238</v>
      </c>
      <c r="D407" s="678">
        <v>5</v>
      </c>
      <c r="E407" s="1287">
        <v>20485.13</v>
      </c>
      <c r="F407" s="678">
        <v>102425.65</v>
      </c>
      <c r="G407" s="1750" t="s">
        <v>6423</v>
      </c>
      <c r="H407" s="962" t="str">
        <f t="shared" si="13"/>
        <v>0274200BS3</v>
      </c>
      <c r="I407" s="22">
        <v>399</v>
      </c>
      <c r="J407" s="4" t="str">
        <f t="shared" si="12"/>
        <v>1.399</v>
      </c>
    </row>
    <row r="408" spans="1:10" s="7" customFormat="1" ht="47.25">
      <c r="A408" s="1747" t="s">
        <v>526</v>
      </c>
      <c r="B408" s="1748" t="s">
        <v>2530</v>
      </c>
      <c r="C408" s="1749" t="s">
        <v>2238</v>
      </c>
      <c r="D408" s="678">
        <v>2</v>
      </c>
      <c r="E408" s="1287">
        <v>16417.66</v>
      </c>
      <c r="F408" s="678">
        <v>32835.32</v>
      </c>
      <c r="G408" s="1750" t="s">
        <v>6424</v>
      </c>
      <c r="H408" s="962" t="str">
        <f t="shared" si="13"/>
        <v>0274200NS3</v>
      </c>
      <c r="I408" s="22">
        <v>400</v>
      </c>
      <c r="J408" s="4" t="str">
        <f t="shared" si="12"/>
        <v>1.400</v>
      </c>
    </row>
    <row r="409" spans="1:10" s="7" customFormat="1" ht="47.25">
      <c r="A409" s="1747" t="s">
        <v>527</v>
      </c>
      <c r="B409" s="1748" t="s">
        <v>2537</v>
      </c>
      <c r="C409" s="1749" t="s">
        <v>2238</v>
      </c>
      <c r="D409" s="678">
        <v>2</v>
      </c>
      <c r="E409" s="1287">
        <v>30528.66</v>
      </c>
      <c r="F409" s="678">
        <v>61057.32</v>
      </c>
      <c r="G409" s="1750" t="s">
        <v>6425</v>
      </c>
      <c r="H409" s="962" t="str">
        <f t="shared" si="13"/>
        <v>027420BNS3</v>
      </c>
      <c r="I409" s="22">
        <v>401</v>
      </c>
      <c r="J409" s="4" t="str">
        <f t="shared" si="12"/>
        <v>1.401</v>
      </c>
    </row>
    <row r="410" spans="1:10" s="7" customFormat="1" ht="63">
      <c r="A410" s="1747" t="s">
        <v>528</v>
      </c>
      <c r="B410" s="1748" t="s">
        <v>2540</v>
      </c>
      <c r="C410" s="1749" t="s">
        <v>0</v>
      </c>
      <c r="D410" s="678">
        <v>10</v>
      </c>
      <c r="E410" s="1287">
        <v>7252.47</v>
      </c>
      <c r="F410" s="678">
        <v>72524.7</v>
      </c>
      <c r="G410" s="1750" t="s">
        <v>6426</v>
      </c>
      <c r="H410" s="962" t="str">
        <f t="shared" si="13"/>
        <v>02742040B3</v>
      </c>
      <c r="I410" s="22">
        <v>402</v>
      </c>
      <c r="J410" s="4" t="str">
        <f t="shared" si="12"/>
        <v>1.402</v>
      </c>
    </row>
    <row r="411" spans="1:10" ht="63">
      <c r="A411" s="1747" t="s">
        <v>2881</v>
      </c>
      <c r="B411" s="1748" t="s">
        <v>2544</v>
      </c>
      <c r="C411" s="1749" t="s">
        <v>0</v>
      </c>
      <c r="D411" s="678">
        <v>10</v>
      </c>
      <c r="E411" s="1287">
        <v>7315.23</v>
      </c>
      <c r="F411" s="678">
        <v>73152.3</v>
      </c>
      <c r="G411" s="1750" t="s">
        <v>6427</v>
      </c>
      <c r="H411" s="962" t="str">
        <f t="shared" si="13"/>
        <v>02742050B3</v>
      </c>
      <c r="I411" s="22">
        <v>403</v>
      </c>
      <c r="J411" s="4" t="str">
        <f t="shared" si="12"/>
        <v>1.403</v>
      </c>
    </row>
    <row r="412" spans="1:10" ht="47.25">
      <c r="A412" s="1747" t="s">
        <v>2882</v>
      </c>
      <c r="B412" s="1748" t="s">
        <v>2547</v>
      </c>
      <c r="C412" s="1749" t="s">
        <v>0</v>
      </c>
      <c r="D412" s="678">
        <v>10</v>
      </c>
      <c r="E412" s="1287">
        <v>6347.49</v>
      </c>
      <c r="F412" s="678">
        <v>63474.9</v>
      </c>
      <c r="G412" s="1750" t="s">
        <v>6428</v>
      </c>
      <c r="H412" s="962" t="str">
        <f t="shared" si="13"/>
        <v>02742D3003</v>
      </c>
      <c r="I412" s="22">
        <v>404</v>
      </c>
      <c r="J412" s="4" t="str">
        <f t="shared" si="12"/>
        <v>1.404</v>
      </c>
    </row>
    <row r="413" spans="1:10" ht="47.25">
      <c r="A413" s="1747" t="s">
        <v>3662</v>
      </c>
      <c r="B413" s="1748" t="s">
        <v>2550</v>
      </c>
      <c r="C413" s="1749" t="s">
        <v>0</v>
      </c>
      <c r="D413" s="678">
        <v>10</v>
      </c>
      <c r="E413" s="1287">
        <v>6716.88</v>
      </c>
      <c r="F413" s="678">
        <v>67168.800000000003</v>
      </c>
      <c r="G413" s="1750" t="s">
        <v>6429</v>
      </c>
      <c r="H413" s="962" t="str">
        <f t="shared" si="13"/>
        <v>02742D5003</v>
      </c>
      <c r="I413" s="22">
        <v>405</v>
      </c>
      <c r="J413" s="4" t="str">
        <f t="shared" si="12"/>
        <v>1.405</v>
      </c>
    </row>
    <row r="414" spans="1:10" ht="63">
      <c r="A414" s="1747" t="s">
        <v>3663</v>
      </c>
      <c r="B414" s="1748" t="s">
        <v>2553</v>
      </c>
      <c r="C414" s="1749" t="s">
        <v>0</v>
      </c>
      <c r="D414" s="678">
        <v>10</v>
      </c>
      <c r="E414" s="1287">
        <v>7106.8</v>
      </c>
      <c r="F414" s="678">
        <v>71068</v>
      </c>
      <c r="G414" s="1750" t="s">
        <v>6430</v>
      </c>
      <c r="H414" s="962" t="str">
        <f t="shared" si="13"/>
        <v>0274293G03</v>
      </c>
      <c r="I414" s="22">
        <v>406</v>
      </c>
      <c r="J414" s="4" t="str">
        <f t="shared" si="12"/>
        <v>1.406</v>
      </c>
    </row>
    <row r="415" spans="1:10" ht="47.25">
      <c r="A415" s="1747" t="s">
        <v>3664</v>
      </c>
      <c r="B415" s="1748" t="s">
        <v>2556</v>
      </c>
      <c r="C415" s="1749" t="s">
        <v>2238</v>
      </c>
      <c r="D415" s="678">
        <v>2</v>
      </c>
      <c r="E415" s="1287">
        <v>16561.349999999999</v>
      </c>
      <c r="F415" s="678">
        <v>33122.699999999997</v>
      </c>
      <c r="G415" s="1750" t="s">
        <v>6431</v>
      </c>
      <c r="H415" s="962" t="str">
        <f t="shared" si="13"/>
        <v>0296150001</v>
      </c>
      <c r="I415" s="22">
        <v>407</v>
      </c>
      <c r="J415" s="4" t="str">
        <f t="shared" si="12"/>
        <v>1.407</v>
      </c>
    </row>
    <row r="416" spans="1:10" ht="63">
      <c r="A416" s="1747" t="s">
        <v>3665</v>
      </c>
      <c r="B416" s="1748" t="s">
        <v>2561</v>
      </c>
      <c r="C416" s="1749" t="s">
        <v>2238</v>
      </c>
      <c r="D416" s="678">
        <v>2</v>
      </c>
      <c r="E416" s="1287">
        <v>23313.08</v>
      </c>
      <c r="F416" s="678">
        <v>46626.16</v>
      </c>
      <c r="G416" s="1750" t="s">
        <v>6432</v>
      </c>
      <c r="H416" s="962" t="str">
        <f t="shared" si="13"/>
        <v>0296150N01</v>
      </c>
      <c r="I416" s="22">
        <v>408</v>
      </c>
      <c r="J416" s="4" t="str">
        <f t="shared" si="12"/>
        <v>1.408</v>
      </c>
    </row>
    <row r="417" spans="1:10" ht="42.75">
      <c r="A417" s="1747" t="s">
        <v>3666</v>
      </c>
      <c r="B417" s="1748" t="s">
        <v>2570</v>
      </c>
      <c r="C417" s="1749" t="s">
        <v>17</v>
      </c>
      <c r="D417" s="678">
        <v>5</v>
      </c>
      <c r="E417" s="1287">
        <v>6547</v>
      </c>
      <c r="F417" s="678">
        <v>32735</v>
      </c>
      <c r="G417" s="1750" t="s">
        <v>6433</v>
      </c>
      <c r="H417" s="962" t="str">
        <f t="shared" si="13"/>
        <v>0250111111</v>
      </c>
      <c r="I417" s="22">
        <v>409</v>
      </c>
      <c r="J417" s="4" t="str">
        <f t="shared" si="12"/>
        <v>1.409</v>
      </c>
    </row>
    <row r="418" spans="1:10" ht="42.75">
      <c r="A418" s="1747" t="s">
        <v>3667</v>
      </c>
      <c r="B418" s="1748" t="s">
        <v>2577</v>
      </c>
      <c r="C418" s="1749" t="s">
        <v>17</v>
      </c>
      <c r="D418" s="678">
        <v>5</v>
      </c>
      <c r="E418" s="1287">
        <v>7142.78</v>
      </c>
      <c r="F418" s="678">
        <v>35713.9</v>
      </c>
      <c r="G418" s="1750" t="s">
        <v>6434</v>
      </c>
      <c r="H418" s="962" t="str">
        <f t="shared" si="13"/>
        <v>0250111121</v>
      </c>
      <c r="I418" s="22">
        <v>410</v>
      </c>
      <c r="J418" s="4" t="str">
        <f t="shared" si="12"/>
        <v>1.410</v>
      </c>
    </row>
    <row r="419" spans="1:10" ht="42.75">
      <c r="A419" s="1747" t="s">
        <v>3668</v>
      </c>
      <c r="B419" s="1748" t="s">
        <v>2584</v>
      </c>
      <c r="C419" s="1749" t="s">
        <v>17</v>
      </c>
      <c r="D419" s="678">
        <v>5</v>
      </c>
      <c r="E419" s="1287">
        <v>8143.04</v>
      </c>
      <c r="F419" s="678">
        <v>40715.199999999997</v>
      </c>
      <c r="G419" s="1750" t="s">
        <v>6435</v>
      </c>
      <c r="H419" s="962" t="str">
        <f t="shared" si="13"/>
        <v>0250111211</v>
      </c>
      <c r="I419" s="22">
        <v>411</v>
      </c>
      <c r="J419" s="4" t="str">
        <f t="shared" si="12"/>
        <v>1.411</v>
      </c>
    </row>
    <row r="420" spans="1:10" ht="42.75">
      <c r="A420" s="1747" t="s">
        <v>3976</v>
      </c>
      <c r="B420" s="1748" t="s">
        <v>2587</v>
      </c>
      <c r="C420" s="1749" t="s">
        <v>17</v>
      </c>
      <c r="D420" s="678">
        <v>5</v>
      </c>
      <c r="E420" s="1287">
        <v>8985.49</v>
      </c>
      <c r="F420" s="678">
        <v>44927.45</v>
      </c>
      <c r="G420" s="1750" t="s">
        <v>6436</v>
      </c>
      <c r="H420" s="962" t="str">
        <f t="shared" si="13"/>
        <v>0250111221</v>
      </c>
      <c r="I420" s="22">
        <v>412</v>
      </c>
      <c r="J420" s="4" t="str">
        <f t="shared" si="12"/>
        <v>1.412</v>
      </c>
    </row>
    <row r="421" spans="1:10" ht="42.75">
      <c r="A421" s="1747" t="s">
        <v>3977</v>
      </c>
      <c r="B421" s="1748" t="s">
        <v>2590</v>
      </c>
      <c r="C421" s="1749" t="s">
        <v>17</v>
      </c>
      <c r="D421" s="678">
        <v>5</v>
      </c>
      <c r="E421" s="1287">
        <v>9559.0400000000009</v>
      </c>
      <c r="F421" s="678">
        <v>47795.199999999997</v>
      </c>
      <c r="G421" s="1750" t="s">
        <v>6437</v>
      </c>
      <c r="H421" s="962" t="str">
        <f t="shared" si="13"/>
        <v>0250111311</v>
      </c>
      <c r="I421" s="22">
        <v>413</v>
      </c>
      <c r="J421" s="4" t="str">
        <f t="shared" si="12"/>
        <v>1.413</v>
      </c>
    </row>
    <row r="422" spans="1:10" ht="42.75">
      <c r="A422" s="1747" t="s">
        <v>3978</v>
      </c>
      <c r="B422" s="1748" t="s">
        <v>2593</v>
      </c>
      <c r="C422" s="1749" t="s">
        <v>17</v>
      </c>
      <c r="D422" s="678">
        <v>5</v>
      </c>
      <c r="E422" s="1287">
        <v>10648.15</v>
      </c>
      <c r="F422" s="678">
        <v>53240.75</v>
      </c>
      <c r="G422" s="1750" t="s">
        <v>6438</v>
      </c>
      <c r="H422" s="962" t="str">
        <f t="shared" si="13"/>
        <v>0250111321</v>
      </c>
      <c r="I422" s="22">
        <v>414</v>
      </c>
      <c r="J422" s="4" t="str">
        <f t="shared" si="12"/>
        <v>1.414</v>
      </c>
    </row>
    <row r="423" spans="1:10" ht="42.75">
      <c r="A423" s="1747" t="s">
        <v>4783</v>
      </c>
      <c r="B423" s="1748" t="s">
        <v>2596</v>
      </c>
      <c r="C423" s="1749" t="s">
        <v>17</v>
      </c>
      <c r="D423" s="678">
        <v>5</v>
      </c>
      <c r="E423" s="1287">
        <v>15183.43</v>
      </c>
      <c r="F423" s="678">
        <v>75917.149999999994</v>
      </c>
      <c r="G423" s="1750" t="s">
        <v>6439</v>
      </c>
      <c r="H423" s="962" t="str">
        <f t="shared" si="13"/>
        <v>0250112411</v>
      </c>
      <c r="I423" s="22">
        <v>415</v>
      </c>
      <c r="J423" s="4" t="str">
        <f t="shared" si="12"/>
        <v>1.415</v>
      </c>
    </row>
    <row r="424" spans="1:10" ht="42.75">
      <c r="A424" s="1747" t="s">
        <v>4785</v>
      </c>
      <c r="B424" s="1748" t="s">
        <v>2599</v>
      </c>
      <c r="C424" s="1749" t="s">
        <v>17</v>
      </c>
      <c r="D424" s="678">
        <v>5</v>
      </c>
      <c r="E424" s="1287">
        <v>17319.86</v>
      </c>
      <c r="F424" s="678">
        <v>86599.3</v>
      </c>
      <c r="G424" s="1750" t="s">
        <v>6440</v>
      </c>
      <c r="H424" s="962" t="str">
        <f t="shared" si="13"/>
        <v>0250112421</v>
      </c>
      <c r="I424" s="22">
        <v>416</v>
      </c>
      <c r="J424" s="4" t="str">
        <f t="shared" si="12"/>
        <v>1.416</v>
      </c>
    </row>
    <row r="425" spans="1:10" ht="42.75">
      <c r="A425" s="1747" t="s">
        <v>4787</v>
      </c>
      <c r="B425" s="1748" t="s">
        <v>2602</v>
      </c>
      <c r="C425" s="1749" t="s">
        <v>17</v>
      </c>
      <c r="D425" s="678">
        <v>5</v>
      </c>
      <c r="E425" s="1287">
        <v>17160.919999999998</v>
      </c>
      <c r="F425" s="678">
        <v>85804.6</v>
      </c>
      <c r="G425" s="1750" t="s">
        <v>6441</v>
      </c>
      <c r="H425" s="962" t="str">
        <f t="shared" si="13"/>
        <v>0250112511</v>
      </c>
      <c r="I425" s="22">
        <v>417</v>
      </c>
      <c r="J425" s="4" t="str">
        <f t="shared" si="12"/>
        <v>1.417</v>
      </c>
    </row>
    <row r="426" spans="1:10" ht="42.75">
      <c r="A426" s="1747" t="s">
        <v>4789</v>
      </c>
      <c r="B426" s="1748" t="s">
        <v>2605</v>
      </c>
      <c r="C426" s="1749" t="s">
        <v>17</v>
      </c>
      <c r="D426" s="678">
        <v>5</v>
      </c>
      <c r="E426" s="1287">
        <v>19692.02</v>
      </c>
      <c r="F426" s="678">
        <v>98460.1</v>
      </c>
      <c r="G426" s="1750" t="s">
        <v>6442</v>
      </c>
      <c r="H426" s="962" t="str">
        <f t="shared" si="13"/>
        <v>0250112521</v>
      </c>
      <c r="I426" s="22">
        <v>418</v>
      </c>
      <c r="J426" s="4" t="str">
        <f t="shared" si="12"/>
        <v>1.418</v>
      </c>
    </row>
    <row r="427" spans="1:10" ht="42.75">
      <c r="A427" s="1747" t="s">
        <v>4791</v>
      </c>
      <c r="B427" s="1748" t="s">
        <v>2608</v>
      </c>
      <c r="C427" s="1749" t="s">
        <v>3</v>
      </c>
      <c r="D427" s="678">
        <v>10</v>
      </c>
      <c r="E427" s="1287">
        <v>16.95</v>
      </c>
      <c r="F427" s="678">
        <v>169.5</v>
      </c>
      <c r="G427" s="1750" t="s">
        <v>6443</v>
      </c>
      <c r="H427" s="962" t="str">
        <f t="shared" si="13"/>
        <v>0172521202</v>
      </c>
      <c r="I427" s="22">
        <v>419</v>
      </c>
      <c r="J427" s="4" t="str">
        <f t="shared" si="12"/>
        <v>1.419</v>
      </c>
    </row>
    <row r="428" spans="1:10" ht="142.5">
      <c r="A428" s="1747" t="s">
        <v>4793</v>
      </c>
      <c r="B428" s="1748" t="s">
        <v>2914</v>
      </c>
      <c r="C428" s="1749" t="s">
        <v>2490</v>
      </c>
      <c r="D428" s="678">
        <v>2</v>
      </c>
      <c r="E428" s="1287">
        <v>14943.28</v>
      </c>
      <c r="F428" s="678">
        <v>29886.560000000001</v>
      </c>
      <c r="G428" s="1750" t="s">
        <v>3413</v>
      </c>
      <c r="H428" s="962" t="str">
        <f t="shared" si="13"/>
        <v>01725W0B5D</v>
      </c>
      <c r="I428" s="22">
        <v>420</v>
      </c>
      <c r="J428" s="4" t="str">
        <f t="shared" si="12"/>
        <v>1.420</v>
      </c>
    </row>
    <row r="429" spans="1:10" ht="71.25">
      <c r="A429" s="1747" t="s">
        <v>4794</v>
      </c>
      <c r="B429" s="1748" t="s">
        <v>2617</v>
      </c>
      <c r="C429" s="1749" t="s">
        <v>2618</v>
      </c>
      <c r="D429" s="678">
        <v>10</v>
      </c>
      <c r="E429" s="1287">
        <v>765.6</v>
      </c>
      <c r="F429" s="678">
        <v>7656</v>
      </c>
      <c r="G429" s="1750" t="s">
        <v>6444</v>
      </c>
      <c r="H429" s="962" t="str">
        <f t="shared" si="13"/>
        <v>013210000B</v>
      </c>
      <c r="I429" s="22">
        <v>421</v>
      </c>
      <c r="J429" s="4" t="str">
        <f t="shared" si="12"/>
        <v>1.421</v>
      </c>
    </row>
    <row r="430" spans="1:10" ht="71.25">
      <c r="A430" s="1747" t="s">
        <v>4796</v>
      </c>
      <c r="B430" s="1748" t="s">
        <v>2626</v>
      </c>
      <c r="C430" s="1749" t="s">
        <v>2618</v>
      </c>
      <c r="D430" s="678">
        <v>10</v>
      </c>
      <c r="E430" s="1287">
        <v>805.45</v>
      </c>
      <c r="F430" s="678">
        <v>8054.5</v>
      </c>
      <c r="G430" s="1750" t="s">
        <v>6445</v>
      </c>
      <c r="H430" s="962" t="str">
        <f t="shared" si="13"/>
        <v>013210100b</v>
      </c>
      <c r="I430" s="22">
        <v>422</v>
      </c>
      <c r="J430" s="4" t="str">
        <f t="shared" si="12"/>
        <v>1.422</v>
      </c>
    </row>
    <row r="431" spans="1:10" ht="42.75">
      <c r="A431" s="1747" t="s">
        <v>4798</v>
      </c>
      <c r="B431" s="1748" t="s">
        <v>2631</v>
      </c>
      <c r="C431" s="1749" t="s">
        <v>17</v>
      </c>
      <c r="D431" s="678">
        <v>1</v>
      </c>
      <c r="E431" s="1287">
        <v>3648.39</v>
      </c>
      <c r="F431" s="678">
        <v>3648.39</v>
      </c>
      <c r="G431" s="1750" t="s">
        <v>6446</v>
      </c>
      <c r="H431" s="962" t="str">
        <f t="shared" si="13"/>
        <v>01564L4001</v>
      </c>
      <c r="I431" s="22">
        <v>423</v>
      </c>
      <c r="J431" s="4" t="str">
        <f t="shared" si="12"/>
        <v>1.423</v>
      </c>
    </row>
    <row r="432" spans="1:10" ht="42.75">
      <c r="A432" s="1747" t="s">
        <v>4800</v>
      </c>
      <c r="B432" s="1748" t="s">
        <v>2642</v>
      </c>
      <c r="C432" s="1749" t="s">
        <v>17</v>
      </c>
      <c r="D432" s="678">
        <v>1</v>
      </c>
      <c r="E432" s="1287">
        <v>2568.46</v>
      </c>
      <c r="F432" s="678">
        <v>2568.46</v>
      </c>
      <c r="G432" s="1750" t="s">
        <v>6447</v>
      </c>
      <c r="H432" s="962" t="str">
        <f t="shared" si="13"/>
        <v>01564C4001</v>
      </c>
      <c r="I432" s="22">
        <v>424</v>
      </c>
      <c r="J432" s="4" t="str">
        <f t="shared" si="12"/>
        <v>1.424</v>
      </c>
    </row>
    <row r="433" spans="1:10" ht="47.25">
      <c r="A433" s="1747" t="s">
        <v>4802</v>
      </c>
      <c r="B433" s="1748" t="s">
        <v>3418</v>
      </c>
      <c r="C433" s="1749" t="s">
        <v>3</v>
      </c>
      <c r="D433" s="678">
        <v>10</v>
      </c>
      <c r="E433" s="1287">
        <v>351.67</v>
      </c>
      <c r="F433" s="678">
        <v>3516.7</v>
      </c>
      <c r="G433" s="1750" t="s">
        <v>3419</v>
      </c>
      <c r="H433" s="962" t="str">
        <f t="shared" si="13"/>
        <v>015640B002</v>
      </c>
      <c r="I433" s="22">
        <v>425</v>
      </c>
      <c r="J433" s="4" t="str">
        <f t="shared" si="12"/>
        <v>1.425</v>
      </c>
    </row>
    <row r="434" spans="1:10" ht="71.25">
      <c r="A434" s="1747" t="s">
        <v>4803</v>
      </c>
      <c r="B434" s="1748" t="s">
        <v>3420</v>
      </c>
      <c r="C434" s="1749" t="s">
        <v>2490</v>
      </c>
      <c r="D434" s="678">
        <v>4</v>
      </c>
      <c r="E434" s="1287">
        <v>4981.09</v>
      </c>
      <c r="F434" s="678">
        <v>19924.36</v>
      </c>
      <c r="G434" s="1750" t="s">
        <v>3421</v>
      </c>
      <c r="H434" s="962" t="str">
        <f t="shared" si="13"/>
        <v>01510B000G</v>
      </c>
      <c r="I434" s="22">
        <v>426</v>
      </c>
      <c r="J434" s="4" t="str">
        <f t="shared" si="12"/>
        <v>1.426</v>
      </c>
    </row>
    <row r="435" spans="1:10" ht="31.5">
      <c r="A435" s="1747" t="s">
        <v>4804</v>
      </c>
      <c r="B435" s="1748" t="s">
        <v>3655</v>
      </c>
      <c r="C435" s="1749" t="s">
        <v>3</v>
      </c>
      <c r="D435" s="678">
        <v>20</v>
      </c>
      <c r="E435" s="1287">
        <v>59.65</v>
      </c>
      <c r="F435" s="678">
        <v>1193</v>
      </c>
      <c r="G435" s="1750" t="s">
        <v>3656</v>
      </c>
      <c r="H435" s="962" t="str">
        <f t="shared" si="13"/>
        <v>0280133302</v>
      </c>
      <c r="I435" s="22">
        <v>427</v>
      </c>
      <c r="J435" s="4" t="str">
        <f t="shared" si="12"/>
        <v>1.427</v>
      </c>
    </row>
    <row r="436" spans="1:10" ht="42.75">
      <c r="A436" s="1747" t="s">
        <v>4805</v>
      </c>
      <c r="B436" s="1748" t="s">
        <v>3657</v>
      </c>
      <c r="C436" s="1749" t="s">
        <v>3658</v>
      </c>
      <c r="D436" s="678">
        <v>2</v>
      </c>
      <c r="E436" s="1287">
        <v>2625.79</v>
      </c>
      <c r="F436" s="678">
        <v>5251.58</v>
      </c>
      <c r="G436" s="1750" t="s">
        <v>6448</v>
      </c>
      <c r="H436" s="962" t="str">
        <f t="shared" si="13"/>
        <v>015103100C</v>
      </c>
      <c r="I436" s="22">
        <v>428</v>
      </c>
      <c r="J436" s="4" t="str">
        <f t="shared" si="12"/>
        <v>1.428</v>
      </c>
    </row>
    <row r="437" spans="1:10" ht="31.5">
      <c r="A437" s="1747" t="s">
        <v>4807</v>
      </c>
      <c r="B437" s="1748" t="s">
        <v>2860</v>
      </c>
      <c r="C437" s="1749" t="s">
        <v>927</v>
      </c>
      <c r="D437" s="678">
        <v>20</v>
      </c>
      <c r="E437" s="1287">
        <v>280</v>
      </c>
      <c r="F437" s="678">
        <v>5600</v>
      </c>
      <c r="G437" s="1750" t="s">
        <v>3422</v>
      </c>
      <c r="H437" s="962" t="str">
        <f t="shared" si="13"/>
        <v>L015566G01001</v>
      </c>
      <c r="I437" s="22">
        <v>429</v>
      </c>
      <c r="J437" s="4" t="str">
        <f t="shared" si="12"/>
        <v>1.429</v>
      </c>
    </row>
    <row r="438" spans="1:10" ht="31.5">
      <c r="A438" s="1747" t="s">
        <v>4808</v>
      </c>
      <c r="B438" s="1748" t="s">
        <v>3423</v>
      </c>
      <c r="C438" s="1749" t="s">
        <v>927</v>
      </c>
      <c r="D438" s="678">
        <v>20</v>
      </c>
      <c r="E438" s="1287">
        <v>350</v>
      </c>
      <c r="F438" s="678">
        <v>7000</v>
      </c>
      <c r="G438" s="1750" t="s">
        <v>3424</v>
      </c>
      <c r="H438" s="962" t="str">
        <f t="shared" si="13"/>
        <v>L015566G02001</v>
      </c>
      <c r="I438" s="22">
        <v>430</v>
      </c>
      <c r="J438" s="4" t="str">
        <f t="shared" si="12"/>
        <v>1.430</v>
      </c>
    </row>
    <row r="439" spans="1:10" ht="31.5">
      <c r="A439" s="1747" t="s">
        <v>4809</v>
      </c>
      <c r="B439" s="1748" t="s">
        <v>3425</v>
      </c>
      <c r="C439" s="1749" t="s">
        <v>2490</v>
      </c>
      <c r="D439" s="678">
        <v>1</v>
      </c>
      <c r="E439" s="1287">
        <v>49810.92</v>
      </c>
      <c r="F439" s="678">
        <v>49810.92</v>
      </c>
      <c r="G439" s="1750" t="s">
        <v>3426</v>
      </c>
      <c r="H439" s="962" t="str">
        <f t="shared" si="13"/>
        <v>01556D300F</v>
      </c>
      <c r="I439" s="22">
        <v>431</v>
      </c>
      <c r="J439" s="4" t="str">
        <f t="shared" si="12"/>
        <v>1.431</v>
      </c>
    </row>
    <row r="440" spans="1:10" ht="42.75">
      <c r="A440" s="1747" t="s">
        <v>4810</v>
      </c>
      <c r="B440" s="1748" t="s">
        <v>6449</v>
      </c>
      <c r="C440" s="1749" t="s">
        <v>17</v>
      </c>
      <c r="D440" s="678">
        <v>100</v>
      </c>
      <c r="E440" s="1287">
        <v>292.63</v>
      </c>
      <c r="F440" s="678">
        <v>29263</v>
      </c>
      <c r="G440" s="1750" t="s">
        <v>6450</v>
      </c>
      <c r="H440" s="962" t="str">
        <f t="shared" si="13"/>
        <v>01556H1001</v>
      </c>
      <c r="I440" s="22">
        <v>432</v>
      </c>
      <c r="J440" s="4" t="str">
        <f t="shared" si="12"/>
        <v>1.432</v>
      </c>
    </row>
    <row r="441" spans="1:10" ht="42.75">
      <c r="A441" s="1747" t="s">
        <v>4812</v>
      </c>
      <c r="B441" s="1748" t="s">
        <v>6451</v>
      </c>
      <c r="C441" s="1749" t="s">
        <v>17</v>
      </c>
      <c r="D441" s="678">
        <v>50</v>
      </c>
      <c r="E441" s="1287">
        <v>254.34</v>
      </c>
      <c r="F441" s="678">
        <v>12717</v>
      </c>
      <c r="G441" s="1750" t="s">
        <v>6452</v>
      </c>
      <c r="H441" s="962" t="str">
        <f t="shared" si="13"/>
        <v>01556C00A1</v>
      </c>
      <c r="I441" s="22">
        <v>433</v>
      </c>
      <c r="J441" s="4" t="str">
        <f t="shared" si="12"/>
        <v>1.433</v>
      </c>
    </row>
    <row r="442" spans="1:10" ht="42.75">
      <c r="A442" s="1747" t="s">
        <v>4814</v>
      </c>
      <c r="B442" s="1748" t="s">
        <v>2670</v>
      </c>
      <c r="C442" s="1749" t="s">
        <v>3</v>
      </c>
      <c r="D442" s="678">
        <v>1</v>
      </c>
      <c r="E442" s="1287">
        <v>1188.74</v>
      </c>
      <c r="F442" s="678">
        <v>1188.74</v>
      </c>
      <c r="G442" s="1750" t="s">
        <v>6453</v>
      </c>
      <c r="H442" s="962" t="str">
        <f t="shared" si="13"/>
        <v>0289190002</v>
      </c>
      <c r="I442" s="22">
        <v>434</v>
      </c>
      <c r="J442" s="4" t="str">
        <f t="shared" si="12"/>
        <v>1.434</v>
      </c>
    </row>
    <row r="443" spans="1:10" ht="42.75">
      <c r="A443" s="1747" t="s">
        <v>4816</v>
      </c>
      <c r="B443" s="1748" t="s">
        <v>2678</v>
      </c>
      <c r="C443" s="1749" t="s">
        <v>2679</v>
      </c>
      <c r="D443" s="678">
        <v>1</v>
      </c>
      <c r="E443" s="1287">
        <v>661.76</v>
      </c>
      <c r="F443" s="678">
        <v>661.76</v>
      </c>
      <c r="G443" s="1750" t="s">
        <v>6454</v>
      </c>
      <c r="H443" s="962" t="str">
        <f t="shared" si="13"/>
        <v>02891A5007</v>
      </c>
      <c r="I443" s="22">
        <v>435</v>
      </c>
      <c r="J443" s="4" t="str">
        <f t="shared" si="12"/>
        <v>1.435</v>
      </c>
    </row>
    <row r="444" spans="1:10" ht="42.75">
      <c r="A444" s="1747" t="s">
        <v>4818</v>
      </c>
      <c r="B444" s="1748" t="s">
        <v>2684</v>
      </c>
      <c r="C444" s="1749" t="s">
        <v>3</v>
      </c>
      <c r="D444" s="678">
        <v>1</v>
      </c>
      <c r="E444" s="1287">
        <v>2312.0700000000002</v>
      </c>
      <c r="F444" s="678">
        <v>2312.0700000000002</v>
      </c>
      <c r="G444" s="1750" t="s">
        <v>6455</v>
      </c>
      <c r="H444" s="962" t="str">
        <f t="shared" si="13"/>
        <v>0289100202</v>
      </c>
      <c r="I444" s="22">
        <v>436</v>
      </c>
      <c r="J444" s="4" t="str">
        <f t="shared" si="12"/>
        <v>1.436</v>
      </c>
    </row>
    <row r="445" spans="1:10" ht="42.75">
      <c r="A445" s="1747" t="s">
        <v>4820</v>
      </c>
      <c r="B445" s="1748" t="s">
        <v>2693</v>
      </c>
      <c r="C445" s="1749" t="s">
        <v>2694</v>
      </c>
      <c r="D445" s="678">
        <v>1</v>
      </c>
      <c r="E445" s="1287">
        <v>160.07</v>
      </c>
      <c r="F445" s="678">
        <v>160.07</v>
      </c>
      <c r="G445" s="1750" t="s">
        <v>6456</v>
      </c>
      <c r="H445" s="962" t="str">
        <f t="shared" si="13"/>
        <v>05500p4008</v>
      </c>
      <c r="I445" s="22">
        <v>437</v>
      </c>
      <c r="J445" s="4" t="str">
        <f t="shared" si="12"/>
        <v>1.437</v>
      </c>
    </row>
    <row r="446" spans="1:10" ht="42.75">
      <c r="A446" s="1747" t="s">
        <v>4822</v>
      </c>
      <c r="B446" s="1748" t="s">
        <v>2702</v>
      </c>
      <c r="C446" s="1749" t="s">
        <v>17</v>
      </c>
      <c r="D446" s="678">
        <v>1</v>
      </c>
      <c r="E446" s="1287">
        <v>308.91000000000003</v>
      </c>
      <c r="F446" s="678">
        <v>308.91000000000003</v>
      </c>
      <c r="G446" s="1750" t="s">
        <v>6457</v>
      </c>
      <c r="H446" s="962" t="str">
        <f t="shared" si="13"/>
        <v>05500S4601</v>
      </c>
      <c r="I446" s="22">
        <v>438</v>
      </c>
      <c r="J446" s="4" t="str">
        <f t="shared" si="12"/>
        <v>1.438</v>
      </c>
    </row>
    <row r="447" spans="1:10" ht="42.75">
      <c r="A447" s="1747" t="s">
        <v>4824</v>
      </c>
      <c r="B447" s="1748" t="s">
        <v>2707</v>
      </c>
      <c r="C447" s="1749" t="s">
        <v>17</v>
      </c>
      <c r="D447" s="678">
        <v>1</v>
      </c>
      <c r="E447" s="1287">
        <v>310.64</v>
      </c>
      <c r="F447" s="678">
        <v>310.64</v>
      </c>
      <c r="G447" s="1750" t="s">
        <v>6458</v>
      </c>
      <c r="H447" s="962" t="str">
        <f t="shared" si="13"/>
        <v>028915WE13</v>
      </c>
      <c r="I447" s="22">
        <v>439</v>
      </c>
      <c r="J447" s="4" t="str">
        <f t="shared" si="12"/>
        <v>1.439</v>
      </c>
    </row>
    <row r="448" spans="1:10" ht="84.6" customHeight="1">
      <c r="A448" s="1747" t="s">
        <v>4826</v>
      </c>
      <c r="B448" s="1748" t="s">
        <v>2712</v>
      </c>
      <c r="C448" s="1749" t="s">
        <v>3</v>
      </c>
      <c r="D448" s="678">
        <v>5</v>
      </c>
      <c r="E448" s="1287">
        <v>669.94</v>
      </c>
      <c r="F448" s="678">
        <v>3349.7</v>
      </c>
      <c r="G448" s="1750" t="s">
        <v>6459</v>
      </c>
      <c r="H448" s="962" t="str">
        <f t="shared" si="13"/>
        <v>0289821205</v>
      </c>
      <c r="I448" s="22">
        <v>440</v>
      </c>
      <c r="J448" s="4" t="str">
        <f t="shared" si="12"/>
        <v>1.440</v>
      </c>
    </row>
    <row r="449" spans="1:10" ht="42.75">
      <c r="A449" s="1747" t="s">
        <v>4828</v>
      </c>
      <c r="B449" s="1748" t="s">
        <v>3659</v>
      </c>
      <c r="C449" s="1749" t="s">
        <v>3</v>
      </c>
      <c r="D449" s="678">
        <v>4</v>
      </c>
      <c r="E449" s="1287">
        <v>1706.51</v>
      </c>
      <c r="F449" s="678">
        <v>6826.04</v>
      </c>
      <c r="G449" s="1750" t="s">
        <v>6460</v>
      </c>
      <c r="H449" s="962" t="str">
        <f t="shared" si="13"/>
        <v>02898C2204</v>
      </c>
      <c r="I449" s="22">
        <v>441</v>
      </c>
      <c r="J449" s="4" t="str">
        <f t="shared" si="12"/>
        <v>1.441</v>
      </c>
    </row>
    <row r="450" spans="1:10" ht="28.5">
      <c r="A450" s="1747" t="s">
        <v>4830</v>
      </c>
      <c r="B450" s="1748" t="s">
        <v>3660</v>
      </c>
      <c r="C450" s="1749" t="s">
        <v>3</v>
      </c>
      <c r="D450" s="678">
        <v>1</v>
      </c>
      <c r="E450" s="1287">
        <v>365.28</v>
      </c>
      <c r="F450" s="678">
        <v>365.28</v>
      </c>
      <c r="G450" s="1750" t="s">
        <v>3661</v>
      </c>
      <c r="H450" s="962" t="str">
        <f t="shared" si="13"/>
        <v>02898D0002</v>
      </c>
      <c r="I450" s="22">
        <v>442</v>
      </c>
      <c r="J450" s="4" t="str">
        <f t="shared" ref="J450:J497" si="14">A450</f>
        <v>1.442</v>
      </c>
    </row>
    <row r="451" spans="1:10" ht="42.75">
      <c r="A451" s="1747" t="s">
        <v>4831</v>
      </c>
      <c r="B451" s="1748" t="s">
        <v>2725</v>
      </c>
      <c r="C451" s="1749" t="s">
        <v>2679</v>
      </c>
      <c r="D451" s="678">
        <v>1</v>
      </c>
      <c r="E451" s="1287">
        <v>251.06</v>
      </c>
      <c r="F451" s="678">
        <v>251.06</v>
      </c>
      <c r="G451" s="1750" t="s">
        <v>6461</v>
      </c>
      <c r="H451" s="962" t="str">
        <f t="shared" si="13"/>
        <v>0289250007</v>
      </c>
      <c r="I451" s="22">
        <v>443</v>
      </c>
      <c r="J451" s="4" t="str">
        <f t="shared" si="14"/>
        <v>1.443</v>
      </c>
    </row>
    <row r="452" spans="1:10" ht="57">
      <c r="A452" s="1747" t="s">
        <v>4833</v>
      </c>
      <c r="B452" s="1748" t="s">
        <v>2732</v>
      </c>
      <c r="C452" s="1749" t="s">
        <v>1818</v>
      </c>
      <c r="D452" s="678">
        <v>1</v>
      </c>
      <c r="E452" s="1287">
        <v>843.95</v>
      </c>
      <c r="F452" s="678">
        <v>843.95</v>
      </c>
      <c r="G452" s="1750" t="s">
        <v>6462</v>
      </c>
      <c r="H452" s="962" t="str">
        <f t="shared" si="13"/>
        <v>02899#B001</v>
      </c>
      <c r="I452" s="22">
        <v>444</v>
      </c>
      <c r="J452" s="4" t="str">
        <f t="shared" si="14"/>
        <v>1.444</v>
      </c>
    </row>
    <row r="453" spans="1:10" ht="42.75">
      <c r="A453" s="1747" t="s">
        <v>4835</v>
      </c>
      <c r="B453" s="1748" t="s">
        <v>2737</v>
      </c>
      <c r="C453" s="1749" t="s">
        <v>1818</v>
      </c>
      <c r="D453" s="678">
        <v>1</v>
      </c>
      <c r="E453" s="1287">
        <v>1231.82</v>
      </c>
      <c r="F453" s="678">
        <v>1231.82</v>
      </c>
      <c r="G453" s="1750" t="s">
        <v>6463</v>
      </c>
      <c r="H453" s="962" t="str">
        <f t="shared" si="13"/>
        <v>01556M100A</v>
      </c>
      <c r="I453" s="22">
        <v>445</v>
      </c>
      <c r="J453" s="4" t="str">
        <f t="shared" si="14"/>
        <v>1.445</v>
      </c>
    </row>
    <row r="454" spans="1:10" ht="42.75">
      <c r="A454" s="1747" t="s">
        <v>4837</v>
      </c>
      <c r="B454" s="1748" t="s">
        <v>2750</v>
      </c>
      <c r="C454" s="1749" t="s">
        <v>1818</v>
      </c>
      <c r="D454" s="678">
        <v>1</v>
      </c>
      <c r="E454" s="1287">
        <v>2448.77</v>
      </c>
      <c r="F454" s="678">
        <v>2448.77</v>
      </c>
      <c r="G454" s="1750" t="s">
        <v>6464</v>
      </c>
      <c r="H454" s="962" t="str">
        <f t="shared" si="13"/>
        <v>01556M200A</v>
      </c>
      <c r="I454" s="22">
        <v>446</v>
      </c>
      <c r="J454" s="4" t="str">
        <f t="shared" si="14"/>
        <v>1.446</v>
      </c>
    </row>
    <row r="455" spans="1:10" ht="42.75">
      <c r="A455" s="1747" t="s">
        <v>4839</v>
      </c>
      <c r="B455" s="1748" t="s">
        <v>2755</v>
      </c>
      <c r="C455" s="1749" t="s">
        <v>2679</v>
      </c>
      <c r="D455" s="678">
        <v>10</v>
      </c>
      <c r="E455" s="1287">
        <v>329.19</v>
      </c>
      <c r="F455" s="678">
        <v>3291.9</v>
      </c>
      <c r="G455" s="1750" t="s">
        <v>6465</v>
      </c>
      <c r="H455" s="962" t="str">
        <f t="shared" si="13"/>
        <v>0289205007</v>
      </c>
      <c r="I455" s="22">
        <v>447</v>
      </c>
      <c r="J455" s="4" t="str">
        <f t="shared" si="14"/>
        <v>1.447</v>
      </c>
    </row>
    <row r="456" spans="1:10" ht="47.25">
      <c r="A456" s="1747" t="s">
        <v>4841</v>
      </c>
      <c r="B456" s="1748" t="s">
        <v>913</v>
      </c>
      <c r="C456" s="1749" t="s">
        <v>3</v>
      </c>
      <c r="D456" s="678">
        <v>10</v>
      </c>
      <c r="E456" s="1287">
        <v>916.44</v>
      </c>
      <c r="F456" s="678">
        <v>9164.4</v>
      </c>
      <c r="G456" s="1750" t="s">
        <v>6466</v>
      </c>
      <c r="H456" s="962" t="str">
        <f t="shared" si="13"/>
        <v>0289821302</v>
      </c>
      <c r="I456" s="22">
        <v>448</v>
      </c>
      <c r="J456" s="4" t="str">
        <f t="shared" si="14"/>
        <v>1.448</v>
      </c>
    </row>
    <row r="457" spans="1:10" ht="47.25">
      <c r="A457" s="1747" t="s">
        <v>4843</v>
      </c>
      <c r="B457" s="1748" t="s">
        <v>2778</v>
      </c>
      <c r="C457" s="1749" t="s">
        <v>3</v>
      </c>
      <c r="D457" s="678">
        <v>10</v>
      </c>
      <c r="E457" s="1287">
        <v>650.84</v>
      </c>
      <c r="F457" s="678">
        <v>6508.4</v>
      </c>
      <c r="G457" s="1750" t="s">
        <v>6467</v>
      </c>
      <c r="H457" s="962" t="str">
        <f t="shared" si="13"/>
        <v>0289821312</v>
      </c>
      <c r="I457" s="22">
        <v>449</v>
      </c>
      <c r="J457" s="4" t="str">
        <f t="shared" si="14"/>
        <v>1.449</v>
      </c>
    </row>
    <row r="458" spans="1:10" ht="28.5">
      <c r="A458" s="1747" t="s">
        <v>4845</v>
      </c>
      <c r="B458" s="1748" t="s">
        <v>3443</v>
      </c>
      <c r="C458" s="1749" t="s">
        <v>3444</v>
      </c>
      <c r="D458" s="678">
        <v>2</v>
      </c>
      <c r="E458" s="1287">
        <v>1992.44</v>
      </c>
      <c r="F458" s="678">
        <v>3984.88</v>
      </c>
      <c r="G458" s="1750" t="s">
        <v>3445</v>
      </c>
      <c r="H458" s="962" t="str">
        <f t="shared" ref="H458:H513" si="15">LEFT(G458, FIND(CHAR(10), G458) - 1)</f>
        <v>E000009A00002</v>
      </c>
      <c r="I458" s="22">
        <v>450</v>
      </c>
      <c r="J458" s="4" t="str">
        <f t="shared" si="14"/>
        <v>1.450</v>
      </c>
    </row>
    <row r="459" spans="1:10" ht="28.5">
      <c r="A459" s="1747" t="s">
        <v>4846</v>
      </c>
      <c r="B459" s="1748" t="s">
        <v>3446</v>
      </c>
      <c r="C459" s="1749" t="s">
        <v>2447</v>
      </c>
      <c r="D459" s="678">
        <v>1</v>
      </c>
      <c r="E459" s="1287">
        <v>14943.28</v>
      </c>
      <c r="F459" s="678">
        <v>14943.28</v>
      </c>
      <c r="G459" s="1750" t="s">
        <v>3447</v>
      </c>
      <c r="H459" s="962" t="str">
        <f t="shared" si="15"/>
        <v>E000009A00022</v>
      </c>
      <c r="I459" s="22">
        <v>451</v>
      </c>
      <c r="J459" s="4" t="str">
        <f t="shared" si="14"/>
        <v>1.451</v>
      </c>
    </row>
    <row r="460" spans="1:10" ht="28.5">
      <c r="A460" s="1747" t="s">
        <v>4847</v>
      </c>
      <c r="B460" s="1748" t="s">
        <v>2462</v>
      </c>
      <c r="C460" s="1749" t="s">
        <v>927</v>
      </c>
      <c r="D460" s="678">
        <v>10</v>
      </c>
      <c r="E460" s="1287">
        <v>179.32</v>
      </c>
      <c r="F460" s="678">
        <v>1793.2</v>
      </c>
      <c r="G460" s="1750" t="s">
        <v>2463</v>
      </c>
      <c r="H460" s="962" t="str">
        <f t="shared" si="15"/>
        <v>E0000010N0001</v>
      </c>
      <c r="I460" s="22">
        <v>452</v>
      </c>
      <c r="J460" s="4" t="str">
        <f t="shared" si="14"/>
        <v>1.452</v>
      </c>
    </row>
    <row r="461" spans="1:10" ht="28.5">
      <c r="A461" s="1747" t="s">
        <v>3448</v>
      </c>
      <c r="B461" s="1748" t="s">
        <v>3449</v>
      </c>
      <c r="C461" s="1749" t="s">
        <v>14</v>
      </c>
      <c r="D461" s="678">
        <v>1</v>
      </c>
      <c r="E461" s="1287"/>
      <c r="F461" s="678">
        <v>217333.13</v>
      </c>
      <c r="G461" s="1750" t="s">
        <v>3450</v>
      </c>
      <c r="H461" s="962" t="e">
        <f t="shared" si="15"/>
        <v>#VALUE!</v>
      </c>
      <c r="I461" s="22">
        <v>453</v>
      </c>
      <c r="J461" s="4" t="str">
        <f t="shared" si="14"/>
        <v>　二</v>
      </c>
    </row>
    <row r="462" spans="1:10" ht="47.25">
      <c r="A462" s="1747" t="s">
        <v>337</v>
      </c>
      <c r="B462" s="1748" t="s">
        <v>3451</v>
      </c>
      <c r="C462" s="1749" t="s">
        <v>1689</v>
      </c>
      <c r="D462" s="678">
        <v>5</v>
      </c>
      <c r="E462" s="1287">
        <v>1942.63</v>
      </c>
      <c r="F462" s="678">
        <v>9713.15</v>
      </c>
      <c r="G462" s="1750" t="s">
        <v>3452</v>
      </c>
      <c r="H462" s="962" t="str">
        <f t="shared" si="15"/>
        <v>01450D10A8</v>
      </c>
      <c r="I462" s="22">
        <v>454</v>
      </c>
      <c r="J462" s="4" t="str">
        <f t="shared" si="14"/>
        <v>2.1</v>
      </c>
    </row>
    <row r="463" spans="1:10" ht="63">
      <c r="A463" s="1747" t="s">
        <v>338</v>
      </c>
      <c r="B463" s="1748" t="s">
        <v>3453</v>
      </c>
      <c r="C463" s="1749" t="s">
        <v>2679</v>
      </c>
      <c r="D463" s="678">
        <v>10</v>
      </c>
      <c r="E463" s="1287">
        <v>298.87</v>
      </c>
      <c r="F463" s="678">
        <v>2988.7</v>
      </c>
      <c r="G463" s="1750" t="s">
        <v>3454</v>
      </c>
      <c r="H463" s="962" t="str">
        <f t="shared" si="15"/>
        <v>01450B11U7</v>
      </c>
      <c r="I463" s="22">
        <v>455</v>
      </c>
      <c r="J463" s="4" t="str">
        <f t="shared" si="14"/>
        <v>2.2</v>
      </c>
    </row>
    <row r="464" spans="1:10" ht="63">
      <c r="A464" s="1747" t="s">
        <v>339</v>
      </c>
      <c r="B464" s="1748" t="s">
        <v>3455</v>
      </c>
      <c r="C464" s="1749" t="s">
        <v>1689</v>
      </c>
      <c r="D464" s="678">
        <v>5</v>
      </c>
      <c r="E464" s="1287">
        <v>1494.33</v>
      </c>
      <c r="F464" s="678">
        <v>7471.65</v>
      </c>
      <c r="G464" s="1750" t="s">
        <v>3456</v>
      </c>
      <c r="H464" s="962" t="str">
        <f t="shared" si="15"/>
        <v>01450D1CY8</v>
      </c>
      <c r="I464" s="22">
        <v>456</v>
      </c>
      <c r="J464" s="4" t="str">
        <f t="shared" si="14"/>
        <v>2.3</v>
      </c>
    </row>
    <row r="465" spans="1:10" ht="63">
      <c r="A465" s="1747" t="s">
        <v>340</v>
      </c>
      <c r="B465" s="1748" t="s">
        <v>3457</v>
      </c>
      <c r="C465" s="1749" t="s">
        <v>1689</v>
      </c>
      <c r="D465" s="678">
        <v>5</v>
      </c>
      <c r="E465" s="1287">
        <v>1494.33</v>
      </c>
      <c r="F465" s="678">
        <v>7471.65</v>
      </c>
      <c r="G465" s="1750" t="s">
        <v>3458</v>
      </c>
      <c r="H465" s="962" t="str">
        <f t="shared" si="15"/>
        <v>01450D1CZ8</v>
      </c>
      <c r="I465" s="22">
        <v>457</v>
      </c>
      <c r="J465" s="4" t="str">
        <f t="shared" si="14"/>
        <v>2.4</v>
      </c>
    </row>
    <row r="466" spans="1:10" ht="63">
      <c r="A466" s="1747" t="s">
        <v>341</v>
      </c>
      <c r="B466" s="1748" t="s">
        <v>3459</v>
      </c>
      <c r="C466" s="1749" t="s">
        <v>1689</v>
      </c>
      <c r="D466" s="678">
        <v>2</v>
      </c>
      <c r="E466" s="1287">
        <v>2988.66</v>
      </c>
      <c r="F466" s="678">
        <v>5977.32</v>
      </c>
      <c r="G466" s="1750" t="s">
        <v>3460</v>
      </c>
      <c r="H466" s="962" t="str">
        <f t="shared" si="15"/>
        <v>01450D1D38</v>
      </c>
      <c r="I466" s="22">
        <v>458</v>
      </c>
      <c r="J466" s="4" t="str">
        <f t="shared" si="14"/>
        <v>2.5</v>
      </c>
    </row>
    <row r="467" spans="1:10" ht="63">
      <c r="A467" s="1747" t="s">
        <v>342</v>
      </c>
      <c r="B467" s="1748" t="s">
        <v>3461</v>
      </c>
      <c r="C467" s="1749" t="s">
        <v>1689</v>
      </c>
      <c r="D467" s="678">
        <v>1</v>
      </c>
      <c r="E467" s="1287">
        <v>5977.31</v>
      </c>
      <c r="F467" s="678">
        <v>5977.31</v>
      </c>
      <c r="G467" s="1750" t="s">
        <v>3462</v>
      </c>
      <c r="H467" s="962" t="str">
        <f t="shared" si="15"/>
        <v>01450D1008</v>
      </c>
      <c r="I467" s="22">
        <v>459</v>
      </c>
      <c r="J467" s="4" t="str">
        <f t="shared" si="14"/>
        <v>2.6</v>
      </c>
    </row>
    <row r="468" spans="1:10" ht="63">
      <c r="A468" s="1747" t="s">
        <v>343</v>
      </c>
      <c r="B468" s="1748" t="s">
        <v>3463</v>
      </c>
      <c r="C468" s="1749" t="s">
        <v>1689</v>
      </c>
      <c r="D468" s="678">
        <v>1</v>
      </c>
      <c r="E468" s="1287">
        <v>11954.62</v>
      </c>
      <c r="F468" s="678">
        <v>11954.62</v>
      </c>
      <c r="G468" s="1750" t="s">
        <v>3464</v>
      </c>
      <c r="H468" s="962" t="str">
        <f t="shared" si="15"/>
        <v>01450D1Z18</v>
      </c>
      <c r="I468" s="22">
        <v>460</v>
      </c>
      <c r="J468" s="4" t="str">
        <f t="shared" si="14"/>
        <v>2.7</v>
      </c>
    </row>
    <row r="469" spans="1:10" ht="63">
      <c r="A469" s="1747" t="s">
        <v>344</v>
      </c>
      <c r="B469" s="1748" t="s">
        <v>3465</v>
      </c>
      <c r="C469" s="1749" t="s">
        <v>2238</v>
      </c>
      <c r="D469" s="678">
        <v>1</v>
      </c>
      <c r="E469" s="1287">
        <v>996.22</v>
      </c>
      <c r="F469" s="678">
        <v>996.22</v>
      </c>
      <c r="G469" s="1750" t="s">
        <v>3466</v>
      </c>
      <c r="H469" s="962" t="str">
        <f t="shared" si="15"/>
        <v>01450D1Z2L</v>
      </c>
      <c r="I469" s="22">
        <v>461</v>
      </c>
      <c r="J469" s="4" t="str">
        <f t="shared" si="14"/>
        <v>2.8</v>
      </c>
    </row>
    <row r="470" spans="1:10" ht="47.25">
      <c r="A470" s="1747" t="s">
        <v>345</v>
      </c>
      <c r="B470" s="1748" t="s">
        <v>4848</v>
      </c>
      <c r="C470" s="1749" t="s">
        <v>1689</v>
      </c>
      <c r="D470" s="678">
        <v>1</v>
      </c>
      <c r="E470" s="1287">
        <v>1494.33</v>
      </c>
      <c r="F470" s="678">
        <v>1494.33</v>
      </c>
      <c r="G470" s="1750" t="s">
        <v>4849</v>
      </c>
      <c r="H470" s="962" t="str">
        <f t="shared" si="15"/>
        <v>01450D1ZZ8</v>
      </c>
      <c r="I470" s="22">
        <v>462</v>
      </c>
      <c r="J470" s="4" t="str">
        <f t="shared" si="14"/>
        <v>2.9</v>
      </c>
    </row>
    <row r="471" spans="1:10" ht="63">
      <c r="A471" s="1747" t="s">
        <v>346</v>
      </c>
      <c r="B471" s="1748" t="s">
        <v>4850</v>
      </c>
      <c r="C471" s="1749" t="s">
        <v>1689</v>
      </c>
      <c r="D471" s="678">
        <v>1</v>
      </c>
      <c r="E471" s="1287">
        <v>3984.87</v>
      </c>
      <c r="F471" s="678">
        <v>3984.87</v>
      </c>
      <c r="G471" s="1750" t="s">
        <v>4851</v>
      </c>
      <c r="H471" s="962" t="str">
        <f t="shared" si="15"/>
        <v>01450D1Z48</v>
      </c>
      <c r="I471" s="22">
        <v>463</v>
      </c>
      <c r="J471" s="4" t="str">
        <f t="shared" si="14"/>
        <v>2.10</v>
      </c>
    </row>
    <row r="472" spans="1:10" ht="47.25">
      <c r="A472" s="1747" t="s">
        <v>347</v>
      </c>
      <c r="B472" s="1748" t="s">
        <v>4852</v>
      </c>
      <c r="C472" s="1749" t="s">
        <v>1689</v>
      </c>
      <c r="D472" s="678">
        <v>1</v>
      </c>
      <c r="E472" s="1287">
        <v>43833.61</v>
      </c>
      <c r="F472" s="678">
        <v>43833.61</v>
      </c>
      <c r="G472" s="1750" t="s">
        <v>4853</v>
      </c>
      <c r="H472" s="962" t="str">
        <f t="shared" si="15"/>
        <v>01450D1F18</v>
      </c>
      <c r="I472" s="22">
        <v>464</v>
      </c>
      <c r="J472" s="4" t="str">
        <f t="shared" si="14"/>
        <v>2.11</v>
      </c>
    </row>
    <row r="473" spans="1:10" ht="47.25">
      <c r="A473" s="1747" t="s">
        <v>348</v>
      </c>
      <c r="B473" s="1748" t="s">
        <v>3467</v>
      </c>
      <c r="C473" s="1749" t="s">
        <v>1689</v>
      </c>
      <c r="D473" s="678">
        <v>1</v>
      </c>
      <c r="E473" s="1287">
        <v>7969.75</v>
      </c>
      <c r="F473" s="678">
        <v>7969.75</v>
      </c>
      <c r="G473" s="1750" t="s">
        <v>3468</v>
      </c>
      <c r="H473" s="962" t="str">
        <f t="shared" si="15"/>
        <v>01450D11Y8</v>
      </c>
      <c r="I473" s="22">
        <v>465</v>
      </c>
      <c r="J473" s="4" t="str">
        <f t="shared" si="14"/>
        <v>2.12</v>
      </c>
    </row>
    <row r="474" spans="1:10" ht="47.25">
      <c r="A474" s="1747" t="s">
        <v>349</v>
      </c>
      <c r="B474" s="1748" t="s">
        <v>3469</v>
      </c>
      <c r="C474" s="1749" t="s">
        <v>1689</v>
      </c>
      <c r="D474" s="678">
        <v>1</v>
      </c>
      <c r="E474" s="1287">
        <v>3984.87</v>
      </c>
      <c r="F474" s="678">
        <v>3984.87</v>
      </c>
      <c r="G474" s="1750" t="s">
        <v>3470</v>
      </c>
      <c r="H474" s="962" t="str">
        <f t="shared" si="15"/>
        <v>01450D16Q8</v>
      </c>
      <c r="I474" s="22">
        <v>466</v>
      </c>
      <c r="J474" s="4" t="str">
        <f t="shared" si="14"/>
        <v>2.13</v>
      </c>
    </row>
    <row r="475" spans="1:10" ht="63">
      <c r="A475" s="1747" t="s">
        <v>350</v>
      </c>
      <c r="B475" s="1748" t="s">
        <v>3471</v>
      </c>
      <c r="C475" s="1749" t="s">
        <v>1689</v>
      </c>
      <c r="D475" s="678">
        <v>1</v>
      </c>
      <c r="E475" s="1287">
        <v>1992.44</v>
      </c>
      <c r="F475" s="678">
        <v>1992.44</v>
      </c>
      <c r="G475" s="1750" t="s">
        <v>3472</v>
      </c>
      <c r="H475" s="962" t="str">
        <f t="shared" si="15"/>
        <v>01450DI258</v>
      </c>
      <c r="I475" s="22">
        <v>467</v>
      </c>
      <c r="J475" s="4" t="str">
        <f t="shared" si="14"/>
        <v>2.14</v>
      </c>
    </row>
    <row r="476" spans="1:10" ht="63">
      <c r="A476" s="1747" t="s">
        <v>351</v>
      </c>
      <c r="B476" s="1748" t="s">
        <v>3475</v>
      </c>
      <c r="C476" s="1749" t="s">
        <v>1689</v>
      </c>
      <c r="D476" s="678">
        <v>2</v>
      </c>
      <c r="E476" s="1287">
        <v>5977.31</v>
      </c>
      <c r="F476" s="678">
        <v>11954.62</v>
      </c>
      <c r="G476" s="1750" t="s">
        <v>3476</v>
      </c>
      <c r="H476" s="962" t="str">
        <f t="shared" si="15"/>
        <v>01450D19T8</v>
      </c>
      <c r="I476" s="22">
        <v>468</v>
      </c>
      <c r="J476" s="4" t="str">
        <f t="shared" si="14"/>
        <v>2.15</v>
      </c>
    </row>
    <row r="477" spans="1:10" ht="47.25">
      <c r="A477" s="1747" t="s">
        <v>352</v>
      </c>
      <c r="B477" s="1748" t="s">
        <v>3477</v>
      </c>
      <c r="C477" s="1749" t="s">
        <v>3478</v>
      </c>
      <c r="D477" s="678">
        <v>2</v>
      </c>
      <c r="E477" s="1287">
        <v>1574.03</v>
      </c>
      <c r="F477" s="678">
        <v>3148.06</v>
      </c>
      <c r="G477" s="1750" t="s">
        <v>3479</v>
      </c>
      <c r="H477" s="962" t="str">
        <f t="shared" si="15"/>
        <v>01450D1D1R</v>
      </c>
      <c r="I477" s="22">
        <v>469</v>
      </c>
      <c r="J477" s="4" t="str">
        <f t="shared" si="14"/>
        <v>2.16</v>
      </c>
    </row>
    <row r="478" spans="1:10" ht="47.25">
      <c r="A478" s="1747" t="s">
        <v>353</v>
      </c>
      <c r="B478" s="1748" t="s">
        <v>3480</v>
      </c>
      <c r="C478" s="1749" t="s">
        <v>2490</v>
      </c>
      <c r="D478" s="678">
        <v>1</v>
      </c>
      <c r="E478" s="1287">
        <v>11954.62</v>
      </c>
      <c r="F478" s="678">
        <v>11954.62</v>
      </c>
      <c r="G478" s="1750" t="s">
        <v>3481</v>
      </c>
      <c r="H478" s="962" t="str">
        <f t="shared" si="15"/>
        <v>01450D1C24</v>
      </c>
      <c r="I478" s="22">
        <v>470</v>
      </c>
      <c r="J478" s="4" t="str">
        <f t="shared" si="14"/>
        <v>2.17</v>
      </c>
    </row>
    <row r="479" spans="1:10" ht="47.25">
      <c r="A479" s="1747" t="s">
        <v>458</v>
      </c>
      <c r="B479" s="1748" t="s">
        <v>4854</v>
      </c>
      <c r="C479" s="1749" t="s">
        <v>1689</v>
      </c>
      <c r="D479" s="678">
        <v>1</v>
      </c>
      <c r="E479" s="1287">
        <v>5977.31</v>
      </c>
      <c r="F479" s="678">
        <v>5977.31</v>
      </c>
      <c r="G479" s="1750" t="s">
        <v>4855</v>
      </c>
      <c r="H479" s="962" t="str">
        <f t="shared" si="15"/>
        <v>01450D9008</v>
      </c>
      <c r="I479" s="22">
        <v>471</v>
      </c>
      <c r="J479" s="4" t="str">
        <f t="shared" si="14"/>
        <v>2.18</v>
      </c>
    </row>
    <row r="480" spans="1:10" ht="47.25">
      <c r="A480" s="1747" t="s">
        <v>459</v>
      </c>
      <c r="B480" s="1748" t="s">
        <v>4856</v>
      </c>
      <c r="C480" s="1749" t="s">
        <v>1689</v>
      </c>
      <c r="D480" s="678">
        <v>1</v>
      </c>
      <c r="E480" s="1287">
        <v>996.22</v>
      </c>
      <c r="F480" s="678">
        <v>996.22</v>
      </c>
      <c r="G480" s="1750" t="s">
        <v>4857</v>
      </c>
      <c r="H480" s="962" t="str">
        <f t="shared" si="15"/>
        <v>01450D91A8</v>
      </c>
      <c r="I480" s="22">
        <v>472</v>
      </c>
      <c r="J480" s="4" t="str">
        <f t="shared" si="14"/>
        <v>2.19</v>
      </c>
    </row>
    <row r="481" spans="1:10" ht="47.25">
      <c r="A481" s="1747" t="s">
        <v>460</v>
      </c>
      <c r="B481" s="1748" t="s">
        <v>4858</v>
      </c>
      <c r="C481" s="1749" t="s">
        <v>1689</v>
      </c>
      <c r="D481" s="678">
        <v>1</v>
      </c>
      <c r="E481" s="1287">
        <v>4981.09</v>
      </c>
      <c r="F481" s="678">
        <v>4981.09</v>
      </c>
      <c r="G481" s="1750" t="s">
        <v>4859</v>
      </c>
      <c r="H481" s="962" t="str">
        <f t="shared" si="15"/>
        <v>01450DB6B8</v>
      </c>
      <c r="I481" s="22">
        <v>473</v>
      </c>
      <c r="J481" s="4" t="str">
        <f t="shared" si="14"/>
        <v>2.20</v>
      </c>
    </row>
    <row r="482" spans="1:10" ht="47.25">
      <c r="A482" s="1747" t="s">
        <v>529</v>
      </c>
      <c r="B482" s="1748" t="s">
        <v>3473</v>
      </c>
      <c r="C482" s="1749" t="s">
        <v>1875</v>
      </c>
      <c r="D482" s="678">
        <v>2</v>
      </c>
      <c r="E482" s="1287">
        <v>3984.87</v>
      </c>
      <c r="F482" s="678">
        <v>7969.74</v>
      </c>
      <c r="G482" s="1750" t="s">
        <v>3474</v>
      </c>
      <c r="H482" s="962" t="str">
        <f t="shared" si="15"/>
        <v>0145000024</v>
      </c>
      <c r="I482" s="22">
        <v>474</v>
      </c>
      <c r="J482" s="4" t="str">
        <f t="shared" si="14"/>
        <v>2.21</v>
      </c>
    </row>
    <row r="483" spans="1:10" ht="31.5">
      <c r="A483" s="1747" t="s">
        <v>530</v>
      </c>
      <c r="B483" s="1748" t="s">
        <v>3482</v>
      </c>
      <c r="C483" s="1749" t="s">
        <v>1689</v>
      </c>
      <c r="D483" s="678">
        <v>2</v>
      </c>
      <c r="E483" s="1287">
        <v>5977.31</v>
      </c>
      <c r="F483" s="678">
        <v>11954.62</v>
      </c>
      <c r="G483" s="1750" t="s">
        <v>3483</v>
      </c>
      <c r="H483" s="962" t="str">
        <f t="shared" si="15"/>
        <v>01450A10E1</v>
      </c>
      <c r="I483" s="22">
        <v>475</v>
      </c>
      <c r="J483" s="4" t="str">
        <f t="shared" si="14"/>
        <v>2.22</v>
      </c>
    </row>
    <row r="484" spans="1:10" ht="42.75">
      <c r="A484" s="1747" t="s">
        <v>531</v>
      </c>
      <c r="B484" s="1748" t="s">
        <v>3482</v>
      </c>
      <c r="C484" s="1749" t="s">
        <v>1497</v>
      </c>
      <c r="D484" s="678">
        <v>5</v>
      </c>
      <c r="E484" s="1287">
        <v>1494.33</v>
      </c>
      <c r="F484" s="678">
        <v>7471.65</v>
      </c>
      <c r="G484" s="1750" t="s">
        <v>3484</v>
      </c>
      <c r="H484" s="962" t="str">
        <f t="shared" si="15"/>
        <v>01450A10F1</v>
      </c>
      <c r="I484" s="22">
        <v>476</v>
      </c>
      <c r="J484" s="4" t="str">
        <f t="shared" si="14"/>
        <v>2.23</v>
      </c>
    </row>
    <row r="485" spans="1:10" ht="31.5">
      <c r="A485" s="1747" t="s">
        <v>3669</v>
      </c>
      <c r="B485" s="1748" t="s">
        <v>3485</v>
      </c>
      <c r="C485" s="1749" t="s">
        <v>1689</v>
      </c>
      <c r="D485" s="678">
        <v>2</v>
      </c>
      <c r="E485" s="1287">
        <v>5977.31</v>
      </c>
      <c r="F485" s="678">
        <v>11954.62</v>
      </c>
      <c r="G485" s="1750" t="s">
        <v>3486</v>
      </c>
      <c r="H485" s="962" t="str">
        <f t="shared" si="15"/>
        <v>01450A10G1</v>
      </c>
      <c r="I485" s="22">
        <v>477</v>
      </c>
      <c r="J485" s="4" t="str">
        <f t="shared" si="14"/>
        <v>2.24</v>
      </c>
    </row>
    <row r="486" spans="1:10" ht="42.75">
      <c r="A486" s="1747" t="s">
        <v>4860</v>
      </c>
      <c r="B486" s="1748" t="s">
        <v>3485</v>
      </c>
      <c r="C486" s="1749" t="s">
        <v>1497</v>
      </c>
      <c r="D486" s="678">
        <v>5</v>
      </c>
      <c r="E486" s="1287">
        <v>996.22</v>
      </c>
      <c r="F486" s="678">
        <v>4981.1000000000004</v>
      </c>
      <c r="G486" s="1750" t="s">
        <v>3487</v>
      </c>
      <c r="H486" s="962" t="str">
        <f t="shared" si="15"/>
        <v>01450A10H1</v>
      </c>
      <c r="I486" s="22">
        <v>478</v>
      </c>
      <c r="J486" s="4" t="str">
        <f t="shared" si="14"/>
        <v>2.25</v>
      </c>
    </row>
    <row r="487" spans="1:10" ht="28.5">
      <c r="A487" s="1747" t="s">
        <v>4861</v>
      </c>
      <c r="B487" s="1748" t="s">
        <v>3488</v>
      </c>
      <c r="C487" s="1749" t="s">
        <v>1689</v>
      </c>
      <c r="D487" s="678">
        <v>2</v>
      </c>
      <c r="E487" s="1287">
        <v>5977.31</v>
      </c>
      <c r="F487" s="678">
        <v>11954.62</v>
      </c>
      <c r="G487" s="1750" t="s">
        <v>3489</v>
      </c>
      <c r="H487" s="962" t="str">
        <f t="shared" si="15"/>
        <v>01450A81AA</v>
      </c>
      <c r="I487" s="22">
        <v>479</v>
      </c>
      <c r="J487" s="4" t="str">
        <f t="shared" si="14"/>
        <v>2.26</v>
      </c>
    </row>
    <row r="488" spans="1:10" ht="31.5">
      <c r="A488" s="1747" t="s">
        <v>4862</v>
      </c>
      <c r="B488" s="1748" t="s">
        <v>1772</v>
      </c>
      <c r="C488" s="1749" t="s">
        <v>1497</v>
      </c>
      <c r="D488" s="678">
        <v>1</v>
      </c>
      <c r="E488" s="1287">
        <v>6224.37</v>
      </c>
      <c r="F488" s="678">
        <v>6224.37</v>
      </c>
      <c r="G488" s="1750" t="s">
        <v>1773</v>
      </c>
      <c r="H488" s="962" t="str">
        <f t="shared" si="15"/>
        <v>M026102D30A</v>
      </c>
      <c r="I488" s="22">
        <v>480</v>
      </c>
      <c r="J488" s="4" t="str">
        <f t="shared" si="14"/>
        <v>2.27</v>
      </c>
    </row>
    <row r="489" spans="1:10" ht="16.5" customHeight="1">
      <c r="A489" s="1747" t="s">
        <v>3494</v>
      </c>
      <c r="B489" s="1748" t="s">
        <v>3495</v>
      </c>
      <c r="C489" s="1749" t="s">
        <v>14</v>
      </c>
      <c r="D489" s="678">
        <v>1</v>
      </c>
      <c r="E489" s="1287"/>
      <c r="F489" s="678">
        <v>324099.13</v>
      </c>
      <c r="G489" s="1750" t="s">
        <v>3496</v>
      </c>
      <c r="H489" s="962" t="e">
        <f t="shared" si="15"/>
        <v>#VALUE!</v>
      </c>
      <c r="I489" s="22">
        <v>481</v>
      </c>
      <c r="J489" s="4" t="str">
        <f t="shared" si="14"/>
        <v>　三</v>
      </c>
    </row>
    <row r="490" spans="1:10" ht="42.75">
      <c r="A490" s="1747" t="s">
        <v>354</v>
      </c>
      <c r="B490" s="1748" t="s">
        <v>2781</v>
      </c>
      <c r="C490" s="1749" t="s">
        <v>2782</v>
      </c>
      <c r="D490" s="678">
        <v>1399</v>
      </c>
      <c r="E490" s="1287">
        <v>54.55</v>
      </c>
      <c r="F490" s="678">
        <v>76315.45</v>
      </c>
      <c r="G490" s="1750" t="s">
        <v>6468</v>
      </c>
      <c r="H490" s="962" t="str">
        <f t="shared" si="15"/>
        <v>01572F000E</v>
      </c>
      <c r="I490" s="22">
        <v>482</v>
      </c>
      <c r="J490" s="4" t="str">
        <f t="shared" si="14"/>
        <v>3.1</v>
      </c>
    </row>
    <row r="491" spans="1:10" ht="42.75">
      <c r="A491" s="1747" t="s">
        <v>355</v>
      </c>
      <c r="B491" s="1748" t="s">
        <v>2785</v>
      </c>
      <c r="C491" s="1749" t="s">
        <v>2786</v>
      </c>
      <c r="D491" s="678">
        <v>18</v>
      </c>
      <c r="E491" s="1287">
        <v>13765.76</v>
      </c>
      <c r="F491" s="678">
        <v>247783.67999999999</v>
      </c>
      <c r="G491" s="1750" t="s">
        <v>6469</v>
      </c>
      <c r="H491" s="962" t="str">
        <f t="shared" si="15"/>
        <v>01572H100F</v>
      </c>
      <c r="I491" s="22">
        <v>483</v>
      </c>
      <c r="J491" s="4" t="str">
        <f t="shared" si="14"/>
        <v>3.2</v>
      </c>
    </row>
    <row r="492" spans="1:10" ht="16.5" customHeight="1">
      <c r="A492" s="1747" t="s">
        <v>3499</v>
      </c>
      <c r="B492" s="1748" t="s">
        <v>3500</v>
      </c>
      <c r="C492" s="1749" t="s">
        <v>14</v>
      </c>
      <c r="D492" s="678">
        <v>1</v>
      </c>
      <c r="E492" s="1287"/>
      <c r="F492" s="678">
        <v>7650</v>
      </c>
      <c r="G492" s="1750" t="s">
        <v>3501</v>
      </c>
      <c r="H492" s="962" t="e">
        <f t="shared" si="15"/>
        <v>#VALUE!</v>
      </c>
      <c r="I492" s="22">
        <v>484</v>
      </c>
      <c r="J492" s="4" t="str">
        <f t="shared" si="14"/>
        <v>　四</v>
      </c>
    </row>
    <row r="493" spans="1:10" ht="31.5">
      <c r="A493" s="1747" t="s">
        <v>356</v>
      </c>
      <c r="B493" s="1748" t="s">
        <v>3502</v>
      </c>
      <c r="C493" s="1749" t="s">
        <v>3503</v>
      </c>
      <c r="D493" s="678">
        <v>1</v>
      </c>
      <c r="E493" s="1287">
        <v>2300</v>
      </c>
      <c r="F493" s="678">
        <v>2300</v>
      </c>
      <c r="G493" s="1750" t="s">
        <v>3504</v>
      </c>
      <c r="H493" s="962" t="str">
        <f t="shared" si="15"/>
        <v>0225245113</v>
      </c>
      <c r="I493" s="22">
        <v>485</v>
      </c>
      <c r="J493" s="4" t="str">
        <f t="shared" si="14"/>
        <v>4.1</v>
      </c>
    </row>
    <row r="494" spans="1:10" ht="31.5">
      <c r="A494" s="1747" t="s">
        <v>357</v>
      </c>
      <c r="B494" s="1748" t="s">
        <v>3505</v>
      </c>
      <c r="C494" s="1749" t="s">
        <v>3503</v>
      </c>
      <c r="D494" s="678">
        <v>1</v>
      </c>
      <c r="E494" s="1287">
        <v>4100</v>
      </c>
      <c r="F494" s="678">
        <v>4100</v>
      </c>
      <c r="G494" s="1750" t="s">
        <v>3506</v>
      </c>
      <c r="H494" s="962" t="str">
        <f t="shared" si="15"/>
        <v>0225245123</v>
      </c>
      <c r="I494" s="22">
        <v>486</v>
      </c>
      <c r="J494" s="4" t="str">
        <f t="shared" si="14"/>
        <v>4.2</v>
      </c>
    </row>
    <row r="495" spans="1:10" ht="31.5">
      <c r="A495" s="1747" t="s">
        <v>358</v>
      </c>
      <c r="B495" s="1748" t="s">
        <v>3507</v>
      </c>
      <c r="C495" s="1749" t="s">
        <v>3503</v>
      </c>
      <c r="D495" s="678">
        <v>1</v>
      </c>
      <c r="E495" s="1287">
        <v>1250</v>
      </c>
      <c r="F495" s="678">
        <v>1250</v>
      </c>
      <c r="G495" s="1750" t="s">
        <v>3508</v>
      </c>
      <c r="H495" s="962" t="str">
        <f t="shared" si="15"/>
        <v>0225245133</v>
      </c>
      <c r="I495" s="22">
        <v>487</v>
      </c>
      <c r="J495" s="4" t="str">
        <f t="shared" si="14"/>
        <v>4.3</v>
      </c>
    </row>
    <row r="496" spans="1:10" ht="71.25">
      <c r="A496" s="1747" t="s">
        <v>3509</v>
      </c>
      <c r="B496" s="1748" t="s">
        <v>3510</v>
      </c>
      <c r="C496" s="1749" t="s">
        <v>14</v>
      </c>
      <c r="D496" s="678">
        <v>1</v>
      </c>
      <c r="E496" s="1287"/>
      <c r="F496" s="678">
        <v>639259.85</v>
      </c>
      <c r="G496" s="1750" t="s">
        <v>3511</v>
      </c>
      <c r="H496" s="962" t="e">
        <f t="shared" si="15"/>
        <v>#VALUE!</v>
      </c>
      <c r="I496" s="22">
        <v>488</v>
      </c>
    </row>
    <row r="497" spans="1:9" ht="47.25">
      <c r="A497" s="1747" t="s">
        <v>359</v>
      </c>
      <c r="B497" s="1748" t="s">
        <v>3512</v>
      </c>
      <c r="C497" s="1749" t="s">
        <v>3513</v>
      </c>
      <c r="D497" s="678">
        <v>20</v>
      </c>
      <c r="E497" s="1287">
        <v>205.22</v>
      </c>
      <c r="F497" s="678">
        <v>4104.3999999999996</v>
      </c>
      <c r="G497" s="1750" t="s">
        <v>3514</v>
      </c>
      <c r="H497" s="962" t="str">
        <f t="shared" si="15"/>
        <v>01583A500A</v>
      </c>
      <c r="I497" s="22">
        <v>489</v>
      </c>
    </row>
    <row r="498" spans="1:9" ht="71.25">
      <c r="A498" s="1747" t="s">
        <v>360</v>
      </c>
      <c r="B498" s="1748" t="s">
        <v>3515</v>
      </c>
      <c r="C498" s="1749" t="s">
        <v>3513</v>
      </c>
      <c r="D498" s="678">
        <v>20</v>
      </c>
      <c r="E498" s="1287">
        <v>584.88</v>
      </c>
      <c r="F498" s="678">
        <v>11697.6</v>
      </c>
      <c r="G498" s="1750" t="s">
        <v>3516</v>
      </c>
      <c r="H498" s="962" t="str">
        <f t="shared" si="15"/>
        <v>01583B000A</v>
      </c>
      <c r="I498" s="22">
        <v>490</v>
      </c>
    </row>
    <row r="499" spans="1:9" ht="16.5" customHeight="1">
      <c r="A499" s="1747" t="s">
        <v>361</v>
      </c>
      <c r="B499" s="1748" t="s">
        <v>3517</v>
      </c>
      <c r="C499" s="1749" t="s">
        <v>1818</v>
      </c>
      <c r="D499" s="678">
        <v>20</v>
      </c>
      <c r="E499" s="1287">
        <v>5951.41</v>
      </c>
      <c r="F499" s="678">
        <v>119028.2</v>
      </c>
      <c r="G499" s="1750" t="s">
        <v>3518</v>
      </c>
      <c r="H499" s="962" t="str">
        <f t="shared" si="15"/>
        <v>015831110B</v>
      </c>
      <c r="I499" s="22">
        <v>491</v>
      </c>
    </row>
    <row r="500" spans="1:9" ht="16.5" customHeight="1">
      <c r="A500" s="1747" t="s">
        <v>362</v>
      </c>
      <c r="B500" s="1748" t="s">
        <v>3519</v>
      </c>
      <c r="C500" s="1749" t="s">
        <v>1818</v>
      </c>
      <c r="D500" s="678">
        <v>20</v>
      </c>
      <c r="E500" s="1287">
        <v>1256.8800000000001</v>
      </c>
      <c r="F500" s="678">
        <v>25137.599999999999</v>
      </c>
      <c r="G500" s="1750" t="s">
        <v>3520</v>
      </c>
      <c r="H500" s="962" t="str">
        <f t="shared" si="15"/>
        <v>0155630A0A</v>
      </c>
      <c r="I500" s="22">
        <v>492</v>
      </c>
    </row>
    <row r="501" spans="1:9" ht="28.5">
      <c r="A501" s="1747" t="s">
        <v>363</v>
      </c>
      <c r="B501" s="1748" t="s">
        <v>3521</v>
      </c>
      <c r="C501" s="1749" t="s">
        <v>2679</v>
      </c>
      <c r="D501" s="678">
        <v>100</v>
      </c>
      <c r="E501" s="1287">
        <v>225.43</v>
      </c>
      <c r="F501" s="678">
        <v>22543</v>
      </c>
      <c r="G501" s="1750" t="s">
        <v>3522</v>
      </c>
      <c r="H501" s="962" t="str">
        <f t="shared" si="15"/>
        <v>0155642007</v>
      </c>
      <c r="I501" s="22">
        <v>493</v>
      </c>
    </row>
    <row r="502" spans="1:9" ht="16.5" customHeight="1">
      <c r="A502" s="1747" t="s">
        <v>364</v>
      </c>
      <c r="B502" s="1748" t="s">
        <v>3523</v>
      </c>
      <c r="C502" s="1749" t="s">
        <v>2679</v>
      </c>
      <c r="D502" s="678">
        <v>100</v>
      </c>
      <c r="E502" s="1287">
        <v>225.43</v>
      </c>
      <c r="F502" s="678">
        <v>22543</v>
      </c>
      <c r="G502" s="1750" t="s">
        <v>3524</v>
      </c>
      <c r="H502" s="962" t="str">
        <f t="shared" si="15"/>
        <v>0155642707</v>
      </c>
      <c r="I502" s="22">
        <v>494</v>
      </c>
    </row>
    <row r="503" spans="1:9" ht="16.5" customHeight="1">
      <c r="A503" s="1747" t="s">
        <v>365</v>
      </c>
      <c r="B503" s="1748" t="s">
        <v>3525</v>
      </c>
      <c r="C503" s="1749" t="s">
        <v>1497</v>
      </c>
      <c r="D503" s="678">
        <v>175</v>
      </c>
      <c r="E503" s="1287">
        <v>49.81</v>
      </c>
      <c r="F503" s="678">
        <v>8716.75</v>
      </c>
      <c r="G503" s="1750" t="s">
        <v>3526</v>
      </c>
      <c r="H503" s="962" t="str">
        <f t="shared" si="15"/>
        <v>015564080E</v>
      </c>
      <c r="I503" s="22">
        <v>495</v>
      </c>
    </row>
    <row r="504" spans="1:9" ht="16.5" customHeight="1">
      <c r="A504" s="1747" t="s">
        <v>366</v>
      </c>
      <c r="B504" s="1748" t="s">
        <v>3527</v>
      </c>
      <c r="C504" s="1749" t="s">
        <v>1818</v>
      </c>
      <c r="D504" s="678">
        <v>20</v>
      </c>
      <c r="E504" s="1287">
        <v>2033.33</v>
      </c>
      <c r="F504" s="678">
        <v>40666.6</v>
      </c>
      <c r="G504" s="1750" t="s">
        <v>3528</v>
      </c>
      <c r="H504" s="962" t="str">
        <f t="shared" si="15"/>
        <v>015566000A</v>
      </c>
      <c r="I504" s="22">
        <v>496</v>
      </c>
    </row>
    <row r="505" spans="1:9" ht="31.5">
      <c r="A505" s="1747" t="s">
        <v>367</v>
      </c>
      <c r="B505" s="1748" t="s">
        <v>3529</v>
      </c>
      <c r="C505" s="1749" t="s">
        <v>1818</v>
      </c>
      <c r="D505" s="678">
        <v>20</v>
      </c>
      <c r="E505" s="1287">
        <v>2653.1</v>
      </c>
      <c r="F505" s="678">
        <v>53062</v>
      </c>
      <c r="G505" s="1750" t="s">
        <v>3530</v>
      </c>
      <c r="H505" s="962" t="str">
        <f t="shared" si="15"/>
        <v>015566110A</v>
      </c>
      <c r="I505" s="22">
        <v>497</v>
      </c>
    </row>
    <row r="506" spans="1:9" ht="16.5" customHeight="1">
      <c r="A506" s="1747" t="s">
        <v>368</v>
      </c>
      <c r="B506" s="1748" t="s">
        <v>3531</v>
      </c>
      <c r="C506" s="1749" t="s">
        <v>1818</v>
      </c>
      <c r="D506" s="678">
        <v>20</v>
      </c>
      <c r="E506" s="1287">
        <v>3084.06</v>
      </c>
      <c r="F506" s="678">
        <v>61681.2</v>
      </c>
      <c r="G506" s="1750" t="s">
        <v>3532</v>
      </c>
      <c r="H506" s="962" t="str">
        <f t="shared" si="15"/>
        <v>015566120A</v>
      </c>
      <c r="I506" s="22">
        <v>498</v>
      </c>
    </row>
    <row r="507" spans="1:9" ht="31.5">
      <c r="A507" s="1747" t="s">
        <v>369</v>
      </c>
      <c r="B507" s="1748" t="s">
        <v>3533</v>
      </c>
      <c r="C507" s="1749" t="s">
        <v>1818</v>
      </c>
      <c r="D507" s="678">
        <v>20</v>
      </c>
      <c r="E507" s="1287">
        <v>3904.95</v>
      </c>
      <c r="F507" s="678">
        <v>78099</v>
      </c>
      <c r="G507" s="1750" t="s">
        <v>3534</v>
      </c>
      <c r="H507" s="962" t="str">
        <f t="shared" si="15"/>
        <v>015566130A</v>
      </c>
      <c r="I507" s="22">
        <v>499</v>
      </c>
    </row>
    <row r="508" spans="1:9" ht="28.5">
      <c r="A508" s="1747" t="s">
        <v>370</v>
      </c>
      <c r="B508" s="1748" t="s">
        <v>3535</v>
      </c>
      <c r="C508" s="1749" t="s">
        <v>1818</v>
      </c>
      <c r="D508" s="678">
        <v>50</v>
      </c>
      <c r="E508" s="1287">
        <v>1659.81</v>
      </c>
      <c r="F508" s="678">
        <v>82990.5</v>
      </c>
      <c r="G508" s="1750" t="s">
        <v>3536</v>
      </c>
      <c r="H508" s="962" t="str">
        <f t="shared" si="15"/>
        <v>015568000A</v>
      </c>
      <c r="I508" s="22">
        <v>500</v>
      </c>
    </row>
    <row r="509" spans="1:9" ht="28.5">
      <c r="A509" s="1747" t="s">
        <v>371</v>
      </c>
      <c r="B509" s="1748" t="s">
        <v>3537</v>
      </c>
      <c r="C509" s="1749" t="s">
        <v>1689</v>
      </c>
      <c r="D509" s="678">
        <v>30</v>
      </c>
      <c r="E509" s="1287">
        <v>757.13</v>
      </c>
      <c r="F509" s="678">
        <v>22713.9</v>
      </c>
      <c r="G509" s="1750" t="s">
        <v>3538</v>
      </c>
      <c r="H509" s="962" t="str">
        <f t="shared" si="15"/>
        <v>0155690008</v>
      </c>
      <c r="I509" s="22">
        <v>501</v>
      </c>
    </row>
    <row r="510" spans="1:9" ht="28.5">
      <c r="A510" s="1747" t="s">
        <v>372</v>
      </c>
      <c r="B510" s="1748" t="s">
        <v>3539</v>
      </c>
      <c r="C510" s="1749" t="s">
        <v>1220</v>
      </c>
      <c r="D510" s="678">
        <v>100</v>
      </c>
      <c r="E510" s="1287">
        <v>321.17</v>
      </c>
      <c r="F510" s="678">
        <v>32117</v>
      </c>
      <c r="G510" s="1750" t="s">
        <v>3540</v>
      </c>
      <c r="H510" s="962" t="str">
        <f t="shared" si="15"/>
        <v>02891A0003</v>
      </c>
      <c r="I510" s="22">
        <v>502</v>
      </c>
    </row>
    <row r="511" spans="1:9" ht="28.5">
      <c r="A511" s="1747" t="s">
        <v>373</v>
      </c>
      <c r="B511" s="1748" t="s">
        <v>3541</v>
      </c>
      <c r="C511" s="1749" t="s">
        <v>1220</v>
      </c>
      <c r="D511" s="678">
        <v>100</v>
      </c>
      <c r="E511" s="1287">
        <v>89.53</v>
      </c>
      <c r="F511" s="678">
        <v>8953</v>
      </c>
      <c r="G511" s="1750" t="s">
        <v>3542</v>
      </c>
      <c r="H511" s="962" t="str">
        <f t="shared" si="15"/>
        <v>02891B0003</v>
      </c>
      <c r="I511" s="22">
        <v>503</v>
      </c>
    </row>
    <row r="512" spans="1:9" ht="28.5">
      <c r="A512" s="1747" t="s">
        <v>374</v>
      </c>
      <c r="B512" s="1748" t="s">
        <v>3543</v>
      </c>
      <c r="C512" s="1749" t="s">
        <v>2679</v>
      </c>
      <c r="D512" s="678">
        <v>10</v>
      </c>
      <c r="E512" s="1287">
        <v>1929.08</v>
      </c>
      <c r="F512" s="678">
        <v>19290.8</v>
      </c>
      <c r="G512" s="1750" t="s">
        <v>3544</v>
      </c>
      <c r="H512" s="962" t="str">
        <f t="shared" si="15"/>
        <v>01556K1007</v>
      </c>
      <c r="I512" s="22">
        <v>504</v>
      </c>
    </row>
    <row r="513" spans="1:9" ht="28.5">
      <c r="A513" s="1747" t="s">
        <v>375</v>
      </c>
      <c r="B513" s="1748" t="s">
        <v>3545</v>
      </c>
      <c r="C513" s="1749" t="s">
        <v>1818</v>
      </c>
      <c r="D513" s="678">
        <v>10</v>
      </c>
      <c r="E513" s="1287">
        <v>2591.5300000000002</v>
      </c>
      <c r="F513" s="678">
        <v>25915.3</v>
      </c>
      <c r="G513" s="1750" t="s">
        <v>3546</v>
      </c>
      <c r="H513" s="962" t="str">
        <f t="shared" si="15"/>
        <v>01556L000A</v>
      </c>
      <c r="I513" s="22">
        <v>505</v>
      </c>
    </row>
    <row r="514" spans="1:9" ht="199.5">
      <c r="A514" s="1747" t="s">
        <v>3547</v>
      </c>
      <c r="B514" s="1748" t="s">
        <v>3548</v>
      </c>
      <c r="C514" s="1749" t="s">
        <v>14</v>
      </c>
      <c r="D514" s="678">
        <v>1</v>
      </c>
      <c r="E514" s="1287"/>
      <c r="F514" s="678">
        <v>367043.9</v>
      </c>
      <c r="G514" s="1750" t="s">
        <v>5058</v>
      </c>
      <c r="H514" s="962" t="s">
        <v>5058</v>
      </c>
      <c r="I514" s="22">
        <v>506</v>
      </c>
    </row>
    <row r="515" spans="1:9" ht="31.5">
      <c r="A515" s="1747" t="s">
        <v>376</v>
      </c>
      <c r="B515" s="1748" t="s">
        <v>3550</v>
      </c>
      <c r="C515" s="1749" t="s">
        <v>2238</v>
      </c>
      <c r="D515" s="678">
        <v>20</v>
      </c>
      <c r="E515" s="1287">
        <v>767.09</v>
      </c>
      <c r="F515" s="678">
        <v>15341.8</v>
      </c>
      <c r="G515" s="1750" t="s">
        <v>532</v>
      </c>
      <c r="H515" s="962" t="s">
        <v>532</v>
      </c>
      <c r="I515" s="22">
        <v>507</v>
      </c>
    </row>
    <row r="516" spans="1:9" ht="47.25">
      <c r="A516" s="1747" t="s">
        <v>377</v>
      </c>
      <c r="B516" s="1748" t="s">
        <v>3551</v>
      </c>
      <c r="C516" s="1749" t="s">
        <v>3513</v>
      </c>
      <c r="D516" s="678">
        <v>20</v>
      </c>
      <c r="E516" s="1287">
        <v>124.53</v>
      </c>
      <c r="F516" s="678">
        <v>2490.6</v>
      </c>
      <c r="G516" s="1750" t="s">
        <v>3552</v>
      </c>
      <c r="H516" s="962" t="s">
        <v>3552</v>
      </c>
      <c r="I516" s="22">
        <v>508</v>
      </c>
    </row>
    <row r="517" spans="1:9" ht="47.25">
      <c r="A517" s="1747" t="s">
        <v>378</v>
      </c>
      <c r="B517" s="1748" t="s">
        <v>3553</v>
      </c>
      <c r="C517" s="1749" t="s">
        <v>3513</v>
      </c>
      <c r="D517" s="678">
        <v>20</v>
      </c>
      <c r="E517" s="1287">
        <v>124.53</v>
      </c>
      <c r="F517" s="678">
        <v>2490.6</v>
      </c>
      <c r="G517" s="1750" t="s">
        <v>3554</v>
      </c>
      <c r="H517" s="962" t="s">
        <v>3554</v>
      </c>
      <c r="I517" s="22">
        <v>509</v>
      </c>
    </row>
    <row r="518" spans="1:9" ht="47.25">
      <c r="A518" s="1747" t="s">
        <v>379</v>
      </c>
      <c r="B518" s="1748" t="s">
        <v>3555</v>
      </c>
      <c r="C518" s="1749" t="s">
        <v>3513</v>
      </c>
      <c r="D518" s="678">
        <v>20</v>
      </c>
      <c r="E518" s="1287">
        <v>124.53</v>
      </c>
      <c r="F518" s="678">
        <v>2490.6</v>
      </c>
      <c r="G518" s="1750" t="s">
        <v>3556</v>
      </c>
      <c r="H518" s="962" t="s">
        <v>3556</v>
      </c>
      <c r="I518" s="22">
        <v>510</v>
      </c>
    </row>
    <row r="519" spans="1:9" ht="31.5">
      <c r="A519" s="1747" t="s">
        <v>380</v>
      </c>
      <c r="B519" s="1748" t="s">
        <v>3557</v>
      </c>
      <c r="C519" s="1749" t="s">
        <v>1689</v>
      </c>
      <c r="D519" s="678">
        <v>20</v>
      </c>
      <c r="E519" s="1287">
        <v>1155.6099999999999</v>
      </c>
      <c r="F519" s="678">
        <v>23112.2</v>
      </c>
      <c r="G519" s="1750" t="s">
        <v>3558</v>
      </c>
      <c r="H519" s="962" t="s">
        <v>3558</v>
      </c>
      <c r="I519" s="22">
        <v>511</v>
      </c>
    </row>
    <row r="520" spans="1:9" ht="31.5">
      <c r="A520" s="1747" t="s">
        <v>381</v>
      </c>
      <c r="B520" s="1748" t="s">
        <v>3559</v>
      </c>
      <c r="C520" s="1749" t="s">
        <v>3560</v>
      </c>
      <c r="D520" s="678">
        <v>50</v>
      </c>
      <c r="E520" s="1287">
        <v>200.24</v>
      </c>
      <c r="F520" s="678">
        <v>10012</v>
      </c>
      <c r="G520" s="1750" t="s">
        <v>3561</v>
      </c>
      <c r="H520" s="962" t="s">
        <v>3561</v>
      </c>
      <c r="I520" s="22">
        <v>512</v>
      </c>
    </row>
    <row r="521" spans="1:9" ht="31.5">
      <c r="A521" s="1747" t="s">
        <v>382</v>
      </c>
      <c r="B521" s="1748" t="s">
        <v>3562</v>
      </c>
      <c r="C521" s="1749" t="s">
        <v>3563</v>
      </c>
      <c r="D521" s="678">
        <v>30</v>
      </c>
      <c r="E521" s="1287">
        <v>298.87</v>
      </c>
      <c r="F521" s="678">
        <v>8966.1</v>
      </c>
      <c r="G521" s="1750" t="s">
        <v>3564</v>
      </c>
      <c r="H521" s="962" t="s">
        <v>3564</v>
      </c>
      <c r="I521" s="22">
        <v>513</v>
      </c>
    </row>
    <row r="522" spans="1:9" ht="31.5">
      <c r="A522" s="1747" t="s">
        <v>383</v>
      </c>
      <c r="B522" s="1748" t="s">
        <v>3565</v>
      </c>
      <c r="C522" s="1749" t="s">
        <v>1689</v>
      </c>
      <c r="D522" s="678">
        <v>30</v>
      </c>
      <c r="E522" s="1287">
        <v>151.43</v>
      </c>
      <c r="F522" s="678">
        <v>4542.8999999999996</v>
      </c>
      <c r="G522" s="1750" t="s">
        <v>3566</v>
      </c>
      <c r="H522" s="962" t="s">
        <v>3566</v>
      </c>
      <c r="I522" s="22">
        <v>514</v>
      </c>
    </row>
    <row r="523" spans="1:9" ht="31.5">
      <c r="A523" s="1747" t="s">
        <v>384</v>
      </c>
      <c r="B523" s="1748" t="s">
        <v>3567</v>
      </c>
      <c r="C523" s="1749" t="s">
        <v>3568</v>
      </c>
      <c r="D523" s="678">
        <v>100</v>
      </c>
      <c r="E523" s="1287">
        <v>29.89</v>
      </c>
      <c r="F523" s="678">
        <v>2989</v>
      </c>
      <c r="G523" s="1750" t="s">
        <v>3569</v>
      </c>
      <c r="H523" s="962" t="s">
        <v>3569</v>
      </c>
      <c r="I523" s="22">
        <v>515</v>
      </c>
    </row>
    <row r="524" spans="1:9" ht="31.5">
      <c r="A524" s="1747" t="s">
        <v>385</v>
      </c>
      <c r="B524" s="1748" t="s">
        <v>3570</v>
      </c>
      <c r="C524" s="1749" t="s">
        <v>3568</v>
      </c>
      <c r="D524" s="678">
        <v>50</v>
      </c>
      <c r="E524" s="1287">
        <v>501.1</v>
      </c>
      <c r="F524" s="678">
        <v>25055</v>
      </c>
      <c r="G524" s="1750" t="s">
        <v>3571</v>
      </c>
      <c r="H524" s="962" t="s">
        <v>3571</v>
      </c>
      <c r="I524" s="22">
        <v>516</v>
      </c>
    </row>
    <row r="525" spans="1:9" ht="31.5">
      <c r="A525" s="1747" t="s">
        <v>386</v>
      </c>
      <c r="B525" s="1748" t="s">
        <v>3572</v>
      </c>
      <c r="C525" s="1749" t="s">
        <v>2694</v>
      </c>
      <c r="D525" s="678">
        <v>50</v>
      </c>
      <c r="E525" s="1287">
        <v>278.94</v>
      </c>
      <c r="F525" s="678">
        <v>13947</v>
      </c>
      <c r="G525" s="1750" t="s">
        <v>3573</v>
      </c>
      <c r="H525" s="962" t="s">
        <v>3573</v>
      </c>
      <c r="I525" s="22">
        <v>517</v>
      </c>
    </row>
    <row r="526" spans="1:9" ht="47.25">
      <c r="A526" s="1747" t="s">
        <v>387</v>
      </c>
      <c r="B526" s="1748" t="s">
        <v>3574</v>
      </c>
      <c r="C526" s="1749" t="s">
        <v>1689</v>
      </c>
      <c r="D526" s="678">
        <v>10</v>
      </c>
      <c r="E526" s="1287">
        <v>557.88</v>
      </c>
      <c r="F526" s="678">
        <v>5578.8</v>
      </c>
      <c r="G526" s="1750" t="s">
        <v>3575</v>
      </c>
      <c r="H526" s="962" t="s">
        <v>3575</v>
      </c>
      <c r="I526" s="22">
        <v>518</v>
      </c>
    </row>
    <row r="527" spans="1:9" ht="47.25">
      <c r="A527" s="1747" t="s">
        <v>388</v>
      </c>
      <c r="B527" s="1748" t="s">
        <v>3576</v>
      </c>
      <c r="C527" s="1749" t="s">
        <v>1689</v>
      </c>
      <c r="D527" s="678">
        <v>10</v>
      </c>
      <c r="E527" s="1287">
        <v>1793.19</v>
      </c>
      <c r="F527" s="678">
        <v>17931.900000000001</v>
      </c>
      <c r="G527" s="1750" t="s">
        <v>3577</v>
      </c>
      <c r="H527" s="962" t="s">
        <v>3577</v>
      </c>
      <c r="I527" s="22">
        <v>519</v>
      </c>
    </row>
    <row r="528" spans="1:9" ht="31.5">
      <c r="A528" s="1747" t="s">
        <v>389</v>
      </c>
      <c r="B528" s="1748" t="s">
        <v>3578</v>
      </c>
      <c r="C528" s="1749" t="s">
        <v>2679</v>
      </c>
      <c r="D528" s="678">
        <v>10</v>
      </c>
      <c r="E528" s="1287">
        <v>249.05</v>
      </c>
      <c r="F528" s="678">
        <v>2490.5</v>
      </c>
      <c r="G528" s="1750" t="s">
        <v>3579</v>
      </c>
      <c r="H528" s="962" t="s">
        <v>3579</v>
      </c>
      <c r="I528" s="22">
        <v>520</v>
      </c>
    </row>
    <row r="529" spans="1:9" ht="47.25">
      <c r="A529" s="1747" t="s">
        <v>390</v>
      </c>
      <c r="B529" s="1748" t="s">
        <v>3580</v>
      </c>
      <c r="C529" s="1749" t="s">
        <v>2694</v>
      </c>
      <c r="D529" s="678">
        <v>50</v>
      </c>
      <c r="E529" s="1287">
        <v>348.68</v>
      </c>
      <c r="F529" s="678">
        <v>17434</v>
      </c>
      <c r="G529" s="1750" t="s">
        <v>3581</v>
      </c>
      <c r="H529" s="962" t="s">
        <v>3581</v>
      </c>
      <c r="I529" s="22">
        <v>521</v>
      </c>
    </row>
    <row r="530" spans="1:9" ht="47.25">
      <c r="A530" s="1747" t="s">
        <v>391</v>
      </c>
      <c r="B530" s="1748" t="s">
        <v>3582</v>
      </c>
      <c r="C530" s="1749" t="s">
        <v>1689</v>
      </c>
      <c r="D530" s="678">
        <v>20</v>
      </c>
      <c r="E530" s="1287">
        <v>597.73</v>
      </c>
      <c r="F530" s="678">
        <v>11954.6</v>
      </c>
      <c r="G530" s="1750" t="s">
        <v>3583</v>
      </c>
      <c r="H530" s="962" t="s">
        <v>3583</v>
      </c>
      <c r="I530" s="22">
        <v>522</v>
      </c>
    </row>
    <row r="531" spans="1:9" ht="31.5">
      <c r="A531" s="1747" t="s">
        <v>392</v>
      </c>
      <c r="B531" s="1748" t="s">
        <v>3584</v>
      </c>
      <c r="C531" s="1749" t="s">
        <v>3</v>
      </c>
      <c r="D531" s="678">
        <v>20</v>
      </c>
      <c r="E531" s="1287">
        <v>249.05</v>
      </c>
      <c r="F531" s="678">
        <v>4981</v>
      </c>
      <c r="G531" s="1750" t="s">
        <v>3585</v>
      </c>
      <c r="H531" s="962" t="s">
        <v>3585</v>
      </c>
      <c r="I531" s="22">
        <v>523</v>
      </c>
    </row>
    <row r="532" spans="1:9" ht="28.5">
      <c r="A532" s="1747" t="s">
        <v>393</v>
      </c>
      <c r="B532" s="1748" t="s">
        <v>3586</v>
      </c>
      <c r="C532" s="1749" t="s">
        <v>14</v>
      </c>
      <c r="D532" s="678">
        <v>1</v>
      </c>
      <c r="E532" s="1287">
        <v>125500</v>
      </c>
      <c r="F532" s="678">
        <v>125500</v>
      </c>
      <c r="G532" s="1750" t="s">
        <v>3587</v>
      </c>
      <c r="H532" s="962" t="s">
        <v>3587</v>
      </c>
      <c r="I532" s="22">
        <v>524</v>
      </c>
    </row>
    <row r="533" spans="1:9" ht="47.25">
      <c r="A533" s="1747" t="s">
        <v>394</v>
      </c>
      <c r="B533" s="1748" t="s">
        <v>3588</v>
      </c>
      <c r="C533" s="1749" t="s">
        <v>14</v>
      </c>
      <c r="D533" s="678">
        <v>1</v>
      </c>
      <c r="E533" s="1287">
        <v>34867.65</v>
      </c>
      <c r="F533" s="678">
        <v>34867.65</v>
      </c>
      <c r="G533" s="1750" t="s">
        <v>3589</v>
      </c>
      <c r="H533" s="962" t="s">
        <v>3589</v>
      </c>
      <c r="I533" s="22">
        <v>525</v>
      </c>
    </row>
    <row r="534" spans="1:9" ht="31.5">
      <c r="A534" s="1747" t="s">
        <v>395</v>
      </c>
      <c r="B534" s="1748" t="s">
        <v>3590</v>
      </c>
      <c r="C534" s="1749" t="s">
        <v>14</v>
      </c>
      <c r="D534" s="678">
        <v>1</v>
      </c>
      <c r="E534" s="1287">
        <v>34867.65</v>
      </c>
      <c r="F534" s="678">
        <v>34867.65</v>
      </c>
      <c r="G534" s="1750" t="s">
        <v>3591</v>
      </c>
      <c r="H534" s="962" t="s">
        <v>3591</v>
      </c>
      <c r="I534" s="22">
        <v>526</v>
      </c>
    </row>
    <row r="535" spans="1:9">
      <c r="A535" s="1747" t="s">
        <v>3592</v>
      </c>
      <c r="B535" s="1748" t="s">
        <v>3593</v>
      </c>
      <c r="C535" s="1749" t="s">
        <v>14</v>
      </c>
      <c r="D535" s="678">
        <v>1</v>
      </c>
      <c r="E535" s="1287"/>
      <c r="F535" s="678">
        <v>209704.15</v>
      </c>
      <c r="G535" s="1750" t="s">
        <v>4866</v>
      </c>
      <c r="H535" s="962" t="s">
        <v>4866</v>
      </c>
      <c r="I535" s="22">
        <v>527</v>
      </c>
    </row>
    <row r="536" spans="1:9" ht="31.5">
      <c r="A536" s="1747" t="s">
        <v>396</v>
      </c>
      <c r="B536" s="1748" t="s">
        <v>3595</v>
      </c>
      <c r="C536" s="1749" t="s">
        <v>2238</v>
      </c>
      <c r="D536" s="678">
        <v>44</v>
      </c>
      <c r="E536" s="1287">
        <v>2490.5500000000002</v>
      </c>
      <c r="F536" s="678">
        <v>109584.2</v>
      </c>
      <c r="G536" s="1750" t="s">
        <v>3596</v>
      </c>
      <c r="H536" s="962" t="s">
        <v>3596</v>
      </c>
      <c r="I536" s="22">
        <v>528</v>
      </c>
    </row>
    <row r="537" spans="1:9" ht="31.5">
      <c r="A537" s="1747" t="s">
        <v>397</v>
      </c>
      <c r="B537" s="1748" t="s">
        <v>3597</v>
      </c>
      <c r="C537" s="1749" t="s">
        <v>14</v>
      </c>
      <c r="D537" s="678">
        <v>1</v>
      </c>
      <c r="E537" s="1287">
        <v>24905.46</v>
      </c>
      <c r="F537" s="678">
        <v>24905.46</v>
      </c>
      <c r="G537" s="1750" t="s">
        <v>3598</v>
      </c>
      <c r="H537" s="962" t="s">
        <v>3598</v>
      </c>
      <c r="I537" s="22">
        <v>529</v>
      </c>
    </row>
    <row r="538" spans="1:9" ht="31.5">
      <c r="A538" s="1747" t="s">
        <v>398</v>
      </c>
      <c r="B538" s="1748" t="s">
        <v>3599</v>
      </c>
      <c r="C538" s="1749" t="s">
        <v>14</v>
      </c>
      <c r="D538" s="678">
        <v>1</v>
      </c>
      <c r="E538" s="1287">
        <v>24905.46</v>
      </c>
      <c r="F538" s="678">
        <v>24905.46</v>
      </c>
      <c r="G538" s="1750" t="s">
        <v>3600</v>
      </c>
      <c r="H538" s="962" t="s">
        <v>3600</v>
      </c>
      <c r="I538" s="22">
        <v>530</v>
      </c>
    </row>
    <row r="539" spans="1:9" ht="28.5">
      <c r="A539" s="1747" t="s">
        <v>399</v>
      </c>
      <c r="B539" s="1748" t="s">
        <v>3601</v>
      </c>
      <c r="C539" s="1749" t="s">
        <v>14</v>
      </c>
      <c r="D539" s="678">
        <v>1</v>
      </c>
      <c r="E539" s="1287">
        <v>24905.46</v>
      </c>
      <c r="F539" s="678">
        <v>24905.46</v>
      </c>
      <c r="G539" s="1750" t="s">
        <v>3602</v>
      </c>
      <c r="H539" s="962" t="s">
        <v>3602</v>
      </c>
      <c r="I539" s="22">
        <v>531</v>
      </c>
    </row>
    <row r="540" spans="1:9" ht="31.5">
      <c r="A540" s="1747" t="s">
        <v>400</v>
      </c>
      <c r="B540" s="1748" t="s">
        <v>3603</v>
      </c>
      <c r="C540" s="1749" t="s">
        <v>14</v>
      </c>
      <c r="D540" s="678">
        <v>1</v>
      </c>
      <c r="E540" s="1287">
        <v>25403.57</v>
      </c>
      <c r="F540" s="678">
        <v>25403.57</v>
      </c>
      <c r="G540" s="1750" t="s">
        <v>533</v>
      </c>
      <c r="H540" s="962" t="s">
        <v>533</v>
      </c>
      <c r="I540" s="22">
        <v>532</v>
      </c>
    </row>
    <row r="541" spans="1:9">
      <c r="A541" s="1747" t="s">
        <v>3604</v>
      </c>
      <c r="B541" s="1748" t="s">
        <v>3605</v>
      </c>
      <c r="C541" s="1749" t="s">
        <v>14</v>
      </c>
      <c r="D541" s="678">
        <v>1</v>
      </c>
      <c r="E541" s="1287"/>
      <c r="F541" s="678">
        <v>241766</v>
      </c>
      <c r="G541" s="1750" t="s">
        <v>5059</v>
      </c>
      <c r="H541" s="962" t="str">
        <f>G541</f>
        <v>依工程費×1.88</v>
      </c>
      <c r="I541" s="22">
        <v>533</v>
      </c>
    </row>
    <row r="542" spans="1:9" ht="31.5">
      <c r="A542" s="1747" t="s">
        <v>3607</v>
      </c>
      <c r="B542" s="1748" t="s">
        <v>3608</v>
      </c>
      <c r="C542" s="1749" t="s">
        <v>14</v>
      </c>
      <c r="D542" s="678">
        <v>1</v>
      </c>
      <c r="E542" s="1287"/>
      <c r="F542" s="678">
        <v>1627628.27</v>
      </c>
      <c r="G542" s="1750" t="s">
        <v>6470</v>
      </c>
      <c r="H542" s="962" t="str">
        <f>G542</f>
        <v>(壹.一~壹.八)*
[約10.94809484%]</v>
      </c>
      <c r="I542" s="22">
        <v>534</v>
      </c>
    </row>
    <row r="543" spans="1:9">
      <c r="A543" s="1747" t="s">
        <v>3610</v>
      </c>
      <c r="B543" s="1748" t="s">
        <v>3611</v>
      </c>
      <c r="C543" s="1749" t="s">
        <v>14</v>
      </c>
      <c r="D543" s="678">
        <v>1</v>
      </c>
      <c r="E543" s="1287"/>
      <c r="F543" s="678">
        <v>5600</v>
      </c>
      <c r="G543" s="1750" t="s">
        <v>2</v>
      </c>
      <c r="H543" s="962" t="str">
        <f>G543</f>
        <v/>
      </c>
      <c r="I543" s="22">
        <v>535</v>
      </c>
    </row>
    <row r="544" spans="1:9" ht="99.75">
      <c r="A544" s="1747" t="s">
        <v>534</v>
      </c>
      <c r="B544" s="1748" t="s">
        <v>3612</v>
      </c>
      <c r="C544" s="1749" t="s">
        <v>3</v>
      </c>
      <c r="D544" s="678">
        <v>100</v>
      </c>
      <c r="E544" s="1287">
        <v>56</v>
      </c>
      <c r="F544" s="678">
        <v>5600</v>
      </c>
      <c r="G544" s="1750" t="s">
        <v>3613</v>
      </c>
      <c r="H544" s="962" t="str">
        <f>G544</f>
        <v>0225305002
本項單價為固定值(56元/M2)，訂約時不隨折數調整，依實際鑑定戶數計架並檢據核銷(費用不另計稅什費)</v>
      </c>
      <c r="I544" s="22">
        <v>536</v>
      </c>
    </row>
    <row r="545" spans="1:9">
      <c r="A545" s="1747"/>
      <c r="B545" s="662" t="s">
        <v>3614</v>
      </c>
      <c r="C545" s="1749"/>
      <c r="D545" s="678"/>
      <c r="E545" s="1287"/>
      <c r="F545" s="678">
        <v>16500000</v>
      </c>
      <c r="G545" s="1750"/>
      <c r="H545" s="170"/>
      <c r="I545" s="23"/>
    </row>
    <row r="546" spans="1:9">
      <c r="A546" s="1747"/>
      <c r="B546" s="662" t="s">
        <v>3615</v>
      </c>
      <c r="C546" s="1749"/>
      <c r="D546" s="678"/>
      <c r="E546" s="1287"/>
      <c r="F546" s="678">
        <v>16500000</v>
      </c>
      <c r="G546" s="1750"/>
      <c r="H546" s="170"/>
      <c r="I546" s="23"/>
    </row>
    <row r="547" spans="1:9">
      <c r="A547" s="1751" t="s">
        <v>3616</v>
      </c>
      <c r="B547" s="1752"/>
      <c r="C547" s="1753"/>
      <c r="D547" s="1754"/>
      <c r="E547" s="1754"/>
      <c r="F547" s="1754"/>
      <c r="G547" s="1755"/>
      <c r="H547" s="170"/>
      <c r="I547" s="23"/>
    </row>
    <row r="548" spans="1:9" ht="16.5" customHeight="1">
      <c r="A548" s="1756" t="s">
        <v>6471</v>
      </c>
      <c r="B548" s="1757"/>
      <c r="C548" s="1758"/>
      <c r="D548" s="1759"/>
      <c r="E548" s="1759"/>
      <c r="F548" s="1759"/>
      <c r="G548" s="1760"/>
      <c r="H548" s="170"/>
      <c r="I548" s="23"/>
    </row>
    <row r="549" spans="1:9" ht="63">
      <c r="A549" s="156" t="s">
        <v>3607</v>
      </c>
      <c r="B549" s="8" t="s">
        <v>3608</v>
      </c>
      <c r="C549" s="157" t="s">
        <v>14</v>
      </c>
      <c r="D549" s="158">
        <v>1</v>
      </c>
      <c r="E549" s="159"/>
      <c r="F549" s="158">
        <v>2464674.69</v>
      </c>
      <c r="G549" s="160" t="s">
        <v>5484</v>
      </c>
      <c r="H549" s="1272" t="str">
        <f t="shared" ref="H523:H551" si="16">G549</f>
        <v>(壹.一-壹.八*)_x000D_
[約10.88660056%]</v>
      </c>
      <c r="I549" s="667">
        <v>541</v>
      </c>
    </row>
    <row r="550" spans="1:9">
      <c r="A550" s="156" t="s">
        <v>3610</v>
      </c>
      <c r="B550" s="8" t="s">
        <v>3611</v>
      </c>
      <c r="C550" s="157" t="s">
        <v>14</v>
      </c>
      <c r="D550" s="158">
        <v>1</v>
      </c>
      <c r="E550" s="159"/>
      <c r="F550" s="158">
        <v>5600</v>
      </c>
      <c r="G550" s="160" t="s">
        <v>2</v>
      </c>
      <c r="H550" s="1272" t="str">
        <f t="shared" si="16"/>
        <v/>
      </c>
      <c r="I550" s="667">
        <v>542</v>
      </c>
    </row>
    <row r="551" spans="1:9" ht="126">
      <c r="A551" s="161" t="s">
        <v>534</v>
      </c>
      <c r="B551" s="8" t="s">
        <v>3612</v>
      </c>
      <c r="C551" s="157" t="s">
        <v>3</v>
      </c>
      <c r="D551" s="158">
        <v>100</v>
      </c>
      <c r="E551" s="159">
        <v>56</v>
      </c>
      <c r="F551" s="158">
        <v>5600</v>
      </c>
      <c r="G551" s="160" t="s">
        <v>5433</v>
      </c>
      <c r="H551" s="1272" t="str">
        <f t="shared" si="16"/>
        <v>本項單價為固定值(56元/M2)，訂約時不隨折數調整，依實際鑑定戶數計架並檢據核銷(費用不另計稅什費)</v>
      </c>
      <c r="I551" s="667">
        <v>543</v>
      </c>
    </row>
    <row r="552" spans="1:9">
      <c r="A552" s="156"/>
      <c r="B552" s="1266" t="s">
        <v>3614</v>
      </c>
      <c r="C552" s="157"/>
      <c r="D552" s="158"/>
      <c r="E552" s="159"/>
      <c r="F552" s="158">
        <v>25109800</v>
      </c>
      <c r="G552" s="160"/>
    </row>
    <row r="553" spans="1:9">
      <c r="A553" s="156"/>
      <c r="B553" s="1266" t="s">
        <v>3615</v>
      </c>
      <c r="C553" s="157"/>
      <c r="D553" s="158"/>
      <c r="E553" s="159"/>
      <c r="F553" s="158">
        <v>25109800</v>
      </c>
      <c r="G553" s="160"/>
    </row>
    <row r="554" spans="1:9">
      <c r="A554" s="1648" t="s">
        <v>3616</v>
      </c>
      <c r="B554" s="1649"/>
      <c r="C554" s="1649"/>
      <c r="D554" s="1649"/>
      <c r="E554" s="1649"/>
      <c r="F554" s="1649"/>
      <c r="G554" s="1650"/>
    </row>
    <row r="555" spans="1:9" ht="16.5" customHeight="1">
      <c r="A555" s="1651" t="s">
        <v>4868</v>
      </c>
      <c r="B555" s="1652"/>
      <c r="C555" s="1652"/>
      <c r="D555" s="1652"/>
      <c r="E555" s="1652"/>
      <c r="F555" s="1652"/>
      <c r="G555" s="1653"/>
    </row>
  </sheetData>
  <mergeCells count="10">
    <mergeCell ref="A554:G554"/>
    <mergeCell ref="A555:G555"/>
    <mergeCell ref="A1:G1"/>
    <mergeCell ref="A2:G2"/>
    <mergeCell ref="A3:G3"/>
    <mergeCell ref="A5:E5"/>
    <mergeCell ref="F5:G5"/>
    <mergeCell ref="A4:G4"/>
    <mergeCell ref="A547:G547"/>
    <mergeCell ref="A548:G548"/>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1:B8"/>
  <sheetViews>
    <sheetView workbookViewId="0">
      <selection activeCell="F21" sqref="F21"/>
    </sheetView>
  </sheetViews>
  <sheetFormatPr defaultRowHeight="16.5"/>
  <cols>
    <col min="1" max="1" width="10.625" style="1192" customWidth="1"/>
    <col min="2" max="2" width="50.625" style="1191" customWidth="1"/>
    <col min="3" max="16384" width="9" style="1"/>
  </cols>
  <sheetData>
    <row r="1" spans="1:2">
      <c r="A1" s="1194" t="s">
        <v>4340</v>
      </c>
      <c r="B1" s="1196" t="s">
        <v>4335</v>
      </c>
    </row>
    <row r="2" spans="1:2">
      <c r="A2" s="1194" t="s">
        <v>4339</v>
      </c>
      <c r="B2" s="1195" t="s">
        <v>4338</v>
      </c>
    </row>
    <row r="3" spans="1:2">
      <c r="A3" s="1194" t="s">
        <v>4337</v>
      </c>
      <c r="B3" s="1195" t="s">
        <v>2</v>
      </c>
    </row>
    <row r="4" spans="1:2">
      <c r="A4" s="1194" t="s">
        <v>4336</v>
      </c>
      <c r="B4" s="1195" t="s">
        <v>4335</v>
      </c>
    </row>
    <row r="5" spans="1:2">
      <c r="A5" s="1194" t="s">
        <v>4334</v>
      </c>
      <c r="B5" s="1195" t="s">
        <v>4333</v>
      </c>
    </row>
    <row r="6" spans="1:2">
      <c r="A6" s="1194" t="s">
        <v>4332</v>
      </c>
      <c r="B6" s="1193" t="s">
        <v>4331</v>
      </c>
    </row>
    <row r="7" spans="1:2">
      <c r="A7" s="1194" t="s">
        <v>4330</v>
      </c>
      <c r="B7" s="1193" t="s">
        <v>2</v>
      </c>
    </row>
    <row r="8" spans="1:2">
      <c r="A8" s="1194" t="s">
        <v>4329</v>
      </c>
      <c r="B8" s="1193" t="s">
        <v>4328</v>
      </c>
    </row>
  </sheetData>
  <phoneticPr fontId="3" type="noConversion"/>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3">
    <tabColor theme="5" tint="0.59999389629810485"/>
  </sheetPr>
  <dimension ref="A1:I3338"/>
  <sheetViews>
    <sheetView zoomScaleNormal="100" zoomScaleSheetLayoutView="100" workbookViewId="0">
      <selection activeCell="B8" sqref="B8"/>
    </sheetView>
  </sheetViews>
  <sheetFormatPr defaultColWidth="8.5" defaultRowHeight="12.75" customHeight="1"/>
  <cols>
    <col min="1" max="1" width="7.875" style="162" customWidth="1"/>
    <col min="2" max="2" width="24.375" style="162" customWidth="1"/>
    <col min="3" max="3" width="5.5" style="162" customWidth="1"/>
    <col min="4" max="4" width="8.875" style="162" customWidth="1"/>
    <col min="5" max="5" width="9.875" style="162" customWidth="1"/>
    <col min="6" max="6" width="9" style="165" customWidth="1"/>
    <col min="7" max="7" width="14.625" style="165" customWidth="1"/>
    <col min="8" max="8" width="0.75" style="31" customWidth="1"/>
    <col min="9" max="16384" width="8.5" style="32"/>
  </cols>
  <sheetData>
    <row r="1" spans="1:8" ht="30.75" customHeight="1">
      <c r="A1" s="1654" t="s">
        <v>914</v>
      </c>
      <c r="B1" s="1654"/>
      <c r="C1" s="1654"/>
      <c r="D1" s="1654"/>
      <c r="E1" s="1654"/>
      <c r="F1" s="1654"/>
      <c r="G1" s="1654"/>
    </row>
    <row r="2" spans="1:8" ht="20.25" customHeight="1">
      <c r="A2" s="1654" t="s">
        <v>915</v>
      </c>
      <c r="B2" s="1654"/>
      <c r="C2" s="1654"/>
      <c r="D2" s="1654"/>
      <c r="E2" s="1654"/>
      <c r="F2" s="1654"/>
      <c r="G2" s="1654"/>
    </row>
    <row r="3" spans="1:8" ht="16.5" customHeight="1">
      <c r="A3" s="1658"/>
      <c r="B3" s="1658"/>
      <c r="C3" s="1658"/>
      <c r="D3" s="1658"/>
      <c r="E3" s="1658"/>
      <c r="F3" s="1658"/>
      <c r="G3" s="1658"/>
    </row>
    <row r="4" spans="1:8" ht="16.5" customHeight="1">
      <c r="A4" s="1659" t="s">
        <v>5060</v>
      </c>
      <c r="B4" s="1659"/>
      <c r="C4" s="1659"/>
      <c r="D4" s="1659"/>
      <c r="E4" s="1659"/>
      <c r="F4" s="1659"/>
      <c r="G4" s="1659"/>
    </row>
    <row r="5" spans="1:8" s="33" customFormat="1" ht="17.25" customHeight="1">
      <c r="A5" s="1659" t="s">
        <v>5061</v>
      </c>
      <c r="B5" s="1659"/>
      <c r="C5" s="1659"/>
      <c r="D5" s="1659"/>
      <c r="E5" s="1659"/>
      <c r="F5" s="1659"/>
      <c r="G5" s="1659"/>
    </row>
    <row r="6" spans="1:8" s="31" customFormat="1" ht="18" customHeight="1">
      <c r="A6" s="151" t="s">
        <v>10</v>
      </c>
      <c r="B6" s="152" t="s">
        <v>917</v>
      </c>
      <c r="C6" s="152" t="s">
        <v>12</v>
      </c>
      <c r="D6" s="152" t="s">
        <v>11</v>
      </c>
      <c r="E6" s="154" t="s">
        <v>918</v>
      </c>
      <c r="F6" s="154" t="s">
        <v>919</v>
      </c>
      <c r="G6" s="152" t="s">
        <v>920</v>
      </c>
      <c r="H6" s="31" t="s">
        <v>921</v>
      </c>
    </row>
    <row r="7" spans="1:8" ht="33">
      <c r="A7" s="160" t="s">
        <v>922</v>
      </c>
      <c r="B7" s="160" t="s">
        <v>923</v>
      </c>
      <c r="C7" s="157" t="s">
        <v>0</v>
      </c>
      <c r="D7" s="159">
        <v>100</v>
      </c>
      <c r="E7" s="159">
        <v>980.39</v>
      </c>
      <c r="F7" s="159"/>
      <c r="G7" s="160" t="s">
        <v>2</v>
      </c>
      <c r="H7" s="34" t="s">
        <v>925</v>
      </c>
    </row>
    <row r="8" spans="1:8" ht="33">
      <c r="A8" s="160">
        <v>1</v>
      </c>
      <c r="B8" s="160" t="s">
        <v>926</v>
      </c>
      <c r="C8" s="157" t="s">
        <v>927</v>
      </c>
      <c r="D8" s="159">
        <v>40</v>
      </c>
      <c r="E8" s="159">
        <v>1203.28</v>
      </c>
      <c r="F8" s="159">
        <v>48131.199999999997</v>
      </c>
      <c r="G8" s="160" t="s">
        <v>2</v>
      </c>
      <c r="H8" s="34" t="s">
        <v>925</v>
      </c>
    </row>
    <row r="9" spans="1:8" ht="33">
      <c r="A9" s="160">
        <v>2</v>
      </c>
      <c r="B9" s="160" t="s">
        <v>929</v>
      </c>
      <c r="C9" s="157" t="s">
        <v>927</v>
      </c>
      <c r="D9" s="159">
        <v>5</v>
      </c>
      <c r="E9" s="159">
        <v>1388.4</v>
      </c>
      <c r="F9" s="159">
        <v>6942</v>
      </c>
      <c r="G9" s="160" t="s">
        <v>2</v>
      </c>
      <c r="H9" s="34" t="s">
        <v>925</v>
      </c>
    </row>
    <row r="10" spans="1:8" ht="33">
      <c r="A10" s="160">
        <v>3</v>
      </c>
      <c r="B10" s="160" t="s">
        <v>4869</v>
      </c>
      <c r="C10" s="157" t="s">
        <v>927</v>
      </c>
      <c r="D10" s="159">
        <v>45</v>
      </c>
      <c r="E10" s="159">
        <v>371.17</v>
      </c>
      <c r="F10" s="159">
        <v>16702.650000000001</v>
      </c>
      <c r="G10" s="160" t="s">
        <v>5434</v>
      </c>
      <c r="H10" s="34" t="s">
        <v>925</v>
      </c>
    </row>
    <row r="11" spans="1:8" ht="33">
      <c r="A11" s="160">
        <v>4</v>
      </c>
      <c r="B11" s="160" t="s">
        <v>4871</v>
      </c>
      <c r="C11" s="157" t="s">
        <v>927</v>
      </c>
      <c r="D11" s="159">
        <v>90</v>
      </c>
      <c r="E11" s="159">
        <v>260.08999999999997</v>
      </c>
      <c r="F11" s="159">
        <v>23408.1</v>
      </c>
      <c r="G11" s="160" t="s">
        <v>5435</v>
      </c>
      <c r="H11" s="34" t="s">
        <v>925</v>
      </c>
    </row>
    <row r="12" spans="1:8" ht="33">
      <c r="A12" s="160">
        <v>5</v>
      </c>
      <c r="B12" s="160" t="s">
        <v>931</v>
      </c>
      <c r="C12" s="157" t="s">
        <v>14</v>
      </c>
      <c r="D12" s="159">
        <v>1</v>
      </c>
      <c r="E12" s="159">
        <v>2855.52</v>
      </c>
      <c r="F12" s="159">
        <v>2855.52</v>
      </c>
      <c r="G12" s="160" t="s">
        <v>2</v>
      </c>
      <c r="H12" s="34" t="s">
        <v>925</v>
      </c>
    </row>
    <row r="13" spans="1:8" ht="33">
      <c r="A13" s="160"/>
      <c r="B13" s="160" t="s">
        <v>933</v>
      </c>
      <c r="C13" s="157" t="s">
        <v>0</v>
      </c>
      <c r="D13" s="159">
        <v>100</v>
      </c>
      <c r="E13" s="159"/>
      <c r="F13" s="159">
        <v>98039.470000000016</v>
      </c>
      <c r="G13" s="160"/>
      <c r="H13" s="34" t="s">
        <v>925</v>
      </c>
    </row>
    <row r="14" spans="1:8" ht="33">
      <c r="A14" s="160"/>
      <c r="B14" s="160" t="s">
        <v>934</v>
      </c>
      <c r="C14" s="157" t="s">
        <v>0</v>
      </c>
      <c r="D14" s="159"/>
      <c r="E14" s="159"/>
      <c r="F14" s="159">
        <v>980.39</v>
      </c>
      <c r="G14" s="160"/>
      <c r="H14" s="34" t="s">
        <v>925</v>
      </c>
    </row>
    <row r="15" spans="1:8" ht="16.5">
      <c r="A15" s="160"/>
      <c r="B15" s="160"/>
      <c r="C15" s="157"/>
      <c r="D15" s="159"/>
      <c r="E15" s="159"/>
      <c r="F15" s="159"/>
      <c r="G15" s="160"/>
    </row>
    <row r="16" spans="1:8" ht="33">
      <c r="A16" s="160" t="s">
        <v>935</v>
      </c>
      <c r="B16" s="160" t="s">
        <v>936</v>
      </c>
      <c r="C16" s="157" t="s">
        <v>0</v>
      </c>
      <c r="D16" s="159">
        <v>100</v>
      </c>
      <c r="E16" s="159">
        <v>635.20000000000005</v>
      </c>
      <c r="F16" s="159"/>
      <c r="G16" s="160" t="s">
        <v>2</v>
      </c>
      <c r="H16" s="34" t="s">
        <v>925</v>
      </c>
    </row>
    <row r="17" spans="1:8" ht="33">
      <c r="A17" s="160">
        <v>1</v>
      </c>
      <c r="B17" s="160" t="s">
        <v>926</v>
      </c>
      <c r="C17" s="157" t="s">
        <v>927</v>
      </c>
      <c r="D17" s="159">
        <v>24</v>
      </c>
      <c r="E17" s="159">
        <v>1203.28</v>
      </c>
      <c r="F17" s="159">
        <v>28878.720000000001</v>
      </c>
      <c r="G17" s="160" t="s">
        <v>2</v>
      </c>
      <c r="H17" s="34" t="s">
        <v>925</v>
      </c>
    </row>
    <row r="18" spans="1:8" ht="33">
      <c r="A18" s="160">
        <v>2</v>
      </c>
      <c r="B18" s="160" t="s">
        <v>929</v>
      </c>
      <c r="C18" s="157" t="s">
        <v>927</v>
      </c>
      <c r="D18" s="159">
        <v>5</v>
      </c>
      <c r="E18" s="159">
        <v>1388.4</v>
      </c>
      <c r="F18" s="159">
        <v>6942</v>
      </c>
      <c r="G18" s="160" t="s">
        <v>2</v>
      </c>
      <c r="H18" s="34" t="s">
        <v>925</v>
      </c>
    </row>
    <row r="19" spans="1:8" ht="33">
      <c r="A19" s="160">
        <v>3</v>
      </c>
      <c r="B19" s="160" t="s">
        <v>4869</v>
      </c>
      <c r="C19" s="157" t="s">
        <v>927</v>
      </c>
      <c r="D19" s="159">
        <v>29</v>
      </c>
      <c r="E19" s="159">
        <v>371.17</v>
      </c>
      <c r="F19" s="159">
        <v>10763.93</v>
      </c>
      <c r="G19" s="160" t="s">
        <v>5434</v>
      </c>
      <c r="H19" s="34" t="s">
        <v>925</v>
      </c>
    </row>
    <row r="20" spans="1:8" ht="33">
      <c r="A20" s="160">
        <v>4</v>
      </c>
      <c r="B20" s="160" t="s">
        <v>4871</v>
      </c>
      <c r="C20" s="157" t="s">
        <v>927</v>
      </c>
      <c r="D20" s="159">
        <v>58</v>
      </c>
      <c r="E20" s="159">
        <v>260.08999999999997</v>
      </c>
      <c r="F20" s="159">
        <v>15085.22</v>
      </c>
      <c r="G20" s="160" t="s">
        <v>5435</v>
      </c>
      <c r="H20" s="34" t="s">
        <v>925</v>
      </c>
    </row>
    <row r="21" spans="1:8" ht="33">
      <c r="A21" s="160">
        <v>5</v>
      </c>
      <c r="B21" s="160" t="s">
        <v>931</v>
      </c>
      <c r="C21" s="157" t="s">
        <v>14</v>
      </c>
      <c r="D21" s="159">
        <v>1</v>
      </c>
      <c r="E21" s="159">
        <v>1850.1</v>
      </c>
      <c r="F21" s="159">
        <v>1850.1</v>
      </c>
      <c r="G21" s="160" t="s">
        <v>2</v>
      </c>
      <c r="H21" s="34" t="s">
        <v>925</v>
      </c>
    </row>
    <row r="22" spans="1:8" ht="33">
      <c r="A22" s="160"/>
      <c r="B22" s="160" t="s">
        <v>933</v>
      </c>
      <c r="C22" s="157" t="s">
        <v>0</v>
      </c>
      <c r="D22" s="159">
        <v>100</v>
      </c>
      <c r="E22" s="159"/>
      <c r="F22" s="159">
        <v>63519.97</v>
      </c>
      <c r="G22" s="160"/>
      <c r="H22" s="34" t="s">
        <v>925</v>
      </c>
    </row>
    <row r="23" spans="1:8" ht="33">
      <c r="A23" s="160"/>
      <c r="B23" s="160" t="s">
        <v>934</v>
      </c>
      <c r="C23" s="157" t="s">
        <v>0</v>
      </c>
      <c r="D23" s="159"/>
      <c r="E23" s="159"/>
      <c r="F23" s="159">
        <v>635.20000000000005</v>
      </c>
      <c r="G23" s="160"/>
      <c r="H23" s="34" t="s">
        <v>925</v>
      </c>
    </row>
    <row r="24" spans="1:8" ht="16.5">
      <c r="A24" s="160"/>
      <c r="B24" s="160"/>
      <c r="C24" s="157"/>
      <c r="D24" s="159"/>
      <c r="E24" s="159"/>
      <c r="F24" s="159"/>
      <c r="G24" s="160"/>
    </row>
    <row r="25" spans="1:8" ht="33">
      <c r="A25" s="160" t="s">
        <v>938</v>
      </c>
      <c r="B25" s="160" t="s">
        <v>4416</v>
      </c>
      <c r="C25" s="157" t="s">
        <v>0</v>
      </c>
      <c r="D25" s="159">
        <v>100</v>
      </c>
      <c r="E25" s="159">
        <v>1602.57</v>
      </c>
      <c r="F25" s="159"/>
      <c r="G25" s="160" t="s">
        <v>2</v>
      </c>
      <c r="H25" s="34" t="s">
        <v>925</v>
      </c>
    </row>
    <row r="26" spans="1:8" ht="33">
      <c r="A26" s="160">
        <v>1</v>
      </c>
      <c r="B26" s="160" t="s">
        <v>926</v>
      </c>
      <c r="C26" s="157" t="s">
        <v>927</v>
      </c>
      <c r="D26" s="159">
        <v>46</v>
      </c>
      <c r="E26" s="159">
        <v>1203.28</v>
      </c>
      <c r="F26" s="159">
        <v>55350.879999999997</v>
      </c>
      <c r="G26" s="160" t="s">
        <v>2</v>
      </c>
      <c r="H26" s="34" t="s">
        <v>925</v>
      </c>
    </row>
    <row r="27" spans="1:8" ht="33">
      <c r="A27" s="160">
        <v>2</v>
      </c>
      <c r="B27" s="160" t="s">
        <v>929</v>
      </c>
      <c r="C27" s="157" t="s">
        <v>927</v>
      </c>
      <c r="D27" s="159">
        <v>5.75</v>
      </c>
      <c r="E27" s="159">
        <v>1388.4</v>
      </c>
      <c r="F27" s="159">
        <v>7983.3</v>
      </c>
      <c r="G27" s="160" t="s">
        <v>2</v>
      </c>
      <c r="H27" s="34" t="s">
        <v>925</v>
      </c>
    </row>
    <row r="28" spans="1:8" ht="33">
      <c r="A28" s="160">
        <v>3</v>
      </c>
      <c r="B28" s="160" t="s">
        <v>4046</v>
      </c>
      <c r="C28" s="157" t="s">
        <v>927</v>
      </c>
      <c r="D28" s="159">
        <v>51.75</v>
      </c>
      <c r="E28" s="159">
        <v>742.33</v>
      </c>
      <c r="F28" s="159">
        <v>38415.58</v>
      </c>
      <c r="G28" s="160" t="s">
        <v>2</v>
      </c>
      <c r="H28" s="34" t="s">
        <v>925</v>
      </c>
    </row>
    <row r="29" spans="1:8" ht="33">
      <c r="A29" s="160">
        <v>4</v>
      </c>
      <c r="B29" s="160" t="s">
        <v>4874</v>
      </c>
      <c r="C29" s="157" t="s">
        <v>927</v>
      </c>
      <c r="D29" s="159">
        <v>103.5</v>
      </c>
      <c r="E29" s="159">
        <v>520.19000000000005</v>
      </c>
      <c r="F29" s="159">
        <v>53839.67</v>
      </c>
      <c r="G29" s="160" t="s">
        <v>5436</v>
      </c>
      <c r="H29" s="34" t="s">
        <v>925</v>
      </c>
    </row>
    <row r="30" spans="1:8" ht="33">
      <c r="A30" s="160">
        <v>5</v>
      </c>
      <c r="B30" s="160" t="s">
        <v>931</v>
      </c>
      <c r="C30" s="157" t="s">
        <v>14</v>
      </c>
      <c r="D30" s="159">
        <v>1</v>
      </c>
      <c r="E30" s="159">
        <v>4667.68</v>
      </c>
      <c r="F30" s="159">
        <v>4667.68</v>
      </c>
      <c r="G30" s="160" t="s">
        <v>2</v>
      </c>
      <c r="H30" s="34" t="s">
        <v>925</v>
      </c>
    </row>
    <row r="31" spans="1:8" ht="33">
      <c r="A31" s="160"/>
      <c r="B31" s="160" t="s">
        <v>933</v>
      </c>
      <c r="C31" s="157" t="s">
        <v>0</v>
      </c>
      <c r="D31" s="159">
        <v>100</v>
      </c>
      <c r="E31" s="159"/>
      <c r="F31" s="159">
        <v>160257.10999999999</v>
      </c>
      <c r="G31" s="160"/>
      <c r="H31" s="34" t="s">
        <v>925</v>
      </c>
    </row>
    <row r="32" spans="1:8" ht="33">
      <c r="A32" s="160"/>
      <c r="B32" s="160" t="s">
        <v>934</v>
      </c>
      <c r="C32" s="157" t="s">
        <v>0</v>
      </c>
      <c r="D32" s="159"/>
      <c r="E32" s="159"/>
      <c r="F32" s="159">
        <v>1602.57</v>
      </c>
      <c r="G32" s="160"/>
      <c r="H32" s="34" t="s">
        <v>925</v>
      </c>
    </row>
    <row r="33" spans="1:8" ht="33">
      <c r="A33" s="160"/>
      <c r="B33" s="160"/>
      <c r="C33" s="157"/>
      <c r="D33" s="159"/>
      <c r="E33" s="159"/>
      <c r="F33" s="159"/>
      <c r="G33" s="160"/>
      <c r="H33" s="34" t="s">
        <v>925</v>
      </c>
    </row>
    <row r="34" spans="1:8" ht="33">
      <c r="A34" s="160" t="s">
        <v>949</v>
      </c>
      <c r="B34" s="160" t="s">
        <v>953</v>
      </c>
      <c r="C34" s="157" t="s">
        <v>0</v>
      </c>
      <c r="D34" s="159">
        <v>1</v>
      </c>
      <c r="E34" s="159">
        <v>4071.97</v>
      </c>
      <c r="F34" s="159"/>
      <c r="G34" s="160" t="s">
        <v>2</v>
      </c>
      <c r="H34" s="34" t="s">
        <v>925</v>
      </c>
    </row>
    <row r="35" spans="1:8" ht="33">
      <c r="A35" s="160">
        <v>1</v>
      </c>
      <c r="B35" s="160" t="s">
        <v>4871</v>
      </c>
      <c r="C35" s="157" t="s">
        <v>927</v>
      </c>
      <c r="D35" s="159">
        <v>15.2</v>
      </c>
      <c r="E35" s="159">
        <v>260.08999999999997</v>
      </c>
      <c r="F35" s="159">
        <v>3953.37</v>
      </c>
      <c r="G35" s="160" t="s">
        <v>5435</v>
      </c>
      <c r="H35" s="34" t="s">
        <v>925</v>
      </c>
    </row>
    <row r="36" spans="1:8" ht="16.5">
      <c r="A36" s="160">
        <v>2</v>
      </c>
      <c r="B36" s="160" t="s">
        <v>955</v>
      </c>
      <c r="C36" s="157" t="s">
        <v>14</v>
      </c>
      <c r="D36" s="159">
        <v>1</v>
      </c>
      <c r="E36" s="159">
        <v>118.6</v>
      </c>
      <c r="F36" s="159">
        <v>118.6</v>
      </c>
      <c r="G36" s="160" t="s">
        <v>2</v>
      </c>
    </row>
    <row r="37" spans="1:8" ht="33">
      <c r="A37" s="160"/>
      <c r="B37" s="160" t="s">
        <v>933</v>
      </c>
      <c r="C37" s="157" t="s">
        <v>0</v>
      </c>
      <c r="D37" s="159">
        <v>1</v>
      </c>
      <c r="E37" s="159"/>
      <c r="F37" s="159">
        <v>4071.97</v>
      </c>
      <c r="G37" s="160"/>
      <c r="H37" s="34" t="s">
        <v>925</v>
      </c>
    </row>
    <row r="38" spans="1:8" ht="33">
      <c r="A38" s="160"/>
      <c r="B38" s="160" t="s">
        <v>934</v>
      </c>
      <c r="C38" s="157" t="s">
        <v>0</v>
      </c>
      <c r="D38" s="159"/>
      <c r="E38" s="159"/>
      <c r="F38" s="159">
        <v>4071.97</v>
      </c>
      <c r="G38" s="160"/>
      <c r="H38" s="34" t="s">
        <v>925</v>
      </c>
    </row>
    <row r="39" spans="1:8" ht="33">
      <c r="A39" s="160"/>
      <c r="B39" s="160"/>
      <c r="C39" s="157"/>
      <c r="D39" s="159"/>
      <c r="E39" s="159"/>
      <c r="F39" s="159"/>
      <c r="G39" s="160"/>
      <c r="H39" s="34" t="s">
        <v>925</v>
      </c>
    </row>
    <row r="40" spans="1:8" ht="42.75">
      <c r="A40" s="160" t="s">
        <v>952</v>
      </c>
      <c r="B40" s="160" t="s">
        <v>953</v>
      </c>
      <c r="C40" s="157" t="s">
        <v>0</v>
      </c>
      <c r="D40" s="159">
        <v>1</v>
      </c>
      <c r="E40" s="159">
        <v>5416.79</v>
      </c>
      <c r="F40" s="159"/>
      <c r="G40" s="160" t="s">
        <v>4365</v>
      </c>
      <c r="H40" s="34" t="s">
        <v>925</v>
      </c>
    </row>
    <row r="41" spans="1:8" ht="33">
      <c r="A41" s="160">
        <v>1</v>
      </c>
      <c r="B41" s="160" t="s">
        <v>4871</v>
      </c>
      <c r="C41" s="157" t="s">
        <v>927</v>
      </c>
      <c r="D41" s="159">
        <v>20.22</v>
      </c>
      <c r="E41" s="159">
        <v>260.08999999999997</v>
      </c>
      <c r="F41" s="159">
        <v>5259.02</v>
      </c>
      <c r="G41" s="160" t="s">
        <v>5435</v>
      </c>
      <c r="H41" s="34" t="s">
        <v>925</v>
      </c>
    </row>
    <row r="42" spans="1:8" ht="33">
      <c r="A42" s="160">
        <v>2</v>
      </c>
      <c r="B42" s="160" t="s">
        <v>955</v>
      </c>
      <c r="C42" s="157" t="s">
        <v>14</v>
      </c>
      <c r="D42" s="159">
        <v>1</v>
      </c>
      <c r="E42" s="159">
        <v>157.77000000000001</v>
      </c>
      <c r="F42" s="159">
        <v>157.77000000000001</v>
      </c>
      <c r="G42" s="160" t="s">
        <v>2</v>
      </c>
      <c r="H42" s="34" t="s">
        <v>925</v>
      </c>
    </row>
    <row r="43" spans="1:8" ht="16.5">
      <c r="A43" s="160"/>
      <c r="B43" s="160" t="s">
        <v>933</v>
      </c>
      <c r="C43" s="157" t="s">
        <v>0</v>
      </c>
      <c r="D43" s="159">
        <v>1</v>
      </c>
      <c r="E43" s="159"/>
      <c r="F43" s="159">
        <v>5416.7900000000009</v>
      </c>
      <c r="G43" s="160"/>
    </row>
    <row r="44" spans="1:8" ht="33">
      <c r="A44" s="160"/>
      <c r="B44" s="160" t="s">
        <v>934</v>
      </c>
      <c r="C44" s="157" t="s">
        <v>0</v>
      </c>
      <c r="D44" s="159"/>
      <c r="E44" s="159"/>
      <c r="F44" s="159">
        <v>5416.79</v>
      </c>
      <c r="G44" s="160"/>
      <c r="H44" s="34" t="s">
        <v>925</v>
      </c>
    </row>
    <row r="45" spans="1:8" ht="33">
      <c r="A45" s="160"/>
      <c r="B45" s="160"/>
      <c r="C45" s="157"/>
      <c r="D45" s="159"/>
      <c r="E45" s="159"/>
      <c r="F45" s="159"/>
      <c r="G45" s="160"/>
      <c r="H45" s="34" t="s">
        <v>925</v>
      </c>
    </row>
    <row r="46" spans="1:8" ht="33">
      <c r="A46" s="160" t="s">
        <v>957</v>
      </c>
      <c r="B46" s="160" t="s">
        <v>453</v>
      </c>
      <c r="C46" s="157" t="s">
        <v>0</v>
      </c>
      <c r="D46" s="159">
        <v>1</v>
      </c>
      <c r="E46" s="159">
        <v>5250.69</v>
      </c>
      <c r="F46" s="159"/>
      <c r="G46" s="160" t="s">
        <v>2</v>
      </c>
      <c r="H46" s="34" t="s">
        <v>925</v>
      </c>
    </row>
    <row r="47" spans="1:8" ht="33">
      <c r="A47" s="160">
        <v>1</v>
      </c>
      <c r="B47" s="160" t="s">
        <v>4871</v>
      </c>
      <c r="C47" s="157" t="s">
        <v>927</v>
      </c>
      <c r="D47" s="159">
        <v>19.600000000000001</v>
      </c>
      <c r="E47" s="159">
        <v>260.08999999999997</v>
      </c>
      <c r="F47" s="159">
        <v>5097.76</v>
      </c>
      <c r="G47" s="160" t="s">
        <v>2</v>
      </c>
      <c r="H47" s="34" t="s">
        <v>925</v>
      </c>
    </row>
    <row r="48" spans="1:8" ht="33">
      <c r="A48" s="160">
        <v>2</v>
      </c>
      <c r="B48" s="160" t="s">
        <v>955</v>
      </c>
      <c r="C48" s="157" t="s">
        <v>14</v>
      </c>
      <c r="D48" s="159">
        <v>1</v>
      </c>
      <c r="E48" s="159">
        <v>152.93</v>
      </c>
      <c r="F48" s="159">
        <v>152.93</v>
      </c>
      <c r="G48" s="160" t="s">
        <v>2</v>
      </c>
      <c r="H48" s="34" t="s">
        <v>925</v>
      </c>
    </row>
    <row r="49" spans="1:8" ht="16.5">
      <c r="A49" s="160"/>
      <c r="B49" s="160" t="s">
        <v>933</v>
      </c>
      <c r="C49" s="157" t="s">
        <v>0</v>
      </c>
      <c r="D49" s="159">
        <v>1</v>
      </c>
      <c r="E49" s="159"/>
      <c r="F49" s="159">
        <v>5250.6900000000005</v>
      </c>
      <c r="G49" s="160"/>
    </row>
    <row r="50" spans="1:8" ht="33">
      <c r="A50" s="160"/>
      <c r="B50" s="160" t="s">
        <v>934</v>
      </c>
      <c r="C50" s="157" t="s">
        <v>0</v>
      </c>
      <c r="D50" s="159"/>
      <c r="E50" s="159"/>
      <c r="F50" s="159">
        <v>5250.69</v>
      </c>
      <c r="G50" s="160"/>
      <c r="H50" s="34" t="s">
        <v>925</v>
      </c>
    </row>
    <row r="51" spans="1:8" ht="33">
      <c r="A51" s="160"/>
      <c r="B51" s="160"/>
      <c r="C51" s="157"/>
      <c r="D51" s="159"/>
      <c r="E51" s="159"/>
      <c r="F51" s="159"/>
      <c r="G51" s="160"/>
      <c r="H51" s="34" t="s">
        <v>925</v>
      </c>
    </row>
    <row r="52" spans="1:8" ht="42.75">
      <c r="A52" s="160" t="s">
        <v>960</v>
      </c>
      <c r="B52" s="160" t="s">
        <v>453</v>
      </c>
      <c r="C52" s="157" t="s">
        <v>0</v>
      </c>
      <c r="D52" s="159">
        <v>1</v>
      </c>
      <c r="E52" s="159">
        <v>6983.97</v>
      </c>
      <c r="F52" s="159"/>
      <c r="G52" s="160" t="s">
        <v>4365</v>
      </c>
      <c r="H52" s="34" t="s">
        <v>925</v>
      </c>
    </row>
    <row r="53" spans="1:8" ht="33">
      <c r="A53" s="160">
        <v>1</v>
      </c>
      <c r="B53" s="160" t="s">
        <v>4871</v>
      </c>
      <c r="C53" s="157" t="s">
        <v>927</v>
      </c>
      <c r="D53" s="159">
        <v>26.07</v>
      </c>
      <c r="E53" s="159">
        <v>260.08999999999997</v>
      </c>
      <c r="F53" s="159">
        <v>6780.55</v>
      </c>
      <c r="G53" s="160" t="s">
        <v>5435</v>
      </c>
      <c r="H53" s="34" t="s">
        <v>925</v>
      </c>
    </row>
    <row r="54" spans="1:8" ht="33">
      <c r="A54" s="160">
        <v>2</v>
      </c>
      <c r="B54" s="160" t="s">
        <v>955</v>
      </c>
      <c r="C54" s="157" t="s">
        <v>14</v>
      </c>
      <c r="D54" s="159">
        <v>1</v>
      </c>
      <c r="E54" s="159">
        <v>203.42</v>
      </c>
      <c r="F54" s="159">
        <v>203.42</v>
      </c>
      <c r="G54" s="160" t="s">
        <v>2</v>
      </c>
      <c r="H54" s="34" t="s">
        <v>925</v>
      </c>
    </row>
    <row r="55" spans="1:8" ht="16.5">
      <c r="A55" s="160"/>
      <c r="B55" s="160" t="s">
        <v>933</v>
      </c>
      <c r="C55" s="157" t="s">
        <v>0</v>
      </c>
      <c r="D55" s="159">
        <v>1</v>
      </c>
      <c r="E55" s="159"/>
      <c r="F55" s="159">
        <v>6983.97</v>
      </c>
      <c r="G55" s="160"/>
    </row>
    <row r="56" spans="1:8" ht="33">
      <c r="A56" s="160"/>
      <c r="B56" s="160" t="s">
        <v>934</v>
      </c>
      <c r="C56" s="157" t="s">
        <v>0</v>
      </c>
      <c r="D56" s="159"/>
      <c r="E56" s="159"/>
      <c r="F56" s="159">
        <v>6983.97</v>
      </c>
      <c r="G56" s="160"/>
      <c r="H56" s="34" t="s">
        <v>925</v>
      </c>
    </row>
    <row r="57" spans="1:8" ht="33">
      <c r="A57" s="160"/>
      <c r="B57" s="160"/>
      <c r="C57" s="157"/>
      <c r="D57" s="159"/>
      <c r="E57" s="159"/>
      <c r="F57" s="159"/>
      <c r="G57" s="160"/>
      <c r="H57" s="34" t="s">
        <v>925</v>
      </c>
    </row>
    <row r="58" spans="1:8" ht="33">
      <c r="A58" s="160" t="s">
        <v>963</v>
      </c>
      <c r="B58" s="160" t="s">
        <v>2234</v>
      </c>
      <c r="C58" s="157" t="s">
        <v>0</v>
      </c>
      <c r="D58" s="159">
        <v>1</v>
      </c>
      <c r="E58" s="159">
        <v>12076.83</v>
      </c>
      <c r="F58" s="159"/>
      <c r="G58" s="160" t="s">
        <v>2</v>
      </c>
      <c r="H58" s="34" t="s">
        <v>925</v>
      </c>
    </row>
    <row r="59" spans="1:8" ht="33">
      <c r="A59" s="160">
        <v>1</v>
      </c>
      <c r="B59" s="160" t="s">
        <v>4874</v>
      </c>
      <c r="C59" s="157" t="s">
        <v>927</v>
      </c>
      <c r="D59" s="159">
        <v>22.54</v>
      </c>
      <c r="E59" s="159">
        <v>520.19000000000005</v>
      </c>
      <c r="F59" s="159">
        <v>11725.08</v>
      </c>
      <c r="G59" s="160" t="s">
        <v>5436</v>
      </c>
      <c r="H59" s="34" t="s">
        <v>925</v>
      </c>
    </row>
    <row r="60" spans="1:8" ht="33">
      <c r="A60" s="160">
        <v>2</v>
      </c>
      <c r="B60" s="160" t="s">
        <v>955</v>
      </c>
      <c r="C60" s="157" t="s">
        <v>14</v>
      </c>
      <c r="D60" s="159">
        <v>1</v>
      </c>
      <c r="E60" s="159">
        <v>351.75</v>
      </c>
      <c r="F60" s="159">
        <v>351.75</v>
      </c>
      <c r="G60" s="160" t="s">
        <v>2</v>
      </c>
      <c r="H60" s="34" t="s">
        <v>925</v>
      </c>
    </row>
    <row r="61" spans="1:8" ht="33">
      <c r="A61" s="160"/>
      <c r="B61" s="160" t="s">
        <v>933</v>
      </c>
      <c r="C61" s="157" t="s">
        <v>0</v>
      </c>
      <c r="D61" s="159">
        <v>1</v>
      </c>
      <c r="E61" s="159"/>
      <c r="F61" s="159">
        <v>12076.83</v>
      </c>
      <c r="G61" s="160"/>
      <c r="H61" s="34" t="s">
        <v>925</v>
      </c>
    </row>
    <row r="62" spans="1:8" ht="33">
      <c r="A62" s="160"/>
      <c r="B62" s="160" t="s">
        <v>934</v>
      </c>
      <c r="C62" s="157" t="s">
        <v>0</v>
      </c>
      <c r="D62" s="159"/>
      <c r="E62" s="159"/>
      <c r="F62" s="159">
        <v>12076.83</v>
      </c>
      <c r="G62" s="160"/>
      <c r="H62" s="34" t="s">
        <v>925</v>
      </c>
    </row>
    <row r="63" spans="1:8" ht="33">
      <c r="A63" s="160"/>
      <c r="B63" s="160"/>
      <c r="C63" s="157"/>
      <c r="D63" s="159"/>
      <c r="E63" s="159"/>
      <c r="F63" s="159"/>
      <c r="G63" s="160"/>
      <c r="H63" s="34" t="s">
        <v>925</v>
      </c>
    </row>
    <row r="64" spans="1:8" ht="42.75">
      <c r="A64" s="160" t="s">
        <v>966</v>
      </c>
      <c r="B64" s="160" t="s">
        <v>939</v>
      </c>
      <c r="C64" s="157" t="s">
        <v>1</v>
      </c>
      <c r="D64" s="159">
        <v>100</v>
      </c>
      <c r="E64" s="159">
        <v>1305.76</v>
      </c>
      <c r="F64" s="159"/>
      <c r="G64" s="160" t="s">
        <v>2</v>
      </c>
      <c r="H64" s="34" t="s">
        <v>925</v>
      </c>
    </row>
    <row r="65" spans="1:8" ht="33">
      <c r="A65" s="160">
        <v>1</v>
      </c>
      <c r="B65" s="160" t="s">
        <v>941</v>
      </c>
      <c r="C65" s="157" t="s">
        <v>927</v>
      </c>
      <c r="D65" s="159">
        <v>18</v>
      </c>
      <c r="E65" s="159">
        <v>319.33</v>
      </c>
      <c r="F65" s="159">
        <v>5747.94</v>
      </c>
      <c r="G65" s="160" t="s">
        <v>2</v>
      </c>
      <c r="H65" s="34" t="s">
        <v>925</v>
      </c>
    </row>
    <row r="66" spans="1:8" ht="33">
      <c r="A66" s="160">
        <v>2</v>
      </c>
      <c r="B66" s="160" t="s">
        <v>943</v>
      </c>
      <c r="C66" s="157" t="s">
        <v>927</v>
      </c>
      <c r="D66" s="159">
        <v>90</v>
      </c>
      <c r="E66" s="159">
        <v>281.38</v>
      </c>
      <c r="F66" s="159">
        <v>25324.2</v>
      </c>
      <c r="G66" s="160" t="s">
        <v>2</v>
      </c>
      <c r="H66" s="34" t="s">
        <v>925</v>
      </c>
    </row>
    <row r="67" spans="1:8" ht="16.5">
      <c r="A67" s="160">
        <v>3</v>
      </c>
      <c r="B67" s="160" t="s">
        <v>945</v>
      </c>
      <c r="C67" s="157" t="s">
        <v>927</v>
      </c>
      <c r="D67" s="159">
        <v>18</v>
      </c>
      <c r="E67" s="159">
        <v>371.17</v>
      </c>
      <c r="F67" s="159">
        <v>6681.06</v>
      </c>
      <c r="G67" s="160" t="s">
        <v>2</v>
      </c>
    </row>
    <row r="68" spans="1:8" ht="33">
      <c r="A68" s="160">
        <v>4</v>
      </c>
      <c r="B68" s="160" t="s">
        <v>947</v>
      </c>
      <c r="C68" s="157" t="s">
        <v>927</v>
      </c>
      <c r="D68" s="159">
        <v>90</v>
      </c>
      <c r="E68" s="159">
        <v>371.17</v>
      </c>
      <c r="F68" s="159">
        <v>33405.300000000003</v>
      </c>
      <c r="G68" s="160" t="s">
        <v>2</v>
      </c>
      <c r="H68" s="34" t="s">
        <v>925</v>
      </c>
    </row>
    <row r="69" spans="1:8" ht="33">
      <c r="A69" s="160">
        <v>5</v>
      </c>
      <c r="B69" s="160" t="s">
        <v>4871</v>
      </c>
      <c r="C69" s="157" t="s">
        <v>927</v>
      </c>
      <c r="D69" s="159">
        <v>180</v>
      </c>
      <c r="E69" s="159">
        <v>260.08999999999997</v>
      </c>
      <c r="F69" s="159">
        <v>46816.2</v>
      </c>
      <c r="G69" s="160" t="s">
        <v>5435</v>
      </c>
      <c r="H69" s="34" t="s">
        <v>925</v>
      </c>
    </row>
    <row r="70" spans="1:8" ht="33">
      <c r="A70" s="160">
        <v>6</v>
      </c>
      <c r="B70" s="160" t="s">
        <v>929</v>
      </c>
      <c r="C70" s="157" t="s">
        <v>927</v>
      </c>
      <c r="D70" s="159">
        <v>5</v>
      </c>
      <c r="E70" s="159">
        <v>1388.4</v>
      </c>
      <c r="F70" s="159">
        <v>6942</v>
      </c>
      <c r="G70" s="160" t="s">
        <v>2</v>
      </c>
      <c r="H70" s="34" t="s">
        <v>925</v>
      </c>
    </row>
    <row r="71" spans="1:8" ht="33">
      <c r="A71" s="160">
        <v>7</v>
      </c>
      <c r="B71" s="160" t="s">
        <v>4869</v>
      </c>
      <c r="C71" s="157" t="s">
        <v>927</v>
      </c>
      <c r="D71" s="159">
        <v>5</v>
      </c>
      <c r="E71" s="159">
        <v>371.17</v>
      </c>
      <c r="F71" s="159">
        <v>1855.85</v>
      </c>
      <c r="G71" s="160" t="s">
        <v>5434</v>
      </c>
      <c r="H71" s="34" t="s">
        <v>925</v>
      </c>
    </row>
    <row r="72" spans="1:8" ht="33">
      <c r="A72" s="160">
        <v>8</v>
      </c>
      <c r="B72" s="160" t="s">
        <v>931</v>
      </c>
      <c r="C72" s="157" t="s">
        <v>14</v>
      </c>
      <c r="D72" s="159">
        <v>1</v>
      </c>
      <c r="E72" s="159">
        <v>3803.18</v>
      </c>
      <c r="F72" s="159">
        <v>3803.18</v>
      </c>
      <c r="G72" s="160" t="s">
        <v>2</v>
      </c>
      <c r="H72" s="34" t="s">
        <v>925</v>
      </c>
    </row>
    <row r="73" spans="1:8" ht="16.5">
      <c r="A73" s="160"/>
      <c r="B73" s="160" t="s">
        <v>933</v>
      </c>
      <c r="C73" s="157" t="s">
        <v>1</v>
      </c>
      <c r="D73" s="159">
        <v>100</v>
      </c>
      <c r="E73" s="159"/>
      <c r="F73" s="159">
        <v>130575.73</v>
      </c>
      <c r="G73" s="160"/>
    </row>
    <row r="74" spans="1:8" ht="33">
      <c r="A74" s="160"/>
      <c r="B74" s="160" t="s">
        <v>934</v>
      </c>
      <c r="C74" s="157" t="s">
        <v>1</v>
      </c>
      <c r="D74" s="159"/>
      <c r="E74" s="159"/>
      <c r="F74" s="159">
        <v>1305.76</v>
      </c>
      <c r="G74" s="160"/>
      <c r="H74" s="34" t="s">
        <v>925</v>
      </c>
    </row>
    <row r="75" spans="1:8" ht="33">
      <c r="A75" s="160"/>
      <c r="B75" s="160"/>
      <c r="C75" s="157"/>
      <c r="D75" s="159"/>
      <c r="E75" s="159"/>
      <c r="F75" s="159"/>
      <c r="G75" s="160"/>
      <c r="H75" s="34" t="s">
        <v>925</v>
      </c>
    </row>
    <row r="76" spans="1:8" ht="33">
      <c r="A76" s="160" t="s">
        <v>968</v>
      </c>
      <c r="B76" s="160" t="s">
        <v>958</v>
      </c>
      <c r="C76" s="157" t="s">
        <v>1</v>
      </c>
      <c r="D76" s="159">
        <v>1</v>
      </c>
      <c r="E76" s="159">
        <v>3321.87</v>
      </c>
      <c r="F76" s="159"/>
      <c r="G76" s="160" t="s">
        <v>2</v>
      </c>
      <c r="H76" s="34" t="s">
        <v>925</v>
      </c>
    </row>
    <row r="77" spans="1:8" ht="33">
      <c r="A77" s="160">
        <v>1</v>
      </c>
      <c r="B77" s="160" t="s">
        <v>4871</v>
      </c>
      <c r="C77" s="157" t="s">
        <v>927</v>
      </c>
      <c r="D77" s="159">
        <v>12.4</v>
      </c>
      <c r="E77" s="159">
        <v>260.08999999999997</v>
      </c>
      <c r="F77" s="159">
        <v>3225.12</v>
      </c>
      <c r="G77" s="160" t="s">
        <v>5435</v>
      </c>
      <c r="H77" s="34" t="s">
        <v>925</v>
      </c>
    </row>
    <row r="78" spans="1:8" ht="33">
      <c r="A78" s="160">
        <v>2</v>
      </c>
      <c r="B78" s="160" t="s">
        <v>955</v>
      </c>
      <c r="C78" s="157" t="s">
        <v>14</v>
      </c>
      <c r="D78" s="159">
        <v>1</v>
      </c>
      <c r="E78" s="159">
        <v>96.75</v>
      </c>
      <c r="F78" s="159">
        <v>96.75</v>
      </c>
      <c r="G78" s="160" t="s">
        <v>2</v>
      </c>
      <c r="H78" s="34" t="s">
        <v>925</v>
      </c>
    </row>
    <row r="79" spans="1:8" ht="16.5">
      <c r="A79" s="160"/>
      <c r="B79" s="160" t="s">
        <v>933</v>
      </c>
      <c r="C79" s="157" t="s">
        <v>1</v>
      </c>
      <c r="D79" s="159">
        <v>1</v>
      </c>
      <c r="E79" s="159"/>
      <c r="F79" s="159">
        <v>3321.87</v>
      </c>
      <c r="G79" s="160"/>
    </row>
    <row r="80" spans="1:8" ht="33">
      <c r="A80" s="160"/>
      <c r="B80" s="160" t="s">
        <v>934</v>
      </c>
      <c r="C80" s="157" t="s">
        <v>1</v>
      </c>
      <c r="D80" s="159"/>
      <c r="E80" s="159"/>
      <c r="F80" s="159">
        <v>3321.87</v>
      </c>
      <c r="G80" s="160"/>
      <c r="H80" s="34" t="s">
        <v>925</v>
      </c>
    </row>
    <row r="81" spans="1:8" ht="33">
      <c r="A81" s="160"/>
      <c r="B81" s="160"/>
      <c r="C81" s="157"/>
      <c r="D81" s="159"/>
      <c r="E81" s="159"/>
      <c r="F81" s="159"/>
      <c r="G81" s="160"/>
      <c r="H81" s="34" t="s">
        <v>925</v>
      </c>
    </row>
    <row r="82" spans="1:8" ht="33">
      <c r="A82" s="160" t="s">
        <v>970</v>
      </c>
      <c r="B82" s="160" t="s">
        <v>950</v>
      </c>
      <c r="C82" s="157" t="s">
        <v>1</v>
      </c>
      <c r="D82" s="159">
        <v>100</v>
      </c>
      <c r="E82" s="159">
        <v>45.31</v>
      </c>
      <c r="F82" s="159"/>
      <c r="G82" s="160" t="s">
        <v>2</v>
      </c>
      <c r="H82" s="34" t="s">
        <v>925</v>
      </c>
    </row>
    <row r="83" spans="1:8" ht="33">
      <c r="A83" s="160">
        <v>1</v>
      </c>
      <c r="B83" s="160" t="s">
        <v>929</v>
      </c>
      <c r="C83" s="157" t="s">
        <v>927</v>
      </c>
      <c r="D83" s="159">
        <v>2.5</v>
      </c>
      <c r="E83" s="159">
        <v>1388.4</v>
      </c>
      <c r="F83" s="159">
        <v>3471</v>
      </c>
      <c r="G83" s="160" t="s">
        <v>2</v>
      </c>
      <c r="H83" s="34" t="s">
        <v>925</v>
      </c>
    </row>
    <row r="84" spans="1:8" ht="33">
      <c r="A84" s="160">
        <v>2</v>
      </c>
      <c r="B84" s="160" t="s">
        <v>4869</v>
      </c>
      <c r="C84" s="157" t="s">
        <v>927</v>
      </c>
      <c r="D84" s="159">
        <v>2.5</v>
      </c>
      <c r="E84" s="159">
        <v>371.17</v>
      </c>
      <c r="F84" s="159">
        <v>927.93</v>
      </c>
      <c r="G84" s="160" t="s">
        <v>5434</v>
      </c>
      <c r="H84" s="34" t="s">
        <v>925</v>
      </c>
    </row>
    <row r="85" spans="1:8" ht="16.5">
      <c r="A85" s="160">
        <v>3</v>
      </c>
      <c r="B85" s="160" t="s">
        <v>931</v>
      </c>
      <c r="C85" s="157" t="s">
        <v>14</v>
      </c>
      <c r="D85" s="159">
        <v>1</v>
      </c>
      <c r="E85" s="159">
        <v>131.97</v>
      </c>
      <c r="F85" s="159">
        <v>131.97</v>
      </c>
      <c r="G85" s="160" t="s">
        <v>2</v>
      </c>
    </row>
    <row r="86" spans="1:8" ht="33">
      <c r="A86" s="160"/>
      <c r="B86" s="160" t="s">
        <v>933</v>
      </c>
      <c r="C86" s="157" t="s">
        <v>1</v>
      </c>
      <c r="D86" s="159">
        <v>100</v>
      </c>
      <c r="E86" s="159"/>
      <c r="F86" s="159">
        <v>4530.9000000000005</v>
      </c>
      <c r="G86" s="160"/>
      <c r="H86" s="34" t="s">
        <v>925</v>
      </c>
    </row>
    <row r="87" spans="1:8" ht="33">
      <c r="A87" s="160"/>
      <c r="B87" s="160" t="s">
        <v>934</v>
      </c>
      <c r="C87" s="157" t="s">
        <v>1</v>
      </c>
      <c r="D87" s="159"/>
      <c r="E87" s="159"/>
      <c r="F87" s="159">
        <v>45.31</v>
      </c>
      <c r="G87" s="160"/>
      <c r="H87" s="34" t="s">
        <v>925</v>
      </c>
    </row>
    <row r="88" spans="1:8" ht="33">
      <c r="A88" s="160"/>
      <c r="B88" s="160"/>
      <c r="C88" s="157"/>
      <c r="D88" s="159"/>
      <c r="E88" s="159"/>
      <c r="F88" s="159"/>
      <c r="G88" s="160"/>
      <c r="H88" s="34" t="s">
        <v>925</v>
      </c>
    </row>
    <row r="89" spans="1:8" ht="42.75">
      <c r="A89" s="160" t="s">
        <v>972</v>
      </c>
      <c r="B89" s="160" t="s">
        <v>950</v>
      </c>
      <c r="C89" s="157" t="s">
        <v>1</v>
      </c>
      <c r="D89" s="159">
        <v>100</v>
      </c>
      <c r="E89" s="159">
        <v>60.35</v>
      </c>
      <c r="F89" s="159"/>
      <c r="G89" s="160" t="s">
        <v>4365</v>
      </c>
      <c r="H89" s="34" t="s">
        <v>925</v>
      </c>
    </row>
    <row r="90" spans="1:8" ht="33">
      <c r="A90" s="160">
        <v>1</v>
      </c>
      <c r="B90" s="160" t="s">
        <v>929</v>
      </c>
      <c r="C90" s="157" t="s">
        <v>927</v>
      </c>
      <c r="D90" s="159">
        <v>3.33</v>
      </c>
      <c r="E90" s="159">
        <v>1388.4</v>
      </c>
      <c r="F90" s="159">
        <v>4623.37</v>
      </c>
      <c r="G90" s="160" t="s">
        <v>2</v>
      </c>
      <c r="H90" s="34" t="s">
        <v>925</v>
      </c>
    </row>
    <row r="91" spans="1:8" ht="33">
      <c r="A91" s="160">
        <v>2</v>
      </c>
      <c r="B91" s="160" t="s">
        <v>4869</v>
      </c>
      <c r="C91" s="157" t="s">
        <v>927</v>
      </c>
      <c r="D91" s="159">
        <v>3.33</v>
      </c>
      <c r="E91" s="159">
        <v>371.17</v>
      </c>
      <c r="F91" s="159">
        <v>1236</v>
      </c>
      <c r="G91" s="160" t="s">
        <v>5434</v>
      </c>
      <c r="H91" s="34" t="s">
        <v>925</v>
      </c>
    </row>
    <row r="92" spans="1:8" ht="33">
      <c r="A92" s="160">
        <v>3</v>
      </c>
      <c r="B92" s="160" t="s">
        <v>931</v>
      </c>
      <c r="C92" s="157" t="s">
        <v>14</v>
      </c>
      <c r="D92" s="159">
        <v>1</v>
      </c>
      <c r="E92" s="159">
        <v>175.78</v>
      </c>
      <c r="F92" s="159">
        <v>175.78</v>
      </c>
      <c r="G92" s="160" t="s">
        <v>2</v>
      </c>
      <c r="H92" s="34" t="s">
        <v>925</v>
      </c>
    </row>
    <row r="93" spans="1:8" ht="33">
      <c r="A93" s="160"/>
      <c r="B93" s="160" t="s">
        <v>933</v>
      </c>
      <c r="C93" s="157" t="s">
        <v>1</v>
      </c>
      <c r="D93" s="159">
        <v>100</v>
      </c>
      <c r="E93" s="159"/>
      <c r="F93" s="159">
        <v>6035.15</v>
      </c>
      <c r="G93" s="160"/>
      <c r="H93" s="34" t="s">
        <v>925</v>
      </c>
    </row>
    <row r="94" spans="1:8" ht="16.5">
      <c r="A94" s="160"/>
      <c r="B94" s="160" t="s">
        <v>934</v>
      </c>
      <c r="C94" s="157" t="s">
        <v>1</v>
      </c>
      <c r="D94" s="159"/>
      <c r="E94" s="159"/>
      <c r="F94" s="159">
        <v>60.35</v>
      </c>
      <c r="G94" s="160"/>
    </row>
    <row r="95" spans="1:8" ht="33">
      <c r="A95" s="160"/>
      <c r="B95" s="160"/>
      <c r="C95" s="157"/>
      <c r="D95" s="159"/>
      <c r="E95" s="159"/>
      <c r="F95" s="159"/>
      <c r="G95" s="160"/>
      <c r="H95" s="34" t="s">
        <v>925</v>
      </c>
    </row>
    <row r="96" spans="1:8" ht="42.75">
      <c r="A96" s="160" t="s">
        <v>974</v>
      </c>
      <c r="B96" s="160" t="s">
        <v>2579</v>
      </c>
      <c r="C96" s="157" t="s">
        <v>1</v>
      </c>
      <c r="D96" s="159">
        <v>100</v>
      </c>
      <c r="E96" s="159">
        <v>63.21</v>
      </c>
      <c r="F96" s="159"/>
      <c r="G96" s="160" t="s">
        <v>2</v>
      </c>
      <c r="H96" s="34" t="s">
        <v>925</v>
      </c>
    </row>
    <row r="97" spans="1:8" ht="33">
      <c r="A97" s="160">
        <v>1</v>
      </c>
      <c r="B97" s="160" t="s">
        <v>929</v>
      </c>
      <c r="C97" s="157" t="s">
        <v>927</v>
      </c>
      <c r="D97" s="159">
        <v>2.88</v>
      </c>
      <c r="E97" s="159">
        <v>1388.4</v>
      </c>
      <c r="F97" s="159">
        <v>3998.59</v>
      </c>
      <c r="G97" s="160" t="s">
        <v>2</v>
      </c>
      <c r="H97" s="34" t="s">
        <v>925</v>
      </c>
    </row>
    <row r="98" spans="1:8" ht="33">
      <c r="A98" s="160">
        <v>2</v>
      </c>
      <c r="B98" s="160" t="s">
        <v>4046</v>
      </c>
      <c r="C98" s="157" t="s">
        <v>927</v>
      </c>
      <c r="D98" s="159">
        <v>2.88</v>
      </c>
      <c r="E98" s="159">
        <v>742.33</v>
      </c>
      <c r="F98" s="159">
        <v>2137.91</v>
      </c>
      <c r="G98" s="160" t="s">
        <v>2</v>
      </c>
      <c r="H98" s="34" t="s">
        <v>925</v>
      </c>
    </row>
    <row r="99" spans="1:8" ht="33">
      <c r="A99" s="160">
        <v>3</v>
      </c>
      <c r="B99" s="160" t="s">
        <v>931</v>
      </c>
      <c r="C99" s="157" t="s">
        <v>14</v>
      </c>
      <c r="D99" s="159">
        <v>1</v>
      </c>
      <c r="E99" s="159">
        <v>184.1</v>
      </c>
      <c r="F99" s="159">
        <v>184.1</v>
      </c>
      <c r="G99" s="160" t="s">
        <v>2</v>
      </c>
      <c r="H99" s="34" t="s">
        <v>925</v>
      </c>
    </row>
    <row r="100" spans="1:8" ht="33">
      <c r="A100" s="160"/>
      <c r="B100" s="160" t="s">
        <v>933</v>
      </c>
      <c r="C100" s="157" t="s">
        <v>1</v>
      </c>
      <c r="D100" s="159">
        <v>100</v>
      </c>
      <c r="E100" s="159"/>
      <c r="F100" s="159">
        <v>6320.6</v>
      </c>
      <c r="G100" s="160"/>
      <c r="H100" s="34" t="s">
        <v>925</v>
      </c>
    </row>
    <row r="101" spans="1:8" ht="33">
      <c r="A101" s="160"/>
      <c r="B101" s="160" t="s">
        <v>934</v>
      </c>
      <c r="C101" s="157" t="s">
        <v>1</v>
      </c>
      <c r="D101" s="159"/>
      <c r="E101" s="159"/>
      <c r="F101" s="159">
        <v>63.21</v>
      </c>
      <c r="G101" s="160"/>
      <c r="H101" s="34" t="s">
        <v>925</v>
      </c>
    </row>
    <row r="102" spans="1:8" ht="33">
      <c r="A102" s="160"/>
      <c r="B102" s="160"/>
      <c r="C102" s="157"/>
      <c r="D102" s="159"/>
      <c r="E102" s="159"/>
      <c r="F102" s="159"/>
      <c r="G102" s="160"/>
      <c r="H102" s="34" t="s">
        <v>925</v>
      </c>
    </row>
    <row r="103" spans="1:8" ht="28.5">
      <c r="A103" s="160" t="s">
        <v>976</v>
      </c>
      <c r="B103" s="160" t="s">
        <v>964</v>
      </c>
      <c r="C103" s="157" t="s">
        <v>1</v>
      </c>
      <c r="D103" s="159">
        <v>1</v>
      </c>
      <c r="E103" s="159">
        <v>4607.76</v>
      </c>
      <c r="F103" s="159"/>
      <c r="G103" s="160" t="s">
        <v>2</v>
      </c>
    </row>
    <row r="104" spans="1:8" ht="33">
      <c r="A104" s="160">
        <v>1</v>
      </c>
      <c r="B104" s="160" t="s">
        <v>4871</v>
      </c>
      <c r="C104" s="157" t="s">
        <v>927</v>
      </c>
      <c r="D104" s="159">
        <v>17.2</v>
      </c>
      <c r="E104" s="159">
        <v>260.08999999999997</v>
      </c>
      <c r="F104" s="159">
        <v>4473.55</v>
      </c>
      <c r="G104" s="160" t="s">
        <v>5435</v>
      </c>
      <c r="H104" s="34" t="s">
        <v>925</v>
      </c>
    </row>
    <row r="105" spans="1:8" ht="33">
      <c r="A105" s="160">
        <v>2</v>
      </c>
      <c r="B105" s="160" t="s">
        <v>955</v>
      </c>
      <c r="C105" s="157" t="s">
        <v>14</v>
      </c>
      <c r="D105" s="159">
        <v>1</v>
      </c>
      <c r="E105" s="159">
        <v>134.21</v>
      </c>
      <c r="F105" s="159">
        <v>134.21</v>
      </c>
      <c r="G105" s="160" t="s">
        <v>2</v>
      </c>
      <c r="H105" s="34" t="s">
        <v>925</v>
      </c>
    </row>
    <row r="106" spans="1:8" ht="33">
      <c r="A106" s="160"/>
      <c r="B106" s="160" t="s">
        <v>933</v>
      </c>
      <c r="C106" s="157" t="s">
        <v>1</v>
      </c>
      <c r="D106" s="159">
        <v>1</v>
      </c>
      <c r="E106" s="159"/>
      <c r="F106" s="159">
        <v>4607.76</v>
      </c>
      <c r="G106" s="160"/>
      <c r="H106" s="34" t="s">
        <v>925</v>
      </c>
    </row>
    <row r="107" spans="1:8" ht="33">
      <c r="A107" s="160"/>
      <c r="B107" s="160" t="s">
        <v>934</v>
      </c>
      <c r="C107" s="157" t="s">
        <v>1</v>
      </c>
      <c r="D107" s="159"/>
      <c r="E107" s="159"/>
      <c r="F107" s="159">
        <v>4607.76</v>
      </c>
      <c r="G107" s="160"/>
      <c r="H107" s="34" t="s">
        <v>925</v>
      </c>
    </row>
    <row r="108" spans="1:8" ht="33">
      <c r="A108" s="160"/>
      <c r="B108" s="160"/>
      <c r="C108" s="157"/>
      <c r="D108" s="159"/>
      <c r="E108" s="159"/>
      <c r="F108" s="159"/>
      <c r="G108" s="160"/>
      <c r="H108" s="34" t="s">
        <v>925</v>
      </c>
    </row>
    <row r="109" spans="1:8" ht="42.75">
      <c r="A109" s="160" t="s">
        <v>978</v>
      </c>
      <c r="B109" s="160" t="s">
        <v>961</v>
      </c>
      <c r="C109" s="157" t="s">
        <v>1</v>
      </c>
      <c r="D109" s="159">
        <v>100</v>
      </c>
      <c r="E109" s="159">
        <v>439.12</v>
      </c>
      <c r="F109" s="159"/>
      <c r="G109" s="160" t="s">
        <v>2</v>
      </c>
    </row>
    <row r="110" spans="1:8" ht="33">
      <c r="A110" s="160">
        <v>1</v>
      </c>
      <c r="B110" s="160" t="s">
        <v>941</v>
      </c>
      <c r="C110" s="157" t="s">
        <v>927</v>
      </c>
      <c r="D110" s="159">
        <v>15</v>
      </c>
      <c r="E110" s="159">
        <v>319.33</v>
      </c>
      <c r="F110" s="159">
        <v>4789.95</v>
      </c>
      <c r="G110" s="160" t="s">
        <v>2</v>
      </c>
      <c r="H110" s="34" t="s">
        <v>925</v>
      </c>
    </row>
    <row r="111" spans="1:8" ht="33">
      <c r="A111" s="160">
        <v>2</v>
      </c>
      <c r="B111" s="160" t="s">
        <v>943</v>
      </c>
      <c r="C111" s="157" t="s">
        <v>927</v>
      </c>
      <c r="D111" s="159">
        <v>30</v>
      </c>
      <c r="E111" s="159">
        <v>281.38</v>
      </c>
      <c r="F111" s="159">
        <v>8441.4</v>
      </c>
      <c r="G111" s="160" t="s">
        <v>2</v>
      </c>
      <c r="H111" s="34" t="s">
        <v>925</v>
      </c>
    </row>
    <row r="112" spans="1:8" ht="33">
      <c r="A112" s="160">
        <v>3</v>
      </c>
      <c r="B112" s="160" t="s">
        <v>945</v>
      </c>
      <c r="C112" s="157" t="s">
        <v>927</v>
      </c>
      <c r="D112" s="159">
        <v>15</v>
      </c>
      <c r="E112" s="159">
        <v>371.17</v>
      </c>
      <c r="F112" s="159">
        <v>5567.55</v>
      </c>
      <c r="G112" s="160" t="s">
        <v>2</v>
      </c>
      <c r="H112" s="34" t="s">
        <v>925</v>
      </c>
    </row>
    <row r="113" spans="1:8" ht="33">
      <c r="A113" s="160">
        <v>4</v>
      </c>
      <c r="B113" s="160" t="s">
        <v>947</v>
      </c>
      <c r="C113" s="157" t="s">
        <v>927</v>
      </c>
      <c r="D113" s="159">
        <v>30</v>
      </c>
      <c r="E113" s="159">
        <v>371.17</v>
      </c>
      <c r="F113" s="159">
        <v>11135.1</v>
      </c>
      <c r="G113" s="160" t="s">
        <v>2</v>
      </c>
      <c r="H113" s="34" t="s">
        <v>925</v>
      </c>
    </row>
    <row r="114" spans="1:8" ht="33">
      <c r="A114" s="160">
        <v>5</v>
      </c>
      <c r="B114" s="160" t="s">
        <v>4871</v>
      </c>
      <c r="C114" s="157" t="s">
        <v>927</v>
      </c>
      <c r="D114" s="159">
        <v>15</v>
      </c>
      <c r="E114" s="159">
        <v>260.08999999999997</v>
      </c>
      <c r="F114" s="159">
        <v>3901.35</v>
      </c>
      <c r="G114" s="160" t="s">
        <v>5435</v>
      </c>
      <c r="H114" s="34" t="s">
        <v>925</v>
      </c>
    </row>
    <row r="115" spans="1:8" ht="33">
      <c r="A115" s="160">
        <v>6</v>
      </c>
      <c r="B115" s="160" t="s">
        <v>929</v>
      </c>
      <c r="C115" s="157" t="s">
        <v>927</v>
      </c>
      <c r="D115" s="159">
        <v>5</v>
      </c>
      <c r="E115" s="159">
        <v>1388.4</v>
      </c>
      <c r="F115" s="159">
        <v>6942</v>
      </c>
      <c r="G115" s="160" t="s">
        <v>2</v>
      </c>
      <c r="H115" s="34" t="s">
        <v>925</v>
      </c>
    </row>
    <row r="116" spans="1:8" ht="33">
      <c r="A116" s="160">
        <v>7</v>
      </c>
      <c r="B116" s="160" t="s">
        <v>4869</v>
      </c>
      <c r="C116" s="157" t="s">
        <v>927</v>
      </c>
      <c r="D116" s="159">
        <v>5</v>
      </c>
      <c r="E116" s="159">
        <v>371.17</v>
      </c>
      <c r="F116" s="159">
        <v>1855.85</v>
      </c>
      <c r="G116" s="160" t="s">
        <v>5434</v>
      </c>
      <c r="H116" s="34" t="s">
        <v>925</v>
      </c>
    </row>
    <row r="117" spans="1:8" ht="33">
      <c r="A117" s="160">
        <v>8</v>
      </c>
      <c r="B117" s="160" t="s">
        <v>931</v>
      </c>
      <c r="C117" s="157" t="s">
        <v>14</v>
      </c>
      <c r="D117" s="159">
        <v>1</v>
      </c>
      <c r="E117" s="159">
        <v>1279</v>
      </c>
      <c r="F117" s="159">
        <v>1279</v>
      </c>
      <c r="G117" s="160" t="s">
        <v>2</v>
      </c>
      <c r="H117" s="34" t="s">
        <v>925</v>
      </c>
    </row>
    <row r="118" spans="1:8" ht="33">
      <c r="A118" s="160"/>
      <c r="B118" s="160" t="s">
        <v>933</v>
      </c>
      <c r="C118" s="157" t="s">
        <v>1</v>
      </c>
      <c r="D118" s="159">
        <v>100</v>
      </c>
      <c r="E118" s="159"/>
      <c r="F118" s="159">
        <v>43912.2</v>
      </c>
      <c r="G118" s="160"/>
      <c r="H118" s="34" t="s">
        <v>925</v>
      </c>
    </row>
    <row r="119" spans="1:8" ht="33">
      <c r="A119" s="160"/>
      <c r="B119" s="160" t="s">
        <v>934</v>
      </c>
      <c r="C119" s="157" t="s">
        <v>1</v>
      </c>
      <c r="D119" s="159"/>
      <c r="E119" s="159"/>
      <c r="F119" s="159">
        <v>439.12</v>
      </c>
      <c r="G119" s="160"/>
      <c r="H119" s="34" t="s">
        <v>925</v>
      </c>
    </row>
    <row r="120" spans="1:8" ht="33">
      <c r="A120" s="160"/>
      <c r="B120" s="160"/>
      <c r="C120" s="157"/>
      <c r="D120" s="159"/>
      <c r="E120" s="159"/>
      <c r="F120" s="159"/>
      <c r="G120" s="160"/>
      <c r="H120" s="34" t="s">
        <v>925</v>
      </c>
    </row>
    <row r="121" spans="1:8" ht="28.5">
      <c r="A121" s="160" t="s">
        <v>980</v>
      </c>
      <c r="B121" s="160" t="s">
        <v>985</v>
      </c>
      <c r="C121" s="157" t="s">
        <v>1</v>
      </c>
      <c r="D121" s="159">
        <v>1</v>
      </c>
      <c r="E121" s="159">
        <v>600.08000000000004</v>
      </c>
      <c r="F121" s="159"/>
      <c r="G121" s="160" t="s">
        <v>2</v>
      </c>
    </row>
    <row r="122" spans="1:8" ht="33">
      <c r="A122" s="160">
        <v>1</v>
      </c>
      <c r="B122" s="160" t="s">
        <v>4871</v>
      </c>
      <c r="C122" s="157" t="s">
        <v>927</v>
      </c>
      <c r="D122" s="159">
        <v>2.2400000000000002</v>
      </c>
      <c r="E122" s="159">
        <v>260.08999999999997</v>
      </c>
      <c r="F122" s="159">
        <v>582.6</v>
      </c>
      <c r="G122" s="160" t="s">
        <v>5435</v>
      </c>
      <c r="H122" s="34" t="s">
        <v>925</v>
      </c>
    </row>
    <row r="123" spans="1:8" ht="33">
      <c r="A123" s="160">
        <v>2</v>
      </c>
      <c r="B123" s="160" t="s">
        <v>931</v>
      </c>
      <c r="C123" s="157" t="s">
        <v>14</v>
      </c>
      <c r="D123" s="159">
        <v>1</v>
      </c>
      <c r="E123" s="159">
        <v>17.48</v>
      </c>
      <c r="F123" s="159">
        <v>17.48</v>
      </c>
      <c r="G123" s="160" t="s">
        <v>2</v>
      </c>
      <c r="H123" s="34" t="s">
        <v>925</v>
      </c>
    </row>
    <row r="124" spans="1:8" ht="33">
      <c r="A124" s="160"/>
      <c r="B124" s="160" t="s">
        <v>933</v>
      </c>
      <c r="C124" s="157" t="s">
        <v>1</v>
      </c>
      <c r="D124" s="159">
        <v>1</v>
      </c>
      <c r="E124" s="159"/>
      <c r="F124" s="159">
        <v>600.08000000000004</v>
      </c>
      <c r="G124" s="160"/>
      <c r="H124" s="34" t="s">
        <v>925</v>
      </c>
    </row>
    <row r="125" spans="1:8" ht="33">
      <c r="A125" s="160"/>
      <c r="B125" s="160" t="s">
        <v>934</v>
      </c>
      <c r="C125" s="157" t="s">
        <v>1</v>
      </c>
      <c r="D125" s="159"/>
      <c r="E125" s="159"/>
      <c r="F125" s="159">
        <v>600.08000000000004</v>
      </c>
      <c r="G125" s="160"/>
      <c r="H125" s="34" t="s">
        <v>925</v>
      </c>
    </row>
    <row r="126" spans="1:8" ht="33">
      <c r="A126" s="160"/>
      <c r="B126" s="160"/>
      <c r="C126" s="157"/>
      <c r="D126" s="159"/>
      <c r="E126" s="159"/>
      <c r="F126" s="159"/>
      <c r="G126" s="160"/>
      <c r="H126" s="34" t="s">
        <v>925</v>
      </c>
    </row>
    <row r="127" spans="1:8" ht="28.5">
      <c r="A127" s="160" t="s">
        <v>982</v>
      </c>
      <c r="B127" s="160" t="s">
        <v>2214</v>
      </c>
      <c r="C127" s="157" t="s">
        <v>1</v>
      </c>
      <c r="D127" s="159">
        <v>1</v>
      </c>
      <c r="E127" s="159">
        <v>1382.35</v>
      </c>
      <c r="F127" s="159"/>
      <c r="G127" s="160" t="s">
        <v>2</v>
      </c>
    </row>
    <row r="128" spans="1:8" ht="33">
      <c r="A128" s="160">
        <v>1</v>
      </c>
      <c r="B128" s="160" t="s">
        <v>4874</v>
      </c>
      <c r="C128" s="157" t="s">
        <v>927</v>
      </c>
      <c r="D128" s="159">
        <v>2.58</v>
      </c>
      <c r="E128" s="159">
        <v>520.19000000000005</v>
      </c>
      <c r="F128" s="159">
        <v>1342.09</v>
      </c>
      <c r="G128" s="160" t="s">
        <v>5436</v>
      </c>
      <c r="H128" s="34" t="s">
        <v>925</v>
      </c>
    </row>
    <row r="129" spans="1:8" ht="33">
      <c r="A129" s="160">
        <v>2</v>
      </c>
      <c r="B129" s="160" t="s">
        <v>931</v>
      </c>
      <c r="C129" s="157" t="s">
        <v>14</v>
      </c>
      <c r="D129" s="159">
        <v>1</v>
      </c>
      <c r="E129" s="159">
        <v>40.26</v>
      </c>
      <c r="F129" s="159">
        <v>40.26</v>
      </c>
      <c r="G129" s="160" t="s">
        <v>2</v>
      </c>
      <c r="H129" s="34" t="s">
        <v>925</v>
      </c>
    </row>
    <row r="130" spans="1:8" ht="33">
      <c r="A130" s="160"/>
      <c r="B130" s="160" t="s">
        <v>933</v>
      </c>
      <c r="C130" s="157" t="s">
        <v>1</v>
      </c>
      <c r="D130" s="159">
        <v>1</v>
      </c>
      <c r="E130" s="159"/>
      <c r="F130" s="159">
        <v>1382.35</v>
      </c>
      <c r="G130" s="160"/>
      <c r="H130" s="34" t="s">
        <v>925</v>
      </c>
    </row>
    <row r="131" spans="1:8" ht="33">
      <c r="A131" s="160"/>
      <c r="B131" s="160" t="s">
        <v>934</v>
      </c>
      <c r="C131" s="157" t="s">
        <v>1</v>
      </c>
      <c r="D131" s="159"/>
      <c r="E131" s="159"/>
      <c r="F131" s="159">
        <v>1382.35</v>
      </c>
      <c r="G131" s="160"/>
      <c r="H131" s="34" t="s">
        <v>925</v>
      </c>
    </row>
    <row r="132" spans="1:8" ht="33">
      <c r="A132" s="160"/>
      <c r="B132" s="160"/>
      <c r="C132" s="157"/>
      <c r="D132" s="159"/>
      <c r="E132" s="159"/>
      <c r="F132" s="159"/>
      <c r="G132" s="160"/>
      <c r="H132" s="34" t="s">
        <v>925</v>
      </c>
    </row>
    <row r="133" spans="1:8" ht="42.75">
      <c r="A133" s="160" t="s">
        <v>984</v>
      </c>
      <c r="B133" s="160" t="s">
        <v>936</v>
      </c>
      <c r="C133" s="157" t="s">
        <v>0</v>
      </c>
      <c r="D133" s="159">
        <v>100</v>
      </c>
      <c r="E133" s="159">
        <v>844.82</v>
      </c>
      <c r="F133" s="159"/>
      <c r="G133" s="160" t="s">
        <v>4365</v>
      </c>
      <c r="H133" s="34" t="s">
        <v>925</v>
      </c>
    </row>
    <row r="134" spans="1:8" ht="33">
      <c r="A134" s="160">
        <v>1</v>
      </c>
      <c r="B134" s="160" t="s">
        <v>926</v>
      </c>
      <c r="C134" s="157" t="s">
        <v>927</v>
      </c>
      <c r="D134" s="159">
        <v>31.92</v>
      </c>
      <c r="E134" s="159">
        <v>1203.28</v>
      </c>
      <c r="F134" s="159">
        <v>38408.699999999997</v>
      </c>
      <c r="G134" s="160" t="s">
        <v>2</v>
      </c>
      <c r="H134" s="34" t="s">
        <v>925</v>
      </c>
    </row>
    <row r="135" spans="1:8" ht="33">
      <c r="A135" s="160">
        <v>2</v>
      </c>
      <c r="B135" s="160" t="s">
        <v>929</v>
      </c>
      <c r="C135" s="157" t="s">
        <v>927</v>
      </c>
      <c r="D135" s="159">
        <v>6.65</v>
      </c>
      <c r="E135" s="159">
        <v>1388.4</v>
      </c>
      <c r="F135" s="159">
        <v>9232.86</v>
      </c>
      <c r="G135" s="160" t="s">
        <v>2</v>
      </c>
      <c r="H135" s="34" t="s">
        <v>925</v>
      </c>
    </row>
    <row r="136" spans="1:8" ht="33">
      <c r="A136" s="160">
        <v>3</v>
      </c>
      <c r="B136" s="160" t="s">
        <v>4869</v>
      </c>
      <c r="C136" s="157" t="s">
        <v>927</v>
      </c>
      <c r="D136" s="159">
        <v>38.57</v>
      </c>
      <c r="E136" s="159">
        <v>371.17</v>
      </c>
      <c r="F136" s="159">
        <v>14316.03</v>
      </c>
      <c r="G136" s="160" t="s">
        <v>5434</v>
      </c>
      <c r="H136" s="34" t="s">
        <v>925</v>
      </c>
    </row>
    <row r="137" spans="1:8" ht="33">
      <c r="A137" s="160">
        <v>4</v>
      </c>
      <c r="B137" s="160" t="s">
        <v>4871</v>
      </c>
      <c r="C137" s="157" t="s">
        <v>927</v>
      </c>
      <c r="D137" s="159">
        <v>77.14</v>
      </c>
      <c r="E137" s="159">
        <v>260.08999999999997</v>
      </c>
      <c r="F137" s="159">
        <v>20063.34</v>
      </c>
      <c r="G137" s="160" t="s">
        <v>5435</v>
      </c>
      <c r="H137" s="34" t="s">
        <v>925</v>
      </c>
    </row>
    <row r="138" spans="1:8" ht="33">
      <c r="A138" s="160">
        <v>5</v>
      </c>
      <c r="B138" s="160" t="s">
        <v>931</v>
      </c>
      <c r="C138" s="157" t="s">
        <v>14</v>
      </c>
      <c r="D138" s="159">
        <v>1</v>
      </c>
      <c r="E138" s="159">
        <v>2460.63</v>
      </c>
      <c r="F138" s="159">
        <v>2460.63</v>
      </c>
      <c r="G138" s="160" t="s">
        <v>2</v>
      </c>
      <c r="H138" s="34" t="s">
        <v>925</v>
      </c>
    </row>
    <row r="139" spans="1:8" ht="16.5">
      <c r="A139" s="160"/>
      <c r="B139" s="160" t="s">
        <v>933</v>
      </c>
      <c r="C139" s="157" t="s">
        <v>0</v>
      </c>
      <c r="D139" s="159">
        <v>100</v>
      </c>
      <c r="E139" s="159"/>
      <c r="F139" s="159">
        <v>84481.56</v>
      </c>
      <c r="G139" s="160"/>
    </row>
    <row r="140" spans="1:8" ht="33">
      <c r="A140" s="160"/>
      <c r="B140" s="160" t="s">
        <v>934</v>
      </c>
      <c r="C140" s="157" t="s">
        <v>0</v>
      </c>
      <c r="D140" s="159"/>
      <c r="E140" s="159"/>
      <c r="F140" s="159">
        <v>844.82</v>
      </c>
      <c r="G140" s="160"/>
      <c r="H140" s="34" t="s">
        <v>925</v>
      </c>
    </row>
    <row r="141" spans="1:8" ht="33">
      <c r="A141" s="160"/>
      <c r="B141" s="160"/>
      <c r="C141" s="157"/>
      <c r="D141" s="159"/>
      <c r="E141" s="159"/>
      <c r="F141" s="159"/>
      <c r="G141" s="160"/>
      <c r="H141" s="34" t="s">
        <v>925</v>
      </c>
    </row>
    <row r="142" spans="1:8" ht="42.75">
      <c r="A142" s="160" t="s">
        <v>987</v>
      </c>
      <c r="B142" s="160" t="s">
        <v>923</v>
      </c>
      <c r="C142" s="157" t="s">
        <v>0</v>
      </c>
      <c r="D142" s="159">
        <v>100</v>
      </c>
      <c r="E142" s="159">
        <v>1303.92</v>
      </c>
      <c r="F142" s="159"/>
      <c r="G142" s="160" t="s">
        <v>4365</v>
      </c>
      <c r="H142" s="34" t="s">
        <v>925</v>
      </c>
    </row>
    <row r="143" spans="1:8" ht="33">
      <c r="A143" s="160">
        <v>1</v>
      </c>
      <c r="B143" s="160" t="s">
        <v>926</v>
      </c>
      <c r="C143" s="157" t="s">
        <v>927</v>
      </c>
      <c r="D143" s="159">
        <v>53.2</v>
      </c>
      <c r="E143" s="159">
        <v>1203.28</v>
      </c>
      <c r="F143" s="159">
        <v>64014.5</v>
      </c>
      <c r="G143" s="160" t="s">
        <v>2</v>
      </c>
      <c r="H143" s="34" t="s">
        <v>925</v>
      </c>
    </row>
    <row r="144" spans="1:8" ht="33">
      <c r="A144" s="160">
        <v>2</v>
      </c>
      <c r="B144" s="160" t="s">
        <v>929</v>
      </c>
      <c r="C144" s="157" t="s">
        <v>927</v>
      </c>
      <c r="D144" s="159">
        <v>6.65</v>
      </c>
      <c r="E144" s="159">
        <v>1388.4</v>
      </c>
      <c r="F144" s="159">
        <v>9232.86</v>
      </c>
      <c r="G144" s="160" t="s">
        <v>2</v>
      </c>
      <c r="H144" s="34" t="s">
        <v>925</v>
      </c>
    </row>
    <row r="145" spans="1:8" ht="33">
      <c r="A145" s="160">
        <v>3</v>
      </c>
      <c r="B145" s="160" t="s">
        <v>4869</v>
      </c>
      <c r="C145" s="157" t="s">
        <v>927</v>
      </c>
      <c r="D145" s="159">
        <v>59.85</v>
      </c>
      <c r="E145" s="159">
        <v>371.17</v>
      </c>
      <c r="F145" s="159">
        <v>22214.52</v>
      </c>
      <c r="G145" s="160" t="s">
        <v>5434</v>
      </c>
      <c r="H145" s="34" t="s">
        <v>925</v>
      </c>
    </row>
    <row r="146" spans="1:8" ht="16.5">
      <c r="A146" s="160">
        <v>4</v>
      </c>
      <c r="B146" s="160" t="s">
        <v>4871</v>
      </c>
      <c r="C146" s="157" t="s">
        <v>927</v>
      </c>
      <c r="D146" s="159">
        <v>119.7</v>
      </c>
      <c r="E146" s="159">
        <v>260.08999999999997</v>
      </c>
      <c r="F146" s="159">
        <v>31132.77</v>
      </c>
      <c r="G146" s="160" t="s">
        <v>5435</v>
      </c>
    </row>
    <row r="147" spans="1:8" ht="33">
      <c r="A147" s="160">
        <v>5</v>
      </c>
      <c r="B147" s="160" t="s">
        <v>931</v>
      </c>
      <c r="C147" s="157" t="s">
        <v>14</v>
      </c>
      <c r="D147" s="159">
        <v>1</v>
      </c>
      <c r="E147" s="159">
        <v>3797.84</v>
      </c>
      <c r="F147" s="159">
        <v>3797.84</v>
      </c>
      <c r="G147" s="160" t="s">
        <v>2</v>
      </c>
      <c r="H147" s="34" t="s">
        <v>925</v>
      </c>
    </row>
    <row r="148" spans="1:8" ht="33">
      <c r="A148" s="160"/>
      <c r="B148" s="160" t="s">
        <v>933</v>
      </c>
      <c r="C148" s="157" t="s">
        <v>0</v>
      </c>
      <c r="D148" s="159">
        <v>100</v>
      </c>
      <c r="E148" s="159"/>
      <c r="F148" s="159">
        <v>130392.49</v>
      </c>
      <c r="G148" s="160"/>
      <c r="H148" s="34" t="s">
        <v>925</v>
      </c>
    </row>
    <row r="149" spans="1:8" ht="33">
      <c r="A149" s="160"/>
      <c r="B149" s="160" t="s">
        <v>934</v>
      </c>
      <c r="C149" s="157" t="s">
        <v>0</v>
      </c>
      <c r="D149" s="159"/>
      <c r="E149" s="159"/>
      <c r="F149" s="159">
        <v>1303.92</v>
      </c>
      <c r="G149" s="160"/>
      <c r="H149" s="34" t="s">
        <v>925</v>
      </c>
    </row>
    <row r="150" spans="1:8" ht="33">
      <c r="A150" s="160"/>
      <c r="B150" s="160"/>
      <c r="C150" s="157"/>
      <c r="D150" s="159"/>
      <c r="E150" s="159"/>
      <c r="F150" s="159"/>
      <c r="G150" s="160"/>
      <c r="H150" s="34" t="s">
        <v>925</v>
      </c>
    </row>
    <row r="151" spans="1:8" ht="42.75">
      <c r="A151" s="160" t="s">
        <v>989</v>
      </c>
      <c r="B151" s="160" t="s">
        <v>958</v>
      </c>
      <c r="C151" s="157" t="s">
        <v>1</v>
      </c>
      <c r="D151" s="159">
        <v>1</v>
      </c>
      <c r="E151" s="159">
        <v>4417.55</v>
      </c>
      <c r="F151" s="159"/>
      <c r="G151" s="160" t="s">
        <v>4365</v>
      </c>
      <c r="H151" s="34" t="s">
        <v>925</v>
      </c>
    </row>
    <row r="152" spans="1:8" ht="16.5">
      <c r="A152" s="160">
        <v>1</v>
      </c>
      <c r="B152" s="160" t="s">
        <v>4871</v>
      </c>
      <c r="C152" s="157" t="s">
        <v>927</v>
      </c>
      <c r="D152" s="159">
        <v>16.489999999999998</v>
      </c>
      <c r="E152" s="159">
        <v>260.08999999999997</v>
      </c>
      <c r="F152" s="159">
        <v>4288.88</v>
      </c>
      <c r="G152" s="160" t="s">
        <v>5435</v>
      </c>
    </row>
    <row r="153" spans="1:8" ht="33">
      <c r="A153" s="160">
        <v>2</v>
      </c>
      <c r="B153" s="160" t="s">
        <v>955</v>
      </c>
      <c r="C153" s="157" t="s">
        <v>14</v>
      </c>
      <c r="D153" s="159">
        <v>1</v>
      </c>
      <c r="E153" s="159">
        <v>128.66999999999999</v>
      </c>
      <c r="F153" s="159">
        <v>128.66999999999999</v>
      </c>
      <c r="G153" s="160" t="s">
        <v>2</v>
      </c>
      <c r="H153" s="34" t="s">
        <v>925</v>
      </c>
    </row>
    <row r="154" spans="1:8" ht="33">
      <c r="A154" s="160"/>
      <c r="B154" s="160" t="s">
        <v>933</v>
      </c>
      <c r="C154" s="157" t="s">
        <v>1</v>
      </c>
      <c r="D154" s="159">
        <v>1</v>
      </c>
      <c r="E154" s="159"/>
      <c r="F154" s="159">
        <v>4417.55</v>
      </c>
      <c r="G154" s="160"/>
      <c r="H154" s="34" t="s">
        <v>925</v>
      </c>
    </row>
    <row r="155" spans="1:8" ht="33">
      <c r="A155" s="160"/>
      <c r="B155" s="160" t="s">
        <v>934</v>
      </c>
      <c r="C155" s="157" t="s">
        <v>1</v>
      </c>
      <c r="D155" s="159"/>
      <c r="E155" s="159"/>
      <c r="F155" s="159">
        <v>4417.55</v>
      </c>
      <c r="G155" s="160"/>
      <c r="H155" s="34" t="s">
        <v>925</v>
      </c>
    </row>
    <row r="156" spans="1:8" ht="33">
      <c r="A156" s="160"/>
      <c r="B156" s="160"/>
      <c r="C156" s="157"/>
      <c r="D156" s="159"/>
      <c r="E156" s="159"/>
      <c r="F156" s="159"/>
      <c r="G156" s="160"/>
      <c r="H156" s="34" t="s">
        <v>925</v>
      </c>
    </row>
    <row r="157" spans="1:8" ht="42.75">
      <c r="A157" s="160" t="s">
        <v>992</v>
      </c>
      <c r="B157" s="160" t="s">
        <v>961</v>
      </c>
      <c r="C157" s="157" t="s">
        <v>1</v>
      </c>
      <c r="D157" s="159">
        <v>100</v>
      </c>
      <c r="E157" s="159">
        <v>584.03</v>
      </c>
      <c r="F157" s="159"/>
      <c r="G157" s="160" t="s">
        <v>4365</v>
      </c>
      <c r="H157" s="34" t="s">
        <v>925</v>
      </c>
    </row>
    <row r="158" spans="1:8" ht="16.5">
      <c r="A158" s="160">
        <v>1</v>
      </c>
      <c r="B158" s="160" t="s">
        <v>941</v>
      </c>
      <c r="C158" s="157" t="s">
        <v>927</v>
      </c>
      <c r="D158" s="159">
        <v>19.95</v>
      </c>
      <c r="E158" s="159">
        <v>319.33</v>
      </c>
      <c r="F158" s="159">
        <v>6370.63</v>
      </c>
      <c r="G158" s="160" t="s">
        <v>2</v>
      </c>
    </row>
    <row r="159" spans="1:8" ht="33">
      <c r="A159" s="160">
        <v>2</v>
      </c>
      <c r="B159" s="160" t="s">
        <v>943</v>
      </c>
      <c r="C159" s="157" t="s">
        <v>927</v>
      </c>
      <c r="D159" s="159">
        <v>39.9</v>
      </c>
      <c r="E159" s="159">
        <v>281.38</v>
      </c>
      <c r="F159" s="159">
        <v>11227.06</v>
      </c>
      <c r="G159" s="160" t="s">
        <v>2</v>
      </c>
      <c r="H159" s="34" t="s">
        <v>925</v>
      </c>
    </row>
    <row r="160" spans="1:8" ht="33">
      <c r="A160" s="160">
        <v>3</v>
      </c>
      <c r="B160" s="160" t="s">
        <v>945</v>
      </c>
      <c r="C160" s="157" t="s">
        <v>927</v>
      </c>
      <c r="D160" s="159">
        <v>19.95</v>
      </c>
      <c r="E160" s="159">
        <v>371.17</v>
      </c>
      <c r="F160" s="159">
        <v>7404.84</v>
      </c>
      <c r="G160" s="160" t="s">
        <v>2</v>
      </c>
      <c r="H160" s="34" t="s">
        <v>925</v>
      </c>
    </row>
    <row r="161" spans="1:8" ht="33">
      <c r="A161" s="160">
        <v>4</v>
      </c>
      <c r="B161" s="160" t="s">
        <v>947</v>
      </c>
      <c r="C161" s="157" t="s">
        <v>927</v>
      </c>
      <c r="D161" s="159">
        <v>39.9</v>
      </c>
      <c r="E161" s="159">
        <v>371.17</v>
      </c>
      <c r="F161" s="159">
        <v>14809.68</v>
      </c>
      <c r="G161" s="160" t="s">
        <v>2</v>
      </c>
      <c r="H161" s="34" t="s">
        <v>925</v>
      </c>
    </row>
    <row r="162" spans="1:8" ht="33">
      <c r="A162" s="160">
        <v>5</v>
      </c>
      <c r="B162" s="160" t="s">
        <v>4871</v>
      </c>
      <c r="C162" s="157" t="s">
        <v>927</v>
      </c>
      <c r="D162" s="159">
        <v>19.95</v>
      </c>
      <c r="E162" s="159">
        <v>260.08999999999997</v>
      </c>
      <c r="F162" s="159">
        <v>5188.8</v>
      </c>
      <c r="G162" s="160" t="s">
        <v>5435</v>
      </c>
      <c r="H162" s="34" t="s">
        <v>925</v>
      </c>
    </row>
    <row r="163" spans="1:8" ht="33">
      <c r="A163" s="160">
        <v>6</v>
      </c>
      <c r="B163" s="160" t="s">
        <v>929</v>
      </c>
      <c r="C163" s="157" t="s">
        <v>927</v>
      </c>
      <c r="D163" s="159">
        <v>6.65</v>
      </c>
      <c r="E163" s="159">
        <v>1388.4</v>
      </c>
      <c r="F163" s="159">
        <v>9232.86</v>
      </c>
      <c r="G163" s="160" t="s">
        <v>2</v>
      </c>
      <c r="H163" s="34" t="s">
        <v>925</v>
      </c>
    </row>
    <row r="164" spans="1:8" ht="33">
      <c r="A164" s="160">
        <v>7</v>
      </c>
      <c r="B164" s="160" t="s">
        <v>4869</v>
      </c>
      <c r="C164" s="157" t="s">
        <v>927</v>
      </c>
      <c r="D164" s="159">
        <v>6.65</v>
      </c>
      <c r="E164" s="159">
        <v>371.17</v>
      </c>
      <c r="F164" s="159">
        <v>2468.2800000000002</v>
      </c>
      <c r="G164" s="160" t="s">
        <v>5434</v>
      </c>
      <c r="H164" s="34" t="s">
        <v>925</v>
      </c>
    </row>
    <row r="165" spans="1:8" ht="33">
      <c r="A165" s="160">
        <v>8</v>
      </c>
      <c r="B165" s="160" t="s">
        <v>931</v>
      </c>
      <c r="C165" s="157" t="s">
        <v>14</v>
      </c>
      <c r="D165" s="159">
        <v>1</v>
      </c>
      <c r="E165" s="159">
        <v>1701.06</v>
      </c>
      <c r="F165" s="159">
        <v>1701.06</v>
      </c>
      <c r="G165" s="160" t="s">
        <v>2</v>
      </c>
      <c r="H165" s="34" t="s">
        <v>925</v>
      </c>
    </row>
    <row r="166" spans="1:8" ht="16.5">
      <c r="A166" s="160"/>
      <c r="B166" s="160" t="s">
        <v>933</v>
      </c>
      <c r="C166" s="157" t="s">
        <v>1</v>
      </c>
      <c r="D166" s="159">
        <v>100</v>
      </c>
      <c r="E166" s="159"/>
      <c r="F166" s="159">
        <v>58403.21</v>
      </c>
      <c r="G166" s="160"/>
    </row>
    <row r="167" spans="1:8" ht="33">
      <c r="A167" s="160"/>
      <c r="B167" s="160" t="s">
        <v>934</v>
      </c>
      <c r="C167" s="157" t="s">
        <v>1</v>
      </c>
      <c r="D167" s="159"/>
      <c r="E167" s="159"/>
      <c r="F167" s="159">
        <v>584.03</v>
      </c>
      <c r="G167" s="160"/>
      <c r="H167" s="34" t="s">
        <v>925</v>
      </c>
    </row>
    <row r="168" spans="1:8" ht="33">
      <c r="A168" s="160"/>
      <c r="B168" s="160"/>
      <c r="C168" s="157"/>
      <c r="D168" s="159"/>
      <c r="E168" s="159"/>
      <c r="F168" s="159"/>
      <c r="G168" s="160"/>
      <c r="H168" s="34" t="s">
        <v>925</v>
      </c>
    </row>
    <row r="169" spans="1:8" ht="42.75">
      <c r="A169" s="160" t="s">
        <v>994</v>
      </c>
      <c r="B169" s="160" t="s">
        <v>964</v>
      </c>
      <c r="C169" s="157" t="s">
        <v>1</v>
      </c>
      <c r="D169" s="159">
        <v>1</v>
      </c>
      <c r="E169" s="159">
        <v>6129.39</v>
      </c>
      <c r="F169" s="159"/>
      <c r="G169" s="160" t="s">
        <v>4365</v>
      </c>
      <c r="H169" s="34" t="s">
        <v>925</v>
      </c>
    </row>
    <row r="170" spans="1:8" ht="33">
      <c r="A170" s="160">
        <v>1</v>
      </c>
      <c r="B170" s="160" t="s">
        <v>4871</v>
      </c>
      <c r="C170" s="157" t="s">
        <v>927</v>
      </c>
      <c r="D170" s="159">
        <v>22.88</v>
      </c>
      <c r="E170" s="159">
        <v>260.08999999999997</v>
      </c>
      <c r="F170" s="159">
        <v>5950.86</v>
      </c>
      <c r="G170" s="160" t="s">
        <v>5435</v>
      </c>
      <c r="H170" s="34" t="s">
        <v>925</v>
      </c>
    </row>
    <row r="171" spans="1:8" ht="33">
      <c r="A171" s="160">
        <v>2</v>
      </c>
      <c r="B171" s="160" t="s">
        <v>955</v>
      </c>
      <c r="C171" s="157" t="s">
        <v>14</v>
      </c>
      <c r="D171" s="159">
        <v>1</v>
      </c>
      <c r="E171" s="159">
        <v>178.53</v>
      </c>
      <c r="F171" s="159">
        <v>178.53</v>
      </c>
      <c r="G171" s="160" t="s">
        <v>2</v>
      </c>
      <c r="H171" s="34" t="s">
        <v>925</v>
      </c>
    </row>
    <row r="172" spans="1:8" ht="33">
      <c r="A172" s="160"/>
      <c r="B172" s="160" t="s">
        <v>933</v>
      </c>
      <c r="C172" s="157" t="s">
        <v>1</v>
      </c>
      <c r="D172" s="159">
        <v>1</v>
      </c>
      <c r="E172" s="159"/>
      <c r="F172" s="159">
        <v>6129.3899999999994</v>
      </c>
      <c r="G172" s="160"/>
      <c r="H172" s="34" t="s">
        <v>925</v>
      </c>
    </row>
    <row r="173" spans="1:8" ht="33">
      <c r="A173" s="160"/>
      <c r="B173" s="160" t="s">
        <v>934</v>
      </c>
      <c r="C173" s="157" t="s">
        <v>1</v>
      </c>
      <c r="D173" s="159"/>
      <c r="E173" s="159"/>
      <c r="F173" s="159">
        <v>6129.39</v>
      </c>
      <c r="G173" s="160"/>
      <c r="H173" s="34" t="s">
        <v>925</v>
      </c>
    </row>
    <row r="174" spans="1:8" ht="16.5">
      <c r="A174" s="160"/>
      <c r="B174" s="160"/>
      <c r="C174" s="157"/>
      <c r="D174" s="159"/>
      <c r="E174" s="159"/>
      <c r="F174" s="159"/>
      <c r="G174" s="160"/>
    </row>
    <row r="175" spans="1:8" ht="42.75">
      <c r="A175" s="160" t="s">
        <v>1000</v>
      </c>
      <c r="B175" s="160" t="s">
        <v>939</v>
      </c>
      <c r="C175" s="157" t="s">
        <v>1</v>
      </c>
      <c r="D175" s="159">
        <v>100</v>
      </c>
      <c r="E175" s="159">
        <v>1736.66</v>
      </c>
      <c r="F175" s="159"/>
      <c r="G175" s="160" t="s">
        <v>4365</v>
      </c>
      <c r="H175" s="34" t="s">
        <v>925</v>
      </c>
    </row>
    <row r="176" spans="1:8" ht="33">
      <c r="A176" s="160">
        <v>1</v>
      </c>
      <c r="B176" s="160" t="s">
        <v>941</v>
      </c>
      <c r="C176" s="157" t="s">
        <v>927</v>
      </c>
      <c r="D176" s="159">
        <v>23.94</v>
      </c>
      <c r="E176" s="159">
        <v>319.33</v>
      </c>
      <c r="F176" s="159">
        <v>7644.76</v>
      </c>
      <c r="G176" s="160" t="s">
        <v>2</v>
      </c>
      <c r="H176" s="34" t="s">
        <v>925</v>
      </c>
    </row>
    <row r="177" spans="1:8" ht="33">
      <c r="A177" s="160">
        <v>2</v>
      </c>
      <c r="B177" s="160" t="s">
        <v>943</v>
      </c>
      <c r="C177" s="157" t="s">
        <v>927</v>
      </c>
      <c r="D177" s="159">
        <v>119.7</v>
      </c>
      <c r="E177" s="159">
        <v>281.38</v>
      </c>
      <c r="F177" s="159">
        <v>33681.19</v>
      </c>
      <c r="G177" s="160" t="s">
        <v>2</v>
      </c>
      <c r="H177" s="34" t="s">
        <v>925</v>
      </c>
    </row>
    <row r="178" spans="1:8" ht="33">
      <c r="A178" s="160">
        <v>3</v>
      </c>
      <c r="B178" s="160" t="s">
        <v>945</v>
      </c>
      <c r="C178" s="157" t="s">
        <v>927</v>
      </c>
      <c r="D178" s="159">
        <v>23.94</v>
      </c>
      <c r="E178" s="159">
        <v>371.17</v>
      </c>
      <c r="F178" s="159">
        <v>8885.81</v>
      </c>
      <c r="G178" s="160" t="s">
        <v>2</v>
      </c>
      <c r="H178" s="34" t="s">
        <v>925</v>
      </c>
    </row>
    <row r="179" spans="1:8" ht="33">
      <c r="A179" s="160">
        <v>4</v>
      </c>
      <c r="B179" s="160" t="s">
        <v>947</v>
      </c>
      <c r="C179" s="157" t="s">
        <v>927</v>
      </c>
      <c r="D179" s="159">
        <v>119.7</v>
      </c>
      <c r="E179" s="159">
        <v>371.17</v>
      </c>
      <c r="F179" s="159">
        <v>44429.05</v>
      </c>
      <c r="G179" s="160" t="s">
        <v>2</v>
      </c>
      <c r="H179" s="34" t="s">
        <v>925</v>
      </c>
    </row>
    <row r="180" spans="1:8" ht="33">
      <c r="A180" s="160">
        <v>5</v>
      </c>
      <c r="B180" s="160" t="s">
        <v>4871</v>
      </c>
      <c r="C180" s="157" t="s">
        <v>927</v>
      </c>
      <c r="D180" s="159">
        <v>239.4</v>
      </c>
      <c r="E180" s="159">
        <v>260.08999999999997</v>
      </c>
      <c r="F180" s="159">
        <v>62265.55</v>
      </c>
      <c r="G180" s="160" t="s">
        <v>5435</v>
      </c>
      <c r="H180" s="34" t="s">
        <v>925</v>
      </c>
    </row>
    <row r="181" spans="1:8" ht="16.5">
      <c r="A181" s="160">
        <v>6</v>
      </c>
      <c r="B181" s="160" t="s">
        <v>929</v>
      </c>
      <c r="C181" s="157" t="s">
        <v>927</v>
      </c>
      <c r="D181" s="159">
        <v>6.65</v>
      </c>
      <c r="E181" s="159">
        <v>1388.4</v>
      </c>
      <c r="F181" s="159">
        <v>9232.86</v>
      </c>
      <c r="G181" s="160" t="s">
        <v>2</v>
      </c>
    </row>
    <row r="182" spans="1:8" ht="33">
      <c r="A182" s="160">
        <v>7</v>
      </c>
      <c r="B182" s="160" t="s">
        <v>4869</v>
      </c>
      <c r="C182" s="157" t="s">
        <v>927</v>
      </c>
      <c r="D182" s="159">
        <v>6.65</v>
      </c>
      <c r="E182" s="159">
        <v>371.17</v>
      </c>
      <c r="F182" s="159">
        <v>2468.2800000000002</v>
      </c>
      <c r="G182" s="160" t="s">
        <v>5434</v>
      </c>
      <c r="H182" s="34" t="s">
        <v>925</v>
      </c>
    </row>
    <row r="183" spans="1:8" ht="33">
      <c r="A183" s="160">
        <v>8</v>
      </c>
      <c r="B183" s="160" t="s">
        <v>931</v>
      </c>
      <c r="C183" s="157" t="s">
        <v>14</v>
      </c>
      <c r="D183" s="159">
        <v>1</v>
      </c>
      <c r="E183" s="159">
        <v>5058.2299999999996</v>
      </c>
      <c r="F183" s="159">
        <v>5058.2299999999996</v>
      </c>
      <c r="G183" s="160" t="s">
        <v>2</v>
      </c>
      <c r="H183" s="34" t="s">
        <v>925</v>
      </c>
    </row>
    <row r="184" spans="1:8" ht="33">
      <c r="A184" s="160"/>
      <c r="B184" s="160" t="s">
        <v>933</v>
      </c>
      <c r="C184" s="157" t="s">
        <v>1</v>
      </c>
      <c r="D184" s="159">
        <v>100</v>
      </c>
      <c r="E184" s="159"/>
      <c r="F184" s="159">
        <v>173665.72999999998</v>
      </c>
      <c r="G184" s="160"/>
      <c r="H184" s="34" t="s">
        <v>925</v>
      </c>
    </row>
    <row r="185" spans="1:8" ht="33">
      <c r="A185" s="160"/>
      <c r="B185" s="160" t="s">
        <v>934</v>
      </c>
      <c r="C185" s="157" t="s">
        <v>1</v>
      </c>
      <c r="D185" s="159"/>
      <c r="E185" s="159"/>
      <c r="F185" s="159">
        <v>1736.66</v>
      </c>
      <c r="G185" s="160"/>
      <c r="H185" s="34" t="s">
        <v>925</v>
      </c>
    </row>
    <row r="186" spans="1:8" ht="33">
      <c r="A186" s="160"/>
      <c r="B186" s="160"/>
      <c r="C186" s="157"/>
      <c r="D186" s="159"/>
      <c r="E186" s="159"/>
      <c r="F186" s="159"/>
      <c r="G186" s="160"/>
      <c r="H186" s="34" t="s">
        <v>925</v>
      </c>
    </row>
    <row r="187" spans="1:8" ht="42.75">
      <c r="A187" s="160" t="s">
        <v>1002</v>
      </c>
      <c r="B187" s="160" t="s">
        <v>985</v>
      </c>
      <c r="C187" s="157" t="s">
        <v>1</v>
      </c>
      <c r="D187" s="159">
        <v>1</v>
      </c>
      <c r="E187" s="159">
        <v>798.32</v>
      </c>
      <c r="F187" s="159"/>
      <c r="G187" s="160" t="s">
        <v>4365</v>
      </c>
      <c r="H187" s="34" t="s">
        <v>925</v>
      </c>
    </row>
    <row r="188" spans="1:8" ht="16.5">
      <c r="A188" s="160">
        <v>1</v>
      </c>
      <c r="B188" s="160" t="s">
        <v>4871</v>
      </c>
      <c r="C188" s="157" t="s">
        <v>927</v>
      </c>
      <c r="D188" s="159">
        <v>2.98</v>
      </c>
      <c r="E188" s="159">
        <v>260.08999999999997</v>
      </c>
      <c r="F188" s="159">
        <v>775.07</v>
      </c>
      <c r="G188" s="160" t="s">
        <v>5435</v>
      </c>
    </row>
    <row r="189" spans="1:8" ht="33">
      <c r="A189" s="160">
        <v>2</v>
      </c>
      <c r="B189" s="160" t="s">
        <v>931</v>
      </c>
      <c r="C189" s="157" t="s">
        <v>14</v>
      </c>
      <c r="D189" s="159">
        <v>1</v>
      </c>
      <c r="E189" s="159">
        <v>23.25</v>
      </c>
      <c r="F189" s="159">
        <v>23.25</v>
      </c>
      <c r="G189" s="160" t="s">
        <v>2</v>
      </c>
      <c r="H189" s="34" t="s">
        <v>925</v>
      </c>
    </row>
    <row r="190" spans="1:8" ht="33">
      <c r="A190" s="160"/>
      <c r="B190" s="160" t="s">
        <v>933</v>
      </c>
      <c r="C190" s="157" t="s">
        <v>1</v>
      </c>
      <c r="D190" s="159">
        <v>1</v>
      </c>
      <c r="E190" s="159"/>
      <c r="F190" s="159">
        <v>798.32</v>
      </c>
      <c r="G190" s="160"/>
      <c r="H190" s="34" t="s">
        <v>925</v>
      </c>
    </row>
    <row r="191" spans="1:8" ht="33">
      <c r="A191" s="160"/>
      <c r="B191" s="160" t="s">
        <v>934</v>
      </c>
      <c r="C191" s="157" t="s">
        <v>1</v>
      </c>
      <c r="D191" s="159"/>
      <c r="E191" s="159"/>
      <c r="F191" s="159">
        <v>798.32</v>
      </c>
      <c r="G191" s="160"/>
      <c r="H191" s="34" t="s">
        <v>925</v>
      </c>
    </row>
    <row r="192" spans="1:8" ht="33">
      <c r="A192" s="160"/>
      <c r="B192" s="160"/>
      <c r="C192" s="157"/>
      <c r="D192" s="159"/>
      <c r="E192" s="159"/>
      <c r="F192" s="159"/>
      <c r="G192" s="160"/>
      <c r="H192" s="34" t="s">
        <v>925</v>
      </c>
    </row>
    <row r="193" spans="1:8" ht="33">
      <c r="A193" s="160" t="s">
        <v>1009</v>
      </c>
      <c r="B193" s="160" t="s">
        <v>990</v>
      </c>
      <c r="C193" s="157" t="s">
        <v>17</v>
      </c>
      <c r="D193" s="159">
        <v>200</v>
      </c>
      <c r="E193" s="159">
        <v>83.21</v>
      </c>
      <c r="F193" s="159"/>
      <c r="G193" s="160" t="s">
        <v>2</v>
      </c>
      <c r="H193" s="34" t="s">
        <v>925</v>
      </c>
    </row>
    <row r="194" spans="1:8" ht="33">
      <c r="A194" s="160">
        <v>1</v>
      </c>
      <c r="B194" s="160" t="s">
        <v>929</v>
      </c>
      <c r="C194" s="157" t="s">
        <v>927</v>
      </c>
      <c r="D194" s="159">
        <v>8</v>
      </c>
      <c r="E194" s="159">
        <v>1388.4</v>
      </c>
      <c r="F194" s="159">
        <v>11107.2</v>
      </c>
      <c r="G194" s="160" t="s">
        <v>2</v>
      </c>
      <c r="H194" s="34" t="s">
        <v>925</v>
      </c>
    </row>
    <row r="195" spans="1:8" ht="33">
      <c r="A195" s="160">
        <v>2</v>
      </c>
      <c r="B195" s="160" t="s">
        <v>4869</v>
      </c>
      <c r="C195" s="157" t="s">
        <v>927</v>
      </c>
      <c r="D195" s="159">
        <v>8</v>
      </c>
      <c r="E195" s="159">
        <v>371.17</v>
      </c>
      <c r="F195" s="159">
        <v>2969.36</v>
      </c>
      <c r="G195" s="160" t="s">
        <v>5434</v>
      </c>
      <c r="H195" s="34" t="s">
        <v>925</v>
      </c>
    </row>
    <row r="196" spans="1:8" ht="33">
      <c r="A196" s="160">
        <v>3</v>
      </c>
      <c r="B196" s="160" t="s">
        <v>4871</v>
      </c>
      <c r="C196" s="157" t="s">
        <v>927</v>
      </c>
      <c r="D196" s="159">
        <v>8</v>
      </c>
      <c r="E196" s="159">
        <v>260.08999999999997</v>
      </c>
      <c r="F196" s="159">
        <v>2080.7199999999998</v>
      </c>
      <c r="G196" s="160" t="s">
        <v>5435</v>
      </c>
      <c r="H196" s="34" t="s">
        <v>925</v>
      </c>
    </row>
    <row r="197" spans="1:8" ht="33">
      <c r="A197" s="160">
        <v>4</v>
      </c>
      <c r="B197" s="160" t="s">
        <v>931</v>
      </c>
      <c r="C197" s="157" t="s">
        <v>14</v>
      </c>
      <c r="D197" s="159">
        <v>1</v>
      </c>
      <c r="E197" s="159">
        <v>484.72</v>
      </c>
      <c r="F197" s="159">
        <v>484.72</v>
      </c>
      <c r="G197" s="160" t="s">
        <v>2</v>
      </c>
      <c r="H197" s="34" t="s">
        <v>925</v>
      </c>
    </row>
    <row r="198" spans="1:8" ht="16.5">
      <c r="A198" s="160"/>
      <c r="B198" s="160" t="s">
        <v>933</v>
      </c>
      <c r="C198" s="157" t="s">
        <v>17</v>
      </c>
      <c r="D198" s="159">
        <v>200</v>
      </c>
      <c r="E198" s="159"/>
      <c r="F198" s="159">
        <v>16642</v>
      </c>
      <c r="G198" s="160"/>
    </row>
    <row r="199" spans="1:8" ht="33">
      <c r="A199" s="160"/>
      <c r="B199" s="160" t="s">
        <v>934</v>
      </c>
      <c r="C199" s="157" t="s">
        <v>17</v>
      </c>
      <c r="D199" s="159"/>
      <c r="E199" s="159"/>
      <c r="F199" s="159">
        <v>83.21</v>
      </c>
      <c r="G199" s="160"/>
      <c r="H199" s="34" t="s">
        <v>925</v>
      </c>
    </row>
    <row r="200" spans="1:8" ht="33">
      <c r="A200" s="160"/>
      <c r="B200" s="160"/>
      <c r="C200" s="157"/>
      <c r="D200" s="159"/>
      <c r="E200" s="159"/>
      <c r="F200" s="159"/>
      <c r="G200" s="160"/>
      <c r="H200" s="34" t="s">
        <v>925</v>
      </c>
    </row>
    <row r="201" spans="1:8" ht="42.75">
      <c r="A201" s="160" t="s">
        <v>1018</v>
      </c>
      <c r="B201" s="160" t="s">
        <v>990</v>
      </c>
      <c r="C201" s="157" t="s">
        <v>17</v>
      </c>
      <c r="D201" s="159">
        <v>200</v>
      </c>
      <c r="E201" s="159">
        <v>110.67</v>
      </c>
      <c r="F201" s="159"/>
      <c r="G201" s="160" t="s">
        <v>4365</v>
      </c>
      <c r="H201" s="34" t="s">
        <v>925</v>
      </c>
    </row>
    <row r="202" spans="1:8" ht="33">
      <c r="A202" s="160">
        <v>1</v>
      </c>
      <c r="B202" s="160" t="s">
        <v>929</v>
      </c>
      <c r="C202" s="157" t="s">
        <v>927</v>
      </c>
      <c r="D202" s="159">
        <v>10.64</v>
      </c>
      <c r="E202" s="159">
        <v>1388.4</v>
      </c>
      <c r="F202" s="159">
        <v>14772.58</v>
      </c>
      <c r="G202" s="160" t="s">
        <v>2</v>
      </c>
      <c r="H202" s="34" t="s">
        <v>925</v>
      </c>
    </row>
    <row r="203" spans="1:8" ht="33">
      <c r="A203" s="160">
        <v>2</v>
      </c>
      <c r="B203" s="160" t="s">
        <v>4869</v>
      </c>
      <c r="C203" s="157" t="s">
        <v>927</v>
      </c>
      <c r="D203" s="159">
        <v>10.64</v>
      </c>
      <c r="E203" s="159">
        <v>371.17</v>
      </c>
      <c r="F203" s="159">
        <v>3949.25</v>
      </c>
      <c r="G203" s="160" t="s">
        <v>5434</v>
      </c>
      <c r="H203" s="34" t="s">
        <v>925</v>
      </c>
    </row>
    <row r="204" spans="1:8" ht="33">
      <c r="A204" s="160">
        <v>3</v>
      </c>
      <c r="B204" s="160" t="s">
        <v>4871</v>
      </c>
      <c r="C204" s="157" t="s">
        <v>927</v>
      </c>
      <c r="D204" s="159">
        <v>10.64</v>
      </c>
      <c r="E204" s="159">
        <v>260.08999999999997</v>
      </c>
      <c r="F204" s="159">
        <v>2767.36</v>
      </c>
      <c r="G204" s="160" t="s">
        <v>5435</v>
      </c>
      <c r="H204" s="34" t="s">
        <v>925</v>
      </c>
    </row>
    <row r="205" spans="1:8" ht="33">
      <c r="A205" s="160">
        <v>4</v>
      </c>
      <c r="B205" s="160" t="s">
        <v>931</v>
      </c>
      <c r="C205" s="157" t="s">
        <v>14</v>
      </c>
      <c r="D205" s="159">
        <v>1</v>
      </c>
      <c r="E205" s="159">
        <v>644.67999999999995</v>
      </c>
      <c r="F205" s="159">
        <v>644.67999999999995</v>
      </c>
      <c r="G205" s="160" t="s">
        <v>2</v>
      </c>
      <c r="H205" s="34" t="s">
        <v>925</v>
      </c>
    </row>
    <row r="206" spans="1:8" ht="16.5">
      <c r="A206" s="160"/>
      <c r="B206" s="160" t="s">
        <v>933</v>
      </c>
      <c r="C206" s="157" t="s">
        <v>17</v>
      </c>
      <c r="D206" s="159">
        <v>200</v>
      </c>
      <c r="E206" s="159"/>
      <c r="F206" s="159">
        <v>22133.870000000003</v>
      </c>
      <c r="G206" s="160"/>
    </row>
    <row r="207" spans="1:8" ht="33">
      <c r="A207" s="160"/>
      <c r="B207" s="160" t="s">
        <v>934</v>
      </c>
      <c r="C207" s="157" t="s">
        <v>17</v>
      </c>
      <c r="D207" s="159"/>
      <c r="E207" s="159"/>
      <c r="F207" s="159">
        <v>110.67</v>
      </c>
      <c r="G207" s="160"/>
      <c r="H207" s="34" t="s">
        <v>925</v>
      </c>
    </row>
    <row r="208" spans="1:8" ht="33">
      <c r="A208" s="160"/>
      <c r="B208" s="160"/>
      <c r="C208" s="157"/>
      <c r="D208" s="159"/>
      <c r="E208" s="159"/>
      <c r="F208" s="159"/>
      <c r="G208" s="160"/>
      <c r="H208" s="34" t="s">
        <v>925</v>
      </c>
    </row>
    <row r="209" spans="1:8" ht="33">
      <c r="A209" s="160" t="s">
        <v>1032</v>
      </c>
      <c r="B209" s="160" t="s">
        <v>995</v>
      </c>
      <c r="C209" s="157" t="s">
        <v>0</v>
      </c>
      <c r="D209" s="159">
        <v>100</v>
      </c>
      <c r="E209" s="159">
        <v>550.19000000000005</v>
      </c>
      <c r="F209" s="159"/>
      <c r="G209" s="160" t="s">
        <v>2</v>
      </c>
      <c r="H209" s="34" t="s">
        <v>925</v>
      </c>
    </row>
    <row r="210" spans="1:8" ht="33">
      <c r="A210" s="160">
        <v>1</v>
      </c>
      <c r="B210" s="160" t="s">
        <v>997</v>
      </c>
      <c r="C210" s="157" t="s">
        <v>927</v>
      </c>
      <c r="D210" s="159">
        <v>36.97</v>
      </c>
      <c r="E210" s="159">
        <v>1073.7</v>
      </c>
      <c r="F210" s="159">
        <v>39694.69</v>
      </c>
      <c r="G210" s="160" t="s">
        <v>2</v>
      </c>
      <c r="H210" s="34" t="s">
        <v>925</v>
      </c>
    </row>
    <row r="211" spans="1:8" ht="33">
      <c r="A211" s="160">
        <v>2</v>
      </c>
      <c r="B211" s="160" t="s">
        <v>999</v>
      </c>
      <c r="C211" s="157" t="s">
        <v>927</v>
      </c>
      <c r="D211" s="159">
        <v>36.97</v>
      </c>
      <c r="E211" s="159">
        <v>371.17</v>
      </c>
      <c r="F211" s="159">
        <v>13722.15</v>
      </c>
      <c r="G211" s="160" t="s">
        <v>4379</v>
      </c>
      <c r="H211" s="34" t="s">
        <v>925</v>
      </c>
    </row>
    <row r="212" spans="1:8" ht="33">
      <c r="A212" s="160">
        <v>3</v>
      </c>
      <c r="B212" s="160" t="s">
        <v>931</v>
      </c>
      <c r="C212" s="157" t="s">
        <v>14</v>
      </c>
      <c r="D212" s="159">
        <v>1</v>
      </c>
      <c r="E212" s="159">
        <v>1602.51</v>
      </c>
      <c r="F212" s="159">
        <v>1602.51</v>
      </c>
      <c r="G212" s="160" t="s">
        <v>2</v>
      </c>
      <c r="H212" s="34" t="s">
        <v>925</v>
      </c>
    </row>
    <row r="213" spans="1:8" ht="33">
      <c r="A213" s="160"/>
      <c r="B213" s="160" t="s">
        <v>933</v>
      </c>
      <c r="C213" s="157" t="s">
        <v>0</v>
      </c>
      <c r="D213" s="159">
        <v>100</v>
      </c>
      <c r="E213" s="159"/>
      <c r="F213" s="159">
        <v>55019.350000000006</v>
      </c>
      <c r="G213" s="160"/>
      <c r="H213" s="34" t="s">
        <v>925</v>
      </c>
    </row>
    <row r="214" spans="1:8" ht="33">
      <c r="A214" s="160"/>
      <c r="B214" s="160" t="s">
        <v>934</v>
      </c>
      <c r="C214" s="157" t="s">
        <v>0</v>
      </c>
      <c r="D214" s="159"/>
      <c r="E214" s="159"/>
      <c r="F214" s="159">
        <v>550.19000000000005</v>
      </c>
      <c r="G214" s="160"/>
      <c r="H214" s="34" t="s">
        <v>925</v>
      </c>
    </row>
    <row r="215" spans="1:8" ht="33">
      <c r="A215" s="160"/>
      <c r="B215" s="160"/>
      <c r="C215" s="157"/>
      <c r="D215" s="159"/>
      <c r="E215" s="159"/>
      <c r="F215" s="159"/>
      <c r="G215" s="160"/>
      <c r="H215" s="34" t="s">
        <v>925</v>
      </c>
    </row>
    <row r="216" spans="1:8" ht="42.75">
      <c r="A216" s="160" t="s">
        <v>1035</v>
      </c>
      <c r="B216" s="160" t="s">
        <v>995</v>
      </c>
      <c r="C216" s="157" t="s">
        <v>0</v>
      </c>
      <c r="D216" s="159">
        <v>100</v>
      </c>
      <c r="E216" s="159">
        <v>731.76</v>
      </c>
      <c r="F216" s="159"/>
      <c r="G216" s="160" t="s">
        <v>4365</v>
      </c>
      <c r="H216" s="34" t="s">
        <v>925</v>
      </c>
    </row>
    <row r="217" spans="1:8" ht="33">
      <c r="A217" s="160">
        <v>1</v>
      </c>
      <c r="B217" s="160" t="s">
        <v>997</v>
      </c>
      <c r="C217" s="157" t="s">
        <v>927</v>
      </c>
      <c r="D217" s="159">
        <v>49.17</v>
      </c>
      <c r="E217" s="159">
        <v>1073.7</v>
      </c>
      <c r="F217" s="159">
        <v>52793.83</v>
      </c>
      <c r="G217" s="160" t="s">
        <v>2</v>
      </c>
      <c r="H217" s="34" t="s">
        <v>925</v>
      </c>
    </row>
    <row r="218" spans="1:8" ht="33">
      <c r="A218" s="160">
        <v>2</v>
      </c>
      <c r="B218" s="160" t="s">
        <v>999</v>
      </c>
      <c r="C218" s="157" t="s">
        <v>927</v>
      </c>
      <c r="D218" s="159">
        <v>49.17</v>
      </c>
      <c r="E218" s="159">
        <v>371.17</v>
      </c>
      <c r="F218" s="159">
        <v>18250.43</v>
      </c>
      <c r="G218" s="160" t="s">
        <v>4379</v>
      </c>
      <c r="H218" s="34" t="s">
        <v>925</v>
      </c>
    </row>
    <row r="219" spans="1:8" ht="16.5">
      <c r="A219" s="160">
        <v>3</v>
      </c>
      <c r="B219" s="160" t="s">
        <v>931</v>
      </c>
      <c r="C219" s="157" t="s">
        <v>14</v>
      </c>
      <c r="D219" s="159">
        <v>1</v>
      </c>
      <c r="E219" s="159">
        <v>2131.33</v>
      </c>
      <c r="F219" s="159">
        <v>2131.33</v>
      </c>
      <c r="G219" s="160" t="s">
        <v>2</v>
      </c>
    </row>
    <row r="220" spans="1:8" ht="33">
      <c r="A220" s="160"/>
      <c r="B220" s="160" t="s">
        <v>933</v>
      </c>
      <c r="C220" s="157" t="s">
        <v>0</v>
      </c>
      <c r="D220" s="159">
        <v>100</v>
      </c>
      <c r="E220" s="159"/>
      <c r="F220" s="159">
        <v>73175.590000000011</v>
      </c>
      <c r="G220" s="160"/>
      <c r="H220" s="34" t="s">
        <v>925</v>
      </c>
    </row>
    <row r="221" spans="1:8" ht="33">
      <c r="A221" s="160"/>
      <c r="B221" s="160" t="s">
        <v>934</v>
      </c>
      <c r="C221" s="157" t="s">
        <v>0</v>
      </c>
      <c r="D221" s="159"/>
      <c r="E221" s="159"/>
      <c r="F221" s="159">
        <v>731.76</v>
      </c>
      <c r="G221" s="160"/>
      <c r="H221" s="34" t="s">
        <v>925</v>
      </c>
    </row>
    <row r="222" spans="1:8" ht="33">
      <c r="A222" s="160"/>
      <c r="B222" s="160"/>
      <c r="C222" s="157"/>
      <c r="D222" s="159"/>
      <c r="E222" s="159"/>
      <c r="F222" s="159"/>
      <c r="G222" s="160"/>
      <c r="H222" s="34" t="s">
        <v>925</v>
      </c>
    </row>
    <row r="223" spans="1:8" ht="33">
      <c r="A223" s="160" t="s">
        <v>1042</v>
      </c>
      <c r="B223" s="160" t="s">
        <v>4443</v>
      </c>
      <c r="C223" s="157" t="s">
        <v>0</v>
      </c>
      <c r="D223" s="159">
        <v>100</v>
      </c>
      <c r="E223" s="159">
        <v>795.34</v>
      </c>
      <c r="F223" s="159"/>
      <c r="G223" s="160" t="s">
        <v>2</v>
      </c>
      <c r="H223" s="34" t="s">
        <v>925</v>
      </c>
    </row>
    <row r="224" spans="1:8" ht="33">
      <c r="A224" s="160">
        <v>1</v>
      </c>
      <c r="B224" s="160" t="s">
        <v>997</v>
      </c>
      <c r="C224" s="157" t="s">
        <v>927</v>
      </c>
      <c r="D224" s="159">
        <v>42.52</v>
      </c>
      <c r="E224" s="159">
        <v>1073.7</v>
      </c>
      <c r="F224" s="159">
        <v>45653.72</v>
      </c>
      <c r="G224" s="160" t="s">
        <v>2</v>
      </c>
      <c r="H224" s="34" t="s">
        <v>925</v>
      </c>
    </row>
    <row r="225" spans="1:8" ht="16.5">
      <c r="A225" s="160">
        <v>2</v>
      </c>
      <c r="B225" s="160" t="s">
        <v>4879</v>
      </c>
      <c r="C225" s="157" t="s">
        <v>927</v>
      </c>
      <c r="D225" s="159">
        <v>42.52</v>
      </c>
      <c r="E225" s="159">
        <v>742.33</v>
      </c>
      <c r="F225" s="159">
        <v>31563.87</v>
      </c>
      <c r="G225" s="160" t="s">
        <v>4379</v>
      </c>
    </row>
    <row r="226" spans="1:8" ht="33">
      <c r="A226" s="160">
        <v>3</v>
      </c>
      <c r="B226" s="160" t="s">
        <v>931</v>
      </c>
      <c r="C226" s="157" t="s">
        <v>14</v>
      </c>
      <c r="D226" s="159">
        <v>1</v>
      </c>
      <c r="E226" s="159">
        <v>2316.5300000000002</v>
      </c>
      <c r="F226" s="159">
        <v>2316.5300000000002</v>
      </c>
      <c r="G226" s="160" t="s">
        <v>2</v>
      </c>
      <c r="H226" s="34" t="s">
        <v>925</v>
      </c>
    </row>
    <row r="227" spans="1:8" ht="33">
      <c r="A227" s="160"/>
      <c r="B227" s="160" t="s">
        <v>933</v>
      </c>
      <c r="C227" s="157" t="s">
        <v>0</v>
      </c>
      <c r="D227" s="159">
        <v>100</v>
      </c>
      <c r="E227" s="159"/>
      <c r="F227" s="159">
        <v>79534.12</v>
      </c>
      <c r="G227" s="160"/>
      <c r="H227" s="34" t="s">
        <v>925</v>
      </c>
    </row>
    <row r="228" spans="1:8" ht="33">
      <c r="A228" s="160"/>
      <c r="B228" s="160" t="s">
        <v>934</v>
      </c>
      <c r="C228" s="157" t="s">
        <v>0</v>
      </c>
      <c r="D228" s="159"/>
      <c r="E228" s="159"/>
      <c r="F228" s="159">
        <v>795.34</v>
      </c>
      <c r="G228" s="160"/>
      <c r="H228" s="34" t="s">
        <v>925</v>
      </c>
    </row>
    <row r="229" spans="1:8" ht="33">
      <c r="A229" s="160"/>
      <c r="B229" s="160"/>
      <c r="C229" s="157"/>
      <c r="D229" s="159"/>
      <c r="E229" s="159"/>
      <c r="F229" s="159"/>
      <c r="G229" s="160"/>
      <c r="H229" s="34" t="s">
        <v>925</v>
      </c>
    </row>
    <row r="230" spans="1:8" ht="33">
      <c r="A230" s="160" t="s">
        <v>1047</v>
      </c>
      <c r="B230" s="160" t="s">
        <v>1003</v>
      </c>
      <c r="C230" s="157" t="s">
        <v>1</v>
      </c>
      <c r="D230" s="159">
        <v>100</v>
      </c>
      <c r="E230" s="159">
        <v>91.42</v>
      </c>
      <c r="F230" s="159"/>
      <c r="G230" s="160" t="s">
        <v>2</v>
      </c>
      <c r="H230" s="34" t="s">
        <v>925</v>
      </c>
    </row>
    <row r="231" spans="1:8" ht="33">
      <c r="A231" s="160">
        <v>1</v>
      </c>
      <c r="B231" s="160" t="s">
        <v>1005</v>
      </c>
      <c r="C231" s="157" t="s">
        <v>927</v>
      </c>
      <c r="D231" s="159">
        <v>2</v>
      </c>
      <c r="E231" s="159">
        <v>906.16</v>
      </c>
      <c r="F231" s="159">
        <v>1812.32</v>
      </c>
      <c r="G231" s="160" t="s">
        <v>2</v>
      </c>
      <c r="H231" s="34" t="s">
        <v>925</v>
      </c>
    </row>
    <row r="232" spans="1:8" ht="33">
      <c r="A232" s="160">
        <v>2</v>
      </c>
      <c r="B232" s="160" t="s">
        <v>929</v>
      </c>
      <c r="C232" s="157" t="s">
        <v>927</v>
      </c>
      <c r="D232" s="159">
        <v>2</v>
      </c>
      <c r="E232" s="159">
        <v>1388.4</v>
      </c>
      <c r="F232" s="159">
        <v>2776.8</v>
      </c>
      <c r="G232" s="160" t="s">
        <v>2</v>
      </c>
      <c r="H232" s="34" t="s">
        <v>925</v>
      </c>
    </row>
    <row r="233" spans="1:8" ht="28.5">
      <c r="A233" s="160">
        <v>3</v>
      </c>
      <c r="B233" s="160" t="s">
        <v>4881</v>
      </c>
      <c r="C233" s="157" t="s">
        <v>927</v>
      </c>
      <c r="D233" s="159">
        <v>8</v>
      </c>
      <c r="E233" s="159">
        <v>371.17</v>
      </c>
      <c r="F233" s="159">
        <v>2969.36</v>
      </c>
      <c r="G233" s="160" t="s">
        <v>5437</v>
      </c>
    </row>
    <row r="234" spans="1:8" ht="33">
      <c r="A234" s="160">
        <v>4</v>
      </c>
      <c r="B234" s="160" t="s">
        <v>4871</v>
      </c>
      <c r="C234" s="157" t="s">
        <v>927</v>
      </c>
      <c r="D234" s="159">
        <v>4</v>
      </c>
      <c r="E234" s="159">
        <v>260.08999999999997</v>
      </c>
      <c r="F234" s="159">
        <v>1040.3599999999999</v>
      </c>
      <c r="G234" s="160" t="s">
        <v>5435</v>
      </c>
      <c r="H234" s="34" t="s">
        <v>925</v>
      </c>
    </row>
    <row r="235" spans="1:8" ht="33">
      <c r="A235" s="160">
        <v>5</v>
      </c>
      <c r="B235" s="160" t="s">
        <v>1007</v>
      </c>
      <c r="C235" s="157" t="s">
        <v>14</v>
      </c>
      <c r="D235" s="159">
        <v>1</v>
      </c>
      <c r="E235" s="159">
        <v>276.52</v>
      </c>
      <c r="F235" s="159">
        <v>276.52</v>
      </c>
      <c r="G235" s="160" t="s">
        <v>2</v>
      </c>
      <c r="H235" s="34" t="s">
        <v>925</v>
      </c>
    </row>
    <row r="236" spans="1:8" ht="33">
      <c r="A236" s="160">
        <v>6</v>
      </c>
      <c r="B236" s="160" t="s">
        <v>931</v>
      </c>
      <c r="C236" s="157" t="s">
        <v>14</v>
      </c>
      <c r="D236" s="159">
        <v>1</v>
      </c>
      <c r="E236" s="159">
        <v>266.26</v>
      </c>
      <c r="F236" s="159">
        <v>266.26</v>
      </c>
      <c r="G236" s="160" t="s">
        <v>2</v>
      </c>
      <c r="H236" s="34" t="s">
        <v>925</v>
      </c>
    </row>
    <row r="237" spans="1:8" ht="33">
      <c r="A237" s="160"/>
      <c r="B237" s="160" t="s">
        <v>933</v>
      </c>
      <c r="C237" s="157" t="s">
        <v>1</v>
      </c>
      <c r="D237" s="159">
        <v>100</v>
      </c>
      <c r="E237" s="159"/>
      <c r="F237" s="159">
        <v>9141.6200000000008</v>
      </c>
      <c r="G237" s="160"/>
      <c r="H237" s="34" t="s">
        <v>925</v>
      </c>
    </row>
    <row r="238" spans="1:8" ht="33">
      <c r="A238" s="160"/>
      <c r="B238" s="160" t="s">
        <v>934</v>
      </c>
      <c r="C238" s="157" t="s">
        <v>1</v>
      </c>
      <c r="D238" s="159"/>
      <c r="E238" s="159"/>
      <c r="F238" s="159">
        <v>91.42</v>
      </c>
      <c r="G238" s="160"/>
      <c r="H238" s="34" t="s">
        <v>925</v>
      </c>
    </row>
    <row r="239" spans="1:8" ht="33">
      <c r="A239" s="160"/>
      <c r="B239" s="160"/>
      <c r="C239" s="157"/>
      <c r="D239" s="159"/>
      <c r="E239" s="159"/>
      <c r="F239" s="159"/>
      <c r="G239" s="160"/>
      <c r="H239" s="34" t="s">
        <v>925</v>
      </c>
    </row>
    <row r="240" spans="1:8" ht="16.5">
      <c r="A240" s="160" t="s">
        <v>1066</v>
      </c>
      <c r="B240" s="160" t="s">
        <v>1010</v>
      </c>
      <c r="C240" s="157" t="s">
        <v>1</v>
      </c>
      <c r="D240" s="159">
        <v>1</v>
      </c>
      <c r="E240" s="159">
        <v>557.71</v>
      </c>
      <c r="F240" s="159"/>
      <c r="G240" s="160" t="s">
        <v>2</v>
      </c>
    </row>
    <row r="241" spans="1:8" ht="33">
      <c r="A241" s="160">
        <v>1</v>
      </c>
      <c r="B241" s="160" t="s">
        <v>1012</v>
      </c>
      <c r="C241" s="157" t="s">
        <v>1</v>
      </c>
      <c r="D241" s="159">
        <v>0.9</v>
      </c>
      <c r="E241" s="159">
        <v>323.95999999999998</v>
      </c>
      <c r="F241" s="159">
        <v>291.56</v>
      </c>
      <c r="G241" s="160" t="s">
        <v>2</v>
      </c>
      <c r="H241" s="34" t="s">
        <v>925</v>
      </c>
    </row>
    <row r="242" spans="1:8" ht="33">
      <c r="A242" s="160">
        <v>2</v>
      </c>
      <c r="B242" s="160" t="s">
        <v>1014</v>
      </c>
      <c r="C242" s="157" t="s">
        <v>1</v>
      </c>
      <c r="D242" s="159">
        <v>0.1</v>
      </c>
      <c r="E242" s="159">
        <v>647.91999999999996</v>
      </c>
      <c r="F242" s="159">
        <v>64.790000000000006</v>
      </c>
      <c r="G242" s="160" t="s">
        <v>2</v>
      </c>
      <c r="H242" s="34" t="s">
        <v>925</v>
      </c>
    </row>
    <row r="243" spans="1:8" ht="33">
      <c r="A243" s="160">
        <v>3</v>
      </c>
      <c r="B243" s="160" t="s">
        <v>1016</v>
      </c>
      <c r="C243" s="157" t="s">
        <v>1</v>
      </c>
      <c r="D243" s="159">
        <v>1</v>
      </c>
      <c r="E243" s="159">
        <v>185.12</v>
      </c>
      <c r="F243" s="159">
        <v>185.12</v>
      </c>
      <c r="G243" s="160" t="s">
        <v>2</v>
      </c>
      <c r="H243" s="34" t="s">
        <v>925</v>
      </c>
    </row>
    <row r="244" spans="1:8" ht="33">
      <c r="A244" s="160">
        <v>4</v>
      </c>
      <c r="B244" s="160" t="s">
        <v>955</v>
      </c>
      <c r="C244" s="157" t="s">
        <v>14</v>
      </c>
      <c r="D244" s="159">
        <v>1</v>
      </c>
      <c r="E244" s="159">
        <v>16.239999999999998</v>
      </c>
      <c r="F244" s="159">
        <v>16.239999999999998</v>
      </c>
      <c r="G244" s="160" t="s">
        <v>2</v>
      </c>
      <c r="H244" s="34" t="s">
        <v>925</v>
      </c>
    </row>
    <row r="245" spans="1:8" ht="33">
      <c r="A245" s="160"/>
      <c r="B245" s="160" t="s">
        <v>933</v>
      </c>
      <c r="C245" s="157" t="s">
        <v>1</v>
      </c>
      <c r="D245" s="159">
        <v>1</v>
      </c>
      <c r="E245" s="159"/>
      <c r="F245" s="159">
        <v>557.71</v>
      </c>
      <c r="G245" s="160"/>
      <c r="H245" s="34" t="s">
        <v>925</v>
      </c>
    </row>
    <row r="246" spans="1:8" ht="33">
      <c r="A246" s="160"/>
      <c r="B246" s="160" t="s">
        <v>934</v>
      </c>
      <c r="C246" s="157" t="s">
        <v>1</v>
      </c>
      <c r="D246" s="159"/>
      <c r="E246" s="159"/>
      <c r="F246" s="159">
        <v>557.71</v>
      </c>
      <c r="G246" s="160"/>
      <c r="H246" s="34" t="s">
        <v>925</v>
      </c>
    </row>
    <row r="247" spans="1:8" ht="33">
      <c r="A247" s="160"/>
      <c r="B247" s="160"/>
      <c r="C247" s="157"/>
      <c r="D247" s="159"/>
      <c r="E247" s="159"/>
      <c r="F247" s="159"/>
      <c r="G247" s="160"/>
      <c r="H247" s="34" t="s">
        <v>925</v>
      </c>
    </row>
    <row r="248" spans="1:8" ht="33">
      <c r="A248" s="160" t="s">
        <v>1071</v>
      </c>
      <c r="B248" s="160" t="s">
        <v>1019</v>
      </c>
      <c r="C248" s="157" t="s">
        <v>1</v>
      </c>
      <c r="D248" s="159">
        <v>20000</v>
      </c>
      <c r="E248" s="159">
        <v>128.66</v>
      </c>
      <c r="F248" s="159"/>
      <c r="G248" s="160" t="s">
        <v>2</v>
      </c>
      <c r="H248" s="34" t="s">
        <v>925</v>
      </c>
    </row>
    <row r="249" spans="1:8" ht="33">
      <c r="A249" s="160">
        <v>1</v>
      </c>
      <c r="B249" s="160" t="s">
        <v>1021</v>
      </c>
      <c r="C249" s="157" t="s">
        <v>14</v>
      </c>
      <c r="D249" s="159">
        <v>1</v>
      </c>
      <c r="E249" s="159">
        <v>138840.25</v>
      </c>
      <c r="F249" s="159">
        <v>138840.25</v>
      </c>
      <c r="G249" s="160" t="s">
        <v>2</v>
      </c>
      <c r="H249" s="34" t="s">
        <v>925</v>
      </c>
    </row>
    <row r="250" spans="1:8" ht="33">
      <c r="A250" s="160">
        <v>2</v>
      </c>
      <c r="B250" s="160" t="s">
        <v>1023</v>
      </c>
      <c r="C250" s="157" t="s">
        <v>1024</v>
      </c>
      <c r="D250" s="159">
        <v>1</v>
      </c>
      <c r="E250" s="159">
        <v>462800.83</v>
      </c>
      <c r="F250" s="159">
        <v>462800.83</v>
      </c>
      <c r="G250" s="160" t="s">
        <v>2</v>
      </c>
      <c r="H250" s="34" t="s">
        <v>925</v>
      </c>
    </row>
    <row r="251" spans="1:8" ht="33">
      <c r="A251" s="160">
        <v>3</v>
      </c>
      <c r="B251" s="160" t="s">
        <v>1026</v>
      </c>
      <c r="C251" s="157" t="s">
        <v>14</v>
      </c>
      <c r="D251" s="159">
        <v>1</v>
      </c>
      <c r="E251" s="159">
        <v>92560.17</v>
      </c>
      <c r="F251" s="159">
        <v>92560.17</v>
      </c>
      <c r="G251" s="160" t="s">
        <v>2</v>
      </c>
      <c r="H251" s="34" t="s">
        <v>925</v>
      </c>
    </row>
    <row r="252" spans="1:8" ht="33">
      <c r="A252" s="160">
        <v>4</v>
      </c>
      <c r="B252" s="160" t="s">
        <v>1028</v>
      </c>
      <c r="C252" s="157" t="s">
        <v>1024</v>
      </c>
      <c r="D252" s="159">
        <v>1</v>
      </c>
      <c r="E252" s="159">
        <v>259168.47</v>
      </c>
      <c r="F252" s="159">
        <v>259168.47</v>
      </c>
      <c r="G252" s="160" t="s">
        <v>2</v>
      </c>
      <c r="H252" s="34" t="s">
        <v>925</v>
      </c>
    </row>
    <row r="253" spans="1:8" ht="33">
      <c r="A253" s="160">
        <v>5</v>
      </c>
      <c r="B253" s="160" t="s">
        <v>929</v>
      </c>
      <c r="C253" s="157" t="s">
        <v>927</v>
      </c>
      <c r="D253" s="159">
        <v>800</v>
      </c>
      <c r="E253" s="159">
        <v>1388.4</v>
      </c>
      <c r="F253" s="159">
        <v>1110720</v>
      </c>
      <c r="G253" s="160" t="s">
        <v>2</v>
      </c>
      <c r="H253" s="34" t="s">
        <v>925</v>
      </c>
    </row>
    <row r="254" spans="1:8" ht="33">
      <c r="A254" s="160">
        <v>6</v>
      </c>
      <c r="B254" s="160" t="s">
        <v>4881</v>
      </c>
      <c r="C254" s="157" t="s">
        <v>927</v>
      </c>
      <c r="D254" s="159">
        <v>800</v>
      </c>
      <c r="E254" s="159">
        <v>371.17</v>
      </c>
      <c r="F254" s="159">
        <v>296936</v>
      </c>
      <c r="G254" s="160" t="s">
        <v>5437</v>
      </c>
      <c r="H254" s="34" t="s">
        <v>925</v>
      </c>
    </row>
    <row r="255" spans="1:8" ht="33">
      <c r="A255" s="160">
        <v>7</v>
      </c>
      <c r="B255" s="160" t="s">
        <v>4871</v>
      </c>
      <c r="C255" s="157" t="s">
        <v>927</v>
      </c>
      <c r="D255" s="159">
        <v>350</v>
      </c>
      <c r="E255" s="159">
        <v>260.08999999999997</v>
      </c>
      <c r="F255" s="159">
        <v>91031.5</v>
      </c>
      <c r="G255" s="160" t="s">
        <v>5435</v>
      </c>
      <c r="H255" s="34" t="s">
        <v>925</v>
      </c>
    </row>
    <row r="256" spans="1:8" ht="16.5">
      <c r="A256" s="160">
        <v>8</v>
      </c>
      <c r="B256" s="160" t="s">
        <v>1030</v>
      </c>
      <c r="C256" s="157" t="s">
        <v>14</v>
      </c>
      <c r="D256" s="159">
        <v>1</v>
      </c>
      <c r="E256" s="159">
        <v>46280.08</v>
      </c>
      <c r="F256" s="159">
        <v>46280.08</v>
      </c>
      <c r="G256" s="160" t="s">
        <v>2</v>
      </c>
    </row>
    <row r="257" spans="1:8" ht="33">
      <c r="A257" s="160">
        <v>9</v>
      </c>
      <c r="B257" s="160" t="s">
        <v>931</v>
      </c>
      <c r="C257" s="157" t="s">
        <v>14</v>
      </c>
      <c r="D257" s="159">
        <v>1</v>
      </c>
      <c r="E257" s="159">
        <v>74950.12</v>
      </c>
      <c r="F257" s="159">
        <v>74950.12</v>
      </c>
      <c r="G257" s="160" t="s">
        <v>2</v>
      </c>
      <c r="H257" s="34" t="s">
        <v>925</v>
      </c>
    </row>
    <row r="258" spans="1:8" ht="33">
      <c r="A258" s="160"/>
      <c r="B258" s="160" t="s">
        <v>933</v>
      </c>
      <c r="C258" s="157" t="s">
        <v>1</v>
      </c>
      <c r="D258" s="159">
        <v>20000</v>
      </c>
      <c r="E258" s="159"/>
      <c r="F258" s="159">
        <v>2573287.4200000004</v>
      </c>
      <c r="G258" s="160"/>
      <c r="H258" s="34" t="s">
        <v>925</v>
      </c>
    </row>
    <row r="259" spans="1:8" ht="33">
      <c r="A259" s="160"/>
      <c r="B259" s="160" t="s">
        <v>934</v>
      </c>
      <c r="C259" s="157" t="s">
        <v>1</v>
      </c>
      <c r="D259" s="159"/>
      <c r="E259" s="159"/>
      <c r="F259" s="159">
        <v>128.66</v>
      </c>
      <c r="G259" s="160"/>
      <c r="H259" s="34" t="s">
        <v>925</v>
      </c>
    </row>
    <row r="260" spans="1:8" ht="33">
      <c r="A260" s="160"/>
      <c r="B260" s="160"/>
      <c r="C260" s="157"/>
      <c r="D260" s="159"/>
      <c r="E260" s="159"/>
      <c r="F260" s="159"/>
      <c r="G260" s="160"/>
      <c r="H260" s="34" t="s">
        <v>925</v>
      </c>
    </row>
    <row r="261" spans="1:8" ht="33">
      <c r="A261" s="160" t="s">
        <v>1074</v>
      </c>
      <c r="B261" s="160" t="s">
        <v>1033</v>
      </c>
      <c r="C261" s="157" t="s">
        <v>17</v>
      </c>
      <c r="D261" s="159">
        <v>50</v>
      </c>
      <c r="E261" s="159">
        <v>56.26</v>
      </c>
      <c r="F261" s="159"/>
      <c r="G261" s="160" t="s">
        <v>2</v>
      </c>
      <c r="H261" s="34" t="s">
        <v>925</v>
      </c>
    </row>
    <row r="262" spans="1:8" ht="33">
      <c r="A262" s="160">
        <v>1</v>
      </c>
      <c r="B262" s="160" t="s">
        <v>4871</v>
      </c>
      <c r="C262" s="157" t="s">
        <v>927</v>
      </c>
      <c r="D262" s="159">
        <v>10.5</v>
      </c>
      <c r="E262" s="159">
        <v>260.08999999999997</v>
      </c>
      <c r="F262" s="159">
        <v>2730.95</v>
      </c>
      <c r="G262" s="160" t="s">
        <v>5435</v>
      </c>
      <c r="H262" s="34" t="s">
        <v>925</v>
      </c>
    </row>
    <row r="263" spans="1:8" ht="33">
      <c r="A263" s="160">
        <v>2</v>
      </c>
      <c r="B263" s="160" t="s">
        <v>931</v>
      </c>
      <c r="C263" s="157" t="s">
        <v>14</v>
      </c>
      <c r="D263" s="159">
        <v>1</v>
      </c>
      <c r="E263" s="159">
        <v>81.93</v>
      </c>
      <c r="F263" s="159">
        <v>81.93</v>
      </c>
      <c r="G263" s="160" t="s">
        <v>2</v>
      </c>
      <c r="H263" s="34" t="s">
        <v>925</v>
      </c>
    </row>
    <row r="264" spans="1:8" ht="16.5">
      <c r="A264" s="160"/>
      <c r="B264" s="160" t="s">
        <v>933</v>
      </c>
      <c r="C264" s="157" t="s">
        <v>17</v>
      </c>
      <c r="D264" s="159">
        <v>50</v>
      </c>
      <c r="E264" s="159"/>
      <c r="F264" s="159">
        <v>2812.8799999999997</v>
      </c>
      <c r="G264" s="160"/>
    </row>
    <row r="265" spans="1:8" ht="33">
      <c r="A265" s="160"/>
      <c r="B265" s="160" t="s">
        <v>934</v>
      </c>
      <c r="C265" s="157" t="s">
        <v>17</v>
      </c>
      <c r="D265" s="159"/>
      <c r="E265" s="159"/>
      <c r="F265" s="159">
        <v>56.26</v>
      </c>
      <c r="G265" s="160"/>
      <c r="H265" s="34" t="s">
        <v>925</v>
      </c>
    </row>
    <row r="266" spans="1:8" ht="33">
      <c r="A266" s="160"/>
      <c r="B266" s="160"/>
      <c r="C266" s="157"/>
      <c r="D266" s="159"/>
      <c r="E266" s="159"/>
      <c r="F266" s="159"/>
      <c r="G266" s="160"/>
      <c r="H266" s="34" t="s">
        <v>925</v>
      </c>
    </row>
    <row r="267" spans="1:8" ht="33">
      <c r="A267" s="160" t="s">
        <v>1082</v>
      </c>
      <c r="B267" s="160" t="s">
        <v>1036</v>
      </c>
      <c r="C267" s="157" t="s">
        <v>3</v>
      </c>
      <c r="D267" s="159">
        <v>100</v>
      </c>
      <c r="E267" s="159">
        <v>13.99</v>
      </c>
      <c r="F267" s="159"/>
      <c r="G267" s="160" t="s">
        <v>2</v>
      </c>
      <c r="H267" s="34" t="s">
        <v>925</v>
      </c>
    </row>
    <row r="268" spans="1:8" ht="33">
      <c r="A268" s="160">
        <v>1</v>
      </c>
      <c r="B268" s="160" t="s">
        <v>1038</v>
      </c>
      <c r="C268" s="157" t="s">
        <v>927</v>
      </c>
      <c r="D268" s="159">
        <v>1.2</v>
      </c>
      <c r="E268" s="159">
        <v>64.790000000000006</v>
      </c>
      <c r="F268" s="159">
        <v>77.75</v>
      </c>
      <c r="G268" s="160" t="s">
        <v>2</v>
      </c>
      <c r="H268" s="34" t="s">
        <v>925</v>
      </c>
    </row>
    <row r="269" spans="1:8" ht="33">
      <c r="A269" s="160">
        <v>2</v>
      </c>
      <c r="B269" s="160" t="s">
        <v>4871</v>
      </c>
      <c r="C269" s="157" t="s">
        <v>927</v>
      </c>
      <c r="D269" s="159">
        <v>4.8</v>
      </c>
      <c r="E269" s="159">
        <v>260.08999999999997</v>
      </c>
      <c r="F269" s="159">
        <v>1248.43</v>
      </c>
      <c r="G269" s="160" t="s">
        <v>5435</v>
      </c>
      <c r="H269" s="34" t="s">
        <v>925</v>
      </c>
    </row>
    <row r="270" spans="1:8" ht="33">
      <c r="A270" s="160">
        <v>3</v>
      </c>
      <c r="B270" s="160" t="s">
        <v>1040</v>
      </c>
      <c r="C270" s="157" t="s">
        <v>14</v>
      </c>
      <c r="D270" s="159">
        <v>1</v>
      </c>
      <c r="E270" s="159">
        <v>32.4</v>
      </c>
      <c r="F270" s="159">
        <v>32.4</v>
      </c>
      <c r="G270" s="160" t="s">
        <v>2</v>
      </c>
      <c r="H270" s="34" t="s">
        <v>925</v>
      </c>
    </row>
    <row r="271" spans="1:8" ht="33">
      <c r="A271" s="160">
        <v>4</v>
      </c>
      <c r="B271" s="160" t="s">
        <v>931</v>
      </c>
      <c r="C271" s="157" t="s">
        <v>14</v>
      </c>
      <c r="D271" s="159">
        <v>1</v>
      </c>
      <c r="E271" s="159">
        <v>40.76</v>
      </c>
      <c r="F271" s="159">
        <v>40.76</v>
      </c>
      <c r="G271" s="160" t="s">
        <v>2</v>
      </c>
      <c r="H271" s="34" t="s">
        <v>925</v>
      </c>
    </row>
    <row r="272" spans="1:8" ht="33">
      <c r="A272" s="160"/>
      <c r="B272" s="160" t="s">
        <v>933</v>
      </c>
      <c r="C272" s="157" t="s">
        <v>3</v>
      </c>
      <c r="D272" s="159">
        <v>100</v>
      </c>
      <c r="E272" s="159"/>
      <c r="F272" s="159">
        <v>1399.3400000000001</v>
      </c>
      <c r="G272" s="160"/>
      <c r="H272" s="34" t="s">
        <v>925</v>
      </c>
    </row>
    <row r="273" spans="1:8" ht="16.5">
      <c r="A273" s="160"/>
      <c r="B273" s="160" t="s">
        <v>934</v>
      </c>
      <c r="C273" s="157" t="s">
        <v>3</v>
      </c>
      <c r="D273" s="159"/>
      <c r="E273" s="159"/>
      <c r="F273" s="159">
        <v>13.99</v>
      </c>
      <c r="G273" s="160"/>
    </row>
    <row r="274" spans="1:8" ht="33">
      <c r="A274" s="160"/>
      <c r="B274" s="160"/>
      <c r="C274" s="157"/>
      <c r="D274" s="159"/>
      <c r="E274" s="159"/>
      <c r="F274" s="159"/>
      <c r="G274" s="160"/>
      <c r="H274" s="34" t="s">
        <v>925</v>
      </c>
    </row>
    <row r="275" spans="1:8" ht="33">
      <c r="A275" s="160" t="s">
        <v>1088</v>
      </c>
      <c r="B275" s="160" t="s">
        <v>454</v>
      </c>
      <c r="C275" s="157" t="s">
        <v>0</v>
      </c>
      <c r="D275" s="159">
        <v>1</v>
      </c>
      <c r="E275" s="159">
        <v>285.08999999999997</v>
      </c>
      <c r="F275" s="159"/>
      <c r="G275" s="160" t="s">
        <v>2</v>
      </c>
      <c r="H275" s="34" t="s">
        <v>925</v>
      </c>
    </row>
    <row r="276" spans="1:8" ht="33">
      <c r="A276" s="160">
        <v>1</v>
      </c>
      <c r="B276" s="160" t="s">
        <v>4871</v>
      </c>
      <c r="C276" s="157" t="s">
        <v>927</v>
      </c>
      <c r="D276" s="159">
        <v>1</v>
      </c>
      <c r="E276" s="159">
        <v>260.08999999999997</v>
      </c>
      <c r="F276" s="159">
        <v>260.08999999999997</v>
      </c>
      <c r="G276" s="160" t="s">
        <v>5435</v>
      </c>
      <c r="H276" s="34" t="s">
        <v>925</v>
      </c>
    </row>
    <row r="277" spans="1:8" ht="33">
      <c r="A277" s="160">
        <v>2</v>
      </c>
      <c r="B277" s="160" t="s">
        <v>1044</v>
      </c>
      <c r="C277" s="157" t="s">
        <v>14</v>
      </c>
      <c r="D277" s="159">
        <v>1</v>
      </c>
      <c r="E277" s="159">
        <v>18.510000000000002</v>
      </c>
      <c r="F277" s="159">
        <v>18.510000000000002</v>
      </c>
      <c r="G277" s="160" t="s">
        <v>2</v>
      </c>
      <c r="H277" s="34" t="s">
        <v>925</v>
      </c>
    </row>
    <row r="278" spans="1:8" ht="33">
      <c r="A278" s="160">
        <v>3</v>
      </c>
      <c r="B278" s="160" t="s">
        <v>931</v>
      </c>
      <c r="C278" s="157" t="s">
        <v>14</v>
      </c>
      <c r="D278" s="159">
        <v>1</v>
      </c>
      <c r="E278" s="159">
        <v>6.49</v>
      </c>
      <c r="F278" s="159">
        <v>6.49</v>
      </c>
      <c r="G278" s="160" t="s">
        <v>2</v>
      </c>
      <c r="H278" s="34" t="s">
        <v>925</v>
      </c>
    </row>
    <row r="279" spans="1:8" ht="33">
      <c r="A279" s="160"/>
      <c r="B279" s="160" t="s">
        <v>933</v>
      </c>
      <c r="C279" s="157" t="s">
        <v>0</v>
      </c>
      <c r="D279" s="159">
        <v>1</v>
      </c>
      <c r="E279" s="159"/>
      <c r="F279" s="159">
        <v>285.08999999999997</v>
      </c>
      <c r="G279" s="160"/>
      <c r="H279" s="34" t="s">
        <v>925</v>
      </c>
    </row>
    <row r="280" spans="1:8" ht="33">
      <c r="A280" s="160"/>
      <c r="B280" s="160" t="s">
        <v>934</v>
      </c>
      <c r="C280" s="157" t="s">
        <v>0</v>
      </c>
      <c r="D280" s="159"/>
      <c r="E280" s="159"/>
      <c r="F280" s="159">
        <v>285.08999999999997</v>
      </c>
      <c r="G280" s="160"/>
      <c r="H280" s="34" t="s">
        <v>925</v>
      </c>
    </row>
    <row r="281" spans="1:8" ht="16.5">
      <c r="A281" s="160"/>
      <c r="B281" s="160"/>
      <c r="C281" s="157"/>
      <c r="D281" s="159"/>
      <c r="E281" s="159"/>
      <c r="F281" s="159"/>
      <c r="G281" s="160"/>
    </row>
    <row r="282" spans="1:8" ht="33">
      <c r="A282" s="160" t="s">
        <v>1090</v>
      </c>
      <c r="B282" s="160" t="s">
        <v>1048</v>
      </c>
      <c r="C282" s="157" t="s">
        <v>15</v>
      </c>
      <c r="D282" s="159">
        <v>100</v>
      </c>
      <c r="E282" s="159">
        <v>54.06</v>
      </c>
      <c r="F282" s="159"/>
      <c r="G282" s="160" t="s">
        <v>2</v>
      </c>
      <c r="H282" s="34" t="s">
        <v>925</v>
      </c>
    </row>
    <row r="283" spans="1:8" ht="33">
      <c r="A283" s="160">
        <v>1</v>
      </c>
      <c r="B283" s="160" t="s">
        <v>1050</v>
      </c>
      <c r="C283" s="157" t="s">
        <v>927</v>
      </c>
      <c r="D283" s="159">
        <v>0.48</v>
      </c>
      <c r="E283" s="159">
        <v>1295.8399999999999</v>
      </c>
      <c r="F283" s="159">
        <v>622</v>
      </c>
      <c r="G283" s="160" t="s">
        <v>2</v>
      </c>
      <c r="H283" s="34" t="s">
        <v>925</v>
      </c>
    </row>
    <row r="284" spans="1:8" ht="33">
      <c r="A284" s="160">
        <v>2</v>
      </c>
      <c r="B284" s="160" t="s">
        <v>1052</v>
      </c>
      <c r="C284" s="157" t="s">
        <v>927</v>
      </c>
      <c r="D284" s="159">
        <v>0.53</v>
      </c>
      <c r="E284" s="159">
        <v>1064.44</v>
      </c>
      <c r="F284" s="159">
        <v>564.15</v>
      </c>
      <c r="G284" s="160" t="s">
        <v>2</v>
      </c>
      <c r="H284" s="34" t="s">
        <v>925</v>
      </c>
    </row>
    <row r="285" spans="1:8" ht="33">
      <c r="A285" s="160">
        <v>3</v>
      </c>
      <c r="B285" s="160" t="s">
        <v>1054</v>
      </c>
      <c r="C285" s="157" t="s">
        <v>927</v>
      </c>
      <c r="D285" s="159">
        <v>0.68</v>
      </c>
      <c r="E285" s="159">
        <v>1073.7</v>
      </c>
      <c r="F285" s="159">
        <v>730.12</v>
      </c>
      <c r="G285" s="160" t="s">
        <v>2</v>
      </c>
      <c r="H285" s="34" t="s">
        <v>925</v>
      </c>
    </row>
    <row r="286" spans="1:8" ht="33">
      <c r="A286" s="160">
        <v>4</v>
      </c>
      <c r="B286" s="160" t="s">
        <v>1056</v>
      </c>
      <c r="C286" s="157" t="s">
        <v>927</v>
      </c>
      <c r="D286" s="159">
        <v>1.25</v>
      </c>
      <c r="E286" s="159">
        <v>714.56</v>
      </c>
      <c r="F286" s="159">
        <v>893.2</v>
      </c>
      <c r="G286" s="160" t="s">
        <v>2</v>
      </c>
      <c r="H286" s="34" t="s">
        <v>925</v>
      </c>
    </row>
    <row r="287" spans="1:8" ht="33">
      <c r="A287" s="160">
        <v>5</v>
      </c>
      <c r="B287" s="160" t="s">
        <v>1058</v>
      </c>
      <c r="C287" s="157" t="s">
        <v>927</v>
      </c>
      <c r="D287" s="159">
        <v>0.4</v>
      </c>
      <c r="E287" s="159">
        <v>58.31</v>
      </c>
      <c r="F287" s="159">
        <v>23.32</v>
      </c>
      <c r="G287" s="160" t="s">
        <v>2</v>
      </c>
      <c r="H287" s="34" t="s">
        <v>925</v>
      </c>
    </row>
    <row r="288" spans="1:8" ht="33">
      <c r="A288" s="160">
        <v>6</v>
      </c>
      <c r="B288" s="160" t="s">
        <v>4883</v>
      </c>
      <c r="C288" s="157" t="s">
        <v>927</v>
      </c>
      <c r="D288" s="159">
        <v>0.48</v>
      </c>
      <c r="E288" s="159">
        <v>371.17</v>
      </c>
      <c r="F288" s="159">
        <v>178.16</v>
      </c>
      <c r="G288" s="160" t="s">
        <v>5438</v>
      </c>
      <c r="H288" s="34" t="s">
        <v>925</v>
      </c>
    </row>
    <row r="289" spans="1:8" ht="28.5">
      <c r="A289" s="160">
        <v>7</v>
      </c>
      <c r="B289" s="160" t="s">
        <v>4885</v>
      </c>
      <c r="C289" s="157" t="s">
        <v>927</v>
      </c>
      <c r="D289" s="159">
        <v>1.21</v>
      </c>
      <c r="E289" s="159">
        <v>371.17</v>
      </c>
      <c r="F289" s="159">
        <v>449.12</v>
      </c>
      <c r="G289" s="160" t="s">
        <v>5439</v>
      </c>
    </row>
    <row r="290" spans="1:8" ht="33">
      <c r="A290" s="160">
        <v>8</v>
      </c>
      <c r="B290" s="160" t="s">
        <v>1060</v>
      </c>
      <c r="C290" s="157" t="s">
        <v>927</v>
      </c>
      <c r="D290" s="159">
        <v>1.25</v>
      </c>
      <c r="E290" s="159">
        <v>371.17</v>
      </c>
      <c r="F290" s="159">
        <v>463.96</v>
      </c>
      <c r="G290" s="160" t="s">
        <v>2</v>
      </c>
      <c r="H290" s="34" t="s">
        <v>925</v>
      </c>
    </row>
    <row r="291" spans="1:8" ht="33">
      <c r="A291" s="160">
        <v>9</v>
      </c>
      <c r="B291" s="160" t="s">
        <v>1062</v>
      </c>
      <c r="C291" s="157" t="s">
        <v>927</v>
      </c>
      <c r="D291" s="159">
        <v>0.4</v>
      </c>
      <c r="E291" s="159">
        <v>371.17</v>
      </c>
      <c r="F291" s="159">
        <v>148.47</v>
      </c>
      <c r="G291" s="160" t="s">
        <v>2</v>
      </c>
      <c r="H291" s="34" t="s">
        <v>925</v>
      </c>
    </row>
    <row r="292" spans="1:8" ht="33">
      <c r="A292" s="160">
        <v>10</v>
      </c>
      <c r="B292" s="160" t="s">
        <v>4871</v>
      </c>
      <c r="C292" s="157" t="s">
        <v>927</v>
      </c>
      <c r="D292" s="159">
        <v>0.96</v>
      </c>
      <c r="E292" s="159">
        <v>260.08999999999997</v>
      </c>
      <c r="F292" s="159">
        <v>249.69</v>
      </c>
      <c r="G292" s="160" t="s">
        <v>5435</v>
      </c>
      <c r="H292" s="34" t="s">
        <v>925</v>
      </c>
    </row>
    <row r="293" spans="1:8" ht="33">
      <c r="A293" s="160">
        <v>11</v>
      </c>
      <c r="B293" s="160" t="s">
        <v>1064</v>
      </c>
      <c r="C293" s="157" t="s">
        <v>15</v>
      </c>
      <c r="D293" s="159">
        <v>100</v>
      </c>
      <c r="E293" s="159">
        <v>9.26</v>
      </c>
      <c r="F293" s="159">
        <v>926</v>
      </c>
      <c r="G293" s="160" t="s">
        <v>2</v>
      </c>
      <c r="H293" s="34" t="s">
        <v>925</v>
      </c>
    </row>
    <row r="294" spans="1:8" ht="33">
      <c r="A294" s="160">
        <v>12</v>
      </c>
      <c r="B294" s="160" t="s">
        <v>931</v>
      </c>
      <c r="C294" s="157" t="s">
        <v>14</v>
      </c>
      <c r="D294" s="159">
        <v>1</v>
      </c>
      <c r="E294" s="159">
        <v>157.44999999999999</v>
      </c>
      <c r="F294" s="159">
        <v>157.44999999999999</v>
      </c>
      <c r="G294" s="160" t="s">
        <v>2</v>
      </c>
      <c r="H294" s="34" t="s">
        <v>925</v>
      </c>
    </row>
    <row r="295" spans="1:8" ht="33">
      <c r="A295" s="160"/>
      <c r="B295" s="160" t="s">
        <v>933</v>
      </c>
      <c r="C295" s="157" t="s">
        <v>15</v>
      </c>
      <c r="D295" s="159">
        <v>100</v>
      </c>
      <c r="E295" s="159"/>
      <c r="F295" s="159">
        <v>5405.6399999999994</v>
      </c>
      <c r="G295" s="160"/>
      <c r="H295" s="34" t="s">
        <v>925</v>
      </c>
    </row>
    <row r="296" spans="1:8" ht="33">
      <c r="A296" s="160"/>
      <c r="B296" s="160" t="s">
        <v>934</v>
      </c>
      <c r="C296" s="157" t="s">
        <v>15</v>
      </c>
      <c r="D296" s="159"/>
      <c r="E296" s="159"/>
      <c r="F296" s="159">
        <v>54.06</v>
      </c>
      <c r="G296" s="160"/>
      <c r="H296" s="34" t="s">
        <v>925</v>
      </c>
    </row>
    <row r="297" spans="1:8" ht="16.5">
      <c r="A297" s="160"/>
      <c r="B297" s="160"/>
      <c r="C297" s="157"/>
      <c r="D297" s="159"/>
      <c r="E297" s="159"/>
      <c r="F297" s="159"/>
      <c r="G297" s="160"/>
    </row>
    <row r="298" spans="1:8" ht="33">
      <c r="A298" s="160" t="s">
        <v>1095</v>
      </c>
      <c r="B298" s="160" t="s">
        <v>1067</v>
      </c>
      <c r="C298" s="157" t="s">
        <v>15</v>
      </c>
      <c r="D298" s="159">
        <v>1</v>
      </c>
      <c r="E298" s="159">
        <v>302.58999999999997</v>
      </c>
      <c r="F298" s="159"/>
      <c r="G298" s="160" t="s">
        <v>2</v>
      </c>
      <c r="H298" s="34" t="s">
        <v>925</v>
      </c>
    </row>
    <row r="299" spans="1:8" ht="33">
      <c r="A299" s="160">
        <v>1</v>
      </c>
      <c r="B299" s="160" t="s">
        <v>4871</v>
      </c>
      <c r="C299" s="157" t="s">
        <v>927</v>
      </c>
      <c r="D299" s="159">
        <v>0.8</v>
      </c>
      <c r="E299" s="159">
        <v>260.08999999999997</v>
      </c>
      <c r="F299" s="159">
        <v>208.07</v>
      </c>
      <c r="G299" s="160" t="s">
        <v>2</v>
      </c>
      <c r="H299" s="34" t="s">
        <v>925</v>
      </c>
    </row>
    <row r="300" spans="1:8" ht="33">
      <c r="A300" s="160">
        <v>2</v>
      </c>
      <c r="B300" s="160" t="s">
        <v>1069</v>
      </c>
      <c r="C300" s="157" t="s">
        <v>927</v>
      </c>
      <c r="D300" s="159">
        <v>0.2</v>
      </c>
      <c r="E300" s="159">
        <v>57.39</v>
      </c>
      <c r="F300" s="159">
        <v>11.48</v>
      </c>
      <c r="G300" s="160" t="s">
        <v>2</v>
      </c>
      <c r="H300" s="34" t="s">
        <v>925</v>
      </c>
    </row>
    <row r="301" spans="1:8" ht="33">
      <c r="A301" s="160">
        <v>3</v>
      </c>
      <c r="B301" s="160" t="s">
        <v>4887</v>
      </c>
      <c r="C301" s="157" t="s">
        <v>927</v>
      </c>
      <c r="D301" s="159">
        <v>0.2</v>
      </c>
      <c r="E301" s="159">
        <v>371.17</v>
      </c>
      <c r="F301" s="159">
        <v>74.23</v>
      </c>
      <c r="G301" s="160" t="s">
        <v>5440</v>
      </c>
      <c r="H301" s="34" t="s">
        <v>925</v>
      </c>
    </row>
    <row r="302" spans="1:8" ht="33">
      <c r="A302" s="160">
        <v>4</v>
      </c>
      <c r="B302" s="160" t="s">
        <v>931</v>
      </c>
      <c r="C302" s="157" t="s">
        <v>14</v>
      </c>
      <c r="D302" s="159">
        <v>1</v>
      </c>
      <c r="E302" s="159">
        <v>8.81</v>
      </c>
      <c r="F302" s="159">
        <v>8.81</v>
      </c>
      <c r="G302" s="160" t="s">
        <v>2</v>
      </c>
      <c r="H302" s="34" t="s">
        <v>925</v>
      </c>
    </row>
    <row r="303" spans="1:8" ht="33">
      <c r="A303" s="160"/>
      <c r="B303" s="160" t="s">
        <v>933</v>
      </c>
      <c r="C303" s="157" t="s">
        <v>15</v>
      </c>
      <c r="D303" s="159">
        <v>1</v>
      </c>
      <c r="E303" s="159"/>
      <c r="F303" s="159">
        <v>302.58999999999997</v>
      </c>
      <c r="G303" s="160"/>
      <c r="H303" s="34" t="s">
        <v>925</v>
      </c>
    </row>
    <row r="304" spans="1:8" ht="33">
      <c r="A304" s="160"/>
      <c r="B304" s="160" t="s">
        <v>934</v>
      </c>
      <c r="C304" s="157" t="s">
        <v>15</v>
      </c>
      <c r="D304" s="159"/>
      <c r="E304" s="159"/>
      <c r="F304" s="159">
        <v>302.58999999999997</v>
      </c>
      <c r="G304" s="160"/>
      <c r="H304" s="34" t="s">
        <v>925</v>
      </c>
    </row>
    <row r="305" spans="1:8" ht="16.5">
      <c r="A305" s="160"/>
      <c r="B305" s="160"/>
      <c r="C305" s="157"/>
      <c r="D305" s="159"/>
      <c r="E305" s="159"/>
      <c r="F305" s="159"/>
      <c r="G305" s="160"/>
    </row>
    <row r="306" spans="1:8" ht="33">
      <c r="A306" s="160" t="s">
        <v>1098</v>
      </c>
      <c r="B306" s="160" t="s">
        <v>1072</v>
      </c>
      <c r="C306" s="157" t="s">
        <v>0</v>
      </c>
      <c r="D306" s="159">
        <v>100</v>
      </c>
      <c r="E306" s="159">
        <v>97.63</v>
      </c>
      <c r="F306" s="159"/>
      <c r="G306" s="160" t="s">
        <v>2</v>
      </c>
      <c r="H306" s="34" t="s">
        <v>925</v>
      </c>
    </row>
    <row r="307" spans="1:8" ht="33">
      <c r="A307" s="160">
        <v>1</v>
      </c>
      <c r="B307" s="160" t="s">
        <v>929</v>
      </c>
      <c r="C307" s="157" t="s">
        <v>927</v>
      </c>
      <c r="D307" s="159">
        <v>2.5</v>
      </c>
      <c r="E307" s="159">
        <v>1388.4</v>
      </c>
      <c r="F307" s="159">
        <v>3471</v>
      </c>
      <c r="G307" s="160" t="s">
        <v>2</v>
      </c>
      <c r="H307" s="34" t="s">
        <v>925</v>
      </c>
    </row>
    <row r="308" spans="1:8" ht="33">
      <c r="A308" s="160">
        <v>2</v>
      </c>
      <c r="B308" s="160" t="s">
        <v>4869</v>
      </c>
      <c r="C308" s="157" t="s">
        <v>927</v>
      </c>
      <c r="D308" s="159">
        <v>2.5</v>
      </c>
      <c r="E308" s="159">
        <v>371.17</v>
      </c>
      <c r="F308" s="159">
        <v>927.93</v>
      </c>
      <c r="G308" s="160" t="s">
        <v>5434</v>
      </c>
      <c r="H308" s="34" t="s">
        <v>925</v>
      </c>
    </row>
    <row r="309" spans="1:8" ht="33">
      <c r="A309" s="160">
        <v>3</v>
      </c>
      <c r="B309" s="160" t="s">
        <v>1069</v>
      </c>
      <c r="C309" s="157" t="s">
        <v>927</v>
      </c>
      <c r="D309" s="159">
        <v>16</v>
      </c>
      <c r="E309" s="159">
        <v>57.39</v>
      </c>
      <c r="F309" s="159">
        <v>918.24</v>
      </c>
      <c r="G309" s="160" t="s">
        <v>2</v>
      </c>
      <c r="H309" s="34" t="s">
        <v>925</v>
      </c>
    </row>
    <row r="310" spans="1:8" ht="33">
      <c r="A310" s="160">
        <v>4</v>
      </c>
      <c r="B310" s="160" t="s">
        <v>4871</v>
      </c>
      <c r="C310" s="157" t="s">
        <v>927</v>
      </c>
      <c r="D310" s="159">
        <v>16</v>
      </c>
      <c r="E310" s="159">
        <v>260.08999999999997</v>
      </c>
      <c r="F310" s="159">
        <v>4161.4399999999996</v>
      </c>
      <c r="G310" s="160" t="s">
        <v>5435</v>
      </c>
      <c r="H310" s="34" t="s">
        <v>925</v>
      </c>
    </row>
    <row r="311" spans="1:8" ht="33">
      <c r="A311" s="160">
        <v>5</v>
      </c>
      <c r="B311" s="160" t="s">
        <v>931</v>
      </c>
      <c r="C311" s="157" t="s">
        <v>14</v>
      </c>
      <c r="D311" s="159">
        <v>1</v>
      </c>
      <c r="E311" s="159">
        <v>284.36</v>
      </c>
      <c r="F311" s="159">
        <v>284.36</v>
      </c>
      <c r="G311" s="160" t="s">
        <v>2</v>
      </c>
      <c r="H311" s="34" t="s">
        <v>925</v>
      </c>
    </row>
    <row r="312" spans="1:8" ht="16.5">
      <c r="A312" s="160"/>
      <c r="B312" s="160" t="s">
        <v>933</v>
      </c>
      <c r="C312" s="157" t="s">
        <v>0</v>
      </c>
      <c r="D312" s="159">
        <v>100</v>
      </c>
      <c r="E312" s="159"/>
      <c r="F312" s="159">
        <v>9762.9700000000012</v>
      </c>
      <c r="G312" s="160"/>
    </row>
    <row r="313" spans="1:8" ht="33">
      <c r="A313" s="160"/>
      <c r="B313" s="160" t="s">
        <v>934</v>
      </c>
      <c r="C313" s="157" t="s">
        <v>0</v>
      </c>
      <c r="D313" s="159"/>
      <c r="E313" s="159"/>
      <c r="F313" s="159">
        <v>97.63</v>
      </c>
      <c r="G313" s="160"/>
      <c r="H313" s="34" t="s">
        <v>925</v>
      </c>
    </row>
    <row r="314" spans="1:8" ht="33">
      <c r="A314" s="160"/>
      <c r="B314" s="160"/>
      <c r="C314" s="157"/>
      <c r="D314" s="159"/>
      <c r="E314" s="159"/>
      <c r="F314" s="159"/>
      <c r="G314" s="160"/>
      <c r="H314" s="34" t="s">
        <v>925</v>
      </c>
    </row>
    <row r="315" spans="1:8" ht="33">
      <c r="A315" s="160" t="s">
        <v>1103</v>
      </c>
      <c r="B315" s="160" t="s">
        <v>543</v>
      </c>
      <c r="C315" s="157" t="s">
        <v>1</v>
      </c>
      <c r="D315" s="159">
        <v>100</v>
      </c>
      <c r="E315" s="159">
        <v>1107.06</v>
      </c>
      <c r="F315" s="159"/>
      <c r="G315" s="160" t="s">
        <v>4366</v>
      </c>
      <c r="H315" s="34" t="s">
        <v>925</v>
      </c>
    </row>
    <row r="316" spans="1:8" ht="33">
      <c r="A316" s="160">
        <v>1</v>
      </c>
      <c r="B316" s="160" t="s">
        <v>1076</v>
      </c>
      <c r="C316" s="157" t="s">
        <v>927</v>
      </c>
      <c r="D316" s="159">
        <v>120</v>
      </c>
      <c r="E316" s="159">
        <v>370.24</v>
      </c>
      <c r="F316" s="159">
        <v>44428.800000000003</v>
      </c>
      <c r="G316" s="160" t="s">
        <v>2</v>
      </c>
      <c r="H316" s="34" t="s">
        <v>925</v>
      </c>
    </row>
    <row r="317" spans="1:8" ht="33">
      <c r="A317" s="160">
        <v>2</v>
      </c>
      <c r="B317" s="160" t="s">
        <v>1078</v>
      </c>
      <c r="C317" s="157" t="s">
        <v>927</v>
      </c>
      <c r="D317" s="159">
        <v>120</v>
      </c>
      <c r="E317" s="159">
        <v>371.17</v>
      </c>
      <c r="F317" s="159">
        <v>44540.4</v>
      </c>
      <c r="G317" s="160" t="s">
        <v>2</v>
      </c>
      <c r="H317" s="34" t="s">
        <v>925</v>
      </c>
    </row>
    <row r="318" spans="1:8" ht="33">
      <c r="A318" s="160">
        <v>3</v>
      </c>
      <c r="B318" s="160" t="s">
        <v>1080</v>
      </c>
      <c r="C318" s="157" t="s">
        <v>1</v>
      </c>
      <c r="D318" s="159">
        <v>100</v>
      </c>
      <c r="E318" s="159">
        <v>185.12</v>
      </c>
      <c r="F318" s="159">
        <v>18512</v>
      </c>
      <c r="G318" s="160" t="s">
        <v>2</v>
      </c>
      <c r="H318" s="34" t="s">
        <v>925</v>
      </c>
    </row>
    <row r="319" spans="1:8" ht="33">
      <c r="A319" s="160">
        <v>4</v>
      </c>
      <c r="B319" s="160" t="s">
        <v>931</v>
      </c>
      <c r="C319" s="157" t="s">
        <v>14</v>
      </c>
      <c r="D319" s="159">
        <v>1</v>
      </c>
      <c r="E319" s="159">
        <v>3224.44</v>
      </c>
      <c r="F319" s="159">
        <v>3224.44</v>
      </c>
      <c r="G319" s="160" t="s">
        <v>2</v>
      </c>
      <c r="H319" s="34" t="s">
        <v>925</v>
      </c>
    </row>
    <row r="320" spans="1:8" ht="16.5">
      <c r="A320" s="160"/>
      <c r="B320" s="160" t="s">
        <v>933</v>
      </c>
      <c r="C320" s="157" t="s">
        <v>1</v>
      </c>
      <c r="D320" s="159">
        <v>100</v>
      </c>
      <c r="E320" s="159"/>
      <c r="F320" s="159">
        <v>110705.64000000001</v>
      </c>
      <c r="G320" s="160"/>
    </row>
    <row r="321" spans="1:8" ht="33">
      <c r="A321" s="160"/>
      <c r="B321" s="160" t="s">
        <v>934</v>
      </c>
      <c r="C321" s="157" t="s">
        <v>1</v>
      </c>
      <c r="D321" s="159"/>
      <c r="E321" s="159"/>
      <c r="F321" s="159">
        <v>1107.06</v>
      </c>
      <c r="G321" s="160"/>
      <c r="H321" s="34" t="s">
        <v>925</v>
      </c>
    </row>
    <row r="322" spans="1:8" ht="33">
      <c r="A322" s="160"/>
      <c r="B322" s="160"/>
      <c r="C322" s="157"/>
      <c r="D322" s="159"/>
      <c r="E322" s="159"/>
      <c r="F322" s="159"/>
      <c r="G322" s="160"/>
      <c r="H322" s="34" t="s">
        <v>925</v>
      </c>
    </row>
    <row r="323" spans="1:8" ht="33">
      <c r="A323" s="160" t="s">
        <v>1110</v>
      </c>
      <c r="B323" s="160" t="s">
        <v>3971</v>
      </c>
      <c r="C323" s="157" t="s">
        <v>1</v>
      </c>
      <c r="D323" s="159">
        <v>100</v>
      </c>
      <c r="E323" s="159">
        <v>992.08</v>
      </c>
      <c r="F323" s="159"/>
      <c r="G323" s="160" t="s">
        <v>2</v>
      </c>
      <c r="H323" s="34" t="s">
        <v>925</v>
      </c>
    </row>
    <row r="324" spans="1:8" ht="33">
      <c r="A324" s="160">
        <v>1</v>
      </c>
      <c r="B324" s="160" t="s">
        <v>4017</v>
      </c>
      <c r="C324" s="157" t="s">
        <v>927</v>
      </c>
      <c r="D324" s="159">
        <v>60</v>
      </c>
      <c r="E324" s="159">
        <v>925.6</v>
      </c>
      <c r="F324" s="159">
        <v>55536</v>
      </c>
      <c r="G324" s="160" t="s">
        <v>2</v>
      </c>
      <c r="H324" s="34" t="s">
        <v>925</v>
      </c>
    </row>
    <row r="325" spans="1:8" ht="33">
      <c r="A325" s="160">
        <v>2</v>
      </c>
      <c r="B325" s="160" t="s">
        <v>1086</v>
      </c>
      <c r="C325" s="157" t="s">
        <v>927</v>
      </c>
      <c r="D325" s="159">
        <v>60</v>
      </c>
      <c r="E325" s="159">
        <v>371.17</v>
      </c>
      <c r="F325" s="159">
        <v>22270.2</v>
      </c>
      <c r="G325" s="160" t="s">
        <v>2</v>
      </c>
      <c r="H325" s="34" t="s">
        <v>925</v>
      </c>
    </row>
    <row r="326" spans="1:8" ht="33">
      <c r="A326" s="160">
        <v>3</v>
      </c>
      <c r="B326" s="160" t="s">
        <v>1080</v>
      </c>
      <c r="C326" s="157" t="s">
        <v>1</v>
      </c>
      <c r="D326" s="159">
        <v>100</v>
      </c>
      <c r="E326" s="159">
        <v>185.12</v>
      </c>
      <c r="F326" s="159">
        <v>18512</v>
      </c>
      <c r="G326" s="160" t="s">
        <v>2</v>
      </c>
      <c r="H326" s="34" t="s">
        <v>925</v>
      </c>
    </row>
    <row r="327" spans="1:8" ht="33">
      <c r="A327" s="160">
        <v>4</v>
      </c>
      <c r="B327" s="160" t="s">
        <v>931</v>
      </c>
      <c r="C327" s="157" t="s">
        <v>14</v>
      </c>
      <c r="D327" s="159">
        <v>1</v>
      </c>
      <c r="E327" s="159">
        <v>2889.55</v>
      </c>
      <c r="F327" s="159">
        <v>2889.55</v>
      </c>
      <c r="G327" s="160" t="s">
        <v>2</v>
      </c>
      <c r="H327" s="34" t="s">
        <v>925</v>
      </c>
    </row>
    <row r="328" spans="1:8" ht="33">
      <c r="A328" s="160"/>
      <c r="B328" s="160" t="s">
        <v>933</v>
      </c>
      <c r="C328" s="157" t="s">
        <v>1</v>
      </c>
      <c r="D328" s="159">
        <v>100</v>
      </c>
      <c r="E328" s="159"/>
      <c r="F328" s="159">
        <v>99207.75</v>
      </c>
      <c r="G328" s="160"/>
      <c r="H328" s="34" t="s">
        <v>925</v>
      </c>
    </row>
    <row r="329" spans="1:8" ht="16.5">
      <c r="A329" s="160"/>
      <c r="B329" s="160" t="s">
        <v>934</v>
      </c>
      <c r="C329" s="157" t="s">
        <v>1</v>
      </c>
      <c r="D329" s="159"/>
      <c r="E329" s="159"/>
      <c r="F329" s="159">
        <v>992.08</v>
      </c>
      <c r="G329" s="160"/>
    </row>
    <row r="330" spans="1:8" ht="33">
      <c r="A330" s="160"/>
      <c r="B330" s="160"/>
      <c r="C330" s="157"/>
      <c r="D330" s="159"/>
      <c r="E330" s="159"/>
      <c r="F330" s="159"/>
      <c r="G330" s="160"/>
      <c r="H330" s="34" t="s">
        <v>925</v>
      </c>
    </row>
    <row r="331" spans="1:8" ht="33">
      <c r="A331" s="160" t="s">
        <v>1117</v>
      </c>
      <c r="B331" s="160" t="s">
        <v>26</v>
      </c>
      <c r="C331" s="157" t="s">
        <v>1</v>
      </c>
      <c r="D331" s="159">
        <v>100</v>
      </c>
      <c r="E331" s="159">
        <v>663.18</v>
      </c>
      <c r="F331" s="159"/>
      <c r="G331" s="160" t="s">
        <v>2</v>
      </c>
      <c r="H331" s="34" t="s">
        <v>925</v>
      </c>
    </row>
    <row r="332" spans="1:8" ht="33">
      <c r="A332" s="160">
        <v>1</v>
      </c>
      <c r="B332" s="160" t="s">
        <v>997</v>
      </c>
      <c r="C332" s="157" t="s">
        <v>927</v>
      </c>
      <c r="D332" s="159">
        <v>31.75</v>
      </c>
      <c r="E332" s="159">
        <v>1073.7</v>
      </c>
      <c r="F332" s="159">
        <v>34089.980000000003</v>
      </c>
      <c r="G332" s="160" t="s">
        <v>2</v>
      </c>
      <c r="H332" s="34" t="s">
        <v>925</v>
      </c>
    </row>
    <row r="333" spans="1:8" ht="33">
      <c r="A333" s="160">
        <v>2</v>
      </c>
      <c r="B333" s="160" t="s">
        <v>1086</v>
      </c>
      <c r="C333" s="157" t="s">
        <v>927</v>
      </c>
      <c r="D333" s="159">
        <v>31.75</v>
      </c>
      <c r="E333" s="159">
        <v>371.17</v>
      </c>
      <c r="F333" s="159">
        <v>11784.65</v>
      </c>
      <c r="G333" s="160" t="s">
        <v>2</v>
      </c>
      <c r="H333" s="34" t="s">
        <v>925</v>
      </c>
    </row>
    <row r="334" spans="1:8" ht="33">
      <c r="A334" s="160">
        <v>3</v>
      </c>
      <c r="B334" s="160" t="s">
        <v>1080</v>
      </c>
      <c r="C334" s="157" t="s">
        <v>1</v>
      </c>
      <c r="D334" s="159">
        <v>100</v>
      </c>
      <c r="E334" s="159">
        <v>185.12</v>
      </c>
      <c r="F334" s="159">
        <v>18512</v>
      </c>
      <c r="G334" s="160" t="s">
        <v>2</v>
      </c>
      <c r="H334" s="34" t="s">
        <v>925</v>
      </c>
    </row>
    <row r="335" spans="1:8" ht="33">
      <c r="A335" s="160">
        <v>4</v>
      </c>
      <c r="B335" s="160" t="s">
        <v>931</v>
      </c>
      <c r="C335" s="157" t="s">
        <v>14</v>
      </c>
      <c r="D335" s="159">
        <v>1</v>
      </c>
      <c r="E335" s="159">
        <v>1931.6</v>
      </c>
      <c r="F335" s="159">
        <v>1931.6</v>
      </c>
      <c r="G335" s="160" t="s">
        <v>2</v>
      </c>
      <c r="H335" s="34" t="s">
        <v>925</v>
      </c>
    </row>
    <row r="336" spans="1:8" ht="33">
      <c r="A336" s="160"/>
      <c r="B336" s="160" t="s">
        <v>933</v>
      </c>
      <c r="C336" s="157" t="s">
        <v>1</v>
      </c>
      <c r="D336" s="159">
        <v>100</v>
      </c>
      <c r="E336" s="159"/>
      <c r="F336" s="159">
        <v>66318.23000000001</v>
      </c>
      <c r="G336" s="160"/>
      <c r="H336" s="34" t="s">
        <v>925</v>
      </c>
    </row>
    <row r="337" spans="1:8" ht="33">
      <c r="A337" s="160"/>
      <c r="B337" s="160" t="s">
        <v>934</v>
      </c>
      <c r="C337" s="157" t="s">
        <v>1</v>
      </c>
      <c r="D337" s="159"/>
      <c r="E337" s="159"/>
      <c r="F337" s="159">
        <v>663.18</v>
      </c>
      <c r="G337" s="160"/>
      <c r="H337" s="34" t="s">
        <v>925</v>
      </c>
    </row>
    <row r="338" spans="1:8" ht="33">
      <c r="A338" s="160"/>
      <c r="B338" s="160"/>
      <c r="C338" s="157"/>
      <c r="D338" s="159"/>
      <c r="E338" s="159"/>
      <c r="F338" s="159"/>
      <c r="G338" s="160"/>
      <c r="H338" s="34" t="s">
        <v>925</v>
      </c>
    </row>
    <row r="339" spans="1:8" ht="33">
      <c r="A339" s="160" t="s">
        <v>1129</v>
      </c>
      <c r="B339" s="160" t="s">
        <v>1091</v>
      </c>
      <c r="C339" s="157" t="s">
        <v>1</v>
      </c>
      <c r="D339" s="159">
        <v>100</v>
      </c>
      <c r="E339" s="159">
        <v>440.54</v>
      </c>
      <c r="F339" s="159"/>
      <c r="G339" s="160" t="s">
        <v>2</v>
      </c>
      <c r="H339" s="34" t="s">
        <v>925</v>
      </c>
    </row>
    <row r="340" spans="1:8" ht="33">
      <c r="A340" s="160">
        <v>1</v>
      </c>
      <c r="B340" s="160" t="s">
        <v>1093</v>
      </c>
      <c r="C340" s="157" t="s">
        <v>927</v>
      </c>
      <c r="D340" s="159">
        <v>13.23</v>
      </c>
      <c r="E340" s="159">
        <v>1462.45</v>
      </c>
      <c r="F340" s="159">
        <v>19348.21</v>
      </c>
      <c r="G340" s="160" t="s">
        <v>2</v>
      </c>
      <c r="H340" s="34" t="s">
        <v>925</v>
      </c>
    </row>
    <row r="341" spans="1:8" ht="33">
      <c r="A341" s="160">
        <v>2</v>
      </c>
      <c r="B341" s="160" t="s">
        <v>1086</v>
      </c>
      <c r="C341" s="157" t="s">
        <v>927</v>
      </c>
      <c r="D341" s="159">
        <v>13.23</v>
      </c>
      <c r="E341" s="159">
        <v>371.17</v>
      </c>
      <c r="F341" s="159">
        <v>4910.58</v>
      </c>
      <c r="G341" s="160" t="s">
        <v>2</v>
      </c>
      <c r="H341" s="34" t="s">
        <v>925</v>
      </c>
    </row>
    <row r="342" spans="1:8" ht="16.5">
      <c r="A342" s="160">
        <v>3</v>
      </c>
      <c r="B342" s="160" t="s">
        <v>1080</v>
      </c>
      <c r="C342" s="157" t="s">
        <v>1</v>
      </c>
      <c r="D342" s="159">
        <v>100</v>
      </c>
      <c r="E342" s="159">
        <v>185.12</v>
      </c>
      <c r="F342" s="159">
        <v>18512</v>
      </c>
      <c r="G342" s="160" t="s">
        <v>2</v>
      </c>
    </row>
    <row r="343" spans="1:8" ht="33">
      <c r="A343" s="160">
        <v>4</v>
      </c>
      <c r="B343" s="160" t="s">
        <v>931</v>
      </c>
      <c r="C343" s="157" t="s">
        <v>14</v>
      </c>
      <c r="D343" s="159">
        <v>1</v>
      </c>
      <c r="E343" s="159">
        <v>1283.1199999999999</v>
      </c>
      <c r="F343" s="159">
        <v>1283.1199999999999</v>
      </c>
      <c r="G343" s="160" t="s">
        <v>2</v>
      </c>
      <c r="H343" s="34" t="s">
        <v>925</v>
      </c>
    </row>
    <row r="344" spans="1:8" ht="33">
      <c r="A344" s="160"/>
      <c r="B344" s="160" t="s">
        <v>933</v>
      </c>
      <c r="C344" s="157" t="s">
        <v>1</v>
      </c>
      <c r="D344" s="159">
        <v>100</v>
      </c>
      <c r="E344" s="159"/>
      <c r="F344" s="159">
        <v>44053.91</v>
      </c>
      <c r="G344" s="160"/>
      <c r="H344" s="34" t="s">
        <v>925</v>
      </c>
    </row>
    <row r="345" spans="1:8" ht="33">
      <c r="A345" s="160"/>
      <c r="B345" s="160" t="s">
        <v>934</v>
      </c>
      <c r="C345" s="157" t="s">
        <v>1</v>
      </c>
      <c r="D345" s="159"/>
      <c r="E345" s="159"/>
      <c r="F345" s="159">
        <v>440.54</v>
      </c>
      <c r="G345" s="160"/>
      <c r="H345" s="34" t="s">
        <v>925</v>
      </c>
    </row>
    <row r="346" spans="1:8" ht="33">
      <c r="A346" s="160"/>
      <c r="B346" s="160"/>
      <c r="C346" s="157"/>
      <c r="D346" s="159"/>
      <c r="E346" s="159"/>
      <c r="F346" s="159"/>
      <c r="G346" s="160"/>
      <c r="H346" s="34" t="s">
        <v>925</v>
      </c>
    </row>
    <row r="347" spans="1:8" ht="33">
      <c r="A347" s="160" t="s">
        <v>1134</v>
      </c>
      <c r="B347" s="160" t="s">
        <v>1096</v>
      </c>
      <c r="C347" s="157" t="s">
        <v>1</v>
      </c>
      <c r="D347" s="159">
        <v>100</v>
      </c>
      <c r="E347" s="159">
        <v>472.51</v>
      </c>
      <c r="F347" s="159"/>
      <c r="G347" s="160" t="s">
        <v>4367</v>
      </c>
      <c r="H347" s="34" t="s">
        <v>925</v>
      </c>
    </row>
    <row r="348" spans="1:8" ht="33">
      <c r="A348" s="160">
        <v>1</v>
      </c>
      <c r="B348" s="160" t="s">
        <v>997</v>
      </c>
      <c r="C348" s="157" t="s">
        <v>927</v>
      </c>
      <c r="D348" s="159">
        <v>31.75</v>
      </c>
      <c r="E348" s="159">
        <v>1073.7</v>
      </c>
      <c r="F348" s="159">
        <v>34089.980000000003</v>
      </c>
      <c r="G348" s="160" t="s">
        <v>2</v>
      </c>
      <c r="H348" s="34" t="s">
        <v>925</v>
      </c>
    </row>
    <row r="349" spans="1:8" ht="33">
      <c r="A349" s="160">
        <v>2</v>
      </c>
      <c r="B349" s="160" t="s">
        <v>1086</v>
      </c>
      <c r="C349" s="157" t="s">
        <v>927</v>
      </c>
      <c r="D349" s="159">
        <v>31.75</v>
      </c>
      <c r="E349" s="159">
        <v>371.17</v>
      </c>
      <c r="F349" s="159">
        <v>11784.65</v>
      </c>
      <c r="G349" s="160" t="s">
        <v>2</v>
      </c>
      <c r="H349" s="34" t="s">
        <v>925</v>
      </c>
    </row>
    <row r="350" spans="1:8" ht="33">
      <c r="A350" s="160">
        <v>3</v>
      </c>
      <c r="B350" s="160" t="s">
        <v>931</v>
      </c>
      <c r="C350" s="157" t="s">
        <v>14</v>
      </c>
      <c r="D350" s="159">
        <v>1</v>
      </c>
      <c r="E350" s="159">
        <v>1376.24</v>
      </c>
      <c r="F350" s="159">
        <v>1376.24</v>
      </c>
      <c r="G350" s="160" t="s">
        <v>2</v>
      </c>
      <c r="H350" s="34" t="s">
        <v>925</v>
      </c>
    </row>
    <row r="351" spans="1:8" ht="33">
      <c r="A351" s="160"/>
      <c r="B351" s="160" t="s">
        <v>933</v>
      </c>
      <c r="C351" s="157" t="s">
        <v>1</v>
      </c>
      <c r="D351" s="159">
        <v>100</v>
      </c>
      <c r="E351" s="159"/>
      <c r="F351" s="159">
        <v>47250.87</v>
      </c>
      <c r="G351" s="160"/>
      <c r="H351" s="34" t="s">
        <v>925</v>
      </c>
    </row>
    <row r="352" spans="1:8" ht="33">
      <c r="A352" s="160"/>
      <c r="B352" s="160" t="s">
        <v>934</v>
      </c>
      <c r="C352" s="157" t="s">
        <v>1</v>
      </c>
      <c r="D352" s="159"/>
      <c r="E352" s="159"/>
      <c r="F352" s="159">
        <v>472.51</v>
      </c>
      <c r="G352" s="160"/>
      <c r="H352" s="34" t="s">
        <v>925</v>
      </c>
    </row>
    <row r="353" spans="1:8" ht="33">
      <c r="A353" s="160"/>
      <c r="B353" s="160"/>
      <c r="C353" s="157"/>
      <c r="D353" s="159"/>
      <c r="E353" s="159"/>
      <c r="F353" s="159"/>
      <c r="G353" s="160"/>
      <c r="H353" s="34" t="s">
        <v>925</v>
      </c>
    </row>
    <row r="354" spans="1:8" ht="33">
      <c r="A354" s="160" t="s">
        <v>1139</v>
      </c>
      <c r="B354" s="160" t="s">
        <v>1099</v>
      </c>
      <c r="C354" s="157" t="s">
        <v>0</v>
      </c>
      <c r="D354" s="159">
        <v>100</v>
      </c>
      <c r="E354" s="159">
        <v>882.46</v>
      </c>
      <c r="F354" s="159"/>
      <c r="G354" s="160" t="s">
        <v>2</v>
      </c>
      <c r="H354" s="34" t="s">
        <v>925</v>
      </c>
    </row>
    <row r="355" spans="1:8" ht="33">
      <c r="A355" s="160">
        <v>1</v>
      </c>
      <c r="B355" s="160" t="s">
        <v>997</v>
      </c>
      <c r="C355" s="157" t="s">
        <v>927</v>
      </c>
      <c r="D355" s="159">
        <v>31.75</v>
      </c>
      <c r="E355" s="159">
        <v>1073.7</v>
      </c>
      <c r="F355" s="159">
        <v>34089.980000000003</v>
      </c>
      <c r="G355" s="160" t="s">
        <v>2</v>
      </c>
      <c r="H355" s="34" t="s">
        <v>925</v>
      </c>
    </row>
    <row r="356" spans="1:8" ht="33">
      <c r="A356" s="160">
        <v>2</v>
      </c>
      <c r="B356" s="160" t="s">
        <v>1086</v>
      </c>
      <c r="C356" s="157" t="s">
        <v>927</v>
      </c>
      <c r="D356" s="159">
        <v>31.75</v>
      </c>
      <c r="E356" s="159">
        <v>371.17</v>
      </c>
      <c r="F356" s="159">
        <v>11784.65</v>
      </c>
      <c r="G356" s="160" t="s">
        <v>2</v>
      </c>
      <c r="H356" s="34" t="s">
        <v>925</v>
      </c>
    </row>
    <row r="357" spans="1:8" ht="33">
      <c r="A357" s="160">
        <v>3</v>
      </c>
      <c r="B357" s="160" t="s">
        <v>1101</v>
      </c>
      <c r="C357" s="157" t="s">
        <v>1</v>
      </c>
      <c r="D357" s="159">
        <v>100</v>
      </c>
      <c r="E357" s="159">
        <v>398.01</v>
      </c>
      <c r="F357" s="159">
        <v>39801</v>
      </c>
      <c r="G357" s="160" t="s">
        <v>2</v>
      </c>
      <c r="H357" s="34" t="s">
        <v>925</v>
      </c>
    </row>
    <row r="358" spans="1:8" ht="16.5">
      <c r="A358" s="160">
        <v>4</v>
      </c>
      <c r="B358" s="160" t="s">
        <v>931</v>
      </c>
      <c r="C358" s="157" t="s">
        <v>14</v>
      </c>
      <c r="D358" s="159">
        <v>1</v>
      </c>
      <c r="E358" s="159">
        <v>2570.27</v>
      </c>
      <c r="F358" s="159">
        <v>2570.27</v>
      </c>
      <c r="G358" s="160" t="s">
        <v>2</v>
      </c>
    </row>
    <row r="359" spans="1:8" ht="33">
      <c r="A359" s="160"/>
      <c r="B359" s="160" t="s">
        <v>933</v>
      </c>
      <c r="C359" s="157" t="s">
        <v>0</v>
      </c>
      <c r="D359" s="159">
        <v>100</v>
      </c>
      <c r="E359" s="159"/>
      <c r="F359" s="159">
        <v>88245.900000000009</v>
      </c>
      <c r="G359" s="160"/>
      <c r="H359" s="34" t="s">
        <v>925</v>
      </c>
    </row>
    <row r="360" spans="1:8" ht="33">
      <c r="A360" s="160"/>
      <c r="B360" s="160" t="s">
        <v>934</v>
      </c>
      <c r="C360" s="157" t="s">
        <v>0</v>
      </c>
      <c r="D360" s="159"/>
      <c r="E360" s="159"/>
      <c r="F360" s="159">
        <v>882.46</v>
      </c>
      <c r="G360" s="160"/>
      <c r="H360" s="34" t="s">
        <v>925</v>
      </c>
    </row>
    <row r="361" spans="1:8" ht="33">
      <c r="A361" s="160"/>
      <c r="B361" s="160"/>
      <c r="C361" s="157"/>
      <c r="D361" s="159"/>
      <c r="E361" s="159"/>
      <c r="F361" s="159"/>
      <c r="G361" s="160"/>
      <c r="H361" s="34" t="s">
        <v>925</v>
      </c>
    </row>
    <row r="362" spans="1:8" ht="33">
      <c r="A362" s="160" t="s">
        <v>1148</v>
      </c>
      <c r="B362" s="160" t="s">
        <v>1104</v>
      </c>
      <c r="C362" s="157" t="s">
        <v>0</v>
      </c>
      <c r="D362" s="159">
        <v>1</v>
      </c>
      <c r="E362" s="159">
        <v>1378.09</v>
      </c>
      <c r="F362" s="159"/>
      <c r="G362" s="160" t="s">
        <v>2</v>
      </c>
      <c r="H362" s="34" t="s">
        <v>925</v>
      </c>
    </row>
    <row r="363" spans="1:8" ht="33">
      <c r="A363" s="160">
        <v>1</v>
      </c>
      <c r="B363" s="160" t="s">
        <v>1106</v>
      </c>
      <c r="C363" s="157" t="s">
        <v>927</v>
      </c>
      <c r="D363" s="159">
        <v>0.25</v>
      </c>
      <c r="E363" s="159">
        <v>2128.88</v>
      </c>
      <c r="F363" s="159">
        <v>532.22</v>
      </c>
      <c r="G363" s="160" t="s">
        <v>2</v>
      </c>
      <c r="H363" s="34" t="s">
        <v>925</v>
      </c>
    </row>
    <row r="364" spans="1:8" ht="33">
      <c r="A364" s="160">
        <v>2</v>
      </c>
      <c r="B364" s="160" t="s">
        <v>999</v>
      </c>
      <c r="C364" s="157" t="s">
        <v>927</v>
      </c>
      <c r="D364" s="159">
        <v>0.25</v>
      </c>
      <c r="E364" s="159">
        <v>371.17</v>
      </c>
      <c r="F364" s="159">
        <v>92.79</v>
      </c>
      <c r="G364" s="160" t="s">
        <v>4379</v>
      </c>
      <c r="H364" s="34" t="s">
        <v>925</v>
      </c>
    </row>
    <row r="365" spans="1:8" ht="16.5">
      <c r="A365" s="160">
        <v>3</v>
      </c>
      <c r="B365" s="160" t="s">
        <v>4871</v>
      </c>
      <c r="C365" s="157" t="s">
        <v>927</v>
      </c>
      <c r="D365" s="159">
        <v>0.25</v>
      </c>
      <c r="E365" s="159">
        <v>260.08999999999997</v>
      </c>
      <c r="F365" s="159">
        <v>65.02</v>
      </c>
      <c r="G365" s="160" t="s">
        <v>2</v>
      </c>
    </row>
    <row r="366" spans="1:8" ht="33">
      <c r="A366" s="160">
        <v>4</v>
      </c>
      <c r="B366" s="160" t="s">
        <v>1108</v>
      </c>
      <c r="C366" s="157" t="s">
        <v>0</v>
      </c>
      <c r="D366" s="159">
        <v>1</v>
      </c>
      <c r="E366" s="159">
        <v>647.91999999999996</v>
      </c>
      <c r="F366" s="159">
        <v>647.91999999999996</v>
      </c>
      <c r="G366" s="160" t="s">
        <v>2</v>
      </c>
      <c r="H366" s="34" t="s">
        <v>925</v>
      </c>
    </row>
    <row r="367" spans="1:8" ht="33">
      <c r="A367" s="160">
        <v>5</v>
      </c>
      <c r="B367" s="160" t="s">
        <v>931</v>
      </c>
      <c r="C367" s="157" t="s">
        <v>14</v>
      </c>
      <c r="D367" s="159">
        <v>1</v>
      </c>
      <c r="E367" s="159">
        <v>40.14</v>
      </c>
      <c r="F367" s="159">
        <v>40.14</v>
      </c>
      <c r="G367" s="160" t="s">
        <v>2</v>
      </c>
      <c r="H367" s="34" t="s">
        <v>925</v>
      </c>
    </row>
    <row r="368" spans="1:8" ht="33">
      <c r="A368" s="160"/>
      <c r="B368" s="160" t="s">
        <v>933</v>
      </c>
      <c r="C368" s="157" t="s">
        <v>0</v>
      </c>
      <c r="D368" s="159">
        <v>1</v>
      </c>
      <c r="E368" s="159"/>
      <c r="F368" s="159">
        <v>1378.09</v>
      </c>
      <c r="G368" s="160"/>
      <c r="H368" s="34" t="s">
        <v>925</v>
      </c>
    </row>
    <row r="369" spans="1:8" ht="33">
      <c r="A369" s="160"/>
      <c r="B369" s="160" t="s">
        <v>934</v>
      </c>
      <c r="C369" s="157" t="s">
        <v>0</v>
      </c>
      <c r="D369" s="159"/>
      <c r="E369" s="159"/>
      <c r="F369" s="159">
        <v>1378.09</v>
      </c>
      <c r="G369" s="160"/>
      <c r="H369" s="34" t="s">
        <v>925</v>
      </c>
    </row>
    <row r="370" spans="1:8" ht="33">
      <c r="A370" s="160"/>
      <c r="B370" s="160"/>
      <c r="C370" s="157"/>
      <c r="D370" s="159"/>
      <c r="E370" s="159"/>
      <c r="F370" s="159"/>
      <c r="G370" s="160"/>
      <c r="H370" s="34" t="s">
        <v>925</v>
      </c>
    </row>
    <row r="371" spans="1:8" ht="33">
      <c r="A371" s="160" t="s">
        <v>1153</v>
      </c>
      <c r="B371" s="160" t="s">
        <v>1111</v>
      </c>
      <c r="C371" s="157" t="s">
        <v>3</v>
      </c>
      <c r="D371" s="159">
        <v>1000</v>
      </c>
      <c r="E371" s="159">
        <v>11.06</v>
      </c>
      <c r="F371" s="159"/>
      <c r="G371" s="160" t="s">
        <v>2</v>
      </c>
      <c r="H371" s="34" t="s">
        <v>925</v>
      </c>
    </row>
    <row r="372" spans="1:8" ht="16.5">
      <c r="A372" s="160">
        <v>1</v>
      </c>
      <c r="B372" s="160" t="s">
        <v>1050</v>
      </c>
      <c r="C372" s="157" t="s">
        <v>927</v>
      </c>
      <c r="D372" s="159">
        <v>2.5</v>
      </c>
      <c r="E372" s="159">
        <v>1295.8399999999999</v>
      </c>
      <c r="F372" s="159">
        <v>3239.6</v>
      </c>
      <c r="G372" s="160" t="s">
        <v>2</v>
      </c>
    </row>
    <row r="373" spans="1:8" ht="33">
      <c r="A373" s="160">
        <v>2</v>
      </c>
      <c r="B373" s="160" t="s">
        <v>1113</v>
      </c>
      <c r="C373" s="157" t="s">
        <v>927</v>
      </c>
      <c r="D373" s="159">
        <v>1.88</v>
      </c>
      <c r="E373" s="159">
        <v>1082.95</v>
      </c>
      <c r="F373" s="159">
        <v>2035.95</v>
      </c>
      <c r="G373" s="160" t="s">
        <v>2</v>
      </c>
      <c r="H373" s="34" t="s">
        <v>925</v>
      </c>
    </row>
    <row r="374" spans="1:8" ht="33">
      <c r="A374" s="160">
        <v>3</v>
      </c>
      <c r="B374" s="160" t="s">
        <v>1056</v>
      </c>
      <c r="C374" s="157" t="s">
        <v>927</v>
      </c>
      <c r="D374" s="159">
        <v>2.5</v>
      </c>
      <c r="E374" s="159">
        <v>714.56</v>
      </c>
      <c r="F374" s="159">
        <v>1786.4</v>
      </c>
      <c r="G374" s="160" t="s">
        <v>2</v>
      </c>
      <c r="H374" s="34" t="s">
        <v>925</v>
      </c>
    </row>
    <row r="375" spans="1:8" ht="33">
      <c r="A375" s="160">
        <v>4</v>
      </c>
      <c r="B375" s="160" t="s">
        <v>1115</v>
      </c>
      <c r="C375" s="157" t="s">
        <v>14</v>
      </c>
      <c r="D375" s="159">
        <v>1</v>
      </c>
      <c r="E375" s="159">
        <v>79.34</v>
      </c>
      <c r="F375" s="159">
        <v>79.34</v>
      </c>
      <c r="G375" s="160" t="s">
        <v>2</v>
      </c>
      <c r="H375" s="34" t="s">
        <v>925</v>
      </c>
    </row>
    <row r="376" spans="1:8" ht="33">
      <c r="A376" s="160">
        <v>5</v>
      </c>
      <c r="B376" s="160" t="s">
        <v>4883</v>
      </c>
      <c r="C376" s="157" t="s">
        <v>927</v>
      </c>
      <c r="D376" s="159">
        <v>2.5</v>
      </c>
      <c r="E376" s="159">
        <v>371.17</v>
      </c>
      <c r="F376" s="159">
        <v>927.93</v>
      </c>
      <c r="G376" s="160" t="s">
        <v>5438</v>
      </c>
      <c r="H376" s="34" t="s">
        <v>925</v>
      </c>
    </row>
    <row r="377" spans="1:8" ht="33">
      <c r="A377" s="160">
        <v>6</v>
      </c>
      <c r="B377" s="160" t="s">
        <v>4885</v>
      </c>
      <c r="C377" s="157" t="s">
        <v>927</v>
      </c>
      <c r="D377" s="159">
        <v>1.88</v>
      </c>
      <c r="E377" s="159">
        <v>371.17</v>
      </c>
      <c r="F377" s="159">
        <v>697.8</v>
      </c>
      <c r="G377" s="160" t="s">
        <v>5439</v>
      </c>
      <c r="H377" s="34" t="s">
        <v>925</v>
      </c>
    </row>
    <row r="378" spans="1:8" ht="33">
      <c r="A378" s="160">
        <v>7</v>
      </c>
      <c r="B378" s="160" t="s">
        <v>1060</v>
      </c>
      <c r="C378" s="157" t="s">
        <v>927</v>
      </c>
      <c r="D378" s="159">
        <v>2.5</v>
      </c>
      <c r="E378" s="159">
        <v>371.17</v>
      </c>
      <c r="F378" s="159">
        <v>927.93</v>
      </c>
      <c r="G378" s="160" t="s">
        <v>2</v>
      </c>
      <c r="H378" s="34" t="s">
        <v>925</v>
      </c>
    </row>
    <row r="379" spans="1:8" ht="33">
      <c r="A379" s="160">
        <v>8</v>
      </c>
      <c r="B379" s="160" t="s">
        <v>4871</v>
      </c>
      <c r="C379" s="157" t="s">
        <v>927</v>
      </c>
      <c r="D379" s="159">
        <v>4</v>
      </c>
      <c r="E379" s="159">
        <v>260.08999999999997</v>
      </c>
      <c r="F379" s="159">
        <v>1040.3599999999999</v>
      </c>
      <c r="G379" s="160" t="s">
        <v>2</v>
      </c>
      <c r="H379" s="34" t="s">
        <v>925</v>
      </c>
    </row>
    <row r="380" spans="1:8" ht="33">
      <c r="A380" s="160">
        <v>9</v>
      </c>
      <c r="B380" s="160" t="s">
        <v>931</v>
      </c>
      <c r="C380" s="157" t="s">
        <v>14</v>
      </c>
      <c r="D380" s="159">
        <v>1</v>
      </c>
      <c r="E380" s="159">
        <v>322.06</v>
      </c>
      <c r="F380" s="159">
        <v>322.06</v>
      </c>
      <c r="G380" s="160" t="s">
        <v>2</v>
      </c>
      <c r="H380" s="34" t="s">
        <v>925</v>
      </c>
    </row>
    <row r="381" spans="1:8" ht="33">
      <c r="A381" s="160"/>
      <c r="B381" s="160" t="s">
        <v>933</v>
      </c>
      <c r="C381" s="157" t="s">
        <v>3</v>
      </c>
      <c r="D381" s="159">
        <v>1000</v>
      </c>
      <c r="E381" s="159"/>
      <c r="F381" s="159">
        <v>11057.37</v>
      </c>
      <c r="G381" s="160"/>
      <c r="H381" s="34" t="s">
        <v>925</v>
      </c>
    </row>
    <row r="382" spans="1:8" ht="16.5">
      <c r="A382" s="160"/>
      <c r="B382" s="160" t="s">
        <v>934</v>
      </c>
      <c r="C382" s="157" t="s">
        <v>3</v>
      </c>
      <c r="D382" s="159"/>
      <c r="E382" s="159"/>
      <c r="F382" s="159">
        <v>11.06</v>
      </c>
      <c r="G382" s="160"/>
    </row>
    <row r="383" spans="1:8" ht="33">
      <c r="A383" s="160"/>
      <c r="B383" s="160"/>
      <c r="C383" s="157"/>
      <c r="D383" s="159"/>
      <c r="E383" s="159"/>
      <c r="F383" s="159"/>
      <c r="G383" s="160"/>
      <c r="H383" s="34" t="s">
        <v>925</v>
      </c>
    </row>
    <row r="384" spans="1:8" ht="33">
      <c r="A384" s="160" t="s">
        <v>1161</v>
      </c>
      <c r="B384" s="160" t="s">
        <v>1118</v>
      </c>
      <c r="C384" s="157" t="s">
        <v>15</v>
      </c>
      <c r="D384" s="159">
        <v>100</v>
      </c>
      <c r="E384" s="159">
        <v>1201.9000000000001</v>
      </c>
      <c r="F384" s="159"/>
      <c r="G384" s="160" t="s">
        <v>2</v>
      </c>
      <c r="H384" s="34" t="s">
        <v>925</v>
      </c>
    </row>
    <row r="385" spans="1:8" ht="33">
      <c r="A385" s="160">
        <v>1</v>
      </c>
      <c r="B385" s="160" t="s">
        <v>1120</v>
      </c>
      <c r="C385" s="157" t="s">
        <v>1121</v>
      </c>
      <c r="D385" s="159">
        <v>135</v>
      </c>
      <c r="E385" s="159">
        <v>764.55</v>
      </c>
      <c r="F385" s="159">
        <v>103214.25</v>
      </c>
      <c r="G385" s="160" t="s">
        <v>2</v>
      </c>
      <c r="H385" s="34" t="s">
        <v>925</v>
      </c>
    </row>
    <row r="386" spans="1:8" ht="33">
      <c r="A386" s="160">
        <v>2</v>
      </c>
      <c r="B386" s="160" t="s">
        <v>1123</v>
      </c>
      <c r="C386" s="157" t="s">
        <v>927</v>
      </c>
      <c r="D386" s="159">
        <v>1.43</v>
      </c>
      <c r="E386" s="159">
        <v>1203.28</v>
      </c>
      <c r="F386" s="159">
        <v>1720.69</v>
      </c>
      <c r="G386" s="160" t="s">
        <v>2</v>
      </c>
      <c r="H386" s="34" t="s">
        <v>925</v>
      </c>
    </row>
    <row r="387" spans="1:8" ht="33">
      <c r="A387" s="160">
        <v>3</v>
      </c>
      <c r="B387" s="160" t="s">
        <v>1113</v>
      </c>
      <c r="C387" s="157" t="s">
        <v>927</v>
      </c>
      <c r="D387" s="159">
        <v>2.5</v>
      </c>
      <c r="E387" s="159">
        <v>1082.95</v>
      </c>
      <c r="F387" s="159">
        <v>2707.38</v>
      </c>
      <c r="G387" s="160" t="s">
        <v>2</v>
      </c>
      <c r="H387" s="34" t="s">
        <v>925</v>
      </c>
    </row>
    <row r="388" spans="1:8" ht="33">
      <c r="A388" s="160">
        <v>4</v>
      </c>
      <c r="B388" s="160" t="s">
        <v>1125</v>
      </c>
      <c r="C388" s="157" t="s">
        <v>927</v>
      </c>
      <c r="D388" s="159">
        <v>2.2999999999999998</v>
      </c>
      <c r="E388" s="159">
        <v>1203.28</v>
      </c>
      <c r="F388" s="159">
        <v>2767.54</v>
      </c>
      <c r="G388" s="160" t="s">
        <v>2</v>
      </c>
      <c r="H388" s="34" t="s">
        <v>925</v>
      </c>
    </row>
    <row r="389" spans="1:8" ht="33">
      <c r="A389" s="160">
        <v>5</v>
      </c>
      <c r="B389" s="160" t="s">
        <v>1056</v>
      </c>
      <c r="C389" s="157" t="s">
        <v>927</v>
      </c>
      <c r="D389" s="159">
        <v>1.2</v>
      </c>
      <c r="E389" s="159">
        <v>714.56</v>
      </c>
      <c r="F389" s="159">
        <v>857.47</v>
      </c>
      <c r="G389" s="160" t="s">
        <v>2</v>
      </c>
      <c r="H389" s="34" t="s">
        <v>925</v>
      </c>
    </row>
    <row r="390" spans="1:8" ht="33">
      <c r="A390" s="160">
        <v>6</v>
      </c>
      <c r="B390" s="160" t="s">
        <v>1115</v>
      </c>
      <c r="C390" s="157" t="s">
        <v>14</v>
      </c>
      <c r="D390" s="159">
        <v>1</v>
      </c>
      <c r="E390" s="159">
        <v>46.38</v>
      </c>
      <c r="F390" s="159">
        <v>46.38</v>
      </c>
      <c r="G390" s="160" t="s">
        <v>2</v>
      </c>
      <c r="H390" s="34" t="s">
        <v>925</v>
      </c>
    </row>
    <row r="391" spans="1:8" ht="33">
      <c r="A391" s="160">
        <v>7</v>
      </c>
      <c r="B391" s="160" t="s">
        <v>1127</v>
      </c>
      <c r="C391" s="157" t="s">
        <v>927</v>
      </c>
      <c r="D391" s="159">
        <v>2.5</v>
      </c>
      <c r="E391" s="159">
        <v>423</v>
      </c>
      <c r="F391" s="159">
        <v>1057.5</v>
      </c>
      <c r="G391" s="160" t="s">
        <v>2</v>
      </c>
      <c r="H391" s="34" t="s">
        <v>925</v>
      </c>
    </row>
    <row r="392" spans="1:8" ht="28.5">
      <c r="A392" s="160">
        <v>8</v>
      </c>
      <c r="B392" s="160" t="s">
        <v>4889</v>
      </c>
      <c r="C392" s="157" t="s">
        <v>927</v>
      </c>
      <c r="D392" s="159">
        <v>2.2999999999999998</v>
      </c>
      <c r="E392" s="159">
        <v>371.17</v>
      </c>
      <c r="F392" s="159">
        <v>853.69</v>
      </c>
      <c r="G392" s="160" t="s">
        <v>5441</v>
      </c>
    </row>
    <row r="393" spans="1:8" ht="33">
      <c r="A393" s="160">
        <v>9</v>
      </c>
      <c r="B393" s="160" t="s">
        <v>4885</v>
      </c>
      <c r="C393" s="157" t="s">
        <v>927</v>
      </c>
      <c r="D393" s="159">
        <v>3.93</v>
      </c>
      <c r="E393" s="159">
        <v>371.17</v>
      </c>
      <c r="F393" s="159">
        <v>1458.7</v>
      </c>
      <c r="G393" s="160" t="s">
        <v>5439</v>
      </c>
      <c r="H393" s="34" t="s">
        <v>925</v>
      </c>
    </row>
    <row r="394" spans="1:8" ht="33">
      <c r="A394" s="160">
        <v>10</v>
      </c>
      <c r="B394" s="160" t="s">
        <v>1060</v>
      </c>
      <c r="C394" s="157" t="s">
        <v>927</v>
      </c>
      <c r="D394" s="159">
        <v>1.2</v>
      </c>
      <c r="E394" s="159">
        <v>371.17</v>
      </c>
      <c r="F394" s="159">
        <v>445.4</v>
      </c>
      <c r="G394" s="160" t="s">
        <v>2</v>
      </c>
      <c r="H394" s="34" t="s">
        <v>925</v>
      </c>
    </row>
    <row r="395" spans="1:8" ht="33">
      <c r="A395" s="160">
        <v>11</v>
      </c>
      <c r="B395" s="160" t="s">
        <v>4871</v>
      </c>
      <c r="C395" s="157" t="s">
        <v>927</v>
      </c>
      <c r="D395" s="159">
        <v>6</v>
      </c>
      <c r="E395" s="159">
        <v>260.08999999999997</v>
      </c>
      <c r="F395" s="159">
        <v>1560.54</v>
      </c>
      <c r="G395" s="160" t="s">
        <v>2</v>
      </c>
      <c r="H395" s="34" t="s">
        <v>925</v>
      </c>
    </row>
    <row r="396" spans="1:8" ht="33">
      <c r="A396" s="160">
        <v>12</v>
      </c>
      <c r="B396" s="160" t="s">
        <v>931</v>
      </c>
      <c r="C396" s="157" t="s">
        <v>14</v>
      </c>
      <c r="D396" s="159">
        <v>1</v>
      </c>
      <c r="E396" s="159">
        <v>3500.69</v>
      </c>
      <c r="F396" s="159">
        <v>3500.69</v>
      </c>
      <c r="G396" s="160" t="s">
        <v>2</v>
      </c>
      <c r="H396" s="34" t="s">
        <v>925</v>
      </c>
    </row>
    <row r="397" spans="1:8" ht="33">
      <c r="A397" s="160"/>
      <c r="B397" s="160" t="s">
        <v>933</v>
      </c>
      <c r="C397" s="157" t="s">
        <v>15</v>
      </c>
      <c r="D397" s="159">
        <v>100</v>
      </c>
      <c r="E397" s="159"/>
      <c r="F397" s="159">
        <v>120190.23</v>
      </c>
      <c r="G397" s="160"/>
      <c r="H397" s="34" t="s">
        <v>925</v>
      </c>
    </row>
    <row r="398" spans="1:8" ht="33">
      <c r="A398" s="160"/>
      <c r="B398" s="160" t="s">
        <v>934</v>
      </c>
      <c r="C398" s="157" t="s">
        <v>15</v>
      </c>
      <c r="D398" s="159"/>
      <c r="E398" s="159"/>
      <c r="F398" s="159">
        <v>1201.9000000000001</v>
      </c>
      <c r="G398" s="160"/>
      <c r="H398" s="34" t="s">
        <v>925</v>
      </c>
    </row>
    <row r="399" spans="1:8" ht="33">
      <c r="A399" s="160"/>
      <c r="B399" s="160"/>
      <c r="C399" s="157"/>
      <c r="D399" s="159"/>
      <c r="E399" s="159"/>
      <c r="F399" s="159"/>
      <c r="G399" s="160"/>
      <c r="H399" s="34" t="s">
        <v>925</v>
      </c>
    </row>
    <row r="400" spans="1:8" ht="28.5">
      <c r="A400" s="160" t="s">
        <v>1166</v>
      </c>
      <c r="B400" s="160" t="s">
        <v>1130</v>
      </c>
      <c r="C400" s="157" t="s">
        <v>15</v>
      </c>
      <c r="D400" s="159">
        <v>1</v>
      </c>
      <c r="E400" s="159">
        <v>1358.08</v>
      </c>
      <c r="F400" s="159"/>
      <c r="G400" s="160" t="s">
        <v>2</v>
      </c>
    </row>
    <row r="401" spans="1:8" ht="33">
      <c r="A401" s="160">
        <v>1</v>
      </c>
      <c r="B401" s="160" t="s">
        <v>1132</v>
      </c>
      <c r="C401" s="157" t="s">
        <v>1121</v>
      </c>
      <c r="D401" s="159">
        <v>1.25</v>
      </c>
      <c r="E401" s="159">
        <v>638.66999999999996</v>
      </c>
      <c r="F401" s="159">
        <v>798.34</v>
      </c>
      <c r="G401" s="160" t="s">
        <v>2</v>
      </c>
      <c r="H401" s="34" t="s">
        <v>925</v>
      </c>
    </row>
    <row r="402" spans="1:8" ht="33">
      <c r="A402" s="160">
        <v>2</v>
      </c>
      <c r="B402" s="160" t="s">
        <v>4871</v>
      </c>
      <c r="C402" s="157" t="s">
        <v>927</v>
      </c>
      <c r="D402" s="159">
        <v>2</v>
      </c>
      <c r="E402" s="159">
        <v>260.08999999999997</v>
      </c>
      <c r="F402" s="159">
        <v>520.17999999999995</v>
      </c>
      <c r="G402" s="160" t="s">
        <v>2</v>
      </c>
      <c r="H402" s="34" t="s">
        <v>925</v>
      </c>
    </row>
    <row r="403" spans="1:8" ht="33">
      <c r="A403" s="160">
        <v>3</v>
      </c>
      <c r="B403" s="160" t="s">
        <v>955</v>
      </c>
      <c r="C403" s="157" t="s">
        <v>14</v>
      </c>
      <c r="D403" s="159">
        <v>1</v>
      </c>
      <c r="E403" s="159">
        <v>39.56</v>
      </c>
      <c r="F403" s="159">
        <v>39.56</v>
      </c>
      <c r="G403" s="160" t="s">
        <v>2</v>
      </c>
      <c r="H403" s="34" t="s">
        <v>925</v>
      </c>
    </row>
    <row r="404" spans="1:8" ht="33">
      <c r="A404" s="160"/>
      <c r="B404" s="160" t="s">
        <v>933</v>
      </c>
      <c r="C404" s="157" t="s">
        <v>15</v>
      </c>
      <c r="D404" s="159">
        <v>1</v>
      </c>
      <c r="E404" s="159"/>
      <c r="F404" s="159">
        <v>1358.08</v>
      </c>
      <c r="G404" s="160"/>
      <c r="H404" s="34" t="s">
        <v>925</v>
      </c>
    </row>
    <row r="405" spans="1:8" ht="33">
      <c r="A405" s="160"/>
      <c r="B405" s="160" t="s">
        <v>934</v>
      </c>
      <c r="C405" s="157" t="s">
        <v>15</v>
      </c>
      <c r="D405" s="159"/>
      <c r="E405" s="159"/>
      <c r="F405" s="159">
        <v>1358.08</v>
      </c>
      <c r="G405" s="160"/>
      <c r="H405" s="34" t="s">
        <v>925</v>
      </c>
    </row>
    <row r="406" spans="1:8" ht="33">
      <c r="A406" s="160"/>
      <c r="B406" s="160"/>
      <c r="C406" s="157"/>
      <c r="D406" s="159"/>
      <c r="E406" s="159"/>
      <c r="F406" s="159"/>
      <c r="G406" s="160"/>
      <c r="H406" s="34" t="s">
        <v>925</v>
      </c>
    </row>
    <row r="407" spans="1:8" ht="33">
      <c r="A407" s="160" t="s">
        <v>1170</v>
      </c>
      <c r="B407" s="160" t="s">
        <v>1135</v>
      </c>
      <c r="C407" s="157" t="s">
        <v>15</v>
      </c>
      <c r="D407" s="159">
        <v>1</v>
      </c>
      <c r="E407" s="159">
        <v>1236.04</v>
      </c>
      <c r="F407" s="159"/>
      <c r="G407" s="160" t="s">
        <v>2</v>
      </c>
      <c r="H407" s="34" t="s">
        <v>925</v>
      </c>
    </row>
    <row r="408" spans="1:8" ht="28.5">
      <c r="A408" s="160">
        <v>1</v>
      </c>
      <c r="B408" s="160" t="s">
        <v>1137</v>
      </c>
      <c r="C408" s="157" t="s">
        <v>1121</v>
      </c>
      <c r="D408" s="159">
        <v>1.25</v>
      </c>
      <c r="E408" s="159">
        <v>647.91999999999996</v>
      </c>
      <c r="F408" s="159">
        <v>809.9</v>
      </c>
      <c r="G408" s="160" t="s">
        <v>2</v>
      </c>
    </row>
    <row r="409" spans="1:8" ht="33">
      <c r="A409" s="160">
        <v>2</v>
      </c>
      <c r="B409" s="160" t="s">
        <v>4871</v>
      </c>
      <c r="C409" s="157" t="s">
        <v>927</v>
      </c>
      <c r="D409" s="159">
        <v>1.5</v>
      </c>
      <c r="E409" s="159">
        <v>260.08999999999997</v>
      </c>
      <c r="F409" s="159">
        <v>390.14</v>
      </c>
      <c r="G409" s="160" t="s">
        <v>5435</v>
      </c>
      <c r="H409" s="34" t="s">
        <v>925</v>
      </c>
    </row>
    <row r="410" spans="1:8" ht="33">
      <c r="A410" s="160">
        <v>3</v>
      </c>
      <c r="B410" s="160" t="s">
        <v>955</v>
      </c>
      <c r="C410" s="157" t="s">
        <v>14</v>
      </c>
      <c r="D410" s="159">
        <v>1</v>
      </c>
      <c r="E410" s="159">
        <v>36</v>
      </c>
      <c r="F410" s="159">
        <v>36</v>
      </c>
      <c r="G410" s="160" t="s">
        <v>2</v>
      </c>
      <c r="H410" s="34" t="s">
        <v>925</v>
      </c>
    </row>
    <row r="411" spans="1:8" ht="33">
      <c r="A411" s="160"/>
      <c r="B411" s="160" t="s">
        <v>933</v>
      </c>
      <c r="C411" s="157" t="s">
        <v>15</v>
      </c>
      <c r="D411" s="159">
        <v>1</v>
      </c>
      <c r="E411" s="159"/>
      <c r="F411" s="159">
        <v>1236.04</v>
      </c>
      <c r="G411" s="160"/>
      <c r="H411" s="34" t="s">
        <v>925</v>
      </c>
    </row>
    <row r="412" spans="1:8" ht="33">
      <c r="A412" s="160"/>
      <c r="B412" s="160" t="s">
        <v>934</v>
      </c>
      <c r="C412" s="157" t="s">
        <v>15</v>
      </c>
      <c r="D412" s="159"/>
      <c r="E412" s="159"/>
      <c r="F412" s="159">
        <v>1236.04</v>
      </c>
      <c r="G412" s="160"/>
      <c r="H412" s="34" t="s">
        <v>925</v>
      </c>
    </row>
    <row r="413" spans="1:8" ht="33">
      <c r="A413" s="160"/>
      <c r="B413" s="160"/>
      <c r="C413" s="157"/>
      <c r="D413" s="159"/>
      <c r="E413" s="159"/>
      <c r="F413" s="159"/>
      <c r="G413" s="160"/>
      <c r="H413" s="34" t="s">
        <v>925</v>
      </c>
    </row>
    <row r="414" spans="1:8" ht="33">
      <c r="A414" s="160" t="s">
        <v>1173</v>
      </c>
      <c r="B414" s="160" t="s">
        <v>1140</v>
      </c>
      <c r="C414" s="157" t="s">
        <v>3</v>
      </c>
      <c r="D414" s="159">
        <v>100</v>
      </c>
      <c r="E414" s="159">
        <v>41.08</v>
      </c>
      <c r="F414" s="159"/>
      <c r="G414" s="160" t="s">
        <v>2</v>
      </c>
      <c r="H414" s="34" t="s">
        <v>925</v>
      </c>
    </row>
    <row r="415" spans="1:8" ht="33">
      <c r="A415" s="160">
        <v>1</v>
      </c>
      <c r="B415" s="160" t="s">
        <v>1142</v>
      </c>
      <c r="C415" s="157" t="s">
        <v>18</v>
      </c>
      <c r="D415" s="159">
        <v>80</v>
      </c>
      <c r="E415" s="159">
        <v>41.65</v>
      </c>
      <c r="F415" s="159">
        <v>3332</v>
      </c>
      <c r="G415" s="160" t="s">
        <v>2</v>
      </c>
      <c r="H415" s="34" t="s">
        <v>925</v>
      </c>
    </row>
    <row r="416" spans="1:8" ht="16.5">
      <c r="A416" s="160">
        <v>2</v>
      </c>
      <c r="B416" s="160" t="s">
        <v>1144</v>
      </c>
      <c r="C416" s="157" t="s">
        <v>927</v>
      </c>
      <c r="D416" s="159">
        <v>0.2</v>
      </c>
      <c r="E416" s="159">
        <v>870.07</v>
      </c>
      <c r="F416" s="159">
        <v>174.01</v>
      </c>
      <c r="G416" s="160" t="s">
        <v>2</v>
      </c>
    </row>
    <row r="417" spans="1:8" ht="33">
      <c r="A417" s="160">
        <v>3</v>
      </c>
      <c r="B417" s="160" t="s">
        <v>4891</v>
      </c>
      <c r="C417" s="157" t="s">
        <v>927</v>
      </c>
      <c r="D417" s="159">
        <v>0.2</v>
      </c>
      <c r="E417" s="159">
        <v>371.17</v>
      </c>
      <c r="F417" s="159">
        <v>74.23</v>
      </c>
      <c r="G417" s="160" t="s">
        <v>5442</v>
      </c>
      <c r="H417" s="34" t="s">
        <v>925</v>
      </c>
    </row>
    <row r="418" spans="1:8" ht="33">
      <c r="A418" s="160">
        <v>4</v>
      </c>
      <c r="B418" s="160" t="s">
        <v>1146</v>
      </c>
      <c r="C418" s="157" t="s">
        <v>18</v>
      </c>
      <c r="D418" s="159">
        <v>80</v>
      </c>
      <c r="E418" s="159">
        <v>1.85</v>
      </c>
      <c r="F418" s="159">
        <v>148</v>
      </c>
      <c r="G418" s="160" t="s">
        <v>2</v>
      </c>
      <c r="H418" s="34" t="s">
        <v>925</v>
      </c>
    </row>
    <row r="419" spans="1:8" ht="33">
      <c r="A419" s="160">
        <v>5</v>
      </c>
      <c r="B419" s="160" t="s">
        <v>4871</v>
      </c>
      <c r="C419" s="157" t="s">
        <v>927</v>
      </c>
      <c r="D419" s="159">
        <v>1</v>
      </c>
      <c r="E419" s="159">
        <v>260.08999999999997</v>
      </c>
      <c r="F419" s="159">
        <v>260.08999999999997</v>
      </c>
      <c r="G419" s="160" t="s">
        <v>2</v>
      </c>
      <c r="H419" s="34" t="s">
        <v>925</v>
      </c>
    </row>
    <row r="420" spans="1:8" ht="33">
      <c r="A420" s="160">
        <v>6</v>
      </c>
      <c r="B420" s="160" t="s">
        <v>931</v>
      </c>
      <c r="C420" s="157" t="s">
        <v>14</v>
      </c>
      <c r="D420" s="159">
        <v>1</v>
      </c>
      <c r="E420" s="159">
        <v>119.65</v>
      </c>
      <c r="F420" s="159">
        <v>119.65</v>
      </c>
      <c r="G420" s="160" t="s">
        <v>2</v>
      </c>
      <c r="H420" s="34" t="s">
        <v>925</v>
      </c>
    </row>
    <row r="421" spans="1:8" ht="33">
      <c r="A421" s="160"/>
      <c r="B421" s="160" t="s">
        <v>933</v>
      </c>
      <c r="C421" s="157" t="s">
        <v>3</v>
      </c>
      <c r="D421" s="159">
        <v>100</v>
      </c>
      <c r="E421" s="159"/>
      <c r="F421" s="159">
        <v>4107.9800000000005</v>
      </c>
      <c r="G421" s="160"/>
      <c r="H421" s="34" t="s">
        <v>925</v>
      </c>
    </row>
    <row r="422" spans="1:8" ht="33">
      <c r="A422" s="160"/>
      <c r="B422" s="160" t="s">
        <v>934</v>
      </c>
      <c r="C422" s="157" t="s">
        <v>3</v>
      </c>
      <c r="D422" s="159"/>
      <c r="E422" s="159"/>
      <c r="F422" s="159">
        <v>41.08</v>
      </c>
      <c r="G422" s="160"/>
      <c r="H422" s="34" t="s">
        <v>925</v>
      </c>
    </row>
    <row r="423" spans="1:8" ht="33">
      <c r="A423" s="160"/>
      <c r="B423" s="160"/>
      <c r="C423" s="157"/>
      <c r="D423" s="159"/>
      <c r="E423" s="159"/>
      <c r="F423" s="159"/>
      <c r="G423" s="160"/>
      <c r="H423" s="34" t="s">
        <v>925</v>
      </c>
    </row>
    <row r="424" spans="1:8" ht="28.5">
      <c r="A424" s="160" t="s">
        <v>1178</v>
      </c>
      <c r="B424" s="160" t="s">
        <v>1149</v>
      </c>
      <c r="C424" s="157" t="s">
        <v>3</v>
      </c>
      <c r="D424" s="159">
        <v>100</v>
      </c>
      <c r="E424" s="159">
        <v>16.329999999999998</v>
      </c>
      <c r="F424" s="159"/>
      <c r="G424" s="160" t="s">
        <v>2</v>
      </c>
    </row>
    <row r="425" spans="1:8" ht="33">
      <c r="A425" s="160">
        <v>1</v>
      </c>
      <c r="B425" s="160" t="s">
        <v>1151</v>
      </c>
      <c r="C425" s="157" t="s">
        <v>18</v>
      </c>
      <c r="D425" s="159">
        <v>30</v>
      </c>
      <c r="E425" s="159">
        <v>41.65</v>
      </c>
      <c r="F425" s="159">
        <v>1249.5</v>
      </c>
      <c r="G425" s="160" t="s">
        <v>2</v>
      </c>
      <c r="H425" s="34" t="s">
        <v>925</v>
      </c>
    </row>
    <row r="426" spans="1:8" ht="33">
      <c r="A426" s="160">
        <v>2</v>
      </c>
      <c r="B426" s="160" t="s">
        <v>1144</v>
      </c>
      <c r="C426" s="157" t="s">
        <v>927</v>
      </c>
      <c r="D426" s="159">
        <v>0.1</v>
      </c>
      <c r="E426" s="159">
        <v>870.07</v>
      </c>
      <c r="F426" s="159">
        <v>87.01</v>
      </c>
      <c r="G426" s="160" t="s">
        <v>2</v>
      </c>
      <c r="H426" s="34" t="s">
        <v>925</v>
      </c>
    </row>
    <row r="427" spans="1:8" ht="33">
      <c r="A427" s="160">
        <v>3</v>
      </c>
      <c r="B427" s="160" t="s">
        <v>4891</v>
      </c>
      <c r="C427" s="157" t="s">
        <v>927</v>
      </c>
      <c r="D427" s="159">
        <v>0.1</v>
      </c>
      <c r="E427" s="159">
        <v>371.17</v>
      </c>
      <c r="F427" s="159">
        <v>37.119999999999997</v>
      </c>
      <c r="G427" s="160" t="s">
        <v>5442</v>
      </c>
      <c r="H427" s="34" t="s">
        <v>925</v>
      </c>
    </row>
    <row r="428" spans="1:8" ht="33">
      <c r="A428" s="160">
        <v>4</v>
      </c>
      <c r="B428" s="160" t="s">
        <v>1146</v>
      </c>
      <c r="C428" s="157" t="s">
        <v>18</v>
      </c>
      <c r="D428" s="159">
        <v>30</v>
      </c>
      <c r="E428" s="159">
        <v>1.85</v>
      </c>
      <c r="F428" s="159">
        <v>55.5</v>
      </c>
      <c r="G428" s="160" t="s">
        <v>2</v>
      </c>
      <c r="H428" s="34" t="s">
        <v>925</v>
      </c>
    </row>
    <row r="429" spans="1:8" ht="33">
      <c r="A429" s="160">
        <v>5</v>
      </c>
      <c r="B429" s="160" t="s">
        <v>4871</v>
      </c>
      <c r="C429" s="157" t="s">
        <v>927</v>
      </c>
      <c r="D429" s="159">
        <v>0.6</v>
      </c>
      <c r="E429" s="159">
        <v>260.08999999999997</v>
      </c>
      <c r="F429" s="159">
        <v>156.05000000000001</v>
      </c>
      <c r="G429" s="160" t="s">
        <v>2</v>
      </c>
      <c r="H429" s="34" t="s">
        <v>925</v>
      </c>
    </row>
    <row r="430" spans="1:8" ht="33">
      <c r="A430" s="160">
        <v>6</v>
      </c>
      <c r="B430" s="160" t="s">
        <v>931</v>
      </c>
      <c r="C430" s="157" t="s">
        <v>14</v>
      </c>
      <c r="D430" s="159">
        <v>1</v>
      </c>
      <c r="E430" s="159">
        <v>47.56</v>
      </c>
      <c r="F430" s="159">
        <v>47.56</v>
      </c>
      <c r="G430" s="160" t="s">
        <v>2</v>
      </c>
      <c r="H430" s="34" t="s">
        <v>925</v>
      </c>
    </row>
    <row r="431" spans="1:8" ht="33">
      <c r="A431" s="160"/>
      <c r="B431" s="160" t="s">
        <v>933</v>
      </c>
      <c r="C431" s="157" t="s">
        <v>3</v>
      </c>
      <c r="D431" s="159">
        <v>100</v>
      </c>
      <c r="E431" s="159"/>
      <c r="F431" s="159">
        <v>1632.7399999999998</v>
      </c>
      <c r="G431" s="160"/>
      <c r="H431" s="34" t="s">
        <v>925</v>
      </c>
    </row>
    <row r="432" spans="1:8" ht="16.5">
      <c r="A432" s="160"/>
      <c r="B432" s="160" t="s">
        <v>934</v>
      </c>
      <c r="C432" s="157" t="s">
        <v>3</v>
      </c>
      <c r="D432" s="159"/>
      <c r="E432" s="159"/>
      <c r="F432" s="159">
        <v>16.329999999999998</v>
      </c>
      <c r="G432" s="160"/>
    </row>
    <row r="433" spans="1:8" ht="33">
      <c r="A433" s="160"/>
      <c r="B433" s="160"/>
      <c r="C433" s="157"/>
      <c r="D433" s="159"/>
      <c r="E433" s="159"/>
      <c r="F433" s="159"/>
      <c r="G433" s="160"/>
      <c r="H433" s="34" t="s">
        <v>925</v>
      </c>
    </row>
    <row r="434" spans="1:8" ht="33">
      <c r="A434" s="160" t="s">
        <v>1181</v>
      </c>
      <c r="B434" s="160" t="s">
        <v>4467</v>
      </c>
      <c r="C434" s="157" t="s">
        <v>3</v>
      </c>
      <c r="D434" s="159">
        <v>100</v>
      </c>
      <c r="E434" s="159">
        <v>19.13</v>
      </c>
      <c r="F434" s="159"/>
      <c r="G434" s="160" t="s">
        <v>2</v>
      </c>
      <c r="H434" s="34" t="s">
        <v>925</v>
      </c>
    </row>
    <row r="435" spans="1:8" ht="33">
      <c r="A435" s="160">
        <v>1</v>
      </c>
      <c r="B435" s="160" t="s">
        <v>1151</v>
      </c>
      <c r="C435" s="157" t="s">
        <v>18</v>
      </c>
      <c r="D435" s="159">
        <v>30</v>
      </c>
      <c r="E435" s="159">
        <v>41.65</v>
      </c>
      <c r="F435" s="159">
        <v>1249.5</v>
      </c>
      <c r="G435" s="160" t="s">
        <v>2</v>
      </c>
      <c r="H435" s="34" t="s">
        <v>925</v>
      </c>
    </row>
    <row r="436" spans="1:8" ht="33">
      <c r="A436" s="160">
        <v>2</v>
      </c>
      <c r="B436" s="160" t="s">
        <v>1144</v>
      </c>
      <c r="C436" s="157" t="s">
        <v>927</v>
      </c>
      <c r="D436" s="159">
        <v>0.12</v>
      </c>
      <c r="E436" s="159">
        <v>870.07</v>
      </c>
      <c r="F436" s="159">
        <v>104.41</v>
      </c>
      <c r="G436" s="160" t="s">
        <v>2</v>
      </c>
      <c r="H436" s="34" t="s">
        <v>925</v>
      </c>
    </row>
    <row r="437" spans="1:8" ht="33">
      <c r="A437" s="160">
        <v>3</v>
      </c>
      <c r="B437" s="160" t="s">
        <v>4894</v>
      </c>
      <c r="C437" s="157" t="s">
        <v>927</v>
      </c>
      <c r="D437" s="159">
        <v>0.12</v>
      </c>
      <c r="E437" s="159">
        <v>742.33</v>
      </c>
      <c r="F437" s="159">
        <v>89.08</v>
      </c>
      <c r="G437" s="160" t="s">
        <v>5442</v>
      </c>
      <c r="H437" s="34" t="s">
        <v>925</v>
      </c>
    </row>
    <row r="438" spans="1:8" ht="33">
      <c r="A438" s="160">
        <v>4</v>
      </c>
      <c r="B438" s="160" t="s">
        <v>1146</v>
      </c>
      <c r="C438" s="157" t="s">
        <v>18</v>
      </c>
      <c r="D438" s="159">
        <v>30</v>
      </c>
      <c r="E438" s="159">
        <v>1.85</v>
      </c>
      <c r="F438" s="159">
        <v>55.5</v>
      </c>
      <c r="G438" s="160" t="s">
        <v>2</v>
      </c>
      <c r="H438" s="34" t="s">
        <v>925</v>
      </c>
    </row>
    <row r="439" spans="1:8" ht="33">
      <c r="A439" s="160">
        <v>5</v>
      </c>
      <c r="B439" s="160" t="s">
        <v>4874</v>
      </c>
      <c r="C439" s="157" t="s">
        <v>927</v>
      </c>
      <c r="D439" s="159">
        <v>0.69</v>
      </c>
      <c r="E439" s="159">
        <v>520.19000000000005</v>
      </c>
      <c r="F439" s="159">
        <v>358.93</v>
      </c>
      <c r="G439" s="160" t="s">
        <v>5436</v>
      </c>
      <c r="H439" s="34" t="s">
        <v>925</v>
      </c>
    </row>
    <row r="440" spans="1:8" ht="16.5">
      <c r="A440" s="160">
        <v>6</v>
      </c>
      <c r="B440" s="160" t="s">
        <v>931</v>
      </c>
      <c r="C440" s="157" t="s">
        <v>14</v>
      </c>
      <c r="D440" s="159">
        <v>1</v>
      </c>
      <c r="E440" s="159">
        <v>55.72</v>
      </c>
      <c r="F440" s="159">
        <v>55.72</v>
      </c>
      <c r="G440" s="160" t="s">
        <v>2</v>
      </c>
    </row>
    <row r="441" spans="1:8" ht="33">
      <c r="A441" s="160"/>
      <c r="B441" s="160" t="s">
        <v>933</v>
      </c>
      <c r="C441" s="157" t="s">
        <v>3</v>
      </c>
      <c r="D441" s="159">
        <v>100</v>
      </c>
      <c r="E441" s="159"/>
      <c r="F441" s="159">
        <v>1913.14</v>
      </c>
      <c r="G441" s="160"/>
      <c r="H441" s="34" t="s">
        <v>925</v>
      </c>
    </row>
    <row r="442" spans="1:8" ht="33">
      <c r="A442" s="160"/>
      <c r="B442" s="160" t="s">
        <v>934</v>
      </c>
      <c r="C442" s="157" t="s">
        <v>3</v>
      </c>
      <c r="D442" s="159"/>
      <c r="E442" s="159"/>
      <c r="F442" s="159">
        <v>19.13</v>
      </c>
      <c r="G442" s="160"/>
      <c r="H442" s="34" t="s">
        <v>925</v>
      </c>
    </row>
    <row r="443" spans="1:8" ht="33">
      <c r="A443" s="160"/>
      <c r="B443" s="160"/>
      <c r="C443" s="157"/>
      <c r="D443" s="159"/>
      <c r="E443" s="159"/>
      <c r="F443" s="159"/>
      <c r="G443" s="160"/>
      <c r="H443" s="34" t="s">
        <v>925</v>
      </c>
    </row>
    <row r="444" spans="1:8" ht="33">
      <c r="A444" s="160" t="s">
        <v>1186</v>
      </c>
      <c r="B444" s="160" t="s">
        <v>1154</v>
      </c>
      <c r="C444" s="157" t="s">
        <v>0</v>
      </c>
      <c r="D444" s="159">
        <v>1</v>
      </c>
      <c r="E444" s="159">
        <v>7177.05</v>
      </c>
      <c r="F444" s="159"/>
      <c r="G444" s="160" t="s">
        <v>2</v>
      </c>
      <c r="H444" s="34" t="s">
        <v>925</v>
      </c>
    </row>
    <row r="445" spans="1:8" ht="42.75">
      <c r="A445" s="160">
        <v>1</v>
      </c>
      <c r="B445" s="160" t="s">
        <v>1156</v>
      </c>
      <c r="C445" s="157" t="s">
        <v>0</v>
      </c>
      <c r="D445" s="159">
        <v>1</v>
      </c>
      <c r="E445" s="159">
        <v>6599.54</v>
      </c>
      <c r="F445" s="159">
        <v>6599.54</v>
      </c>
      <c r="G445" s="160" t="s">
        <v>2</v>
      </c>
      <c r="H445" s="34" t="s">
        <v>925</v>
      </c>
    </row>
    <row r="446" spans="1:8" ht="33">
      <c r="A446" s="160">
        <v>2</v>
      </c>
      <c r="B446" s="160" t="s">
        <v>4896</v>
      </c>
      <c r="C446" s="157" t="s">
        <v>0</v>
      </c>
      <c r="D446" s="159">
        <v>1</v>
      </c>
      <c r="E446" s="159">
        <v>344.4</v>
      </c>
      <c r="F446" s="159">
        <v>344.4</v>
      </c>
      <c r="G446" s="160" t="s">
        <v>2</v>
      </c>
      <c r="H446" s="34" t="s">
        <v>925</v>
      </c>
    </row>
    <row r="447" spans="1:8" ht="33">
      <c r="A447" s="160">
        <v>3</v>
      </c>
      <c r="B447" s="160" t="s">
        <v>1159</v>
      </c>
      <c r="C447" s="157" t="s">
        <v>0</v>
      </c>
      <c r="D447" s="159">
        <v>1</v>
      </c>
      <c r="E447" s="159">
        <v>24.07</v>
      </c>
      <c r="F447" s="159">
        <v>24.07</v>
      </c>
      <c r="G447" s="160" t="s">
        <v>2</v>
      </c>
      <c r="H447" s="34" t="s">
        <v>925</v>
      </c>
    </row>
    <row r="448" spans="1:8" ht="16.5">
      <c r="A448" s="160">
        <v>4</v>
      </c>
      <c r="B448" s="160" t="s">
        <v>931</v>
      </c>
      <c r="C448" s="157" t="s">
        <v>14</v>
      </c>
      <c r="D448" s="159">
        <v>1</v>
      </c>
      <c r="E448" s="159">
        <v>209.04</v>
      </c>
      <c r="F448" s="159">
        <v>209.04</v>
      </c>
      <c r="G448" s="160" t="s">
        <v>2</v>
      </c>
    </row>
    <row r="449" spans="1:8" ht="33">
      <c r="A449" s="160"/>
      <c r="B449" s="160" t="s">
        <v>933</v>
      </c>
      <c r="C449" s="157" t="s">
        <v>0</v>
      </c>
      <c r="D449" s="159">
        <v>1</v>
      </c>
      <c r="E449" s="159"/>
      <c r="F449" s="159">
        <v>7177.0499999999993</v>
      </c>
      <c r="G449" s="160"/>
      <c r="H449" s="34" t="s">
        <v>925</v>
      </c>
    </row>
    <row r="450" spans="1:8" ht="33">
      <c r="A450" s="160"/>
      <c r="B450" s="160" t="s">
        <v>934</v>
      </c>
      <c r="C450" s="157" t="s">
        <v>0</v>
      </c>
      <c r="D450" s="159"/>
      <c r="E450" s="159"/>
      <c r="F450" s="159">
        <v>7177.05</v>
      </c>
      <c r="G450" s="160"/>
      <c r="H450" s="34" t="s">
        <v>925</v>
      </c>
    </row>
    <row r="451" spans="1:8" ht="33">
      <c r="A451" s="160"/>
      <c r="B451" s="160"/>
      <c r="C451" s="157"/>
      <c r="D451" s="159"/>
      <c r="E451" s="159"/>
      <c r="F451" s="159"/>
      <c r="G451" s="160"/>
      <c r="H451" s="34" t="s">
        <v>925</v>
      </c>
    </row>
    <row r="452" spans="1:8" ht="33">
      <c r="A452" s="160" t="s">
        <v>1191</v>
      </c>
      <c r="B452" s="160" t="s">
        <v>3639</v>
      </c>
      <c r="C452" s="157" t="s">
        <v>0</v>
      </c>
      <c r="D452" s="159">
        <v>1</v>
      </c>
      <c r="E452" s="159">
        <v>7642.97</v>
      </c>
      <c r="F452" s="159"/>
      <c r="G452" s="160" t="s">
        <v>2</v>
      </c>
      <c r="H452" s="34" t="s">
        <v>925</v>
      </c>
    </row>
    <row r="453" spans="1:8" ht="33">
      <c r="A453" s="160">
        <v>1</v>
      </c>
      <c r="B453" s="160" t="s">
        <v>1167</v>
      </c>
      <c r="C453" s="157" t="s">
        <v>0</v>
      </c>
      <c r="D453" s="159">
        <v>1</v>
      </c>
      <c r="E453" s="159">
        <v>6599.54</v>
      </c>
      <c r="F453" s="159">
        <v>6599.54</v>
      </c>
      <c r="G453" s="160" t="s">
        <v>2</v>
      </c>
      <c r="H453" s="34" t="s">
        <v>925</v>
      </c>
    </row>
    <row r="454" spans="1:8" ht="33">
      <c r="A454" s="160">
        <v>2</v>
      </c>
      <c r="B454" s="160" t="s">
        <v>4897</v>
      </c>
      <c r="C454" s="157" t="s">
        <v>0</v>
      </c>
      <c r="D454" s="159">
        <v>1</v>
      </c>
      <c r="E454" s="159">
        <v>796.75</v>
      </c>
      <c r="F454" s="159">
        <v>796.75</v>
      </c>
      <c r="G454" s="160" t="s">
        <v>5443</v>
      </c>
      <c r="H454" s="34" t="s">
        <v>925</v>
      </c>
    </row>
    <row r="455" spans="1:8" ht="33">
      <c r="A455" s="160">
        <v>3</v>
      </c>
      <c r="B455" s="160" t="s">
        <v>1159</v>
      </c>
      <c r="C455" s="157" t="s">
        <v>0</v>
      </c>
      <c r="D455" s="159">
        <v>1</v>
      </c>
      <c r="E455" s="159">
        <v>24.07</v>
      </c>
      <c r="F455" s="159">
        <v>24.07</v>
      </c>
      <c r="G455" s="160" t="s">
        <v>2</v>
      </c>
      <c r="H455" s="34" t="s">
        <v>925</v>
      </c>
    </row>
    <row r="456" spans="1:8" ht="16.5">
      <c r="A456" s="160">
        <v>4</v>
      </c>
      <c r="B456" s="160" t="s">
        <v>931</v>
      </c>
      <c r="C456" s="157" t="s">
        <v>14</v>
      </c>
      <c r="D456" s="159">
        <v>1</v>
      </c>
      <c r="E456" s="159">
        <v>222.61</v>
      </c>
      <c r="F456" s="159">
        <v>222.61</v>
      </c>
      <c r="G456" s="160" t="s">
        <v>2</v>
      </c>
    </row>
    <row r="457" spans="1:8" ht="33">
      <c r="A457" s="160"/>
      <c r="B457" s="160" t="s">
        <v>933</v>
      </c>
      <c r="C457" s="157" t="s">
        <v>0</v>
      </c>
      <c r="D457" s="159">
        <v>1</v>
      </c>
      <c r="E457" s="159"/>
      <c r="F457" s="159">
        <v>7642.9699999999993</v>
      </c>
      <c r="G457" s="160"/>
      <c r="H457" s="34" t="s">
        <v>925</v>
      </c>
    </row>
    <row r="458" spans="1:8" ht="33">
      <c r="A458" s="160"/>
      <c r="B458" s="160" t="s">
        <v>934</v>
      </c>
      <c r="C458" s="157" t="s">
        <v>0</v>
      </c>
      <c r="D458" s="159"/>
      <c r="E458" s="159"/>
      <c r="F458" s="159">
        <v>7642.97</v>
      </c>
      <c r="G458" s="160"/>
      <c r="H458" s="34" t="s">
        <v>925</v>
      </c>
    </row>
    <row r="459" spans="1:8" ht="33">
      <c r="A459" s="160"/>
      <c r="B459" s="160"/>
      <c r="C459" s="157"/>
      <c r="D459" s="159"/>
      <c r="E459" s="159"/>
      <c r="F459" s="159"/>
      <c r="G459" s="160"/>
      <c r="H459" s="34" t="s">
        <v>925</v>
      </c>
    </row>
    <row r="460" spans="1:8" ht="42.75">
      <c r="A460" s="160" t="s">
        <v>1194</v>
      </c>
      <c r="B460" s="160" t="s">
        <v>4049</v>
      </c>
      <c r="C460" s="157" t="s">
        <v>0</v>
      </c>
      <c r="D460" s="159">
        <v>1</v>
      </c>
      <c r="E460" s="159">
        <v>8102.76</v>
      </c>
      <c r="F460" s="159"/>
      <c r="G460" s="160" t="s">
        <v>5443</v>
      </c>
      <c r="H460" s="34" t="s">
        <v>925</v>
      </c>
    </row>
    <row r="461" spans="1:8" ht="33">
      <c r="A461" s="160">
        <v>1</v>
      </c>
      <c r="B461" s="160" t="s">
        <v>1167</v>
      </c>
      <c r="C461" s="157" t="s">
        <v>0</v>
      </c>
      <c r="D461" s="159">
        <v>1</v>
      </c>
      <c r="E461" s="159">
        <v>6599.54</v>
      </c>
      <c r="F461" s="159">
        <v>6599.54</v>
      </c>
      <c r="G461" s="160" t="s">
        <v>2</v>
      </c>
      <c r="H461" s="34" t="s">
        <v>925</v>
      </c>
    </row>
    <row r="462" spans="1:8" ht="33">
      <c r="A462" s="160">
        <v>2</v>
      </c>
      <c r="B462" s="160" t="s">
        <v>4898</v>
      </c>
      <c r="C462" s="157" t="s">
        <v>0</v>
      </c>
      <c r="D462" s="159">
        <v>1</v>
      </c>
      <c r="E462" s="159">
        <v>1243.1500000000001</v>
      </c>
      <c r="F462" s="159">
        <v>1243.1500000000001</v>
      </c>
      <c r="G462" s="160" t="s">
        <v>5443</v>
      </c>
      <c r="H462" s="34" t="s">
        <v>925</v>
      </c>
    </row>
    <row r="463" spans="1:8" ht="33">
      <c r="A463" s="160">
        <v>3</v>
      </c>
      <c r="B463" s="160" t="s">
        <v>1159</v>
      </c>
      <c r="C463" s="157" t="s">
        <v>0</v>
      </c>
      <c r="D463" s="159">
        <v>1</v>
      </c>
      <c r="E463" s="159">
        <v>24.07</v>
      </c>
      <c r="F463" s="159">
        <v>24.07</v>
      </c>
      <c r="G463" s="160" t="s">
        <v>2</v>
      </c>
      <c r="H463" s="34" t="s">
        <v>925</v>
      </c>
    </row>
    <row r="464" spans="1:8" ht="16.5">
      <c r="A464" s="160">
        <v>4</v>
      </c>
      <c r="B464" s="160" t="s">
        <v>931</v>
      </c>
      <c r="C464" s="157" t="s">
        <v>14</v>
      </c>
      <c r="D464" s="159">
        <v>1</v>
      </c>
      <c r="E464" s="159">
        <v>236</v>
      </c>
      <c r="F464" s="159">
        <v>236</v>
      </c>
      <c r="G464" s="160" t="s">
        <v>2</v>
      </c>
    </row>
    <row r="465" spans="1:8" ht="33">
      <c r="A465" s="160"/>
      <c r="B465" s="160" t="s">
        <v>933</v>
      </c>
      <c r="C465" s="157" t="s">
        <v>0</v>
      </c>
      <c r="D465" s="159">
        <v>1</v>
      </c>
      <c r="E465" s="159"/>
      <c r="F465" s="159">
        <v>8102.76</v>
      </c>
      <c r="G465" s="160"/>
      <c r="H465" s="34" t="s">
        <v>925</v>
      </c>
    </row>
    <row r="466" spans="1:8" ht="33">
      <c r="A466" s="160"/>
      <c r="B466" s="160" t="s">
        <v>934</v>
      </c>
      <c r="C466" s="157" t="s">
        <v>0</v>
      </c>
      <c r="D466" s="159"/>
      <c r="E466" s="159"/>
      <c r="F466" s="159">
        <v>8102.76</v>
      </c>
      <c r="G466" s="160"/>
      <c r="H466" s="34" t="s">
        <v>925</v>
      </c>
    </row>
    <row r="467" spans="1:8" ht="33">
      <c r="A467" s="160"/>
      <c r="B467" s="160"/>
      <c r="C467" s="157"/>
      <c r="D467" s="159"/>
      <c r="E467" s="159"/>
      <c r="F467" s="159"/>
      <c r="G467" s="160"/>
      <c r="H467" s="34" t="s">
        <v>925</v>
      </c>
    </row>
    <row r="468" spans="1:8" ht="33">
      <c r="A468" s="160" t="s">
        <v>1199</v>
      </c>
      <c r="B468" s="160" t="s">
        <v>1162</v>
      </c>
      <c r="C468" s="157" t="s">
        <v>0</v>
      </c>
      <c r="D468" s="159">
        <v>1</v>
      </c>
      <c r="E468" s="159">
        <v>7119.84</v>
      </c>
      <c r="F468" s="159"/>
      <c r="G468" s="160" t="s">
        <v>2</v>
      </c>
      <c r="H468" s="34" t="s">
        <v>925</v>
      </c>
    </row>
    <row r="469" spans="1:8" ht="42.75">
      <c r="A469" s="160">
        <v>1</v>
      </c>
      <c r="B469" s="160" t="s">
        <v>1164</v>
      </c>
      <c r="C469" s="157" t="s">
        <v>0</v>
      </c>
      <c r="D469" s="159">
        <v>1</v>
      </c>
      <c r="E469" s="159">
        <v>6544</v>
      </c>
      <c r="F469" s="159">
        <v>6544</v>
      </c>
      <c r="G469" s="160" t="s">
        <v>2</v>
      </c>
      <c r="H469" s="34" t="s">
        <v>925</v>
      </c>
    </row>
    <row r="470" spans="1:8" ht="33">
      <c r="A470" s="160">
        <v>2</v>
      </c>
      <c r="B470" s="160" t="s">
        <v>4896</v>
      </c>
      <c r="C470" s="157" t="s">
        <v>0</v>
      </c>
      <c r="D470" s="159">
        <v>1</v>
      </c>
      <c r="E470" s="159">
        <v>344.4</v>
      </c>
      <c r="F470" s="159">
        <v>344.4</v>
      </c>
      <c r="G470" s="160" t="s">
        <v>2</v>
      </c>
      <c r="H470" s="34" t="s">
        <v>925</v>
      </c>
    </row>
    <row r="471" spans="1:8" ht="33">
      <c r="A471" s="160">
        <v>3</v>
      </c>
      <c r="B471" s="160" t="s">
        <v>1159</v>
      </c>
      <c r="C471" s="157" t="s">
        <v>0</v>
      </c>
      <c r="D471" s="159">
        <v>1</v>
      </c>
      <c r="E471" s="159">
        <v>24.07</v>
      </c>
      <c r="F471" s="159">
        <v>24.07</v>
      </c>
      <c r="G471" s="160" t="s">
        <v>2</v>
      </c>
      <c r="H471" s="34" t="s">
        <v>925</v>
      </c>
    </row>
    <row r="472" spans="1:8" ht="16.5">
      <c r="A472" s="160">
        <v>4</v>
      </c>
      <c r="B472" s="160" t="s">
        <v>931</v>
      </c>
      <c r="C472" s="157" t="s">
        <v>14</v>
      </c>
      <c r="D472" s="159">
        <v>1</v>
      </c>
      <c r="E472" s="159">
        <v>207.37</v>
      </c>
      <c r="F472" s="159">
        <v>207.37</v>
      </c>
      <c r="G472" s="160" t="s">
        <v>2</v>
      </c>
    </row>
    <row r="473" spans="1:8" ht="33">
      <c r="A473" s="160"/>
      <c r="B473" s="160" t="s">
        <v>933</v>
      </c>
      <c r="C473" s="157" t="s">
        <v>0</v>
      </c>
      <c r="D473" s="159">
        <v>1</v>
      </c>
      <c r="E473" s="159"/>
      <c r="F473" s="159">
        <v>7119.8399999999992</v>
      </c>
      <c r="G473" s="160"/>
      <c r="H473" s="34" t="s">
        <v>925</v>
      </c>
    </row>
    <row r="474" spans="1:8" ht="33">
      <c r="A474" s="160"/>
      <c r="B474" s="160" t="s">
        <v>934</v>
      </c>
      <c r="C474" s="157" t="s">
        <v>0</v>
      </c>
      <c r="D474" s="159"/>
      <c r="E474" s="159"/>
      <c r="F474" s="159">
        <v>7119.84</v>
      </c>
      <c r="G474" s="160"/>
      <c r="H474" s="34" t="s">
        <v>925</v>
      </c>
    </row>
    <row r="475" spans="1:8" ht="33">
      <c r="A475" s="160"/>
      <c r="B475" s="160"/>
      <c r="C475" s="157"/>
      <c r="D475" s="159"/>
      <c r="E475" s="159"/>
      <c r="F475" s="159"/>
      <c r="G475" s="160"/>
      <c r="H475" s="34" t="s">
        <v>925</v>
      </c>
    </row>
    <row r="476" spans="1:8" ht="42.75">
      <c r="A476" s="160" t="s">
        <v>1202</v>
      </c>
      <c r="B476" s="160" t="s">
        <v>3640</v>
      </c>
      <c r="C476" s="157" t="s">
        <v>0</v>
      </c>
      <c r="D476" s="159">
        <v>1</v>
      </c>
      <c r="E476" s="159">
        <v>7585.76</v>
      </c>
      <c r="F476" s="159"/>
      <c r="G476" s="160" t="s">
        <v>2</v>
      </c>
      <c r="H476" s="34" t="s">
        <v>925</v>
      </c>
    </row>
    <row r="477" spans="1:8" ht="33">
      <c r="A477" s="160">
        <v>1</v>
      </c>
      <c r="B477" s="160" t="s">
        <v>1171</v>
      </c>
      <c r="C477" s="157" t="s">
        <v>0</v>
      </c>
      <c r="D477" s="159">
        <v>1</v>
      </c>
      <c r="E477" s="159">
        <v>6544</v>
      </c>
      <c r="F477" s="159">
        <v>6544</v>
      </c>
      <c r="G477" s="160" t="s">
        <v>2</v>
      </c>
      <c r="H477" s="34" t="s">
        <v>925</v>
      </c>
    </row>
    <row r="478" spans="1:8" ht="33">
      <c r="A478" s="160">
        <v>2</v>
      </c>
      <c r="B478" s="160" t="s">
        <v>4897</v>
      </c>
      <c r="C478" s="157" t="s">
        <v>0</v>
      </c>
      <c r="D478" s="159">
        <v>1</v>
      </c>
      <c r="E478" s="159">
        <v>796.75</v>
      </c>
      <c r="F478" s="159">
        <v>796.75</v>
      </c>
      <c r="G478" s="160" t="s">
        <v>5443</v>
      </c>
      <c r="H478" s="34" t="s">
        <v>925</v>
      </c>
    </row>
    <row r="479" spans="1:8" ht="33">
      <c r="A479" s="160">
        <v>3</v>
      </c>
      <c r="B479" s="160" t="s">
        <v>1159</v>
      </c>
      <c r="C479" s="157" t="s">
        <v>0</v>
      </c>
      <c r="D479" s="159">
        <v>1</v>
      </c>
      <c r="E479" s="159">
        <v>24.07</v>
      </c>
      <c r="F479" s="159">
        <v>24.07</v>
      </c>
      <c r="G479" s="160" t="s">
        <v>2</v>
      </c>
      <c r="H479" s="34" t="s">
        <v>925</v>
      </c>
    </row>
    <row r="480" spans="1:8" ht="16.5">
      <c r="A480" s="160">
        <v>4</v>
      </c>
      <c r="B480" s="160" t="s">
        <v>931</v>
      </c>
      <c r="C480" s="157" t="s">
        <v>14</v>
      </c>
      <c r="D480" s="159">
        <v>1</v>
      </c>
      <c r="E480" s="159">
        <v>220.94</v>
      </c>
      <c r="F480" s="159">
        <v>220.94</v>
      </c>
      <c r="G480" s="160" t="s">
        <v>2</v>
      </c>
    </row>
    <row r="481" spans="1:8" ht="33">
      <c r="A481" s="160"/>
      <c r="B481" s="160" t="s">
        <v>933</v>
      </c>
      <c r="C481" s="157" t="s">
        <v>0</v>
      </c>
      <c r="D481" s="159">
        <v>1</v>
      </c>
      <c r="E481" s="159"/>
      <c r="F481" s="159">
        <v>7585.7599999999993</v>
      </c>
      <c r="G481" s="160"/>
      <c r="H481" s="34" t="s">
        <v>925</v>
      </c>
    </row>
    <row r="482" spans="1:8" ht="33">
      <c r="A482" s="160"/>
      <c r="B482" s="160" t="s">
        <v>934</v>
      </c>
      <c r="C482" s="157" t="s">
        <v>0</v>
      </c>
      <c r="D482" s="159"/>
      <c r="E482" s="159"/>
      <c r="F482" s="159">
        <v>7585.76</v>
      </c>
      <c r="G482" s="160"/>
      <c r="H482" s="34" t="s">
        <v>925</v>
      </c>
    </row>
    <row r="483" spans="1:8" ht="33">
      <c r="A483" s="160"/>
      <c r="B483" s="160"/>
      <c r="C483" s="157"/>
      <c r="D483" s="159"/>
      <c r="E483" s="159"/>
      <c r="F483" s="159"/>
      <c r="G483" s="160"/>
      <c r="H483" s="34" t="s">
        <v>925</v>
      </c>
    </row>
    <row r="484" spans="1:8" ht="42.75">
      <c r="A484" s="160" t="s">
        <v>1214</v>
      </c>
      <c r="B484" s="160" t="s">
        <v>4048</v>
      </c>
      <c r="C484" s="157" t="s">
        <v>0</v>
      </c>
      <c r="D484" s="159">
        <v>1</v>
      </c>
      <c r="E484" s="159">
        <v>8045.56</v>
      </c>
      <c r="F484" s="159"/>
      <c r="G484" s="160" t="s">
        <v>2</v>
      </c>
      <c r="H484" s="34" t="s">
        <v>925</v>
      </c>
    </row>
    <row r="485" spans="1:8" ht="33">
      <c r="A485" s="160">
        <v>1</v>
      </c>
      <c r="B485" s="160" t="s">
        <v>1171</v>
      </c>
      <c r="C485" s="157" t="s">
        <v>0</v>
      </c>
      <c r="D485" s="159">
        <v>1</v>
      </c>
      <c r="E485" s="159">
        <v>6544</v>
      </c>
      <c r="F485" s="159">
        <v>6544</v>
      </c>
      <c r="G485" s="160" t="s">
        <v>2</v>
      </c>
      <c r="H485" s="34" t="s">
        <v>925</v>
      </c>
    </row>
    <row r="486" spans="1:8" ht="33">
      <c r="A486" s="160">
        <v>2</v>
      </c>
      <c r="B486" s="160" t="s">
        <v>4898</v>
      </c>
      <c r="C486" s="157" t="s">
        <v>0</v>
      </c>
      <c r="D486" s="159">
        <v>1</v>
      </c>
      <c r="E486" s="159">
        <v>1243.1500000000001</v>
      </c>
      <c r="F486" s="159">
        <v>1243.1500000000001</v>
      </c>
      <c r="G486" s="160" t="s">
        <v>5443</v>
      </c>
      <c r="H486" s="34" t="s">
        <v>925</v>
      </c>
    </row>
    <row r="487" spans="1:8" ht="33">
      <c r="A487" s="160">
        <v>3</v>
      </c>
      <c r="B487" s="160" t="s">
        <v>1159</v>
      </c>
      <c r="C487" s="157" t="s">
        <v>0</v>
      </c>
      <c r="D487" s="159">
        <v>1</v>
      </c>
      <c r="E487" s="159">
        <v>24.07</v>
      </c>
      <c r="F487" s="159">
        <v>24.07</v>
      </c>
      <c r="G487" s="160" t="s">
        <v>2</v>
      </c>
      <c r="H487" s="34" t="s">
        <v>925</v>
      </c>
    </row>
    <row r="488" spans="1:8" ht="33">
      <c r="A488" s="160">
        <v>4</v>
      </c>
      <c r="B488" s="160" t="s">
        <v>931</v>
      </c>
      <c r="C488" s="157" t="s">
        <v>14</v>
      </c>
      <c r="D488" s="159">
        <v>1</v>
      </c>
      <c r="E488" s="159">
        <v>234.34</v>
      </c>
      <c r="F488" s="159">
        <v>234.34</v>
      </c>
      <c r="G488" s="160" t="s">
        <v>2</v>
      </c>
      <c r="H488" s="34" t="s">
        <v>925</v>
      </c>
    </row>
    <row r="489" spans="1:8" ht="16.5">
      <c r="A489" s="160"/>
      <c r="B489" s="160" t="s">
        <v>933</v>
      </c>
      <c r="C489" s="157" t="s">
        <v>0</v>
      </c>
      <c r="D489" s="159">
        <v>1</v>
      </c>
      <c r="E489" s="159"/>
      <c r="F489" s="159">
        <v>8045.5599999999995</v>
      </c>
      <c r="G489" s="160"/>
    </row>
    <row r="490" spans="1:8" ht="33">
      <c r="A490" s="160"/>
      <c r="B490" s="160" t="s">
        <v>934</v>
      </c>
      <c r="C490" s="157" t="s">
        <v>0</v>
      </c>
      <c r="D490" s="159"/>
      <c r="E490" s="159"/>
      <c r="F490" s="159">
        <v>8045.56</v>
      </c>
      <c r="G490" s="160"/>
      <c r="H490" s="34" t="s">
        <v>925</v>
      </c>
    </row>
    <row r="491" spans="1:8" ht="33">
      <c r="A491" s="160"/>
      <c r="B491" s="160"/>
      <c r="C491" s="157"/>
      <c r="D491" s="159"/>
      <c r="E491" s="159"/>
      <c r="F491" s="159"/>
      <c r="G491" s="160"/>
      <c r="H491" s="34" t="s">
        <v>925</v>
      </c>
    </row>
    <row r="492" spans="1:8" ht="33">
      <c r="A492" s="160" t="s">
        <v>1230</v>
      </c>
      <c r="B492" s="160" t="s">
        <v>1174</v>
      </c>
      <c r="C492" s="157" t="s">
        <v>0</v>
      </c>
      <c r="D492" s="159">
        <v>1</v>
      </c>
      <c r="E492" s="159">
        <v>6957.77</v>
      </c>
      <c r="F492" s="159"/>
      <c r="G492" s="160" t="s">
        <v>2</v>
      </c>
      <c r="H492" s="34" t="s">
        <v>925</v>
      </c>
    </row>
    <row r="493" spans="1:8" ht="42.75">
      <c r="A493" s="160">
        <v>1</v>
      </c>
      <c r="B493" s="160" t="s">
        <v>1176</v>
      </c>
      <c r="C493" s="157" t="s">
        <v>0</v>
      </c>
      <c r="D493" s="159">
        <v>1</v>
      </c>
      <c r="E493" s="159">
        <v>6386.65</v>
      </c>
      <c r="F493" s="159">
        <v>6386.65</v>
      </c>
      <c r="G493" s="160" t="s">
        <v>2</v>
      </c>
      <c r="H493" s="34" t="s">
        <v>925</v>
      </c>
    </row>
    <row r="494" spans="1:8" ht="33">
      <c r="A494" s="160">
        <v>2</v>
      </c>
      <c r="B494" s="160" t="s">
        <v>1159</v>
      </c>
      <c r="C494" s="157" t="s">
        <v>0</v>
      </c>
      <c r="D494" s="159">
        <v>1</v>
      </c>
      <c r="E494" s="159">
        <v>24.07</v>
      </c>
      <c r="F494" s="159">
        <v>24.07</v>
      </c>
      <c r="G494" s="160" t="s">
        <v>2</v>
      </c>
      <c r="H494" s="34" t="s">
        <v>925</v>
      </c>
    </row>
    <row r="495" spans="1:8" ht="33">
      <c r="A495" s="160">
        <v>3</v>
      </c>
      <c r="B495" s="160" t="s">
        <v>4896</v>
      </c>
      <c r="C495" s="157" t="s">
        <v>0</v>
      </c>
      <c r="D495" s="159">
        <v>1</v>
      </c>
      <c r="E495" s="159">
        <v>344.4</v>
      </c>
      <c r="F495" s="159">
        <v>344.4</v>
      </c>
      <c r="G495" s="160" t="s">
        <v>2</v>
      </c>
      <c r="H495" s="34" t="s">
        <v>925</v>
      </c>
    </row>
    <row r="496" spans="1:8" ht="33">
      <c r="A496" s="160">
        <v>4</v>
      </c>
      <c r="B496" s="160" t="s">
        <v>931</v>
      </c>
      <c r="C496" s="157" t="s">
        <v>14</v>
      </c>
      <c r="D496" s="159">
        <v>1</v>
      </c>
      <c r="E496" s="159">
        <v>202.65</v>
      </c>
      <c r="F496" s="159">
        <v>202.65</v>
      </c>
      <c r="G496" s="160" t="s">
        <v>2</v>
      </c>
      <c r="H496" s="34" t="s">
        <v>925</v>
      </c>
    </row>
    <row r="497" spans="1:8" ht="33">
      <c r="A497" s="160"/>
      <c r="B497" s="160" t="s">
        <v>933</v>
      </c>
      <c r="C497" s="157" t="s">
        <v>0</v>
      </c>
      <c r="D497" s="159">
        <v>1</v>
      </c>
      <c r="E497" s="159"/>
      <c r="F497" s="159">
        <v>6957.7699999999986</v>
      </c>
      <c r="G497" s="160"/>
      <c r="H497" s="34" t="s">
        <v>925</v>
      </c>
    </row>
    <row r="498" spans="1:8" ht="33">
      <c r="A498" s="160"/>
      <c r="B498" s="160" t="s">
        <v>934</v>
      </c>
      <c r="C498" s="157" t="s">
        <v>0</v>
      </c>
      <c r="D498" s="159"/>
      <c r="E498" s="159"/>
      <c r="F498" s="159">
        <v>6957.77</v>
      </c>
      <c r="G498" s="160"/>
      <c r="H498" s="34" t="s">
        <v>925</v>
      </c>
    </row>
    <row r="499" spans="1:8" ht="33">
      <c r="A499" s="160"/>
      <c r="B499" s="160"/>
      <c r="C499" s="157"/>
      <c r="D499" s="159"/>
      <c r="E499" s="159"/>
      <c r="F499" s="159"/>
      <c r="G499" s="160"/>
      <c r="H499" s="34" t="s">
        <v>925</v>
      </c>
    </row>
    <row r="500" spans="1:8" ht="42.75">
      <c r="A500" s="160" t="s">
        <v>1235</v>
      </c>
      <c r="B500" s="160" t="s">
        <v>1179</v>
      </c>
      <c r="C500" s="157" t="s">
        <v>0</v>
      </c>
      <c r="D500" s="159">
        <v>1</v>
      </c>
      <c r="E500" s="159">
        <v>7423.69</v>
      </c>
      <c r="F500" s="159"/>
      <c r="G500" s="160" t="s">
        <v>2</v>
      </c>
      <c r="H500" s="34" t="s">
        <v>925</v>
      </c>
    </row>
    <row r="501" spans="1:8" ht="42.75">
      <c r="A501" s="160">
        <v>1</v>
      </c>
      <c r="B501" s="160" t="s">
        <v>1176</v>
      </c>
      <c r="C501" s="157" t="s">
        <v>0</v>
      </c>
      <c r="D501" s="159">
        <v>1</v>
      </c>
      <c r="E501" s="159">
        <v>6386.65</v>
      </c>
      <c r="F501" s="159">
        <v>6386.65</v>
      </c>
      <c r="G501" s="160" t="s">
        <v>2</v>
      </c>
      <c r="H501" s="34" t="s">
        <v>925</v>
      </c>
    </row>
    <row r="502" spans="1:8" ht="28.5">
      <c r="A502" s="160">
        <v>2</v>
      </c>
      <c r="B502" s="160" t="s">
        <v>1159</v>
      </c>
      <c r="C502" s="157" t="s">
        <v>0</v>
      </c>
      <c r="D502" s="159">
        <v>1</v>
      </c>
      <c r="E502" s="159">
        <v>24.07</v>
      </c>
      <c r="F502" s="159">
        <v>24.07</v>
      </c>
      <c r="G502" s="160" t="s">
        <v>2</v>
      </c>
    </row>
    <row r="503" spans="1:8" ht="33">
      <c r="A503" s="160">
        <v>3</v>
      </c>
      <c r="B503" s="160" t="s">
        <v>4897</v>
      </c>
      <c r="C503" s="157" t="s">
        <v>0</v>
      </c>
      <c r="D503" s="159">
        <v>1</v>
      </c>
      <c r="E503" s="159">
        <v>796.75</v>
      </c>
      <c r="F503" s="159">
        <v>796.75</v>
      </c>
      <c r="G503" s="160" t="s">
        <v>5443</v>
      </c>
      <c r="H503" s="34" t="s">
        <v>925</v>
      </c>
    </row>
    <row r="504" spans="1:8" ht="33">
      <c r="A504" s="160">
        <v>4</v>
      </c>
      <c r="B504" s="160" t="s">
        <v>931</v>
      </c>
      <c r="C504" s="157" t="s">
        <v>14</v>
      </c>
      <c r="D504" s="159">
        <v>1</v>
      </c>
      <c r="E504" s="159">
        <v>216.22</v>
      </c>
      <c r="F504" s="159">
        <v>216.22</v>
      </c>
      <c r="G504" s="160" t="s">
        <v>2</v>
      </c>
      <c r="H504" s="34" t="s">
        <v>925</v>
      </c>
    </row>
    <row r="505" spans="1:8" ht="33">
      <c r="A505" s="160"/>
      <c r="B505" s="160" t="s">
        <v>933</v>
      </c>
      <c r="C505" s="157" t="s">
        <v>0</v>
      </c>
      <c r="D505" s="159">
        <v>1</v>
      </c>
      <c r="E505" s="159"/>
      <c r="F505" s="159">
        <v>7423.69</v>
      </c>
      <c r="G505" s="160"/>
      <c r="H505" s="34" t="s">
        <v>925</v>
      </c>
    </row>
    <row r="506" spans="1:8" ht="33">
      <c r="A506" s="160"/>
      <c r="B506" s="160" t="s">
        <v>934</v>
      </c>
      <c r="C506" s="157" t="s">
        <v>0</v>
      </c>
      <c r="D506" s="159"/>
      <c r="E506" s="159"/>
      <c r="F506" s="159">
        <v>7423.69</v>
      </c>
      <c r="G506" s="160"/>
      <c r="H506" s="34" t="s">
        <v>925</v>
      </c>
    </row>
    <row r="507" spans="1:8" ht="33">
      <c r="A507" s="160"/>
      <c r="B507" s="160"/>
      <c r="C507" s="157"/>
      <c r="D507" s="159"/>
      <c r="E507" s="159"/>
      <c r="F507" s="159"/>
      <c r="G507" s="160"/>
      <c r="H507" s="34" t="s">
        <v>925</v>
      </c>
    </row>
    <row r="508" spans="1:8" ht="42.75">
      <c r="A508" s="160" t="s">
        <v>1238</v>
      </c>
      <c r="B508" s="160" t="s">
        <v>4477</v>
      </c>
      <c r="C508" s="157" t="s">
        <v>0</v>
      </c>
      <c r="D508" s="159">
        <v>1</v>
      </c>
      <c r="E508" s="159">
        <v>7883.49</v>
      </c>
      <c r="F508" s="159"/>
      <c r="G508" s="160" t="s">
        <v>2</v>
      </c>
      <c r="H508" s="34" t="s">
        <v>925</v>
      </c>
    </row>
    <row r="509" spans="1:8" ht="42.75">
      <c r="A509" s="160">
        <v>1</v>
      </c>
      <c r="B509" s="160" t="s">
        <v>1176</v>
      </c>
      <c r="C509" s="157" t="s">
        <v>0</v>
      </c>
      <c r="D509" s="159">
        <v>1</v>
      </c>
      <c r="E509" s="159">
        <v>6386.65</v>
      </c>
      <c r="F509" s="159">
        <v>6386.65</v>
      </c>
      <c r="G509" s="160" t="s">
        <v>2</v>
      </c>
      <c r="H509" s="34" t="s">
        <v>925</v>
      </c>
    </row>
    <row r="510" spans="1:8" ht="33">
      <c r="A510" s="160">
        <v>2</v>
      </c>
      <c r="B510" s="160" t="s">
        <v>1159</v>
      </c>
      <c r="C510" s="157" t="s">
        <v>0</v>
      </c>
      <c r="D510" s="159">
        <v>1</v>
      </c>
      <c r="E510" s="159">
        <v>24.07</v>
      </c>
      <c r="F510" s="159">
        <v>24.07</v>
      </c>
      <c r="G510" s="160" t="s">
        <v>2</v>
      </c>
      <c r="H510" s="34" t="s">
        <v>925</v>
      </c>
    </row>
    <row r="511" spans="1:8" ht="33">
      <c r="A511" s="160">
        <v>3</v>
      </c>
      <c r="B511" s="160" t="s">
        <v>4898</v>
      </c>
      <c r="C511" s="157" t="s">
        <v>0</v>
      </c>
      <c r="D511" s="159">
        <v>1</v>
      </c>
      <c r="E511" s="159">
        <v>1243.1500000000001</v>
      </c>
      <c r="F511" s="159">
        <v>1243.1500000000001</v>
      </c>
      <c r="G511" s="160" t="s">
        <v>5443</v>
      </c>
      <c r="H511" s="34" t="s">
        <v>925</v>
      </c>
    </row>
    <row r="512" spans="1:8" ht="33">
      <c r="A512" s="160">
        <v>4</v>
      </c>
      <c r="B512" s="160" t="s">
        <v>931</v>
      </c>
      <c r="C512" s="157" t="s">
        <v>14</v>
      </c>
      <c r="D512" s="159">
        <v>1</v>
      </c>
      <c r="E512" s="159">
        <v>229.62</v>
      </c>
      <c r="F512" s="159">
        <v>229.62</v>
      </c>
      <c r="G512" s="160" t="s">
        <v>2</v>
      </c>
      <c r="H512" s="34" t="s">
        <v>925</v>
      </c>
    </row>
    <row r="513" spans="1:8" ht="33">
      <c r="A513" s="160"/>
      <c r="B513" s="160" t="s">
        <v>933</v>
      </c>
      <c r="C513" s="157" t="s">
        <v>0</v>
      </c>
      <c r="D513" s="159">
        <v>1</v>
      </c>
      <c r="E513" s="159"/>
      <c r="F513" s="159">
        <v>7883.4899999999989</v>
      </c>
      <c r="G513" s="160"/>
      <c r="H513" s="34" t="s">
        <v>925</v>
      </c>
    </row>
    <row r="514" spans="1:8" ht="33">
      <c r="A514" s="160"/>
      <c r="B514" s="160" t="s">
        <v>934</v>
      </c>
      <c r="C514" s="157" t="s">
        <v>0</v>
      </c>
      <c r="D514" s="159"/>
      <c r="E514" s="159"/>
      <c r="F514" s="159">
        <v>7883.49</v>
      </c>
      <c r="G514" s="160"/>
      <c r="H514" s="34" t="s">
        <v>925</v>
      </c>
    </row>
    <row r="515" spans="1:8" ht="16.5">
      <c r="A515" s="160"/>
      <c r="B515" s="160"/>
      <c r="C515" s="157"/>
      <c r="D515" s="159"/>
      <c r="E515" s="159"/>
      <c r="F515" s="159"/>
      <c r="G515" s="160"/>
    </row>
    <row r="516" spans="1:8" ht="33">
      <c r="A516" s="160" t="s">
        <v>1241</v>
      </c>
      <c r="B516" s="160" t="s">
        <v>1182</v>
      </c>
      <c r="C516" s="157" t="s">
        <v>0</v>
      </c>
      <c r="D516" s="159">
        <v>1</v>
      </c>
      <c r="E516" s="159">
        <v>7434.46</v>
      </c>
      <c r="F516" s="159"/>
      <c r="G516" s="160" t="s">
        <v>2</v>
      </c>
      <c r="H516" s="34" t="s">
        <v>925</v>
      </c>
    </row>
    <row r="517" spans="1:8" ht="33">
      <c r="A517" s="160">
        <v>1</v>
      </c>
      <c r="B517" s="160" t="s">
        <v>1184</v>
      </c>
      <c r="C517" s="157" t="s">
        <v>0</v>
      </c>
      <c r="D517" s="159">
        <v>1</v>
      </c>
      <c r="E517" s="159">
        <v>6849.45</v>
      </c>
      <c r="F517" s="159">
        <v>6849.45</v>
      </c>
      <c r="G517" s="160" t="s">
        <v>2</v>
      </c>
      <c r="H517" s="34" t="s">
        <v>925</v>
      </c>
    </row>
    <row r="518" spans="1:8" ht="33">
      <c r="A518" s="160">
        <v>2</v>
      </c>
      <c r="B518" s="160" t="s">
        <v>4896</v>
      </c>
      <c r="C518" s="157" t="s">
        <v>0</v>
      </c>
      <c r="D518" s="159">
        <v>1</v>
      </c>
      <c r="E518" s="159">
        <v>344.4</v>
      </c>
      <c r="F518" s="159">
        <v>344.4</v>
      </c>
      <c r="G518" s="160" t="s">
        <v>2</v>
      </c>
      <c r="H518" s="34" t="s">
        <v>925</v>
      </c>
    </row>
    <row r="519" spans="1:8" ht="33">
      <c r="A519" s="160">
        <v>3</v>
      </c>
      <c r="B519" s="160" t="s">
        <v>1159</v>
      </c>
      <c r="C519" s="157" t="s">
        <v>0</v>
      </c>
      <c r="D519" s="159">
        <v>1</v>
      </c>
      <c r="E519" s="159">
        <v>24.07</v>
      </c>
      <c r="F519" s="159">
        <v>24.07</v>
      </c>
      <c r="G519" s="160" t="s">
        <v>2</v>
      </c>
      <c r="H519" s="34" t="s">
        <v>925</v>
      </c>
    </row>
    <row r="520" spans="1:8" ht="33">
      <c r="A520" s="160">
        <v>4</v>
      </c>
      <c r="B520" s="160" t="s">
        <v>931</v>
      </c>
      <c r="C520" s="157" t="s">
        <v>14</v>
      </c>
      <c r="D520" s="159">
        <v>1</v>
      </c>
      <c r="E520" s="159">
        <v>216.54</v>
      </c>
      <c r="F520" s="159">
        <v>216.54</v>
      </c>
      <c r="G520" s="160" t="s">
        <v>2</v>
      </c>
      <c r="H520" s="34" t="s">
        <v>925</v>
      </c>
    </row>
    <row r="521" spans="1:8" ht="33">
      <c r="A521" s="160"/>
      <c r="B521" s="160" t="s">
        <v>933</v>
      </c>
      <c r="C521" s="157" t="s">
        <v>0</v>
      </c>
      <c r="D521" s="159">
        <v>1</v>
      </c>
      <c r="E521" s="159"/>
      <c r="F521" s="159">
        <v>7434.4599999999991</v>
      </c>
      <c r="G521" s="160"/>
      <c r="H521" s="34" t="s">
        <v>925</v>
      </c>
    </row>
    <row r="522" spans="1:8" ht="33">
      <c r="A522" s="160"/>
      <c r="B522" s="160" t="s">
        <v>934</v>
      </c>
      <c r="C522" s="157" t="s">
        <v>0</v>
      </c>
      <c r="D522" s="159"/>
      <c r="E522" s="159"/>
      <c r="F522" s="159">
        <v>7434.46</v>
      </c>
      <c r="G522" s="160"/>
      <c r="H522" s="34" t="s">
        <v>925</v>
      </c>
    </row>
    <row r="523" spans="1:8" ht="33">
      <c r="A523" s="160"/>
      <c r="B523" s="160"/>
      <c r="C523" s="157"/>
      <c r="D523" s="159"/>
      <c r="E523" s="159"/>
      <c r="F523" s="159"/>
      <c r="G523" s="160"/>
      <c r="H523" s="34" t="s">
        <v>925</v>
      </c>
    </row>
    <row r="524" spans="1:8" ht="33">
      <c r="A524" s="160" t="s">
        <v>1249</v>
      </c>
      <c r="B524" s="160" t="s">
        <v>1187</v>
      </c>
      <c r="C524" s="157" t="s">
        <v>0</v>
      </c>
      <c r="D524" s="159">
        <v>1</v>
      </c>
      <c r="E524" s="159">
        <v>6595.49</v>
      </c>
      <c r="F524" s="159"/>
      <c r="G524" s="160" t="s">
        <v>2</v>
      </c>
      <c r="H524" s="34" t="s">
        <v>925</v>
      </c>
    </row>
    <row r="525" spans="1:8" ht="33">
      <c r="A525" s="160">
        <v>1</v>
      </c>
      <c r="B525" s="160" t="s">
        <v>4896</v>
      </c>
      <c r="C525" s="157" t="s">
        <v>0</v>
      </c>
      <c r="D525" s="159">
        <v>1</v>
      </c>
      <c r="E525" s="159">
        <v>344.4</v>
      </c>
      <c r="F525" s="159">
        <v>344.4</v>
      </c>
      <c r="G525" s="160" t="s">
        <v>2</v>
      </c>
      <c r="H525" s="34" t="s">
        <v>925</v>
      </c>
    </row>
    <row r="526" spans="1:8" ht="42.75">
      <c r="A526" s="160">
        <v>2</v>
      </c>
      <c r="B526" s="160" t="s">
        <v>1189</v>
      </c>
      <c r="C526" s="157" t="s">
        <v>0</v>
      </c>
      <c r="D526" s="159">
        <v>1</v>
      </c>
      <c r="E526" s="159">
        <v>6034.92</v>
      </c>
      <c r="F526" s="159">
        <v>6034.92</v>
      </c>
      <c r="G526" s="160" t="s">
        <v>2</v>
      </c>
      <c r="H526" s="34" t="s">
        <v>925</v>
      </c>
    </row>
    <row r="527" spans="1:8" ht="33">
      <c r="A527" s="160">
        <v>3</v>
      </c>
      <c r="B527" s="160" t="s">
        <v>1159</v>
      </c>
      <c r="C527" s="157" t="s">
        <v>0</v>
      </c>
      <c r="D527" s="159">
        <v>1</v>
      </c>
      <c r="E527" s="159">
        <v>24.07</v>
      </c>
      <c r="F527" s="159">
        <v>24.07</v>
      </c>
      <c r="G527" s="160" t="s">
        <v>2</v>
      </c>
      <c r="H527" s="34" t="s">
        <v>925</v>
      </c>
    </row>
    <row r="528" spans="1:8" ht="16.5">
      <c r="A528" s="160">
        <v>4</v>
      </c>
      <c r="B528" s="160" t="s">
        <v>931</v>
      </c>
      <c r="C528" s="157" t="s">
        <v>14</v>
      </c>
      <c r="D528" s="159">
        <v>1</v>
      </c>
      <c r="E528" s="159">
        <v>192.1</v>
      </c>
      <c r="F528" s="159">
        <v>192.1</v>
      </c>
      <c r="G528" s="160" t="s">
        <v>2</v>
      </c>
    </row>
    <row r="529" spans="1:8" ht="33">
      <c r="A529" s="160"/>
      <c r="B529" s="160" t="s">
        <v>933</v>
      </c>
      <c r="C529" s="157" t="s">
        <v>0</v>
      </c>
      <c r="D529" s="159">
        <v>1</v>
      </c>
      <c r="E529" s="159"/>
      <c r="F529" s="159">
        <v>6595.49</v>
      </c>
      <c r="G529" s="160"/>
      <c r="H529" s="34" t="s">
        <v>925</v>
      </c>
    </row>
    <row r="530" spans="1:8" ht="33">
      <c r="A530" s="160"/>
      <c r="B530" s="160" t="s">
        <v>934</v>
      </c>
      <c r="C530" s="157" t="s">
        <v>0</v>
      </c>
      <c r="D530" s="159"/>
      <c r="E530" s="159"/>
      <c r="F530" s="159">
        <v>6595.49</v>
      </c>
      <c r="G530" s="160"/>
      <c r="H530" s="34" t="s">
        <v>925</v>
      </c>
    </row>
    <row r="531" spans="1:8" ht="33">
      <c r="A531" s="160"/>
      <c r="B531" s="160"/>
      <c r="C531" s="157"/>
      <c r="D531" s="159"/>
      <c r="E531" s="159"/>
      <c r="F531" s="159"/>
      <c r="G531" s="160"/>
      <c r="H531" s="34" t="s">
        <v>925</v>
      </c>
    </row>
    <row r="532" spans="1:8" ht="42.75">
      <c r="A532" s="160" t="s">
        <v>1252</v>
      </c>
      <c r="B532" s="160" t="s">
        <v>1192</v>
      </c>
      <c r="C532" s="157" t="s">
        <v>0</v>
      </c>
      <c r="D532" s="159">
        <v>1</v>
      </c>
      <c r="E532" s="159">
        <v>7061.41</v>
      </c>
      <c r="F532" s="159"/>
      <c r="G532" s="160" t="s">
        <v>2</v>
      </c>
      <c r="H532" s="34" t="s">
        <v>925</v>
      </c>
    </row>
    <row r="533" spans="1:8" ht="33">
      <c r="A533" s="160">
        <v>1</v>
      </c>
      <c r="B533" s="160" t="s">
        <v>4897</v>
      </c>
      <c r="C533" s="157" t="s">
        <v>0</v>
      </c>
      <c r="D533" s="159">
        <v>1</v>
      </c>
      <c r="E533" s="159">
        <v>796.75</v>
      </c>
      <c r="F533" s="159">
        <v>796.75</v>
      </c>
      <c r="G533" s="160" t="s">
        <v>5443</v>
      </c>
      <c r="H533" s="34" t="s">
        <v>925</v>
      </c>
    </row>
    <row r="534" spans="1:8" ht="42.75">
      <c r="A534" s="160">
        <v>2</v>
      </c>
      <c r="B534" s="160" t="s">
        <v>1189</v>
      </c>
      <c r="C534" s="157" t="s">
        <v>0</v>
      </c>
      <c r="D534" s="159">
        <v>1</v>
      </c>
      <c r="E534" s="159">
        <v>6034.92</v>
      </c>
      <c r="F534" s="159">
        <v>6034.92</v>
      </c>
      <c r="G534" s="160" t="s">
        <v>2</v>
      </c>
      <c r="H534" s="34" t="s">
        <v>925</v>
      </c>
    </row>
    <row r="535" spans="1:8" ht="33">
      <c r="A535" s="160">
        <v>3</v>
      </c>
      <c r="B535" s="160" t="s">
        <v>1159</v>
      </c>
      <c r="C535" s="157" t="s">
        <v>0</v>
      </c>
      <c r="D535" s="159">
        <v>1</v>
      </c>
      <c r="E535" s="159">
        <v>24.07</v>
      </c>
      <c r="F535" s="159">
        <v>24.07</v>
      </c>
      <c r="G535" s="160" t="s">
        <v>2</v>
      </c>
      <c r="H535" s="34" t="s">
        <v>925</v>
      </c>
    </row>
    <row r="536" spans="1:8" ht="33">
      <c r="A536" s="160">
        <v>4</v>
      </c>
      <c r="B536" s="160" t="s">
        <v>931</v>
      </c>
      <c r="C536" s="157" t="s">
        <v>14</v>
      </c>
      <c r="D536" s="159">
        <v>1</v>
      </c>
      <c r="E536" s="159">
        <v>205.67</v>
      </c>
      <c r="F536" s="159">
        <v>205.67</v>
      </c>
      <c r="G536" s="160" t="s">
        <v>2</v>
      </c>
      <c r="H536" s="34" t="s">
        <v>925</v>
      </c>
    </row>
    <row r="537" spans="1:8" ht="33">
      <c r="A537" s="160"/>
      <c r="B537" s="160" t="s">
        <v>933</v>
      </c>
      <c r="C537" s="157" t="s">
        <v>0</v>
      </c>
      <c r="D537" s="159">
        <v>1</v>
      </c>
      <c r="E537" s="159"/>
      <c r="F537" s="159">
        <v>7061.41</v>
      </c>
      <c r="G537" s="160"/>
      <c r="H537" s="34" t="s">
        <v>925</v>
      </c>
    </row>
    <row r="538" spans="1:8" ht="33">
      <c r="A538" s="160"/>
      <c r="B538" s="160" t="s">
        <v>934</v>
      </c>
      <c r="C538" s="157" t="s">
        <v>0</v>
      </c>
      <c r="D538" s="159"/>
      <c r="E538" s="159"/>
      <c r="F538" s="159">
        <v>7061.41</v>
      </c>
      <c r="G538" s="160"/>
      <c r="H538" s="34" t="s">
        <v>925</v>
      </c>
    </row>
    <row r="539" spans="1:8" ht="33">
      <c r="A539" s="160"/>
      <c r="B539" s="160"/>
      <c r="C539" s="157"/>
      <c r="D539" s="159"/>
      <c r="E539" s="159"/>
      <c r="F539" s="159"/>
      <c r="G539" s="160"/>
      <c r="H539" s="34" t="s">
        <v>925</v>
      </c>
    </row>
    <row r="540" spans="1:8" ht="42.75">
      <c r="A540" s="160" t="s">
        <v>1257</v>
      </c>
      <c r="B540" s="160" t="s">
        <v>4482</v>
      </c>
      <c r="C540" s="157" t="s">
        <v>0</v>
      </c>
      <c r="D540" s="159">
        <v>1</v>
      </c>
      <c r="E540" s="159">
        <v>7521.2</v>
      </c>
      <c r="F540" s="159"/>
      <c r="G540" s="160" t="s">
        <v>2</v>
      </c>
      <c r="H540" s="34" t="s">
        <v>925</v>
      </c>
    </row>
    <row r="541" spans="1:8" ht="28.5">
      <c r="A541" s="160">
        <v>1</v>
      </c>
      <c r="B541" s="160" t="s">
        <v>4898</v>
      </c>
      <c r="C541" s="157" t="s">
        <v>0</v>
      </c>
      <c r="D541" s="159">
        <v>1</v>
      </c>
      <c r="E541" s="159">
        <v>1243.1500000000001</v>
      </c>
      <c r="F541" s="159">
        <v>1243.1500000000001</v>
      </c>
      <c r="G541" s="160" t="s">
        <v>5443</v>
      </c>
    </row>
    <row r="542" spans="1:8" ht="42.75">
      <c r="A542" s="160">
        <v>2</v>
      </c>
      <c r="B542" s="160" t="s">
        <v>1189</v>
      </c>
      <c r="C542" s="157" t="s">
        <v>0</v>
      </c>
      <c r="D542" s="159">
        <v>1</v>
      </c>
      <c r="E542" s="159">
        <v>6034.92</v>
      </c>
      <c r="F542" s="159">
        <v>6034.92</v>
      </c>
      <c r="G542" s="160" t="s">
        <v>2</v>
      </c>
      <c r="H542" s="34" t="s">
        <v>925</v>
      </c>
    </row>
    <row r="543" spans="1:8" ht="33">
      <c r="A543" s="160">
        <v>3</v>
      </c>
      <c r="B543" s="160" t="s">
        <v>1159</v>
      </c>
      <c r="C543" s="157" t="s">
        <v>0</v>
      </c>
      <c r="D543" s="159">
        <v>1</v>
      </c>
      <c r="E543" s="159">
        <v>24.07</v>
      </c>
      <c r="F543" s="159">
        <v>24.07</v>
      </c>
      <c r="G543" s="160" t="s">
        <v>2</v>
      </c>
      <c r="H543" s="34" t="s">
        <v>925</v>
      </c>
    </row>
    <row r="544" spans="1:8" ht="33">
      <c r="A544" s="160">
        <v>4</v>
      </c>
      <c r="B544" s="160" t="s">
        <v>931</v>
      </c>
      <c r="C544" s="157" t="s">
        <v>14</v>
      </c>
      <c r="D544" s="159">
        <v>1</v>
      </c>
      <c r="E544" s="159">
        <v>219.06</v>
      </c>
      <c r="F544" s="159">
        <v>219.06</v>
      </c>
      <c r="G544" s="160" t="s">
        <v>2</v>
      </c>
      <c r="H544" s="34" t="s">
        <v>925</v>
      </c>
    </row>
    <row r="545" spans="1:8" ht="33">
      <c r="A545" s="160"/>
      <c r="B545" s="160" t="s">
        <v>933</v>
      </c>
      <c r="C545" s="157" t="s">
        <v>0</v>
      </c>
      <c r="D545" s="159">
        <v>1</v>
      </c>
      <c r="E545" s="159"/>
      <c r="F545" s="159">
        <v>7521.2</v>
      </c>
      <c r="G545" s="160"/>
      <c r="H545" s="34" t="s">
        <v>925</v>
      </c>
    </row>
    <row r="546" spans="1:8" ht="33">
      <c r="A546" s="160"/>
      <c r="B546" s="160" t="s">
        <v>934</v>
      </c>
      <c r="C546" s="157" t="s">
        <v>0</v>
      </c>
      <c r="D546" s="159"/>
      <c r="E546" s="159"/>
      <c r="F546" s="159">
        <v>7521.2</v>
      </c>
      <c r="G546" s="160"/>
      <c r="H546" s="34" t="s">
        <v>925</v>
      </c>
    </row>
    <row r="547" spans="1:8" ht="33">
      <c r="A547" s="160"/>
      <c r="B547" s="160"/>
      <c r="C547" s="157"/>
      <c r="D547" s="159"/>
      <c r="E547" s="159"/>
      <c r="F547" s="159"/>
      <c r="G547" s="160"/>
      <c r="H547" s="34" t="s">
        <v>925</v>
      </c>
    </row>
    <row r="548" spans="1:8" ht="33">
      <c r="A548" s="160" t="s">
        <v>1269</v>
      </c>
      <c r="B548" s="160" t="s">
        <v>1195</v>
      </c>
      <c r="C548" s="157" t="s">
        <v>0</v>
      </c>
      <c r="D548" s="159">
        <v>1</v>
      </c>
      <c r="E548" s="159">
        <v>6252.29</v>
      </c>
      <c r="F548" s="159"/>
      <c r="G548" s="160" t="s">
        <v>2</v>
      </c>
      <c r="H548" s="34" t="s">
        <v>925</v>
      </c>
    </row>
    <row r="549" spans="1:8" ht="33">
      <c r="A549" s="160">
        <v>1</v>
      </c>
      <c r="B549" s="160" t="s">
        <v>4896</v>
      </c>
      <c r="C549" s="157" t="s">
        <v>0</v>
      </c>
      <c r="D549" s="159">
        <v>1</v>
      </c>
      <c r="E549" s="159">
        <v>344.4</v>
      </c>
      <c r="F549" s="159">
        <v>344.4</v>
      </c>
      <c r="G549" s="160" t="s">
        <v>2</v>
      </c>
      <c r="H549" s="34" t="s">
        <v>925</v>
      </c>
    </row>
    <row r="550" spans="1:8" ht="42.75">
      <c r="A550" s="160">
        <v>2</v>
      </c>
      <c r="B550" s="160" t="s">
        <v>1197</v>
      </c>
      <c r="C550" s="157" t="s">
        <v>0</v>
      </c>
      <c r="D550" s="159">
        <v>1</v>
      </c>
      <c r="E550" s="159">
        <v>5701.71</v>
      </c>
      <c r="F550" s="159">
        <v>5701.71</v>
      </c>
      <c r="G550" s="160" t="s">
        <v>2</v>
      </c>
      <c r="H550" s="34" t="s">
        <v>925</v>
      </c>
    </row>
    <row r="551" spans="1:8" ht="28.5">
      <c r="A551" s="160">
        <v>3</v>
      </c>
      <c r="B551" s="160" t="s">
        <v>1159</v>
      </c>
      <c r="C551" s="157" t="s">
        <v>0</v>
      </c>
      <c r="D551" s="159">
        <v>1</v>
      </c>
      <c r="E551" s="159">
        <v>24.07</v>
      </c>
      <c r="F551" s="159">
        <v>24.07</v>
      </c>
      <c r="G551" s="160" t="s">
        <v>2</v>
      </c>
    </row>
    <row r="552" spans="1:8" ht="33">
      <c r="A552" s="160">
        <v>4</v>
      </c>
      <c r="B552" s="160" t="s">
        <v>931</v>
      </c>
      <c r="C552" s="157" t="s">
        <v>14</v>
      </c>
      <c r="D552" s="159">
        <v>1</v>
      </c>
      <c r="E552" s="159">
        <v>182.11</v>
      </c>
      <c r="F552" s="159">
        <v>182.11</v>
      </c>
      <c r="G552" s="160" t="s">
        <v>2</v>
      </c>
      <c r="H552" s="34" t="s">
        <v>925</v>
      </c>
    </row>
    <row r="553" spans="1:8" ht="33">
      <c r="A553" s="160"/>
      <c r="B553" s="160" t="s">
        <v>933</v>
      </c>
      <c r="C553" s="157" t="s">
        <v>0</v>
      </c>
      <c r="D553" s="159">
        <v>1</v>
      </c>
      <c r="E553" s="159"/>
      <c r="F553" s="159">
        <v>6252.2899999999991</v>
      </c>
      <c r="G553" s="160"/>
      <c r="H553" s="34" t="s">
        <v>925</v>
      </c>
    </row>
    <row r="554" spans="1:8" ht="33">
      <c r="A554" s="160"/>
      <c r="B554" s="160" t="s">
        <v>934</v>
      </c>
      <c r="C554" s="157" t="s">
        <v>0</v>
      </c>
      <c r="D554" s="159"/>
      <c r="E554" s="159"/>
      <c r="F554" s="159">
        <v>6252.29</v>
      </c>
      <c r="G554" s="160"/>
      <c r="H554" s="34" t="s">
        <v>925</v>
      </c>
    </row>
    <row r="555" spans="1:8" ht="33">
      <c r="A555" s="160"/>
      <c r="B555" s="160"/>
      <c r="C555" s="157"/>
      <c r="D555" s="159"/>
      <c r="E555" s="159"/>
      <c r="F555" s="159"/>
      <c r="G555" s="160"/>
      <c r="H555" s="34" t="s">
        <v>925</v>
      </c>
    </row>
    <row r="556" spans="1:8" ht="42.75">
      <c r="A556" s="160" t="s">
        <v>1274</v>
      </c>
      <c r="B556" s="160" t="s">
        <v>1200</v>
      </c>
      <c r="C556" s="157" t="s">
        <v>0</v>
      </c>
      <c r="D556" s="159">
        <v>1</v>
      </c>
      <c r="E556" s="159">
        <v>6718.21</v>
      </c>
      <c r="F556" s="159"/>
      <c r="G556" s="160" t="s">
        <v>2</v>
      </c>
      <c r="H556" s="34" t="s">
        <v>925</v>
      </c>
    </row>
    <row r="557" spans="1:8" ht="33">
      <c r="A557" s="160">
        <v>1</v>
      </c>
      <c r="B557" s="160" t="s">
        <v>4897</v>
      </c>
      <c r="C557" s="157" t="s">
        <v>0</v>
      </c>
      <c r="D557" s="159">
        <v>1</v>
      </c>
      <c r="E557" s="159">
        <v>796.75</v>
      </c>
      <c r="F557" s="159">
        <v>796.75</v>
      </c>
      <c r="G557" s="160" t="s">
        <v>5443</v>
      </c>
      <c r="H557" s="34" t="s">
        <v>925</v>
      </c>
    </row>
    <row r="558" spans="1:8" ht="42.75">
      <c r="A558" s="160">
        <v>2</v>
      </c>
      <c r="B558" s="160" t="s">
        <v>1197</v>
      </c>
      <c r="C558" s="157" t="s">
        <v>0</v>
      </c>
      <c r="D558" s="159">
        <v>1</v>
      </c>
      <c r="E558" s="159">
        <v>5701.71</v>
      </c>
      <c r="F558" s="159">
        <v>5701.71</v>
      </c>
      <c r="G558" s="160" t="s">
        <v>2</v>
      </c>
      <c r="H558" s="34" t="s">
        <v>925</v>
      </c>
    </row>
    <row r="559" spans="1:8" ht="33">
      <c r="A559" s="160">
        <v>3</v>
      </c>
      <c r="B559" s="160" t="s">
        <v>1159</v>
      </c>
      <c r="C559" s="157" t="s">
        <v>0</v>
      </c>
      <c r="D559" s="159">
        <v>1</v>
      </c>
      <c r="E559" s="159">
        <v>24.07</v>
      </c>
      <c r="F559" s="159">
        <v>24.07</v>
      </c>
      <c r="G559" s="160" t="s">
        <v>2</v>
      </c>
      <c r="H559" s="34" t="s">
        <v>925</v>
      </c>
    </row>
    <row r="560" spans="1:8" ht="33">
      <c r="A560" s="160">
        <v>4</v>
      </c>
      <c r="B560" s="160" t="s">
        <v>931</v>
      </c>
      <c r="C560" s="157" t="s">
        <v>14</v>
      </c>
      <c r="D560" s="159">
        <v>1</v>
      </c>
      <c r="E560" s="159">
        <v>195.68</v>
      </c>
      <c r="F560" s="159">
        <v>195.68</v>
      </c>
      <c r="G560" s="160" t="s">
        <v>2</v>
      </c>
      <c r="H560" s="34" t="s">
        <v>925</v>
      </c>
    </row>
    <row r="561" spans="1:8" ht="16.5">
      <c r="A561" s="160"/>
      <c r="B561" s="160" t="s">
        <v>933</v>
      </c>
      <c r="C561" s="157" t="s">
        <v>0</v>
      </c>
      <c r="D561" s="159">
        <v>1</v>
      </c>
      <c r="E561" s="159"/>
      <c r="F561" s="159">
        <v>6718.21</v>
      </c>
      <c r="G561" s="160"/>
    </row>
    <row r="562" spans="1:8" ht="33">
      <c r="A562" s="160"/>
      <c r="B562" s="160" t="s">
        <v>934</v>
      </c>
      <c r="C562" s="157" t="s">
        <v>0</v>
      </c>
      <c r="D562" s="159"/>
      <c r="E562" s="159"/>
      <c r="F562" s="159">
        <v>6718.21</v>
      </c>
      <c r="G562" s="160"/>
      <c r="H562" s="34" t="s">
        <v>925</v>
      </c>
    </row>
    <row r="563" spans="1:8" ht="33">
      <c r="A563" s="160"/>
      <c r="B563" s="160"/>
      <c r="C563" s="157"/>
      <c r="D563" s="159"/>
      <c r="E563" s="159"/>
      <c r="F563" s="159"/>
      <c r="G563" s="160"/>
      <c r="H563" s="34" t="s">
        <v>925</v>
      </c>
    </row>
    <row r="564" spans="1:8" ht="42.75">
      <c r="A564" s="160" t="s">
        <v>1279</v>
      </c>
      <c r="B564" s="160" t="s">
        <v>4486</v>
      </c>
      <c r="C564" s="157" t="s">
        <v>0</v>
      </c>
      <c r="D564" s="159">
        <v>1</v>
      </c>
      <c r="E564" s="159">
        <v>7178</v>
      </c>
      <c r="F564" s="159"/>
      <c r="G564" s="160" t="s">
        <v>2</v>
      </c>
      <c r="H564" s="34" t="s">
        <v>925</v>
      </c>
    </row>
    <row r="565" spans="1:8" ht="33">
      <c r="A565" s="160">
        <v>1</v>
      </c>
      <c r="B565" s="160" t="s">
        <v>4898</v>
      </c>
      <c r="C565" s="157" t="s">
        <v>0</v>
      </c>
      <c r="D565" s="159">
        <v>1</v>
      </c>
      <c r="E565" s="159">
        <v>1243.1500000000001</v>
      </c>
      <c r="F565" s="159">
        <v>1243.1500000000001</v>
      </c>
      <c r="G565" s="160" t="s">
        <v>5443</v>
      </c>
      <c r="H565" s="34" t="s">
        <v>925</v>
      </c>
    </row>
    <row r="566" spans="1:8" ht="42.75">
      <c r="A566" s="160">
        <v>2</v>
      </c>
      <c r="B566" s="160" t="s">
        <v>1197</v>
      </c>
      <c r="C566" s="157" t="s">
        <v>0</v>
      </c>
      <c r="D566" s="159">
        <v>1</v>
      </c>
      <c r="E566" s="159">
        <v>5701.71</v>
      </c>
      <c r="F566" s="159">
        <v>5701.71</v>
      </c>
      <c r="G566" s="160" t="s">
        <v>2</v>
      </c>
      <c r="H566" s="34" t="s">
        <v>925</v>
      </c>
    </row>
    <row r="567" spans="1:8" ht="33">
      <c r="A567" s="160">
        <v>3</v>
      </c>
      <c r="B567" s="160" t="s">
        <v>1159</v>
      </c>
      <c r="C567" s="157" t="s">
        <v>0</v>
      </c>
      <c r="D567" s="159">
        <v>1</v>
      </c>
      <c r="E567" s="159">
        <v>24.07</v>
      </c>
      <c r="F567" s="159">
        <v>24.07</v>
      </c>
      <c r="G567" s="160" t="s">
        <v>2</v>
      </c>
      <c r="H567" s="34" t="s">
        <v>925</v>
      </c>
    </row>
    <row r="568" spans="1:8" ht="33">
      <c r="A568" s="160">
        <v>4</v>
      </c>
      <c r="B568" s="160" t="s">
        <v>931</v>
      </c>
      <c r="C568" s="157" t="s">
        <v>14</v>
      </c>
      <c r="D568" s="159">
        <v>1</v>
      </c>
      <c r="E568" s="159">
        <v>209.07</v>
      </c>
      <c r="F568" s="159">
        <v>209.07</v>
      </c>
      <c r="G568" s="160" t="s">
        <v>2</v>
      </c>
      <c r="H568" s="34" t="s">
        <v>925</v>
      </c>
    </row>
    <row r="569" spans="1:8" ht="33">
      <c r="A569" s="160"/>
      <c r="B569" s="160" t="s">
        <v>933</v>
      </c>
      <c r="C569" s="157" t="s">
        <v>0</v>
      </c>
      <c r="D569" s="159">
        <v>1</v>
      </c>
      <c r="E569" s="159"/>
      <c r="F569" s="159">
        <v>7178</v>
      </c>
      <c r="G569" s="160"/>
      <c r="H569" s="34" t="s">
        <v>925</v>
      </c>
    </row>
    <row r="570" spans="1:8" ht="33">
      <c r="A570" s="160"/>
      <c r="B570" s="160" t="s">
        <v>934</v>
      </c>
      <c r="C570" s="157" t="s">
        <v>0</v>
      </c>
      <c r="D570" s="159"/>
      <c r="E570" s="159"/>
      <c r="F570" s="159">
        <v>7178</v>
      </c>
      <c r="G570" s="160"/>
      <c r="H570" s="34" t="s">
        <v>925</v>
      </c>
    </row>
    <row r="571" spans="1:8" ht="33">
      <c r="A571" s="160"/>
      <c r="B571" s="160"/>
      <c r="C571" s="157"/>
      <c r="D571" s="159"/>
      <c r="E571" s="159"/>
      <c r="F571" s="159"/>
      <c r="G571" s="160"/>
      <c r="H571" s="34" t="s">
        <v>925</v>
      </c>
    </row>
    <row r="572" spans="1:8" ht="28.5">
      <c r="A572" s="160" t="s">
        <v>1284</v>
      </c>
      <c r="B572" s="160" t="s">
        <v>1203</v>
      </c>
      <c r="C572" s="157" t="s">
        <v>0</v>
      </c>
      <c r="D572" s="159">
        <v>1</v>
      </c>
      <c r="E572" s="159">
        <v>53166.43</v>
      </c>
      <c r="F572" s="159"/>
      <c r="G572" s="160" t="s">
        <v>2</v>
      </c>
    </row>
    <row r="573" spans="1:8" ht="33">
      <c r="A573" s="160">
        <v>1</v>
      </c>
      <c r="B573" s="160" t="s">
        <v>1205</v>
      </c>
      <c r="C573" s="157" t="s">
        <v>1206</v>
      </c>
      <c r="D573" s="159">
        <v>575</v>
      </c>
      <c r="E573" s="159">
        <v>83.3</v>
      </c>
      <c r="F573" s="159">
        <v>47897.5</v>
      </c>
      <c r="G573" s="160" t="s">
        <v>2</v>
      </c>
      <c r="H573" s="34" t="s">
        <v>925</v>
      </c>
    </row>
    <row r="574" spans="1:8" ht="33">
      <c r="A574" s="160">
        <v>2</v>
      </c>
      <c r="B574" s="160" t="s">
        <v>1208</v>
      </c>
      <c r="C574" s="157" t="s">
        <v>0</v>
      </c>
      <c r="D574" s="159">
        <v>0.42</v>
      </c>
      <c r="E574" s="159">
        <v>527.59</v>
      </c>
      <c r="F574" s="159">
        <v>221.59</v>
      </c>
      <c r="G574" s="160" t="s">
        <v>2</v>
      </c>
      <c r="H574" s="34" t="s">
        <v>925</v>
      </c>
    </row>
    <row r="575" spans="1:8" ht="33">
      <c r="A575" s="160">
        <v>3</v>
      </c>
      <c r="B575" s="160" t="s">
        <v>1210</v>
      </c>
      <c r="C575" s="157" t="s">
        <v>927</v>
      </c>
      <c r="D575" s="159">
        <v>8</v>
      </c>
      <c r="E575" s="159">
        <v>379.5</v>
      </c>
      <c r="F575" s="159">
        <v>3036</v>
      </c>
      <c r="G575" s="160" t="s">
        <v>2</v>
      </c>
      <c r="H575" s="34" t="s">
        <v>925</v>
      </c>
    </row>
    <row r="576" spans="1:8" ht="33">
      <c r="A576" s="160">
        <v>4</v>
      </c>
      <c r="B576" s="160" t="s">
        <v>1212</v>
      </c>
      <c r="C576" s="157" t="s">
        <v>14</v>
      </c>
      <c r="D576" s="159">
        <v>1</v>
      </c>
      <c r="E576" s="159">
        <v>462.8</v>
      </c>
      <c r="F576" s="159">
        <v>462.8</v>
      </c>
      <c r="G576" s="160" t="s">
        <v>2</v>
      </c>
      <c r="H576" s="34" t="s">
        <v>925</v>
      </c>
    </row>
    <row r="577" spans="1:8" ht="33">
      <c r="A577" s="160">
        <v>5</v>
      </c>
      <c r="B577" s="160" t="s">
        <v>931</v>
      </c>
      <c r="C577" s="157" t="s">
        <v>14</v>
      </c>
      <c r="D577" s="159">
        <v>1</v>
      </c>
      <c r="E577" s="159">
        <v>1548.54</v>
      </c>
      <c r="F577" s="159">
        <v>1548.54</v>
      </c>
      <c r="G577" s="160" t="s">
        <v>2</v>
      </c>
      <c r="H577" s="34" t="s">
        <v>925</v>
      </c>
    </row>
    <row r="578" spans="1:8" ht="33">
      <c r="A578" s="160"/>
      <c r="B578" s="160" t="s">
        <v>933</v>
      </c>
      <c r="C578" s="157" t="s">
        <v>0</v>
      </c>
      <c r="D578" s="159">
        <v>1</v>
      </c>
      <c r="E578" s="159"/>
      <c r="F578" s="159">
        <v>53166.43</v>
      </c>
      <c r="G578" s="160"/>
      <c r="H578" s="34" t="s">
        <v>925</v>
      </c>
    </row>
    <row r="579" spans="1:8" ht="33">
      <c r="A579" s="160"/>
      <c r="B579" s="160" t="s">
        <v>934</v>
      </c>
      <c r="C579" s="157" t="s">
        <v>0</v>
      </c>
      <c r="D579" s="159"/>
      <c r="E579" s="159"/>
      <c r="F579" s="159">
        <v>53166.43</v>
      </c>
      <c r="G579" s="160"/>
      <c r="H579" s="34" t="s">
        <v>925</v>
      </c>
    </row>
    <row r="580" spans="1:8" ht="33">
      <c r="A580" s="160"/>
      <c r="B580" s="160"/>
      <c r="C580" s="157"/>
      <c r="D580" s="159"/>
      <c r="E580" s="159"/>
      <c r="F580" s="159"/>
      <c r="G580" s="160"/>
      <c r="H580" s="34" t="s">
        <v>925</v>
      </c>
    </row>
    <row r="581" spans="1:8" ht="33">
      <c r="A581" s="160" t="s">
        <v>1286</v>
      </c>
      <c r="B581" s="160" t="s">
        <v>1215</v>
      </c>
      <c r="C581" s="157" t="s">
        <v>3</v>
      </c>
      <c r="D581" s="159">
        <v>200</v>
      </c>
      <c r="E581" s="159">
        <v>23.68</v>
      </c>
      <c r="F581" s="159"/>
      <c r="G581" s="160" t="s">
        <v>2</v>
      </c>
      <c r="H581" s="34" t="s">
        <v>925</v>
      </c>
    </row>
    <row r="582" spans="1:8" ht="33">
      <c r="A582" s="160">
        <v>1</v>
      </c>
      <c r="B582" s="160" t="s">
        <v>1217</v>
      </c>
      <c r="C582" s="157" t="s">
        <v>927</v>
      </c>
      <c r="D582" s="159">
        <v>1</v>
      </c>
      <c r="E582" s="159">
        <v>944.11</v>
      </c>
      <c r="F582" s="159">
        <v>944.11</v>
      </c>
      <c r="G582" s="160" t="s">
        <v>2</v>
      </c>
      <c r="H582" s="34" t="s">
        <v>925</v>
      </c>
    </row>
    <row r="583" spans="1:8" ht="28.5">
      <c r="A583" s="160">
        <v>2</v>
      </c>
      <c r="B583" s="160" t="s">
        <v>1219</v>
      </c>
      <c r="C583" s="157" t="s">
        <v>1220</v>
      </c>
      <c r="D583" s="159">
        <v>6</v>
      </c>
      <c r="E583" s="159">
        <v>111.07</v>
      </c>
      <c r="F583" s="159">
        <v>666.42</v>
      </c>
      <c r="G583" s="160" t="s">
        <v>2</v>
      </c>
    </row>
    <row r="584" spans="1:8" ht="33">
      <c r="A584" s="160">
        <v>3</v>
      </c>
      <c r="B584" s="160" t="s">
        <v>1222</v>
      </c>
      <c r="C584" s="157" t="s">
        <v>927</v>
      </c>
      <c r="D584" s="159">
        <v>1</v>
      </c>
      <c r="E584" s="159">
        <v>601.64</v>
      </c>
      <c r="F584" s="159">
        <v>601.64</v>
      </c>
      <c r="G584" s="160" t="s">
        <v>2</v>
      </c>
      <c r="H584" s="34" t="s">
        <v>925</v>
      </c>
    </row>
    <row r="585" spans="1:8" ht="33">
      <c r="A585" s="160">
        <v>4</v>
      </c>
      <c r="B585" s="160" t="s">
        <v>4891</v>
      </c>
      <c r="C585" s="157" t="s">
        <v>927</v>
      </c>
      <c r="D585" s="159">
        <v>1</v>
      </c>
      <c r="E585" s="159">
        <v>371.17</v>
      </c>
      <c r="F585" s="159">
        <v>371.17</v>
      </c>
      <c r="G585" s="160" t="s">
        <v>5442</v>
      </c>
      <c r="H585" s="34" t="s">
        <v>925</v>
      </c>
    </row>
    <row r="586" spans="1:8" ht="33">
      <c r="A586" s="160">
        <v>5</v>
      </c>
      <c r="B586" s="160" t="s">
        <v>1224</v>
      </c>
      <c r="C586" s="157" t="s">
        <v>927</v>
      </c>
      <c r="D586" s="159">
        <v>1</v>
      </c>
      <c r="E586" s="159">
        <v>499.82</v>
      </c>
      <c r="F586" s="159">
        <v>499.82</v>
      </c>
      <c r="G586" s="160" t="s">
        <v>2</v>
      </c>
      <c r="H586" s="34" t="s">
        <v>925</v>
      </c>
    </row>
    <row r="587" spans="1:8" ht="33">
      <c r="A587" s="160">
        <v>6</v>
      </c>
      <c r="B587" s="160" t="s">
        <v>1226</v>
      </c>
      <c r="C587" s="157" t="s">
        <v>927</v>
      </c>
      <c r="D587" s="159">
        <v>1</v>
      </c>
      <c r="E587" s="159">
        <v>371.17</v>
      </c>
      <c r="F587" s="159">
        <v>371.17</v>
      </c>
      <c r="G587" s="160" t="s">
        <v>2</v>
      </c>
      <c r="H587" s="34" t="s">
        <v>925</v>
      </c>
    </row>
    <row r="588" spans="1:8" ht="33">
      <c r="A588" s="160">
        <v>7</v>
      </c>
      <c r="B588" s="160" t="s">
        <v>4871</v>
      </c>
      <c r="C588" s="157" t="s">
        <v>927</v>
      </c>
      <c r="D588" s="159">
        <v>2.2000000000000002</v>
      </c>
      <c r="E588" s="159">
        <v>260.08999999999997</v>
      </c>
      <c r="F588" s="159">
        <v>572.20000000000005</v>
      </c>
      <c r="G588" s="160" t="s">
        <v>5435</v>
      </c>
      <c r="H588" s="34" t="s">
        <v>925</v>
      </c>
    </row>
    <row r="589" spans="1:8" ht="33">
      <c r="A589" s="160">
        <v>8</v>
      </c>
      <c r="B589" s="160" t="s">
        <v>1228</v>
      </c>
      <c r="C589" s="157" t="s">
        <v>927</v>
      </c>
      <c r="D589" s="159">
        <v>2.2000000000000002</v>
      </c>
      <c r="E589" s="159">
        <v>260.08999999999997</v>
      </c>
      <c r="F589" s="159">
        <v>572.20000000000005</v>
      </c>
      <c r="G589" s="160" t="s">
        <v>2</v>
      </c>
      <c r="H589" s="34" t="s">
        <v>925</v>
      </c>
    </row>
    <row r="590" spans="1:8" ht="33">
      <c r="A590" s="160">
        <v>9</v>
      </c>
      <c r="B590" s="160" t="s">
        <v>931</v>
      </c>
      <c r="C590" s="157" t="s">
        <v>14</v>
      </c>
      <c r="D590" s="159">
        <v>1</v>
      </c>
      <c r="E590" s="159">
        <v>137.96</v>
      </c>
      <c r="F590" s="159">
        <v>137.96</v>
      </c>
      <c r="G590" s="160" t="s">
        <v>2</v>
      </c>
      <c r="H590" s="34" t="s">
        <v>925</v>
      </c>
    </row>
    <row r="591" spans="1:8" ht="33">
      <c r="A591" s="160"/>
      <c r="B591" s="160" t="s">
        <v>933</v>
      </c>
      <c r="C591" s="157" t="s">
        <v>3</v>
      </c>
      <c r="D591" s="159">
        <v>200</v>
      </c>
      <c r="E591" s="159"/>
      <c r="F591" s="159">
        <v>4736.6900000000005</v>
      </c>
      <c r="G591" s="160"/>
      <c r="H591" s="34" t="s">
        <v>925</v>
      </c>
    </row>
    <row r="592" spans="1:8" ht="33">
      <c r="A592" s="160"/>
      <c r="B592" s="160" t="s">
        <v>934</v>
      </c>
      <c r="C592" s="157" t="s">
        <v>3</v>
      </c>
      <c r="D592" s="159"/>
      <c r="E592" s="159"/>
      <c r="F592" s="159">
        <v>23.68</v>
      </c>
      <c r="G592" s="160"/>
      <c r="H592" s="34" t="s">
        <v>925</v>
      </c>
    </row>
    <row r="593" spans="1:8" ht="33">
      <c r="A593" s="160"/>
      <c r="B593" s="160"/>
      <c r="C593" s="157"/>
      <c r="D593" s="159"/>
      <c r="E593" s="159"/>
      <c r="F593" s="159"/>
      <c r="G593" s="160"/>
      <c r="H593" s="34" t="s">
        <v>925</v>
      </c>
    </row>
    <row r="594" spans="1:8" ht="42.75">
      <c r="A594" s="160" t="s">
        <v>1291</v>
      </c>
      <c r="B594" s="160" t="s">
        <v>4490</v>
      </c>
      <c r="C594" s="157" t="s">
        <v>3</v>
      </c>
      <c r="D594" s="159">
        <v>200</v>
      </c>
      <c r="E594" s="159">
        <v>37.9</v>
      </c>
      <c r="F594" s="159"/>
      <c r="G594" s="160" t="s">
        <v>2</v>
      </c>
    </row>
    <row r="595" spans="1:8" ht="33">
      <c r="A595" s="160">
        <v>1</v>
      </c>
      <c r="B595" s="160" t="s">
        <v>1217</v>
      </c>
      <c r="C595" s="157" t="s">
        <v>927</v>
      </c>
      <c r="D595" s="159">
        <v>1.1499999999999999</v>
      </c>
      <c r="E595" s="159">
        <v>944.11</v>
      </c>
      <c r="F595" s="159">
        <v>1085.73</v>
      </c>
      <c r="G595" s="160" t="s">
        <v>2</v>
      </c>
      <c r="H595" s="34" t="s">
        <v>925</v>
      </c>
    </row>
    <row r="596" spans="1:8" ht="33">
      <c r="A596" s="160">
        <v>2</v>
      </c>
      <c r="B596" s="160" t="s">
        <v>1219</v>
      </c>
      <c r="C596" s="157" t="s">
        <v>1220</v>
      </c>
      <c r="D596" s="159">
        <v>6</v>
      </c>
      <c r="E596" s="159">
        <v>111.07</v>
      </c>
      <c r="F596" s="159">
        <v>666.42</v>
      </c>
      <c r="G596" s="160" t="s">
        <v>2</v>
      </c>
      <c r="H596" s="34" t="s">
        <v>925</v>
      </c>
    </row>
    <row r="597" spans="1:8" ht="33">
      <c r="A597" s="160">
        <v>3</v>
      </c>
      <c r="B597" s="160" t="s">
        <v>1222</v>
      </c>
      <c r="C597" s="157" t="s">
        <v>927</v>
      </c>
      <c r="D597" s="159">
        <v>1.1499999999999999</v>
      </c>
      <c r="E597" s="159">
        <v>601.64</v>
      </c>
      <c r="F597" s="159">
        <v>691.89</v>
      </c>
      <c r="G597" s="160" t="s">
        <v>2</v>
      </c>
      <c r="H597" s="34" t="s">
        <v>925</v>
      </c>
    </row>
    <row r="598" spans="1:8" ht="33">
      <c r="A598" s="160">
        <v>4</v>
      </c>
      <c r="B598" s="160" t="s">
        <v>4894</v>
      </c>
      <c r="C598" s="157" t="s">
        <v>927</v>
      </c>
      <c r="D598" s="159">
        <v>1.1499999999999999</v>
      </c>
      <c r="E598" s="159">
        <v>742.33</v>
      </c>
      <c r="F598" s="159">
        <v>853.68</v>
      </c>
      <c r="G598" s="160" t="s">
        <v>5442</v>
      </c>
      <c r="H598" s="34" t="s">
        <v>925</v>
      </c>
    </row>
    <row r="599" spans="1:8" ht="33">
      <c r="A599" s="160">
        <v>5</v>
      </c>
      <c r="B599" s="160" t="s">
        <v>1224</v>
      </c>
      <c r="C599" s="157" t="s">
        <v>927</v>
      </c>
      <c r="D599" s="159">
        <v>1.1499999999999999</v>
      </c>
      <c r="E599" s="159">
        <v>499.82</v>
      </c>
      <c r="F599" s="159">
        <v>574.79</v>
      </c>
      <c r="G599" s="160" t="s">
        <v>2</v>
      </c>
      <c r="H599" s="34" t="s">
        <v>925</v>
      </c>
    </row>
    <row r="600" spans="1:8" ht="33">
      <c r="A600" s="160">
        <v>6</v>
      </c>
      <c r="B600" s="160" t="s">
        <v>4904</v>
      </c>
      <c r="C600" s="157" t="s">
        <v>927</v>
      </c>
      <c r="D600" s="159">
        <v>1.1499999999999999</v>
      </c>
      <c r="E600" s="159">
        <v>742.33</v>
      </c>
      <c r="F600" s="159">
        <v>853.68</v>
      </c>
      <c r="G600" s="160" t="s">
        <v>2</v>
      </c>
      <c r="H600" s="34" t="s">
        <v>925</v>
      </c>
    </row>
    <row r="601" spans="1:8" ht="33">
      <c r="A601" s="160">
        <v>7</v>
      </c>
      <c r="B601" s="160" t="s">
        <v>4874</v>
      </c>
      <c r="C601" s="157" t="s">
        <v>927</v>
      </c>
      <c r="D601" s="159">
        <v>2.5299999999999998</v>
      </c>
      <c r="E601" s="159">
        <v>520.19000000000005</v>
      </c>
      <c r="F601" s="159">
        <v>1316.08</v>
      </c>
      <c r="G601" s="160" t="s">
        <v>5436</v>
      </c>
      <c r="H601" s="34" t="s">
        <v>925</v>
      </c>
    </row>
    <row r="602" spans="1:8" ht="33">
      <c r="A602" s="160">
        <v>8</v>
      </c>
      <c r="B602" s="160" t="s">
        <v>2567</v>
      </c>
      <c r="C602" s="157" t="s">
        <v>927</v>
      </c>
      <c r="D602" s="159">
        <v>2.5299999999999998</v>
      </c>
      <c r="E602" s="159">
        <v>520.19000000000005</v>
      </c>
      <c r="F602" s="159">
        <v>1316.08</v>
      </c>
      <c r="G602" s="160" t="s">
        <v>2</v>
      </c>
      <c r="H602" s="34" t="s">
        <v>925</v>
      </c>
    </row>
    <row r="603" spans="1:8" ht="33">
      <c r="A603" s="160">
        <v>9</v>
      </c>
      <c r="B603" s="160" t="s">
        <v>931</v>
      </c>
      <c r="C603" s="157" t="s">
        <v>14</v>
      </c>
      <c r="D603" s="159">
        <v>1</v>
      </c>
      <c r="E603" s="159">
        <v>220.75</v>
      </c>
      <c r="F603" s="159">
        <v>220.75</v>
      </c>
      <c r="G603" s="160" t="s">
        <v>2</v>
      </c>
      <c r="H603" s="34" t="s">
        <v>925</v>
      </c>
    </row>
    <row r="604" spans="1:8" ht="33">
      <c r="A604" s="160"/>
      <c r="B604" s="160" t="s">
        <v>933</v>
      </c>
      <c r="C604" s="157" t="s">
        <v>3</v>
      </c>
      <c r="D604" s="159">
        <v>200</v>
      </c>
      <c r="E604" s="159"/>
      <c r="F604" s="159">
        <v>7579.0999999999995</v>
      </c>
      <c r="G604" s="160"/>
      <c r="H604" s="34" t="s">
        <v>925</v>
      </c>
    </row>
    <row r="605" spans="1:8" ht="16.5">
      <c r="A605" s="160"/>
      <c r="B605" s="160" t="s">
        <v>934</v>
      </c>
      <c r="C605" s="157" t="s">
        <v>3</v>
      </c>
      <c r="D605" s="159"/>
      <c r="E605" s="159"/>
      <c r="F605" s="159">
        <v>37.9</v>
      </c>
      <c r="G605" s="160"/>
    </row>
    <row r="606" spans="1:8" ht="33">
      <c r="A606" s="160"/>
      <c r="B606" s="160"/>
      <c r="C606" s="157"/>
      <c r="D606" s="159"/>
      <c r="E606" s="159"/>
      <c r="F606" s="159"/>
      <c r="G606" s="160"/>
      <c r="H606" s="34" t="s">
        <v>925</v>
      </c>
    </row>
    <row r="607" spans="1:8" ht="33">
      <c r="A607" s="160" t="s">
        <v>1305</v>
      </c>
      <c r="B607" s="160" t="s">
        <v>1231</v>
      </c>
      <c r="C607" s="157" t="s">
        <v>3</v>
      </c>
      <c r="D607" s="159">
        <v>360</v>
      </c>
      <c r="E607" s="159">
        <v>15.43</v>
      </c>
      <c r="F607" s="159"/>
      <c r="G607" s="160" t="s">
        <v>2</v>
      </c>
      <c r="H607" s="34" t="s">
        <v>925</v>
      </c>
    </row>
    <row r="608" spans="1:8" ht="33">
      <c r="A608" s="160">
        <v>1</v>
      </c>
      <c r="B608" s="160" t="s">
        <v>1233</v>
      </c>
      <c r="C608" s="157" t="s">
        <v>927</v>
      </c>
      <c r="D608" s="159">
        <v>1</v>
      </c>
      <c r="E608" s="159">
        <v>1295.8399999999999</v>
      </c>
      <c r="F608" s="159">
        <v>1295.8399999999999</v>
      </c>
      <c r="G608" s="160" t="s">
        <v>2</v>
      </c>
      <c r="H608" s="34" t="s">
        <v>925</v>
      </c>
    </row>
    <row r="609" spans="1:8" ht="33">
      <c r="A609" s="160">
        <v>2</v>
      </c>
      <c r="B609" s="160" t="s">
        <v>1219</v>
      </c>
      <c r="C609" s="157" t="s">
        <v>1220</v>
      </c>
      <c r="D609" s="159">
        <v>10</v>
      </c>
      <c r="E609" s="159">
        <v>111.07</v>
      </c>
      <c r="F609" s="159">
        <v>1110.7</v>
      </c>
      <c r="G609" s="160" t="s">
        <v>2</v>
      </c>
      <c r="H609" s="34" t="s">
        <v>925</v>
      </c>
    </row>
    <row r="610" spans="1:8" ht="33">
      <c r="A610" s="160">
        <v>3</v>
      </c>
      <c r="B610" s="160" t="s">
        <v>1222</v>
      </c>
      <c r="C610" s="157" t="s">
        <v>927</v>
      </c>
      <c r="D610" s="159">
        <v>1</v>
      </c>
      <c r="E610" s="159">
        <v>601.64</v>
      </c>
      <c r="F610" s="159">
        <v>601.64</v>
      </c>
      <c r="G610" s="160" t="s">
        <v>2</v>
      </c>
      <c r="H610" s="34" t="s">
        <v>925</v>
      </c>
    </row>
    <row r="611" spans="1:8" ht="33">
      <c r="A611" s="160">
        <v>4</v>
      </c>
      <c r="B611" s="160" t="s">
        <v>4891</v>
      </c>
      <c r="C611" s="157" t="s">
        <v>927</v>
      </c>
      <c r="D611" s="159">
        <v>1</v>
      </c>
      <c r="E611" s="159">
        <v>371.17</v>
      </c>
      <c r="F611" s="159">
        <v>371.17</v>
      </c>
      <c r="G611" s="160" t="s">
        <v>5442</v>
      </c>
      <c r="H611" s="34" t="s">
        <v>925</v>
      </c>
    </row>
    <row r="612" spans="1:8" ht="33">
      <c r="A612" s="160">
        <v>5</v>
      </c>
      <c r="B612" s="160" t="s">
        <v>1224</v>
      </c>
      <c r="C612" s="157" t="s">
        <v>927</v>
      </c>
      <c r="D612" s="159">
        <v>1</v>
      </c>
      <c r="E612" s="159">
        <v>499.82</v>
      </c>
      <c r="F612" s="159">
        <v>499.82</v>
      </c>
      <c r="G612" s="160" t="s">
        <v>2</v>
      </c>
      <c r="H612" s="34" t="s">
        <v>925</v>
      </c>
    </row>
    <row r="613" spans="1:8" ht="33">
      <c r="A613" s="160">
        <v>6</v>
      </c>
      <c r="B613" s="160" t="s">
        <v>1226</v>
      </c>
      <c r="C613" s="157" t="s">
        <v>927</v>
      </c>
      <c r="D613" s="159">
        <v>1</v>
      </c>
      <c r="E613" s="159">
        <v>371.17</v>
      </c>
      <c r="F613" s="159">
        <v>371.17</v>
      </c>
      <c r="G613" s="160" t="s">
        <v>2</v>
      </c>
      <c r="H613" s="34" t="s">
        <v>925</v>
      </c>
    </row>
    <row r="614" spans="1:8" ht="33">
      <c r="A614" s="160">
        <v>7</v>
      </c>
      <c r="B614" s="160" t="s">
        <v>4871</v>
      </c>
      <c r="C614" s="157" t="s">
        <v>927</v>
      </c>
      <c r="D614" s="159">
        <v>2.2000000000000002</v>
      </c>
      <c r="E614" s="159">
        <v>260.08999999999997</v>
      </c>
      <c r="F614" s="159">
        <v>572.20000000000005</v>
      </c>
      <c r="G614" s="160" t="s">
        <v>5435</v>
      </c>
      <c r="H614" s="34" t="s">
        <v>925</v>
      </c>
    </row>
    <row r="615" spans="1:8" ht="33">
      <c r="A615" s="160">
        <v>8</v>
      </c>
      <c r="B615" s="160" t="s">
        <v>1228</v>
      </c>
      <c r="C615" s="157" t="s">
        <v>927</v>
      </c>
      <c r="D615" s="159">
        <v>2.2000000000000002</v>
      </c>
      <c r="E615" s="159">
        <v>260.08999999999997</v>
      </c>
      <c r="F615" s="159">
        <v>572.20000000000005</v>
      </c>
      <c r="G615" s="160" t="s">
        <v>2</v>
      </c>
      <c r="H615" s="34" t="s">
        <v>925</v>
      </c>
    </row>
    <row r="616" spans="1:8" ht="16.5">
      <c r="A616" s="160">
        <v>9</v>
      </c>
      <c r="B616" s="160" t="s">
        <v>931</v>
      </c>
      <c r="C616" s="157" t="s">
        <v>14</v>
      </c>
      <c r="D616" s="159">
        <v>1</v>
      </c>
      <c r="E616" s="159">
        <v>161.84</v>
      </c>
      <c r="F616" s="159">
        <v>161.84</v>
      </c>
      <c r="G616" s="160" t="s">
        <v>2</v>
      </c>
    </row>
    <row r="617" spans="1:8" ht="33">
      <c r="A617" s="160"/>
      <c r="B617" s="160" t="s">
        <v>933</v>
      </c>
      <c r="C617" s="157" t="s">
        <v>3</v>
      </c>
      <c r="D617" s="159">
        <v>360</v>
      </c>
      <c r="E617" s="159"/>
      <c r="F617" s="159">
        <v>5556.58</v>
      </c>
      <c r="G617" s="160"/>
      <c r="H617" s="34" t="s">
        <v>925</v>
      </c>
    </row>
    <row r="618" spans="1:8" ht="33">
      <c r="A618" s="160"/>
      <c r="B618" s="160" t="s">
        <v>934</v>
      </c>
      <c r="C618" s="157" t="s">
        <v>3</v>
      </c>
      <c r="D618" s="159"/>
      <c r="E618" s="159"/>
      <c r="F618" s="159">
        <v>15.43</v>
      </c>
      <c r="G618" s="160"/>
      <c r="H618" s="34" t="s">
        <v>925</v>
      </c>
    </row>
    <row r="619" spans="1:8" ht="33">
      <c r="A619" s="160"/>
      <c r="B619" s="160"/>
      <c r="C619" s="157"/>
      <c r="D619" s="159"/>
      <c r="E619" s="159"/>
      <c r="F619" s="159"/>
      <c r="G619" s="160"/>
      <c r="H619" s="34" t="s">
        <v>925</v>
      </c>
    </row>
    <row r="620" spans="1:8" ht="33">
      <c r="A620" s="160" t="s">
        <v>1308</v>
      </c>
      <c r="B620" s="160" t="s">
        <v>1236</v>
      </c>
      <c r="C620" s="157" t="s">
        <v>3</v>
      </c>
      <c r="D620" s="159">
        <v>120</v>
      </c>
      <c r="E620" s="159">
        <v>40.43</v>
      </c>
      <c r="F620" s="159"/>
      <c r="G620" s="160" t="s">
        <v>2</v>
      </c>
      <c r="H620" s="34" t="s">
        <v>925</v>
      </c>
    </row>
    <row r="621" spans="1:8" ht="33">
      <c r="A621" s="160">
        <v>1</v>
      </c>
      <c r="B621" s="160" t="s">
        <v>1217</v>
      </c>
      <c r="C621" s="157" t="s">
        <v>927</v>
      </c>
      <c r="D621" s="159">
        <v>1</v>
      </c>
      <c r="E621" s="159">
        <v>944.11</v>
      </c>
      <c r="F621" s="159">
        <v>944.11</v>
      </c>
      <c r="G621" s="160" t="s">
        <v>2</v>
      </c>
      <c r="H621" s="34" t="s">
        <v>925</v>
      </c>
    </row>
    <row r="622" spans="1:8" ht="33">
      <c r="A622" s="160">
        <v>2</v>
      </c>
      <c r="B622" s="160" t="s">
        <v>1219</v>
      </c>
      <c r="C622" s="157" t="s">
        <v>1220</v>
      </c>
      <c r="D622" s="159">
        <v>7</v>
      </c>
      <c r="E622" s="159">
        <v>111.07</v>
      </c>
      <c r="F622" s="159">
        <v>777.49</v>
      </c>
      <c r="G622" s="160" t="s">
        <v>2</v>
      </c>
      <c r="H622" s="34" t="s">
        <v>925</v>
      </c>
    </row>
    <row r="623" spans="1:8" ht="33">
      <c r="A623" s="160">
        <v>3</v>
      </c>
      <c r="B623" s="160" t="s">
        <v>1222</v>
      </c>
      <c r="C623" s="157" t="s">
        <v>927</v>
      </c>
      <c r="D623" s="159">
        <v>1</v>
      </c>
      <c r="E623" s="159">
        <v>601.64</v>
      </c>
      <c r="F623" s="159">
        <v>601.64</v>
      </c>
      <c r="G623" s="160" t="s">
        <v>2</v>
      </c>
      <c r="H623" s="34" t="s">
        <v>925</v>
      </c>
    </row>
    <row r="624" spans="1:8" ht="33">
      <c r="A624" s="160">
        <v>4</v>
      </c>
      <c r="B624" s="160" t="s">
        <v>4891</v>
      </c>
      <c r="C624" s="157" t="s">
        <v>927</v>
      </c>
      <c r="D624" s="159">
        <v>1</v>
      </c>
      <c r="E624" s="159">
        <v>371.17</v>
      </c>
      <c r="F624" s="159">
        <v>371.17</v>
      </c>
      <c r="G624" s="160" t="s">
        <v>5442</v>
      </c>
      <c r="H624" s="34" t="s">
        <v>925</v>
      </c>
    </row>
    <row r="625" spans="1:8" ht="33">
      <c r="A625" s="160">
        <v>5</v>
      </c>
      <c r="B625" s="160" t="s">
        <v>1224</v>
      </c>
      <c r="C625" s="157" t="s">
        <v>927</v>
      </c>
      <c r="D625" s="159">
        <v>1</v>
      </c>
      <c r="E625" s="159">
        <v>499.82</v>
      </c>
      <c r="F625" s="159">
        <v>499.82</v>
      </c>
      <c r="G625" s="160" t="s">
        <v>2</v>
      </c>
      <c r="H625" s="34" t="s">
        <v>925</v>
      </c>
    </row>
    <row r="626" spans="1:8" ht="33">
      <c r="A626" s="160">
        <v>6</v>
      </c>
      <c r="B626" s="160" t="s">
        <v>1226</v>
      </c>
      <c r="C626" s="157" t="s">
        <v>927</v>
      </c>
      <c r="D626" s="159">
        <v>1</v>
      </c>
      <c r="E626" s="159">
        <v>371.17</v>
      </c>
      <c r="F626" s="159">
        <v>371.17</v>
      </c>
      <c r="G626" s="160" t="s">
        <v>2</v>
      </c>
      <c r="H626" s="34" t="s">
        <v>925</v>
      </c>
    </row>
    <row r="627" spans="1:8" ht="16.5">
      <c r="A627" s="160">
        <v>7</v>
      </c>
      <c r="B627" s="160" t="s">
        <v>4871</v>
      </c>
      <c r="C627" s="157" t="s">
        <v>927</v>
      </c>
      <c r="D627" s="159">
        <v>2.2000000000000002</v>
      </c>
      <c r="E627" s="159">
        <v>260.08999999999997</v>
      </c>
      <c r="F627" s="159">
        <v>572.20000000000005</v>
      </c>
      <c r="G627" s="160" t="s">
        <v>5435</v>
      </c>
    </row>
    <row r="628" spans="1:8" ht="33">
      <c r="A628" s="160">
        <v>8</v>
      </c>
      <c r="B628" s="160" t="s">
        <v>1228</v>
      </c>
      <c r="C628" s="157" t="s">
        <v>927</v>
      </c>
      <c r="D628" s="159">
        <v>2.2000000000000002</v>
      </c>
      <c r="E628" s="159">
        <v>260.08999999999997</v>
      </c>
      <c r="F628" s="159">
        <v>572.20000000000005</v>
      </c>
      <c r="G628" s="160" t="s">
        <v>2</v>
      </c>
      <c r="H628" s="34" t="s">
        <v>925</v>
      </c>
    </row>
    <row r="629" spans="1:8" ht="33">
      <c r="A629" s="160">
        <v>9</v>
      </c>
      <c r="B629" s="160" t="s">
        <v>931</v>
      </c>
      <c r="C629" s="157" t="s">
        <v>14</v>
      </c>
      <c r="D629" s="159">
        <v>1</v>
      </c>
      <c r="E629" s="159">
        <v>141.29</v>
      </c>
      <c r="F629" s="159">
        <v>141.29</v>
      </c>
      <c r="G629" s="160" t="s">
        <v>2</v>
      </c>
      <c r="H629" s="34" t="s">
        <v>925</v>
      </c>
    </row>
    <row r="630" spans="1:8" ht="33">
      <c r="A630" s="160"/>
      <c r="B630" s="160" t="s">
        <v>933</v>
      </c>
      <c r="C630" s="157" t="s">
        <v>3</v>
      </c>
      <c r="D630" s="159">
        <v>120</v>
      </c>
      <c r="E630" s="159"/>
      <c r="F630" s="159">
        <v>4851.09</v>
      </c>
      <c r="G630" s="160"/>
      <c r="H630" s="34" t="s">
        <v>925</v>
      </c>
    </row>
    <row r="631" spans="1:8" ht="33">
      <c r="A631" s="160"/>
      <c r="B631" s="160" t="s">
        <v>934</v>
      </c>
      <c r="C631" s="157" t="s">
        <v>3</v>
      </c>
      <c r="D631" s="159"/>
      <c r="E631" s="159"/>
      <c r="F631" s="159">
        <v>40.43</v>
      </c>
      <c r="G631" s="160"/>
      <c r="H631" s="34" t="s">
        <v>925</v>
      </c>
    </row>
    <row r="632" spans="1:8" ht="33">
      <c r="A632" s="160"/>
      <c r="B632" s="160"/>
      <c r="C632" s="157"/>
      <c r="D632" s="159"/>
      <c r="E632" s="159"/>
      <c r="F632" s="159"/>
      <c r="G632" s="160"/>
      <c r="H632" s="34" t="s">
        <v>925</v>
      </c>
    </row>
    <row r="633" spans="1:8" ht="42.75">
      <c r="A633" s="160" t="s">
        <v>1311</v>
      </c>
      <c r="B633" s="160" t="s">
        <v>4494</v>
      </c>
      <c r="C633" s="157" t="s">
        <v>3</v>
      </c>
      <c r="D633" s="159">
        <v>120</v>
      </c>
      <c r="E633" s="159">
        <v>64.11</v>
      </c>
      <c r="F633" s="159"/>
      <c r="G633" s="160" t="s">
        <v>2</v>
      </c>
      <c r="H633" s="34" t="s">
        <v>925</v>
      </c>
    </row>
    <row r="634" spans="1:8" ht="33">
      <c r="A634" s="160">
        <v>1</v>
      </c>
      <c r="B634" s="160" t="s">
        <v>1217</v>
      </c>
      <c r="C634" s="157" t="s">
        <v>927</v>
      </c>
      <c r="D634" s="159">
        <v>1.1499999999999999</v>
      </c>
      <c r="E634" s="159">
        <v>944.11</v>
      </c>
      <c r="F634" s="159">
        <v>1085.73</v>
      </c>
      <c r="G634" s="160" t="s">
        <v>2</v>
      </c>
      <c r="H634" s="34" t="s">
        <v>925</v>
      </c>
    </row>
    <row r="635" spans="1:8" ht="33">
      <c r="A635" s="160">
        <v>2</v>
      </c>
      <c r="B635" s="160" t="s">
        <v>1219</v>
      </c>
      <c r="C635" s="157" t="s">
        <v>1220</v>
      </c>
      <c r="D635" s="159">
        <v>7</v>
      </c>
      <c r="E635" s="159">
        <v>111.07</v>
      </c>
      <c r="F635" s="159">
        <v>777.49</v>
      </c>
      <c r="G635" s="160" t="s">
        <v>2</v>
      </c>
      <c r="H635" s="34" t="s">
        <v>925</v>
      </c>
    </row>
    <row r="636" spans="1:8" ht="33">
      <c r="A636" s="160">
        <v>3</v>
      </c>
      <c r="B636" s="160" t="s">
        <v>1222</v>
      </c>
      <c r="C636" s="157" t="s">
        <v>927</v>
      </c>
      <c r="D636" s="159">
        <v>1.1499999999999999</v>
      </c>
      <c r="E636" s="159">
        <v>601.64</v>
      </c>
      <c r="F636" s="159">
        <v>691.89</v>
      </c>
      <c r="G636" s="160" t="s">
        <v>2</v>
      </c>
      <c r="H636" s="34" t="s">
        <v>925</v>
      </c>
    </row>
    <row r="637" spans="1:8" ht="33">
      <c r="A637" s="160">
        <v>4</v>
      </c>
      <c r="B637" s="160" t="s">
        <v>4894</v>
      </c>
      <c r="C637" s="157" t="s">
        <v>927</v>
      </c>
      <c r="D637" s="159">
        <v>1.1499999999999999</v>
      </c>
      <c r="E637" s="159">
        <v>742.33</v>
      </c>
      <c r="F637" s="159">
        <v>853.68</v>
      </c>
      <c r="G637" s="160" t="s">
        <v>5442</v>
      </c>
      <c r="H637" s="34" t="s">
        <v>925</v>
      </c>
    </row>
    <row r="638" spans="1:8" ht="16.5">
      <c r="A638" s="160">
        <v>5</v>
      </c>
      <c r="B638" s="160" t="s">
        <v>1224</v>
      </c>
      <c r="C638" s="157" t="s">
        <v>927</v>
      </c>
      <c r="D638" s="159">
        <v>1.1499999999999999</v>
      </c>
      <c r="E638" s="159">
        <v>499.82</v>
      </c>
      <c r="F638" s="159">
        <v>574.79</v>
      </c>
      <c r="G638" s="160" t="s">
        <v>2</v>
      </c>
    </row>
    <row r="639" spans="1:8" ht="33">
      <c r="A639" s="160">
        <v>6</v>
      </c>
      <c r="B639" s="160" t="s">
        <v>4904</v>
      </c>
      <c r="C639" s="157" t="s">
        <v>927</v>
      </c>
      <c r="D639" s="159">
        <v>1.1499999999999999</v>
      </c>
      <c r="E639" s="159">
        <v>742.33</v>
      </c>
      <c r="F639" s="159">
        <v>853.68</v>
      </c>
      <c r="G639" s="160" t="s">
        <v>2</v>
      </c>
      <c r="H639" s="34" t="s">
        <v>925</v>
      </c>
    </row>
    <row r="640" spans="1:8" ht="33">
      <c r="A640" s="160">
        <v>7</v>
      </c>
      <c r="B640" s="160" t="s">
        <v>4874</v>
      </c>
      <c r="C640" s="157" t="s">
        <v>927</v>
      </c>
      <c r="D640" s="159">
        <v>2.5299999999999998</v>
      </c>
      <c r="E640" s="159">
        <v>520.19000000000005</v>
      </c>
      <c r="F640" s="159">
        <v>1316.08</v>
      </c>
      <c r="G640" s="160" t="s">
        <v>5436</v>
      </c>
      <c r="H640" s="34" t="s">
        <v>925</v>
      </c>
    </row>
    <row r="641" spans="1:8" ht="33">
      <c r="A641" s="160">
        <v>8</v>
      </c>
      <c r="B641" s="160" t="s">
        <v>2567</v>
      </c>
      <c r="C641" s="157" t="s">
        <v>927</v>
      </c>
      <c r="D641" s="159">
        <v>2.5299999999999998</v>
      </c>
      <c r="E641" s="159">
        <v>520.19000000000005</v>
      </c>
      <c r="F641" s="159">
        <v>1316.08</v>
      </c>
      <c r="G641" s="160" t="s">
        <v>2</v>
      </c>
      <c r="H641" s="34" t="s">
        <v>925</v>
      </c>
    </row>
    <row r="642" spans="1:8" ht="33">
      <c r="A642" s="160">
        <v>9</v>
      </c>
      <c r="B642" s="160" t="s">
        <v>931</v>
      </c>
      <c r="C642" s="157" t="s">
        <v>14</v>
      </c>
      <c r="D642" s="159">
        <v>1</v>
      </c>
      <c r="E642" s="159">
        <v>224.08</v>
      </c>
      <c r="F642" s="159">
        <v>224.08</v>
      </c>
      <c r="G642" s="160" t="s">
        <v>2</v>
      </c>
      <c r="H642" s="34" t="s">
        <v>925</v>
      </c>
    </row>
    <row r="643" spans="1:8" ht="33">
      <c r="A643" s="160"/>
      <c r="B643" s="160" t="s">
        <v>933</v>
      </c>
      <c r="C643" s="157" t="s">
        <v>3</v>
      </c>
      <c r="D643" s="159">
        <v>120</v>
      </c>
      <c r="E643" s="159"/>
      <c r="F643" s="159">
        <v>7693.5</v>
      </c>
      <c r="G643" s="160"/>
      <c r="H643" s="34" t="s">
        <v>925</v>
      </c>
    </row>
    <row r="644" spans="1:8" ht="33">
      <c r="A644" s="160"/>
      <c r="B644" s="160" t="s">
        <v>934</v>
      </c>
      <c r="C644" s="157" t="s">
        <v>3</v>
      </c>
      <c r="D644" s="159"/>
      <c r="E644" s="159"/>
      <c r="F644" s="159">
        <v>64.11</v>
      </c>
      <c r="G644" s="160"/>
      <c r="H644" s="34" t="s">
        <v>925</v>
      </c>
    </row>
    <row r="645" spans="1:8" ht="33">
      <c r="A645" s="160"/>
      <c r="B645" s="160"/>
      <c r="C645" s="157"/>
      <c r="D645" s="159"/>
      <c r="E645" s="159"/>
      <c r="F645" s="159"/>
      <c r="G645" s="160"/>
      <c r="H645" s="34" t="s">
        <v>925</v>
      </c>
    </row>
    <row r="646" spans="1:8" ht="33">
      <c r="A646" s="160" t="s">
        <v>1314</v>
      </c>
      <c r="B646" s="160" t="s">
        <v>1239</v>
      </c>
      <c r="C646" s="157" t="s">
        <v>3</v>
      </c>
      <c r="D646" s="159">
        <v>216</v>
      </c>
      <c r="E646" s="159">
        <v>26.61</v>
      </c>
      <c r="F646" s="159"/>
      <c r="G646" s="160" t="s">
        <v>2</v>
      </c>
      <c r="H646" s="34" t="s">
        <v>925</v>
      </c>
    </row>
    <row r="647" spans="1:8" ht="33">
      <c r="A647" s="160">
        <v>1</v>
      </c>
      <c r="B647" s="160" t="s">
        <v>1233</v>
      </c>
      <c r="C647" s="157" t="s">
        <v>927</v>
      </c>
      <c r="D647" s="159">
        <v>1</v>
      </c>
      <c r="E647" s="159">
        <v>1295.8399999999999</v>
      </c>
      <c r="F647" s="159">
        <v>1295.8399999999999</v>
      </c>
      <c r="G647" s="160" t="s">
        <v>2</v>
      </c>
      <c r="H647" s="34" t="s">
        <v>925</v>
      </c>
    </row>
    <row r="648" spans="1:8" ht="33">
      <c r="A648" s="160">
        <v>2</v>
      </c>
      <c r="B648" s="160" t="s">
        <v>1219</v>
      </c>
      <c r="C648" s="157" t="s">
        <v>1220</v>
      </c>
      <c r="D648" s="159">
        <v>12.6</v>
      </c>
      <c r="E648" s="159">
        <v>111.07</v>
      </c>
      <c r="F648" s="159">
        <v>1399.48</v>
      </c>
      <c r="G648" s="160" t="s">
        <v>2</v>
      </c>
      <c r="H648" s="34" t="s">
        <v>925</v>
      </c>
    </row>
    <row r="649" spans="1:8" ht="33">
      <c r="A649" s="160">
        <v>3</v>
      </c>
      <c r="B649" s="160" t="s">
        <v>1222</v>
      </c>
      <c r="C649" s="157" t="s">
        <v>927</v>
      </c>
      <c r="D649" s="159">
        <v>1</v>
      </c>
      <c r="E649" s="159">
        <v>601.64</v>
      </c>
      <c r="F649" s="159">
        <v>601.64</v>
      </c>
      <c r="G649" s="160" t="s">
        <v>2</v>
      </c>
      <c r="H649" s="34" t="s">
        <v>925</v>
      </c>
    </row>
    <row r="650" spans="1:8" ht="33">
      <c r="A650" s="160">
        <v>4</v>
      </c>
      <c r="B650" s="160" t="s">
        <v>4891</v>
      </c>
      <c r="C650" s="157" t="s">
        <v>927</v>
      </c>
      <c r="D650" s="159">
        <v>1</v>
      </c>
      <c r="E650" s="159">
        <v>371.17</v>
      </c>
      <c r="F650" s="159">
        <v>371.17</v>
      </c>
      <c r="G650" s="160" t="s">
        <v>5442</v>
      </c>
      <c r="H650" s="34" t="s">
        <v>925</v>
      </c>
    </row>
    <row r="651" spans="1:8" ht="16.5">
      <c r="A651" s="160">
        <v>5</v>
      </c>
      <c r="B651" s="160" t="s">
        <v>1224</v>
      </c>
      <c r="C651" s="157" t="s">
        <v>927</v>
      </c>
      <c r="D651" s="159">
        <v>1</v>
      </c>
      <c r="E651" s="159">
        <v>499.82</v>
      </c>
      <c r="F651" s="159">
        <v>499.82</v>
      </c>
      <c r="G651" s="160" t="s">
        <v>2</v>
      </c>
    </row>
    <row r="652" spans="1:8" ht="33">
      <c r="A652" s="160">
        <v>6</v>
      </c>
      <c r="B652" s="160" t="s">
        <v>1226</v>
      </c>
      <c r="C652" s="157" t="s">
        <v>927</v>
      </c>
      <c r="D652" s="159">
        <v>1</v>
      </c>
      <c r="E652" s="159">
        <v>371.17</v>
      </c>
      <c r="F652" s="159">
        <v>371.17</v>
      </c>
      <c r="G652" s="160" t="s">
        <v>2</v>
      </c>
      <c r="H652" s="34" t="s">
        <v>925</v>
      </c>
    </row>
    <row r="653" spans="1:8" ht="33">
      <c r="A653" s="160">
        <v>7</v>
      </c>
      <c r="B653" s="160" t="s">
        <v>4871</v>
      </c>
      <c r="C653" s="157" t="s">
        <v>927</v>
      </c>
      <c r="D653" s="159">
        <v>2</v>
      </c>
      <c r="E653" s="159">
        <v>260.08999999999997</v>
      </c>
      <c r="F653" s="159">
        <v>520.17999999999995</v>
      </c>
      <c r="G653" s="160" t="s">
        <v>5435</v>
      </c>
      <c r="H653" s="34" t="s">
        <v>925</v>
      </c>
    </row>
    <row r="654" spans="1:8" ht="33">
      <c r="A654" s="160">
        <v>8</v>
      </c>
      <c r="B654" s="160" t="s">
        <v>1228</v>
      </c>
      <c r="C654" s="157" t="s">
        <v>927</v>
      </c>
      <c r="D654" s="159">
        <v>2</v>
      </c>
      <c r="E654" s="159">
        <v>260.08999999999997</v>
      </c>
      <c r="F654" s="159">
        <v>520.17999999999995</v>
      </c>
      <c r="G654" s="160" t="s">
        <v>2</v>
      </c>
      <c r="H654" s="34" t="s">
        <v>925</v>
      </c>
    </row>
    <row r="655" spans="1:8" ht="33">
      <c r="A655" s="160">
        <v>9</v>
      </c>
      <c r="B655" s="160" t="s">
        <v>931</v>
      </c>
      <c r="C655" s="157" t="s">
        <v>14</v>
      </c>
      <c r="D655" s="159">
        <v>1</v>
      </c>
      <c r="E655" s="159">
        <v>167.38</v>
      </c>
      <c r="F655" s="159">
        <v>167.38</v>
      </c>
      <c r="G655" s="160" t="s">
        <v>2</v>
      </c>
      <c r="H655" s="34" t="s">
        <v>925</v>
      </c>
    </row>
    <row r="656" spans="1:8" ht="33">
      <c r="A656" s="160"/>
      <c r="B656" s="160" t="s">
        <v>933</v>
      </c>
      <c r="C656" s="157" t="s">
        <v>3</v>
      </c>
      <c r="D656" s="159">
        <v>216</v>
      </c>
      <c r="E656" s="159"/>
      <c r="F656" s="159">
        <v>5746.8600000000006</v>
      </c>
      <c r="G656" s="160"/>
      <c r="H656" s="34" t="s">
        <v>925</v>
      </c>
    </row>
    <row r="657" spans="1:8" ht="33">
      <c r="A657" s="160"/>
      <c r="B657" s="160" t="s">
        <v>934</v>
      </c>
      <c r="C657" s="157" t="s">
        <v>3</v>
      </c>
      <c r="D657" s="159"/>
      <c r="E657" s="159"/>
      <c r="F657" s="159">
        <v>26.61</v>
      </c>
      <c r="G657" s="160"/>
      <c r="H657" s="34" t="s">
        <v>925</v>
      </c>
    </row>
    <row r="658" spans="1:8" ht="33">
      <c r="A658" s="160"/>
      <c r="B658" s="160"/>
      <c r="C658" s="157"/>
      <c r="D658" s="159"/>
      <c r="E658" s="159"/>
      <c r="F658" s="159"/>
      <c r="G658" s="160"/>
      <c r="H658" s="34" t="s">
        <v>925</v>
      </c>
    </row>
    <row r="659" spans="1:8" ht="33">
      <c r="A659" s="160" t="s">
        <v>1319</v>
      </c>
      <c r="B659" s="160" t="s">
        <v>462</v>
      </c>
      <c r="C659" s="157" t="s">
        <v>17</v>
      </c>
      <c r="D659" s="159">
        <v>280</v>
      </c>
      <c r="E659" s="159">
        <v>61.27</v>
      </c>
      <c r="F659" s="159"/>
      <c r="G659" s="160" t="s">
        <v>2</v>
      </c>
      <c r="H659" s="34" t="s">
        <v>925</v>
      </c>
    </row>
    <row r="660" spans="1:8" ht="33">
      <c r="A660" s="160">
        <v>1</v>
      </c>
      <c r="B660" s="160" t="s">
        <v>1243</v>
      </c>
      <c r="C660" s="157" t="s">
        <v>927</v>
      </c>
      <c r="D660" s="159">
        <v>8</v>
      </c>
      <c r="E660" s="159">
        <v>883.76</v>
      </c>
      <c r="F660" s="159">
        <v>7070.08</v>
      </c>
      <c r="G660" s="160" t="s">
        <v>2</v>
      </c>
      <c r="H660" s="34" t="s">
        <v>925</v>
      </c>
    </row>
    <row r="661" spans="1:8" ht="33">
      <c r="A661" s="160">
        <v>2</v>
      </c>
      <c r="B661" s="160" t="s">
        <v>1245</v>
      </c>
      <c r="C661" s="157" t="s">
        <v>14</v>
      </c>
      <c r="D661" s="159">
        <v>1</v>
      </c>
      <c r="E661" s="159">
        <v>4165.21</v>
      </c>
      <c r="F661" s="159">
        <v>4165.21</v>
      </c>
      <c r="G661" s="160" t="s">
        <v>2</v>
      </c>
      <c r="H661" s="34" t="s">
        <v>925</v>
      </c>
    </row>
    <row r="662" spans="1:8" ht="33">
      <c r="A662" s="160">
        <v>3</v>
      </c>
      <c r="B662" s="160" t="s">
        <v>4907</v>
      </c>
      <c r="C662" s="157" t="s">
        <v>927</v>
      </c>
      <c r="D662" s="159">
        <v>8</v>
      </c>
      <c r="E662" s="159">
        <v>371.17</v>
      </c>
      <c r="F662" s="159">
        <v>2969.36</v>
      </c>
      <c r="G662" s="160" t="s">
        <v>5444</v>
      </c>
      <c r="H662" s="34" t="s">
        <v>925</v>
      </c>
    </row>
    <row r="663" spans="1:8" ht="33">
      <c r="A663" s="160">
        <v>4</v>
      </c>
      <c r="B663" s="160" t="s">
        <v>4871</v>
      </c>
      <c r="C663" s="157" t="s">
        <v>927</v>
      </c>
      <c r="D663" s="159">
        <v>8</v>
      </c>
      <c r="E663" s="159">
        <v>260.08999999999997</v>
      </c>
      <c r="F663" s="159">
        <v>2080.7199999999998</v>
      </c>
      <c r="G663" s="160" t="s">
        <v>2</v>
      </c>
      <c r="H663" s="34" t="s">
        <v>925</v>
      </c>
    </row>
    <row r="664" spans="1:8" ht="16.5">
      <c r="A664" s="160">
        <v>5</v>
      </c>
      <c r="B664" s="160" t="s">
        <v>1247</v>
      </c>
      <c r="C664" s="157" t="s">
        <v>14</v>
      </c>
      <c r="D664" s="159">
        <v>1</v>
      </c>
      <c r="E664" s="159">
        <v>370.24</v>
      </c>
      <c r="F664" s="159">
        <v>370.24</v>
      </c>
      <c r="G664" s="160" t="s">
        <v>2</v>
      </c>
    </row>
    <row r="665" spans="1:8" ht="33">
      <c r="A665" s="160">
        <v>6</v>
      </c>
      <c r="B665" s="160" t="s">
        <v>955</v>
      </c>
      <c r="C665" s="157" t="s">
        <v>14</v>
      </c>
      <c r="D665" s="159">
        <v>1</v>
      </c>
      <c r="E665" s="159">
        <v>499.67</v>
      </c>
      <c r="F665" s="159">
        <v>499.67</v>
      </c>
      <c r="G665" s="160" t="s">
        <v>2</v>
      </c>
      <c r="H665" s="34" t="s">
        <v>925</v>
      </c>
    </row>
    <row r="666" spans="1:8" ht="33">
      <c r="A666" s="160"/>
      <c r="B666" s="160" t="s">
        <v>933</v>
      </c>
      <c r="C666" s="157" t="s">
        <v>17</v>
      </c>
      <c r="D666" s="159">
        <v>280</v>
      </c>
      <c r="E666" s="159"/>
      <c r="F666" s="159">
        <v>17155.28</v>
      </c>
      <c r="G666" s="160"/>
      <c r="H666" s="34" t="s">
        <v>925</v>
      </c>
    </row>
    <row r="667" spans="1:8" ht="33">
      <c r="A667" s="160"/>
      <c r="B667" s="160" t="s">
        <v>934</v>
      </c>
      <c r="C667" s="157" t="s">
        <v>17</v>
      </c>
      <c r="D667" s="159"/>
      <c r="E667" s="159"/>
      <c r="F667" s="159">
        <v>61.27</v>
      </c>
      <c r="G667" s="160"/>
      <c r="H667" s="34" t="s">
        <v>925</v>
      </c>
    </row>
    <row r="668" spans="1:8" ht="33">
      <c r="A668" s="160"/>
      <c r="B668" s="160"/>
      <c r="C668" s="157"/>
      <c r="D668" s="159"/>
      <c r="E668" s="159"/>
      <c r="F668" s="159"/>
      <c r="G668" s="160"/>
      <c r="H668" s="34" t="s">
        <v>925</v>
      </c>
    </row>
    <row r="669" spans="1:8" ht="33">
      <c r="A669" s="160" t="s">
        <v>1325</v>
      </c>
      <c r="B669" s="160" t="s">
        <v>1250</v>
      </c>
      <c r="C669" s="157" t="s">
        <v>17</v>
      </c>
      <c r="D669" s="159">
        <v>240</v>
      </c>
      <c r="E669" s="159">
        <v>71.48</v>
      </c>
      <c r="F669" s="159"/>
      <c r="G669" s="160" t="s">
        <v>2</v>
      </c>
      <c r="H669" s="34" t="s">
        <v>925</v>
      </c>
    </row>
    <row r="670" spans="1:8" ht="33">
      <c r="A670" s="160">
        <v>1</v>
      </c>
      <c r="B670" s="160" t="s">
        <v>1243</v>
      </c>
      <c r="C670" s="157" t="s">
        <v>927</v>
      </c>
      <c r="D670" s="159">
        <v>8</v>
      </c>
      <c r="E670" s="159">
        <v>883.76</v>
      </c>
      <c r="F670" s="159">
        <v>7070.08</v>
      </c>
      <c r="G670" s="160" t="s">
        <v>2</v>
      </c>
      <c r="H670" s="34" t="s">
        <v>925</v>
      </c>
    </row>
    <row r="671" spans="1:8" ht="33">
      <c r="A671" s="160">
        <v>2</v>
      </c>
      <c r="B671" s="160" t="s">
        <v>1245</v>
      </c>
      <c r="C671" s="157" t="s">
        <v>14</v>
      </c>
      <c r="D671" s="159">
        <v>1</v>
      </c>
      <c r="E671" s="159">
        <v>4165.21</v>
      </c>
      <c r="F671" s="159">
        <v>4165.21</v>
      </c>
      <c r="G671" s="160" t="s">
        <v>2</v>
      </c>
      <c r="H671" s="34" t="s">
        <v>925</v>
      </c>
    </row>
    <row r="672" spans="1:8" ht="33">
      <c r="A672" s="160">
        <v>3</v>
      </c>
      <c r="B672" s="160" t="s">
        <v>4907</v>
      </c>
      <c r="C672" s="157" t="s">
        <v>927</v>
      </c>
      <c r="D672" s="159">
        <v>8</v>
      </c>
      <c r="E672" s="159">
        <v>371.17</v>
      </c>
      <c r="F672" s="159">
        <v>2969.36</v>
      </c>
      <c r="G672" s="160" t="s">
        <v>5444</v>
      </c>
      <c r="H672" s="34" t="s">
        <v>925</v>
      </c>
    </row>
    <row r="673" spans="1:8" ht="33">
      <c r="A673" s="160">
        <v>4</v>
      </c>
      <c r="B673" s="160" t="s">
        <v>4871</v>
      </c>
      <c r="C673" s="157" t="s">
        <v>927</v>
      </c>
      <c r="D673" s="159">
        <v>8</v>
      </c>
      <c r="E673" s="159">
        <v>260.08999999999997</v>
      </c>
      <c r="F673" s="159">
        <v>2080.7199999999998</v>
      </c>
      <c r="G673" s="160" t="s">
        <v>5435</v>
      </c>
      <c r="H673" s="34" t="s">
        <v>925</v>
      </c>
    </row>
    <row r="674" spans="1:8" ht="33">
      <c r="A674" s="160">
        <v>5</v>
      </c>
      <c r="B674" s="160" t="s">
        <v>1247</v>
      </c>
      <c r="C674" s="157" t="s">
        <v>14</v>
      </c>
      <c r="D674" s="159">
        <v>1</v>
      </c>
      <c r="E674" s="159">
        <v>370.24</v>
      </c>
      <c r="F674" s="159">
        <v>370.24</v>
      </c>
      <c r="G674" s="160" t="s">
        <v>2</v>
      </c>
      <c r="H674" s="34" t="s">
        <v>925</v>
      </c>
    </row>
    <row r="675" spans="1:8" ht="33">
      <c r="A675" s="160">
        <v>6</v>
      </c>
      <c r="B675" s="160" t="s">
        <v>955</v>
      </c>
      <c r="C675" s="157" t="s">
        <v>14</v>
      </c>
      <c r="D675" s="159">
        <v>1</v>
      </c>
      <c r="E675" s="159">
        <v>499.67</v>
      </c>
      <c r="F675" s="159">
        <v>499.67</v>
      </c>
      <c r="G675" s="160" t="s">
        <v>2</v>
      </c>
      <c r="H675" s="34" t="s">
        <v>925</v>
      </c>
    </row>
    <row r="676" spans="1:8" ht="33">
      <c r="A676" s="160"/>
      <c r="B676" s="160" t="s">
        <v>933</v>
      </c>
      <c r="C676" s="157" t="s">
        <v>17</v>
      </c>
      <c r="D676" s="159">
        <v>240</v>
      </c>
      <c r="E676" s="159"/>
      <c r="F676" s="159">
        <v>17155.28</v>
      </c>
      <c r="G676" s="160"/>
      <c r="H676" s="34" t="s">
        <v>925</v>
      </c>
    </row>
    <row r="677" spans="1:8" ht="16.5">
      <c r="A677" s="160"/>
      <c r="B677" s="160" t="s">
        <v>934</v>
      </c>
      <c r="C677" s="157" t="s">
        <v>17</v>
      </c>
      <c r="D677" s="159"/>
      <c r="E677" s="159"/>
      <c r="F677" s="159">
        <v>71.48</v>
      </c>
      <c r="G677" s="160"/>
    </row>
    <row r="678" spans="1:8" ht="33">
      <c r="A678" s="160"/>
      <c r="B678" s="160"/>
      <c r="C678" s="157"/>
      <c r="D678" s="159"/>
      <c r="E678" s="159"/>
      <c r="F678" s="159"/>
      <c r="G678" s="160"/>
      <c r="H678" s="34" t="s">
        <v>925</v>
      </c>
    </row>
    <row r="679" spans="1:8" ht="33">
      <c r="A679" s="160" t="s">
        <v>1327</v>
      </c>
      <c r="B679" s="160" t="s">
        <v>1253</v>
      </c>
      <c r="C679" s="157" t="s">
        <v>17</v>
      </c>
      <c r="D679" s="159">
        <v>160</v>
      </c>
      <c r="E679" s="159">
        <v>129.68</v>
      </c>
      <c r="F679" s="159"/>
      <c r="G679" s="160" t="s">
        <v>2</v>
      </c>
      <c r="H679" s="34" t="s">
        <v>925</v>
      </c>
    </row>
    <row r="680" spans="1:8" ht="33">
      <c r="A680" s="160">
        <v>1</v>
      </c>
      <c r="B680" s="160" t="s">
        <v>1243</v>
      </c>
      <c r="C680" s="157" t="s">
        <v>927</v>
      </c>
      <c r="D680" s="159">
        <v>8</v>
      </c>
      <c r="E680" s="159">
        <v>883.76</v>
      </c>
      <c r="F680" s="159">
        <v>7070.08</v>
      </c>
      <c r="G680" s="160" t="s">
        <v>2</v>
      </c>
      <c r="H680" s="34" t="s">
        <v>925</v>
      </c>
    </row>
    <row r="681" spans="1:8" ht="33">
      <c r="A681" s="160">
        <v>2</v>
      </c>
      <c r="B681" s="160" t="s">
        <v>1245</v>
      </c>
      <c r="C681" s="157" t="s">
        <v>14</v>
      </c>
      <c r="D681" s="159">
        <v>1</v>
      </c>
      <c r="E681" s="159">
        <v>4165.21</v>
      </c>
      <c r="F681" s="159">
        <v>4165.21</v>
      </c>
      <c r="G681" s="160" t="s">
        <v>2</v>
      </c>
      <c r="H681" s="34" t="s">
        <v>925</v>
      </c>
    </row>
    <row r="682" spans="1:8" ht="33">
      <c r="A682" s="160">
        <v>3</v>
      </c>
      <c r="B682" s="160" t="s">
        <v>4907</v>
      </c>
      <c r="C682" s="157" t="s">
        <v>927</v>
      </c>
      <c r="D682" s="159">
        <v>8</v>
      </c>
      <c r="E682" s="159">
        <v>371.17</v>
      </c>
      <c r="F682" s="159">
        <v>2969.36</v>
      </c>
      <c r="G682" s="160" t="s">
        <v>5444</v>
      </c>
      <c r="H682" s="34" t="s">
        <v>925</v>
      </c>
    </row>
    <row r="683" spans="1:8" ht="33">
      <c r="A683" s="160">
        <v>4</v>
      </c>
      <c r="B683" s="160" t="s">
        <v>4871</v>
      </c>
      <c r="C683" s="157" t="s">
        <v>927</v>
      </c>
      <c r="D683" s="159">
        <v>10</v>
      </c>
      <c r="E683" s="159">
        <v>260.08999999999997</v>
      </c>
      <c r="F683" s="159">
        <v>2600.9</v>
      </c>
      <c r="G683" s="160" t="s">
        <v>5435</v>
      </c>
      <c r="H683" s="34" t="s">
        <v>925</v>
      </c>
    </row>
    <row r="684" spans="1:8" ht="33">
      <c r="A684" s="160">
        <v>5</v>
      </c>
      <c r="B684" s="160" t="s">
        <v>1255</v>
      </c>
      <c r="C684" s="157" t="s">
        <v>927</v>
      </c>
      <c r="D684" s="159">
        <v>8</v>
      </c>
      <c r="E684" s="159">
        <v>371.17</v>
      </c>
      <c r="F684" s="159">
        <v>2969.36</v>
      </c>
      <c r="G684" s="160" t="s">
        <v>2</v>
      </c>
      <c r="H684" s="34" t="s">
        <v>925</v>
      </c>
    </row>
    <row r="685" spans="1:8" ht="33">
      <c r="A685" s="160">
        <v>6</v>
      </c>
      <c r="B685" s="160" t="s">
        <v>1247</v>
      </c>
      <c r="C685" s="157" t="s">
        <v>14</v>
      </c>
      <c r="D685" s="159">
        <v>1</v>
      </c>
      <c r="E685" s="159">
        <v>370.24</v>
      </c>
      <c r="F685" s="159">
        <v>370.24</v>
      </c>
      <c r="G685" s="160" t="s">
        <v>2</v>
      </c>
      <c r="H685" s="34" t="s">
        <v>925</v>
      </c>
    </row>
    <row r="686" spans="1:8" ht="33">
      <c r="A686" s="160">
        <v>7</v>
      </c>
      <c r="B686" s="160" t="s">
        <v>955</v>
      </c>
      <c r="C686" s="157" t="s">
        <v>14</v>
      </c>
      <c r="D686" s="159">
        <v>1</v>
      </c>
      <c r="E686" s="159">
        <v>604.35</v>
      </c>
      <c r="F686" s="159">
        <v>604.35</v>
      </c>
      <c r="G686" s="160" t="s">
        <v>2</v>
      </c>
      <c r="H686" s="34" t="s">
        <v>925</v>
      </c>
    </row>
    <row r="687" spans="1:8" ht="33">
      <c r="A687" s="160"/>
      <c r="B687" s="160" t="s">
        <v>933</v>
      </c>
      <c r="C687" s="157" t="s">
        <v>17</v>
      </c>
      <c r="D687" s="159">
        <v>160</v>
      </c>
      <c r="E687" s="159"/>
      <c r="F687" s="159">
        <v>20749.500000000004</v>
      </c>
      <c r="G687" s="160"/>
      <c r="H687" s="34" t="s">
        <v>925</v>
      </c>
    </row>
    <row r="688" spans="1:8" ht="33">
      <c r="A688" s="160"/>
      <c r="B688" s="160" t="s">
        <v>934</v>
      </c>
      <c r="C688" s="157" t="s">
        <v>17</v>
      </c>
      <c r="D688" s="159"/>
      <c r="E688" s="159"/>
      <c r="F688" s="159">
        <v>129.68</v>
      </c>
      <c r="G688" s="160"/>
      <c r="H688" s="34" t="s">
        <v>925</v>
      </c>
    </row>
    <row r="689" spans="1:8" ht="33">
      <c r="A689" s="160"/>
      <c r="B689" s="160"/>
      <c r="C689" s="157"/>
      <c r="D689" s="159"/>
      <c r="E689" s="159"/>
      <c r="F689" s="159"/>
      <c r="G689" s="160"/>
      <c r="H689" s="34" t="s">
        <v>925</v>
      </c>
    </row>
    <row r="690" spans="1:8" ht="28.5">
      <c r="A690" s="160" t="s">
        <v>1332</v>
      </c>
      <c r="B690" s="160" t="s">
        <v>464</v>
      </c>
      <c r="C690" s="157" t="s">
        <v>0</v>
      </c>
      <c r="D690" s="159">
        <v>1</v>
      </c>
      <c r="E690" s="159">
        <v>3092.05</v>
      </c>
      <c r="F690" s="159"/>
      <c r="G690" s="160" t="s">
        <v>2</v>
      </c>
    </row>
    <row r="691" spans="1:8" ht="33">
      <c r="A691" s="160">
        <v>1</v>
      </c>
      <c r="B691" s="160" t="s">
        <v>1259</v>
      </c>
      <c r="C691" s="157" t="s">
        <v>0</v>
      </c>
      <c r="D691" s="159">
        <v>1</v>
      </c>
      <c r="E691" s="159">
        <v>2739.78</v>
      </c>
      <c r="F691" s="159">
        <v>2739.78</v>
      </c>
      <c r="G691" s="160" t="s">
        <v>2</v>
      </c>
      <c r="H691" s="34" t="s">
        <v>925</v>
      </c>
    </row>
    <row r="692" spans="1:8" ht="33">
      <c r="A692" s="160">
        <v>2</v>
      </c>
      <c r="B692" s="160" t="s">
        <v>4909</v>
      </c>
      <c r="C692" s="157" t="s">
        <v>927</v>
      </c>
      <c r="D692" s="159">
        <v>0.24</v>
      </c>
      <c r="E692" s="159">
        <v>379.5</v>
      </c>
      <c r="F692" s="159">
        <v>91.08</v>
      </c>
      <c r="G692" s="160" t="s">
        <v>2</v>
      </c>
      <c r="H692" s="34" t="s">
        <v>925</v>
      </c>
    </row>
    <row r="693" spans="1:8" ht="33">
      <c r="A693" s="160">
        <v>3</v>
      </c>
      <c r="B693" s="160" t="s">
        <v>4871</v>
      </c>
      <c r="C693" s="157" t="s">
        <v>927</v>
      </c>
      <c r="D693" s="159">
        <v>0.48</v>
      </c>
      <c r="E693" s="159">
        <v>260.08999999999997</v>
      </c>
      <c r="F693" s="159">
        <v>124.84</v>
      </c>
      <c r="G693" s="160" t="s">
        <v>2</v>
      </c>
      <c r="H693" s="34" t="s">
        <v>925</v>
      </c>
    </row>
    <row r="694" spans="1:8" ht="33">
      <c r="A694" s="160">
        <v>4</v>
      </c>
      <c r="B694" s="160" t="s">
        <v>1263</v>
      </c>
      <c r="C694" s="157" t="s">
        <v>14</v>
      </c>
      <c r="D694" s="159">
        <v>1</v>
      </c>
      <c r="E694" s="159">
        <v>9.26</v>
      </c>
      <c r="F694" s="159">
        <v>9.26</v>
      </c>
      <c r="G694" s="160" t="s">
        <v>2</v>
      </c>
      <c r="H694" s="34" t="s">
        <v>925</v>
      </c>
    </row>
    <row r="695" spans="1:8" ht="33">
      <c r="A695" s="160">
        <v>5</v>
      </c>
      <c r="B695" s="160" t="s">
        <v>1265</v>
      </c>
      <c r="C695" s="157" t="s">
        <v>14</v>
      </c>
      <c r="D695" s="159">
        <v>1</v>
      </c>
      <c r="E695" s="159">
        <v>9.26</v>
      </c>
      <c r="F695" s="159">
        <v>9.26</v>
      </c>
      <c r="G695" s="160" t="s">
        <v>2</v>
      </c>
      <c r="H695" s="34" t="s">
        <v>925</v>
      </c>
    </row>
    <row r="696" spans="1:8" ht="33">
      <c r="A696" s="160">
        <v>6</v>
      </c>
      <c r="B696" s="160" t="s">
        <v>1267</v>
      </c>
      <c r="C696" s="157" t="s">
        <v>14</v>
      </c>
      <c r="D696" s="159">
        <v>1</v>
      </c>
      <c r="E696" s="159">
        <v>27.77</v>
      </c>
      <c r="F696" s="159">
        <v>27.77</v>
      </c>
      <c r="G696" s="160" t="s">
        <v>2</v>
      </c>
      <c r="H696" s="34" t="s">
        <v>925</v>
      </c>
    </row>
    <row r="697" spans="1:8" ht="33">
      <c r="A697" s="160">
        <v>7</v>
      </c>
      <c r="B697" s="160" t="s">
        <v>931</v>
      </c>
      <c r="C697" s="157" t="s">
        <v>14</v>
      </c>
      <c r="D697" s="159">
        <v>1</v>
      </c>
      <c r="E697" s="159">
        <v>90.06</v>
      </c>
      <c r="F697" s="159">
        <v>90.06</v>
      </c>
      <c r="G697" s="160" t="s">
        <v>2</v>
      </c>
      <c r="H697" s="34" t="s">
        <v>925</v>
      </c>
    </row>
    <row r="698" spans="1:8" ht="33">
      <c r="A698" s="160"/>
      <c r="B698" s="160" t="s">
        <v>933</v>
      </c>
      <c r="C698" s="157" t="s">
        <v>0</v>
      </c>
      <c r="D698" s="159">
        <v>1</v>
      </c>
      <c r="E698" s="159"/>
      <c r="F698" s="159">
        <v>3092.0500000000006</v>
      </c>
      <c r="G698" s="160"/>
      <c r="H698" s="34" t="s">
        <v>925</v>
      </c>
    </row>
    <row r="699" spans="1:8" ht="33">
      <c r="A699" s="160"/>
      <c r="B699" s="160" t="s">
        <v>934</v>
      </c>
      <c r="C699" s="157" t="s">
        <v>0</v>
      </c>
      <c r="D699" s="159"/>
      <c r="E699" s="159"/>
      <c r="F699" s="159">
        <v>3092.05</v>
      </c>
      <c r="G699" s="160"/>
      <c r="H699" s="34" t="s">
        <v>925</v>
      </c>
    </row>
    <row r="700" spans="1:8" ht="33">
      <c r="A700" s="160"/>
      <c r="B700" s="160"/>
      <c r="C700" s="157"/>
      <c r="D700" s="159"/>
      <c r="E700" s="159"/>
      <c r="F700" s="159"/>
      <c r="G700" s="160"/>
      <c r="H700" s="34" t="s">
        <v>925</v>
      </c>
    </row>
    <row r="701" spans="1:8" ht="28.5">
      <c r="A701" s="160" t="s">
        <v>1346</v>
      </c>
      <c r="B701" s="160" t="s">
        <v>4501</v>
      </c>
      <c r="C701" s="157" t="s">
        <v>0</v>
      </c>
      <c r="D701" s="159">
        <v>1</v>
      </c>
      <c r="E701" s="159">
        <v>3383.23</v>
      </c>
      <c r="F701" s="159"/>
      <c r="G701" s="160" t="s">
        <v>2</v>
      </c>
    </row>
    <row r="702" spans="1:8" ht="33">
      <c r="A702" s="160">
        <v>1</v>
      </c>
      <c r="B702" s="160" t="s">
        <v>1259</v>
      </c>
      <c r="C702" s="157" t="s">
        <v>0</v>
      </c>
      <c r="D702" s="159">
        <v>1</v>
      </c>
      <c r="E702" s="159">
        <v>2739.78</v>
      </c>
      <c r="F702" s="159">
        <v>2739.78</v>
      </c>
      <c r="G702" s="160" t="s">
        <v>2</v>
      </c>
      <c r="H702" s="34" t="s">
        <v>925</v>
      </c>
    </row>
    <row r="703" spans="1:8" ht="33">
      <c r="A703" s="160">
        <v>2</v>
      </c>
      <c r="B703" s="160" t="s">
        <v>4912</v>
      </c>
      <c r="C703" s="157" t="s">
        <v>927</v>
      </c>
      <c r="D703" s="159">
        <v>0.28000000000000003</v>
      </c>
      <c r="E703" s="159">
        <v>758.99</v>
      </c>
      <c r="F703" s="159">
        <v>212.52</v>
      </c>
      <c r="G703" s="160" t="s">
        <v>2</v>
      </c>
      <c r="H703" s="34" t="s">
        <v>925</v>
      </c>
    </row>
    <row r="704" spans="1:8" ht="33">
      <c r="A704" s="160">
        <v>3</v>
      </c>
      <c r="B704" s="160" t="s">
        <v>4874</v>
      </c>
      <c r="C704" s="157" t="s">
        <v>927</v>
      </c>
      <c r="D704" s="159">
        <v>0.55000000000000004</v>
      </c>
      <c r="E704" s="159">
        <v>520.19000000000005</v>
      </c>
      <c r="F704" s="159">
        <v>286.10000000000002</v>
      </c>
      <c r="G704" s="160" t="s">
        <v>5436</v>
      </c>
      <c r="H704" s="34" t="s">
        <v>925</v>
      </c>
    </row>
    <row r="705" spans="1:8" ht="33">
      <c r="A705" s="160">
        <v>4</v>
      </c>
      <c r="B705" s="160" t="s">
        <v>1263</v>
      </c>
      <c r="C705" s="157" t="s">
        <v>14</v>
      </c>
      <c r="D705" s="159">
        <v>1</v>
      </c>
      <c r="E705" s="159">
        <v>9.26</v>
      </c>
      <c r="F705" s="159">
        <v>9.26</v>
      </c>
      <c r="G705" s="160" t="s">
        <v>2</v>
      </c>
      <c r="H705" s="34" t="s">
        <v>925</v>
      </c>
    </row>
    <row r="706" spans="1:8" ht="33">
      <c r="A706" s="160">
        <v>5</v>
      </c>
      <c r="B706" s="160" t="s">
        <v>1265</v>
      </c>
      <c r="C706" s="157" t="s">
        <v>14</v>
      </c>
      <c r="D706" s="159">
        <v>1</v>
      </c>
      <c r="E706" s="159">
        <v>9.26</v>
      </c>
      <c r="F706" s="159">
        <v>9.26</v>
      </c>
      <c r="G706" s="160" t="s">
        <v>2</v>
      </c>
      <c r="H706" s="34" t="s">
        <v>925</v>
      </c>
    </row>
    <row r="707" spans="1:8" ht="33">
      <c r="A707" s="160">
        <v>6</v>
      </c>
      <c r="B707" s="160" t="s">
        <v>1267</v>
      </c>
      <c r="C707" s="157" t="s">
        <v>14</v>
      </c>
      <c r="D707" s="159">
        <v>1</v>
      </c>
      <c r="E707" s="159">
        <v>27.77</v>
      </c>
      <c r="F707" s="159">
        <v>27.77</v>
      </c>
      <c r="G707" s="160" t="s">
        <v>2</v>
      </c>
      <c r="H707" s="34" t="s">
        <v>925</v>
      </c>
    </row>
    <row r="708" spans="1:8" ht="33">
      <c r="A708" s="160">
        <v>7</v>
      </c>
      <c r="B708" s="160" t="s">
        <v>931</v>
      </c>
      <c r="C708" s="157" t="s">
        <v>14</v>
      </c>
      <c r="D708" s="159">
        <v>1</v>
      </c>
      <c r="E708" s="159">
        <v>98.54</v>
      </c>
      <c r="F708" s="159">
        <v>98.54</v>
      </c>
      <c r="G708" s="160" t="s">
        <v>2</v>
      </c>
      <c r="H708" s="34" t="s">
        <v>925</v>
      </c>
    </row>
    <row r="709" spans="1:8" ht="33">
      <c r="A709" s="160"/>
      <c r="B709" s="160" t="s">
        <v>933</v>
      </c>
      <c r="C709" s="157" t="s">
        <v>0</v>
      </c>
      <c r="D709" s="159">
        <v>1</v>
      </c>
      <c r="E709" s="159"/>
      <c r="F709" s="159">
        <v>3383.2300000000005</v>
      </c>
      <c r="G709" s="160"/>
      <c r="H709" s="34" t="s">
        <v>925</v>
      </c>
    </row>
    <row r="710" spans="1:8" ht="33">
      <c r="A710" s="160"/>
      <c r="B710" s="160" t="s">
        <v>934</v>
      </c>
      <c r="C710" s="157" t="s">
        <v>0</v>
      </c>
      <c r="D710" s="159"/>
      <c r="E710" s="159"/>
      <c r="F710" s="159">
        <v>3383.23</v>
      </c>
      <c r="G710" s="160"/>
      <c r="H710" s="34" t="s">
        <v>925</v>
      </c>
    </row>
    <row r="711" spans="1:8" ht="33">
      <c r="A711" s="160"/>
      <c r="B711" s="160"/>
      <c r="C711" s="157"/>
      <c r="D711" s="159"/>
      <c r="E711" s="159"/>
      <c r="F711" s="159"/>
      <c r="G711" s="160"/>
      <c r="H711" s="34" t="s">
        <v>925</v>
      </c>
    </row>
    <row r="712" spans="1:8" ht="28.5">
      <c r="A712" s="160" t="s">
        <v>1351</v>
      </c>
      <c r="B712" s="160" t="s">
        <v>1270</v>
      </c>
      <c r="C712" s="157" t="s">
        <v>0</v>
      </c>
      <c r="D712" s="159">
        <v>1</v>
      </c>
      <c r="E712" s="159">
        <v>3177.86</v>
      </c>
      <c r="F712" s="159"/>
      <c r="G712" s="160" t="s">
        <v>2</v>
      </c>
    </row>
    <row r="713" spans="1:8" ht="33">
      <c r="A713" s="160">
        <v>1</v>
      </c>
      <c r="B713" s="160" t="s">
        <v>1272</v>
      </c>
      <c r="C713" s="157" t="s">
        <v>0</v>
      </c>
      <c r="D713" s="159">
        <v>1</v>
      </c>
      <c r="E713" s="159">
        <v>2823.09</v>
      </c>
      <c r="F713" s="159">
        <v>2823.09</v>
      </c>
      <c r="G713" s="160" t="s">
        <v>2</v>
      </c>
      <c r="H713" s="34" t="s">
        <v>925</v>
      </c>
    </row>
    <row r="714" spans="1:8" ht="33">
      <c r="A714" s="160">
        <v>2</v>
      </c>
      <c r="B714" s="160" t="s">
        <v>4909</v>
      </c>
      <c r="C714" s="157" t="s">
        <v>927</v>
      </c>
      <c r="D714" s="159">
        <v>0.24</v>
      </c>
      <c r="E714" s="159">
        <v>379.5</v>
      </c>
      <c r="F714" s="159">
        <v>91.08</v>
      </c>
      <c r="G714" s="160" t="s">
        <v>2</v>
      </c>
      <c r="H714" s="34" t="s">
        <v>925</v>
      </c>
    </row>
    <row r="715" spans="1:8" ht="33">
      <c r="A715" s="160">
        <v>3</v>
      </c>
      <c r="B715" s="160" t="s">
        <v>4871</v>
      </c>
      <c r="C715" s="157" t="s">
        <v>927</v>
      </c>
      <c r="D715" s="159">
        <v>0.48</v>
      </c>
      <c r="E715" s="159">
        <v>260.08999999999997</v>
      </c>
      <c r="F715" s="159">
        <v>124.84</v>
      </c>
      <c r="G715" s="160" t="s">
        <v>2</v>
      </c>
      <c r="H715" s="34" t="s">
        <v>925</v>
      </c>
    </row>
    <row r="716" spans="1:8" ht="33">
      <c r="A716" s="160">
        <v>4</v>
      </c>
      <c r="B716" s="160" t="s">
        <v>1263</v>
      </c>
      <c r="C716" s="157" t="s">
        <v>14</v>
      </c>
      <c r="D716" s="159">
        <v>1</v>
      </c>
      <c r="E716" s="159">
        <v>9.26</v>
      </c>
      <c r="F716" s="159">
        <v>9.26</v>
      </c>
      <c r="G716" s="160" t="s">
        <v>2</v>
      </c>
      <c r="H716" s="34" t="s">
        <v>925</v>
      </c>
    </row>
    <row r="717" spans="1:8" ht="33">
      <c r="A717" s="160">
        <v>5</v>
      </c>
      <c r="B717" s="160" t="s">
        <v>1265</v>
      </c>
      <c r="C717" s="157" t="s">
        <v>14</v>
      </c>
      <c r="D717" s="159">
        <v>1</v>
      </c>
      <c r="E717" s="159">
        <v>9.26</v>
      </c>
      <c r="F717" s="159">
        <v>9.26</v>
      </c>
      <c r="G717" s="160" t="s">
        <v>2</v>
      </c>
      <c r="H717" s="34" t="s">
        <v>925</v>
      </c>
    </row>
    <row r="718" spans="1:8" ht="33">
      <c r="A718" s="160">
        <v>6</v>
      </c>
      <c r="B718" s="160" t="s">
        <v>1267</v>
      </c>
      <c r="C718" s="157" t="s">
        <v>14</v>
      </c>
      <c r="D718" s="159">
        <v>1</v>
      </c>
      <c r="E718" s="159">
        <v>27.77</v>
      </c>
      <c r="F718" s="159">
        <v>27.77</v>
      </c>
      <c r="G718" s="160" t="s">
        <v>2</v>
      </c>
      <c r="H718" s="34" t="s">
        <v>925</v>
      </c>
    </row>
    <row r="719" spans="1:8" ht="33">
      <c r="A719" s="160">
        <v>7</v>
      </c>
      <c r="B719" s="160" t="s">
        <v>931</v>
      </c>
      <c r="C719" s="157" t="s">
        <v>14</v>
      </c>
      <c r="D719" s="159">
        <v>1</v>
      </c>
      <c r="E719" s="159">
        <v>92.56</v>
      </c>
      <c r="F719" s="159">
        <v>92.56</v>
      </c>
      <c r="G719" s="160" t="s">
        <v>2</v>
      </c>
      <c r="H719" s="34" t="s">
        <v>925</v>
      </c>
    </row>
    <row r="720" spans="1:8" ht="33">
      <c r="A720" s="160"/>
      <c r="B720" s="160" t="s">
        <v>933</v>
      </c>
      <c r="C720" s="157" t="s">
        <v>0</v>
      </c>
      <c r="D720" s="159">
        <v>1</v>
      </c>
      <c r="E720" s="159"/>
      <c r="F720" s="159">
        <v>3177.8600000000006</v>
      </c>
      <c r="G720" s="160"/>
      <c r="H720" s="34" t="s">
        <v>925</v>
      </c>
    </row>
    <row r="721" spans="1:8" ht="16.5">
      <c r="A721" s="160"/>
      <c r="B721" s="160" t="s">
        <v>934</v>
      </c>
      <c r="C721" s="157" t="s">
        <v>0</v>
      </c>
      <c r="D721" s="159"/>
      <c r="E721" s="159"/>
      <c r="F721" s="159">
        <v>3177.86</v>
      </c>
      <c r="G721" s="160"/>
    </row>
    <row r="722" spans="1:8" ht="33">
      <c r="A722" s="160"/>
      <c r="B722" s="160"/>
      <c r="C722" s="157"/>
      <c r="D722" s="159"/>
      <c r="E722" s="159"/>
      <c r="F722" s="159"/>
      <c r="G722" s="160"/>
      <c r="H722" s="34" t="s">
        <v>925</v>
      </c>
    </row>
    <row r="723" spans="1:8" ht="42.75">
      <c r="A723" s="160" t="s">
        <v>1356</v>
      </c>
      <c r="B723" s="160" t="s">
        <v>1275</v>
      </c>
      <c r="C723" s="157" t="s">
        <v>0</v>
      </c>
      <c r="D723" s="159">
        <v>1</v>
      </c>
      <c r="E723" s="159">
        <v>3273.2</v>
      </c>
      <c r="F723" s="159"/>
      <c r="G723" s="160" t="s">
        <v>4368</v>
      </c>
      <c r="H723" s="34" t="s">
        <v>925</v>
      </c>
    </row>
    <row r="724" spans="1:8" ht="42.75">
      <c r="A724" s="160">
        <v>1</v>
      </c>
      <c r="B724" s="160" t="s">
        <v>1277</v>
      </c>
      <c r="C724" s="157" t="s">
        <v>0</v>
      </c>
      <c r="D724" s="159">
        <v>1</v>
      </c>
      <c r="E724" s="159">
        <v>2915.65</v>
      </c>
      <c r="F724" s="159">
        <v>2915.65</v>
      </c>
      <c r="G724" s="160" t="s">
        <v>4368</v>
      </c>
      <c r="H724" s="34" t="s">
        <v>925</v>
      </c>
    </row>
    <row r="725" spans="1:8" ht="33">
      <c r="A725" s="160">
        <v>2</v>
      </c>
      <c r="B725" s="160" t="s">
        <v>4909</v>
      </c>
      <c r="C725" s="157" t="s">
        <v>927</v>
      </c>
      <c r="D725" s="159">
        <v>0.24</v>
      </c>
      <c r="E725" s="159">
        <v>379.5</v>
      </c>
      <c r="F725" s="159">
        <v>91.08</v>
      </c>
      <c r="G725" s="160" t="s">
        <v>2</v>
      </c>
      <c r="H725" s="34" t="s">
        <v>925</v>
      </c>
    </row>
    <row r="726" spans="1:8" ht="33">
      <c r="A726" s="160">
        <v>3</v>
      </c>
      <c r="B726" s="160" t="s">
        <v>4871</v>
      </c>
      <c r="C726" s="157" t="s">
        <v>927</v>
      </c>
      <c r="D726" s="159">
        <v>0.48</v>
      </c>
      <c r="E726" s="159">
        <v>260.08999999999997</v>
      </c>
      <c r="F726" s="159">
        <v>124.84</v>
      </c>
      <c r="G726" s="160" t="s">
        <v>2</v>
      </c>
      <c r="H726" s="34" t="s">
        <v>925</v>
      </c>
    </row>
    <row r="727" spans="1:8" ht="33">
      <c r="A727" s="160">
        <v>4</v>
      </c>
      <c r="B727" s="160" t="s">
        <v>1263</v>
      </c>
      <c r="C727" s="157" t="s">
        <v>14</v>
      </c>
      <c r="D727" s="159">
        <v>1</v>
      </c>
      <c r="E727" s="159">
        <v>9.26</v>
      </c>
      <c r="F727" s="159">
        <v>9.26</v>
      </c>
      <c r="G727" s="160" t="s">
        <v>2</v>
      </c>
      <c r="H727" s="34" t="s">
        <v>925</v>
      </c>
    </row>
    <row r="728" spans="1:8" ht="33">
      <c r="A728" s="160">
        <v>5</v>
      </c>
      <c r="B728" s="160" t="s">
        <v>1265</v>
      </c>
      <c r="C728" s="157" t="s">
        <v>14</v>
      </c>
      <c r="D728" s="159">
        <v>1</v>
      </c>
      <c r="E728" s="159">
        <v>9.26</v>
      </c>
      <c r="F728" s="159">
        <v>9.26</v>
      </c>
      <c r="G728" s="160" t="s">
        <v>2</v>
      </c>
      <c r="H728" s="34" t="s">
        <v>925</v>
      </c>
    </row>
    <row r="729" spans="1:8" ht="16.5">
      <c r="A729" s="160">
        <v>6</v>
      </c>
      <c r="B729" s="160" t="s">
        <v>1267</v>
      </c>
      <c r="C729" s="157" t="s">
        <v>14</v>
      </c>
      <c r="D729" s="159">
        <v>1</v>
      </c>
      <c r="E729" s="159">
        <v>27.77</v>
      </c>
      <c r="F729" s="159">
        <v>27.77</v>
      </c>
      <c r="G729" s="160" t="s">
        <v>2</v>
      </c>
    </row>
    <row r="730" spans="1:8" ht="33">
      <c r="A730" s="160">
        <v>7</v>
      </c>
      <c r="B730" s="160" t="s">
        <v>931</v>
      </c>
      <c r="C730" s="157" t="s">
        <v>14</v>
      </c>
      <c r="D730" s="159">
        <v>1</v>
      </c>
      <c r="E730" s="159">
        <v>95.34</v>
      </c>
      <c r="F730" s="159">
        <v>95.34</v>
      </c>
      <c r="G730" s="160" t="s">
        <v>2</v>
      </c>
      <c r="H730" s="34" t="s">
        <v>925</v>
      </c>
    </row>
    <row r="731" spans="1:8" ht="33">
      <c r="A731" s="160"/>
      <c r="B731" s="160" t="s">
        <v>933</v>
      </c>
      <c r="C731" s="157" t="s">
        <v>0</v>
      </c>
      <c r="D731" s="159">
        <v>1</v>
      </c>
      <c r="E731" s="159"/>
      <c r="F731" s="159">
        <v>3273.2000000000007</v>
      </c>
      <c r="G731" s="160"/>
      <c r="H731" s="34" t="s">
        <v>925</v>
      </c>
    </row>
    <row r="732" spans="1:8" ht="33">
      <c r="A732" s="160"/>
      <c r="B732" s="160" t="s">
        <v>934</v>
      </c>
      <c r="C732" s="157" t="s">
        <v>0</v>
      </c>
      <c r="D732" s="159"/>
      <c r="E732" s="159"/>
      <c r="F732" s="159">
        <v>3273.2</v>
      </c>
      <c r="G732" s="160"/>
      <c r="H732" s="34" t="s">
        <v>925</v>
      </c>
    </row>
    <row r="733" spans="1:8" ht="33">
      <c r="A733" s="160"/>
      <c r="B733" s="160"/>
      <c r="C733" s="157"/>
      <c r="D733" s="159"/>
      <c r="E733" s="159"/>
      <c r="F733" s="159"/>
      <c r="G733" s="160"/>
      <c r="H733" s="34" t="s">
        <v>925</v>
      </c>
    </row>
    <row r="734" spans="1:8" ht="42.75">
      <c r="A734" s="160" t="s">
        <v>1359</v>
      </c>
      <c r="B734" s="160" t="s">
        <v>4505</v>
      </c>
      <c r="C734" s="157" t="s">
        <v>0</v>
      </c>
      <c r="D734" s="159">
        <v>1</v>
      </c>
      <c r="E734" s="159">
        <v>3564.38</v>
      </c>
      <c r="F734" s="159"/>
      <c r="G734" s="160" t="s">
        <v>4368</v>
      </c>
      <c r="H734" s="34" t="s">
        <v>925</v>
      </c>
    </row>
    <row r="735" spans="1:8" ht="42.75">
      <c r="A735" s="160">
        <v>1</v>
      </c>
      <c r="B735" s="160" t="s">
        <v>1277</v>
      </c>
      <c r="C735" s="157" t="s">
        <v>0</v>
      </c>
      <c r="D735" s="159">
        <v>1</v>
      </c>
      <c r="E735" s="159">
        <v>2915.65</v>
      </c>
      <c r="F735" s="159">
        <v>2915.65</v>
      </c>
      <c r="G735" s="160" t="s">
        <v>4368</v>
      </c>
      <c r="H735" s="34" t="s">
        <v>925</v>
      </c>
    </row>
    <row r="736" spans="1:8" ht="33">
      <c r="A736" s="160">
        <v>2</v>
      </c>
      <c r="B736" s="160" t="s">
        <v>4912</v>
      </c>
      <c r="C736" s="157" t="s">
        <v>927</v>
      </c>
      <c r="D736" s="159">
        <v>0.28000000000000003</v>
      </c>
      <c r="E736" s="159">
        <v>758.99</v>
      </c>
      <c r="F736" s="159">
        <v>212.52</v>
      </c>
      <c r="G736" s="160" t="s">
        <v>2</v>
      </c>
      <c r="H736" s="34" t="s">
        <v>925</v>
      </c>
    </row>
    <row r="737" spans="1:8" ht="33">
      <c r="A737" s="160">
        <v>3</v>
      </c>
      <c r="B737" s="160" t="s">
        <v>4874</v>
      </c>
      <c r="C737" s="157" t="s">
        <v>927</v>
      </c>
      <c r="D737" s="159">
        <v>0.55000000000000004</v>
      </c>
      <c r="E737" s="159">
        <v>520.19000000000005</v>
      </c>
      <c r="F737" s="159">
        <v>286.10000000000002</v>
      </c>
      <c r="G737" s="160" t="s">
        <v>5436</v>
      </c>
      <c r="H737" s="34" t="s">
        <v>925</v>
      </c>
    </row>
    <row r="738" spans="1:8" ht="33">
      <c r="A738" s="160">
        <v>4</v>
      </c>
      <c r="B738" s="160" t="s">
        <v>1263</v>
      </c>
      <c r="C738" s="157" t="s">
        <v>14</v>
      </c>
      <c r="D738" s="159">
        <v>1</v>
      </c>
      <c r="E738" s="159">
        <v>9.26</v>
      </c>
      <c r="F738" s="159">
        <v>9.26</v>
      </c>
      <c r="G738" s="160" t="s">
        <v>2</v>
      </c>
      <c r="H738" s="34" t="s">
        <v>925</v>
      </c>
    </row>
    <row r="739" spans="1:8" ht="33">
      <c r="A739" s="160">
        <v>5</v>
      </c>
      <c r="B739" s="160" t="s">
        <v>1265</v>
      </c>
      <c r="C739" s="157" t="s">
        <v>14</v>
      </c>
      <c r="D739" s="159">
        <v>1</v>
      </c>
      <c r="E739" s="159">
        <v>9.26</v>
      </c>
      <c r="F739" s="159">
        <v>9.26</v>
      </c>
      <c r="G739" s="160" t="s">
        <v>2</v>
      </c>
      <c r="H739" s="34" t="s">
        <v>925</v>
      </c>
    </row>
    <row r="740" spans="1:8" ht="33">
      <c r="A740" s="160">
        <v>6</v>
      </c>
      <c r="B740" s="160" t="s">
        <v>1267</v>
      </c>
      <c r="C740" s="157" t="s">
        <v>14</v>
      </c>
      <c r="D740" s="159">
        <v>1</v>
      </c>
      <c r="E740" s="159">
        <v>27.77</v>
      </c>
      <c r="F740" s="159">
        <v>27.77</v>
      </c>
      <c r="G740" s="160" t="s">
        <v>2</v>
      </c>
      <c r="H740" s="34" t="s">
        <v>925</v>
      </c>
    </row>
    <row r="741" spans="1:8" ht="33">
      <c r="A741" s="160">
        <v>7</v>
      </c>
      <c r="B741" s="160" t="s">
        <v>931</v>
      </c>
      <c r="C741" s="157" t="s">
        <v>14</v>
      </c>
      <c r="D741" s="159">
        <v>1</v>
      </c>
      <c r="E741" s="159">
        <v>103.82</v>
      </c>
      <c r="F741" s="159">
        <v>103.82</v>
      </c>
      <c r="G741" s="160" t="s">
        <v>2</v>
      </c>
      <c r="H741" s="34" t="s">
        <v>925</v>
      </c>
    </row>
    <row r="742" spans="1:8" ht="16.5">
      <c r="A742" s="160"/>
      <c r="B742" s="160" t="s">
        <v>933</v>
      </c>
      <c r="C742" s="157" t="s">
        <v>0</v>
      </c>
      <c r="D742" s="159">
        <v>1</v>
      </c>
      <c r="E742" s="159"/>
      <c r="F742" s="159">
        <v>3564.3800000000006</v>
      </c>
      <c r="G742" s="160"/>
    </row>
    <row r="743" spans="1:8" ht="33">
      <c r="A743" s="160"/>
      <c r="B743" s="160" t="s">
        <v>934</v>
      </c>
      <c r="C743" s="157" t="s">
        <v>0</v>
      </c>
      <c r="D743" s="159"/>
      <c r="E743" s="159"/>
      <c r="F743" s="159">
        <v>3564.38</v>
      </c>
      <c r="G743" s="160"/>
      <c r="H743" s="34" t="s">
        <v>925</v>
      </c>
    </row>
    <row r="744" spans="1:8" ht="33">
      <c r="A744" s="160"/>
      <c r="B744" s="160"/>
      <c r="C744" s="157"/>
      <c r="D744" s="159"/>
      <c r="E744" s="159"/>
      <c r="F744" s="159"/>
      <c r="G744" s="160"/>
      <c r="H744" s="34" t="s">
        <v>925</v>
      </c>
    </row>
    <row r="745" spans="1:8" ht="33">
      <c r="A745" s="160" t="s">
        <v>1362</v>
      </c>
      <c r="B745" s="160" t="s">
        <v>1280</v>
      </c>
      <c r="C745" s="157" t="s">
        <v>0</v>
      </c>
      <c r="D745" s="159">
        <v>1</v>
      </c>
      <c r="E745" s="159">
        <v>3430.46</v>
      </c>
      <c r="F745" s="159"/>
      <c r="G745" s="160" t="s">
        <v>2</v>
      </c>
      <c r="H745" s="34" t="s">
        <v>925</v>
      </c>
    </row>
    <row r="746" spans="1:8" ht="33">
      <c r="A746" s="160">
        <v>1</v>
      </c>
      <c r="B746" s="160" t="s">
        <v>1282</v>
      </c>
      <c r="C746" s="157" t="s">
        <v>0</v>
      </c>
      <c r="D746" s="159">
        <v>1</v>
      </c>
      <c r="E746" s="159">
        <v>3017.46</v>
      </c>
      <c r="F746" s="159">
        <v>3017.46</v>
      </c>
      <c r="G746" s="160" t="s">
        <v>2</v>
      </c>
      <c r="H746" s="34" t="s">
        <v>925</v>
      </c>
    </row>
    <row r="747" spans="1:8" ht="33">
      <c r="A747" s="160">
        <v>2</v>
      </c>
      <c r="B747" s="160" t="s">
        <v>4909</v>
      </c>
      <c r="C747" s="157" t="s">
        <v>927</v>
      </c>
      <c r="D747" s="159">
        <v>0.24</v>
      </c>
      <c r="E747" s="159">
        <v>379.5</v>
      </c>
      <c r="F747" s="159">
        <v>91.08</v>
      </c>
      <c r="G747" s="160" t="s">
        <v>2</v>
      </c>
      <c r="H747" s="34" t="s">
        <v>925</v>
      </c>
    </row>
    <row r="748" spans="1:8" ht="33">
      <c r="A748" s="160">
        <v>3</v>
      </c>
      <c r="B748" s="160" t="s">
        <v>4871</v>
      </c>
      <c r="C748" s="157" t="s">
        <v>927</v>
      </c>
      <c r="D748" s="159">
        <v>0.64</v>
      </c>
      <c r="E748" s="159">
        <v>260.08999999999997</v>
      </c>
      <c r="F748" s="159">
        <v>166.46</v>
      </c>
      <c r="G748" s="160" t="s">
        <v>2</v>
      </c>
      <c r="H748" s="34" t="s">
        <v>925</v>
      </c>
    </row>
    <row r="749" spans="1:8" ht="33">
      <c r="A749" s="160">
        <v>4</v>
      </c>
      <c r="B749" s="160" t="s">
        <v>1263</v>
      </c>
      <c r="C749" s="157" t="s">
        <v>14</v>
      </c>
      <c r="D749" s="159">
        <v>1</v>
      </c>
      <c r="E749" s="159">
        <v>12.03</v>
      </c>
      <c r="F749" s="159">
        <v>12.03</v>
      </c>
      <c r="G749" s="160" t="s">
        <v>2</v>
      </c>
      <c r="H749" s="34" t="s">
        <v>925</v>
      </c>
    </row>
    <row r="750" spans="1:8" ht="33">
      <c r="A750" s="160">
        <v>5</v>
      </c>
      <c r="B750" s="160" t="s">
        <v>1265</v>
      </c>
      <c r="C750" s="157" t="s">
        <v>14</v>
      </c>
      <c r="D750" s="159">
        <v>1</v>
      </c>
      <c r="E750" s="159">
        <v>9.26</v>
      </c>
      <c r="F750" s="159">
        <v>9.26</v>
      </c>
      <c r="G750" s="160" t="s">
        <v>2</v>
      </c>
      <c r="H750" s="34" t="s">
        <v>925</v>
      </c>
    </row>
    <row r="751" spans="1:8" ht="33">
      <c r="A751" s="160">
        <v>6</v>
      </c>
      <c r="B751" s="160" t="s">
        <v>1267</v>
      </c>
      <c r="C751" s="157" t="s">
        <v>14</v>
      </c>
      <c r="D751" s="159">
        <v>1</v>
      </c>
      <c r="E751" s="159">
        <v>34.25</v>
      </c>
      <c r="F751" s="159">
        <v>34.25</v>
      </c>
      <c r="G751" s="160" t="s">
        <v>2</v>
      </c>
      <c r="H751" s="34" t="s">
        <v>925</v>
      </c>
    </row>
    <row r="752" spans="1:8" ht="33">
      <c r="A752" s="160">
        <v>7</v>
      </c>
      <c r="B752" s="160" t="s">
        <v>931</v>
      </c>
      <c r="C752" s="157" t="s">
        <v>14</v>
      </c>
      <c r="D752" s="159">
        <v>1</v>
      </c>
      <c r="E752" s="159">
        <v>99.92</v>
      </c>
      <c r="F752" s="159">
        <v>99.92</v>
      </c>
      <c r="G752" s="160" t="s">
        <v>2</v>
      </c>
      <c r="H752" s="34" t="s">
        <v>925</v>
      </c>
    </row>
    <row r="753" spans="1:8" ht="33">
      <c r="A753" s="160"/>
      <c r="B753" s="160" t="s">
        <v>933</v>
      </c>
      <c r="C753" s="157" t="s">
        <v>0</v>
      </c>
      <c r="D753" s="159">
        <v>1</v>
      </c>
      <c r="E753" s="159"/>
      <c r="F753" s="159">
        <v>3430.4600000000005</v>
      </c>
      <c r="G753" s="160"/>
      <c r="H753" s="34" t="s">
        <v>925</v>
      </c>
    </row>
    <row r="754" spans="1:8" ht="33">
      <c r="A754" s="160"/>
      <c r="B754" s="160" t="s">
        <v>934</v>
      </c>
      <c r="C754" s="157" t="s">
        <v>0</v>
      </c>
      <c r="D754" s="159"/>
      <c r="E754" s="159"/>
      <c r="F754" s="159">
        <v>3430.46</v>
      </c>
      <c r="G754" s="160"/>
      <c r="H754" s="34" t="s">
        <v>925</v>
      </c>
    </row>
    <row r="755" spans="1:8" ht="16.5">
      <c r="A755" s="160"/>
      <c r="B755" s="160"/>
      <c r="C755" s="157"/>
      <c r="D755" s="159"/>
      <c r="E755" s="159"/>
      <c r="F755" s="159"/>
      <c r="G755" s="160"/>
    </row>
    <row r="756" spans="1:8" ht="42.75">
      <c r="A756" s="160" t="s">
        <v>1368</v>
      </c>
      <c r="B756" s="160" t="s">
        <v>16</v>
      </c>
      <c r="C756" s="157" t="s">
        <v>0</v>
      </c>
      <c r="D756" s="159">
        <v>1</v>
      </c>
      <c r="E756" s="159">
        <v>3574.67</v>
      </c>
      <c r="F756" s="159"/>
      <c r="G756" s="160" t="s">
        <v>4368</v>
      </c>
      <c r="H756" s="34" t="s">
        <v>925</v>
      </c>
    </row>
    <row r="757" spans="1:8" ht="42.75">
      <c r="A757" s="160">
        <v>1</v>
      </c>
      <c r="B757" s="160" t="s">
        <v>1285</v>
      </c>
      <c r="C757" s="157" t="s">
        <v>0</v>
      </c>
      <c r="D757" s="159">
        <v>1</v>
      </c>
      <c r="E757" s="159">
        <v>3100.77</v>
      </c>
      <c r="F757" s="159">
        <v>3100.77</v>
      </c>
      <c r="G757" s="160" t="s">
        <v>4368</v>
      </c>
      <c r="H757" s="34" t="s">
        <v>925</v>
      </c>
    </row>
    <row r="758" spans="1:8" ht="33">
      <c r="A758" s="160">
        <v>2</v>
      </c>
      <c r="B758" s="160" t="s">
        <v>4909</v>
      </c>
      <c r="C758" s="157" t="s">
        <v>927</v>
      </c>
      <c r="D758" s="159">
        <v>0.32</v>
      </c>
      <c r="E758" s="159">
        <v>379.5</v>
      </c>
      <c r="F758" s="159">
        <v>121.44</v>
      </c>
      <c r="G758" s="160" t="s">
        <v>2</v>
      </c>
      <c r="H758" s="34" t="s">
        <v>925</v>
      </c>
    </row>
    <row r="759" spans="1:8" ht="33">
      <c r="A759" s="160">
        <v>3</v>
      </c>
      <c r="B759" s="160" t="s">
        <v>4871</v>
      </c>
      <c r="C759" s="157" t="s">
        <v>927</v>
      </c>
      <c r="D759" s="159">
        <v>0.72</v>
      </c>
      <c r="E759" s="159">
        <v>260.08999999999997</v>
      </c>
      <c r="F759" s="159">
        <v>187.26</v>
      </c>
      <c r="G759" s="160" t="s">
        <v>2</v>
      </c>
      <c r="H759" s="34" t="s">
        <v>925</v>
      </c>
    </row>
    <row r="760" spans="1:8" ht="33">
      <c r="A760" s="160">
        <v>4</v>
      </c>
      <c r="B760" s="160" t="s">
        <v>1263</v>
      </c>
      <c r="C760" s="157" t="s">
        <v>14</v>
      </c>
      <c r="D760" s="159">
        <v>1</v>
      </c>
      <c r="E760" s="159">
        <v>12.03</v>
      </c>
      <c r="F760" s="159">
        <v>12.03</v>
      </c>
      <c r="G760" s="160" t="s">
        <v>2</v>
      </c>
      <c r="H760" s="34" t="s">
        <v>925</v>
      </c>
    </row>
    <row r="761" spans="1:8" ht="33">
      <c r="A761" s="160">
        <v>5</v>
      </c>
      <c r="B761" s="160" t="s">
        <v>1265</v>
      </c>
      <c r="C761" s="157" t="s">
        <v>14</v>
      </c>
      <c r="D761" s="159">
        <v>1</v>
      </c>
      <c r="E761" s="159">
        <v>12.03</v>
      </c>
      <c r="F761" s="159">
        <v>12.03</v>
      </c>
      <c r="G761" s="160" t="s">
        <v>2</v>
      </c>
      <c r="H761" s="34" t="s">
        <v>925</v>
      </c>
    </row>
    <row r="762" spans="1:8" ht="33">
      <c r="A762" s="160">
        <v>6</v>
      </c>
      <c r="B762" s="160" t="s">
        <v>1267</v>
      </c>
      <c r="C762" s="157" t="s">
        <v>14</v>
      </c>
      <c r="D762" s="159">
        <v>1</v>
      </c>
      <c r="E762" s="159">
        <v>37.020000000000003</v>
      </c>
      <c r="F762" s="159">
        <v>37.020000000000003</v>
      </c>
      <c r="G762" s="160" t="s">
        <v>2</v>
      </c>
      <c r="H762" s="34" t="s">
        <v>925</v>
      </c>
    </row>
    <row r="763" spans="1:8" ht="33">
      <c r="A763" s="160">
        <v>7</v>
      </c>
      <c r="B763" s="160" t="s">
        <v>931</v>
      </c>
      <c r="C763" s="157" t="s">
        <v>14</v>
      </c>
      <c r="D763" s="159">
        <v>1</v>
      </c>
      <c r="E763" s="159">
        <v>104.12</v>
      </c>
      <c r="F763" s="159">
        <v>104.12</v>
      </c>
      <c r="G763" s="160" t="s">
        <v>2</v>
      </c>
      <c r="H763" s="34" t="s">
        <v>925</v>
      </c>
    </row>
    <row r="764" spans="1:8" ht="33">
      <c r="A764" s="160"/>
      <c r="B764" s="160" t="s">
        <v>933</v>
      </c>
      <c r="C764" s="157" t="s">
        <v>0</v>
      </c>
      <c r="D764" s="159">
        <v>1</v>
      </c>
      <c r="E764" s="159"/>
      <c r="F764" s="159">
        <v>3574.6700000000005</v>
      </c>
      <c r="G764" s="160"/>
      <c r="H764" s="34" t="s">
        <v>925</v>
      </c>
    </row>
    <row r="765" spans="1:8" ht="33">
      <c r="A765" s="160"/>
      <c r="B765" s="160" t="s">
        <v>934</v>
      </c>
      <c r="C765" s="157" t="s">
        <v>0</v>
      </c>
      <c r="D765" s="159"/>
      <c r="E765" s="159"/>
      <c r="F765" s="159">
        <v>3574.67</v>
      </c>
      <c r="G765" s="160"/>
      <c r="H765" s="34" t="s">
        <v>925</v>
      </c>
    </row>
    <row r="766" spans="1:8" ht="33">
      <c r="A766" s="160"/>
      <c r="B766" s="160"/>
      <c r="C766" s="157"/>
      <c r="D766" s="159"/>
      <c r="E766" s="159"/>
      <c r="F766" s="159"/>
      <c r="G766" s="160"/>
      <c r="H766" s="34" t="s">
        <v>925</v>
      </c>
    </row>
    <row r="767" spans="1:8" ht="42.75">
      <c r="A767" s="160" t="s">
        <v>1371</v>
      </c>
      <c r="B767" s="160" t="s">
        <v>4509</v>
      </c>
      <c r="C767" s="157" t="s">
        <v>0</v>
      </c>
      <c r="D767" s="159">
        <v>1</v>
      </c>
      <c r="E767" s="159">
        <v>3990.67</v>
      </c>
      <c r="F767" s="159"/>
      <c r="G767" s="160" t="s">
        <v>4368</v>
      </c>
      <c r="H767" s="34" t="s">
        <v>925</v>
      </c>
    </row>
    <row r="768" spans="1:8" ht="42.75">
      <c r="A768" s="160">
        <v>1</v>
      </c>
      <c r="B768" s="160" t="s">
        <v>1285</v>
      </c>
      <c r="C768" s="157" t="s">
        <v>0</v>
      </c>
      <c r="D768" s="159">
        <v>1</v>
      </c>
      <c r="E768" s="159">
        <v>3100.77</v>
      </c>
      <c r="F768" s="159">
        <v>3100.77</v>
      </c>
      <c r="G768" s="160" t="s">
        <v>4368</v>
      </c>
    </row>
    <row r="769" spans="1:8" ht="33">
      <c r="A769" s="160">
        <v>2</v>
      </c>
      <c r="B769" s="160" t="s">
        <v>4912</v>
      </c>
      <c r="C769" s="157" t="s">
        <v>927</v>
      </c>
      <c r="D769" s="159">
        <v>0.37</v>
      </c>
      <c r="E769" s="159">
        <v>758.99</v>
      </c>
      <c r="F769" s="159">
        <v>280.83</v>
      </c>
      <c r="G769" s="160" t="s">
        <v>2</v>
      </c>
      <c r="H769" s="34" t="s">
        <v>925</v>
      </c>
    </row>
    <row r="770" spans="1:8" ht="33">
      <c r="A770" s="160">
        <v>3</v>
      </c>
      <c r="B770" s="160" t="s">
        <v>4874</v>
      </c>
      <c r="C770" s="157" t="s">
        <v>927</v>
      </c>
      <c r="D770" s="159">
        <v>0.83</v>
      </c>
      <c r="E770" s="159">
        <v>520.19000000000005</v>
      </c>
      <c r="F770" s="159">
        <v>431.76</v>
      </c>
      <c r="G770" s="160" t="s">
        <v>5436</v>
      </c>
      <c r="H770" s="34" t="s">
        <v>925</v>
      </c>
    </row>
    <row r="771" spans="1:8" ht="33">
      <c r="A771" s="160">
        <v>4</v>
      </c>
      <c r="B771" s="160" t="s">
        <v>1263</v>
      </c>
      <c r="C771" s="157" t="s">
        <v>14</v>
      </c>
      <c r="D771" s="159">
        <v>1</v>
      </c>
      <c r="E771" s="159">
        <v>12.03</v>
      </c>
      <c r="F771" s="159">
        <v>12.03</v>
      </c>
      <c r="G771" s="160" t="s">
        <v>2</v>
      </c>
      <c r="H771" s="34" t="s">
        <v>925</v>
      </c>
    </row>
    <row r="772" spans="1:8" ht="33">
      <c r="A772" s="160">
        <v>5</v>
      </c>
      <c r="B772" s="160" t="s">
        <v>1265</v>
      </c>
      <c r="C772" s="157" t="s">
        <v>14</v>
      </c>
      <c r="D772" s="159">
        <v>1</v>
      </c>
      <c r="E772" s="159">
        <v>12.03</v>
      </c>
      <c r="F772" s="159">
        <v>12.03</v>
      </c>
      <c r="G772" s="160" t="s">
        <v>2</v>
      </c>
      <c r="H772" s="34" t="s">
        <v>925</v>
      </c>
    </row>
    <row r="773" spans="1:8" ht="33">
      <c r="A773" s="160">
        <v>6</v>
      </c>
      <c r="B773" s="160" t="s">
        <v>1267</v>
      </c>
      <c r="C773" s="157" t="s">
        <v>14</v>
      </c>
      <c r="D773" s="159">
        <v>1</v>
      </c>
      <c r="E773" s="159">
        <v>37.020000000000003</v>
      </c>
      <c r="F773" s="159">
        <v>37.020000000000003</v>
      </c>
      <c r="G773" s="160" t="s">
        <v>2</v>
      </c>
      <c r="H773" s="34" t="s">
        <v>925</v>
      </c>
    </row>
    <row r="774" spans="1:8" ht="33">
      <c r="A774" s="160">
        <v>7</v>
      </c>
      <c r="B774" s="160" t="s">
        <v>931</v>
      </c>
      <c r="C774" s="157" t="s">
        <v>14</v>
      </c>
      <c r="D774" s="159">
        <v>1</v>
      </c>
      <c r="E774" s="159">
        <v>116.23</v>
      </c>
      <c r="F774" s="159">
        <v>116.23</v>
      </c>
      <c r="G774" s="160" t="s">
        <v>2</v>
      </c>
      <c r="H774" s="34" t="s">
        <v>925</v>
      </c>
    </row>
    <row r="775" spans="1:8" ht="33">
      <c r="A775" s="160"/>
      <c r="B775" s="160" t="s">
        <v>933</v>
      </c>
      <c r="C775" s="157" t="s">
        <v>0</v>
      </c>
      <c r="D775" s="159">
        <v>1</v>
      </c>
      <c r="E775" s="159"/>
      <c r="F775" s="159">
        <v>3990.67</v>
      </c>
      <c r="G775" s="160"/>
      <c r="H775" s="34" t="s">
        <v>925</v>
      </c>
    </row>
    <row r="776" spans="1:8" ht="33">
      <c r="A776" s="160"/>
      <c r="B776" s="160" t="s">
        <v>934</v>
      </c>
      <c r="C776" s="157" t="s">
        <v>0</v>
      </c>
      <c r="D776" s="159"/>
      <c r="E776" s="159"/>
      <c r="F776" s="159">
        <v>3990.67</v>
      </c>
      <c r="G776" s="160"/>
      <c r="H776" s="34" t="s">
        <v>925</v>
      </c>
    </row>
    <row r="777" spans="1:8" ht="33">
      <c r="A777" s="160"/>
      <c r="B777" s="160"/>
      <c r="C777" s="157"/>
      <c r="D777" s="159"/>
      <c r="E777" s="159"/>
      <c r="F777" s="159"/>
      <c r="G777" s="160"/>
      <c r="H777" s="34" t="s">
        <v>925</v>
      </c>
    </row>
    <row r="778" spans="1:8" ht="33">
      <c r="A778" s="160" t="s">
        <v>1374</v>
      </c>
      <c r="B778" s="160" t="s">
        <v>1287</v>
      </c>
      <c r="C778" s="157" t="s">
        <v>0</v>
      </c>
      <c r="D778" s="159">
        <v>1</v>
      </c>
      <c r="E778" s="159">
        <v>3824.73</v>
      </c>
      <c r="F778" s="159"/>
      <c r="G778" s="160" t="s">
        <v>2</v>
      </c>
      <c r="H778" s="34" t="s">
        <v>925</v>
      </c>
    </row>
    <row r="779" spans="1:8" ht="33">
      <c r="A779" s="160">
        <v>1</v>
      </c>
      <c r="B779" s="160" t="s">
        <v>1289</v>
      </c>
      <c r="C779" s="157" t="s">
        <v>0</v>
      </c>
      <c r="D779" s="159">
        <v>1</v>
      </c>
      <c r="E779" s="159">
        <v>3285.89</v>
      </c>
      <c r="F779" s="159">
        <v>3285.89</v>
      </c>
      <c r="G779" s="160" t="s">
        <v>2</v>
      </c>
      <c r="H779" s="34" t="s">
        <v>925</v>
      </c>
    </row>
    <row r="780" spans="1:8" ht="16.5">
      <c r="A780" s="160">
        <v>2</v>
      </c>
      <c r="B780" s="160" t="s">
        <v>4909</v>
      </c>
      <c r="C780" s="157" t="s">
        <v>927</v>
      </c>
      <c r="D780" s="159">
        <v>0.4</v>
      </c>
      <c r="E780" s="159">
        <v>379.5</v>
      </c>
      <c r="F780" s="159">
        <v>151.80000000000001</v>
      </c>
      <c r="G780" s="160" t="s">
        <v>2</v>
      </c>
    </row>
    <row r="781" spans="1:8" ht="33">
      <c r="A781" s="160">
        <v>3</v>
      </c>
      <c r="B781" s="160" t="s">
        <v>4871</v>
      </c>
      <c r="C781" s="157" t="s">
        <v>927</v>
      </c>
      <c r="D781" s="159">
        <v>0.8</v>
      </c>
      <c r="E781" s="159">
        <v>260.08999999999997</v>
      </c>
      <c r="F781" s="159">
        <v>208.07</v>
      </c>
      <c r="G781" s="160" t="s">
        <v>2</v>
      </c>
      <c r="H781" s="34" t="s">
        <v>925</v>
      </c>
    </row>
    <row r="782" spans="1:8" ht="33">
      <c r="A782" s="160">
        <v>4</v>
      </c>
      <c r="B782" s="160" t="s">
        <v>1263</v>
      </c>
      <c r="C782" s="157" t="s">
        <v>14</v>
      </c>
      <c r="D782" s="159">
        <v>1</v>
      </c>
      <c r="E782" s="159">
        <v>12.03</v>
      </c>
      <c r="F782" s="159">
        <v>12.03</v>
      </c>
      <c r="G782" s="160" t="s">
        <v>2</v>
      </c>
      <c r="H782" s="34" t="s">
        <v>925</v>
      </c>
    </row>
    <row r="783" spans="1:8" ht="33">
      <c r="A783" s="160">
        <v>5</v>
      </c>
      <c r="B783" s="160" t="s">
        <v>1265</v>
      </c>
      <c r="C783" s="157" t="s">
        <v>14</v>
      </c>
      <c r="D783" s="159">
        <v>1</v>
      </c>
      <c r="E783" s="159">
        <v>9.26</v>
      </c>
      <c r="F783" s="159">
        <v>9.26</v>
      </c>
      <c r="G783" s="160" t="s">
        <v>2</v>
      </c>
      <c r="H783" s="34" t="s">
        <v>925</v>
      </c>
    </row>
    <row r="784" spans="1:8" ht="33">
      <c r="A784" s="160">
        <v>6</v>
      </c>
      <c r="B784" s="160" t="s">
        <v>1267</v>
      </c>
      <c r="C784" s="157" t="s">
        <v>14</v>
      </c>
      <c r="D784" s="159">
        <v>1</v>
      </c>
      <c r="E784" s="159">
        <v>46.28</v>
      </c>
      <c r="F784" s="159">
        <v>46.28</v>
      </c>
      <c r="G784" s="160" t="s">
        <v>2</v>
      </c>
      <c r="H784" s="34" t="s">
        <v>925</v>
      </c>
    </row>
    <row r="785" spans="1:8" ht="33">
      <c r="A785" s="160">
        <v>7</v>
      </c>
      <c r="B785" s="160" t="s">
        <v>931</v>
      </c>
      <c r="C785" s="157" t="s">
        <v>14</v>
      </c>
      <c r="D785" s="159">
        <v>1</v>
      </c>
      <c r="E785" s="159">
        <v>111.4</v>
      </c>
      <c r="F785" s="159">
        <v>111.4</v>
      </c>
      <c r="G785" s="160" t="s">
        <v>2</v>
      </c>
      <c r="H785" s="34" t="s">
        <v>925</v>
      </c>
    </row>
    <row r="786" spans="1:8" ht="33">
      <c r="A786" s="160"/>
      <c r="B786" s="160" t="s">
        <v>933</v>
      </c>
      <c r="C786" s="157" t="s">
        <v>0</v>
      </c>
      <c r="D786" s="159">
        <v>1</v>
      </c>
      <c r="E786" s="159"/>
      <c r="F786" s="159">
        <v>3824.7300000000009</v>
      </c>
      <c r="G786" s="160"/>
      <c r="H786" s="34" t="s">
        <v>925</v>
      </c>
    </row>
    <row r="787" spans="1:8" ht="33">
      <c r="A787" s="160"/>
      <c r="B787" s="160" t="s">
        <v>934</v>
      </c>
      <c r="C787" s="157" t="s">
        <v>0</v>
      </c>
      <c r="D787" s="159"/>
      <c r="E787" s="159"/>
      <c r="F787" s="159">
        <v>3824.73</v>
      </c>
      <c r="G787" s="160"/>
      <c r="H787" s="34" t="s">
        <v>925</v>
      </c>
    </row>
    <row r="788" spans="1:8" ht="33">
      <c r="A788" s="160"/>
      <c r="B788" s="160"/>
      <c r="C788" s="157"/>
      <c r="D788" s="159"/>
      <c r="E788" s="159"/>
      <c r="F788" s="159"/>
      <c r="G788" s="160"/>
      <c r="H788" s="34" t="s">
        <v>925</v>
      </c>
    </row>
    <row r="789" spans="1:8" ht="42.75">
      <c r="A789" s="160" t="s">
        <v>1377</v>
      </c>
      <c r="B789" s="160" t="s">
        <v>1292</v>
      </c>
      <c r="C789" s="157" t="s">
        <v>0</v>
      </c>
      <c r="D789" s="159">
        <v>1</v>
      </c>
      <c r="E789" s="159">
        <v>4068.69</v>
      </c>
      <c r="F789" s="159"/>
      <c r="G789" s="160" t="s">
        <v>4369</v>
      </c>
      <c r="H789" s="34" t="s">
        <v>925</v>
      </c>
    </row>
    <row r="790" spans="1:8" ht="33">
      <c r="A790" s="160">
        <v>1</v>
      </c>
      <c r="B790" s="160" t="s">
        <v>1294</v>
      </c>
      <c r="C790" s="157" t="s">
        <v>1295</v>
      </c>
      <c r="D790" s="159">
        <v>4.5</v>
      </c>
      <c r="E790" s="159">
        <v>154.58000000000001</v>
      </c>
      <c r="F790" s="159">
        <v>695.61</v>
      </c>
      <c r="G790" s="160" t="s">
        <v>2</v>
      </c>
      <c r="H790" s="34" t="s">
        <v>925</v>
      </c>
    </row>
    <row r="791" spans="1:8" ht="33">
      <c r="A791" s="160">
        <v>2</v>
      </c>
      <c r="B791" s="160" t="s">
        <v>1297</v>
      </c>
      <c r="C791" s="157" t="s">
        <v>1121</v>
      </c>
      <c r="D791" s="159">
        <v>0.75</v>
      </c>
      <c r="E791" s="159">
        <v>661.81</v>
      </c>
      <c r="F791" s="159">
        <v>496.36</v>
      </c>
      <c r="G791" s="160" t="s">
        <v>2</v>
      </c>
      <c r="H791" s="34" t="s">
        <v>925</v>
      </c>
    </row>
    <row r="792" spans="1:8" ht="16.5">
      <c r="A792" s="160">
        <v>3</v>
      </c>
      <c r="B792" s="160" t="s">
        <v>1299</v>
      </c>
      <c r="C792" s="157" t="s">
        <v>1121</v>
      </c>
      <c r="D792" s="159">
        <v>0.53</v>
      </c>
      <c r="E792" s="159">
        <v>673.84</v>
      </c>
      <c r="F792" s="159">
        <v>357.14</v>
      </c>
      <c r="G792" s="160" t="s">
        <v>2</v>
      </c>
    </row>
    <row r="793" spans="1:8" ht="33">
      <c r="A793" s="160">
        <v>4</v>
      </c>
      <c r="B793" s="160" t="s">
        <v>1301</v>
      </c>
      <c r="C793" s="157" t="s">
        <v>927</v>
      </c>
      <c r="D793" s="159">
        <v>0.24</v>
      </c>
      <c r="E793" s="159">
        <v>371.17</v>
      </c>
      <c r="F793" s="159">
        <v>89.08</v>
      </c>
      <c r="G793" s="160" t="s">
        <v>2</v>
      </c>
      <c r="H793" s="34" t="s">
        <v>925</v>
      </c>
    </row>
    <row r="794" spans="1:8" ht="33">
      <c r="A794" s="160">
        <v>5</v>
      </c>
      <c r="B794" s="160" t="s">
        <v>1261</v>
      </c>
      <c r="C794" s="157" t="s">
        <v>927</v>
      </c>
      <c r="D794" s="159">
        <v>0.24</v>
      </c>
      <c r="E794" s="159">
        <v>371.17</v>
      </c>
      <c r="F794" s="159">
        <v>89.08</v>
      </c>
      <c r="G794" s="160" t="s">
        <v>2</v>
      </c>
      <c r="H794" s="34" t="s">
        <v>925</v>
      </c>
    </row>
    <row r="795" spans="1:8" ht="33">
      <c r="A795" s="160">
        <v>6</v>
      </c>
      <c r="B795" s="160" t="s">
        <v>4871</v>
      </c>
      <c r="C795" s="157" t="s">
        <v>927</v>
      </c>
      <c r="D795" s="159">
        <v>3.6</v>
      </c>
      <c r="E795" s="159">
        <v>260.08999999999997</v>
      </c>
      <c r="F795" s="159">
        <v>936.32</v>
      </c>
      <c r="G795" s="160" t="s">
        <v>5435</v>
      </c>
      <c r="H795" s="34" t="s">
        <v>925</v>
      </c>
    </row>
    <row r="796" spans="1:8" ht="33">
      <c r="A796" s="160">
        <v>7</v>
      </c>
      <c r="B796" s="160" t="s">
        <v>1265</v>
      </c>
      <c r="C796" s="157" t="s">
        <v>14</v>
      </c>
      <c r="D796" s="159">
        <v>1</v>
      </c>
      <c r="E796" s="159">
        <v>9.26</v>
      </c>
      <c r="F796" s="159">
        <v>9.26</v>
      </c>
      <c r="G796" s="160" t="s">
        <v>2</v>
      </c>
      <c r="H796" s="34" t="s">
        <v>925</v>
      </c>
    </row>
    <row r="797" spans="1:8" ht="33">
      <c r="A797" s="160">
        <v>8</v>
      </c>
      <c r="B797" s="160" t="s">
        <v>1303</v>
      </c>
      <c r="C797" s="157" t="s">
        <v>14</v>
      </c>
      <c r="D797" s="159">
        <v>1</v>
      </c>
      <c r="E797" s="159">
        <v>1277.33</v>
      </c>
      <c r="F797" s="159">
        <v>1277.33</v>
      </c>
      <c r="G797" s="160" t="s">
        <v>2</v>
      </c>
      <c r="H797" s="34" t="s">
        <v>925</v>
      </c>
    </row>
    <row r="798" spans="1:8" ht="33">
      <c r="A798" s="160">
        <v>9</v>
      </c>
      <c r="B798" s="160" t="s">
        <v>931</v>
      </c>
      <c r="C798" s="157" t="s">
        <v>14</v>
      </c>
      <c r="D798" s="159">
        <v>1</v>
      </c>
      <c r="E798" s="159">
        <v>118.51</v>
      </c>
      <c r="F798" s="159">
        <v>118.51</v>
      </c>
      <c r="G798" s="160" t="s">
        <v>2</v>
      </c>
      <c r="H798" s="34" t="s">
        <v>925</v>
      </c>
    </row>
    <row r="799" spans="1:8" ht="33">
      <c r="A799" s="160"/>
      <c r="B799" s="160" t="s">
        <v>933</v>
      </c>
      <c r="C799" s="157" t="s">
        <v>0</v>
      </c>
      <c r="D799" s="159">
        <v>1</v>
      </c>
      <c r="E799" s="159"/>
      <c r="F799" s="159">
        <v>4068.6900000000005</v>
      </c>
      <c r="G799" s="160"/>
      <c r="H799" s="34" t="s">
        <v>925</v>
      </c>
    </row>
    <row r="800" spans="1:8" ht="33">
      <c r="A800" s="160"/>
      <c r="B800" s="160" t="s">
        <v>934</v>
      </c>
      <c r="C800" s="157" t="s">
        <v>0</v>
      </c>
      <c r="D800" s="159"/>
      <c r="E800" s="159"/>
      <c r="F800" s="159">
        <v>4068.69</v>
      </c>
      <c r="G800" s="160"/>
      <c r="H800" s="34" t="s">
        <v>925</v>
      </c>
    </row>
    <row r="801" spans="1:8" ht="16.5">
      <c r="A801" s="160"/>
      <c r="B801" s="160"/>
      <c r="C801" s="157"/>
      <c r="D801" s="159"/>
      <c r="E801" s="159"/>
      <c r="F801" s="159"/>
      <c r="G801" s="160"/>
    </row>
    <row r="802" spans="1:8" ht="42.75">
      <c r="A802" s="160" t="s">
        <v>1380</v>
      </c>
      <c r="B802" s="160" t="s">
        <v>1306</v>
      </c>
      <c r="C802" s="157" t="s">
        <v>0</v>
      </c>
      <c r="D802" s="159">
        <v>1</v>
      </c>
      <c r="E802" s="159">
        <v>4214.1400000000003</v>
      </c>
      <c r="F802" s="159"/>
      <c r="G802" s="160" t="s">
        <v>4369</v>
      </c>
      <c r="H802" s="34" t="s">
        <v>925</v>
      </c>
    </row>
    <row r="803" spans="1:8" ht="33">
      <c r="A803" s="160">
        <v>1</v>
      </c>
      <c r="B803" s="160" t="s">
        <v>1294</v>
      </c>
      <c r="C803" s="157" t="s">
        <v>1295</v>
      </c>
      <c r="D803" s="159">
        <v>5.5</v>
      </c>
      <c r="E803" s="159">
        <v>154.58000000000001</v>
      </c>
      <c r="F803" s="159">
        <v>850.19</v>
      </c>
      <c r="G803" s="160" t="s">
        <v>2</v>
      </c>
      <c r="H803" s="34" t="s">
        <v>925</v>
      </c>
    </row>
    <row r="804" spans="1:8" ht="33">
      <c r="A804" s="160">
        <v>2</v>
      </c>
      <c r="B804" s="160" t="s">
        <v>1297</v>
      </c>
      <c r="C804" s="157" t="s">
        <v>1121</v>
      </c>
      <c r="D804" s="159">
        <v>0.74</v>
      </c>
      <c r="E804" s="159">
        <v>661.81</v>
      </c>
      <c r="F804" s="159">
        <v>489.74</v>
      </c>
      <c r="G804" s="160" t="s">
        <v>2</v>
      </c>
      <c r="H804" s="34" t="s">
        <v>925</v>
      </c>
    </row>
    <row r="805" spans="1:8" ht="33">
      <c r="A805" s="160">
        <v>3</v>
      </c>
      <c r="B805" s="160" t="s">
        <v>1299</v>
      </c>
      <c r="C805" s="157" t="s">
        <v>1121</v>
      </c>
      <c r="D805" s="159">
        <v>0.52</v>
      </c>
      <c r="E805" s="159">
        <v>673.84</v>
      </c>
      <c r="F805" s="159">
        <v>350.4</v>
      </c>
      <c r="G805" s="160" t="s">
        <v>2</v>
      </c>
      <c r="H805" s="34" t="s">
        <v>925</v>
      </c>
    </row>
    <row r="806" spans="1:8" ht="33">
      <c r="A806" s="160">
        <v>4</v>
      </c>
      <c r="B806" s="160" t="s">
        <v>1301</v>
      </c>
      <c r="C806" s="157" t="s">
        <v>927</v>
      </c>
      <c r="D806" s="159">
        <v>0.24</v>
      </c>
      <c r="E806" s="159">
        <v>371.17</v>
      </c>
      <c r="F806" s="159">
        <v>89.08</v>
      </c>
      <c r="G806" s="160" t="s">
        <v>2</v>
      </c>
      <c r="H806" s="34" t="s">
        <v>925</v>
      </c>
    </row>
    <row r="807" spans="1:8" ht="33">
      <c r="A807" s="160">
        <v>5</v>
      </c>
      <c r="B807" s="160" t="s">
        <v>1261</v>
      </c>
      <c r="C807" s="157" t="s">
        <v>927</v>
      </c>
      <c r="D807" s="159">
        <v>0.24</v>
      </c>
      <c r="E807" s="159">
        <v>371.17</v>
      </c>
      <c r="F807" s="159">
        <v>89.08</v>
      </c>
      <c r="G807" s="160" t="s">
        <v>2</v>
      </c>
      <c r="H807" s="34" t="s">
        <v>925</v>
      </c>
    </row>
    <row r="808" spans="1:8" ht="33">
      <c r="A808" s="160">
        <v>6</v>
      </c>
      <c r="B808" s="160" t="s">
        <v>4871</v>
      </c>
      <c r="C808" s="157" t="s">
        <v>927</v>
      </c>
      <c r="D808" s="159">
        <v>3.6</v>
      </c>
      <c r="E808" s="159">
        <v>260.08999999999997</v>
      </c>
      <c r="F808" s="159">
        <v>936.32</v>
      </c>
      <c r="G808" s="160" t="s">
        <v>5435</v>
      </c>
      <c r="H808" s="34" t="s">
        <v>925</v>
      </c>
    </row>
    <row r="809" spans="1:8" ht="33">
      <c r="A809" s="160">
        <v>7</v>
      </c>
      <c r="B809" s="160" t="s">
        <v>1265</v>
      </c>
      <c r="C809" s="157" t="s">
        <v>14</v>
      </c>
      <c r="D809" s="159">
        <v>1</v>
      </c>
      <c r="E809" s="159">
        <v>9.26</v>
      </c>
      <c r="F809" s="159">
        <v>9.26</v>
      </c>
      <c r="G809" s="160" t="s">
        <v>2</v>
      </c>
      <c r="H809" s="34" t="s">
        <v>925</v>
      </c>
    </row>
    <row r="810" spans="1:8" ht="28.5">
      <c r="A810" s="160">
        <v>8</v>
      </c>
      <c r="B810" s="160" t="s">
        <v>1303</v>
      </c>
      <c r="C810" s="157" t="s">
        <v>14</v>
      </c>
      <c r="D810" s="159">
        <v>1</v>
      </c>
      <c r="E810" s="159">
        <v>1277.33</v>
      </c>
      <c r="F810" s="159">
        <v>1277.33</v>
      </c>
      <c r="G810" s="160" t="s">
        <v>2</v>
      </c>
    </row>
    <row r="811" spans="1:8" ht="33">
      <c r="A811" s="160">
        <v>9</v>
      </c>
      <c r="B811" s="160" t="s">
        <v>931</v>
      </c>
      <c r="C811" s="157" t="s">
        <v>14</v>
      </c>
      <c r="D811" s="159">
        <v>1</v>
      </c>
      <c r="E811" s="159">
        <v>122.74</v>
      </c>
      <c r="F811" s="159">
        <v>122.74</v>
      </c>
      <c r="G811" s="160" t="s">
        <v>2</v>
      </c>
      <c r="H811" s="34" t="s">
        <v>925</v>
      </c>
    </row>
    <row r="812" spans="1:8" ht="33">
      <c r="A812" s="160"/>
      <c r="B812" s="160" t="s">
        <v>933</v>
      </c>
      <c r="C812" s="157" t="s">
        <v>0</v>
      </c>
      <c r="D812" s="159">
        <v>1</v>
      </c>
      <c r="E812" s="159"/>
      <c r="F812" s="159">
        <v>4214.1400000000003</v>
      </c>
      <c r="G812" s="160"/>
      <c r="H812" s="34" t="s">
        <v>925</v>
      </c>
    </row>
    <row r="813" spans="1:8" ht="33">
      <c r="A813" s="160"/>
      <c r="B813" s="160" t="s">
        <v>934</v>
      </c>
      <c r="C813" s="157" t="s">
        <v>0</v>
      </c>
      <c r="D813" s="159"/>
      <c r="E813" s="159"/>
      <c r="F813" s="159">
        <v>4214.1400000000003</v>
      </c>
      <c r="G813" s="160"/>
      <c r="H813" s="34" t="s">
        <v>925</v>
      </c>
    </row>
    <row r="814" spans="1:8" ht="33">
      <c r="A814" s="160"/>
      <c r="B814" s="160"/>
      <c r="C814" s="157"/>
      <c r="D814" s="159"/>
      <c r="E814" s="159"/>
      <c r="F814" s="159"/>
      <c r="G814" s="160"/>
      <c r="H814" s="34" t="s">
        <v>925</v>
      </c>
    </row>
    <row r="815" spans="1:8" ht="42.75">
      <c r="A815" s="160" t="s">
        <v>1383</v>
      </c>
      <c r="B815" s="160" t="s">
        <v>1309</v>
      </c>
      <c r="C815" s="157" t="s">
        <v>0</v>
      </c>
      <c r="D815" s="159">
        <v>1</v>
      </c>
      <c r="E815" s="159">
        <v>4366.54</v>
      </c>
      <c r="F815" s="159"/>
      <c r="G815" s="160" t="s">
        <v>4369</v>
      </c>
      <c r="H815" s="34" t="s">
        <v>925</v>
      </c>
    </row>
    <row r="816" spans="1:8" ht="33">
      <c r="A816" s="160">
        <v>1</v>
      </c>
      <c r="B816" s="160" t="s">
        <v>1294</v>
      </c>
      <c r="C816" s="157" t="s">
        <v>1295</v>
      </c>
      <c r="D816" s="159">
        <v>6.5</v>
      </c>
      <c r="E816" s="159">
        <v>154.58000000000001</v>
      </c>
      <c r="F816" s="159">
        <v>1004.77</v>
      </c>
      <c r="G816" s="160" t="s">
        <v>2</v>
      </c>
      <c r="H816" s="34" t="s">
        <v>925</v>
      </c>
    </row>
    <row r="817" spans="1:8" ht="33">
      <c r="A817" s="160">
        <v>2</v>
      </c>
      <c r="B817" s="160" t="s">
        <v>1297</v>
      </c>
      <c r="C817" s="157" t="s">
        <v>1121</v>
      </c>
      <c r="D817" s="159">
        <v>0.73</v>
      </c>
      <c r="E817" s="159">
        <v>661.81</v>
      </c>
      <c r="F817" s="159">
        <v>483.12</v>
      </c>
      <c r="G817" s="160" t="s">
        <v>2</v>
      </c>
      <c r="H817" s="34" t="s">
        <v>925</v>
      </c>
    </row>
    <row r="818" spans="1:8" ht="33">
      <c r="A818" s="160">
        <v>3</v>
      </c>
      <c r="B818" s="160" t="s">
        <v>1299</v>
      </c>
      <c r="C818" s="157" t="s">
        <v>1121</v>
      </c>
      <c r="D818" s="159">
        <v>0.52</v>
      </c>
      <c r="E818" s="159">
        <v>673.84</v>
      </c>
      <c r="F818" s="159">
        <v>350.4</v>
      </c>
      <c r="G818" s="160" t="s">
        <v>2</v>
      </c>
      <c r="H818" s="34" t="s">
        <v>925</v>
      </c>
    </row>
    <row r="819" spans="1:8" ht="16.5">
      <c r="A819" s="160">
        <v>4</v>
      </c>
      <c r="B819" s="160" t="s">
        <v>1301</v>
      </c>
      <c r="C819" s="157" t="s">
        <v>927</v>
      </c>
      <c r="D819" s="159">
        <v>0.24</v>
      </c>
      <c r="E819" s="159">
        <v>371.17</v>
      </c>
      <c r="F819" s="159">
        <v>89.08</v>
      </c>
      <c r="G819" s="160" t="s">
        <v>2</v>
      </c>
    </row>
    <row r="820" spans="1:8" ht="33">
      <c r="A820" s="160">
        <v>5</v>
      </c>
      <c r="B820" s="160" t="s">
        <v>1261</v>
      </c>
      <c r="C820" s="157" t="s">
        <v>927</v>
      </c>
      <c r="D820" s="159">
        <v>0.24</v>
      </c>
      <c r="E820" s="159">
        <v>371.17</v>
      </c>
      <c r="F820" s="159">
        <v>89.08</v>
      </c>
      <c r="G820" s="160" t="s">
        <v>2</v>
      </c>
      <c r="H820" s="34" t="s">
        <v>925</v>
      </c>
    </row>
    <row r="821" spans="1:8" ht="33">
      <c r="A821" s="160">
        <v>6</v>
      </c>
      <c r="B821" s="160" t="s">
        <v>4871</v>
      </c>
      <c r="C821" s="157" t="s">
        <v>927</v>
      </c>
      <c r="D821" s="159">
        <v>3.6</v>
      </c>
      <c r="E821" s="159">
        <v>260.08999999999997</v>
      </c>
      <c r="F821" s="159">
        <v>936.32</v>
      </c>
      <c r="G821" s="160" t="s">
        <v>5435</v>
      </c>
      <c r="H821" s="34" t="s">
        <v>925</v>
      </c>
    </row>
    <row r="822" spans="1:8" ht="33">
      <c r="A822" s="160">
        <v>7</v>
      </c>
      <c r="B822" s="160" t="s">
        <v>1265</v>
      </c>
      <c r="C822" s="157" t="s">
        <v>14</v>
      </c>
      <c r="D822" s="159">
        <v>1</v>
      </c>
      <c r="E822" s="159">
        <v>9.26</v>
      </c>
      <c r="F822" s="159">
        <v>9.26</v>
      </c>
      <c r="G822" s="160" t="s">
        <v>2</v>
      </c>
      <c r="H822" s="34" t="s">
        <v>925</v>
      </c>
    </row>
    <row r="823" spans="1:8" ht="33">
      <c r="A823" s="160">
        <v>8</v>
      </c>
      <c r="B823" s="160" t="s">
        <v>1303</v>
      </c>
      <c r="C823" s="157" t="s">
        <v>14</v>
      </c>
      <c r="D823" s="159">
        <v>1</v>
      </c>
      <c r="E823" s="159">
        <v>1277.33</v>
      </c>
      <c r="F823" s="159">
        <v>1277.33</v>
      </c>
      <c r="G823" s="160" t="s">
        <v>2</v>
      </c>
      <c r="H823" s="34" t="s">
        <v>925</v>
      </c>
    </row>
    <row r="824" spans="1:8" ht="33">
      <c r="A824" s="160">
        <v>9</v>
      </c>
      <c r="B824" s="160" t="s">
        <v>931</v>
      </c>
      <c r="C824" s="157" t="s">
        <v>14</v>
      </c>
      <c r="D824" s="159">
        <v>1</v>
      </c>
      <c r="E824" s="159">
        <v>127.18</v>
      </c>
      <c r="F824" s="159">
        <v>127.18</v>
      </c>
      <c r="G824" s="160" t="s">
        <v>2</v>
      </c>
      <c r="H824" s="34" t="s">
        <v>925</v>
      </c>
    </row>
    <row r="825" spans="1:8" ht="33">
      <c r="A825" s="160"/>
      <c r="B825" s="160" t="s">
        <v>933</v>
      </c>
      <c r="C825" s="157" t="s">
        <v>0</v>
      </c>
      <c r="D825" s="159">
        <v>1</v>
      </c>
      <c r="E825" s="159"/>
      <c r="F825" s="159">
        <v>4366.5400000000009</v>
      </c>
      <c r="G825" s="160"/>
      <c r="H825" s="34" t="s">
        <v>925</v>
      </c>
    </row>
    <row r="826" spans="1:8" ht="33">
      <c r="A826" s="160"/>
      <c r="B826" s="160" t="s">
        <v>934</v>
      </c>
      <c r="C826" s="157" t="s">
        <v>0</v>
      </c>
      <c r="D826" s="159"/>
      <c r="E826" s="159"/>
      <c r="F826" s="159">
        <v>4366.54</v>
      </c>
      <c r="G826" s="160"/>
      <c r="H826" s="34" t="s">
        <v>925</v>
      </c>
    </row>
    <row r="827" spans="1:8" ht="33">
      <c r="A827" s="160"/>
      <c r="B827" s="160"/>
      <c r="C827" s="157"/>
      <c r="D827" s="159"/>
      <c r="E827" s="159"/>
      <c r="F827" s="159"/>
      <c r="G827" s="160"/>
      <c r="H827" s="34" t="s">
        <v>925</v>
      </c>
    </row>
    <row r="828" spans="1:8" ht="42.75">
      <c r="A828" s="160" t="s">
        <v>1386</v>
      </c>
      <c r="B828" s="160" t="s">
        <v>1312</v>
      </c>
      <c r="C828" s="157" t="s">
        <v>0</v>
      </c>
      <c r="D828" s="159">
        <v>1</v>
      </c>
      <c r="E828" s="159">
        <v>4439.33</v>
      </c>
      <c r="F828" s="159"/>
      <c r="G828" s="160" t="s">
        <v>4369</v>
      </c>
    </row>
    <row r="829" spans="1:8" ht="33">
      <c r="A829" s="160">
        <v>1</v>
      </c>
      <c r="B829" s="160" t="s">
        <v>1294</v>
      </c>
      <c r="C829" s="157" t="s">
        <v>1295</v>
      </c>
      <c r="D829" s="159">
        <v>7</v>
      </c>
      <c r="E829" s="159">
        <v>154.58000000000001</v>
      </c>
      <c r="F829" s="159">
        <v>1082.06</v>
      </c>
      <c r="G829" s="160" t="s">
        <v>2</v>
      </c>
      <c r="H829" s="34" t="s">
        <v>925</v>
      </c>
    </row>
    <row r="830" spans="1:8" ht="33">
      <c r="A830" s="160">
        <v>2</v>
      </c>
      <c r="B830" s="160" t="s">
        <v>1297</v>
      </c>
      <c r="C830" s="157" t="s">
        <v>1121</v>
      </c>
      <c r="D830" s="159">
        <v>0.72</v>
      </c>
      <c r="E830" s="159">
        <v>661.81</v>
      </c>
      <c r="F830" s="159">
        <v>476.5</v>
      </c>
      <c r="G830" s="160" t="s">
        <v>2</v>
      </c>
      <c r="H830" s="34" t="s">
        <v>925</v>
      </c>
    </row>
    <row r="831" spans="1:8" ht="33">
      <c r="A831" s="160">
        <v>3</v>
      </c>
      <c r="B831" s="160" t="s">
        <v>1299</v>
      </c>
      <c r="C831" s="157" t="s">
        <v>1121</v>
      </c>
      <c r="D831" s="159">
        <v>0.52</v>
      </c>
      <c r="E831" s="159">
        <v>673.84</v>
      </c>
      <c r="F831" s="159">
        <v>350.4</v>
      </c>
      <c r="G831" s="160" t="s">
        <v>2</v>
      </c>
      <c r="H831" s="34" t="s">
        <v>925</v>
      </c>
    </row>
    <row r="832" spans="1:8" ht="33">
      <c r="A832" s="160">
        <v>4</v>
      </c>
      <c r="B832" s="160" t="s">
        <v>1301</v>
      </c>
      <c r="C832" s="157" t="s">
        <v>927</v>
      </c>
      <c r="D832" s="159">
        <v>0.24</v>
      </c>
      <c r="E832" s="159">
        <v>371.17</v>
      </c>
      <c r="F832" s="159">
        <v>89.08</v>
      </c>
      <c r="G832" s="160" t="s">
        <v>2</v>
      </c>
      <c r="H832" s="34" t="s">
        <v>925</v>
      </c>
    </row>
    <row r="833" spans="1:8" ht="33">
      <c r="A833" s="160">
        <v>5</v>
      </c>
      <c r="B833" s="160" t="s">
        <v>1261</v>
      </c>
      <c r="C833" s="157" t="s">
        <v>927</v>
      </c>
      <c r="D833" s="159">
        <v>0.24</v>
      </c>
      <c r="E833" s="159">
        <v>371.17</v>
      </c>
      <c r="F833" s="159">
        <v>89.08</v>
      </c>
      <c r="G833" s="160" t="s">
        <v>2</v>
      </c>
      <c r="H833" s="34" t="s">
        <v>925</v>
      </c>
    </row>
    <row r="834" spans="1:8" ht="33">
      <c r="A834" s="160">
        <v>6</v>
      </c>
      <c r="B834" s="160" t="s">
        <v>4871</v>
      </c>
      <c r="C834" s="157" t="s">
        <v>927</v>
      </c>
      <c r="D834" s="159">
        <v>3.6</v>
      </c>
      <c r="E834" s="159">
        <v>260.08999999999997</v>
      </c>
      <c r="F834" s="159">
        <v>936.32</v>
      </c>
      <c r="G834" s="160" t="s">
        <v>5435</v>
      </c>
      <c r="H834" s="34" t="s">
        <v>925</v>
      </c>
    </row>
    <row r="835" spans="1:8" ht="33">
      <c r="A835" s="160">
        <v>7</v>
      </c>
      <c r="B835" s="160" t="s">
        <v>1265</v>
      </c>
      <c r="C835" s="157" t="s">
        <v>14</v>
      </c>
      <c r="D835" s="159">
        <v>1</v>
      </c>
      <c r="E835" s="159">
        <v>9.26</v>
      </c>
      <c r="F835" s="159">
        <v>9.26</v>
      </c>
      <c r="G835" s="160" t="s">
        <v>2</v>
      </c>
      <c r="H835" s="34" t="s">
        <v>925</v>
      </c>
    </row>
    <row r="836" spans="1:8" ht="33">
      <c r="A836" s="160">
        <v>8</v>
      </c>
      <c r="B836" s="160" t="s">
        <v>1303</v>
      </c>
      <c r="C836" s="157" t="s">
        <v>14</v>
      </c>
      <c r="D836" s="159">
        <v>1</v>
      </c>
      <c r="E836" s="159">
        <v>1277.33</v>
      </c>
      <c r="F836" s="159">
        <v>1277.33</v>
      </c>
      <c r="G836" s="160" t="s">
        <v>2</v>
      </c>
      <c r="H836" s="34" t="s">
        <v>925</v>
      </c>
    </row>
    <row r="837" spans="1:8" ht="16.5">
      <c r="A837" s="160">
        <v>9</v>
      </c>
      <c r="B837" s="160" t="s">
        <v>931</v>
      </c>
      <c r="C837" s="157" t="s">
        <v>14</v>
      </c>
      <c r="D837" s="159">
        <v>1</v>
      </c>
      <c r="E837" s="159">
        <v>129.30000000000001</v>
      </c>
      <c r="F837" s="159">
        <v>129.30000000000001</v>
      </c>
      <c r="G837" s="160" t="s">
        <v>2</v>
      </c>
    </row>
    <row r="838" spans="1:8" ht="33">
      <c r="A838" s="160"/>
      <c r="B838" s="160" t="s">
        <v>933</v>
      </c>
      <c r="C838" s="157" t="s">
        <v>0</v>
      </c>
      <c r="D838" s="159">
        <v>1</v>
      </c>
      <c r="E838" s="159"/>
      <c r="F838" s="159">
        <v>4439.3300000000008</v>
      </c>
      <c r="G838" s="160"/>
      <c r="H838" s="34" t="s">
        <v>925</v>
      </c>
    </row>
    <row r="839" spans="1:8" ht="33">
      <c r="A839" s="160"/>
      <c r="B839" s="160" t="s">
        <v>934</v>
      </c>
      <c r="C839" s="157" t="s">
        <v>0</v>
      </c>
      <c r="D839" s="159"/>
      <c r="E839" s="159"/>
      <c r="F839" s="159">
        <v>4439.33</v>
      </c>
      <c r="G839" s="160"/>
      <c r="H839" s="34" t="s">
        <v>925</v>
      </c>
    </row>
    <row r="840" spans="1:8" ht="33">
      <c r="A840" s="160"/>
      <c r="B840" s="160"/>
      <c r="C840" s="157"/>
      <c r="D840" s="159"/>
      <c r="E840" s="159"/>
      <c r="F840" s="159"/>
      <c r="G840" s="160"/>
      <c r="H840" s="34" t="s">
        <v>925</v>
      </c>
    </row>
    <row r="841" spans="1:8" ht="42.75">
      <c r="A841" s="160" t="s">
        <v>1388</v>
      </c>
      <c r="B841" s="160" t="s">
        <v>1315</v>
      </c>
      <c r="C841" s="157" t="s">
        <v>0</v>
      </c>
      <c r="D841" s="159">
        <v>1</v>
      </c>
      <c r="E841" s="159">
        <v>6364.97</v>
      </c>
      <c r="F841" s="159"/>
      <c r="G841" s="160" t="s">
        <v>4369</v>
      </c>
      <c r="H841" s="34" t="s">
        <v>925</v>
      </c>
    </row>
    <row r="842" spans="1:8" ht="33">
      <c r="A842" s="160">
        <v>1</v>
      </c>
      <c r="B842" s="160" t="s">
        <v>1301</v>
      </c>
      <c r="C842" s="157" t="s">
        <v>927</v>
      </c>
      <c r="D842" s="159">
        <v>0.26</v>
      </c>
      <c r="E842" s="159">
        <v>371.17</v>
      </c>
      <c r="F842" s="159">
        <v>96.5</v>
      </c>
      <c r="G842" s="160" t="s">
        <v>2</v>
      </c>
      <c r="H842" s="34" t="s">
        <v>925</v>
      </c>
    </row>
    <row r="843" spans="1:8" ht="33">
      <c r="A843" s="160">
        <v>2</v>
      </c>
      <c r="B843" s="160" t="s">
        <v>1261</v>
      </c>
      <c r="C843" s="157" t="s">
        <v>927</v>
      </c>
      <c r="D843" s="159">
        <v>0.26</v>
      </c>
      <c r="E843" s="159">
        <v>371.17</v>
      </c>
      <c r="F843" s="159">
        <v>96.5</v>
      </c>
      <c r="G843" s="160" t="s">
        <v>2</v>
      </c>
      <c r="H843" s="34" t="s">
        <v>925</v>
      </c>
    </row>
    <row r="844" spans="1:8" ht="33">
      <c r="A844" s="160">
        <v>3</v>
      </c>
      <c r="B844" s="160" t="s">
        <v>4871</v>
      </c>
      <c r="C844" s="157" t="s">
        <v>927</v>
      </c>
      <c r="D844" s="159">
        <v>3.8</v>
      </c>
      <c r="E844" s="159">
        <v>260.08999999999997</v>
      </c>
      <c r="F844" s="159">
        <v>988.34</v>
      </c>
      <c r="G844" s="160" t="s">
        <v>5435</v>
      </c>
      <c r="H844" s="34" t="s">
        <v>925</v>
      </c>
    </row>
    <row r="845" spans="1:8" ht="33">
      <c r="A845" s="160">
        <v>4</v>
      </c>
      <c r="B845" s="160" t="s">
        <v>1265</v>
      </c>
      <c r="C845" s="157" t="s">
        <v>14</v>
      </c>
      <c r="D845" s="159">
        <v>1</v>
      </c>
      <c r="E845" s="159">
        <v>37.020000000000003</v>
      </c>
      <c r="F845" s="159">
        <v>37.020000000000003</v>
      </c>
      <c r="G845" s="160" t="s">
        <v>2</v>
      </c>
      <c r="H845" s="34" t="s">
        <v>925</v>
      </c>
    </row>
    <row r="846" spans="1:8" ht="28.5">
      <c r="A846" s="160">
        <v>5</v>
      </c>
      <c r="B846" s="160" t="s">
        <v>1303</v>
      </c>
      <c r="C846" s="157" t="s">
        <v>14</v>
      </c>
      <c r="D846" s="159">
        <v>1</v>
      </c>
      <c r="E846" s="159">
        <v>1277.33</v>
      </c>
      <c r="F846" s="159">
        <v>1277.33</v>
      </c>
      <c r="G846" s="160" t="s">
        <v>2</v>
      </c>
    </row>
    <row r="847" spans="1:8" ht="33">
      <c r="A847" s="160">
        <v>6</v>
      </c>
      <c r="B847" s="160" t="s">
        <v>1317</v>
      </c>
      <c r="C847" s="157" t="s">
        <v>0</v>
      </c>
      <c r="D847" s="159">
        <v>1</v>
      </c>
      <c r="E847" s="159">
        <v>3683.89</v>
      </c>
      <c r="F847" s="159">
        <v>3683.89</v>
      </c>
      <c r="G847" s="160" t="s">
        <v>2</v>
      </c>
      <c r="H847" s="34" t="s">
        <v>925</v>
      </c>
    </row>
    <row r="848" spans="1:8" ht="33">
      <c r="A848" s="160">
        <v>7</v>
      </c>
      <c r="B848" s="160" t="s">
        <v>931</v>
      </c>
      <c r="C848" s="157" t="s">
        <v>14</v>
      </c>
      <c r="D848" s="159">
        <v>1</v>
      </c>
      <c r="E848" s="159">
        <v>185.39</v>
      </c>
      <c r="F848" s="159">
        <v>185.39</v>
      </c>
      <c r="G848" s="160" t="s">
        <v>2</v>
      </c>
      <c r="H848" s="34" t="s">
        <v>925</v>
      </c>
    </row>
    <row r="849" spans="1:8" ht="33">
      <c r="A849" s="160"/>
      <c r="B849" s="160" t="s">
        <v>933</v>
      </c>
      <c r="C849" s="157" t="s">
        <v>0</v>
      </c>
      <c r="D849" s="159">
        <v>1</v>
      </c>
      <c r="E849" s="159"/>
      <c r="F849" s="159">
        <v>6364.97</v>
      </c>
      <c r="G849" s="160"/>
      <c r="H849" s="34" t="s">
        <v>925</v>
      </c>
    </row>
    <row r="850" spans="1:8" ht="33">
      <c r="A850" s="160"/>
      <c r="B850" s="160" t="s">
        <v>934</v>
      </c>
      <c r="C850" s="157" t="s">
        <v>0</v>
      </c>
      <c r="D850" s="159"/>
      <c r="E850" s="159"/>
      <c r="F850" s="159">
        <v>6364.97</v>
      </c>
      <c r="G850" s="160"/>
      <c r="H850" s="34" t="s">
        <v>925</v>
      </c>
    </row>
    <row r="851" spans="1:8" ht="33">
      <c r="A851" s="160"/>
      <c r="B851" s="160"/>
      <c r="C851" s="157"/>
      <c r="D851" s="159"/>
      <c r="E851" s="159"/>
      <c r="F851" s="159"/>
      <c r="G851" s="160"/>
      <c r="H851" s="34" t="s">
        <v>925</v>
      </c>
    </row>
    <row r="852" spans="1:8" ht="42.75">
      <c r="A852" s="160" t="s">
        <v>1391</v>
      </c>
      <c r="B852" s="160" t="s">
        <v>4517</v>
      </c>
      <c r="C852" s="157" t="s">
        <v>0</v>
      </c>
      <c r="D852" s="159">
        <v>1</v>
      </c>
      <c r="E852" s="159">
        <v>7948.38</v>
      </c>
      <c r="F852" s="159"/>
      <c r="G852" s="160" t="s">
        <v>4369</v>
      </c>
      <c r="H852" s="34" t="s">
        <v>925</v>
      </c>
    </row>
    <row r="853" spans="1:8" ht="33">
      <c r="A853" s="160">
        <v>1</v>
      </c>
      <c r="B853" s="160" t="s">
        <v>4918</v>
      </c>
      <c r="C853" s="157" t="s">
        <v>927</v>
      </c>
      <c r="D853" s="159">
        <v>0.3</v>
      </c>
      <c r="E853" s="159">
        <v>742.33</v>
      </c>
      <c r="F853" s="159">
        <v>222.7</v>
      </c>
      <c r="G853" s="160" t="s">
        <v>2</v>
      </c>
      <c r="H853" s="34" t="s">
        <v>925</v>
      </c>
    </row>
    <row r="854" spans="1:8" ht="33">
      <c r="A854" s="160">
        <v>2</v>
      </c>
      <c r="B854" s="160" t="s">
        <v>4920</v>
      </c>
      <c r="C854" s="157" t="s">
        <v>927</v>
      </c>
      <c r="D854" s="159">
        <v>0.3</v>
      </c>
      <c r="E854" s="159">
        <v>742.33</v>
      </c>
      <c r="F854" s="159">
        <v>222.7</v>
      </c>
      <c r="G854" s="160" t="s">
        <v>2</v>
      </c>
      <c r="H854" s="34" t="s">
        <v>925</v>
      </c>
    </row>
    <row r="855" spans="1:8" ht="33">
      <c r="A855" s="160">
        <v>3</v>
      </c>
      <c r="B855" s="160" t="s">
        <v>4874</v>
      </c>
      <c r="C855" s="157" t="s">
        <v>927</v>
      </c>
      <c r="D855" s="159">
        <v>4.37</v>
      </c>
      <c r="E855" s="159">
        <v>520.19000000000005</v>
      </c>
      <c r="F855" s="159">
        <v>2273.23</v>
      </c>
      <c r="G855" s="160" t="s">
        <v>5436</v>
      </c>
      <c r="H855" s="34" t="s">
        <v>925</v>
      </c>
    </row>
    <row r="856" spans="1:8" ht="33">
      <c r="A856" s="160">
        <v>4</v>
      </c>
      <c r="B856" s="160" t="s">
        <v>1265</v>
      </c>
      <c r="C856" s="157" t="s">
        <v>14</v>
      </c>
      <c r="D856" s="159">
        <v>1</v>
      </c>
      <c r="E856" s="159">
        <v>37.020000000000003</v>
      </c>
      <c r="F856" s="159">
        <v>37.020000000000003</v>
      </c>
      <c r="G856" s="160" t="s">
        <v>2</v>
      </c>
      <c r="H856" s="34" t="s">
        <v>925</v>
      </c>
    </row>
    <row r="857" spans="1:8" ht="33">
      <c r="A857" s="160">
        <v>5</v>
      </c>
      <c r="B857" s="160" t="s">
        <v>1303</v>
      </c>
      <c r="C857" s="157" t="s">
        <v>14</v>
      </c>
      <c r="D857" s="159">
        <v>1</v>
      </c>
      <c r="E857" s="159">
        <v>1277.33</v>
      </c>
      <c r="F857" s="159">
        <v>1277.33</v>
      </c>
      <c r="G857" s="160" t="s">
        <v>2</v>
      </c>
      <c r="H857" s="34" t="s">
        <v>925</v>
      </c>
    </row>
    <row r="858" spans="1:8" ht="33">
      <c r="A858" s="160">
        <v>6</v>
      </c>
      <c r="B858" s="160" t="s">
        <v>1317</v>
      </c>
      <c r="C858" s="157" t="s">
        <v>0</v>
      </c>
      <c r="D858" s="159">
        <v>1</v>
      </c>
      <c r="E858" s="159">
        <v>3683.89</v>
      </c>
      <c r="F858" s="159">
        <v>3683.89</v>
      </c>
      <c r="G858" s="160" t="s">
        <v>2</v>
      </c>
      <c r="H858" s="34" t="s">
        <v>925</v>
      </c>
    </row>
    <row r="859" spans="1:8" ht="16.5">
      <c r="A859" s="160">
        <v>7</v>
      </c>
      <c r="B859" s="160" t="s">
        <v>931</v>
      </c>
      <c r="C859" s="157" t="s">
        <v>14</v>
      </c>
      <c r="D859" s="159">
        <v>1</v>
      </c>
      <c r="E859" s="159">
        <v>231.51</v>
      </c>
      <c r="F859" s="159">
        <v>231.51</v>
      </c>
      <c r="G859" s="160" t="s">
        <v>2</v>
      </c>
    </row>
    <row r="860" spans="1:8" ht="33">
      <c r="A860" s="160"/>
      <c r="B860" s="160" t="s">
        <v>933</v>
      </c>
      <c r="C860" s="157" t="s">
        <v>0</v>
      </c>
      <c r="D860" s="159">
        <v>1</v>
      </c>
      <c r="E860" s="159"/>
      <c r="F860" s="159">
        <v>7948.38</v>
      </c>
      <c r="G860" s="160"/>
      <c r="H860" s="34" t="s">
        <v>925</v>
      </c>
    </row>
    <row r="861" spans="1:8" ht="33">
      <c r="A861" s="160"/>
      <c r="B861" s="160" t="s">
        <v>934</v>
      </c>
      <c r="C861" s="157" t="s">
        <v>0</v>
      </c>
      <c r="D861" s="159"/>
      <c r="E861" s="159"/>
      <c r="F861" s="159">
        <v>7948.38</v>
      </c>
      <c r="G861" s="160"/>
      <c r="H861" s="34" t="s">
        <v>925</v>
      </c>
    </row>
    <row r="862" spans="1:8" ht="33">
      <c r="A862" s="160"/>
      <c r="B862" s="160"/>
      <c r="C862" s="157"/>
      <c r="D862" s="159"/>
      <c r="E862" s="159"/>
      <c r="F862" s="159"/>
      <c r="G862" s="160"/>
      <c r="H862" s="34" t="s">
        <v>925</v>
      </c>
    </row>
    <row r="863" spans="1:8" ht="42.75">
      <c r="A863" s="160" t="s">
        <v>1394</v>
      </c>
      <c r="B863" s="160" t="s">
        <v>4519</v>
      </c>
      <c r="C863" s="157" t="s">
        <v>0</v>
      </c>
      <c r="D863" s="159">
        <v>1</v>
      </c>
      <c r="E863" s="159">
        <v>1625.82</v>
      </c>
      <c r="F863" s="159"/>
      <c r="G863" s="160" t="s">
        <v>5445</v>
      </c>
      <c r="H863" s="34" t="s">
        <v>925</v>
      </c>
    </row>
    <row r="864" spans="1:8" ht="33">
      <c r="A864" s="160">
        <v>1</v>
      </c>
      <c r="B864" s="160" t="s">
        <v>4923</v>
      </c>
      <c r="C864" s="157" t="s">
        <v>0</v>
      </c>
      <c r="D864" s="159">
        <v>1</v>
      </c>
      <c r="E864" s="159">
        <v>1388.4</v>
      </c>
      <c r="F864" s="159">
        <v>1388.4</v>
      </c>
      <c r="G864" s="160" t="s">
        <v>2</v>
      </c>
      <c r="H864" s="34" t="s">
        <v>925</v>
      </c>
    </row>
    <row r="865" spans="1:8" ht="33">
      <c r="A865" s="160">
        <v>2</v>
      </c>
      <c r="B865" s="160" t="s">
        <v>4909</v>
      </c>
      <c r="C865" s="157" t="s">
        <v>927</v>
      </c>
      <c r="D865" s="159">
        <v>0.19</v>
      </c>
      <c r="E865" s="159">
        <v>379.5</v>
      </c>
      <c r="F865" s="159">
        <v>72.11</v>
      </c>
      <c r="G865" s="160" t="s">
        <v>2</v>
      </c>
      <c r="H865" s="34" t="s">
        <v>925</v>
      </c>
    </row>
    <row r="866" spans="1:8" ht="33">
      <c r="A866" s="160">
        <v>3</v>
      </c>
      <c r="B866" s="160" t="s">
        <v>4871</v>
      </c>
      <c r="C866" s="157" t="s">
        <v>927</v>
      </c>
      <c r="D866" s="159">
        <v>0.39</v>
      </c>
      <c r="E866" s="159">
        <v>260.08999999999997</v>
      </c>
      <c r="F866" s="159">
        <v>101.44</v>
      </c>
      <c r="G866" s="160" t="s">
        <v>2</v>
      </c>
      <c r="H866" s="34" t="s">
        <v>925</v>
      </c>
    </row>
    <row r="867" spans="1:8" ht="33">
      <c r="A867" s="160">
        <v>4</v>
      </c>
      <c r="B867" s="160" t="s">
        <v>1267</v>
      </c>
      <c r="C867" s="157" t="s">
        <v>14</v>
      </c>
      <c r="D867" s="159">
        <v>1</v>
      </c>
      <c r="E867" s="159">
        <v>16.52</v>
      </c>
      <c r="F867" s="159">
        <v>16.52</v>
      </c>
      <c r="G867" s="160" t="s">
        <v>2</v>
      </c>
      <c r="H867" s="34" t="s">
        <v>925</v>
      </c>
    </row>
    <row r="868" spans="1:8" ht="33">
      <c r="A868" s="160">
        <v>5</v>
      </c>
      <c r="B868" s="160" t="s">
        <v>955</v>
      </c>
      <c r="C868" s="157" t="s">
        <v>14</v>
      </c>
      <c r="D868" s="159">
        <v>1</v>
      </c>
      <c r="E868" s="159">
        <v>47.35</v>
      </c>
      <c r="F868" s="159">
        <v>47.35</v>
      </c>
      <c r="G868" s="160" t="s">
        <v>2</v>
      </c>
      <c r="H868" s="34" t="s">
        <v>925</v>
      </c>
    </row>
    <row r="869" spans="1:8" ht="33">
      <c r="A869" s="160"/>
      <c r="B869" s="160" t="s">
        <v>933</v>
      </c>
      <c r="C869" s="157" t="s">
        <v>0</v>
      </c>
      <c r="D869" s="159">
        <v>1</v>
      </c>
      <c r="E869" s="159"/>
      <c r="F869" s="159">
        <v>1625.82</v>
      </c>
      <c r="G869" s="160"/>
      <c r="H869" s="34" t="s">
        <v>925</v>
      </c>
    </row>
    <row r="870" spans="1:8" ht="33">
      <c r="A870" s="160"/>
      <c r="B870" s="160" t="s">
        <v>934</v>
      </c>
      <c r="C870" s="157" t="s">
        <v>0</v>
      </c>
      <c r="D870" s="159"/>
      <c r="E870" s="159"/>
      <c r="F870" s="159">
        <v>1625.82</v>
      </c>
      <c r="G870" s="160"/>
      <c r="H870" s="34" t="s">
        <v>925</v>
      </c>
    </row>
    <row r="871" spans="1:8" ht="33">
      <c r="A871" s="160"/>
      <c r="B871" s="160"/>
      <c r="C871" s="157"/>
      <c r="D871" s="159"/>
      <c r="E871" s="159"/>
      <c r="F871" s="159"/>
      <c r="G871" s="160"/>
      <c r="H871" s="34" t="s">
        <v>925</v>
      </c>
    </row>
    <row r="872" spans="1:8" ht="42.75">
      <c r="A872" s="160" t="s">
        <v>1397</v>
      </c>
      <c r="B872" s="160" t="s">
        <v>4521</v>
      </c>
      <c r="C872" s="157" t="s">
        <v>0</v>
      </c>
      <c r="D872" s="159">
        <v>1</v>
      </c>
      <c r="E872" s="159">
        <v>1860.17</v>
      </c>
      <c r="F872" s="159"/>
      <c r="G872" s="160" t="s">
        <v>5445</v>
      </c>
    </row>
    <row r="873" spans="1:8" ht="33">
      <c r="A873" s="160">
        <v>1</v>
      </c>
      <c r="B873" s="160" t="s">
        <v>4923</v>
      </c>
      <c r="C873" s="157" t="s">
        <v>0</v>
      </c>
      <c r="D873" s="159">
        <v>1</v>
      </c>
      <c r="E873" s="159">
        <v>1388.4</v>
      </c>
      <c r="F873" s="159">
        <v>1388.4</v>
      </c>
      <c r="G873" s="160" t="s">
        <v>2</v>
      </c>
      <c r="H873" s="34" t="s">
        <v>925</v>
      </c>
    </row>
    <row r="874" spans="1:8" ht="33">
      <c r="A874" s="160">
        <v>2</v>
      </c>
      <c r="B874" s="160" t="s">
        <v>4912</v>
      </c>
      <c r="C874" s="157" t="s">
        <v>927</v>
      </c>
      <c r="D874" s="159">
        <v>0.22</v>
      </c>
      <c r="E874" s="159">
        <v>758.99</v>
      </c>
      <c r="F874" s="159">
        <v>166.98</v>
      </c>
      <c r="G874" s="160" t="s">
        <v>2</v>
      </c>
      <c r="H874" s="34" t="s">
        <v>925</v>
      </c>
    </row>
    <row r="875" spans="1:8" ht="33">
      <c r="A875" s="160">
        <v>3</v>
      </c>
      <c r="B875" s="160" t="s">
        <v>4874</v>
      </c>
      <c r="C875" s="157" t="s">
        <v>927</v>
      </c>
      <c r="D875" s="159">
        <v>0.45</v>
      </c>
      <c r="E875" s="159">
        <v>520.19000000000005</v>
      </c>
      <c r="F875" s="159">
        <v>234.09</v>
      </c>
      <c r="G875" s="160" t="s">
        <v>5436</v>
      </c>
      <c r="H875" s="34" t="s">
        <v>925</v>
      </c>
    </row>
    <row r="876" spans="1:8" ht="33">
      <c r="A876" s="160">
        <v>4</v>
      </c>
      <c r="B876" s="160" t="s">
        <v>1267</v>
      </c>
      <c r="C876" s="157" t="s">
        <v>14</v>
      </c>
      <c r="D876" s="159">
        <v>1</v>
      </c>
      <c r="E876" s="159">
        <v>16.52</v>
      </c>
      <c r="F876" s="159">
        <v>16.52</v>
      </c>
      <c r="G876" s="160" t="s">
        <v>2</v>
      </c>
      <c r="H876" s="34" t="s">
        <v>925</v>
      </c>
    </row>
    <row r="877" spans="1:8" ht="33">
      <c r="A877" s="160">
        <v>5</v>
      </c>
      <c r="B877" s="160" t="s">
        <v>955</v>
      </c>
      <c r="C877" s="157" t="s">
        <v>14</v>
      </c>
      <c r="D877" s="159">
        <v>1</v>
      </c>
      <c r="E877" s="159">
        <v>54.18</v>
      </c>
      <c r="F877" s="159">
        <v>54.18</v>
      </c>
      <c r="G877" s="160" t="s">
        <v>2</v>
      </c>
      <c r="H877" s="34" t="s">
        <v>925</v>
      </c>
    </row>
    <row r="878" spans="1:8" ht="33">
      <c r="A878" s="160"/>
      <c r="B878" s="160" t="s">
        <v>933</v>
      </c>
      <c r="C878" s="157" t="s">
        <v>0</v>
      </c>
      <c r="D878" s="159">
        <v>1</v>
      </c>
      <c r="E878" s="159"/>
      <c r="F878" s="159">
        <v>1860.17</v>
      </c>
      <c r="G878" s="160"/>
      <c r="H878" s="34" t="s">
        <v>925</v>
      </c>
    </row>
    <row r="879" spans="1:8" ht="33">
      <c r="A879" s="160"/>
      <c r="B879" s="160" t="s">
        <v>934</v>
      </c>
      <c r="C879" s="157" t="s">
        <v>0</v>
      </c>
      <c r="D879" s="159"/>
      <c r="E879" s="159"/>
      <c r="F879" s="159">
        <v>1860.17</v>
      </c>
      <c r="G879" s="160"/>
      <c r="H879" s="34" t="s">
        <v>925</v>
      </c>
    </row>
    <row r="880" spans="1:8" ht="33">
      <c r="A880" s="160"/>
      <c r="B880" s="160"/>
      <c r="C880" s="157"/>
      <c r="D880" s="159"/>
      <c r="E880" s="159"/>
      <c r="F880" s="159"/>
      <c r="G880" s="160"/>
      <c r="H880" s="34" t="s">
        <v>925</v>
      </c>
    </row>
    <row r="881" spans="1:8" ht="33">
      <c r="A881" s="160" t="s">
        <v>1399</v>
      </c>
      <c r="B881" s="160" t="s">
        <v>1320</v>
      </c>
      <c r="C881" s="157" t="s">
        <v>0</v>
      </c>
      <c r="D881" s="159">
        <v>1</v>
      </c>
      <c r="E881" s="159">
        <v>4716.5200000000004</v>
      </c>
      <c r="F881" s="159"/>
      <c r="G881" s="160" t="s">
        <v>2</v>
      </c>
      <c r="H881" s="34" t="s">
        <v>925</v>
      </c>
    </row>
    <row r="882" spans="1:8" ht="33">
      <c r="A882" s="160">
        <v>1</v>
      </c>
      <c r="B882" s="160" t="s">
        <v>1322</v>
      </c>
      <c r="C882" s="157" t="s">
        <v>0</v>
      </c>
      <c r="D882" s="159">
        <v>1</v>
      </c>
      <c r="E882" s="159">
        <v>4165.21</v>
      </c>
      <c r="F882" s="159">
        <v>4165.21</v>
      </c>
      <c r="G882" s="160" t="s">
        <v>2</v>
      </c>
      <c r="H882" s="34" t="s">
        <v>925</v>
      </c>
    </row>
    <row r="883" spans="1:8" ht="33">
      <c r="A883" s="160">
        <v>2</v>
      </c>
      <c r="B883" s="160" t="s">
        <v>1261</v>
      </c>
      <c r="C883" s="157" t="s">
        <v>927</v>
      </c>
      <c r="D883" s="159">
        <v>0.5</v>
      </c>
      <c r="E883" s="159">
        <v>371.17</v>
      </c>
      <c r="F883" s="159">
        <v>185.59</v>
      </c>
      <c r="G883" s="160" t="s">
        <v>2</v>
      </c>
      <c r="H883" s="34" t="s">
        <v>925</v>
      </c>
    </row>
    <row r="884" spans="1:8" ht="33">
      <c r="A884" s="160">
        <v>3</v>
      </c>
      <c r="B884" s="160" t="s">
        <v>4871</v>
      </c>
      <c r="C884" s="157" t="s">
        <v>927</v>
      </c>
      <c r="D884" s="159">
        <v>0.7</v>
      </c>
      <c r="E884" s="159">
        <v>260.08999999999997</v>
      </c>
      <c r="F884" s="159">
        <v>182.06</v>
      </c>
      <c r="G884" s="160" t="s">
        <v>2</v>
      </c>
      <c r="H884" s="34" t="s">
        <v>925</v>
      </c>
    </row>
    <row r="885" spans="1:8" ht="16.5">
      <c r="A885" s="160">
        <v>4</v>
      </c>
      <c r="B885" s="160" t="s">
        <v>1263</v>
      </c>
      <c r="C885" s="157" t="s">
        <v>14</v>
      </c>
      <c r="D885" s="159">
        <v>1</v>
      </c>
      <c r="E885" s="159">
        <v>9.26</v>
      </c>
      <c r="F885" s="159">
        <v>9.26</v>
      </c>
      <c r="G885" s="160" t="s">
        <v>2</v>
      </c>
    </row>
    <row r="886" spans="1:8" ht="33">
      <c r="A886" s="160">
        <v>5</v>
      </c>
      <c r="B886" s="160" t="s">
        <v>1265</v>
      </c>
      <c r="C886" s="157" t="s">
        <v>14</v>
      </c>
      <c r="D886" s="159">
        <v>1</v>
      </c>
      <c r="E886" s="159">
        <v>9.26</v>
      </c>
      <c r="F886" s="159">
        <v>9.26</v>
      </c>
      <c r="G886" s="160" t="s">
        <v>2</v>
      </c>
      <c r="H886" s="34" t="s">
        <v>925</v>
      </c>
    </row>
    <row r="887" spans="1:8" ht="33">
      <c r="A887" s="160">
        <v>6</v>
      </c>
      <c r="B887" s="160" t="s">
        <v>1267</v>
      </c>
      <c r="C887" s="157" t="s">
        <v>14</v>
      </c>
      <c r="D887" s="159">
        <v>1</v>
      </c>
      <c r="E887" s="159">
        <v>27.77</v>
      </c>
      <c r="F887" s="159">
        <v>27.77</v>
      </c>
      <c r="G887" s="160" t="s">
        <v>2</v>
      </c>
      <c r="H887" s="34" t="s">
        <v>925</v>
      </c>
    </row>
    <row r="888" spans="1:8" ht="33">
      <c r="A888" s="160">
        <v>7</v>
      </c>
      <c r="B888" s="160" t="s">
        <v>931</v>
      </c>
      <c r="C888" s="157" t="s">
        <v>14</v>
      </c>
      <c r="D888" s="159">
        <v>1</v>
      </c>
      <c r="E888" s="159">
        <v>137.37</v>
      </c>
      <c r="F888" s="159">
        <v>137.37</v>
      </c>
      <c r="G888" s="160" t="s">
        <v>2</v>
      </c>
      <c r="H888" s="34" t="s">
        <v>925</v>
      </c>
    </row>
    <row r="889" spans="1:8" ht="33">
      <c r="A889" s="160"/>
      <c r="B889" s="160" t="s">
        <v>933</v>
      </c>
      <c r="C889" s="157" t="s">
        <v>0</v>
      </c>
      <c r="D889" s="159">
        <v>1</v>
      </c>
      <c r="E889" s="159"/>
      <c r="F889" s="159">
        <v>4716.5200000000013</v>
      </c>
      <c r="G889" s="160"/>
      <c r="H889" s="34" t="s">
        <v>925</v>
      </c>
    </row>
    <row r="890" spans="1:8" ht="33">
      <c r="A890" s="160"/>
      <c r="B890" s="160" t="s">
        <v>934</v>
      </c>
      <c r="C890" s="157" t="s">
        <v>0</v>
      </c>
      <c r="D890" s="159"/>
      <c r="E890" s="159"/>
      <c r="F890" s="159">
        <v>4716.5200000000004</v>
      </c>
      <c r="G890" s="160"/>
      <c r="H890" s="34" t="s">
        <v>925</v>
      </c>
    </row>
    <row r="891" spans="1:8" ht="33">
      <c r="A891" s="160"/>
      <c r="B891" s="160"/>
      <c r="C891" s="157"/>
      <c r="D891" s="159"/>
      <c r="E891" s="159"/>
      <c r="F891" s="159"/>
      <c r="G891" s="160"/>
      <c r="H891" s="34" t="s">
        <v>925</v>
      </c>
    </row>
    <row r="892" spans="1:8" ht="33">
      <c r="A892" s="160" t="s">
        <v>1401</v>
      </c>
      <c r="B892" s="160" t="s">
        <v>1328</v>
      </c>
      <c r="C892" s="157" t="s">
        <v>3</v>
      </c>
      <c r="D892" s="159">
        <v>1</v>
      </c>
      <c r="E892" s="159">
        <v>246.17</v>
      </c>
      <c r="F892" s="159"/>
      <c r="G892" s="160" t="s">
        <v>2</v>
      </c>
      <c r="H892" s="34" t="s">
        <v>925</v>
      </c>
    </row>
    <row r="893" spans="1:8" ht="33">
      <c r="A893" s="160">
        <v>1</v>
      </c>
      <c r="B893" s="160" t="s">
        <v>1294</v>
      </c>
      <c r="C893" s="157" t="s">
        <v>1295</v>
      </c>
      <c r="D893" s="159">
        <v>0.02</v>
      </c>
      <c r="E893" s="159">
        <v>154.58000000000001</v>
      </c>
      <c r="F893" s="159">
        <v>3.09</v>
      </c>
      <c r="G893" s="160" t="s">
        <v>2</v>
      </c>
      <c r="H893" s="34" t="s">
        <v>925</v>
      </c>
    </row>
    <row r="894" spans="1:8" ht="33">
      <c r="A894" s="160">
        <v>2</v>
      </c>
      <c r="B894" s="160" t="s">
        <v>4871</v>
      </c>
      <c r="C894" s="157" t="s">
        <v>927</v>
      </c>
      <c r="D894" s="159">
        <v>0.48</v>
      </c>
      <c r="E894" s="159">
        <v>260.08999999999997</v>
      </c>
      <c r="F894" s="159">
        <v>124.84</v>
      </c>
      <c r="G894" s="160" t="s">
        <v>5435</v>
      </c>
      <c r="H894" s="34" t="s">
        <v>925</v>
      </c>
    </row>
    <row r="895" spans="1:8" ht="33">
      <c r="A895" s="160">
        <v>3</v>
      </c>
      <c r="B895" s="160" t="s">
        <v>1330</v>
      </c>
      <c r="C895" s="157" t="s">
        <v>14</v>
      </c>
      <c r="D895" s="159">
        <v>1</v>
      </c>
      <c r="E895" s="159">
        <v>111.07</v>
      </c>
      <c r="F895" s="159">
        <v>111.07</v>
      </c>
      <c r="G895" s="160" t="s">
        <v>2</v>
      </c>
      <c r="H895" s="34" t="s">
        <v>925</v>
      </c>
    </row>
    <row r="896" spans="1:8" ht="33">
      <c r="A896" s="160">
        <v>4</v>
      </c>
      <c r="B896" s="160" t="s">
        <v>931</v>
      </c>
      <c r="C896" s="157" t="s">
        <v>14</v>
      </c>
      <c r="D896" s="159">
        <v>1</v>
      </c>
      <c r="E896" s="159">
        <v>7.17</v>
      </c>
      <c r="F896" s="159">
        <v>7.17</v>
      </c>
      <c r="G896" s="160" t="s">
        <v>2</v>
      </c>
      <c r="H896" s="34" t="s">
        <v>925</v>
      </c>
    </row>
    <row r="897" spans="1:8" ht="16.5">
      <c r="A897" s="160"/>
      <c r="B897" s="160" t="s">
        <v>933</v>
      </c>
      <c r="C897" s="157" t="s">
        <v>3</v>
      </c>
      <c r="D897" s="159">
        <v>1</v>
      </c>
      <c r="E897" s="159"/>
      <c r="F897" s="159">
        <v>246.17</v>
      </c>
      <c r="G897" s="160"/>
    </row>
    <row r="898" spans="1:8" ht="33">
      <c r="A898" s="160"/>
      <c r="B898" s="160" t="s">
        <v>934</v>
      </c>
      <c r="C898" s="157" t="s">
        <v>3</v>
      </c>
      <c r="D898" s="159"/>
      <c r="E898" s="159"/>
      <c r="F898" s="159">
        <v>246.17</v>
      </c>
      <c r="G898" s="160"/>
      <c r="H898" s="34" t="s">
        <v>925</v>
      </c>
    </row>
    <row r="899" spans="1:8" ht="33">
      <c r="A899" s="160"/>
      <c r="B899" s="160"/>
      <c r="C899" s="157"/>
      <c r="D899" s="159"/>
      <c r="E899" s="159"/>
      <c r="F899" s="159"/>
      <c r="G899" s="160"/>
      <c r="H899" s="34" t="s">
        <v>925</v>
      </c>
    </row>
    <row r="900" spans="1:8" ht="33">
      <c r="A900" s="160" t="s">
        <v>1403</v>
      </c>
      <c r="B900" s="160" t="s">
        <v>1333</v>
      </c>
      <c r="C900" s="157" t="s">
        <v>3</v>
      </c>
      <c r="D900" s="159">
        <v>10</v>
      </c>
      <c r="E900" s="159">
        <v>889.16</v>
      </c>
      <c r="F900" s="159"/>
      <c r="G900" s="160" t="s">
        <v>4370</v>
      </c>
      <c r="H900" s="34" t="s">
        <v>925</v>
      </c>
    </row>
    <row r="901" spans="1:8" ht="33">
      <c r="A901" s="160">
        <v>1</v>
      </c>
      <c r="B901" s="160" t="s">
        <v>1335</v>
      </c>
      <c r="C901" s="157" t="s">
        <v>0</v>
      </c>
      <c r="D901" s="159">
        <v>0.03</v>
      </c>
      <c r="E901" s="159">
        <v>19993</v>
      </c>
      <c r="F901" s="159">
        <v>599.79</v>
      </c>
      <c r="G901" s="160" t="s">
        <v>5446</v>
      </c>
      <c r="H901" s="34" t="s">
        <v>925</v>
      </c>
    </row>
    <row r="902" spans="1:8" ht="33">
      <c r="A902" s="160">
        <v>2</v>
      </c>
      <c r="B902" s="160" t="s">
        <v>1336</v>
      </c>
      <c r="C902" s="157" t="s">
        <v>0</v>
      </c>
      <c r="D902" s="159">
        <v>0.03</v>
      </c>
      <c r="E902" s="159">
        <v>21288.84</v>
      </c>
      <c r="F902" s="159">
        <v>638.66999999999996</v>
      </c>
      <c r="G902" s="160" t="s">
        <v>2</v>
      </c>
      <c r="H902" s="34" t="s">
        <v>925</v>
      </c>
    </row>
    <row r="903" spans="1:8" ht="33">
      <c r="A903" s="160">
        <v>3</v>
      </c>
      <c r="B903" s="160" t="s">
        <v>1338</v>
      </c>
      <c r="C903" s="157" t="s">
        <v>3</v>
      </c>
      <c r="D903" s="159">
        <v>3.33</v>
      </c>
      <c r="E903" s="159">
        <v>77.75</v>
      </c>
      <c r="F903" s="159">
        <v>258.91000000000003</v>
      </c>
      <c r="G903" s="160" t="s">
        <v>2</v>
      </c>
      <c r="H903" s="34" t="s">
        <v>925</v>
      </c>
    </row>
    <row r="904" spans="1:8" ht="33">
      <c r="A904" s="160">
        <v>4</v>
      </c>
      <c r="B904" s="160" t="s">
        <v>1340</v>
      </c>
      <c r="C904" s="157" t="s">
        <v>14</v>
      </c>
      <c r="D904" s="159">
        <v>1</v>
      </c>
      <c r="E904" s="159">
        <v>509.08</v>
      </c>
      <c r="F904" s="159">
        <v>509.08</v>
      </c>
      <c r="G904" s="160" t="s">
        <v>2</v>
      </c>
      <c r="H904" s="34" t="s">
        <v>925</v>
      </c>
    </row>
    <row r="905" spans="1:8" ht="33">
      <c r="A905" s="160">
        <v>5</v>
      </c>
      <c r="B905" s="160" t="s">
        <v>4927</v>
      </c>
      <c r="C905" s="157" t="s">
        <v>927</v>
      </c>
      <c r="D905" s="159">
        <v>9.6</v>
      </c>
      <c r="E905" s="159">
        <v>379.5</v>
      </c>
      <c r="F905" s="159">
        <v>3643.2</v>
      </c>
      <c r="G905" s="160" t="s">
        <v>5447</v>
      </c>
      <c r="H905" s="34" t="s">
        <v>925</v>
      </c>
    </row>
    <row r="906" spans="1:8" ht="33">
      <c r="A906" s="160">
        <v>6</v>
      </c>
      <c r="B906" s="160" t="s">
        <v>4871</v>
      </c>
      <c r="C906" s="157" t="s">
        <v>927</v>
      </c>
      <c r="D906" s="159">
        <v>11.2</v>
      </c>
      <c r="E906" s="159">
        <v>260.08999999999997</v>
      </c>
      <c r="F906" s="159">
        <v>2913.01</v>
      </c>
      <c r="G906" s="160" t="s">
        <v>2</v>
      </c>
      <c r="H906" s="34" t="s">
        <v>925</v>
      </c>
    </row>
    <row r="907" spans="1:8" ht="33">
      <c r="A907" s="160">
        <v>7</v>
      </c>
      <c r="B907" s="160" t="s">
        <v>1342</v>
      </c>
      <c r="C907" s="157" t="s">
        <v>18</v>
      </c>
      <c r="D907" s="159">
        <v>1</v>
      </c>
      <c r="E907" s="159">
        <v>33.32</v>
      </c>
      <c r="F907" s="159">
        <v>33.32</v>
      </c>
      <c r="G907" s="160" t="s">
        <v>2</v>
      </c>
      <c r="H907" s="34" t="s">
        <v>925</v>
      </c>
    </row>
    <row r="908" spans="1:8" ht="33">
      <c r="A908" s="160">
        <v>8</v>
      </c>
      <c r="B908" s="160" t="s">
        <v>1344</v>
      </c>
      <c r="C908" s="157" t="s">
        <v>18</v>
      </c>
      <c r="D908" s="159">
        <v>1.1000000000000001</v>
      </c>
      <c r="E908" s="159">
        <v>33.32</v>
      </c>
      <c r="F908" s="159">
        <v>36.65</v>
      </c>
      <c r="G908" s="160" t="s">
        <v>2</v>
      </c>
      <c r="H908" s="34" t="s">
        <v>925</v>
      </c>
    </row>
    <row r="909" spans="1:8" ht="16.5">
      <c r="A909" s="160">
        <v>9</v>
      </c>
      <c r="B909" s="160" t="s">
        <v>931</v>
      </c>
      <c r="C909" s="157" t="s">
        <v>14</v>
      </c>
      <c r="D909" s="159">
        <v>1</v>
      </c>
      <c r="E909" s="159">
        <v>258.98</v>
      </c>
      <c r="F909" s="159">
        <v>258.98</v>
      </c>
      <c r="G909" s="160" t="s">
        <v>2</v>
      </c>
    </row>
    <row r="910" spans="1:8" ht="33">
      <c r="A910" s="160"/>
      <c r="B910" s="160" t="s">
        <v>933</v>
      </c>
      <c r="C910" s="157" t="s">
        <v>3</v>
      </c>
      <c r="D910" s="159">
        <v>10</v>
      </c>
      <c r="E910" s="159"/>
      <c r="F910" s="159">
        <v>8891.6099999999988</v>
      </c>
      <c r="G910" s="160"/>
      <c r="H910" s="34" t="s">
        <v>925</v>
      </c>
    </row>
    <row r="911" spans="1:8" ht="33">
      <c r="A911" s="160"/>
      <c r="B911" s="160" t="s">
        <v>934</v>
      </c>
      <c r="C911" s="157" t="s">
        <v>3</v>
      </c>
      <c r="D911" s="159"/>
      <c r="E911" s="159"/>
      <c r="F911" s="159">
        <v>889.16</v>
      </c>
      <c r="G911" s="160"/>
      <c r="H911" s="34" t="s">
        <v>925</v>
      </c>
    </row>
    <row r="912" spans="1:8" ht="33">
      <c r="A912" s="160"/>
      <c r="B912" s="160"/>
      <c r="C912" s="157"/>
      <c r="D912" s="159"/>
      <c r="E912" s="159"/>
      <c r="F912" s="159"/>
      <c r="G912" s="160"/>
      <c r="H912" s="34" t="s">
        <v>925</v>
      </c>
    </row>
    <row r="913" spans="1:8" ht="42.75">
      <c r="A913" s="160" t="s">
        <v>1405</v>
      </c>
      <c r="B913" s="160" t="s">
        <v>1384</v>
      </c>
      <c r="C913" s="157" t="s">
        <v>3</v>
      </c>
      <c r="D913" s="159">
        <v>10</v>
      </c>
      <c r="E913" s="159">
        <v>1112.19</v>
      </c>
      <c r="F913" s="159"/>
      <c r="G913" s="160" t="s">
        <v>4365</v>
      </c>
      <c r="H913" s="34" t="s">
        <v>925</v>
      </c>
    </row>
    <row r="914" spans="1:8" ht="33">
      <c r="A914" s="160">
        <v>1</v>
      </c>
      <c r="B914" s="160" t="s">
        <v>1335</v>
      </c>
      <c r="C914" s="157" t="s">
        <v>0</v>
      </c>
      <c r="D914" s="159">
        <v>0.03</v>
      </c>
      <c r="E914" s="159">
        <v>19993</v>
      </c>
      <c r="F914" s="159">
        <v>599.79</v>
      </c>
      <c r="G914" s="160" t="s">
        <v>5446</v>
      </c>
      <c r="H914" s="34" t="s">
        <v>925</v>
      </c>
    </row>
    <row r="915" spans="1:8" ht="33">
      <c r="A915" s="160">
        <v>2</v>
      </c>
      <c r="B915" s="160" t="s">
        <v>1336</v>
      </c>
      <c r="C915" s="157" t="s">
        <v>0</v>
      </c>
      <c r="D915" s="159">
        <v>0.03</v>
      </c>
      <c r="E915" s="159">
        <v>21288.84</v>
      </c>
      <c r="F915" s="159">
        <v>638.66999999999996</v>
      </c>
      <c r="G915" s="160" t="s">
        <v>2</v>
      </c>
      <c r="H915" s="34" t="s">
        <v>925</v>
      </c>
    </row>
    <row r="916" spans="1:8" ht="33">
      <c r="A916" s="160">
        <v>3</v>
      </c>
      <c r="B916" s="160" t="s">
        <v>1338</v>
      </c>
      <c r="C916" s="157" t="s">
        <v>3</v>
      </c>
      <c r="D916" s="159">
        <v>3.33</v>
      </c>
      <c r="E916" s="159">
        <v>77.75</v>
      </c>
      <c r="F916" s="159">
        <v>258.91000000000003</v>
      </c>
      <c r="G916" s="160" t="s">
        <v>2</v>
      </c>
      <c r="H916" s="34" t="s">
        <v>925</v>
      </c>
    </row>
    <row r="917" spans="1:8" ht="33">
      <c r="A917" s="160">
        <v>4</v>
      </c>
      <c r="B917" s="160" t="s">
        <v>1340</v>
      </c>
      <c r="C917" s="157" t="s">
        <v>14</v>
      </c>
      <c r="D917" s="159">
        <v>1</v>
      </c>
      <c r="E917" s="159">
        <v>509.08</v>
      </c>
      <c r="F917" s="159">
        <v>509.08</v>
      </c>
      <c r="G917" s="160" t="s">
        <v>2</v>
      </c>
      <c r="H917" s="34" t="s">
        <v>925</v>
      </c>
    </row>
    <row r="918" spans="1:8" ht="28.5">
      <c r="A918" s="160">
        <v>5</v>
      </c>
      <c r="B918" s="160" t="s">
        <v>4927</v>
      </c>
      <c r="C918" s="157" t="s">
        <v>927</v>
      </c>
      <c r="D918" s="159">
        <v>12.77</v>
      </c>
      <c r="E918" s="159">
        <v>379.5</v>
      </c>
      <c r="F918" s="159">
        <v>4846.22</v>
      </c>
      <c r="G918" s="160" t="s">
        <v>5447</v>
      </c>
    </row>
    <row r="919" spans="1:8" ht="33">
      <c r="A919" s="160">
        <v>6</v>
      </c>
      <c r="B919" s="160" t="s">
        <v>4871</v>
      </c>
      <c r="C919" s="157" t="s">
        <v>927</v>
      </c>
      <c r="D919" s="159">
        <v>14.9</v>
      </c>
      <c r="E919" s="159">
        <v>260.08999999999997</v>
      </c>
      <c r="F919" s="159">
        <v>3875.34</v>
      </c>
      <c r="G919" s="160" t="s">
        <v>5435</v>
      </c>
      <c r="H919" s="34" t="s">
        <v>925</v>
      </c>
    </row>
    <row r="920" spans="1:8" ht="33">
      <c r="A920" s="160">
        <v>7</v>
      </c>
      <c r="B920" s="160" t="s">
        <v>1342</v>
      </c>
      <c r="C920" s="157" t="s">
        <v>18</v>
      </c>
      <c r="D920" s="159">
        <v>1</v>
      </c>
      <c r="E920" s="159">
        <v>33.32</v>
      </c>
      <c r="F920" s="159">
        <v>33.32</v>
      </c>
      <c r="G920" s="160" t="s">
        <v>2</v>
      </c>
      <c r="H920" s="34" t="s">
        <v>925</v>
      </c>
    </row>
    <row r="921" spans="1:8" ht="33">
      <c r="A921" s="160">
        <v>8</v>
      </c>
      <c r="B921" s="160" t="s">
        <v>1344</v>
      </c>
      <c r="C921" s="157" t="s">
        <v>18</v>
      </c>
      <c r="D921" s="159">
        <v>1.1000000000000001</v>
      </c>
      <c r="E921" s="159">
        <v>33.32</v>
      </c>
      <c r="F921" s="159">
        <v>36.65</v>
      </c>
      <c r="G921" s="160" t="s">
        <v>2</v>
      </c>
      <c r="H921" s="34" t="s">
        <v>925</v>
      </c>
    </row>
    <row r="922" spans="1:8" ht="33">
      <c r="A922" s="160">
        <v>9</v>
      </c>
      <c r="B922" s="160" t="s">
        <v>931</v>
      </c>
      <c r="C922" s="157" t="s">
        <v>14</v>
      </c>
      <c r="D922" s="159">
        <v>1</v>
      </c>
      <c r="E922" s="159">
        <v>323.94</v>
      </c>
      <c r="F922" s="159">
        <v>323.94</v>
      </c>
      <c r="G922" s="160" t="s">
        <v>2</v>
      </c>
      <c r="H922" s="34" t="s">
        <v>925</v>
      </c>
    </row>
    <row r="923" spans="1:8" ht="33">
      <c r="A923" s="160"/>
      <c r="B923" s="160" t="s">
        <v>933</v>
      </c>
      <c r="C923" s="157" t="s">
        <v>3</v>
      </c>
      <c r="D923" s="159">
        <v>10</v>
      </c>
      <c r="E923" s="159"/>
      <c r="F923" s="159">
        <v>11121.92</v>
      </c>
      <c r="G923" s="160"/>
      <c r="H923" s="34" t="s">
        <v>925</v>
      </c>
    </row>
    <row r="924" spans="1:8" ht="33">
      <c r="A924" s="160"/>
      <c r="B924" s="160" t="s">
        <v>934</v>
      </c>
      <c r="C924" s="157" t="s">
        <v>3</v>
      </c>
      <c r="D924" s="159"/>
      <c r="E924" s="159"/>
      <c r="F924" s="159">
        <v>1112.19</v>
      </c>
      <c r="G924" s="160"/>
      <c r="H924" s="34" t="s">
        <v>925</v>
      </c>
    </row>
    <row r="925" spans="1:8" ht="33">
      <c r="A925" s="160"/>
      <c r="B925" s="160"/>
      <c r="C925" s="157"/>
      <c r="D925" s="159"/>
      <c r="E925" s="159"/>
      <c r="F925" s="159"/>
      <c r="G925" s="160"/>
      <c r="H925" s="34" t="s">
        <v>925</v>
      </c>
    </row>
    <row r="926" spans="1:8" ht="57">
      <c r="A926" s="160" t="s">
        <v>1407</v>
      </c>
      <c r="B926" s="160" t="s">
        <v>1347</v>
      </c>
      <c r="C926" s="157" t="s">
        <v>3</v>
      </c>
      <c r="D926" s="159">
        <v>100</v>
      </c>
      <c r="E926" s="159">
        <v>744.92</v>
      </c>
      <c r="F926" s="159"/>
      <c r="G926" s="160" t="s">
        <v>4371</v>
      </c>
      <c r="H926" s="34" t="s">
        <v>925</v>
      </c>
    </row>
    <row r="927" spans="1:8" ht="28.5">
      <c r="A927" s="160">
        <v>1</v>
      </c>
      <c r="B927" s="160" t="s">
        <v>1335</v>
      </c>
      <c r="C927" s="157" t="s">
        <v>0</v>
      </c>
      <c r="D927" s="159">
        <v>0.3</v>
      </c>
      <c r="E927" s="159">
        <v>19993</v>
      </c>
      <c r="F927" s="159">
        <v>5997.9</v>
      </c>
      <c r="G927" s="160" t="s">
        <v>5446</v>
      </c>
    </row>
    <row r="928" spans="1:8" ht="33">
      <c r="A928" s="160">
        <v>2</v>
      </c>
      <c r="B928" s="160" t="s">
        <v>1336</v>
      </c>
      <c r="C928" s="157" t="s">
        <v>0</v>
      </c>
      <c r="D928" s="159">
        <v>0.21</v>
      </c>
      <c r="E928" s="159">
        <v>21288.84</v>
      </c>
      <c r="F928" s="159">
        <v>4470.66</v>
      </c>
      <c r="G928" s="160" t="s">
        <v>2</v>
      </c>
      <c r="H928" s="34" t="s">
        <v>925</v>
      </c>
    </row>
    <row r="929" spans="1:8" ht="33">
      <c r="A929" s="160">
        <v>3</v>
      </c>
      <c r="B929" s="160" t="s">
        <v>1338</v>
      </c>
      <c r="C929" s="157" t="s">
        <v>3</v>
      </c>
      <c r="D929" s="159">
        <v>33.299999999999997</v>
      </c>
      <c r="E929" s="159">
        <v>77.75</v>
      </c>
      <c r="F929" s="159">
        <v>2589.08</v>
      </c>
      <c r="G929" s="160" t="s">
        <v>2</v>
      </c>
      <c r="H929" s="34" t="s">
        <v>925</v>
      </c>
    </row>
    <row r="930" spans="1:8" ht="33">
      <c r="A930" s="160">
        <v>4</v>
      </c>
      <c r="B930" s="160" t="s">
        <v>1349</v>
      </c>
      <c r="C930" s="157" t="s">
        <v>14</v>
      </c>
      <c r="D930" s="159">
        <v>1</v>
      </c>
      <c r="E930" s="159">
        <v>2147.4</v>
      </c>
      <c r="F930" s="159">
        <v>2147.4</v>
      </c>
      <c r="G930" s="160" t="s">
        <v>2</v>
      </c>
      <c r="H930" s="34" t="s">
        <v>925</v>
      </c>
    </row>
    <row r="931" spans="1:8" ht="33">
      <c r="A931" s="160">
        <v>5</v>
      </c>
      <c r="B931" s="160" t="s">
        <v>4927</v>
      </c>
      <c r="C931" s="157" t="s">
        <v>927</v>
      </c>
      <c r="D931" s="159">
        <v>88</v>
      </c>
      <c r="E931" s="159">
        <v>379.5</v>
      </c>
      <c r="F931" s="159">
        <v>33396</v>
      </c>
      <c r="G931" s="160" t="s">
        <v>5447</v>
      </c>
      <c r="H931" s="34" t="s">
        <v>925</v>
      </c>
    </row>
    <row r="932" spans="1:8" ht="33">
      <c r="A932" s="160">
        <v>6</v>
      </c>
      <c r="B932" s="160" t="s">
        <v>4871</v>
      </c>
      <c r="C932" s="157" t="s">
        <v>927</v>
      </c>
      <c r="D932" s="159">
        <v>88</v>
      </c>
      <c r="E932" s="159">
        <v>260.08999999999997</v>
      </c>
      <c r="F932" s="159">
        <v>22887.919999999998</v>
      </c>
      <c r="G932" s="160" t="s">
        <v>5435</v>
      </c>
      <c r="H932" s="34" t="s">
        <v>925</v>
      </c>
    </row>
    <row r="933" spans="1:8" ht="33">
      <c r="A933" s="160">
        <v>7</v>
      </c>
      <c r="B933" s="160" t="s">
        <v>1342</v>
      </c>
      <c r="C933" s="157" t="s">
        <v>18</v>
      </c>
      <c r="D933" s="159">
        <v>12</v>
      </c>
      <c r="E933" s="159">
        <v>33.32</v>
      </c>
      <c r="F933" s="159">
        <v>399.84</v>
      </c>
      <c r="G933" s="160" t="s">
        <v>2</v>
      </c>
      <c r="H933" s="34" t="s">
        <v>925</v>
      </c>
    </row>
    <row r="934" spans="1:8" ht="33">
      <c r="A934" s="160">
        <v>8</v>
      </c>
      <c r="B934" s="160" t="s">
        <v>1344</v>
      </c>
      <c r="C934" s="157" t="s">
        <v>18</v>
      </c>
      <c r="D934" s="159">
        <v>13</v>
      </c>
      <c r="E934" s="159">
        <v>33.32</v>
      </c>
      <c r="F934" s="159">
        <v>433.16</v>
      </c>
      <c r="G934" s="160" t="s">
        <v>2</v>
      </c>
      <c r="H934" s="34" t="s">
        <v>925</v>
      </c>
    </row>
    <row r="935" spans="1:8" ht="33">
      <c r="A935" s="160">
        <v>9</v>
      </c>
      <c r="B935" s="160" t="s">
        <v>931</v>
      </c>
      <c r="C935" s="157" t="s">
        <v>14</v>
      </c>
      <c r="D935" s="159">
        <v>1</v>
      </c>
      <c r="E935" s="159">
        <v>2169.66</v>
      </c>
      <c r="F935" s="159">
        <v>2169.66</v>
      </c>
      <c r="G935" s="160" t="s">
        <v>2</v>
      </c>
      <c r="H935" s="34" t="s">
        <v>925</v>
      </c>
    </row>
    <row r="936" spans="1:8" ht="16.5">
      <c r="A936" s="160"/>
      <c r="B936" s="160" t="s">
        <v>933</v>
      </c>
      <c r="C936" s="157" t="s">
        <v>3</v>
      </c>
      <c r="D936" s="159">
        <v>100</v>
      </c>
      <c r="E936" s="159"/>
      <c r="F936" s="159">
        <v>74491.62</v>
      </c>
      <c r="G936" s="160"/>
    </row>
    <row r="937" spans="1:8" ht="33">
      <c r="A937" s="160"/>
      <c r="B937" s="160" t="s">
        <v>934</v>
      </c>
      <c r="C937" s="157" t="s">
        <v>3</v>
      </c>
      <c r="D937" s="159"/>
      <c r="E937" s="159"/>
      <c r="F937" s="159">
        <v>744.92</v>
      </c>
      <c r="G937" s="160"/>
      <c r="H937" s="34" t="s">
        <v>925</v>
      </c>
    </row>
    <row r="938" spans="1:8" ht="33">
      <c r="A938" s="160"/>
      <c r="B938" s="160"/>
      <c r="C938" s="157"/>
      <c r="D938" s="159"/>
      <c r="E938" s="159"/>
      <c r="F938" s="159"/>
      <c r="G938" s="160"/>
      <c r="H938" s="34" t="s">
        <v>925</v>
      </c>
    </row>
    <row r="939" spans="1:8" ht="85.5">
      <c r="A939" s="160" t="s">
        <v>1409</v>
      </c>
      <c r="B939" s="160" t="s">
        <v>1347</v>
      </c>
      <c r="C939" s="157" t="s">
        <v>3</v>
      </c>
      <c r="D939" s="159">
        <v>100</v>
      </c>
      <c r="E939" s="159">
        <v>936.23</v>
      </c>
      <c r="F939" s="159"/>
      <c r="G939" s="160" t="s">
        <v>4374</v>
      </c>
      <c r="H939" s="34" t="s">
        <v>925</v>
      </c>
    </row>
    <row r="940" spans="1:8" ht="33">
      <c r="A940" s="160">
        <v>1</v>
      </c>
      <c r="B940" s="160" t="s">
        <v>1335</v>
      </c>
      <c r="C940" s="157" t="s">
        <v>0</v>
      </c>
      <c r="D940" s="159">
        <v>0.3</v>
      </c>
      <c r="E940" s="159">
        <v>19993</v>
      </c>
      <c r="F940" s="159">
        <v>5997.9</v>
      </c>
      <c r="G940" s="160" t="s">
        <v>5446</v>
      </c>
      <c r="H940" s="34" t="s">
        <v>925</v>
      </c>
    </row>
    <row r="941" spans="1:8" ht="33">
      <c r="A941" s="160">
        <v>2</v>
      </c>
      <c r="B941" s="160" t="s">
        <v>1336</v>
      </c>
      <c r="C941" s="157" t="s">
        <v>0</v>
      </c>
      <c r="D941" s="159">
        <v>0.21</v>
      </c>
      <c r="E941" s="159">
        <v>21288.84</v>
      </c>
      <c r="F941" s="159">
        <v>4470.66</v>
      </c>
      <c r="G941" s="160" t="s">
        <v>2</v>
      </c>
      <c r="H941" s="34" t="s">
        <v>925</v>
      </c>
    </row>
    <row r="942" spans="1:8" ht="33">
      <c r="A942" s="160">
        <v>3</v>
      </c>
      <c r="B942" s="160" t="s">
        <v>1338</v>
      </c>
      <c r="C942" s="157" t="s">
        <v>3</v>
      </c>
      <c r="D942" s="159">
        <v>33.299999999999997</v>
      </c>
      <c r="E942" s="159">
        <v>77.75</v>
      </c>
      <c r="F942" s="159">
        <v>2589.08</v>
      </c>
      <c r="G942" s="160" t="s">
        <v>2</v>
      </c>
      <c r="H942" s="34" t="s">
        <v>925</v>
      </c>
    </row>
    <row r="943" spans="1:8" ht="33">
      <c r="A943" s="160">
        <v>4</v>
      </c>
      <c r="B943" s="160" t="s">
        <v>1349</v>
      </c>
      <c r="C943" s="157" t="s">
        <v>14</v>
      </c>
      <c r="D943" s="159">
        <v>1</v>
      </c>
      <c r="E943" s="159">
        <v>2147.4</v>
      </c>
      <c r="F943" s="159">
        <v>2147.4</v>
      </c>
      <c r="G943" s="160" t="s">
        <v>2</v>
      </c>
      <c r="H943" s="34" t="s">
        <v>925</v>
      </c>
    </row>
    <row r="944" spans="1:8" ht="33">
      <c r="A944" s="160">
        <v>5</v>
      </c>
      <c r="B944" s="160" t="s">
        <v>4927</v>
      </c>
      <c r="C944" s="157" t="s">
        <v>927</v>
      </c>
      <c r="D944" s="159">
        <v>117.04</v>
      </c>
      <c r="E944" s="159">
        <v>379.5</v>
      </c>
      <c r="F944" s="159">
        <v>44416.68</v>
      </c>
      <c r="G944" s="160" t="s">
        <v>5447</v>
      </c>
      <c r="H944" s="34" t="s">
        <v>925</v>
      </c>
    </row>
    <row r="945" spans="1:8" ht="16.5">
      <c r="A945" s="160">
        <v>6</v>
      </c>
      <c r="B945" s="160" t="s">
        <v>4871</v>
      </c>
      <c r="C945" s="157" t="s">
        <v>927</v>
      </c>
      <c r="D945" s="159">
        <v>117.04</v>
      </c>
      <c r="E945" s="159">
        <v>260.08999999999997</v>
      </c>
      <c r="F945" s="159">
        <v>30440.93</v>
      </c>
      <c r="G945" s="160" t="s">
        <v>5435</v>
      </c>
    </row>
    <row r="946" spans="1:8" ht="33">
      <c r="A946" s="160">
        <v>7</v>
      </c>
      <c r="B946" s="160" t="s">
        <v>1342</v>
      </c>
      <c r="C946" s="157" t="s">
        <v>18</v>
      </c>
      <c r="D946" s="159">
        <v>12</v>
      </c>
      <c r="E946" s="159">
        <v>33.32</v>
      </c>
      <c r="F946" s="159">
        <v>399.84</v>
      </c>
      <c r="G946" s="160" t="s">
        <v>2</v>
      </c>
      <c r="H946" s="34" t="s">
        <v>925</v>
      </c>
    </row>
    <row r="947" spans="1:8" ht="33">
      <c r="A947" s="160">
        <v>8</v>
      </c>
      <c r="B947" s="160" t="s">
        <v>1344</v>
      </c>
      <c r="C947" s="157" t="s">
        <v>18</v>
      </c>
      <c r="D947" s="159">
        <v>13</v>
      </c>
      <c r="E947" s="159">
        <v>33.32</v>
      </c>
      <c r="F947" s="159">
        <v>433.16</v>
      </c>
      <c r="G947" s="160" t="s">
        <v>2</v>
      </c>
      <c r="H947" s="34" t="s">
        <v>925</v>
      </c>
    </row>
    <row r="948" spans="1:8" ht="33">
      <c r="A948" s="160">
        <v>9</v>
      </c>
      <c r="B948" s="160" t="s">
        <v>931</v>
      </c>
      <c r="C948" s="157" t="s">
        <v>14</v>
      </c>
      <c r="D948" s="159">
        <v>1</v>
      </c>
      <c r="E948" s="159">
        <v>2726.87</v>
      </c>
      <c r="F948" s="159">
        <v>2726.87</v>
      </c>
      <c r="G948" s="160" t="s">
        <v>2</v>
      </c>
      <c r="H948" s="34" t="s">
        <v>925</v>
      </c>
    </row>
    <row r="949" spans="1:8" ht="33">
      <c r="A949" s="160"/>
      <c r="B949" s="160" t="s">
        <v>933</v>
      </c>
      <c r="C949" s="157" t="s">
        <v>3</v>
      </c>
      <c r="D949" s="159">
        <v>100</v>
      </c>
      <c r="E949" s="159"/>
      <c r="F949" s="159">
        <v>93622.51999999999</v>
      </c>
      <c r="G949" s="160"/>
      <c r="H949" s="34" t="s">
        <v>925</v>
      </c>
    </row>
    <row r="950" spans="1:8" ht="33">
      <c r="A950" s="160"/>
      <c r="B950" s="160" t="s">
        <v>934</v>
      </c>
      <c r="C950" s="157" t="s">
        <v>3</v>
      </c>
      <c r="D950" s="159"/>
      <c r="E950" s="159"/>
      <c r="F950" s="159">
        <v>936.23</v>
      </c>
      <c r="G950" s="160"/>
      <c r="H950" s="34" t="s">
        <v>925</v>
      </c>
    </row>
    <row r="951" spans="1:8" ht="33">
      <c r="A951" s="160"/>
      <c r="B951" s="160"/>
      <c r="C951" s="157"/>
      <c r="D951" s="159"/>
      <c r="E951" s="159"/>
      <c r="F951" s="159"/>
      <c r="G951" s="160"/>
      <c r="H951" s="34" t="s">
        <v>925</v>
      </c>
    </row>
    <row r="952" spans="1:8" ht="33">
      <c r="A952" s="160" t="s">
        <v>1416</v>
      </c>
      <c r="B952" s="160" t="s">
        <v>1352</v>
      </c>
      <c r="C952" s="157" t="s">
        <v>3</v>
      </c>
      <c r="D952" s="159">
        <v>100</v>
      </c>
      <c r="E952" s="159">
        <v>511.34</v>
      </c>
      <c r="F952" s="159"/>
      <c r="G952" s="160" t="s">
        <v>2</v>
      </c>
      <c r="H952" s="34" t="s">
        <v>925</v>
      </c>
    </row>
    <row r="953" spans="1:8" ht="33">
      <c r="A953" s="160">
        <v>1</v>
      </c>
      <c r="B953" s="160" t="s">
        <v>1335</v>
      </c>
      <c r="C953" s="157" t="s">
        <v>0</v>
      </c>
      <c r="D953" s="159">
        <v>0.23</v>
      </c>
      <c r="E953" s="159">
        <v>19993</v>
      </c>
      <c r="F953" s="159">
        <v>4598.3900000000003</v>
      </c>
      <c r="G953" s="160" t="s">
        <v>5446</v>
      </c>
      <c r="H953" s="34" t="s">
        <v>925</v>
      </c>
    </row>
    <row r="954" spans="1:8" ht="28.5">
      <c r="A954" s="160">
        <v>2</v>
      </c>
      <c r="B954" s="160" t="s">
        <v>1336</v>
      </c>
      <c r="C954" s="157" t="s">
        <v>0</v>
      </c>
      <c r="D954" s="159">
        <v>0.13</v>
      </c>
      <c r="E954" s="159">
        <v>21288.84</v>
      </c>
      <c r="F954" s="159">
        <v>2767.55</v>
      </c>
      <c r="G954" s="160" t="s">
        <v>2</v>
      </c>
    </row>
    <row r="955" spans="1:8" ht="33">
      <c r="A955" s="160">
        <v>3</v>
      </c>
      <c r="B955" s="160" t="s">
        <v>1338</v>
      </c>
      <c r="C955" s="157" t="s">
        <v>3</v>
      </c>
      <c r="D955" s="159">
        <v>33.299999999999997</v>
      </c>
      <c r="E955" s="159">
        <v>77.75</v>
      </c>
      <c r="F955" s="159">
        <v>2589.08</v>
      </c>
      <c r="G955" s="160" t="s">
        <v>2</v>
      </c>
      <c r="H955" s="34" t="s">
        <v>925</v>
      </c>
    </row>
    <row r="956" spans="1:8" ht="33">
      <c r="A956" s="160">
        <v>4</v>
      </c>
      <c r="B956" s="160" t="s">
        <v>1354</v>
      </c>
      <c r="C956" s="157" t="s">
        <v>14</v>
      </c>
      <c r="D956" s="159">
        <v>1</v>
      </c>
      <c r="E956" s="159">
        <v>1295.8399999999999</v>
      </c>
      <c r="F956" s="159">
        <v>1295.8399999999999</v>
      </c>
      <c r="G956" s="160" t="s">
        <v>2</v>
      </c>
      <c r="H956" s="34" t="s">
        <v>925</v>
      </c>
    </row>
    <row r="957" spans="1:8" ht="33">
      <c r="A957" s="160">
        <v>5</v>
      </c>
      <c r="B957" s="160" t="s">
        <v>4927</v>
      </c>
      <c r="C957" s="157" t="s">
        <v>927</v>
      </c>
      <c r="D957" s="159">
        <v>72</v>
      </c>
      <c r="E957" s="159">
        <v>379.5</v>
      </c>
      <c r="F957" s="159">
        <v>27324</v>
      </c>
      <c r="G957" s="160" t="s">
        <v>5447</v>
      </c>
      <c r="H957" s="34" t="s">
        <v>925</v>
      </c>
    </row>
    <row r="958" spans="1:8" ht="33">
      <c r="A958" s="160">
        <v>6</v>
      </c>
      <c r="B958" s="160" t="s">
        <v>4871</v>
      </c>
      <c r="C958" s="157" t="s">
        <v>927</v>
      </c>
      <c r="D958" s="159">
        <v>40</v>
      </c>
      <c r="E958" s="159">
        <v>260.08999999999997</v>
      </c>
      <c r="F958" s="159">
        <v>10403.6</v>
      </c>
      <c r="G958" s="160" t="s">
        <v>2</v>
      </c>
      <c r="H958" s="34" t="s">
        <v>925</v>
      </c>
    </row>
    <row r="959" spans="1:8" ht="33">
      <c r="A959" s="160">
        <v>7</v>
      </c>
      <c r="B959" s="160" t="s">
        <v>1342</v>
      </c>
      <c r="C959" s="157" t="s">
        <v>18</v>
      </c>
      <c r="D959" s="159">
        <v>10</v>
      </c>
      <c r="E959" s="159">
        <v>33.32</v>
      </c>
      <c r="F959" s="159">
        <v>333.2</v>
      </c>
      <c r="G959" s="160" t="s">
        <v>2</v>
      </c>
      <c r="H959" s="34" t="s">
        <v>925</v>
      </c>
    </row>
    <row r="960" spans="1:8" ht="33">
      <c r="A960" s="160">
        <v>8</v>
      </c>
      <c r="B960" s="160" t="s">
        <v>1344</v>
      </c>
      <c r="C960" s="157" t="s">
        <v>18</v>
      </c>
      <c r="D960" s="159">
        <v>10</v>
      </c>
      <c r="E960" s="159">
        <v>33.32</v>
      </c>
      <c r="F960" s="159">
        <v>333.2</v>
      </c>
      <c r="G960" s="160" t="s">
        <v>2</v>
      </c>
      <c r="H960" s="34" t="s">
        <v>925</v>
      </c>
    </row>
    <row r="961" spans="1:8" ht="33">
      <c r="A961" s="160">
        <v>9</v>
      </c>
      <c r="B961" s="160" t="s">
        <v>931</v>
      </c>
      <c r="C961" s="157" t="s">
        <v>14</v>
      </c>
      <c r="D961" s="159">
        <v>1</v>
      </c>
      <c r="E961" s="159">
        <v>1489.35</v>
      </c>
      <c r="F961" s="159">
        <v>1489.35</v>
      </c>
      <c r="G961" s="160" t="s">
        <v>2</v>
      </c>
      <c r="H961" s="34" t="s">
        <v>925</v>
      </c>
    </row>
    <row r="962" spans="1:8" ht="33">
      <c r="A962" s="160"/>
      <c r="B962" s="160" t="s">
        <v>933</v>
      </c>
      <c r="C962" s="157" t="s">
        <v>3</v>
      </c>
      <c r="D962" s="159">
        <v>100</v>
      </c>
      <c r="E962" s="159"/>
      <c r="F962" s="159">
        <v>51134.209999999992</v>
      </c>
      <c r="G962" s="160"/>
      <c r="H962" s="34" t="s">
        <v>925</v>
      </c>
    </row>
    <row r="963" spans="1:8" ht="16.5">
      <c r="A963" s="160"/>
      <c r="B963" s="160" t="s">
        <v>934</v>
      </c>
      <c r="C963" s="157" t="s">
        <v>3</v>
      </c>
      <c r="D963" s="159"/>
      <c r="E963" s="159"/>
      <c r="F963" s="159">
        <v>511.34</v>
      </c>
      <c r="G963" s="160"/>
    </row>
    <row r="964" spans="1:8" ht="33">
      <c r="A964" s="160"/>
      <c r="B964" s="160"/>
      <c r="C964" s="157"/>
      <c r="D964" s="159"/>
      <c r="E964" s="159"/>
      <c r="F964" s="159"/>
      <c r="G964" s="160"/>
      <c r="H964" s="34" t="s">
        <v>925</v>
      </c>
    </row>
    <row r="965" spans="1:8" ht="42.75">
      <c r="A965" s="160" t="s">
        <v>1419</v>
      </c>
      <c r="B965" s="160" t="s">
        <v>1389</v>
      </c>
      <c r="C965" s="157" t="s">
        <v>3</v>
      </c>
      <c r="D965" s="159">
        <v>100</v>
      </c>
      <c r="E965" s="159">
        <v>639.58000000000004</v>
      </c>
      <c r="F965" s="159"/>
      <c r="G965" s="160" t="s">
        <v>4365</v>
      </c>
      <c r="H965" s="34" t="s">
        <v>925</v>
      </c>
    </row>
    <row r="966" spans="1:8" ht="33">
      <c r="A966" s="160">
        <v>1</v>
      </c>
      <c r="B966" s="160" t="s">
        <v>1335</v>
      </c>
      <c r="C966" s="157" t="s">
        <v>0</v>
      </c>
      <c r="D966" s="159">
        <v>0.23</v>
      </c>
      <c r="E966" s="159">
        <v>19993</v>
      </c>
      <c r="F966" s="159">
        <v>4598.3900000000003</v>
      </c>
      <c r="G966" s="160" t="s">
        <v>5446</v>
      </c>
      <c r="H966" s="34" t="s">
        <v>925</v>
      </c>
    </row>
    <row r="967" spans="1:8" ht="33">
      <c r="A967" s="160">
        <v>2</v>
      </c>
      <c r="B967" s="160" t="s">
        <v>1336</v>
      </c>
      <c r="C967" s="157" t="s">
        <v>0</v>
      </c>
      <c r="D967" s="159">
        <v>0.13</v>
      </c>
      <c r="E967" s="159">
        <v>21288.84</v>
      </c>
      <c r="F967" s="159">
        <v>2767.55</v>
      </c>
      <c r="G967" s="160" t="s">
        <v>2</v>
      </c>
      <c r="H967" s="34" t="s">
        <v>925</v>
      </c>
    </row>
    <row r="968" spans="1:8" ht="33">
      <c r="A968" s="160">
        <v>3</v>
      </c>
      <c r="B968" s="160" t="s">
        <v>1338</v>
      </c>
      <c r="C968" s="157" t="s">
        <v>3</v>
      </c>
      <c r="D968" s="159">
        <v>33.299999999999997</v>
      </c>
      <c r="E968" s="159">
        <v>77.75</v>
      </c>
      <c r="F968" s="159">
        <v>2589.08</v>
      </c>
      <c r="G968" s="160" t="s">
        <v>2</v>
      </c>
      <c r="H968" s="34" t="s">
        <v>925</v>
      </c>
    </row>
    <row r="969" spans="1:8" ht="33">
      <c r="A969" s="160">
        <v>4</v>
      </c>
      <c r="B969" s="160" t="s">
        <v>1354</v>
      </c>
      <c r="C969" s="157" t="s">
        <v>14</v>
      </c>
      <c r="D969" s="159">
        <v>1</v>
      </c>
      <c r="E969" s="159">
        <v>1295.8399999999999</v>
      </c>
      <c r="F969" s="159">
        <v>1295.8399999999999</v>
      </c>
      <c r="G969" s="160" t="s">
        <v>2</v>
      </c>
      <c r="H969" s="34" t="s">
        <v>925</v>
      </c>
    </row>
    <row r="970" spans="1:8" ht="33">
      <c r="A970" s="160">
        <v>5</v>
      </c>
      <c r="B970" s="160" t="s">
        <v>4927</v>
      </c>
      <c r="C970" s="157" t="s">
        <v>927</v>
      </c>
      <c r="D970" s="159">
        <v>95.76</v>
      </c>
      <c r="E970" s="159">
        <v>379.5</v>
      </c>
      <c r="F970" s="159">
        <v>36340.92</v>
      </c>
      <c r="G970" s="160" t="s">
        <v>5447</v>
      </c>
      <c r="H970" s="34" t="s">
        <v>925</v>
      </c>
    </row>
    <row r="971" spans="1:8" ht="33">
      <c r="A971" s="160">
        <v>6</v>
      </c>
      <c r="B971" s="160" t="s">
        <v>4871</v>
      </c>
      <c r="C971" s="157" t="s">
        <v>927</v>
      </c>
      <c r="D971" s="159">
        <v>53.2</v>
      </c>
      <c r="E971" s="159">
        <v>260.08999999999997</v>
      </c>
      <c r="F971" s="159">
        <v>13836.79</v>
      </c>
      <c r="G971" s="160" t="s">
        <v>5435</v>
      </c>
      <c r="H971" s="34" t="s">
        <v>925</v>
      </c>
    </row>
    <row r="972" spans="1:8" ht="16.5">
      <c r="A972" s="160">
        <v>7</v>
      </c>
      <c r="B972" s="160" t="s">
        <v>1342</v>
      </c>
      <c r="C972" s="157" t="s">
        <v>18</v>
      </c>
      <c r="D972" s="159">
        <v>10</v>
      </c>
      <c r="E972" s="159">
        <v>33.32</v>
      </c>
      <c r="F972" s="159">
        <v>333.2</v>
      </c>
      <c r="G972" s="160" t="s">
        <v>2</v>
      </c>
    </row>
    <row r="973" spans="1:8" ht="33">
      <c r="A973" s="160">
        <v>8</v>
      </c>
      <c r="B973" s="160" t="s">
        <v>1344</v>
      </c>
      <c r="C973" s="157" t="s">
        <v>18</v>
      </c>
      <c r="D973" s="159">
        <v>10</v>
      </c>
      <c r="E973" s="159">
        <v>33.32</v>
      </c>
      <c r="F973" s="159">
        <v>333.2</v>
      </c>
      <c r="G973" s="160" t="s">
        <v>2</v>
      </c>
      <c r="H973" s="34" t="s">
        <v>925</v>
      </c>
    </row>
    <row r="974" spans="1:8" ht="33">
      <c r="A974" s="160">
        <v>9</v>
      </c>
      <c r="B974" s="160" t="s">
        <v>931</v>
      </c>
      <c r="C974" s="157" t="s">
        <v>14</v>
      </c>
      <c r="D974" s="159">
        <v>1</v>
      </c>
      <c r="E974" s="159">
        <v>1862.85</v>
      </c>
      <c r="F974" s="159">
        <v>1862.85</v>
      </c>
      <c r="G974" s="160" t="s">
        <v>2</v>
      </c>
      <c r="H974" s="34" t="s">
        <v>925</v>
      </c>
    </row>
    <row r="975" spans="1:8" ht="33">
      <c r="A975" s="160"/>
      <c r="B975" s="160" t="s">
        <v>933</v>
      </c>
      <c r="C975" s="157" t="s">
        <v>3</v>
      </c>
      <c r="D975" s="159">
        <v>100</v>
      </c>
      <c r="E975" s="159"/>
      <c r="F975" s="159">
        <v>63957.819999999992</v>
      </c>
      <c r="G975" s="160"/>
      <c r="H975" s="34" t="s">
        <v>925</v>
      </c>
    </row>
    <row r="976" spans="1:8" ht="33">
      <c r="A976" s="160"/>
      <c r="B976" s="160" t="s">
        <v>934</v>
      </c>
      <c r="C976" s="157" t="s">
        <v>3</v>
      </c>
      <c r="D976" s="159"/>
      <c r="E976" s="159"/>
      <c r="F976" s="159">
        <v>639.58000000000004</v>
      </c>
      <c r="G976" s="160"/>
      <c r="H976" s="34" t="s">
        <v>925</v>
      </c>
    </row>
    <row r="977" spans="1:8" ht="33">
      <c r="A977" s="160"/>
      <c r="B977" s="160"/>
      <c r="C977" s="157"/>
      <c r="D977" s="159"/>
      <c r="E977" s="159"/>
      <c r="F977" s="159"/>
      <c r="G977" s="160"/>
      <c r="H977" s="34" t="s">
        <v>925</v>
      </c>
    </row>
    <row r="978" spans="1:8" ht="33">
      <c r="A978" s="160" t="s">
        <v>1424</v>
      </c>
      <c r="B978" s="160" t="s">
        <v>4531</v>
      </c>
      <c r="C978" s="157" t="s">
        <v>3</v>
      </c>
      <c r="D978" s="159">
        <v>100</v>
      </c>
      <c r="E978" s="159">
        <v>1016.51</v>
      </c>
      <c r="F978" s="159"/>
      <c r="G978" s="160" t="s">
        <v>2</v>
      </c>
      <c r="H978" s="34" t="s">
        <v>925</v>
      </c>
    </row>
    <row r="979" spans="1:8" ht="33">
      <c r="A979" s="160">
        <v>1</v>
      </c>
      <c r="B979" s="160" t="s">
        <v>1335</v>
      </c>
      <c r="C979" s="157" t="s">
        <v>0</v>
      </c>
      <c r="D979" s="159">
        <v>0.23</v>
      </c>
      <c r="E979" s="159">
        <v>19993</v>
      </c>
      <c r="F979" s="159">
        <v>4598.3900000000003</v>
      </c>
      <c r="G979" s="160" t="s">
        <v>5446</v>
      </c>
      <c r="H979" s="34" t="s">
        <v>925</v>
      </c>
    </row>
    <row r="980" spans="1:8" ht="33">
      <c r="A980" s="160">
        <v>2</v>
      </c>
      <c r="B980" s="160" t="s">
        <v>1336</v>
      </c>
      <c r="C980" s="157" t="s">
        <v>0</v>
      </c>
      <c r="D980" s="159">
        <v>0.13</v>
      </c>
      <c r="E980" s="159">
        <v>21288.84</v>
      </c>
      <c r="F980" s="159">
        <v>2767.55</v>
      </c>
      <c r="G980" s="160" t="s">
        <v>2</v>
      </c>
      <c r="H980" s="34" t="s">
        <v>925</v>
      </c>
    </row>
    <row r="981" spans="1:8" ht="16.5">
      <c r="A981" s="160">
        <v>3</v>
      </c>
      <c r="B981" s="160" t="s">
        <v>1338</v>
      </c>
      <c r="C981" s="157" t="s">
        <v>3</v>
      </c>
      <c r="D981" s="159">
        <v>33.299999999999997</v>
      </c>
      <c r="E981" s="159">
        <v>77.75</v>
      </c>
      <c r="F981" s="159">
        <v>2589.08</v>
      </c>
      <c r="G981" s="160" t="s">
        <v>2</v>
      </c>
    </row>
    <row r="982" spans="1:8" ht="33">
      <c r="A982" s="160">
        <v>4</v>
      </c>
      <c r="B982" s="160" t="s">
        <v>1354</v>
      </c>
      <c r="C982" s="157" t="s">
        <v>14</v>
      </c>
      <c r="D982" s="159">
        <v>1</v>
      </c>
      <c r="E982" s="159">
        <v>1295.8399999999999</v>
      </c>
      <c r="F982" s="159">
        <v>1295.8399999999999</v>
      </c>
      <c r="G982" s="160" t="s">
        <v>2</v>
      </c>
      <c r="H982" s="34" t="s">
        <v>925</v>
      </c>
    </row>
    <row r="983" spans="1:8" ht="33">
      <c r="A983" s="160">
        <v>5</v>
      </c>
      <c r="B983" s="160" t="s">
        <v>4930</v>
      </c>
      <c r="C983" s="157" t="s">
        <v>927</v>
      </c>
      <c r="D983" s="159">
        <v>82.8</v>
      </c>
      <c r="E983" s="159">
        <v>758.99</v>
      </c>
      <c r="F983" s="159">
        <v>62844.37</v>
      </c>
      <c r="G983" s="160" t="s">
        <v>5447</v>
      </c>
      <c r="H983" s="34" t="s">
        <v>925</v>
      </c>
    </row>
    <row r="984" spans="1:8" ht="33">
      <c r="A984" s="160">
        <v>6</v>
      </c>
      <c r="B984" s="160" t="s">
        <v>4874</v>
      </c>
      <c r="C984" s="157" t="s">
        <v>927</v>
      </c>
      <c r="D984" s="159">
        <v>46</v>
      </c>
      <c r="E984" s="159">
        <v>520.19000000000005</v>
      </c>
      <c r="F984" s="159">
        <v>23928.74</v>
      </c>
      <c r="G984" s="160" t="s">
        <v>5436</v>
      </c>
      <c r="H984" s="34" t="s">
        <v>925</v>
      </c>
    </row>
    <row r="985" spans="1:8" ht="33">
      <c r="A985" s="160">
        <v>7</v>
      </c>
      <c r="B985" s="160" t="s">
        <v>1342</v>
      </c>
      <c r="C985" s="157" t="s">
        <v>18</v>
      </c>
      <c r="D985" s="159">
        <v>10</v>
      </c>
      <c r="E985" s="159">
        <v>33.32</v>
      </c>
      <c r="F985" s="159">
        <v>333.2</v>
      </c>
      <c r="G985" s="160" t="s">
        <v>2</v>
      </c>
      <c r="H985" s="34" t="s">
        <v>925</v>
      </c>
    </row>
    <row r="986" spans="1:8" ht="33">
      <c r="A986" s="160">
        <v>8</v>
      </c>
      <c r="B986" s="160" t="s">
        <v>1344</v>
      </c>
      <c r="C986" s="157" t="s">
        <v>18</v>
      </c>
      <c r="D986" s="159">
        <v>10</v>
      </c>
      <c r="E986" s="159">
        <v>33.32</v>
      </c>
      <c r="F986" s="159">
        <v>333.2</v>
      </c>
      <c r="G986" s="160" t="s">
        <v>2</v>
      </c>
      <c r="H986" s="34" t="s">
        <v>925</v>
      </c>
    </row>
    <row r="987" spans="1:8" ht="33">
      <c r="A987" s="160">
        <v>9</v>
      </c>
      <c r="B987" s="160" t="s">
        <v>931</v>
      </c>
      <c r="C987" s="157" t="s">
        <v>14</v>
      </c>
      <c r="D987" s="159">
        <v>1</v>
      </c>
      <c r="E987" s="159">
        <v>2960.71</v>
      </c>
      <c r="F987" s="159">
        <v>2960.71</v>
      </c>
      <c r="G987" s="160" t="s">
        <v>2</v>
      </c>
      <c r="H987" s="34" t="s">
        <v>925</v>
      </c>
    </row>
    <row r="988" spans="1:8" ht="33">
      <c r="A988" s="160"/>
      <c r="B988" s="160" t="s">
        <v>933</v>
      </c>
      <c r="C988" s="157" t="s">
        <v>3</v>
      </c>
      <c r="D988" s="159">
        <v>100</v>
      </c>
      <c r="E988" s="159"/>
      <c r="F988" s="159">
        <v>101651.08000000002</v>
      </c>
      <c r="G988" s="160"/>
      <c r="H988" s="34" t="s">
        <v>925</v>
      </c>
    </row>
    <row r="989" spans="1:8" ht="33">
      <c r="A989" s="160"/>
      <c r="B989" s="160" t="s">
        <v>934</v>
      </c>
      <c r="C989" s="157" t="s">
        <v>3</v>
      </c>
      <c r="D989" s="159"/>
      <c r="E989" s="159"/>
      <c r="F989" s="159">
        <v>1016.51</v>
      </c>
      <c r="G989" s="160"/>
      <c r="H989" s="34" t="s">
        <v>925</v>
      </c>
    </row>
    <row r="990" spans="1:8" ht="16.5">
      <c r="A990" s="160"/>
      <c r="B990" s="160"/>
      <c r="C990" s="157"/>
      <c r="D990" s="159"/>
      <c r="E990" s="159"/>
      <c r="F990" s="159"/>
      <c r="G990" s="160"/>
    </row>
    <row r="991" spans="1:8" ht="33">
      <c r="A991" s="160" t="s">
        <v>1429</v>
      </c>
      <c r="B991" s="160" t="s">
        <v>1357</v>
      </c>
      <c r="C991" s="157" t="s">
        <v>3</v>
      </c>
      <c r="D991" s="159">
        <v>10</v>
      </c>
      <c r="E991" s="159">
        <v>608.94000000000005</v>
      </c>
      <c r="F991" s="159"/>
      <c r="G991" s="160" t="s">
        <v>4372</v>
      </c>
      <c r="H991" s="34" t="s">
        <v>925</v>
      </c>
    </row>
    <row r="992" spans="1:8" ht="33">
      <c r="A992" s="160">
        <v>1</v>
      </c>
      <c r="B992" s="160" t="s">
        <v>1335</v>
      </c>
      <c r="C992" s="157" t="s">
        <v>0</v>
      </c>
      <c r="D992" s="159">
        <v>0.03</v>
      </c>
      <c r="E992" s="159">
        <v>19993</v>
      </c>
      <c r="F992" s="159">
        <v>599.79</v>
      </c>
      <c r="G992" s="160" t="s">
        <v>5446</v>
      </c>
      <c r="H992" s="34" t="s">
        <v>925</v>
      </c>
    </row>
    <row r="993" spans="1:8" ht="33">
      <c r="A993" s="160">
        <v>2</v>
      </c>
      <c r="B993" s="160" t="s">
        <v>1336</v>
      </c>
      <c r="C993" s="157" t="s">
        <v>0</v>
      </c>
      <c r="D993" s="159">
        <v>0.02</v>
      </c>
      <c r="E993" s="159">
        <v>21288.84</v>
      </c>
      <c r="F993" s="159">
        <v>425.78</v>
      </c>
      <c r="G993" s="160" t="s">
        <v>2</v>
      </c>
      <c r="H993" s="34" t="s">
        <v>925</v>
      </c>
    </row>
    <row r="994" spans="1:8" ht="33">
      <c r="A994" s="160">
        <v>3</v>
      </c>
      <c r="B994" s="160" t="s">
        <v>1349</v>
      </c>
      <c r="C994" s="157" t="s">
        <v>14</v>
      </c>
      <c r="D994" s="159">
        <v>1</v>
      </c>
      <c r="E994" s="159">
        <v>214.74</v>
      </c>
      <c r="F994" s="159">
        <v>214.74</v>
      </c>
      <c r="G994" s="160" t="s">
        <v>2</v>
      </c>
      <c r="H994" s="34" t="s">
        <v>925</v>
      </c>
    </row>
    <row r="995" spans="1:8" ht="33">
      <c r="A995" s="160">
        <v>4</v>
      </c>
      <c r="B995" s="160" t="s">
        <v>4927</v>
      </c>
      <c r="C995" s="157" t="s">
        <v>927</v>
      </c>
      <c r="D995" s="159">
        <v>7.2</v>
      </c>
      <c r="E995" s="159">
        <v>379.5</v>
      </c>
      <c r="F995" s="159">
        <v>2732.4</v>
      </c>
      <c r="G995" s="160" t="s">
        <v>5447</v>
      </c>
      <c r="H995" s="34" t="s">
        <v>925</v>
      </c>
    </row>
    <row r="996" spans="1:8" ht="33">
      <c r="A996" s="160">
        <v>5</v>
      </c>
      <c r="B996" s="160" t="s">
        <v>4871</v>
      </c>
      <c r="C996" s="157" t="s">
        <v>927</v>
      </c>
      <c r="D996" s="159">
        <v>7.2</v>
      </c>
      <c r="E996" s="159">
        <v>260.08999999999997</v>
      </c>
      <c r="F996" s="159">
        <v>1872.65</v>
      </c>
      <c r="G996" s="160" t="s">
        <v>2</v>
      </c>
      <c r="H996" s="34" t="s">
        <v>925</v>
      </c>
    </row>
    <row r="997" spans="1:8" ht="33">
      <c r="A997" s="160">
        <v>6</v>
      </c>
      <c r="B997" s="160" t="s">
        <v>1342</v>
      </c>
      <c r="C997" s="157" t="s">
        <v>18</v>
      </c>
      <c r="D997" s="159">
        <v>1</v>
      </c>
      <c r="E997" s="159">
        <v>33.32</v>
      </c>
      <c r="F997" s="159">
        <v>33.32</v>
      </c>
      <c r="G997" s="160" t="s">
        <v>2</v>
      </c>
      <c r="H997" s="34" t="s">
        <v>925</v>
      </c>
    </row>
    <row r="998" spans="1:8" ht="33">
      <c r="A998" s="160">
        <v>7</v>
      </c>
      <c r="B998" s="160" t="s">
        <v>1344</v>
      </c>
      <c r="C998" s="157" t="s">
        <v>18</v>
      </c>
      <c r="D998" s="159">
        <v>1</v>
      </c>
      <c r="E998" s="159">
        <v>33.32</v>
      </c>
      <c r="F998" s="159">
        <v>33.32</v>
      </c>
      <c r="G998" s="160" t="s">
        <v>2</v>
      </c>
      <c r="H998" s="34" t="s">
        <v>925</v>
      </c>
    </row>
    <row r="999" spans="1:8" ht="16.5">
      <c r="A999" s="160">
        <v>8</v>
      </c>
      <c r="B999" s="160" t="s">
        <v>931</v>
      </c>
      <c r="C999" s="157" t="s">
        <v>14</v>
      </c>
      <c r="D999" s="159">
        <v>1</v>
      </c>
      <c r="E999" s="159">
        <v>177.36</v>
      </c>
      <c r="F999" s="159">
        <v>177.36</v>
      </c>
      <c r="G999" s="160" t="s">
        <v>2</v>
      </c>
    </row>
    <row r="1000" spans="1:8" ht="33">
      <c r="A1000" s="160"/>
      <c r="B1000" s="160" t="s">
        <v>933</v>
      </c>
      <c r="C1000" s="157" t="s">
        <v>3</v>
      </c>
      <c r="D1000" s="159">
        <v>10</v>
      </c>
      <c r="E1000" s="159"/>
      <c r="F1000" s="159">
        <v>6089.36</v>
      </c>
      <c r="G1000" s="160"/>
      <c r="H1000" s="34" t="s">
        <v>925</v>
      </c>
    </row>
    <row r="1001" spans="1:8" ht="33">
      <c r="A1001" s="160"/>
      <c r="B1001" s="160" t="s">
        <v>934</v>
      </c>
      <c r="C1001" s="157" t="s">
        <v>3</v>
      </c>
      <c r="D1001" s="159"/>
      <c r="E1001" s="159"/>
      <c r="F1001" s="159">
        <v>608.94000000000005</v>
      </c>
      <c r="G1001" s="160"/>
      <c r="H1001" s="34" t="s">
        <v>925</v>
      </c>
    </row>
    <row r="1002" spans="1:8" ht="33">
      <c r="A1002" s="160"/>
      <c r="B1002" s="160"/>
      <c r="C1002" s="157"/>
      <c r="D1002" s="159"/>
      <c r="E1002" s="159"/>
      <c r="F1002" s="159"/>
      <c r="G1002" s="160"/>
      <c r="H1002" s="34" t="s">
        <v>925</v>
      </c>
    </row>
    <row r="1003" spans="1:8" ht="71.25">
      <c r="A1003" s="160" t="s">
        <v>1430</v>
      </c>
      <c r="B1003" s="160" t="s">
        <v>1392</v>
      </c>
      <c r="C1003" s="157" t="s">
        <v>3</v>
      </c>
      <c r="D1003" s="159">
        <v>10</v>
      </c>
      <c r="E1003" s="159">
        <v>765.73</v>
      </c>
      <c r="F1003" s="159"/>
      <c r="G1003" s="160" t="s">
        <v>4375</v>
      </c>
      <c r="H1003" s="34" t="s">
        <v>925</v>
      </c>
    </row>
    <row r="1004" spans="1:8" ht="33">
      <c r="A1004" s="160">
        <v>1</v>
      </c>
      <c r="B1004" s="160" t="s">
        <v>1335</v>
      </c>
      <c r="C1004" s="157" t="s">
        <v>0</v>
      </c>
      <c r="D1004" s="159">
        <v>0.03</v>
      </c>
      <c r="E1004" s="159">
        <v>19993</v>
      </c>
      <c r="F1004" s="159">
        <v>599.79</v>
      </c>
      <c r="G1004" s="160" t="s">
        <v>5446</v>
      </c>
      <c r="H1004" s="34" t="s">
        <v>925</v>
      </c>
    </row>
    <row r="1005" spans="1:8" ht="33">
      <c r="A1005" s="160">
        <v>2</v>
      </c>
      <c r="B1005" s="160" t="s">
        <v>1336</v>
      </c>
      <c r="C1005" s="157" t="s">
        <v>0</v>
      </c>
      <c r="D1005" s="159">
        <v>0.02</v>
      </c>
      <c r="E1005" s="159">
        <v>21288.84</v>
      </c>
      <c r="F1005" s="159">
        <v>425.78</v>
      </c>
      <c r="G1005" s="160" t="s">
        <v>2</v>
      </c>
      <c r="H1005" s="34" t="s">
        <v>925</v>
      </c>
    </row>
    <row r="1006" spans="1:8" ht="33">
      <c r="A1006" s="160">
        <v>3</v>
      </c>
      <c r="B1006" s="160" t="s">
        <v>1349</v>
      </c>
      <c r="C1006" s="157" t="s">
        <v>14</v>
      </c>
      <c r="D1006" s="159">
        <v>1</v>
      </c>
      <c r="E1006" s="159">
        <v>214.74</v>
      </c>
      <c r="F1006" s="159">
        <v>214.74</v>
      </c>
      <c r="G1006" s="160" t="s">
        <v>2</v>
      </c>
      <c r="H1006" s="34" t="s">
        <v>925</v>
      </c>
    </row>
    <row r="1007" spans="1:8" ht="33">
      <c r="A1007" s="160">
        <v>4</v>
      </c>
      <c r="B1007" s="160" t="s">
        <v>4927</v>
      </c>
      <c r="C1007" s="157" t="s">
        <v>927</v>
      </c>
      <c r="D1007" s="159">
        <v>9.58</v>
      </c>
      <c r="E1007" s="159">
        <v>379.5</v>
      </c>
      <c r="F1007" s="159">
        <v>3635.61</v>
      </c>
      <c r="G1007" s="160" t="s">
        <v>5447</v>
      </c>
      <c r="H1007" s="34" t="s">
        <v>925</v>
      </c>
    </row>
    <row r="1008" spans="1:8" ht="16.5">
      <c r="A1008" s="160">
        <v>5</v>
      </c>
      <c r="B1008" s="160" t="s">
        <v>4871</v>
      </c>
      <c r="C1008" s="157" t="s">
        <v>927</v>
      </c>
      <c r="D1008" s="159">
        <v>9.58</v>
      </c>
      <c r="E1008" s="159">
        <v>260.08999999999997</v>
      </c>
      <c r="F1008" s="159">
        <v>2491.66</v>
      </c>
      <c r="G1008" s="160" t="s">
        <v>5435</v>
      </c>
    </row>
    <row r="1009" spans="1:8" ht="33">
      <c r="A1009" s="160">
        <v>6</v>
      </c>
      <c r="B1009" s="160" t="s">
        <v>1342</v>
      </c>
      <c r="C1009" s="157" t="s">
        <v>18</v>
      </c>
      <c r="D1009" s="159">
        <v>1</v>
      </c>
      <c r="E1009" s="159">
        <v>33.32</v>
      </c>
      <c r="F1009" s="159">
        <v>33.32</v>
      </c>
      <c r="G1009" s="160" t="s">
        <v>2</v>
      </c>
      <c r="H1009" s="34" t="s">
        <v>925</v>
      </c>
    </row>
    <row r="1010" spans="1:8" ht="33">
      <c r="A1010" s="160">
        <v>7</v>
      </c>
      <c r="B1010" s="160" t="s">
        <v>1344</v>
      </c>
      <c r="C1010" s="157" t="s">
        <v>18</v>
      </c>
      <c r="D1010" s="159">
        <v>1</v>
      </c>
      <c r="E1010" s="159">
        <v>33.32</v>
      </c>
      <c r="F1010" s="159">
        <v>33.32</v>
      </c>
      <c r="G1010" s="160" t="s">
        <v>2</v>
      </c>
      <c r="H1010" s="34" t="s">
        <v>925</v>
      </c>
    </row>
    <row r="1011" spans="1:8" ht="33">
      <c r="A1011" s="160">
        <v>8</v>
      </c>
      <c r="B1011" s="160" t="s">
        <v>931</v>
      </c>
      <c r="C1011" s="157" t="s">
        <v>14</v>
      </c>
      <c r="D1011" s="159">
        <v>1</v>
      </c>
      <c r="E1011" s="159">
        <v>223.03</v>
      </c>
      <c r="F1011" s="159">
        <v>223.03</v>
      </c>
      <c r="G1011" s="160" t="s">
        <v>2</v>
      </c>
      <c r="H1011" s="34" t="s">
        <v>925</v>
      </c>
    </row>
    <row r="1012" spans="1:8" ht="33">
      <c r="A1012" s="160"/>
      <c r="B1012" s="160" t="s">
        <v>933</v>
      </c>
      <c r="C1012" s="157" t="s">
        <v>3</v>
      </c>
      <c r="D1012" s="159">
        <v>10</v>
      </c>
      <c r="E1012" s="159"/>
      <c r="F1012" s="159">
        <v>7657.2499999999991</v>
      </c>
      <c r="G1012" s="160"/>
      <c r="H1012" s="34" t="s">
        <v>925</v>
      </c>
    </row>
    <row r="1013" spans="1:8" ht="33">
      <c r="A1013" s="160"/>
      <c r="B1013" s="160" t="s">
        <v>934</v>
      </c>
      <c r="C1013" s="157" t="s">
        <v>3</v>
      </c>
      <c r="D1013" s="159"/>
      <c r="E1013" s="159"/>
      <c r="F1013" s="159">
        <v>765.73</v>
      </c>
      <c r="G1013" s="160"/>
      <c r="H1013" s="34" t="s">
        <v>925</v>
      </c>
    </row>
    <row r="1014" spans="1:8" ht="33">
      <c r="A1014" s="160"/>
      <c r="B1014" s="160"/>
      <c r="C1014" s="157"/>
      <c r="D1014" s="159"/>
      <c r="E1014" s="159"/>
      <c r="F1014" s="159"/>
      <c r="G1014" s="160"/>
      <c r="H1014" s="34" t="s">
        <v>925</v>
      </c>
    </row>
    <row r="1015" spans="1:8" ht="33">
      <c r="A1015" s="160" t="s">
        <v>1432</v>
      </c>
      <c r="B1015" s="160" t="s">
        <v>1360</v>
      </c>
      <c r="C1015" s="157" t="s">
        <v>3</v>
      </c>
      <c r="D1015" s="159">
        <v>10</v>
      </c>
      <c r="E1015" s="159">
        <v>387.95</v>
      </c>
      <c r="F1015" s="159"/>
      <c r="G1015" s="160" t="s">
        <v>4373</v>
      </c>
      <c r="H1015" s="34" t="s">
        <v>925</v>
      </c>
    </row>
    <row r="1016" spans="1:8" ht="33">
      <c r="A1016" s="160">
        <v>1</v>
      </c>
      <c r="B1016" s="160" t="s">
        <v>1335</v>
      </c>
      <c r="C1016" s="157" t="s">
        <v>0</v>
      </c>
      <c r="D1016" s="159">
        <v>0.02</v>
      </c>
      <c r="E1016" s="159">
        <v>19993</v>
      </c>
      <c r="F1016" s="159">
        <v>399.86</v>
      </c>
      <c r="G1016" s="160" t="s">
        <v>5446</v>
      </c>
      <c r="H1016" s="34" t="s">
        <v>925</v>
      </c>
    </row>
    <row r="1017" spans="1:8" ht="28.5">
      <c r="A1017" s="160">
        <v>2</v>
      </c>
      <c r="B1017" s="160" t="s">
        <v>1336</v>
      </c>
      <c r="C1017" s="157" t="s">
        <v>0</v>
      </c>
      <c r="D1017" s="159">
        <v>0.01</v>
      </c>
      <c r="E1017" s="159">
        <v>21288.84</v>
      </c>
      <c r="F1017" s="159">
        <v>212.89</v>
      </c>
      <c r="G1017" s="160" t="s">
        <v>2</v>
      </c>
    </row>
    <row r="1018" spans="1:8" ht="33">
      <c r="A1018" s="160">
        <v>3</v>
      </c>
      <c r="B1018" s="160" t="s">
        <v>1354</v>
      </c>
      <c r="C1018" s="157" t="s">
        <v>14</v>
      </c>
      <c r="D1018" s="159">
        <v>1</v>
      </c>
      <c r="E1018" s="159">
        <v>129.58000000000001</v>
      </c>
      <c r="F1018" s="159">
        <v>129.58000000000001</v>
      </c>
      <c r="G1018" s="160" t="s">
        <v>2</v>
      </c>
      <c r="H1018" s="34" t="s">
        <v>925</v>
      </c>
    </row>
    <row r="1019" spans="1:8" ht="33">
      <c r="A1019" s="160">
        <v>4</v>
      </c>
      <c r="B1019" s="160" t="s">
        <v>4927</v>
      </c>
      <c r="C1019" s="157" t="s">
        <v>927</v>
      </c>
      <c r="D1019" s="159">
        <v>5.6</v>
      </c>
      <c r="E1019" s="159">
        <v>379.5</v>
      </c>
      <c r="F1019" s="159">
        <v>2125.1999999999998</v>
      </c>
      <c r="G1019" s="160" t="s">
        <v>5447</v>
      </c>
      <c r="H1019" s="34" t="s">
        <v>925</v>
      </c>
    </row>
    <row r="1020" spans="1:8" ht="33">
      <c r="A1020" s="160">
        <v>5</v>
      </c>
      <c r="B1020" s="160" t="s">
        <v>4871</v>
      </c>
      <c r="C1020" s="157" t="s">
        <v>927</v>
      </c>
      <c r="D1020" s="159">
        <v>3.2</v>
      </c>
      <c r="E1020" s="159">
        <v>260.08999999999997</v>
      </c>
      <c r="F1020" s="159">
        <v>832.29</v>
      </c>
      <c r="G1020" s="160" t="s">
        <v>2</v>
      </c>
      <c r="H1020" s="34" t="s">
        <v>925</v>
      </c>
    </row>
    <row r="1021" spans="1:8" ht="33">
      <c r="A1021" s="160">
        <v>6</v>
      </c>
      <c r="B1021" s="160" t="s">
        <v>1342</v>
      </c>
      <c r="C1021" s="157" t="s">
        <v>18</v>
      </c>
      <c r="D1021" s="159">
        <v>1</v>
      </c>
      <c r="E1021" s="159">
        <v>33.32</v>
      </c>
      <c r="F1021" s="159">
        <v>33.32</v>
      </c>
      <c r="G1021" s="160" t="s">
        <v>2</v>
      </c>
      <c r="H1021" s="34" t="s">
        <v>925</v>
      </c>
    </row>
    <row r="1022" spans="1:8" ht="33">
      <c r="A1022" s="160">
        <v>7</v>
      </c>
      <c r="B1022" s="160" t="s">
        <v>1344</v>
      </c>
      <c r="C1022" s="157" t="s">
        <v>18</v>
      </c>
      <c r="D1022" s="159">
        <v>1</v>
      </c>
      <c r="E1022" s="159">
        <v>33.32</v>
      </c>
      <c r="F1022" s="159">
        <v>33.32</v>
      </c>
      <c r="G1022" s="160" t="s">
        <v>2</v>
      </c>
      <c r="H1022" s="34" t="s">
        <v>925</v>
      </c>
    </row>
    <row r="1023" spans="1:8" ht="33">
      <c r="A1023" s="160">
        <v>8</v>
      </c>
      <c r="B1023" s="160" t="s">
        <v>931</v>
      </c>
      <c r="C1023" s="157" t="s">
        <v>14</v>
      </c>
      <c r="D1023" s="159">
        <v>1</v>
      </c>
      <c r="E1023" s="159">
        <v>112.99</v>
      </c>
      <c r="F1023" s="159">
        <v>112.99</v>
      </c>
      <c r="G1023" s="160" t="s">
        <v>2</v>
      </c>
      <c r="H1023" s="34" t="s">
        <v>925</v>
      </c>
    </row>
    <row r="1024" spans="1:8" ht="33">
      <c r="A1024" s="160"/>
      <c r="B1024" s="160" t="s">
        <v>933</v>
      </c>
      <c r="C1024" s="157" t="s">
        <v>3</v>
      </c>
      <c r="D1024" s="159">
        <v>10</v>
      </c>
      <c r="E1024" s="159"/>
      <c r="F1024" s="159">
        <v>3879.45</v>
      </c>
      <c r="G1024" s="160"/>
      <c r="H1024" s="34" t="s">
        <v>925</v>
      </c>
    </row>
    <row r="1025" spans="1:8" ht="33">
      <c r="A1025" s="160"/>
      <c r="B1025" s="160" t="s">
        <v>934</v>
      </c>
      <c r="C1025" s="157" t="s">
        <v>3</v>
      </c>
      <c r="D1025" s="159"/>
      <c r="E1025" s="159"/>
      <c r="F1025" s="159">
        <v>387.95</v>
      </c>
      <c r="G1025" s="160"/>
      <c r="H1025" s="34" t="s">
        <v>925</v>
      </c>
    </row>
    <row r="1026" spans="1:8" ht="16.5">
      <c r="A1026" s="160"/>
      <c r="B1026" s="160"/>
      <c r="C1026" s="157"/>
      <c r="D1026" s="159"/>
      <c r="E1026" s="159"/>
      <c r="F1026" s="159"/>
      <c r="G1026" s="160"/>
    </row>
    <row r="1027" spans="1:8" ht="57">
      <c r="A1027" s="160" t="s">
        <v>1434</v>
      </c>
      <c r="B1027" s="160" t="s">
        <v>1395</v>
      </c>
      <c r="C1027" s="157" t="s">
        <v>3</v>
      </c>
      <c r="D1027" s="159">
        <v>10</v>
      </c>
      <c r="E1027" s="159">
        <v>488.66</v>
      </c>
      <c r="F1027" s="159"/>
      <c r="G1027" s="160" t="s">
        <v>4376</v>
      </c>
      <c r="H1027" s="34" t="s">
        <v>925</v>
      </c>
    </row>
    <row r="1028" spans="1:8" ht="33">
      <c r="A1028" s="160">
        <v>1</v>
      </c>
      <c r="B1028" s="160" t="s">
        <v>1335</v>
      </c>
      <c r="C1028" s="157" t="s">
        <v>0</v>
      </c>
      <c r="D1028" s="159">
        <v>0.02</v>
      </c>
      <c r="E1028" s="159">
        <v>19993</v>
      </c>
      <c r="F1028" s="159">
        <v>399.86</v>
      </c>
      <c r="G1028" s="160" t="s">
        <v>5446</v>
      </c>
      <c r="H1028" s="34" t="s">
        <v>925</v>
      </c>
    </row>
    <row r="1029" spans="1:8" ht="33">
      <c r="A1029" s="160">
        <v>2</v>
      </c>
      <c r="B1029" s="160" t="s">
        <v>1336</v>
      </c>
      <c r="C1029" s="157" t="s">
        <v>0</v>
      </c>
      <c r="D1029" s="159">
        <v>0.01</v>
      </c>
      <c r="E1029" s="159">
        <v>21288.84</v>
      </c>
      <c r="F1029" s="159">
        <v>212.89</v>
      </c>
      <c r="G1029" s="160" t="s">
        <v>2</v>
      </c>
      <c r="H1029" s="34" t="s">
        <v>925</v>
      </c>
    </row>
    <row r="1030" spans="1:8" ht="33">
      <c r="A1030" s="160">
        <v>3</v>
      </c>
      <c r="B1030" s="160" t="s">
        <v>1354</v>
      </c>
      <c r="C1030" s="157" t="s">
        <v>14</v>
      </c>
      <c r="D1030" s="159">
        <v>1</v>
      </c>
      <c r="E1030" s="159">
        <v>129.58000000000001</v>
      </c>
      <c r="F1030" s="159">
        <v>129.58000000000001</v>
      </c>
      <c r="G1030" s="160" t="s">
        <v>2</v>
      </c>
      <c r="H1030" s="34" t="s">
        <v>925</v>
      </c>
    </row>
    <row r="1031" spans="1:8" ht="33">
      <c r="A1031" s="160">
        <v>4</v>
      </c>
      <c r="B1031" s="160" t="s">
        <v>4927</v>
      </c>
      <c r="C1031" s="157" t="s">
        <v>927</v>
      </c>
      <c r="D1031" s="159">
        <v>7.45</v>
      </c>
      <c r="E1031" s="159">
        <v>379.5</v>
      </c>
      <c r="F1031" s="159">
        <v>2827.28</v>
      </c>
      <c r="G1031" s="160" t="s">
        <v>5447</v>
      </c>
      <c r="H1031" s="34" t="s">
        <v>925</v>
      </c>
    </row>
    <row r="1032" spans="1:8" ht="33">
      <c r="A1032" s="160">
        <v>5</v>
      </c>
      <c r="B1032" s="160" t="s">
        <v>4871</v>
      </c>
      <c r="C1032" s="157" t="s">
        <v>927</v>
      </c>
      <c r="D1032" s="159">
        <v>4.26</v>
      </c>
      <c r="E1032" s="159">
        <v>260.08999999999997</v>
      </c>
      <c r="F1032" s="159">
        <v>1107.98</v>
      </c>
      <c r="G1032" s="160" t="s">
        <v>5435</v>
      </c>
      <c r="H1032" s="34" t="s">
        <v>925</v>
      </c>
    </row>
    <row r="1033" spans="1:8" ht="33">
      <c r="A1033" s="160">
        <v>6</v>
      </c>
      <c r="B1033" s="160" t="s">
        <v>1342</v>
      </c>
      <c r="C1033" s="157" t="s">
        <v>18</v>
      </c>
      <c r="D1033" s="159">
        <v>1</v>
      </c>
      <c r="E1033" s="159">
        <v>33.32</v>
      </c>
      <c r="F1033" s="159">
        <v>33.32</v>
      </c>
      <c r="G1033" s="160" t="s">
        <v>2</v>
      </c>
      <c r="H1033" s="34" t="s">
        <v>925</v>
      </c>
    </row>
    <row r="1034" spans="1:8" ht="33">
      <c r="A1034" s="160">
        <v>7</v>
      </c>
      <c r="B1034" s="160" t="s">
        <v>1344</v>
      </c>
      <c r="C1034" s="157" t="s">
        <v>18</v>
      </c>
      <c r="D1034" s="159">
        <v>1</v>
      </c>
      <c r="E1034" s="159">
        <v>33.32</v>
      </c>
      <c r="F1034" s="159">
        <v>33.32</v>
      </c>
      <c r="G1034" s="160" t="s">
        <v>2</v>
      </c>
      <c r="H1034" s="34" t="s">
        <v>925</v>
      </c>
    </row>
    <row r="1035" spans="1:8" ht="16.5">
      <c r="A1035" s="160">
        <v>8</v>
      </c>
      <c r="B1035" s="160" t="s">
        <v>931</v>
      </c>
      <c r="C1035" s="157" t="s">
        <v>14</v>
      </c>
      <c r="D1035" s="159">
        <v>1</v>
      </c>
      <c r="E1035" s="159">
        <v>142.33000000000001</v>
      </c>
      <c r="F1035" s="159">
        <v>142.33000000000001</v>
      </c>
      <c r="G1035" s="160" t="s">
        <v>2</v>
      </c>
    </row>
    <row r="1036" spans="1:8" ht="33">
      <c r="A1036" s="160"/>
      <c r="B1036" s="160" t="s">
        <v>933</v>
      </c>
      <c r="C1036" s="157" t="s">
        <v>3</v>
      </c>
      <c r="D1036" s="159">
        <v>10</v>
      </c>
      <c r="E1036" s="159"/>
      <c r="F1036" s="159">
        <v>4886.5599999999995</v>
      </c>
      <c r="G1036" s="160"/>
      <c r="H1036" s="34" t="s">
        <v>925</v>
      </c>
    </row>
    <row r="1037" spans="1:8" ht="33">
      <c r="A1037" s="160"/>
      <c r="B1037" s="160" t="s">
        <v>934</v>
      </c>
      <c r="C1037" s="157" t="s">
        <v>3</v>
      </c>
      <c r="D1037" s="159"/>
      <c r="E1037" s="159"/>
      <c r="F1037" s="159">
        <v>488.66</v>
      </c>
      <c r="G1037" s="160"/>
      <c r="H1037" s="34" t="s">
        <v>925</v>
      </c>
    </row>
    <row r="1038" spans="1:8" ht="33">
      <c r="A1038" s="160"/>
      <c r="B1038" s="160"/>
      <c r="C1038" s="157"/>
      <c r="D1038" s="159"/>
      <c r="E1038" s="159"/>
      <c r="F1038" s="159"/>
      <c r="G1038" s="160"/>
      <c r="H1038" s="34" t="s">
        <v>925</v>
      </c>
    </row>
    <row r="1039" spans="1:8" ht="33">
      <c r="A1039" s="160" t="s">
        <v>1436</v>
      </c>
      <c r="B1039" s="160" t="s">
        <v>4537</v>
      </c>
      <c r="C1039" s="157" t="s">
        <v>3</v>
      </c>
      <c r="D1039" s="159">
        <v>10</v>
      </c>
      <c r="E1039" s="159">
        <v>783.95</v>
      </c>
      <c r="F1039" s="159"/>
      <c r="G1039" s="160" t="s">
        <v>4373</v>
      </c>
      <c r="H1039" s="34" t="s">
        <v>925</v>
      </c>
    </row>
    <row r="1040" spans="1:8" ht="33">
      <c r="A1040" s="160">
        <v>1</v>
      </c>
      <c r="B1040" s="160" t="s">
        <v>1335</v>
      </c>
      <c r="C1040" s="157" t="s">
        <v>0</v>
      </c>
      <c r="D1040" s="159">
        <v>0.02</v>
      </c>
      <c r="E1040" s="159">
        <v>19993</v>
      </c>
      <c r="F1040" s="159">
        <v>399.86</v>
      </c>
      <c r="G1040" s="160" t="s">
        <v>5446</v>
      </c>
      <c r="H1040" s="34" t="s">
        <v>925</v>
      </c>
    </row>
    <row r="1041" spans="1:8" ht="33">
      <c r="A1041" s="160">
        <v>2</v>
      </c>
      <c r="B1041" s="160" t="s">
        <v>1336</v>
      </c>
      <c r="C1041" s="157" t="s">
        <v>0</v>
      </c>
      <c r="D1041" s="159">
        <v>0.01</v>
      </c>
      <c r="E1041" s="159">
        <v>21288.84</v>
      </c>
      <c r="F1041" s="159">
        <v>212.89</v>
      </c>
      <c r="G1041" s="160" t="s">
        <v>2</v>
      </c>
      <c r="H1041" s="34" t="s">
        <v>925</v>
      </c>
    </row>
    <row r="1042" spans="1:8" ht="33">
      <c r="A1042" s="160">
        <v>3</v>
      </c>
      <c r="B1042" s="160" t="s">
        <v>1354</v>
      </c>
      <c r="C1042" s="157" t="s">
        <v>14</v>
      </c>
      <c r="D1042" s="159">
        <v>1</v>
      </c>
      <c r="E1042" s="159">
        <v>129.58000000000001</v>
      </c>
      <c r="F1042" s="159">
        <v>129.58000000000001</v>
      </c>
      <c r="G1042" s="160" t="s">
        <v>2</v>
      </c>
      <c r="H1042" s="34" t="s">
        <v>925</v>
      </c>
    </row>
    <row r="1043" spans="1:8" ht="33">
      <c r="A1043" s="160">
        <v>4</v>
      </c>
      <c r="B1043" s="160" t="s">
        <v>4930</v>
      </c>
      <c r="C1043" s="157" t="s">
        <v>927</v>
      </c>
      <c r="D1043" s="159">
        <v>6.44</v>
      </c>
      <c r="E1043" s="159">
        <v>758.99</v>
      </c>
      <c r="F1043" s="159">
        <v>4887.8999999999996</v>
      </c>
      <c r="G1043" s="160" t="s">
        <v>5447</v>
      </c>
      <c r="H1043" s="34" t="s">
        <v>925</v>
      </c>
    </row>
    <row r="1044" spans="1:8" ht="28.5">
      <c r="A1044" s="160">
        <v>5</v>
      </c>
      <c r="B1044" s="160" t="s">
        <v>4874</v>
      </c>
      <c r="C1044" s="157" t="s">
        <v>927</v>
      </c>
      <c r="D1044" s="159">
        <v>3.68</v>
      </c>
      <c r="E1044" s="159">
        <v>520.19000000000005</v>
      </c>
      <c r="F1044" s="159">
        <v>1914.3</v>
      </c>
      <c r="G1044" s="160" t="s">
        <v>5436</v>
      </c>
    </row>
    <row r="1045" spans="1:8" ht="33">
      <c r="A1045" s="160">
        <v>6</v>
      </c>
      <c r="B1045" s="160" t="s">
        <v>1342</v>
      </c>
      <c r="C1045" s="157" t="s">
        <v>18</v>
      </c>
      <c r="D1045" s="159">
        <v>1</v>
      </c>
      <c r="E1045" s="159">
        <v>33.32</v>
      </c>
      <c r="F1045" s="159">
        <v>33.32</v>
      </c>
      <c r="G1045" s="160" t="s">
        <v>2</v>
      </c>
      <c r="H1045" s="34" t="s">
        <v>925</v>
      </c>
    </row>
    <row r="1046" spans="1:8" ht="33">
      <c r="A1046" s="160">
        <v>7</v>
      </c>
      <c r="B1046" s="160" t="s">
        <v>1344</v>
      </c>
      <c r="C1046" s="157" t="s">
        <v>18</v>
      </c>
      <c r="D1046" s="159">
        <v>1</v>
      </c>
      <c r="E1046" s="159">
        <v>33.32</v>
      </c>
      <c r="F1046" s="159">
        <v>33.32</v>
      </c>
      <c r="G1046" s="160" t="s">
        <v>2</v>
      </c>
      <c r="H1046" s="34" t="s">
        <v>925</v>
      </c>
    </row>
    <row r="1047" spans="1:8" ht="33">
      <c r="A1047" s="160">
        <v>8</v>
      </c>
      <c r="B1047" s="160" t="s">
        <v>931</v>
      </c>
      <c r="C1047" s="157" t="s">
        <v>14</v>
      </c>
      <c r="D1047" s="159">
        <v>1</v>
      </c>
      <c r="E1047" s="159">
        <v>228.34</v>
      </c>
      <c r="F1047" s="159">
        <v>228.34</v>
      </c>
      <c r="G1047" s="160" t="s">
        <v>2</v>
      </c>
      <c r="H1047" s="34" t="s">
        <v>925</v>
      </c>
    </row>
    <row r="1048" spans="1:8" ht="33">
      <c r="A1048" s="160"/>
      <c r="B1048" s="160" t="s">
        <v>933</v>
      </c>
      <c r="C1048" s="157" t="s">
        <v>3</v>
      </c>
      <c r="D1048" s="159">
        <v>10</v>
      </c>
      <c r="E1048" s="159"/>
      <c r="F1048" s="159">
        <v>7839.5099999999993</v>
      </c>
      <c r="G1048" s="160"/>
      <c r="H1048" s="34" t="s">
        <v>925</v>
      </c>
    </row>
    <row r="1049" spans="1:8" ht="33">
      <c r="A1049" s="160"/>
      <c r="B1049" s="160" t="s">
        <v>934</v>
      </c>
      <c r="C1049" s="157" t="s">
        <v>3</v>
      </c>
      <c r="D1049" s="159"/>
      <c r="E1049" s="159"/>
      <c r="F1049" s="159">
        <v>783.95</v>
      </c>
      <c r="G1049" s="160"/>
      <c r="H1049" s="34" t="s">
        <v>925</v>
      </c>
    </row>
    <row r="1050" spans="1:8" ht="33">
      <c r="A1050" s="160"/>
      <c r="B1050" s="160"/>
      <c r="C1050" s="157"/>
      <c r="D1050" s="159"/>
      <c r="E1050" s="159"/>
      <c r="F1050" s="159"/>
      <c r="G1050" s="160"/>
      <c r="H1050" s="34" t="s">
        <v>925</v>
      </c>
    </row>
    <row r="1051" spans="1:8" ht="28.5">
      <c r="A1051" s="160" t="s">
        <v>1447</v>
      </c>
      <c r="B1051" s="160" t="s">
        <v>404</v>
      </c>
      <c r="C1051" s="157" t="s">
        <v>17</v>
      </c>
      <c r="D1051" s="159">
        <v>10</v>
      </c>
      <c r="E1051" s="159">
        <v>593.49</v>
      </c>
      <c r="F1051" s="159"/>
      <c r="G1051" s="160" t="s">
        <v>2</v>
      </c>
    </row>
    <row r="1052" spans="1:8" ht="33">
      <c r="A1052" s="160">
        <v>1</v>
      </c>
      <c r="B1052" s="160" t="s">
        <v>1364</v>
      </c>
      <c r="C1052" s="157" t="s">
        <v>3</v>
      </c>
      <c r="D1052" s="159">
        <v>0.25</v>
      </c>
      <c r="E1052" s="159">
        <v>2776.81</v>
      </c>
      <c r="F1052" s="159">
        <v>694.2</v>
      </c>
      <c r="G1052" s="160" t="s">
        <v>5448</v>
      </c>
      <c r="H1052" s="34" t="s">
        <v>925</v>
      </c>
    </row>
    <row r="1053" spans="1:8" ht="33">
      <c r="A1053" s="160">
        <v>2</v>
      </c>
      <c r="B1053" s="160" t="s">
        <v>1366</v>
      </c>
      <c r="C1053" s="157" t="s">
        <v>14</v>
      </c>
      <c r="D1053" s="159">
        <v>1</v>
      </c>
      <c r="E1053" s="159">
        <v>462.8</v>
      </c>
      <c r="F1053" s="159">
        <v>462.8</v>
      </c>
      <c r="G1053" s="160" t="s">
        <v>2</v>
      </c>
      <c r="H1053" s="34" t="s">
        <v>925</v>
      </c>
    </row>
    <row r="1054" spans="1:8" ht="33">
      <c r="A1054" s="160">
        <v>3</v>
      </c>
      <c r="B1054" s="160" t="s">
        <v>4927</v>
      </c>
      <c r="C1054" s="157" t="s">
        <v>927</v>
      </c>
      <c r="D1054" s="159">
        <v>7.2</v>
      </c>
      <c r="E1054" s="159">
        <v>379.5</v>
      </c>
      <c r="F1054" s="159">
        <v>2732.4</v>
      </c>
      <c r="G1054" s="160" t="s">
        <v>5447</v>
      </c>
      <c r="H1054" s="34" t="s">
        <v>925</v>
      </c>
    </row>
    <row r="1055" spans="1:8" ht="33">
      <c r="A1055" s="160">
        <v>4</v>
      </c>
      <c r="B1055" s="160" t="s">
        <v>4871</v>
      </c>
      <c r="C1055" s="157" t="s">
        <v>927</v>
      </c>
      <c r="D1055" s="159">
        <v>7.2</v>
      </c>
      <c r="E1055" s="159">
        <v>260.08999999999997</v>
      </c>
      <c r="F1055" s="159">
        <v>1872.65</v>
      </c>
      <c r="G1055" s="160" t="s">
        <v>5435</v>
      </c>
      <c r="H1055" s="34" t="s">
        <v>925</v>
      </c>
    </row>
    <row r="1056" spans="1:8" ht="33">
      <c r="A1056" s="160">
        <v>5</v>
      </c>
      <c r="B1056" s="160" t="s">
        <v>931</v>
      </c>
      <c r="C1056" s="157" t="s">
        <v>14</v>
      </c>
      <c r="D1056" s="159">
        <v>1</v>
      </c>
      <c r="E1056" s="159">
        <v>172.86</v>
      </c>
      <c r="F1056" s="159">
        <v>172.86</v>
      </c>
      <c r="G1056" s="160" t="s">
        <v>2</v>
      </c>
      <c r="H1056" s="34" t="s">
        <v>925</v>
      </c>
    </row>
    <row r="1057" spans="1:8" ht="33">
      <c r="A1057" s="160"/>
      <c r="B1057" s="160" t="s">
        <v>933</v>
      </c>
      <c r="C1057" s="157" t="s">
        <v>17</v>
      </c>
      <c r="D1057" s="159">
        <v>10</v>
      </c>
      <c r="E1057" s="159"/>
      <c r="F1057" s="159">
        <v>5934.91</v>
      </c>
      <c r="G1057" s="160"/>
      <c r="H1057" s="34" t="s">
        <v>925</v>
      </c>
    </row>
    <row r="1058" spans="1:8" ht="16.5">
      <c r="A1058" s="160"/>
      <c r="B1058" s="160" t="s">
        <v>934</v>
      </c>
      <c r="C1058" s="157" t="s">
        <v>17</v>
      </c>
      <c r="D1058" s="159"/>
      <c r="E1058" s="159"/>
      <c r="F1058" s="159">
        <v>593.49</v>
      </c>
      <c r="G1058" s="160"/>
    </row>
    <row r="1059" spans="1:8" ht="33">
      <c r="A1059" s="160"/>
      <c r="B1059" s="160"/>
      <c r="C1059" s="157"/>
      <c r="D1059" s="159"/>
      <c r="E1059" s="159"/>
      <c r="F1059" s="159"/>
      <c r="G1059" s="160"/>
      <c r="H1059" s="34" t="s">
        <v>925</v>
      </c>
    </row>
    <row r="1060" spans="1:8" ht="33">
      <c r="A1060" s="160" t="s">
        <v>1454</v>
      </c>
      <c r="B1060" s="160" t="s">
        <v>1369</v>
      </c>
      <c r="C1060" s="157" t="s">
        <v>3</v>
      </c>
      <c r="D1060" s="159">
        <v>10</v>
      </c>
      <c r="E1060" s="159">
        <v>354.08</v>
      </c>
      <c r="F1060" s="159"/>
      <c r="G1060" s="160" t="s">
        <v>2</v>
      </c>
      <c r="H1060" s="34" t="s">
        <v>925</v>
      </c>
    </row>
    <row r="1061" spans="1:8" ht="33">
      <c r="A1061" s="160">
        <v>1</v>
      </c>
      <c r="B1061" s="160" t="s">
        <v>1364</v>
      </c>
      <c r="C1061" s="157" t="s">
        <v>3</v>
      </c>
      <c r="D1061" s="159">
        <v>0.25</v>
      </c>
      <c r="E1061" s="159">
        <v>2776.81</v>
      </c>
      <c r="F1061" s="159">
        <v>694.2</v>
      </c>
      <c r="G1061" s="160" t="s">
        <v>5448</v>
      </c>
      <c r="H1061" s="34" t="s">
        <v>925</v>
      </c>
    </row>
    <row r="1062" spans="1:8" ht="33">
      <c r="A1062" s="160">
        <v>2</v>
      </c>
      <c r="B1062" s="160" t="s">
        <v>1366</v>
      </c>
      <c r="C1062" s="157" t="s">
        <v>14</v>
      </c>
      <c r="D1062" s="159">
        <v>1</v>
      </c>
      <c r="E1062" s="159">
        <v>185.12</v>
      </c>
      <c r="F1062" s="159">
        <v>185.12</v>
      </c>
      <c r="G1062" s="160" t="s">
        <v>2</v>
      </c>
      <c r="H1062" s="34" t="s">
        <v>925</v>
      </c>
    </row>
    <row r="1063" spans="1:8" ht="33">
      <c r="A1063" s="160">
        <v>3</v>
      </c>
      <c r="B1063" s="160" t="s">
        <v>4927</v>
      </c>
      <c r="C1063" s="157" t="s">
        <v>927</v>
      </c>
      <c r="D1063" s="159">
        <v>4</v>
      </c>
      <c r="E1063" s="159">
        <v>379.5</v>
      </c>
      <c r="F1063" s="159">
        <v>1518</v>
      </c>
      <c r="G1063" s="160" t="s">
        <v>5447</v>
      </c>
      <c r="H1063" s="34" t="s">
        <v>925</v>
      </c>
    </row>
    <row r="1064" spans="1:8" ht="33">
      <c r="A1064" s="160">
        <v>4</v>
      </c>
      <c r="B1064" s="160" t="s">
        <v>4871</v>
      </c>
      <c r="C1064" s="157" t="s">
        <v>927</v>
      </c>
      <c r="D1064" s="159">
        <v>4</v>
      </c>
      <c r="E1064" s="159">
        <v>260.08999999999997</v>
      </c>
      <c r="F1064" s="159">
        <v>1040.3599999999999</v>
      </c>
      <c r="G1064" s="160" t="s">
        <v>5435</v>
      </c>
      <c r="H1064" s="34" t="s">
        <v>925</v>
      </c>
    </row>
    <row r="1065" spans="1:8" ht="33">
      <c r="A1065" s="160">
        <v>5</v>
      </c>
      <c r="B1065" s="160" t="s">
        <v>931</v>
      </c>
      <c r="C1065" s="157" t="s">
        <v>14</v>
      </c>
      <c r="D1065" s="159">
        <v>1</v>
      </c>
      <c r="E1065" s="159">
        <v>103.13</v>
      </c>
      <c r="F1065" s="159">
        <v>103.13</v>
      </c>
      <c r="G1065" s="160" t="s">
        <v>2</v>
      </c>
      <c r="H1065" s="34" t="s">
        <v>925</v>
      </c>
    </row>
    <row r="1066" spans="1:8" ht="16.5">
      <c r="A1066" s="160"/>
      <c r="B1066" s="160" t="s">
        <v>933</v>
      </c>
      <c r="C1066" s="157" t="s">
        <v>3</v>
      </c>
      <c r="D1066" s="159">
        <v>10</v>
      </c>
      <c r="E1066" s="159"/>
      <c r="F1066" s="159">
        <v>3540.8100000000004</v>
      </c>
      <c r="G1066" s="160"/>
    </row>
    <row r="1067" spans="1:8" ht="33">
      <c r="A1067" s="160"/>
      <c r="B1067" s="160" t="s">
        <v>934</v>
      </c>
      <c r="C1067" s="157" t="s">
        <v>3</v>
      </c>
      <c r="D1067" s="159"/>
      <c r="E1067" s="159"/>
      <c r="F1067" s="159">
        <v>354.08</v>
      </c>
      <c r="G1067" s="160"/>
      <c r="H1067" s="34" t="s">
        <v>925</v>
      </c>
    </row>
    <row r="1068" spans="1:8" ht="33">
      <c r="A1068" s="160"/>
      <c r="B1068" s="160"/>
      <c r="C1068" s="157"/>
      <c r="D1068" s="159"/>
      <c r="E1068" s="159"/>
      <c r="F1068" s="159"/>
      <c r="G1068" s="160"/>
      <c r="H1068" s="34" t="s">
        <v>925</v>
      </c>
    </row>
    <row r="1069" spans="1:8" ht="33">
      <c r="A1069" s="160" t="s">
        <v>1459</v>
      </c>
      <c r="B1069" s="160" t="s">
        <v>1372</v>
      </c>
      <c r="C1069" s="157" t="s">
        <v>17</v>
      </c>
      <c r="D1069" s="159">
        <v>10</v>
      </c>
      <c r="E1069" s="159">
        <v>722.08</v>
      </c>
      <c r="F1069" s="159"/>
      <c r="G1069" s="160" t="s">
        <v>2</v>
      </c>
      <c r="H1069" s="34" t="s">
        <v>925</v>
      </c>
    </row>
    <row r="1070" spans="1:8" ht="33">
      <c r="A1070" s="160">
        <v>1</v>
      </c>
      <c r="B1070" s="160" t="s">
        <v>1364</v>
      </c>
      <c r="C1070" s="157" t="s">
        <v>3</v>
      </c>
      <c r="D1070" s="159">
        <v>0.25</v>
      </c>
      <c r="E1070" s="159">
        <v>2776.81</v>
      </c>
      <c r="F1070" s="159">
        <v>694.2</v>
      </c>
      <c r="G1070" s="160" t="s">
        <v>5448</v>
      </c>
      <c r="H1070" s="34" t="s">
        <v>925</v>
      </c>
    </row>
    <row r="1071" spans="1:8" ht="33">
      <c r="A1071" s="160">
        <v>2</v>
      </c>
      <c r="B1071" s="160" t="s">
        <v>1366</v>
      </c>
      <c r="C1071" s="157" t="s">
        <v>14</v>
      </c>
      <c r="D1071" s="159">
        <v>1</v>
      </c>
      <c r="E1071" s="159">
        <v>462.8</v>
      </c>
      <c r="F1071" s="159">
        <v>462.8</v>
      </c>
      <c r="G1071" s="160" t="s">
        <v>2</v>
      </c>
      <c r="H1071" s="34" t="s">
        <v>925</v>
      </c>
    </row>
    <row r="1072" spans="1:8" ht="33">
      <c r="A1072" s="160">
        <v>3</v>
      </c>
      <c r="B1072" s="160" t="s">
        <v>4927</v>
      </c>
      <c r="C1072" s="157" t="s">
        <v>927</v>
      </c>
      <c r="D1072" s="159">
        <v>7.2</v>
      </c>
      <c r="E1072" s="159">
        <v>379.5</v>
      </c>
      <c r="F1072" s="159">
        <v>2732.4</v>
      </c>
      <c r="G1072" s="160" t="s">
        <v>5447</v>
      </c>
      <c r="H1072" s="34" t="s">
        <v>925</v>
      </c>
    </row>
    <row r="1073" spans="1:8" ht="33">
      <c r="A1073" s="160">
        <v>4</v>
      </c>
      <c r="B1073" s="160" t="s">
        <v>4871</v>
      </c>
      <c r="C1073" s="157" t="s">
        <v>927</v>
      </c>
      <c r="D1073" s="159">
        <v>12</v>
      </c>
      <c r="E1073" s="159">
        <v>260.08999999999997</v>
      </c>
      <c r="F1073" s="159">
        <v>3121.08</v>
      </c>
      <c r="G1073" s="160" t="s">
        <v>5435</v>
      </c>
      <c r="H1073" s="34" t="s">
        <v>925</v>
      </c>
    </row>
    <row r="1074" spans="1:8" ht="16.5">
      <c r="A1074" s="160">
        <v>5</v>
      </c>
      <c r="B1074" s="160" t="s">
        <v>931</v>
      </c>
      <c r="C1074" s="157" t="s">
        <v>14</v>
      </c>
      <c r="D1074" s="159">
        <v>1</v>
      </c>
      <c r="E1074" s="159">
        <v>210.31</v>
      </c>
      <c r="F1074" s="159">
        <v>210.31</v>
      </c>
      <c r="G1074" s="160" t="s">
        <v>2</v>
      </c>
    </row>
    <row r="1075" spans="1:8" ht="33">
      <c r="A1075" s="160"/>
      <c r="B1075" s="160" t="s">
        <v>933</v>
      </c>
      <c r="C1075" s="157" t="s">
        <v>17</v>
      </c>
      <c r="D1075" s="159">
        <v>10</v>
      </c>
      <c r="E1075" s="159"/>
      <c r="F1075" s="159">
        <v>7220.79</v>
      </c>
      <c r="G1075" s="160"/>
      <c r="H1075" s="34" t="s">
        <v>925</v>
      </c>
    </row>
    <row r="1076" spans="1:8" ht="33">
      <c r="A1076" s="160"/>
      <c r="B1076" s="160" t="s">
        <v>934</v>
      </c>
      <c r="C1076" s="157" t="s">
        <v>17</v>
      </c>
      <c r="D1076" s="159"/>
      <c r="E1076" s="159"/>
      <c r="F1076" s="159">
        <v>722.08</v>
      </c>
      <c r="G1076" s="160"/>
      <c r="H1076" s="34" t="s">
        <v>925</v>
      </c>
    </row>
    <row r="1077" spans="1:8" ht="33">
      <c r="A1077" s="160"/>
      <c r="B1077" s="160"/>
      <c r="C1077" s="157"/>
      <c r="D1077" s="159"/>
      <c r="E1077" s="159"/>
      <c r="F1077" s="159"/>
      <c r="G1077" s="160"/>
      <c r="H1077" s="34" t="s">
        <v>925</v>
      </c>
    </row>
    <row r="1078" spans="1:8" ht="33">
      <c r="A1078" s="160" t="s">
        <v>1468</v>
      </c>
      <c r="B1078" s="160" t="s">
        <v>1375</v>
      </c>
      <c r="C1078" s="157" t="s">
        <v>3</v>
      </c>
      <c r="D1078" s="159">
        <v>10</v>
      </c>
      <c r="E1078" s="159">
        <v>427.91</v>
      </c>
      <c r="F1078" s="159"/>
      <c r="G1078" s="160" t="s">
        <v>2</v>
      </c>
      <c r="H1078" s="34" t="s">
        <v>925</v>
      </c>
    </row>
    <row r="1079" spans="1:8" ht="33">
      <c r="A1079" s="160">
        <v>1</v>
      </c>
      <c r="B1079" s="160" t="s">
        <v>1364</v>
      </c>
      <c r="C1079" s="157" t="s">
        <v>3</v>
      </c>
      <c r="D1079" s="159">
        <v>0.25</v>
      </c>
      <c r="E1079" s="159">
        <v>2776.81</v>
      </c>
      <c r="F1079" s="159">
        <v>694.2</v>
      </c>
      <c r="G1079" s="160" t="s">
        <v>5448</v>
      </c>
      <c r="H1079" s="34" t="s">
        <v>925</v>
      </c>
    </row>
    <row r="1080" spans="1:8" ht="33">
      <c r="A1080" s="160">
        <v>2</v>
      </c>
      <c r="B1080" s="160" t="s">
        <v>1366</v>
      </c>
      <c r="C1080" s="157" t="s">
        <v>14</v>
      </c>
      <c r="D1080" s="159">
        <v>1</v>
      </c>
      <c r="E1080" s="159">
        <v>277.68</v>
      </c>
      <c r="F1080" s="159">
        <v>277.68</v>
      </c>
      <c r="G1080" s="160" t="s">
        <v>2</v>
      </c>
      <c r="H1080" s="34" t="s">
        <v>925</v>
      </c>
    </row>
    <row r="1081" spans="1:8" ht="33">
      <c r="A1081" s="160">
        <v>3</v>
      </c>
      <c r="B1081" s="160" t="s">
        <v>4927</v>
      </c>
      <c r="C1081" s="157" t="s">
        <v>927</v>
      </c>
      <c r="D1081" s="159">
        <v>4</v>
      </c>
      <c r="E1081" s="159">
        <v>379.5</v>
      </c>
      <c r="F1081" s="159">
        <v>1518</v>
      </c>
      <c r="G1081" s="160" t="s">
        <v>5447</v>
      </c>
      <c r="H1081" s="34" t="s">
        <v>925</v>
      </c>
    </row>
    <row r="1082" spans="1:8" ht="16.5">
      <c r="A1082" s="160">
        <v>4</v>
      </c>
      <c r="B1082" s="160" t="s">
        <v>4871</v>
      </c>
      <c r="C1082" s="157" t="s">
        <v>927</v>
      </c>
      <c r="D1082" s="159">
        <v>6.4</v>
      </c>
      <c r="E1082" s="159">
        <v>260.08999999999997</v>
      </c>
      <c r="F1082" s="159">
        <v>1664.58</v>
      </c>
      <c r="G1082" s="160" t="s">
        <v>5435</v>
      </c>
    </row>
    <row r="1083" spans="1:8" ht="33">
      <c r="A1083" s="160">
        <v>5</v>
      </c>
      <c r="B1083" s="160" t="s">
        <v>931</v>
      </c>
      <c r="C1083" s="157" t="s">
        <v>14</v>
      </c>
      <c r="D1083" s="159">
        <v>1</v>
      </c>
      <c r="E1083" s="159">
        <v>124.63</v>
      </c>
      <c r="F1083" s="159">
        <v>124.63</v>
      </c>
      <c r="G1083" s="160" t="s">
        <v>2</v>
      </c>
      <c r="H1083" s="34" t="s">
        <v>925</v>
      </c>
    </row>
    <row r="1084" spans="1:8" ht="33">
      <c r="A1084" s="160"/>
      <c r="B1084" s="160" t="s">
        <v>933</v>
      </c>
      <c r="C1084" s="157" t="s">
        <v>3</v>
      </c>
      <c r="D1084" s="159">
        <v>10</v>
      </c>
      <c r="E1084" s="159"/>
      <c r="F1084" s="159">
        <v>4279.09</v>
      </c>
      <c r="G1084" s="160"/>
      <c r="H1084" s="34" t="s">
        <v>925</v>
      </c>
    </row>
    <row r="1085" spans="1:8" ht="33">
      <c r="A1085" s="160"/>
      <c r="B1085" s="160" t="s">
        <v>934</v>
      </c>
      <c r="C1085" s="157" t="s">
        <v>3</v>
      </c>
      <c r="D1085" s="159"/>
      <c r="E1085" s="159"/>
      <c r="F1085" s="159">
        <v>427.91</v>
      </c>
      <c r="G1085" s="160"/>
      <c r="H1085" s="34" t="s">
        <v>925</v>
      </c>
    </row>
    <row r="1086" spans="1:8" ht="33">
      <c r="A1086" s="160"/>
      <c r="B1086" s="160"/>
      <c r="C1086" s="157"/>
      <c r="D1086" s="159"/>
      <c r="E1086" s="159"/>
      <c r="F1086" s="159"/>
      <c r="G1086" s="160"/>
      <c r="H1086" s="34" t="s">
        <v>925</v>
      </c>
    </row>
    <row r="1087" spans="1:8" ht="33">
      <c r="A1087" s="160" t="s">
        <v>1471</v>
      </c>
      <c r="B1087" s="160" t="s">
        <v>1378</v>
      </c>
      <c r="C1087" s="157" t="s">
        <v>17</v>
      </c>
      <c r="D1087" s="159">
        <v>10</v>
      </c>
      <c r="E1087" s="159">
        <v>838.77</v>
      </c>
      <c r="F1087" s="159"/>
      <c r="G1087" s="160" t="s">
        <v>2</v>
      </c>
      <c r="H1087" s="34" t="s">
        <v>925</v>
      </c>
    </row>
    <row r="1088" spans="1:8" ht="33">
      <c r="A1088" s="160">
        <v>1</v>
      </c>
      <c r="B1088" s="160" t="s">
        <v>1364</v>
      </c>
      <c r="C1088" s="157" t="s">
        <v>3</v>
      </c>
      <c r="D1088" s="159">
        <v>0.25</v>
      </c>
      <c r="E1088" s="159">
        <v>2776.81</v>
      </c>
      <c r="F1088" s="159">
        <v>694.2</v>
      </c>
      <c r="G1088" s="160" t="s">
        <v>5448</v>
      </c>
      <c r="H1088" s="34" t="s">
        <v>925</v>
      </c>
    </row>
    <row r="1089" spans="1:8" ht="33">
      <c r="A1089" s="160">
        <v>2</v>
      </c>
      <c r="B1089" s="160" t="s">
        <v>1366</v>
      </c>
      <c r="C1089" s="157" t="s">
        <v>14</v>
      </c>
      <c r="D1089" s="159">
        <v>1</v>
      </c>
      <c r="E1089" s="159">
        <v>555.36</v>
      </c>
      <c r="F1089" s="159">
        <v>555.36</v>
      </c>
      <c r="G1089" s="160" t="s">
        <v>2</v>
      </c>
      <c r="H1089" s="34" t="s">
        <v>925</v>
      </c>
    </row>
    <row r="1090" spans="1:8" ht="33">
      <c r="A1090" s="160">
        <v>3</v>
      </c>
      <c r="B1090" s="160" t="s">
        <v>4927</v>
      </c>
      <c r="C1090" s="157" t="s">
        <v>927</v>
      </c>
      <c r="D1090" s="159">
        <v>7.2</v>
      </c>
      <c r="E1090" s="159">
        <v>379.5</v>
      </c>
      <c r="F1090" s="159">
        <v>2732.4</v>
      </c>
      <c r="G1090" s="160" t="s">
        <v>5447</v>
      </c>
      <c r="H1090" s="34" t="s">
        <v>925</v>
      </c>
    </row>
    <row r="1091" spans="1:8" ht="33">
      <c r="A1091" s="160">
        <v>4</v>
      </c>
      <c r="B1091" s="160" t="s">
        <v>4871</v>
      </c>
      <c r="C1091" s="157" t="s">
        <v>927</v>
      </c>
      <c r="D1091" s="159">
        <v>16</v>
      </c>
      <c r="E1091" s="159">
        <v>260.08999999999997</v>
      </c>
      <c r="F1091" s="159">
        <v>4161.4399999999996</v>
      </c>
      <c r="G1091" s="160" t="s">
        <v>5435</v>
      </c>
      <c r="H1091" s="34" t="s">
        <v>925</v>
      </c>
    </row>
    <row r="1092" spans="1:8" ht="16.5">
      <c r="A1092" s="160">
        <v>5</v>
      </c>
      <c r="B1092" s="160" t="s">
        <v>931</v>
      </c>
      <c r="C1092" s="157" t="s">
        <v>14</v>
      </c>
      <c r="D1092" s="159">
        <v>1</v>
      </c>
      <c r="E1092" s="159">
        <v>244.3</v>
      </c>
      <c r="F1092" s="159">
        <v>244.3</v>
      </c>
      <c r="G1092" s="160" t="s">
        <v>2</v>
      </c>
    </row>
    <row r="1093" spans="1:8" ht="33">
      <c r="A1093" s="160"/>
      <c r="B1093" s="160" t="s">
        <v>933</v>
      </c>
      <c r="C1093" s="157" t="s">
        <v>17</v>
      </c>
      <c r="D1093" s="159">
        <v>10</v>
      </c>
      <c r="E1093" s="159"/>
      <c r="F1093" s="159">
        <v>8387.6999999999989</v>
      </c>
      <c r="G1093" s="160"/>
      <c r="H1093" s="34" t="s">
        <v>925</v>
      </c>
    </row>
    <row r="1094" spans="1:8" ht="33">
      <c r="A1094" s="160"/>
      <c r="B1094" s="160" t="s">
        <v>934</v>
      </c>
      <c r="C1094" s="157" t="s">
        <v>17</v>
      </c>
      <c r="D1094" s="159"/>
      <c r="E1094" s="159"/>
      <c r="F1094" s="159">
        <v>838.77</v>
      </c>
      <c r="G1094" s="160"/>
      <c r="H1094" s="34" t="s">
        <v>925</v>
      </c>
    </row>
    <row r="1095" spans="1:8" ht="33">
      <c r="A1095" s="160"/>
      <c r="B1095" s="160"/>
      <c r="C1095" s="157"/>
      <c r="D1095" s="159"/>
      <c r="E1095" s="159"/>
      <c r="F1095" s="159"/>
      <c r="G1095" s="160"/>
      <c r="H1095" s="34" t="s">
        <v>925</v>
      </c>
    </row>
    <row r="1096" spans="1:8" ht="33">
      <c r="A1096" s="160" t="s">
        <v>1474</v>
      </c>
      <c r="B1096" s="160" t="s">
        <v>1381</v>
      </c>
      <c r="C1096" s="157" t="s">
        <v>3</v>
      </c>
      <c r="D1096" s="159">
        <v>10</v>
      </c>
      <c r="E1096" s="159">
        <v>497.96</v>
      </c>
      <c r="F1096" s="159"/>
      <c r="G1096" s="160" t="s">
        <v>2</v>
      </c>
      <c r="H1096" s="34" t="s">
        <v>925</v>
      </c>
    </row>
    <row r="1097" spans="1:8" ht="33">
      <c r="A1097" s="160">
        <v>1</v>
      </c>
      <c r="B1097" s="160" t="s">
        <v>1364</v>
      </c>
      <c r="C1097" s="157" t="s">
        <v>3</v>
      </c>
      <c r="D1097" s="159">
        <v>0.25</v>
      </c>
      <c r="E1097" s="159">
        <v>2776.81</v>
      </c>
      <c r="F1097" s="159">
        <v>694.2</v>
      </c>
      <c r="G1097" s="160" t="s">
        <v>5448</v>
      </c>
      <c r="H1097" s="34" t="s">
        <v>925</v>
      </c>
    </row>
    <row r="1098" spans="1:8" ht="33">
      <c r="A1098" s="160">
        <v>2</v>
      </c>
      <c r="B1098" s="160" t="s">
        <v>1366</v>
      </c>
      <c r="C1098" s="157" t="s">
        <v>14</v>
      </c>
      <c r="D1098" s="159">
        <v>1</v>
      </c>
      <c r="E1098" s="159">
        <v>370.24</v>
      </c>
      <c r="F1098" s="159">
        <v>370.24</v>
      </c>
      <c r="G1098" s="160" t="s">
        <v>2</v>
      </c>
      <c r="H1098" s="34" t="s">
        <v>925</v>
      </c>
    </row>
    <row r="1099" spans="1:8" ht="33">
      <c r="A1099" s="160">
        <v>3</v>
      </c>
      <c r="B1099" s="160" t="s">
        <v>4927</v>
      </c>
      <c r="C1099" s="157" t="s">
        <v>927</v>
      </c>
      <c r="D1099" s="159">
        <v>5</v>
      </c>
      <c r="E1099" s="159">
        <v>379.5</v>
      </c>
      <c r="F1099" s="159">
        <v>1897.5</v>
      </c>
      <c r="G1099" s="160" t="s">
        <v>5447</v>
      </c>
      <c r="H1099" s="34" t="s">
        <v>925</v>
      </c>
    </row>
    <row r="1100" spans="1:8" ht="33">
      <c r="A1100" s="160">
        <v>4</v>
      </c>
      <c r="B1100" s="160" t="s">
        <v>4871</v>
      </c>
      <c r="C1100" s="157" t="s">
        <v>927</v>
      </c>
      <c r="D1100" s="159">
        <v>7.2</v>
      </c>
      <c r="E1100" s="159">
        <v>260.08999999999997</v>
      </c>
      <c r="F1100" s="159">
        <v>1872.65</v>
      </c>
      <c r="G1100" s="160" t="s">
        <v>5435</v>
      </c>
      <c r="H1100" s="34" t="s">
        <v>925</v>
      </c>
    </row>
    <row r="1101" spans="1:8" ht="33">
      <c r="A1101" s="160">
        <v>5</v>
      </c>
      <c r="B1101" s="160" t="s">
        <v>931</v>
      </c>
      <c r="C1101" s="157" t="s">
        <v>14</v>
      </c>
      <c r="D1101" s="159">
        <v>1</v>
      </c>
      <c r="E1101" s="159">
        <v>145.04</v>
      </c>
      <c r="F1101" s="159">
        <v>145.04</v>
      </c>
      <c r="G1101" s="160" t="s">
        <v>2</v>
      </c>
      <c r="H1101" s="34" t="s">
        <v>925</v>
      </c>
    </row>
    <row r="1102" spans="1:8" ht="16.5">
      <c r="A1102" s="160"/>
      <c r="B1102" s="160" t="s">
        <v>933</v>
      </c>
      <c r="C1102" s="157" t="s">
        <v>3</v>
      </c>
      <c r="D1102" s="159">
        <v>10</v>
      </c>
      <c r="E1102" s="159"/>
      <c r="F1102" s="159">
        <v>4979.63</v>
      </c>
      <c r="G1102" s="160"/>
    </row>
    <row r="1103" spans="1:8" ht="33">
      <c r="A1103" s="160"/>
      <c r="B1103" s="160" t="s">
        <v>934</v>
      </c>
      <c r="C1103" s="157" t="s">
        <v>3</v>
      </c>
      <c r="D1103" s="159"/>
      <c r="E1103" s="159"/>
      <c r="F1103" s="159">
        <v>497.96</v>
      </c>
      <c r="G1103" s="160"/>
      <c r="H1103" s="34" t="s">
        <v>925</v>
      </c>
    </row>
    <row r="1104" spans="1:8" ht="33">
      <c r="A1104" s="160"/>
      <c r="B1104" s="160"/>
      <c r="C1104" s="157"/>
      <c r="D1104" s="159"/>
      <c r="E1104" s="159"/>
      <c r="F1104" s="159"/>
      <c r="G1104" s="160"/>
      <c r="H1104" s="34" t="s">
        <v>925</v>
      </c>
    </row>
    <row r="1105" spans="1:8" ht="42.75">
      <c r="A1105" s="160" t="s">
        <v>1483</v>
      </c>
      <c r="B1105" s="160" t="s">
        <v>404</v>
      </c>
      <c r="C1105" s="157" t="s">
        <v>17</v>
      </c>
      <c r="D1105" s="159">
        <v>10</v>
      </c>
      <c r="E1105" s="159">
        <v>750.28</v>
      </c>
      <c r="F1105" s="159"/>
      <c r="G1105" s="160" t="s">
        <v>4365</v>
      </c>
      <c r="H1105" s="34" t="s">
        <v>925</v>
      </c>
    </row>
    <row r="1106" spans="1:8" ht="33">
      <c r="A1106" s="160">
        <v>1</v>
      </c>
      <c r="B1106" s="160" t="s">
        <v>1364</v>
      </c>
      <c r="C1106" s="157" t="s">
        <v>3</v>
      </c>
      <c r="D1106" s="159">
        <v>0.25</v>
      </c>
      <c r="E1106" s="159">
        <v>2776.81</v>
      </c>
      <c r="F1106" s="159">
        <v>694.2</v>
      </c>
      <c r="G1106" s="160" t="s">
        <v>5448</v>
      </c>
      <c r="H1106" s="34" t="s">
        <v>925</v>
      </c>
    </row>
    <row r="1107" spans="1:8" ht="33">
      <c r="A1107" s="160">
        <v>2</v>
      </c>
      <c r="B1107" s="160" t="s">
        <v>1366</v>
      </c>
      <c r="C1107" s="157" t="s">
        <v>14</v>
      </c>
      <c r="D1107" s="159">
        <v>1</v>
      </c>
      <c r="E1107" s="159">
        <v>462.8</v>
      </c>
      <c r="F1107" s="159">
        <v>462.8</v>
      </c>
      <c r="G1107" s="160" t="s">
        <v>2</v>
      </c>
      <c r="H1107" s="34" t="s">
        <v>925</v>
      </c>
    </row>
    <row r="1108" spans="1:8" ht="33">
      <c r="A1108" s="160">
        <v>3</v>
      </c>
      <c r="B1108" s="160" t="s">
        <v>4927</v>
      </c>
      <c r="C1108" s="157" t="s">
        <v>927</v>
      </c>
      <c r="D1108" s="159">
        <v>9.58</v>
      </c>
      <c r="E1108" s="159">
        <v>379.5</v>
      </c>
      <c r="F1108" s="159">
        <v>3635.61</v>
      </c>
      <c r="G1108" s="160" t="s">
        <v>5447</v>
      </c>
      <c r="H1108" s="34" t="s">
        <v>925</v>
      </c>
    </row>
    <row r="1109" spans="1:8" ht="33">
      <c r="A1109" s="160">
        <v>4</v>
      </c>
      <c r="B1109" s="160" t="s">
        <v>4871</v>
      </c>
      <c r="C1109" s="157" t="s">
        <v>927</v>
      </c>
      <c r="D1109" s="159">
        <v>9.58</v>
      </c>
      <c r="E1109" s="159">
        <v>260.08999999999997</v>
      </c>
      <c r="F1109" s="159">
        <v>2491.66</v>
      </c>
      <c r="G1109" s="160" t="s">
        <v>5435</v>
      </c>
      <c r="H1109" s="34" t="s">
        <v>925</v>
      </c>
    </row>
    <row r="1110" spans="1:8" ht="33">
      <c r="A1110" s="160">
        <v>5</v>
      </c>
      <c r="B1110" s="160" t="s">
        <v>931</v>
      </c>
      <c r="C1110" s="157" t="s">
        <v>14</v>
      </c>
      <c r="D1110" s="159">
        <v>1</v>
      </c>
      <c r="E1110" s="159">
        <v>218.53</v>
      </c>
      <c r="F1110" s="159">
        <v>218.53</v>
      </c>
      <c r="G1110" s="160" t="s">
        <v>2</v>
      </c>
      <c r="H1110" s="34" t="s">
        <v>925</v>
      </c>
    </row>
    <row r="1111" spans="1:8" ht="33">
      <c r="A1111" s="160"/>
      <c r="B1111" s="160" t="s">
        <v>933</v>
      </c>
      <c r="C1111" s="157" t="s">
        <v>17</v>
      </c>
      <c r="D1111" s="159">
        <v>10</v>
      </c>
      <c r="E1111" s="159"/>
      <c r="F1111" s="159">
        <v>7502.8</v>
      </c>
      <c r="G1111" s="160"/>
      <c r="H1111" s="34" t="s">
        <v>925</v>
      </c>
    </row>
    <row r="1112" spans="1:8" ht="16.5">
      <c r="A1112" s="160"/>
      <c r="B1112" s="160" t="s">
        <v>934</v>
      </c>
      <c r="C1112" s="157" t="s">
        <v>17</v>
      </c>
      <c r="D1112" s="159"/>
      <c r="E1112" s="159"/>
      <c r="F1112" s="159">
        <v>750.28</v>
      </c>
      <c r="G1112" s="160"/>
    </row>
    <row r="1113" spans="1:8" ht="33">
      <c r="A1113" s="160"/>
      <c r="B1113" s="160"/>
      <c r="C1113" s="157"/>
      <c r="D1113" s="159"/>
      <c r="E1113" s="159"/>
      <c r="F1113" s="159"/>
      <c r="G1113" s="160"/>
      <c r="H1113" s="34" t="s">
        <v>925</v>
      </c>
    </row>
    <row r="1114" spans="1:8" ht="42.75">
      <c r="A1114" s="160" t="s">
        <v>1488</v>
      </c>
      <c r="B1114" s="160" t="s">
        <v>1369</v>
      </c>
      <c r="C1114" s="157" t="s">
        <v>3</v>
      </c>
      <c r="D1114" s="159">
        <v>10</v>
      </c>
      <c r="E1114" s="159">
        <v>441.04</v>
      </c>
      <c r="F1114" s="159"/>
      <c r="G1114" s="160" t="s">
        <v>4365</v>
      </c>
      <c r="H1114" s="34" t="s">
        <v>925</v>
      </c>
    </row>
    <row r="1115" spans="1:8" ht="33">
      <c r="A1115" s="160">
        <v>1</v>
      </c>
      <c r="B1115" s="160" t="s">
        <v>1364</v>
      </c>
      <c r="C1115" s="157" t="s">
        <v>3</v>
      </c>
      <c r="D1115" s="159">
        <v>0.25</v>
      </c>
      <c r="E1115" s="159">
        <v>2776.81</v>
      </c>
      <c r="F1115" s="159">
        <v>694.2</v>
      </c>
      <c r="G1115" s="160" t="s">
        <v>5448</v>
      </c>
      <c r="H1115" s="34" t="s">
        <v>925</v>
      </c>
    </row>
    <row r="1116" spans="1:8" ht="33">
      <c r="A1116" s="160">
        <v>2</v>
      </c>
      <c r="B1116" s="160" t="s">
        <v>1366</v>
      </c>
      <c r="C1116" s="157" t="s">
        <v>14</v>
      </c>
      <c r="D1116" s="159">
        <v>1</v>
      </c>
      <c r="E1116" s="159">
        <v>185.12</v>
      </c>
      <c r="F1116" s="159">
        <v>185.12</v>
      </c>
      <c r="G1116" s="160" t="s">
        <v>2</v>
      </c>
      <c r="H1116" s="34" t="s">
        <v>925</v>
      </c>
    </row>
    <row r="1117" spans="1:8" ht="33">
      <c r="A1117" s="160">
        <v>3</v>
      </c>
      <c r="B1117" s="160" t="s">
        <v>4927</v>
      </c>
      <c r="C1117" s="157" t="s">
        <v>927</v>
      </c>
      <c r="D1117" s="159">
        <v>5.32</v>
      </c>
      <c r="E1117" s="159">
        <v>379.5</v>
      </c>
      <c r="F1117" s="159">
        <v>2018.94</v>
      </c>
      <c r="G1117" s="160" t="s">
        <v>5447</v>
      </c>
      <c r="H1117" s="34" t="s">
        <v>925</v>
      </c>
    </row>
    <row r="1118" spans="1:8" ht="33">
      <c r="A1118" s="160">
        <v>4</v>
      </c>
      <c r="B1118" s="160" t="s">
        <v>4871</v>
      </c>
      <c r="C1118" s="157" t="s">
        <v>927</v>
      </c>
      <c r="D1118" s="159">
        <v>5.32</v>
      </c>
      <c r="E1118" s="159">
        <v>260.08999999999997</v>
      </c>
      <c r="F1118" s="159">
        <v>1383.68</v>
      </c>
      <c r="G1118" s="160" t="s">
        <v>5435</v>
      </c>
      <c r="H1118" s="34" t="s">
        <v>925</v>
      </c>
    </row>
    <row r="1119" spans="1:8" ht="33">
      <c r="A1119" s="160">
        <v>5</v>
      </c>
      <c r="B1119" s="160" t="s">
        <v>931</v>
      </c>
      <c r="C1119" s="157" t="s">
        <v>14</v>
      </c>
      <c r="D1119" s="159">
        <v>1</v>
      </c>
      <c r="E1119" s="159">
        <v>128.46</v>
      </c>
      <c r="F1119" s="159">
        <v>128.46</v>
      </c>
      <c r="G1119" s="160" t="s">
        <v>2</v>
      </c>
      <c r="H1119" s="34" t="s">
        <v>925</v>
      </c>
    </row>
    <row r="1120" spans="1:8" ht="33">
      <c r="A1120" s="160"/>
      <c r="B1120" s="160" t="s">
        <v>933</v>
      </c>
      <c r="C1120" s="157" t="s">
        <v>3</v>
      </c>
      <c r="D1120" s="159">
        <v>10</v>
      </c>
      <c r="E1120" s="159"/>
      <c r="F1120" s="159">
        <v>4410.4000000000005</v>
      </c>
      <c r="G1120" s="160"/>
      <c r="H1120" s="34" t="s">
        <v>925</v>
      </c>
    </row>
    <row r="1121" spans="1:8" ht="33">
      <c r="A1121" s="160"/>
      <c r="B1121" s="160" t="s">
        <v>934</v>
      </c>
      <c r="C1121" s="157" t="s">
        <v>3</v>
      </c>
      <c r="D1121" s="159"/>
      <c r="E1121" s="159"/>
      <c r="F1121" s="159">
        <v>441.04</v>
      </c>
      <c r="G1121" s="160"/>
      <c r="H1121" s="34" t="s">
        <v>925</v>
      </c>
    </row>
    <row r="1122" spans="1:8" ht="33">
      <c r="A1122" s="160"/>
      <c r="B1122" s="160"/>
      <c r="C1122" s="157"/>
      <c r="D1122" s="159"/>
      <c r="E1122" s="159"/>
      <c r="F1122" s="159"/>
      <c r="G1122" s="160"/>
      <c r="H1122" s="34" t="s">
        <v>925</v>
      </c>
    </row>
    <row r="1123" spans="1:8" ht="42.75">
      <c r="A1123" s="160" t="s">
        <v>1493</v>
      </c>
      <c r="B1123" s="160" t="s">
        <v>1372</v>
      </c>
      <c r="C1123" s="157" t="s">
        <v>17</v>
      </c>
      <c r="D1123" s="159">
        <v>10</v>
      </c>
      <c r="E1123" s="159">
        <v>921.2</v>
      </c>
      <c r="F1123" s="159"/>
      <c r="G1123" s="160" t="s">
        <v>4365</v>
      </c>
    </row>
    <row r="1124" spans="1:8" ht="33">
      <c r="A1124" s="160">
        <v>1</v>
      </c>
      <c r="B1124" s="160" t="s">
        <v>1364</v>
      </c>
      <c r="C1124" s="157" t="s">
        <v>3</v>
      </c>
      <c r="D1124" s="159">
        <v>0.25</v>
      </c>
      <c r="E1124" s="159">
        <v>2776.81</v>
      </c>
      <c r="F1124" s="159">
        <v>694.2</v>
      </c>
      <c r="G1124" s="160" t="s">
        <v>5448</v>
      </c>
      <c r="H1124" s="34" t="s">
        <v>925</v>
      </c>
    </row>
    <row r="1125" spans="1:8" ht="33">
      <c r="A1125" s="160">
        <v>2</v>
      </c>
      <c r="B1125" s="160" t="s">
        <v>1366</v>
      </c>
      <c r="C1125" s="157" t="s">
        <v>14</v>
      </c>
      <c r="D1125" s="159">
        <v>1</v>
      </c>
      <c r="E1125" s="159">
        <v>462.8</v>
      </c>
      <c r="F1125" s="159">
        <v>462.8</v>
      </c>
      <c r="G1125" s="160" t="s">
        <v>2</v>
      </c>
      <c r="H1125" s="34" t="s">
        <v>925</v>
      </c>
    </row>
    <row r="1126" spans="1:8" ht="33">
      <c r="A1126" s="160">
        <v>3</v>
      </c>
      <c r="B1126" s="160" t="s">
        <v>4927</v>
      </c>
      <c r="C1126" s="157" t="s">
        <v>927</v>
      </c>
      <c r="D1126" s="159">
        <v>9.58</v>
      </c>
      <c r="E1126" s="159">
        <v>379.5</v>
      </c>
      <c r="F1126" s="159">
        <v>3635.61</v>
      </c>
      <c r="G1126" s="160" t="s">
        <v>5447</v>
      </c>
      <c r="H1126" s="34" t="s">
        <v>925</v>
      </c>
    </row>
    <row r="1127" spans="1:8" ht="33">
      <c r="A1127" s="160">
        <v>4</v>
      </c>
      <c r="B1127" s="160" t="s">
        <v>4871</v>
      </c>
      <c r="C1127" s="157" t="s">
        <v>927</v>
      </c>
      <c r="D1127" s="159">
        <v>15.96</v>
      </c>
      <c r="E1127" s="159">
        <v>260.08999999999997</v>
      </c>
      <c r="F1127" s="159">
        <v>4151.04</v>
      </c>
      <c r="G1127" s="160" t="s">
        <v>5435</v>
      </c>
      <c r="H1127" s="34" t="s">
        <v>925</v>
      </c>
    </row>
    <row r="1128" spans="1:8" ht="33">
      <c r="A1128" s="160">
        <v>5</v>
      </c>
      <c r="B1128" s="160" t="s">
        <v>931</v>
      </c>
      <c r="C1128" s="157" t="s">
        <v>14</v>
      </c>
      <c r="D1128" s="159">
        <v>1</v>
      </c>
      <c r="E1128" s="159">
        <v>268.31</v>
      </c>
      <c r="F1128" s="159">
        <v>268.31</v>
      </c>
      <c r="G1128" s="160" t="s">
        <v>2</v>
      </c>
      <c r="H1128" s="34" t="s">
        <v>925</v>
      </c>
    </row>
    <row r="1129" spans="1:8" ht="33">
      <c r="A1129" s="160"/>
      <c r="B1129" s="160" t="s">
        <v>933</v>
      </c>
      <c r="C1129" s="157" t="s">
        <v>17</v>
      </c>
      <c r="D1129" s="159">
        <v>10</v>
      </c>
      <c r="E1129" s="159"/>
      <c r="F1129" s="159">
        <v>9211.9600000000009</v>
      </c>
      <c r="G1129" s="160"/>
      <c r="H1129" s="34" t="s">
        <v>925</v>
      </c>
    </row>
    <row r="1130" spans="1:8" ht="33">
      <c r="A1130" s="160"/>
      <c r="B1130" s="160" t="s">
        <v>934</v>
      </c>
      <c r="C1130" s="157" t="s">
        <v>17</v>
      </c>
      <c r="D1130" s="159"/>
      <c r="E1130" s="159"/>
      <c r="F1130" s="159">
        <v>921.2</v>
      </c>
      <c r="G1130" s="160"/>
      <c r="H1130" s="34" t="s">
        <v>925</v>
      </c>
    </row>
    <row r="1131" spans="1:8" ht="33">
      <c r="A1131" s="160"/>
      <c r="B1131" s="160"/>
      <c r="C1131" s="157"/>
      <c r="D1131" s="159"/>
      <c r="E1131" s="159"/>
      <c r="F1131" s="159"/>
      <c r="G1131" s="160"/>
      <c r="H1131" s="34" t="s">
        <v>925</v>
      </c>
    </row>
    <row r="1132" spans="1:8" ht="42.75">
      <c r="A1132" s="160" t="s">
        <v>1507</v>
      </c>
      <c r="B1132" s="160" t="s">
        <v>1375</v>
      </c>
      <c r="C1132" s="157" t="s">
        <v>3</v>
      </c>
      <c r="D1132" s="159">
        <v>10</v>
      </c>
      <c r="E1132" s="159">
        <v>536.03</v>
      </c>
      <c r="F1132" s="159"/>
      <c r="G1132" s="160" t="s">
        <v>4365</v>
      </c>
      <c r="H1132" s="34" t="s">
        <v>925</v>
      </c>
    </row>
    <row r="1133" spans="1:8" ht="33">
      <c r="A1133" s="160">
        <v>1</v>
      </c>
      <c r="B1133" s="160" t="s">
        <v>1364</v>
      </c>
      <c r="C1133" s="157" t="s">
        <v>3</v>
      </c>
      <c r="D1133" s="159">
        <v>0.25</v>
      </c>
      <c r="E1133" s="159">
        <v>2776.81</v>
      </c>
      <c r="F1133" s="159">
        <v>694.2</v>
      </c>
      <c r="G1133" s="160" t="s">
        <v>5448</v>
      </c>
      <c r="H1133" s="34" t="s">
        <v>925</v>
      </c>
    </row>
    <row r="1134" spans="1:8" ht="16.5">
      <c r="A1134" s="160">
        <v>2</v>
      </c>
      <c r="B1134" s="160" t="s">
        <v>1366</v>
      </c>
      <c r="C1134" s="157" t="s">
        <v>14</v>
      </c>
      <c r="D1134" s="159">
        <v>1</v>
      </c>
      <c r="E1134" s="159">
        <v>277.68</v>
      </c>
      <c r="F1134" s="159">
        <v>277.68</v>
      </c>
      <c r="G1134" s="160" t="s">
        <v>2</v>
      </c>
    </row>
    <row r="1135" spans="1:8" ht="33">
      <c r="A1135" s="160">
        <v>3</v>
      </c>
      <c r="B1135" s="160" t="s">
        <v>4927</v>
      </c>
      <c r="C1135" s="157" t="s">
        <v>927</v>
      </c>
      <c r="D1135" s="159">
        <v>5.32</v>
      </c>
      <c r="E1135" s="159">
        <v>379.5</v>
      </c>
      <c r="F1135" s="159">
        <v>2018.94</v>
      </c>
      <c r="G1135" s="160" t="s">
        <v>5447</v>
      </c>
      <c r="H1135" s="34" t="s">
        <v>925</v>
      </c>
    </row>
    <row r="1136" spans="1:8" ht="33">
      <c r="A1136" s="160">
        <v>4</v>
      </c>
      <c r="B1136" s="160" t="s">
        <v>4871</v>
      </c>
      <c r="C1136" s="157" t="s">
        <v>927</v>
      </c>
      <c r="D1136" s="159">
        <v>8.51</v>
      </c>
      <c r="E1136" s="159">
        <v>260.08999999999997</v>
      </c>
      <c r="F1136" s="159">
        <v>2213.37</v>
      </c>
      <c r="G1136" s="160" t="s">
        <v>5435</v>
      </c>
      <c r="H1136" s="34" t="s">
        <v>925</v>
      </c>
    </row>
    <row r="1137" spans="1:8" ht="33">
      <c r="A1137" s="160">
        <v>5</v>
      </c>
      <c r="B1137" s="160" t="s">
        <v>931</v>
      </c>
      <c r="C1137" s="157" t="s">
        <v>14</v>
      </c>
      <c r="D1137" s="159">
        <v>1</v>
      </c>
      <c r="E1137" s="159">
        <v>156.13</v>
      </c>
      <c r="F1137" s="159">
        <v>156.13</v>
      </c>
      <c r="G1137" s="160" t="s">
        <v>2</v>
      </c>
      <c r="H1137" s="34" t="s">
        <v>925</v>
      </c>
    </row>
    <row r="1138" spans="1:8" ht="33">
      <c r="A1138" s="160"/>
      <c r="B1138" s="160" t="s">
        <v>933</v>
      </c>
      <c r="C1138" s="157" t="s">
        <v>3</v>
      </c>
      <c r="D1138" s="159">
        <v>10</v>
      </c>
      <c r="E1138" s="159"/>
      <c r="F1138" s="159">
        <v>5360.3200000000006</v>
      </c>
      <c r="G1138" s="160"/>
      <c r="H1138" s="34" t="s">
        <v>925</v>
      </c>
    </row>
    <row r="1139" spans="1:8" ht="33">
      <c r="A1139" s="160"/>
      <c r="B1139" s="160" t="s">
        <v>934</v>
      </c>
      <c r="C1139" s="157" t="s">
        <v>3</v>
      </c>
      <c r="D1139" s="159"/>
      <c r="E1139" s="159"/>
      <c r="F1139" s="159">
        <v>536.03</v>
      </c>
      <c r="G1139" s="160"/>
      <c r="H1139" s="34" t="s">
        <v>925</v>
      </c>
    </row>
    <row r="1140" spans="1:8" ht="33">
      <c r="A1140" s="160"/>
      <c r="B1140" s="160"/>
      <c r="C1140" s="157"/>
      <c r="D1140" s="159"/>
      <c r="E1140" s="159"/>
      <c r="F1140" s="159"/>
      <c r="G1140" s="160"/>
      <c r="H1140" s="34" t="s">
        <v>925</v>
      </c>
    </row>
    <row r="1141" spans="1:8" ht="42.75">
      <c r="A1141" s="160" t="s">
        <v>1512</v>
      </c>
      <c r="B1141" s="160" t="s">
        <v>1378</v>
      </c>
      <c r="C1141" s="157" t="s">
        <v>17</v>
      </c>
      <c r="D1141" s="159">
        <v>10</v>
      </c>
      <c r="E1141" s="159">
        <v>1073.25</v>
      </c>
      <c r="F1141" s="159"/>
      <c r="G1141" s="160" t="s">
        <v>4365</v>
      </c>
      <c r="H1141" s="34" t="s">
        <v>925</v>
      </c>
    </row>
    <row r="1142" spans="1:8" ht="33">
      <c r="A1142" s="160">
        <v>1</v>
      </c>
      <c r="B1142" s="160" t="s">
        <v>1364</v>
      </c>
      <c r="C1142" s="157" t="s">
        <v>3</v>
      </c>
      <c r="D1142" s="159">
        <v>0.25</v>
      </c>
      <c r="E1142" s="159">
        <v>2776.81</v>
      </c>
      <c r="F1142" s="159">
        <v>694.2</v>
      </c>
      <c r="G1142" s="160" t="s">
        <v>5448</v>
      </c>
      <c r="H1142" s="34" t="s">
        <v>925</v>
      </c>
    </row>
    <row r="1143" spans="1:8" ht="33">
      <c r="A1143" s="160">
        <v>2</v>
      </c>
      <c r="B1143" s="160" t="s">
        <v>1366</v>
      </c>
      <c r="C1143" s="157" t="s">
        <v>14</v>
      </c>
      <c r="D1143" s="159">
        <v>1</v>
      </c>
      <c r="E1143" s="159">
        <v>555.36</v>
      </c>
      <c r="F1143" s="159">
        <v>555.36</v>
      </c>
      <c r="G1143" s="160" t="s">
        <v>2</v>
      </c>
      <c r="H1143" s="34" t="s">
        <v>925</v>
      </c>
    </row>
    <row r="1144" spans="1:8" ht="33">
      <c r="A1144" s="160">
        <v>3</v>
      </c>
      <c r="B1144" s="160" t="s">
        <v>4927</v>
      </c>
      <c r="C1144" s="157" t="s">
        <v>927</v>
      </c>
      <c r="D1144" s="159">
        <v>9.58</v>
      </c>
      <c r="E1144" s="159">
        <v>379.5</v>
      </c>
      <c r="F1144" s="159">
        <v>3635.61</v>
      </c>
      <c r="G1144" s="160" t="s">
        <v>5447</v>
      </c>
      <c r="H1144" s="34" t="s">
        <v>925</v>
      </c>
    </row>
    <row r="1145" spans="1:8" ht="16.5">
      <c r="A1145" s="160">
        <v>4</v>
      </c>
      <c r="B1145" s="160" t="s">
        <v>4871</v>
      </c>
      <c r="C1145" s="157" t="s">
        <v>927</v>
      </c>
      <c r="D1145" s="159">
        <v>21.28</v>
      </c>
      <c r="E1145" s="159">
        <v>260.08999999999997</v>
      </c>
      <c r="F1145" s="159">
        <v>5534.72</v>
      </c>
      <c r="G1145" s="160" t="s">
        <v>5435</v>
      </c>
    </row>
    <row r="1146" spans="1:8" ht="33">
      <c r="A1146" s="160">
        <v>5</v>
      </c>
      <c r="B1146" s="160" t="s">
        <v>931</v>
      </c>
      <c r="C1146" s="157" t="s">
        <v>14</v>
      </c>
      <c r="D1146" s="159">
        <v>1</v>
      </c>
      <c r="E1146" s="159">
        <v>312.60000000000002</v>
      </c>
      <c r="F1146" s="159">
        <v>312.60000000000002</v>
      </c>
      <c r="G1146" s="160" t="s">
        <v>2</v>
      </c>
      <c r="H1146" s="34" t="s">
        <v>925</v>
      </c>
    </row>
    <row r="1147" spans="1:8" ht="33">
      <c r="A1147" s="160"/>
      <c r="B1147" s="160" t="s">
        <v>933</v>
      </c>
      <c r="C1147" s="157" t="s">
        <v>17</v>
      </c>
      <c r="D1147" s="159">
        <v>10</v>
      </c>
      <c r="E1147" s="159"/>
      <c r="F1147" s="159">
        <v>10732.49</v>
      </c>
      <c r="G1147" s="160"/>
      <c r="H1147" s="34" t="s">
        <v>925</v>
      </c>
    </row>
    <row r="1148" spans="1:8" ht="33">
      <c r="A1148" s="160"/>
      <c r="B1148" s="160" t="s">
        <v>934</v>
      </c>
      <c r="C1148" s="157" t="s">
        <v>17</v>
      </c>
      <c r="D1148" s="159"/>
      <c r="E1148" s="159"/>
      <c r="F1148" s="159">
        <v>1073.25</v>
      </c>
      <c r="G1148" s="160"/>
      <c r="H1148" s="34" t="s">
        <v>925</v>
      </c>
    </row>
    <row r="1149" spans="1:8" ht="33">
      <c r="A1149" s="160"/>
      <c r="B1149" s="160"/>
      <c r="C1149" s="157"/>
      <c r="D1149" s="159"/>
      <c r="E1149" s="159"/>
      <c r="F1149" s="159"/>
      <c r="G1149" s="160"/>
      <c r="H1149" s="34" t="s">
        <v>925</v>
      </c>
    </row>
    <row r="1150" spans="1:8" ht="42.75">
      <c r="A1150" s="160" t="s">
        <v>1517</v>
      </c>
      <c r="B1150" s="160" t="s">
        <v>1381</v>
      </c>
      <c r="C1150" s="157" t="s">
        <v>3</v>
      </c>
      <c r="D1150" s="159">
        <v>10</v>
      </c>
      <c r="E1150" s="159">
        <v>626.22</v>
      </c>
      <c r="F1150" s="159"/>
      <c r="G1150" s="160" t="s">
        <v>4365</v>
      </c>
      <c r="H1150" s="34" t="s">
        <v>925</v>
      </c>
    </row>
    <row r="1151" spans="1:8" ht="33">
      <c r="A1151" s="160">
        <v>1</v>
      </c>
      <c r="B1151" s="160" t="s">
        <v>1364</v>
      </c>
      <c r="C1151" s="157" t="s">
        <v>3</v>
      </c>
      <c r="D1151" s="159">
        <v>0.25</v>
      </c>
      <c r="E1151" s="159">
        <v>2776.81</v>
      </c>
      <c r="F1151" s="159">
        <v>694.2</v>
      </c>
      <c r="G1151" s="160" t="s">
        <v>5448</v>
      </c>
      <c r="H1151" s="34" t="s">
        <v>925</v>
      </c>
    </row>
    <row r="1152" spans="1:8" ht="16.5">
      <c r="A1152" s="160">
        <v>2</v>
      </c>
      <c r="B1152" s="160" t="s">
        <v>1366</v>
      </c>
      <c r="C1152" s="157" t="s">
        <v>14</v>
      </c>
      <c r="D1152" s="159">
        <v>1</v>
      </c>
      <c r="E1152" s="159">
        <v>370.24</v>
      </c>
      <c r="F1152" s="159">
        <v>370.24</v>
      </c>
      <c r="G1152" s="160" t="s">
        <v>2</v>
      </c>
    </row>
    <row r="1153" spans="1:8" ht="33">
      <c r="A1153" s="160">
        <v>3</v>
      </c>
      <c r="B1153" s="160" t="s">
        <v>4927</v>
      </c>
      <c r="C1153" s="157" t="s">
        <v>927</v>
      </c>
      <c r="D1153" s="159">
        <v>6.65</v>
      </c>
      <c r="E1153" s="159">
        <v>379.5</v>
      </c>
      <c r="F1153" s="159">
        <v>2523.6799999999998</v>
      </c>
      <c r="G1153" s="160" t="s">
        <v>5447</v>
      </c>
      <c r="H1153" s="34" t="s">
        <v>925</v>
      </c>
    </row>
    <row r="1154" spans="1:8" ht="33">
      <c r="A1154" s="160">
        <v>4</v>
      </c>
      <c r="B1154" s="160" t="s">
        <v>4871</v>
      </c>
      <c r="C1154" s="157" t="s">
        <v>927</v>
      </c>
      <c r="D1154" s="159">
        <v>9.58</v>
      </c>
      <c r="E1154" s="159">
        <v>260.08999999999997</v>
      </c>
      <c r="F1154" s="159">
        <v>2491.66</v>
      </c>
      <c r="G1154" s="160" t="s">
        <v>5435</v>
      </c>
      <c r="H1154" s="34" t="s">
        <v>925</v>
      </c>
    </row>
    <row r="1155" spans="1:8" ht="33">
      <c r="A1155" s="160">
        <v>5</v>
      </c>
      <c r="B1155" s="160" t="s">
        <v>931</v>
      </c>
      <c r="C1155" s="157" t="s">
        <v>14</v>
      </c>
      <c r="D1155" s="159">
        <v>1</v>
      </c>
      <c r="E1155" s="159">
        <v>182.39</v>
      </c>
      <c r="F1155" s="159">
        <v>182.39</v>
      </c>
      <c r="G1155" s="160" t="s">
        <v>2</v>
      </c>
      <c r="H1155" s="34" t="s">
        <v>925</v>
      </c>
    </row>
    <row r="1156" spans="1:8" ht="33">
      <c r="A1156" s="160"/>
      <c r="B1156" s="160" t="s">
        <v>933</v>
      </c>
      <c r="C1156" s="157" t="s">
        <v>3</v>
      </c>
      <c r="D1156" s="159">
        <v>10</v>
      </c>
      <c r="E1156" s="159"/>
      <c r="F1156" s="159">
        <v>6262.17</v>
      </c>
      <c r="G1156" s="160"/>
      <c r="H1156" s="34" t="s">
        <v>925</v>
      </c>
    </row>
    <row r="1157" spans="1:8" ht="33">
      <c r="A1157" s="160"/>
      <c r="B1157" s="160" t="s">
        <v>934</v>
      </c>
      <c r="C1157" s="157" t="s">
        <v>3</v>
      </c>
      <c r="D1157" s="159"/>
      <c r="E1157" s="159"/>
      <c r="F1157" s="159">
        <v>626.22</v>
      </c>
      <c r="G1157" s="160"/>
      <c r="H1157" s="34" t="s">
        <v>925</v>
      </c>
    </row>
    <row r="1158" spans="1:8" ht="33">
      <c r="A1158" s="160"/>
      <c r="B1158" s="160"/>
      <c r="C1158" s="157"/>
      <c r="D1158" s="159"/>
      <c r="E1158" s="159"/>
      <c r="F1158" s="159"/>
      <c r="G1158" s="160"/>
      <c r="H1158" s="34" t="s">
        <v>925</v>
      </c>
    </row>
    <row r="1159" spans="1:8" ht="28.5">
      <c r="A1159" s="160" t="s">
        <v>1524</v>
      </c>
      <c r="B1159" s="160" t="s">
        <v>4551</v>
      </c>
      <c r="C1159" s="157" t="s">
        <v>17</v>
      </c>
      <c r="D1159" s="159">
        <v>10</v>
      </c>
      <c r="E1159" s="159">
        <v>1210.1099999999999</v>
      </c>
      <c r="F1159" s="159"/>
      <c r="G1159" s="160" t="s">
        <v>2</v>
      </c>
    </row>
    <row r="1160" spans="1:8" ht="33">
      <c r="A1160" s="160">
        <v>1</v>
      </c>
      <c r="B1160" s="160" t="s">
        <v>1364</v>
      </c>
      <c r="C1160" s="157" t="s">
        <v>3</v>
      </c>
      <c r="D1160" s="159">
        <v>0.25</v>
      </c>
      <c r="E1160" s="159">
        <v>2776.81</v>
      </c>
      <c r="F1160" s="159">
        <v>694.2</v>
      </c>
      <c r="G1160" s="160" t="s">
        <v>5448</v>
      </c>
      <c r="H1160" s="34" t="s">
        <v>925</v>
      </c>
    </row>
    <row r="1161" spans="1:8" ht="33">
      <c r="A1161" s="160">
        <v>2</v>
      </c>
      <c r="B1161" s="160" t="s">
        <v>1366</v>
      </c>
      <c r="C1161" s="157" t="s">
        <v>14</v>
      </c>
      <c r="D1161" s="159">
        <v>1</v>
      </c>
      <c r="E1161" s="159">
        <v>462.8</v>
      </c>
      <c r="F1161" s="159">
        <v>462.8</v>
      </c>
      <c r="G1161" s="160" t="s">
        <v>2</v>
      </c>
      <c r="H1161" s="34" t="s">
        <v>925</v>
      </c>
    </row>
    <row r="1162" spans="1:8" ht="33">
      <c r="A1162" s="160">
        <v>3</v>
      </c>
      <c r="B1162" s="160" t="s">
        <v>4930</v>
      </c>
      <c r="C1162" s="157" t="s">
        <v>927</v>
      </c>
      <c r="D1162" s="159">
        <v>8.2799999999999994</v>
      </c>
      <c r="E1162" s="159">
        <v>758.99</v>
      </c>
      <c r="F1162" s="159">
        <v>6284.44</v>
      </c>
      <c r="G1162" s="160" t="s">
        <v>5447</v>
      </c>
      <c r="H1162" s="34" t="s">
        <v>925</v>
      </c>
    </row>
    <row r="1163" spans="1:8" ht="33">
      <c r="A1163" s="160">
        <v>4</v>
      </c>
      <c r="B1163" s="160" t="s">
        <v>4874</v>
      </c>
      <c r="C1163" s="157" t="s">
        <v>927</v>
      </c>
      <c r="D1163" s="159">
        <v>8.2799999999999994</v>
      </c>
      <c r="E1163" s="159">
        <v>520.19000000000005</v>
      </c>
      <c r="F1163" s="159">
        <v>4307.17</v>
      </c>
      <c r="G1163" s="160" t="s">
        <v>5436</v>
      </c>
      <c r="H1163" s="34" t="s">
        <v>925</v>
      </c>
    </row>
    <row r="1164" spans="1:8" ht="33">
      <c r="A1164" s="160">
        <v>5</v>
      </c>
      <c r="B1164" s="160" t="s">
        <v>931</v>
      </c>
      <c r="C1164" s="157" t="s">
        <v>14</v>
      </c>
      <c r="D1164" s="159">
        <v>1</v>
      </c>
      <c r="E1164" s="159">
        <v>352.46</v>
      </c>
      <c r="F1164" s="159">
        <v>352.46</v>
      </c>
      <c r="G1164" s="160" t="s">
        <v>2</v>
      </c>
      <c r="H1164" s="34" t="s">
        <v>925</v>
      </c>
    </row>
    <row r="1165" spans="1:8" ht="33">
      <c r="A1165" s="160"/>
      <c r="B1165" s="160" t="s">
        <v>933</v>
      </c>
      <c r="C1165" s="157" t="s">
        <v>17</v>
      </c>
      <c r="D1165" s="159">
        <v>10</v>
      </c>
      <c r="E1165" s="159"/>
      <c r="F1165" s="159">
        <v>12101.07</v>
      </c>
      <c r="G1165" s="160"/>
      <c r="H1165" s="34" t="s">
        <v>925</v>
      </c>
    </row>
    <row r="1166" spans="1:8" ht="33">
      <c r="A1166" s="160"/>
      <c r="B1166" s="160" t="s">
        <v>934</v>
      </c>
      <c r="C1166" s="157" t="s">
        <v>17</v>
      </c>
      <c r="D1166" s="159"/>
      <c r="E1166" s="159"/>
      <c r="F1166" s="159">
        <v>1210.1099999999999</v>
      </c>
      <c r="G1166" s="160"/>
      <c r="H1166" s="34" t="s">
        <v>925</v>
      </c>
    </row>
    <row r="1167" spans="1:8" ht="16.5">
      <c r="A1167" s="160"/>
      <c r="B1167" s="160"/>
      <c r="C1167" s="157"/>
      <c r="D1167" s="159"/>
      <c r="E1167" s="159"/>
      <c r="F1167" s="159"/>
      <c r="G1167" s="160"/>
    </row>
    <row r="1168" spans="1:8" ht="33">
      <c r="A1168" s="160" t="s">
        <v>1532</v>
      </c>
      <c r="B1168" s="160" t="s">
        <v>4553</v>
      </c>
      <c r="C1168" s="157" t="s">
        <v>3</v>
      </c>
      <c r="D1168" s="159">
        <v>10</v>
      </c>
      <c r="E1168" s="159">
        <v>696.65</v>
      </c>
      <c r="F1168" s="159"/>
      <c r="G1168" s="160" t="s">
        <v>2</v>
      </c>
      <c r="H1168" s="34" t="s">
        <v>925</v>
      </c>
    </row>
    <row r="1169" spans="1:8" ht="33">
      <c r="A1169" s="160">
        <v>1</v>
      </c>
      <c r="B1169" s="160" t="s">
        <v>1364</v>
      </c>
      <c r="C1169" s="157" t="s">
        <v>3</v>
      </c>
      <c r="D1169" s="159">
        <v>0.25</v>
      </c>
      <c r="E1169" s="159">
        <v>2776.81</v>
      </c>
      <c r="F1169" s="159">
        <v>694.2</v>
      </c>
      <c r="G1169" s="160" t="s">
        <v>5448</v>
      </c>
      <c r="H1169" s="34" t="s">
        <v>925</v>
      </c>
    </row>
    <row r="1170" spans="1:8" ht="33">
      <c r="A1170" s="160">
        <v>2</v>
      </c>
      <c r="B1170" s="160" t="s">
        <v>1366</v>
      </c>
      <c r="C1170" s="157" t="s">
        <v>14</v>
      </c>
      <c r="D1170" s="159">
        <v>1</v>
      </c>
      <c r="E1170" s="159">
        <v>185.12</v>
      </c>
      <c r="F1170" s="159">
        <v>185.12</v>
      </c>
      <c r="G1170" s="160" t="s">
        <v>2</v>
      </c>
      <c r="H1170" s="34" t="s">
        <v>925</v>
      </c>
    </row>
    <row r="1171" spans="1:8" ht="33">
      <c r="A1171" s="160">
        <v>3</v>
      </c>
      <c r="B1171" s="160" t="s">
        <v>4930</v>
      </c>
      <c r="C1171" s="157" t="s">
        <v>927</v>
      </c>
      <c r="D1171" s="159">
        <v>4.5999999999999996</v>
      </c>
      <c r="E1171" s="159">
        <v>758.99</v>
      </c>
      <c r="F1171" s="159">
        <v>3491.35</v>
      </c>
      <c r="G1171" s="160" t="s">
        <v>5447</v>
      </c>
      <c r="H1171" s="34" t="s">
        <v>925</v>
      </c>
    </row>
    <row r="1172" spans="1:8" ht="33">
      <c r="A1172" s="160">
        <v>4</v>
      </c>
      <c r="B1172" s="160" t="s">
        <v>4874</v>
      </c>
      <c r="C1172" s="157" t="s">
        <v>927</v>
      </c>
      <c r="D1172" s="159">
        <v>4.5999999999999996</v>
      </c>
      <c r="E1172" s="159">
        <v>520.19000000000005</v>
      </c>
      <c r="F1172" s="159">
        <v>2392.87</v>
      </c>
      <c r="G1172" s="160" t="s">
        <v>5436</v>
      </c>
      <c r="H1172" s="34" t="s">
        <v>925</v>
      </c>
    </row>
    <row r="1173" spans="1:8" ht="33">
      <c r="A1173" s="160">
        <v>5</v>
      </c>
      <c r="B1173" s="160" t="s">
        <v>931</v>
      </c>
      <c r="C1173" s="157" t="s">
        <v>14</v>
      </c>
      <c r="D1173" s="159">
        <v>1</v>
      </c>
      <c r="E1173" s="159">
        <v>202.91</v>
      </c>
      <c r="F1173" s="159">
        <v>202.91</v>
      </c>
      <c r="G1173" s="160" t="s">
        <v>2</v>
      </c>
      <c r="H1173" s="34" t="s">
        <v>925</v>
      </c>
    </row>
    <row r="1174" spans="1:8" ht="33">
      <c r="A1174" s="160"/>
      <c r="B1174" s="160" t="s">
        <v>933</v>
      </c>
      <c r="C1174" s="157" t="s">
        <v>3</v>
      </c>
      <c r="D1174" s="159">
        <v>10</v>
      </c>
      <c r="E1174" s="159"/>
      <c r="F1174" s="159">
        <v>6966.45</v>
      </c>
      <c r="G1174" s="160"/>
      <c r="H1174" s="34" t="s">
        <v>925</v>
      </c>
    </row>
    <row r="1175" spans="1:8" ht="16.5">
      <c r="A1175" s="160"/>
      <c r="B1175" s="160" t="s">
        <v>934</v>
      </c>
      <c r="C1175" s="157" t="s">
        <v>3</v>
      </c>
      <c r="D1175" s="159"/>
      <c r="E1175" s="159"/>
      <c r="F1175" s="159">
        <v>696.65</v>
      </c>
      <c r="G1175" s="160"/>
    </row>
    <row r="1176" spans="1:8" ht="33">
      <c r="A1176" s="160"/>
      <c r="B1176" s="160"/>
      <c r="C1176" s="157"/>
      <c r="D1176" s="159"/>
      <c r="E1176" s="159"/>
      <c r="F1176" s="159"/>
      <c r="G1176" s="160"/>
      <c r="H1176" s="34" t="s">
        <v>925</v>
      </c>
    </row>
    <row r="1177" spans="1:8" ht="33">
      <c r="A1177" s="160" t="s">
        <v>1542</v>
      </c>
      <c r="B1177" s="160" t="s">
        <v>4555</v>
      </c>
      <c r="C1177" s="157" t="s">
        <v>17</v>
      </c>
      <c r="D1177" s="159">
        <v>10</v>
      </c>
      <c r="E1177" s="159">
        <v>1505.87</v>
      </c>
      <c r="F1177" s="159"/>
      <c r="G1177" s="160" t="s">
        <v>2</v>
      </c>
      <c r="H1177" s="34" t="s">
        <v>925</v>
      </c>
    </row>
    <row r="1178" spans="1:8" ht="33">
      <c r="A1178" s="160">
        <v>1</v>
      </c>
      <c r="B1178" s="160" t="s">
        <v>1364</v>
      </c>
      <c r="C1178" s="157" t="s">
        <v>3</v>
      </c>
      <c r="D1178" s="159">
        <v>0.25</v>
      </c>
      <c r="E1178" s="159">
        <v>2776.81</v>
      </c>
      <c r="F1178" s="159">
        <v>694.2</v>
      </c>
      <c r="G1178" s="160" t="s">
        <v>5448</v>
      </c>
      <c r="H1178" s="34" t="s">
        <v>925</v>
      </c>
    </row>
    <row r="1179" spans="1:8" ht="33">
      <c r="A1179" s="160">
        <v>2</v>
      </c>
      <c r="B1179" s="160" t="s">
        <v>1366</v>
      </c>
      <c r="C1179" s="157" t="s">
        <v>14</v>
      </c>
      <c r="D1179" s="159">
        <v>1</v>
      </c>
      <c r="E1179" s="159">
        <v>462.8</v>
      </c>
      <c r="F1179" s="159">
        <v>462.8</v>
      </c>
      <c r="G1179" s="160" t="s">
        <v>2</v>
      </c>
      <c r="H1179" s="34" t="s">
        <v>925</v>
      </c>
    </row>
    <row r="1180" spans="1:8" ht="33">
      <c r="A1180" s="160">
        <v>3</v>
      </c>
      <c r="B1180" s="160" t="s">
        <v>4930</v>
      </c>
      <c r="C1180" s="157" t="s">
        <v>927</v>
      </c>
      <c r="D1180" s="159">
        <v>8.2799999999999994</v>
      </c>
      <c r="E1180" s="159">
        <v>758.99</v>
      </c>
      <c r="F1180" s="159">
        <v>6284.44</v>
      </c>
      <c r="G1180" s="160" t="s">
        <v>5447</v>
      </c>
      <c r="H1180" s="34" t="s">
        <v>925</v>
      </c>
    </row>
    <row r="1181" spans="1:8" ht="33">
      <c r="A1181" s="160">
        <v>4</v>
      </c>
      <c r="B1181" s="160" t="s">
        <v>4874</v>
      </c>
      <c r="C1181" s="157" t="s">
        <v>927</v>
      </c>
      <c r="D1181" s="159">
        <v>13.8</v>
      </c>
      <c r="E1181" s="159">
        <v>520.19000000000005</v>
      </c>
      <c r="F1181" s="159">
        <v>7178.62</v>
      </c>
      <c r="G1181" s="160" t="s">
        <v>5436</v>
      </c>
      <c r="H1181" s="34" t="s">
        <v>925</v>
      </c>
    </row>
    <row r="1182" spans="1:8" ht="33">
      <c r="A1182" s="160">
        <v>5</v>
      </c>
      <c r="B1182" s="160" t="s">
        <v>931</v>
      </c>
      <c r="C1182" s="157" t="s">
        <v>14</v>
      </c>
      <c r="D1182" s="159">
        <v>1</v>
      </c>
      <c r="E1182" s="159">
        <v>438.6</v>
      </c>
      <c r="F1182" s="159">
        <v>438.6</v>
      </c>
      <c r="G1182" s="160" t="s">
        <v>2</v>
      </c>
      <c r="H1182" s="34" t="s">
        <v>925</v>
      </c>
    </row>
    <row r="1183" spans="1:8" ht="16.5">
      <c r="A1183" s="160"/>
      <c r="B1183" s="160" t="s">
        <v>933</v>
      </c>
      <c r="C1183" s="157" t="s">
        <v>17</v>
      </c>
      <c r="D1183" s="159">
        <v>10</v>
      </c>
      <c r="E1183" s="159"/>
      <c r="F1183" s="159">
        <v>15058.66</v>
      </c>
      <c r="G1183" s="160"/>
    </row>
    <row r="1184" spans="1:8" ht="33">
      <c r="A1184" s="160"/>
      <c r="B1184" s="160" t="s">
        <v>934</v>
      </c>
      <c r="C1184" s="157" t="s">
        <v>17</v>
      </c>
      <c r="D1184" s="159"/>
      <c r="E1184" s="159"/>
      <c r="F1184" s="159">
        <v>1505.87</v>
      </c>
      <c r="G1184" s="160"/>
      <c r="H1184" s="34" t="s">
        <v>925</v>
      </c>
    </row>
    <row r="1185" spans="1:8" ht="33">
      <c r="A1185" s="160"/>
      <c r="B1185" s="160"/>
      <c r="C1185" s="157"/>
      <c r="D1185" s="159"/>
      <c r="E1185" s="159"/>
      <c r="F1185" s="159"/>
      <c r="G1185" s="160"/>
      <c r="H1185" s="34" t="s">
        <v>925</v>
      </c>
    </row>
    <row r="1186" spans="1:8" ht="33">
      <c r="A1186" s="160" t="s">
        <v>1549</v>
      </c>
      <c r="B1186" s="160" t="s">
        <v>4557</v>
      </c>
      <c r="C1186" s="157" t="s">
        <v>3</v>
      </c>
      <c r="D1186" s="159">
        <v>10</v>
      </c>
      <c r="E1186" s="159">
        <v>854.06</v>
      </c>
      <c r="F1186" s="159"/>
      <c r="G1186" s="160" t="s">
        <v>2</v>
      </c>
      <c r="H1186" s="34" t="s">
        <v>925</v>
      </c>
    </row>
    <row r="1187" spans="1:8" ht="33">
      <c r="A1187" s="160">
        <v>1</v>
      </c>
      <c r="B1187" s="160" t="s">
        <v>1364</v>
      </c>
      <c r="C1187" s="157" t="s">
        <v>3</v>
      </c>
      <c r="D1187" s="159">
        <v>0.25</v>
      </c>
      <c r="E1187" s="159">
        <v>2776.81</v>
      </c>
      <c r="F1187" s="159">
        <v>694.2</v>
      </c>
      <c r="G1187" s="160" t="s">
        <v>5448</v>
      </c>
      <c r="H1187" s="34" t="s">
        <v>925</v>
      </c>
    </row>
    <row r="1188" spans="1:8" ht="33">
      <c r="A1188" s="160">
        <v>2</v>
      </c>
      <c r="B1188" s="160" t="s">
        <v>1366</v>
      </c>
      <c r="C1188" s="157" t="s">
        <v>14</v>
      </c>
      <c r="D1188" s="159">
        <v>1</v>
      </c>
      <c r="E1188" s="159">
        <v>277.68</v>
      </c>
      <c r="F1188" s="159">
        <v>277.68</v>
      </c>
      <c r="G1188" s="160" t="s">
        <v>2</v>
      </c>
      <c r="H1188" s="34" t="s">
        <v>925</v>
      </c>
    </row>
    <row r="1189" spans="1:8" ht="33">
      <c r="A1189" s="160">
        <v>3</v>
      </c>
      <c r="B1189" s="160" t="s">
        <v>4930</v>
      </c>
      <c r="C1189" s="157" t="s">
        <v>927</v>
      </c>
      <c r="D1189" s="159">
        <v>4.5999999999999996</v>
      </c>
      <c r="E1189" s="159">
        <v>758.99</v>
      </c>
      <c r="F1189" s="159">
        <v>3491.35</v>
      </c>
      <c r="G1189" s="160" t="s">
        <v>5447</v>
      </c>
      <c r="H1189" s="34" t="s">
        <v>925</v>
      </c>
    </row>
    <row r="1190" spans="1:8" ht="33">
      <c r="A1190" s="160">
        <v>4</v>
      </c>
      <c r="B1190" s="160" t="s">
        <v>4874</v>
      </c>
      <c r="C1190" s="157" t="s">
        <v>927</v>
      </c>
      <c r="D1190" s="159">
        <v>7.36</v>
      </c>
      <c r="E1190" s="159">
        <v>520.19000000000005</v>
      </c>
      <c r="F1190" s="159">
        <v>3828.6</v>
      </c>
      <c r="G1190" s="160" t="s">
        <v>5436</v>
      </c>
      <c r="H1190" s="34" t="s">
        <v>925</v>
      </c>
    </row>
    <row r="1191" spans="1:8" ht="16.5">
      <c r="A1191" s="160">
        <v>5</v>
      </c>
      <c r="B1191" s="160" t="s">
        <v>931</v>
      </c>
      <c r="C1191" s="157" t="s">
        <v>14</v>
      </c>
      <c r="D1191" s="159">
        <v>1</v>
      </c>
      <c r="E1191" s="159">
        <v>248.75</v>
      </c>
      <c r="F1191" s="159">
        <v>248.75</v>
      </c>
      <c r="G1191" s="160" t="s">
        <v>2</v>
      </c>
    </row>
    <row r="1192" spans="1:8" ht="33">
      <c r="A1192" s="160"/>
      <c r="B1192" s="160" t="s">
        <v>933</v>
      </c>
      <c r="C1192" s="157" t="s">
        <v>3</v>
      </c>
      <c r="D1192" s="159">
        <v>10</v>
      </c>
      <c r="E1192" s="159"/>
      <c r="F1192" s="159">
        <v>8540.58</v>
      </c>
      <c r="G1192" s="160"/>
      <c r="H1192" s="34" t="s">
        <v>925</v>
      </c>
    </row>
    <row r="1193" spans="1:8" ht="33">
      <c r="A1193" s="160"/>
      <c r="B1193" s="160" t="s">
        <v>934</v>
      </c>
      <c r="C1193" s="157" t="s">
        <v>3</v>
      </c>
      <c r="D1193" s="159"/>
      <c r="E1193" s="159"/>
      <c r="F1193" s="159">
        <v>854.06</v>
      </c>
      <c r="G1193" s="160"/>
      <c r="H1193" s="34" t="s">
        <v>925</v>
      </c>
    </row>
    <row r="1194" spans="1:8" ht="33">
      <c r="A1194" s="160"/>
      <c r="B1194" s="160"/>
      <c r="C1194" s="157"/>
      <c r="D1194" s="159"/>
      <c r="E1194" s="159"/>
      <c r="F1194" s="159"/>
      <c r="G1194" s="160"/>
      <c r="H1194" s="34" t="s">
        <v>925</v>
      </c>
    </row>
    <row r="1195" spans="1:8" ht="33">
      <c r="A1195" s="160" t="s">
        <v>1556</v>
      </c>
      <c r="B1195" s="160" t="s">
        <v>4559</v>
      </c>
      <c r="C1195" s="157" t="s">
        <v>17</v>
      </c>
      <c r="D1195" s="159">
        <v>10</v>
      </c>
      <c r="E1195" s="159">
        <v>1761.87</v>
      </c>
      <c r="F1195" s="159"/>
      <c r="G1195" s="160" t="s">
        <v>2</v>
      </c>
      <c r="H1195" s="34" t="s">
        <v>925</v>
      </c>
    </row>
    <row r="1196" spans="1:8" ht="33">
      <c r="A1196" s="160">
        <v>1</v>
      </c>
      <c r="B1196" s="160" t="s">
        <v>1364</v>
      </c>
      <c r="C1196" s="157" t="s">
        <v>3</v>
      </c>
      <c r="D1196" s="159">
        <v>0.25</v>
      </c>
      <c r="E1196" s="159">
        <v>2776.81</v>
      </c>
      <c r="F1196" s="159">
        <v>694.2</v>
      </c>
      <c r="G1196" s="160" t="s">
        <v>5448</v>
      </c>
      <c r="H1196" s="34" t="s">
        <v>925</v>
      </c>
    </row>
    <row r="1197" spans="1:8" ht="33">
      <c r="A1197" s="160">
        <v>2</v>
      </c>
      <c r="B1197" s="160" t="s">
        <v>1366</v>
      </c>
      <c r="C1197" s="157" t="s">
        <v>14</v>
      </c>
      <c r="D1197" s="159">
        <v>1</v>
      </c>
      <c r="E1197" s="159">
        <v>555.36</v>
      </c>
      <c r="F1197" s="159">
        <v>555.36</v>
      </c>
      <c r="G1197" s="160" t="s">
        <v>2</v>
      </c>
      <c r="H1197" s="34" t="s">
        <v>925</v>
      </c>
    </row>
    <row r="1198" spans="1:8" ht="33">
      <c r="A1198" s="160">
        <v>3</v>
      </c>
      <c r="B1198" s="160" t="s">
        <v>4930</v>
      </c>
      <c r="C1198" s="157" t="s">
        <v>927</v>
      </c>
      <c r="D1198" s="159">
        <v>8.2799999999999994</v>
      </c>
      <c r="E1198" s="159">
        <v>758.99</v>
      </c>
      <c r="F1198" s="159">
        <v>6284.44</v>
      </c>
      <c r="G1198" s="160" t="s">
        <v>5447</v>
      </c>
      <c r="H1198" s="34" t="s">
        <v>925</v>
      </c>
    </row>
    <row r="1199" spans="1:8" ht="28.5">
      <c r="A1199" s="160">
        <v>4</v>
      </c>
      <c r="B1199" s="160" t="s">
        <v>4874</v>
      </c>
      <c r="C1199" s="157" t="s">
        <v>927</v>
      </c>
      <c r="D1199" s="159">
        <v>18.399999999999999</v>
      </c>
      <c r="E1199" s="159">
        <v>520.19000000000005</v>
      </c>
      <c r="F1199" s="159">
        <v>9571.5</v>
      </c>
      <c r="G1199" s="160" t="s">
        <v>5436</v>
      </c>
    </row>
    <row r="1200" spans="1:8" ht="33">
      <c r="A1200" s="160">
        <v>5</v>
      </c>
      <c r="B1200" s="160" t="s">
        <v>931</v>
      </c>
      <c r="C1200" s="157" t="s">
        <v>14</v>
      </c>
      <c r="D1200" s="159">
        <v>1</v>
      </c>
      <c r="E1200" s="159">
        <v>513.16999999999996</v>
      </c>
      <c r="F1200" s="159">
        <v>513.16999999999996</v>
      </c>
      <c r="G1200" s="160" t="s">
        <v>2</v>
      </c>
      <c r="H1200" s="34" t="s">
        <v>925</v>
      </c>
    </row>
    <row r="1201" spans="1:8" ht="33">
      <c r="A1201" s="160"/>
      <c r="B1201" s="160" t="s">
        <v>933</v>
      </c>
      <c r="C1201" s="157" t="s">
        <v>17</v>
      </c>
      <c r="D1201" s="159">
        <v>10</v>
      </c>
      <c r="E1201" s="159"/>
      <c r="F1201" s="159">
        <v>17618.669999999998</v>
      </c>
      <c r="G1201" s="160"/>
      <c r="H1201" s="34" t="s">
        <v>925</v>
      </c>
    </row>
    <row r="1202" spans="1:8" ht="33">
      <c r="A1202" s="160"/>
      <c r="B1202" s="160" t="s">
        <v>934</v>
      </c>
      <c r="C1202" s="157" t="s">
        <v>17</v>
      </c>
      <c r="D1202" s="159"/>
      <c r="E1202" s="159"/>
      <c r="F1202" s="159">
        <v>1761.87</v>
      </c>
      <c r="G1202" s="160"/>
      <c r="H1202" s="34" t="s">
        <v>925</v>
      </c>
    </row>
    <row r="1203" spans="1:8" ht="33">
      <c r="A1203" s="160"/>
      <c r="B1203" s="160"/>
      <c r="C1203" s="157"/>
      <c r="D1203" s="159"/>
      <c r="E1203" s="159"/>
      <c r="F1203" s="159"/>
      <c r="G1203" s="160"/>
      <c r="H1203" s="34" t="s">
        <v>925</v>
      </c>
    </row>
    <row r="1204" spans="1:8" ht="33">
      <c r="A1204" s="160" t="s">
        <v>1563</v>
      </c>
      <c r="B1204" s="160" t="s">
        <v>4561</v>
      </c>
      <c r="C1204" s="157" t="s">
        <v>3</v>
      </c>
      <c r="D1204" s="159">
        <v>10</v>
      </c>
      <c r="E1204" s="159">
        <v>1002.79</v>
      </c>
      <c r="F1204" s="159"/>
      <c r="G1204" s="160" t="s">
        <v>2</v>
      </c>
      <c r="H1204" s="34" t="s">
        <v>925</v>
      </c>
    </row>
    <row r="1205" spans="1:8" ht="33">
      <c r="A1205" s="160">
        <v>1</v>
      </c>
      <c r="B1205" s="160" t="s">
        <v>1364</v>
      </c>
      <c r="C1205" s="157" t="s">
        <v>3</v>
      </c>
      <c r="D1205" s="159">
        <v>0.25</v>
      </c>
      <c r="E1205" s="159">
        <v>2776.81</v>
      </c>
      <c r="F1205" s="159">
        <v>694.2</v>
      </c>
      <c r="G1205" s="160" t="s">
        <v>5448</v>
      </c>
      <c r="H1205" s="34" t="s">
        <v>925</v>
      </c>
    </row>
    <row r="1206" spans="1:8" ht="33">
      <c r="A1206" s="160">
        <v>2</v>
      </c>
      <c r="B1206" s="160" t="s">
        <v>1366</v>
      </c>
      <c r="C1206" s="157" t="s">
        <v>14</v>
      </c>
      <c r="D1206" s="159">
        <v>1</v>
      </c>
      <c r="E1206" s="159">
        <v>370.24</v>
      </c>
      <c r="F1206" s="159">
        <v>370.24</v>
      </c>
      <c r="G1206" s="160" t="s">
        <v>2</v>
      </c>
      <c r="H1206" s="34" t="s">
        <v>925</v>
      </c>
    </row>
    <row r="1207" spans="1:8" ht="28.5">
      <c r="A1207" s="160">
        <v>3</v>
      </c>
      <c r="B1207" s="160" t="s">
        <v>4930</v>
      </c>
      <c r="C1207" s="157" t="s">
        <v>927</v>
      </c>
      <c r="D1207" s="159">
        <v>5.75</v>
      </c>
      <c r="E1207" s="159">
        <v>758.99</v>
      </c>
      <c r="F1207" s="159">
        <v>4364.1899999999996</v>
      </c>
      <c r="G1207" s="160" t="s">
        <v>5447</v>
      </c>
    </row>
    <row r="1208" spans="1:8" ht="33">
      <c r="A1208" s="160">
        <v>4</v>
      </c>
      <c r="B1208" s="160" t="s">
        <v>4874</v>
      </c>
      <c r="C1208" s="157" t="s">
        <v>927</v>
      </c>
      <c r="D1208" s="159">
        <v>8.2799999999999994</v>
      </c>
      <c r="E1208" s="159">
        <v>520.19000000000005</v>
      </c>
      <c r="F1208" s="159">
        <v>4307.17</v>
      </c>
      <c r="G1208" s="160" t="s">
        <v>5436</v>
      </c>
      <c r="H1208" s="34" t="s">
        <v>925</v>
      </c>
    </row>
    <row r="1209" spans="1:8" ht="33">
      <c r="A1209" s="160">
        <v>5</v>
      </c>
      <c r="B1209" s="160" t="s">
        <v>931</v>
      </c>
      <c r="C1209" s="157" t="s">
        <v>14</v>
      </c>
      <c r="D1209" s="159">
        <v>1</v>
      </c>
      <c r="E1209" s="159">
        <v>292.07</v>
      </c>
      <c r="F1209" s="159">
        <v>292.07</v>
      </c>
      <c r="G1209" s="160" t="s">
        <v>2</v>
      </c>
      <c r="H1209" s="34" t="s">
        <v>925</v>
      </c>
    </row>
    <row r="1210" spans="1:8" ht="33">
      <c r="A1210" s="160"/>
      <c r="B1210" s="160" t="s">
        <v>933</v>
      </c>
      <c r="C1210" s="157" t="s">
        <v>3</v>
      </c>
      <c r="D1210" s="159">
        <v>10</v>
      </c>
      <c r="E1210" s="159"/>
      <c r="F1210" s="159">
        <v>10027.869999999999</v>
      </c>
      <c r="G1210" s="160"/>
      <c r="H1210" s="34" t="s">
        <v>925</v>
      </c>
    </row>
    <row r="1211" spans="1:8" ht="33">
      <c r="A1211" s="160"/>
      <c r="B1211" s="160" t="s">
        <v>934</v>
      </c>
      <c r="C1211" s="157" t="s">
        <v>3</v>
      </c>
      <c r="D1211" s="159"/>
      <c r="E1211" s="159"/>
      <c r="F1211" s="159">
        <v>1002.79</v>
      </c>
      <c r="G1211" s="160"/>
      <c r="H1211" s="34" t="s">
        <v>925</v>
      </c>
    </row>
    <row r="1212" spans="1:8" ht="33">
      <c r="A1212" s="160"/>
      <c r="B1212" s="160"/>
      <c r="C1212" s="157"/>
      <c r="D1212" s="159"/>
      <c r="E1212" s="159"/>
      <c r="F1212" s="159"/>
      <c r="G1212" s="160"/>
      <c r="H1212" s="34" t="s">
        <v>925</v>
      </c>
    </row>
    <row r="1213" spans="1:8" ht="33">
      <c r="A1213" s="160" t="s">
        <v>1570</v>
      </c>
      <c r="B1213" s="160" t="s">
        <v>1472</v>
      </c>
      <c r="C1213" s="157" t="s">
        <v>4563</v>
      </c>
      <c r="D1213" s="159">
        <v>10</v>
      </c>
      <c r="E1213" s="159">
        <v>246.92</v>
      </c>
      <c r="F1213" s="159"/>
      <c r="G1213" s="160" t="s">
        <v>2</v>
      </c>
      <c r="H1213" s="34" t="s">
        <v>925</v>
      </c>
    </row>
    <row r="1214" spans="1:8" ht="28.5">
      <c r="A1214" s="160">
        <v>1</v>
      </c>
      <c r="B1214" s="160" t="s">
        <v>1364</v>
      </c>
      <c r="C1214" s="157" t="s">
        <v>3</v>
      </c>
      <c r="D1214" s="159">
        <v>0.25</v>
      </c>
      <c r="E1214" s="159">
        <v>2776.81</v>
      </c>
      <c r="F1214" s="159">
        <v>694.2</v>
      </c>
      <c r="G1214" s="160" t="s">
        <v>5448</v>
      </c>
    </row>
    <row r="1215" spans="1:8" ht="33">
      <c r="A1215" s="160">
        <v>2</v>
      </c>
      <c r="B1215" s="160" t="s">
        <v>1366</v>
      </c>
      <c r="C1215" s="157" t="s">
        <v>14</v>
      </c>
      <c r="D1215" s="159">
        <v>1</v>
      </c>
      <c r="E1215" s="159">
        <v>185.12</v>
      </c>
      <c r="F1215" s="159">
        <v>185.12</v>
      </c>
      <c r="G1215" s="160" t="s">
        <v>2</v>
      </c>
      <c r="H1215" s="34" t="s">
        <v>925</v>
      </c>
    </row>
    <row r="1216" spans="1:8" ht="33">
      <c r="A1216" s="160">
        <v>3</v>
      </c>
      <c r="B1216" s="160" t="s">
        <v>4927</v>
      </c>
      <c r="C1216" s="157" t="s">
        <v>927</v>
      </c>
      <c r="D1216" s="159">
        <v>4</v>
      </c>
      <c r="E1216" s="159">
        <v>379.5</v>
      </c>
      <c r="F1216" s="159">
        <v>1518</v>
      </c>
      <c r="G1216" s="160" t="s">
        <v>5447</v>
      </c>
      <c r="H1216" s="34" t="s">
        <v>925</v>
      </c>
    </row>
    <row r="1217" spans="1:8" ht="33">
      <c r="A1217" s="160">
        <v>4</v>
      </c>
      <c r="B1217" s="160" t="s">
        <v>931</v>
      </c>
      <c r="C1217" s="157" t="s">
        <v>14</v>
      </c>
      <c r="D1217" s="159">
        <v>1</v>
      </c>
      <c r="E1217" s="159">
        <v>71.92</v>
      </c>
      <c r="F1217" s="159">
        <v>71.92</v>
      </c>
      <c r="G1217" s="160" t="s">
        <v>2</v>
      </c>
      <c r="H1217" s="34" t="s">
        <v>925</v>
      </c>
    </row>
    <row r="1218" spans="1:8" ht="33">
      <c r="A1218" s="160"/>
      <c r="B1218" s="160" t="s">
        <v>933</v>
      </c>
      <c r="C1218" s="157" t="s">
        <v>4563</v>
      </c>
      <c r="D1218" s="159">
        <v>10</v>
      </c>
      <c r="E1218" s="159"/>
      <c r="F1218" s="159">
        <v>2469.2400000000002</v>
      </c>
      <c r="G1218" s="160"/>
      <c r="H1218" s="34" t="s">
        <v>925</v>
      </c>
    </row>
    <row r="1219" spans="1:8" ht="33">
      <c r="A1219" s="160"/>
      <c r="B1219" s="160" t="s">
        <v>934</v>
      </c>
      <c r="C1219" s="157" t="s">
        <v>4563</v>
      </c>
      <c r="D1219" s="159"/>
      <c r="E1219" s="159"/>
      <c r="F1219" s="159">
        <v>246.92</v>
      </c>
      <c r="G1219" s="160"/>
      <c r="H1219" s="34" t="s">
        <v>925</v>
      </c>
    </row>
    <row r="1220" spans="1:8" ht="33">
      <c r="A1220" s="160"/>
      <c r="B1220" s="160"/>
      <c r="C1220" s="157"/>
      <c r="D1220" s="159"/>
      <c r="E1220" s="159"/>
      <c r="F1220" s="159"/>
      <c r="G1220" s="160"/>
      <c r="H1220" s="34" t="s">
        <v>925</v>
      </c>
    </row>
    <row r="1221" spans="1:8" ht="28.5">
      <c r="A1221" s="160" t="s">
        <v>1577</v>
      </c>
      <c r="B1221" s="160" t="s">
        <v>4565</v>
      </c>
      <c r="C1221" s="157" t="s">
        <v>4563</v>
      </c>
      <c r="D1221" s="159">
        <v>10</v>
      </c>
      <c r="E1221" s="159">
        <v>450.18</v>
      </c>
      <c r="F1221" s="159"/>
      <c r="G1221" s="160" t="s">
        <v>2</v>
      </c>
    </row>
    <row r="1222" spans="1:8" ht="33">
      <c r="A1222" s="160">
        <v>1</v>
      </c>
      <c r="B1222" s="160" t="s">
        <v>1364</v>
      </c>
      <c r="C1222" s="157" t="s">
        <v>3</v>
      </c>
      <c r="D1222" s="159">
        <v>0.25</v>
      </c>
      <c r="E1222" s="159">
        <v>2776.81</v>
      </c>
      <c r="F1222" s="159">
        <v>694.2</v>
      </c>
      <c r="G1222" s="160" t="s">
        <v>5448</v>
      </c>
      <c r="H1222" s="34" t="s">
        <v>925</v>
      </c>
    </row>
    <row r="1223" spans="1:8" ht="33">
      <c r="A1223" s="160">
        <v>2</v>
      </c>
      <c r="B1223" s="160" t="s">
        <v>1366</v>
      </c>
      <c r="C1223" s="157" t="s">
        <v>14</v>
      </c>
      <c r="D1223" s="159">
        <v>1</v>
      </c>
      <c r="E1223" s="159">
        <v>185.12</v>
      </c>
      <c r="F1223" s="159">
        <v>185.12</v>
      </c>
      <c r="G1223" s="160" t="s">
        <v>2</v>
      </c>
      <c r="H1223" s="34" t="s">
        <v>925</v>
      </c>
    </row>
    <row r="1224" spans="1:8" ht="33">
      <c r="A1224" s="160">
        <v>3</v>
      </c>
      <c r="B1224" s="160" t="s">
        <v>4930</v>
      </c>
      <c r="C1224" s="157" t="s">
        <v>927</v>
      </c>
      <c r="D1224" s="159">
        <v>4.5999999999999996</v>
      </c>
      <c r="E1224" s="159">
        <v>758.99</v>
      </c>
      <c r="F1224" s="159">
        <v>3491.35</v>
      </c>
      <c r="G1224" s="160" t="s">
        <v>5447</v>
      </c>
      <c r="H1224" s="34" t="s">
        <v>925</v>
      </c>
    </row>
    <row r="1225" spans="1:8" ht="33">
      <c r="A1225" s="160">
        <v>4</v>
      </c>
      <c r="B1225" s="160" t="s">
        <v>931</v>
      </c>
      <c r="C1225" s="157" t="s">
        <v>14</v>
      </c>
      <c r="D1225" s="159">
        <v>1</v>
      </c>
      <c r="E1225" s="159">
        <v>131.12</v>
      </c>
      <c r="F1225" s="159">
        <v>131.12</v>
      </c>
      <c r="G1225" s="160" t="s">
        <v>2</v>
      </c>
      <c r="H1225" s="34" t="s">
        <v>925</v>
      </c>
    </row>
    <row r="1226" spans="1:8" ht="33">
      <c r="A1226" s="160"/>
      <c r="B1226" s="160" t="s">
        <v>933</v>
      </c>
      <c r="C1226" s="157" t="s">
        <v>4563</v>
      </c>
      <c r="D1226" s="159">
        <v>10</v>
      </c>
      <c r="E1226" s="159"/>
      <c r="F1226" s="159">
        <v>4501.79</v>
      </c>
      <c r="G1226" s="160"/>
      <c r="H1226" s="34" t="s">
        <v>925</v>
      </c>
    </row>
    <row r="1227" spans="1:8" ht="33">
      <c r="A1227" s="160"/>
      <c r="B1227" s="160" t="s">
        <v>934</v>
      </c>
      <c r="C1227" s="157" t="s">
        <v>4563</v>
      </c>
      <c r="D1227" s="159"/>
      <c r="E1227" s="159"/>
      <c r="F1227" s="159">
        <v>450.18</v>
      </c>
      <c r="G1227" s="160"/>
      <c r="H1227" s="34" t="s">
        <v>925</v>
      </c>
    </row>
    <row r="1228" spans="1:8" ht="16.5">
      <c r="A1228" s="160"/>
      <c r="B1228" s="160"/>
      <c r="C1228" s="157"/>
      <c r="D1228" s="159"/>
      <c r="E1228" s="159"/>
      <c r="F1228" s="159"/>
      <c r="G1228" s="160"/>
    </row>
    <row r="1229" spans="1:8" ht="33">
      <c r="A1229" s="160" t="s">
        <v>1584</v>
      </c>
      <c r="B1229" s="160" t="s">
        <v>513</v>
      </c>
      <c r="C1229" s="157" t="s">
        <v>18</v>
      </c>
      <c r="D1229" s="159">
        <v>1000</v>
      </c>
      <c r="E1229" s="159">
        <v>29.75</v>
      </c>
      <c r="F1229" s="159"/>
      <c r="G1229" s="160" t="s">
        <v>4377</v>
      </c>
      <c r="H1229" s="34" t="s">
        <v>925</v>
      </c>
    </row>
    <row r="1230" spans="1:8" ht="33">
      <c r="A1230" s="160">
        <v>1</v>
      </c>
      <c r="B1230" s="160" t="s">
        <v>1411</v>
      </c>
      <c r="C1230" s="157" t="s">
        <v>1412</v>
      </c>
      <c r="D1230" s="159">
        <v>1.05</v>
      </c>
      <c r="E1230" s="159">
        <v>19854.16</v>
      </c>
      <c r="F1230" s="159">
        <v>20846.87</v>
      </c>
      <c r="G1230" s="160" t="s">
        <v>4377</v>
      </c>
      <c r="H1230" s="34" t="s">
        <v>925</v>
      </c>
    </row>
    <row r="1231" spans="1:8" ht="33">
      <c r="A1231" s="160">
        <v>2</v>
      </c>
      <c r="B1231" s="160" t="s">
        <v>4940</v>
      </c>
      <c r="C1231" s="157" t="s">
        <v>927</v>
      </c>
      <c r="D1231" s="159">
        <v>10.4</v>
      </c>
      <c r="E1231" s="159">
        <v>379.5</v>
      </c>
      <c r="F1231" s="159">
        <v>3946.8</v>
      </c>
      <c r="G1231" s="160" t="s">
        <v>5449</v>
      </c>
      <c r="H1231" s="34" t="s">
        <v>925</v>
      </c>
    </row>
    <row r="1232" spans="1:8" ht="33">
      <c r="A1232" s="160">
        <v>3</v>
      </c>
      <c r="B1232" s="160" t="s">
        <v>4942</v>
      </c>
      <c r="C1232" s="157" t="s">
        <v>927</v>
      </c>
      <c r="D1232" s="159">
        <v>10.4</v>
      </c>
      <c r="E1232" s="159">
        <v>379.5</v>
      </c>
      <c r="F1232" s="159">
        <v>3946.8</v>
      </c>
      <c r="G1232" s="160" t="s">
        <v>5450</v>
      </c>
      <c r="H1232" s="34" t="s">
        <v>925</v>
      </c>
    </row>
    <row r="1233" spans="1:8" ht="33">
      <c r="A1233" s="160">
        <v>4</v>
      </c>
      <c r="B1233" s="160" t="s">
        <v>1414</v>
      </c>
      <c r="C1233" s="157" t="s">
        <v>18</v>
      </c>
      <c r="D1233" s="159">
        <v>4</v>
      </c>
      <c r="E1233" s="159">
        <v>35.54</v>
      </c>
      <c r="F1233" s="159">
        <v>142.16</v>
      </c>
      <c r="G1233" s="160" t="s">
        <v>2</v>
      </c>
      <c r="H1233" s="34" t="s">
        <v>925</v>
      </c>
    </row>
    <row r="1234" spans="1:8" ht="33">
      <c r="A1234" s="160">
        <v>5</v>
      </c>
      <c r="B1234" s="160" t="s">
        <v>931</v>
      </c>
      <c r="C1234" s="157" t="s">
        <v>14</v>
      </c>
      <c r="D1234" s="159">
        <v>1</v>
      </c>
      <c r="E1234" s="159">
        <v>866.48</v>
      </c>
      <c r="F1234" s="159">
        <v>866.48</v>
      </c>
      <c r="G1234" s="160" t="s">
        <v>2</v>
      </c>
      <c r="H1234" s="34" t="s">
        <v>925</v>
      </c>
    </row>
    <row r="1235" spans="1:8" ht="16.5">
      <c r="A1235" s="160"/>
      <c r="B1235" s="160" t="s">
        <v>933</v>
      </c>
      <c r="C1235" s="157" t="s">
        <v>18</v>
      </c>
      <c r="D1235" s="159">
        <v>1000</v>
      </c>
      <c r="E1235" s="159"/>
      <c r="F1235" s="159">
        <v>29749.109999999997</v>
      </c>
      <c r="G1235" s="160"/>
    </row>
    <row r="1236" spans="1:8" ht="33">
      <c r="A1236" s="160"/>
      <c r="B1236" s="160" t="s">
        <v>934</v>
      </c>
      <c r="C1236" s="157" t="s">
        <v>18</v>
      </c>
      <c r="D1236" s="159"/>
      <c r="E1236" s="159"/>
      <c r="F1236" s="159">
        <v>29.75</v>
      </c>
      <c r="G1236" s="160"/>
      <c r="H1236" s="34" t="s">
        <v>925</v>
      </c>
    </row>
    <row r="1237" spans="1:8" ht="33">
      <c r="A1237" s="160"/>
      <c r="B1237" s="160"/>
      <c r="C1237" s="157"/>
      <c r="D1237" s="159"/>
      <c r="E1237" s="159"/>
      <c r="F1237" s="159"/>
      <c r="G1237" s="160"/>
      <c r="H1237" s="34" t="s">
        <v>925</v>
      </c>
    </row>
    <row r="1238" spans="1:8" ht="33">
      <c r="A1238" s="160" t="s">
        <v>1591</v>
      </c>
      <c r="B1238" s="160" t="s">
        <v>1417</v>
      </c>
      <c r="C1238" s="157" t="s">
        <v>18</v>
      </c>
      <c r="D1238" s="159">
        <v>1000</v>
      </c>
      <c r="E1238" s="159">
        <v>29.39</v>
      </c>
      <c r="F1238" s="159"/>
      <c r="G1238" s="160" t="s">
        <v>4377</v>
      </c>
      <c r="H1238" s="34" t="s">
        <v>925</v>
      </c>
    </row>
    <row r="1239" spans="1:8" ht="33">
      <c r="A1239" s="160">
        <v>1</v>
      </c>
      <c r="B1239" s="160" t="s">
        <v>1418</v>
      </c>
      <c r="C1239" s="157" t="s">
        <v>1412</v>
      </c>
      <c r="D1239" s="159">
        <v>1.05</v>
      </c>
      <c r="E1239" s="159">
        <v>19520.939999999999</v>
      </c>
      <c r="F1239" s="159">
        <v>20496.990000000002</v>
      </c>
      <c r="G1239" s="160" t="s">
        <v>4377</v>
      </c>
      <c r="H1239" s="34" t="s">
        <v>925</v>
      </c>
    </row>
    <row r="1240" spans="1:8" ht="33">
      <c r="A1240" s="160">
        <v>2</v>
      </c>
      <c r="B1240" s="160" t="s">
        <v>4940</v>
      </c>
      <c r="C1240" s="157" t="s">
        <v>927</v>
      </c>
      <c r="D1240" s="159">
        <v>10.4</v>
      </c>
      <c r="E1240" s="159">
        <v>379.5</v>
      </c>
      <c r="F1240" s="159">
        <v>3946.8</v>
      </c>
      <c r="G1240" s="160" t="s">
        <v>5449</v>
      </c>
      <c r="H1240" s="34" t="s">
        <v>925</v>
      </c>
    </row>
    <row r="1241" spans="1:8" ht="33">
      <c r="A1241" s="160">
        <v>3</v>
      </c>
      <c r="B1241" s="160" t="s">
        <v>4942</v>
      </c>
      <c r="C1241" s="157" t="s">
        <v>927</v>
      </c>
      <c r="D1241" s="159">
        <v>10.4</v>
      </c>
      <c r="E1241" s="159">
        <v>379.5</v>
      </c>
      <c r="F1241" s="159">
        <v>3946.8</v>
      </c>
      <c r="G1241" s="160" t="s">
        <v>5450</v>
      </c>
      <c r="H1241" s="34" t="s">
        <v>925</v>
      </c>
    </row>
    <row r="1242" spans="1:8" ht="33">
      <c r="A1242" s="160">
        <v>4</v>
      </c>
      <c r="B1242" s="160" t="s">
        <v>1414</v>
      </c>
      <c r="C1242" s="157" t="s">
        <v>18</v>
      </c>
      <c r="D1242" s="159">
        <v>4</v>
      </c>
      <c r="E1242" s="159">
        <v>35.54</v>
      </c>
      <c r="F1242" s="159">
        <v>142.16</v>
      </c>
      <c r="G1242" s="160" t="s">
        <v>2</v>
      </c>
      <c r="H1242" s="34" t="s">
        <v>925</v>
      </c>
    </row>
    <row r="1243" spans="1:8" ht="16.5">
      <c r="A1243" s="160">
        <v>5</v>
      </c>
      <c r="B1243" s="160" t="s">
        <v>931</v>
      </c>
      <c r="C1243" s="157" t="s">
        <v>14</v>
      </c>
      <c r="D1243" s="159">
        <v>1</v>
      </c>
      <c r="E1243" s="159">
        <v>855.98</v>
      </c>
      <c r="F1243" s="159">
        <v>855.98</v>
      </c>
      <c r="G1243" s="160" t="s">
        <v>2</v>
      </c>
    </row>
    <row r="1244" spans="1:8" ht="33">
      <c r="A1244" s="160"/>
      <c r="B1244" s="160" t="s">
        <v>933</v>
      </c>
      <c r="C1244" s="157" t="s">
        <v>18</v>
      </c>
      <c r="D1244" s="159">
        <v>1000</v>
      </c>
      <c r="E1244" s="159"/>
      <c r="F1244" s="159">
        <v>29388.73</v>
      </c>
      <c r="G1244" s="160"/>
      <c r="H1244" s="34" t="s">
        <v>925</v>
      </c>
    </row>
    <row r="1245" spans="1:8" ht="33">
      <c r="A1245" s="160"/>
      <c r="B1245" s="160" t="s">
        <v>934</v>
      </c>
      <c r="C1245" s="157" t="s">
        <v>18</v>
      </c>
      <c r="D1245" s="159"/>
      <c r="E1245" s="159"/>
      <c r="F1245" s="159">
        <v>29.39</v>
      </c>
      <c r="G1245" s="160"/>
      <c r="H1245" s="34" t="s">
        <v>925</v>
      </c>
    </row>
    <row r="1246" spans="1:8" ht="33">
      <c r="A1246" s="160"/>
      <c r="B1246" s="160"/>
      <c r="C1246" s="157"/>
      <c r="D1246" s="159"/>
      <c r="E1246" s="159"/>
      <c r="F1246" s="159"/>
      <c r="G1246" s="160"/>
      <c r="H1246" s="34" t="s">
        <v>925</v>
      </c>
    </row>
    <row r="1247" spans="1:8" ht="33">
      <c r="A1247" s="160" t="s">
        <v>1598</v>
      </c>
      <c r="B1247" s="160" t="s">
        <v>1420</v>
      </c>
      <c r="C1247" s="157" t="s">
        <v>18</v>
      </c>
      <c r="D1247" s="159">
        <v>1000</v>
      </c>
      <c r="E1247" s="159">
        <v>31.25</v>
      </c>
      <c r="F1247" s="159"/>
      <c r="G1247" s="160" t="s">
        <v>2</v>
      </c>
      <c r="H1247" s="34" t="s">
        <v>925</v>
      </c>
    </row>
    <row r="1248" spans="1:8" ht="33">
      <c r="A1248" s="160">
        <v>1</v>
      </c>
      <c r="B1248" s="160" t="s">
        <v>1422</v>
      </c>
      <c r="C1248" s="157" t="s">
        <v>1412</v>
      </c>
      <c r="D1248" s="159">
        <v>1.1000000000000001</v>
      </c>
      <c r="E1248" s="159">
        <v>20548.36</v>
      </c>
      <c r="F1248" s="159">
        <v>22603.200000000001</v>
      </c>
      <c r="G1248" s="160" t="s">
        <v>2</v>
      </c>
      <c r="H1248" s="34" t="s">
        <v>925</v>
      </c>
    </row>
    <row r="1249" spans="1:8" ht="33">
      <c r="A1249" s="160">
        <v>2</v>
      </c>
      <c r="B1249" s="160" t="s">
        <v>4940</v>
      </c>
      <c r="C1249" s="157" t="s">
        <v>927</v>
      </c>
      <c r="D1249" s="159">
        <v>10</v>
      </c>
      <c r="E1249" s="159">
        <v>379.5</v>
      </c>
      <c r="F1249" s="159">
        <v>3795</v>
      </c>
      <c r="G1249" s="160" t="s">
        <v>5449</v>
      </c>
      <c r="H1249" s="34" t="s">
        <v>925</v>
      </c>
    </row>
    <row r="1250" spans="1:8" ht="33">
      <c r="A1250" s="160">
        <v>3</v>
      </c>
      <c r="B1250" s="160" t="s">
        <v>4942</v>
      </c>
      <c r="C1250" s="157" t="s">
        <v>927</v>
      </c>
      <c r="D1250" s="159">
        <v>10</v>
      </c>
      <c r="E1250" s="159">
        <v>379.5</v>
      </c>
      <c r="F1250" s="159">
        <v>3795</v>
      </c>
      <c r="G1250" s="160" t="s">
        <v>5450</v>
      </c>
      <c r="H1250" s="34" t="s">
        <v>925</v>
      </c>
    </row>
    <row r="1251" spans="1:8" ht="16.5">
      <c r="A1251" s="160">
        <v>4</v>
      </c>
      <c r="B1251" s="160" t="s">
        <v>1414</v>
      </c>
      <c r="C1251" s="157" t="s">
        <v>18</v>
      </c>
      <c r="D1251" s="159">
        <v>4</v>
      </c>
      <c r="E1251" s="159">
        <v>35.54</v>
      </c>
      <c r="F1251" s="159">
        <v>142.16</v>
      </c>
      <c r="G1251" s="160" t="s">
        <v>2</v>
      </c>
    </row>
    <row r="1252" spans="1:8" ht="33">
      <c r="A1252" s="160">
        <v>5</v>
      </c>
      <c r="B1252" s="160" t="s">
        <v>931</v>
      </c>
      <c r="C1252" s="157" t="s">
        <v>14</v>
      </c>
      <c r="D1252" s="159">
        <v>1</v>
      </c>
      <c r="E1252" s="159">
        <v>910.06</v>
      </c>
      <c r="F1252" s="159">
        <v>910.06</v>
      </c>
      <c r="G1252" s="160" t="s">
        <v>2</v>
      </c>
      <c r="H1252" s="34" t="s">
        <v>925</v>
      </c>
    </row>
    <row r="1253" spans="1:8" ht="33">
      <c r="A1253" s="160"/>
      <c r="B1253" s="160" t="s">
        <v>933</v>
      </c>
      <c r="C1253" s="157" t="s">
        <v>18</v>
      </c>
      <c r="D1253" s="159">
        <v>1000</v>
      </c>
      <c r="E1253" s="159"/>
      <c r="F1253" s="159">
        <v>31245.420000000002</v>
      </c>
      <c r="G1253" s="160"/>
      <c r="H1253" s="34" t="s">
        <v>925</v>
      </c>
    </row>
    <row r="1254" spans="1:8" ht="33">
      <c r="A1254" s="160"/>
      <c r="B1254" s="160" t="s">
        <v>934</v>
      </c>
      <c r="C1254" s="157" t="s">
        <v>18</v>
      </c>
      <c r="D1254" s="159"/>
      <c r="E1254" s="159"/>
      <c r="F1254" s="159">
        <v>31.25</v>
      </c>
      <c r="G1254" s="160"/>
      <c r="H1254" s="34" t="s">
        <v>925</v>
      </c>
    </row>
    <row r="1255" spans="1:8" ht="33">
      <c r="A1255" s="160"/>
      <c r="B1255" s="160"/>
      <c r="C1255" s="157"/>
      <c r="D1255" s="159"/>
      <c r="E1255" s="159"/>
      <c r="F1255" s="159"/>
      <c r="G1255" s="160"/>
      <c r="H1255" s="34" t="s">
        <v>925</v>
      </c>
    </row>
    <row r="1256" spans="1:8" ht="33">
      <c r="A1256" s="160" t="s">
        <v>1605</v>
      </c>
      <c r="B1256" s="160" t="s">
        <v>1425</v>
      </c>
      <c r="C1256" s="157" t="s">
        <v>18</v>
      </c>
      <c r="D1256" s="159">
        <v>1000</v>
      </c>
      <c r="E1256" s="159">
        <v>31.43</v>
      </c>
      <c r="F1256" s="159"/>
      <c r="G1256" s="160" t="s">
        <v>2</v>
      </c>
      <c r="H1256" s="34" t="s">
        <v>925</v>
      </c>
    </row>
    <row r="1257" spans="1:8" ht="33">
      <c r="A1257" s="160">
        <v>1</v>
      </c>
      <c r="B1257" s="160" t="s">
        <v>1427</v>
      </c>
      <c r="C1257" s="157" t="s">
        <v>1412</v>
      </c>
      <c r="D1257" s="159">
        <v>1.1000000000000001</v>
      </c>
      <c r="E1257" s="159">
        <v>20714.97</v>
      </c>
      <c r="F1257" s="159">
        <v>22786.47</v>
      </c>
      <c r="G1257" s="160" t="s">
        <v>2</v>
      </c>
      <c r="H1257" s="34" t="s">
        <v>925</v>
      </c>
    </row>
    <row r="1258" spans="1:8" ht="28.5">
      <c r="A1258" s="160">
        <v>2</v>
      </c>
      <c r="B1258" s="160" t="s">
        <v>4940</v>
      </c>
      <c r="C1258" s="157" t="s">
        <v>927</v>
      </c>
      <c r="D1258" s="159">
        <v>10</v>
      </c>
      <c r="E1258" s="159">
        <v>379.5</v>
      </c>
      <c r="F1258" s="159">
        <v>3795</v>
      </c>
      <c r="G1258" s="160" t="s">
        <v>5449</v>
      </c>
    </row>
    <row r="1259" spans="1:8" ht="33">
      <c r="A1259" s="160">
        <v>3</v>
      </c>
      <c r="B1259" s="160" t="s">
        <v>4942</v>
      </c>
      <c r="C1259" s="157" t="s">
        <v>927</v>
      </c>
      <c r="D1259" s="159">
        <v>10</v>
      </c>
      <c r="E1259" s="159">
        <v>379.5</v>
      </c>
      <c r="F1259" s="159">
        <v>3795</v>
      </c>
      <c r="G1259" s="160" t="s">
        <v>5450</v>
      </c>
      <c r="H1259" s="34" t="s">
        <v>925</v>
      </c>
    </row>
    <row r="1260" spans="1:8" ht="33">
      <c r="A1260" s="160">
        <v>4</v>
      </c>
      <c r="B1260" s="160" t="s">
        <v>1414</v>
      </c>
      <c r="C1260" s="157" t="s">
        <v>18</v>
      </c>
      <c r="D1260" s="159">
        <v>4</v>
      </c>
      <c r="E1260" s="159">
        <v>35.54</v>
      </c>
      <c r="F1260" s="159">
        <v>142.16</v>
      </c>
      <c r="G1260" s="160" t="s">
        <v>2</v>
      </c>
      <c r="H1260" s="34" t="s">
        <v>925</v>
      </c>
    </row>
    <row r="1261" spans="1:8" ht="33">
      <c r="A1261" s="160">
        <v>5</v>
      </c>
      <c r="B1261" s="160" t="s">
        <v>931</v>
      </c>
      <c r="C1261" s="157" t="s">
        <v>14</v>
      </c>
      <c r="D1261" s="159">
        <v>1</v>
      </c>
      <c r="E1261" s="159">
        <v>915.56</v>
      </c>
      <c r="F1261" s="159">
        <v>915.56</v>
      </c>
      <c r="G1261" s="160" t="s">
        <v>2</v>
      </c>
      <c r="H1261" s="34" t="s">
        <v>925</v>
      </c>
    </row>
    <row r="1262" spans="1:8" ht="33">
      <c r="A1262" s="160"/>
      <c r="B1262" s="160" t="s">
        <v>933</v>
      </c>
      <c r="C1262" s="157" t="s">
        <v>18</v>
      </c>
      <c r="D1262" s="159">
        <v>1000</v>
      </c>
      <c r="E1262" s="159"/>
      <c r="F1262" s="159">
        <v>31434.190000000002</v>
      </c>
      <c r="G1262" s="160"/>
      <c r="H1262" s="34" t="s">
        <v>925</v>
      </c>
    </row>
    <row r="1263" spans="1:8" ht="33">
      <c r="A1263" s="160"/>
      <c r="B1263" s="160" t="s">
        <v>934</v>
      </c>
      <c r="C1263" s="157" t="s">
        <v>18</v>
      </c>
      <c r="D1263" s="159"/>
      <c r="E1263" s="159"/>
      <c r="F1263" s="159">
        <v>31.43</v>
      </c>
      <c r="G1263" s="160"/>
      <c r="H1263" s="34" t="s">
        <v>925</v>
      </c>
    </row>
    <row r="1264" spans="1:8" ht="33">
      <c r="A1264" s="160"/>
      <c r="B1264" s="160"/>
      <c r="C1264" s="157"/>
      <c r="D1264" s="159"/>
      <c r="E1264" s="159"/>
      <c r="F1264" s="159"/>
      <c r="G1264" s="160"/>
      <c r="H1264" s="34" t="s">
        <v>925</v>
      </c>
    </row>
    <row r="1265" spans="1:8" ht="71.25">
      <c r="A1265" s="160" t="s">
        <v>1612</v>
      </c>
      <c r="B1265" s="160" t="s">
        <v>1417</v>
      </c>
      <c r="C1265" s="157" t="s">
        <v>18</v>
      </c>
      <c r="D1265" s="159">
        <v>1000</v>
      </c>
      <c r="E1265" s="159">
        <v>32.07</v>
      </c>
      <c r="F1265" s="159"/>
      <c r="G1265" s="160" t="s">
        <v>4378</v>
      </c>
    </row>
    <row r="1266" spans="1:8" ht="33">
      <c r="A1266" s="160">
        <v>1</v>
      </c>
      <c r="B1266" s="160" t="s">
        <v>1418</v>
      </c>
      <c r="C1266" s="157" t="s">
        <v>1412</v>
      </c>
      <c r="D1266" s="159">
        <v>1.05</v>
      </c>
      <c r="E1266" s="159">
        <v>19520.939999999999</v>
      </c>
      <c r="F1266" s="159">
        <v>20496.990000000002</v>
      </c>
      <c r="G1266" s="160" t="s">
        <v>4377</v>
      </c>
      <c r="H1266" s="34" t="s">
        <v>925</v>
      </c>
    </row>
    <row r="1267" spans="1:8" ht="33">
      <c r="A1267" s="160">
        <v>2</v>
      </c>
      <c r="B1267" s="160" t="s">
        <v>4940</v>
      </c>
      <c r="C1267" s="157" t="s">
        <v>927</v>
      </c>
      <c r="D1267" s="159">
        <v>13.83</v>
      </c>
      <c r="E1267" s="159">
        <v>379.5</v>
      </c>
      <c r="F1267" s="159">
        <v>5248.49</v>
      </c>
      <c r="G1267" s="160" t="s">
        <v>5449</v>
      </c>
      <c r="H1267" s="34" t="s">
        <v>925</v>
      </c>
    </row>
    <row r="1268" spans="1:8" ht="33">
      <c r="A1268" s="160">
        <v>3</v>
      </c>
      <c r="B1268" s="160" t="s">
        <v>4942</v>
      </c>
      <c r="C1268" s="157" t="s">
        <v>927</v>
      </c>
      <c r="D1268" s="159">
        <v>13.83</v>
      </c>
      <c r="E1268" s="159">
        <v>379.5</v>
      </c>
      <c r="F1268" s="159">
        <v>5248.49</v>
      </c>
      <c r="G1268" s="160" t="s">
        <v>5450</v>
      </c>
      <c r="H1268" s="34" t="s">
        <v>925</v>
      </c>
    </row>
    <row r="1269" spans="1:8" ht="33">
      <c r="A1269" s="160">
        <v>4</v>
      </c>
      <c r="B1269" s="160" t="s">
        <v>1414</v>
      </c>
      <c r="C1269" s="157" t="s">
        <v>18</v>
      </c>
      <c r="D1269" s="159">
        <v>4</v>
      </c>
      <c r="E1269" s="159">
        <v>35.54</v>
      </c>
      <c r="F1269" s="159">
        <v>142.16</v>
      </c>
      <c r="G1269" s="160" t="s">
        <v>2</v>
      </c>
      <c r="H1269" s="34" t="s">
        <v>925</v>
      </c>
    </row>
    <row r="1270" spans="1:8" ht="33">
      <c r="A1270" s="160">
        <v>5</v>
      </c>
      <c r="B1270" s="160" t="s">
        <v>931</v>
      </c>
      <c r="C1270" s="157" t="s">
        <v>14</v>
      </c>
      <c r="D1270" s="159">
        <v>1</v>
      </c>
      <c r="E1270" s="159">
        <v>934.08</v>
      </c>
      <c r="F1270" s="159">
        <v>934.08</v>
      </c>
      <c r="G1270" s="160" t="s">
        <v>2</v>
      </c>
      <c r="H1270" s="34" t="s">
        <v>925</v>
      </c>
    </row>
    <row r="1271" spans="1:8" ht="33">
      <c r="A1271" s="160"/>
      <c r="B1271" s="160" t="s">
        <v>933</v>
      </c>
      <c r="C1271" s="157" t="s">
        <v>18</v>
      </c>
      <c r="D1271" s="159">
        <v>1000</v>
      </c>
      <c r="E1271" s="159"/>
      <c r="F1271" s="159">
        <v>32070.210000000003</v>
      </c>
      <c r="G1271" s="160"/>
      <c r="H1271" s="34" t="s">
        <v>925</v>
      </c>
    </row>
    <row r="1272" spans="1:8" ht="33">
      <c r="A1272" s="160"/>
      <c r="B1272" s="160" t="s">
        <v>934</v>
      </c>
      <c r="C1272" s="157" t="s">
        <v>18</v>
      </c>
      <c r="D1272" s="159"/>
      <c r="E1272" s="159"/>
      <c r="F1272" s="159">
        <v>32.07</v>
      </c>
      <c r="G1272" s="160"/>
      <c r="H1272" s="34" t="s">
        <v>925</v>
      </c>
    </row>
    <row r="1273" spans="1:8" ht="16.5">
      <c r="A1273" s="160"/>
      <c r="B1273" s="160"/>
      <c r="C1273" s="157"/>
      <c r="D1273" s="159"/>
      <c r="E1273" s="159"/>
      <c r="F1273" s="159"/>
      <c r="G1273" s="160"/>
    </row>
    <row r="1274" spans="1:8" ht="71.25">
      <c r="A1274" s="160" t="s">
        <v>1619</v>
      </c>
      <c r="B1274" s="160" t="s">
        <v>513</v>
      </c>
      <c r="C1274" s="157" t="s">
        <v>18</v>
      </c>
      <c r="D1274" s="159">
        <v>1000</v>
      </c>
      <c r="E1274" s="159">
        <v>32.43</v>
      </c>
      <c r="F1274" s="159"/>
      <c r="G1274" s="160" t="s">
        <v>4378</v>
      </c>
      <c r="H1274" s="34" t="s">
        <v>925</v>
      </c>
    </row>
    <row r="1275" spans="1:8" ht="33">
      <c r="A1275" s="160">
        <v>1</v>
      </c>
      <c r="B1275" s="160" t="s">
        <v>1411</v>
      </c>
      <c r="C1275" s="157" t="s">
        <v>1412</v>
      </c>
      <c r="D1275" s="159">
        <v>1.05</v>
      </c>
      <c r="E1275" s="159">
        <v>19854.16</v>
      </c>
      <c r="F1275" s="159">
        <v>20846.87</v>
      </c>
      <c r="G1275" s="160" t="s">
        <v>4377</v>
      </c>
      <c r="H1275" s="34" t="s">
        <v>925</v>
      </c>
    </row>
    <row r="1276" spans="1:8" ht="33">
      <c r="A1276" s="160">
        <v>2</v>
      </c>
      <c r="B1276" s="160" t="s">
        <v>4940</v>
      </c>
      <c r="C1276" s="157" t="s">
        <v>927</v>
      </c>
      <c r="D1276" s="159">
        <v>13.83</v>
      </c>
      <c r="E1276" s="159">
        <v>379.5</v>
      </c>
      <c r="F1276" s="159">
        <v>5248.49</v>
      </c>
      <c r="G1276" s="160" t="s">
        <v>5449</v>
      </c>
      <c r="H1276" s="34" t="s">
        <v>925</v>
      </c>
    </row>
    <row r="1277" spans="1:8" ht="33">
      <c r="A1277" s="160">
        <v>3</v>
      </c>
      <c r="B1277" s="160" t="s">
        <v>4942</v>
      </c>
      <c r="C1277" s="157" t="s">
        <v>927</v>
      </c>
      <c r="D1277" s="159">
        <v>13.83</v>
      </c>
      <c r="E1277" s="159">
        <v>379.5</v>
      </c>
      <c r="F1277" s="159">
        <v>5248.49</v>
      </c>
      <c r="G1277" s="160" t="s">
        <v>5450</v>
      </c>
      <c r="H1277" s="34" t="s">
        <v>925</v>
      </c>
    </row>
    <row r="1278" spans="1:8" ht="33">
      <c r="A1278" s="160">
        <v>4</v>
      </c>
      <c r="B1278" s="160" t="s">
        <v>1414</v>
      </c>
      <c r="C1278" s="157" t="s">
        <v>18</v>
      </c>
      <c r="D1278" s="159">
        <v>4</v>
      </c>
      <c r="E1278" s="159">
        <v>35.54</v>
      </c>
      <c r="F1278" s="159">
        <v>142.16</v>
      </c>
      <c r="G1278" s="160" t="s">
        <v>2</v>
      </c>
      <c r="H1278" s="34" t="s">
        <v>925</v>
      </c>
    </row>
    <row r="1279" spans="1:8" ht="33">
      <c r="A1279" s="160">
        <v>5</v>
      </c>
      <c r="B1279" s="160" t="s">
        <v>931</v>
      </c>
      <c r="C1279" s="157" t="s">
        <v>14</v>
      </c>
      <c r="D1279" s="159">
        <v>1</v>
      </c>
      <c r="E1279" s="159">
        <v>944.58</v>
      </c>
      <c r="F1279" s="159">
        <v>944.58</v>
      </c>
      <c r="G1279" s="160" t="s">
        <v>2</v>
      </c>
      <c r="H1279" s="34" t="s">
        <v>925</v>
      </c>
    </row>
    <row r="1280" spans="1:8" ht="33">
      <c r="A1280" s="160"/>
      <c r="B1280" s="160" t="s">
        <v>933</v>
      </c>
      <c r="C1280" s="157" t="s">
        <v>18</v>
      </c>
      <c r="D1280" s="159">
        <v>1000</v>
      </c>
      <c r="E1280" s="159"/>
      <c r="F1280" s="159">
        <v>32430.59</v>
      </c>
      <c r="G1280" s="160"/>
      <c r="H1280" s="34" t="s">
        <v>925</v>
      </c>
    </row>
    <row r="1281" spans="1:8" ht="16.5">
      <c r="A1281" s="160"/>
      <c r="B1281" s="160" t="s">
        <v>934</v>
      </c>
      <c r="C1281" s="157" t="s">
        <v>18</v>
      </c>
      <c r="D1281" s="159"/>
      <c r="E1281" s="159"/>
      <c r="F1281" s="159">
        <v>32.43</v>
      </c>
      <c r="G1281" s="160"/>
    </row>
    <row r="1282" spans="1:8" ht="33">
      <c r="A1282" s="160"/>
      <c r="B1282" s="160"/>
      <c r="C1282" s="157"/>
      <c r="D1282" s="159"/>
      <c r="E1282" s="159"/>
      <c r="F1282" s="159"/>
      <c r="G1282" s="160"/>
      <c r="H1282" s="34" t="s">
        <v>925</v>
      </c>
    </row>
    <row r="1283" spans="1:8" ht="42.75">
      <c r="A1283" s="160" t="s">
        <v>1624</v>
      </c>
      <c r="B1283" s="160" t="s">
        <v>1420</v>
      </c>
      <c r="C1283" s="157" t="s">
        <v>18</v>
      </c>
      <c r="D1283" s="159">
        <v>1000</v>
      </c>
      <c r="E1283" s="159">
        <v>33.83</v>
      </c>
      <c r="F1283" s="159"/>
      <c r="G1283" s="160" t="s">
        <v>4365</v>
      </c>
      <c r="H1283" s="34" t="s">
        <v>925</v>
      </c>
    </row>
    <row r="1284" spans="1:8" ht="33">
      <c r="A1284" s="160">
        <v>1</v>
      </c>
      <c r="B1284" s="160" t="s">
        <v>1422</v>
      </c>
      <c r="C1284" s="157" t="s">
        <v>1412</v>
      </c>
      <c r="D1284" s="159">
        <v>1.1000000000000001</v>
      </c>
      <c r="E1284" s="159">
        <v>20548.36</v>
      </c>
      <c r="F1284" s="159">
        <v>22603.200000000001</v>
      </c>
      <c r="G1284" s="160" t="s">
        <v>2</v>
      </c>
      <c r="H1284" s="34" t="s">
        <v>925</v>
      </c>
    </row>
    <row r="1285" spans="1:8" ht="33">
      <c r="A1285" s="160">
        <v>2</v>
      </c>
      <c r="B1285" s="160" t="s">
        <v>4940</v>
      </c>
      <c r="C1285" s="157" t="s">
        <v>927</v>
      </c>
      <c r="D1285" s="159">
        <v>13.3</v>
      </c>
      <c r="E1285" s="159">
        <v>379.5</v>
      </c>
      <c r="F1285" s="159">
        <v>5047.3500000000004</v>
      </c>
      <c r="G1285" s="160" t="s">
        <v>5449</v>
      </c>
      <c r="H1285" s="34" t="s">
        <v>925</v>
      </c>
    </row>
    <row r="1286" spans="1:8" ht="33">
      <c r="A1286" s="160">
        <v>3</v>
      </c>
      <c r="B1286" s="160" t="s">
        <v>4942</v>
      </c>
      <c r="C1286" s="157" t="s">
        <v>927</v>
      </c>
      <c r="D1286" s="159">
        <v>13.3</v>
      </c>
      <c r="E1286" s="159">
        <v>379.5</v>
      </c>
      <c r="F1286" s="159">
        <v>5047.3500000000004</v>
      </c>
      <c r="G1286" s="160" t="s">
        <v>5450</v>
      </c>
      <c r="H1286" s="34" t="s">
        <v>925</v>
      </c>
    </row>
    <row r="1287" spans="1:8" ht="33">
      <c r="A1287" s="160">
        <v>4</v>
      </c>
      <c r="B1287" s="160" t="s">
        <v>1414</v>
      </c>
      <c r="C1287" s="157" t="s">
        <v>18</v>
      </c>
      <c r="D1287" s="159">
        <v>4</v>
      </c>
      <c r="E1287" s="159">
        <v>35.54</v>
      </c>
      <c r="F1287" s="159">
        <v>142.16</v>
      </c>
      <c r="G1287" s="160" t="s">
        <v>2</v>
      </c>
      <c r="H1287" s="34" t="s">
        <v>925</v>
      </c>
    </row>
    <row r="1288" spans="1:8" ht="33">
      <c r="A1288" s="160">
        <v>5</v>
      </c>
      <c r="B1288" s="160" t="s">
        <v>931</v>
      </c>
      <c r="C1288" s="157" t="s">
        <v>14</v>
      </c>
      <c r="D1288" s="159">
        <v>1</v>
      </c>
      <c r="E1288" s="159">
        <v>985.2</v>
      </c>
      <c r="F1288" s="159">
        <v>985.2</v>
      </c>
      <c r="G1288" s="160" t="s">
        <v>2</v>
      </c>
      <c r="H1288" s="34" t="s">
        <v>925</v>
      </c>
    </row>
    <row r="1289" spans="1:8" ht="16.5">
      <c r="A1289" s="160"/>
      <c r="B1289" s="160" t="s">
        <v>933</v>
      </c>
      <c r="C1289" s="157" t="s">
        <v>18</v>
      </c>
      <c r="D1289" s="159">
        <v>1000</v>
      </c>
      <c r="E1289" s="159"/>
      <c r="F1289" s="159">
        <v>33825.26</v>
      </c>
      <c r="G1289" s="160"/>
    </row>
    <row r="1290" spans="1:8" ht="33">
      <c r="A1290" s="160"/>
      <c r="B1290" s="160" t="s">
        <v>934</v>
      </c>
      <c r="C1290" s="157" t="s">
        <v>18</v>
      </c>
      <c r="D1290" s="159"/>
      <c r="E1290" s="159"/>
      <c r="F1290" s="159">
        <v>33.83</v>
      </c>
      <c r="G1290" s="160"/>
      <c r="H1290" s="34" t="s">
        <v>925</v>
      </c>
    </row>
    <row r="1291" spans="1:8" ht="33">
      <c r="A1291" s="160"/>
      <c r="B1291" s="160"/>
      <c r="C1291" s="157"/>
      <c r="D1291" s="159"/>
      <c r="E1291" s="159"/>
      <c r="F1291" s="159"/>
      <c r="G1291" s="160"/>
      <c r="H1291" s="34" t="s">
        <v>925</v>
      </c>
    </row>
    <row r="1292" spans="1:8" ht="42.75">
      <c r="A1292" s="160" t="s">
        <v>1629</v>
      </c>
      <c r="B1292" s="160" t="s">
        <v>1425</v>
      </c>
      <c r="C1292" s="157" t="s">
        <v>18</v>
      </c>
      <c r="D1292" s="159">
        <v>1000</v>
      </c>
      <c r="E1292" s="159">
        <v>34.01</v>
      </c>
      <c r="F1292" s="159"/>
      <c r="G1292" s="160" t="s">
        <v>4365</v>
      </c>
      <c r="H1292" s="34" t="s">
        <v>925</v>
      </c>
    </row>
    <row r="1293" spans="1:8" ht="33">
      <c r="A1293" s="160">
        <v>1</v>
      </c>
      <c r="B1293" s="160" t="s">
        <v>1427</v>
      </c>
      <c r="C1293" s="157" t="s">
        <v>1412</v>
      </c>
      <c r="D1293" s="159">
        <v>1.1000000000000001</v>
      </c>
      <c r="E1293" s="159">
        <v>20714.97</v>
      </c>
      <c r="F1293" s="159">
        <v>22786.47</v>
      </c>
      <c r="G1293" s="160" t="s">
        <v>2</v>
      </c>
      <c r="H1293" s="34" t="s">
        <v>925</v>
      </c>
    </row>
    <row r="1294" spans="1:8" ht="33">
      <c r="A1294" s="160">
        <v>2</v>
      </c>
      <c r="B1294" s="160" t="s">
        <v>4940</v>
      </c>
      <c r="C1294" s="157" t="s">
        <v>927</v>
      </c>
      <c r="D1294" s="159">
        <v>13.3</v>
      </c>
      <c r="E1294" s="159">
        <v>379.5</v>
      </c>
      <c r="F1294" s="159">
        <v>5047.3500000000004</v>
      </c>
      <c r="G1294" s="160" t="s">
        <v>5449</v>
      </c>
      <c r="H1294" s="34" t="s">
        <v>925</v>
      </c>
    </row>
    <row r="1295" spans="1:8" ht="33">
      <c r="A1295" s="160">
        <v>3</v>
      </c>
      <c r="B1295" s="160" t="s">
        <v>4942</v>
      </c>
      <c r="C1295" s="157" t="s">
        <v>927</v>
      </c>
      <c r="D1295" s="159">
        <v>13.3</v>
      </c>
      <c r="E1295" s="159">
        <v>379.5</v>
      </c>
      <c r="F1295" s="159">
        <v>5047.3500000000004</v>
      </c>
      <c r="G1295" s="160" t="s">
        <v>5450</v>
      </c>
      <c r="H1295" s="34" t="s">
        <v>925</v>
      </c>
    </row>
    <row r="1296" spans="1:8" ht="33">
      <c r="A1296" s="160">
        <v>4</v>
      </c>
      <c r="B1296" s="160" t="s">
        <v>1414</v>
      </c>
      <c r="C1296" s="157" t="s">
        <v>18</v>
      </c>
      <c r="D1296" s="159">
        <v>4</v>
      </c>
      <c r="E1296" s="159">
        <v>35.54</v>
      </c>
      <c r="F1296" s="159">
        <v>142.16</v>
      </c>
      <c r="G1296" s="160" t="s">
        <v>2</v>
      </c>
      <c r="H1296" s="34" t="s">
        <v>925</v>
      </c>
    </row>
    <row r="1297" spans="1:8" ht="16.5">
      <c r="A1297" s="160">
        <v>5</v>
      </c>
      <c r="B1297" s="160" t="s">
        <v>931</v>
      </c>
      <c r="C1297" s="157" t="s">
        <v>14</v>
      </c>
      <c r="D1297" s="159">
        <v>1</v>
      </c>
      <c r="E1297" s="159">
        <v>990.7</v>
      </c>
      <c r="F1297" s="159">
        <v>990.7</v>
      </c>
      <c r="G1297" s="160" t="s">
        <v>2</v>
      </c>
    </row>
    <row r="1298" spans="1:8" ht="33">
      <c r="A1298" s="160"/>
      <c r="B1298" s="160" t="s">
        <v>933</v>
      </c>
      <c r="C1298" s="157" t="s">
        <v>18</v>
      </c>
      <c r="D1298" s="159">
        <v>1000</v>
      </c>
      <c r="E1298" s="159"/>
      <c r="F1298" s="159">
        <v>34014.03</v>
      </c>
      <c r="G1298" s="160"/>
      <c r="H1298" s="34" t="s">
        <v>925</v>
      </c>
    </row>
    <row r="1299" spans="1:8" ht="33">
      <c r="A1299" s="160"/>
      <c r="B1299" s="160" t="s">
        <v>934</v>
      </c>
      <c r="C1299" s="157" t="s">
        <v>18</v>
      </c>
      <c r="D1299" s="159"/>
      <c r="E1299" s="159"/>
      <c r="F1299" s="159">
        <v>34.01</v>
      </c>
      <c r="G1299" s="160"/>
      <c r="H1299" s="34" t="s">
        <v>925</v>
      </c>
    </row>
    <row r="1300" spans="1:8" ht="33">
      <c r="A1300" s="160"/>
      <c r="B1300" s="160"/>
      <c r="C1300" s="157"/>
      <c r="D1300" s="159"/>
      <c r="E1300" s="159"/>
      <c r="F1300" s="159"/>
      <c r="G1300" s="160"/>
      <c r="H1300" s="34" t="s">
        <v>925</v>
      </c>
    </row>
    <row r="1301" spans="1:8" ht="33">
      <c r="A1301" s="160" t="s">
        <v>1634</v>
      </c>
      <c r="B1301" s="160" t="s">
        <v>4575</v>
      </c>
      <c r="C1301" s="157" t="s">
        <v>18</v>
      </c>
      <c r="D1301" s="159">
        <v>1000</v>
      </c>
      <c r="E1301" s="159">
        <v>40.32</v>
      </c>
      <c r="F1301" s="159"/>
      <c r="G1301" s="160" t="s">
        <v>4377</v>
      </c>
      <c r="H1301" s="34" t="s">
        <v>925</v>
      </c>
    </row>
    <row r="1302" spans="1:8" ht="33">
      <c r="A1302" s="160">
        <v>1</v>
      </c>
      <c r="B1302" s="160" t="s">
        <v>1411</v>
      </c>
      <c r="C1302" s="157" t="s">
        <v>1412</v>
      </c>
      <c r="D1302" s="159">
        <v>1.05</v>
      </c>
      <c r="E1302" s="159">
        <v>19854.16</v>
      </c>
      <c r="F1302" s="159">
        <v>20846.87</v>
      </c>
      <c r="G1302" s="160" t="s">
        <v>4377</v>
      </c>
      <c r="H1302" s="34" t="s">
        <v>925</v>
      </c>
    </row>
    <row r="1303" spans="1:8" ht="33">
      <c r="A1303" s="160">
        <v>2</v>
      </c>
      <c r="B1303" s="160" t="s">
        <v>4946</v>
      </c>
      <c r="C1303" s="157" t="s">
        <v>927</v>
      </c>
      <c r="D1303" s="159">
        <v>11.96</v>
      </c>
      <c r="E1303" s="159">
        <v>758.99</v>
      </c>
      <c r="F1303" s="159">
        <v>9077.52</v>
      </c>
      <c r="G1303" s="160" t="s">
        <v>5450</v>
      </c>
      <c r="H1303" s="34" t="s">
        <v>925</v>
      </c>
    </row>
    <row r="1304" spans="1:8" ht="33">
      <c r="A1304" s="160">
        <v>3</v>
      </c>
      <c r="B1304" s="160" t="s">
        <v>4948</v>
      </c>
      <c r="C1304" s="157" t="s">
        <v>927</v>
      </c>
      <c r="D1304" s="159">
        <v>11.96</v>
      </c>
      <c r="E1304" s="159">
        <v>758.99</v>
      </c>
      <c r="F1304" s="159">
        <v>9077.52</v>
      </c>
      <c r="G1304" s="160" t="s">
        <v>5449</v>
      </c>
      <c r="H1304" s="34" t="s">
        <v>925</v>
      </c>
    </row>
    <row r="1305" spans="1:8" ht="33">
      <c r="A1305" s="160">
        <v>4</v>
      </c>
      <c r="B1305" s="160" t="s">
        <v>1414</v>
      </c>
      <c r="C1305" s="157" t="s">
        <v>18</v>
      </c>
      <c r="D1305" s="159">
        <v>4</v>
      </c>
      <c r="E1305" s="159">
        <v>35.54</v>
      </c>
      <c r="F1305" s="159">
        <v>142.16</v>
      </c>
      <c r="G1305" s="160" t="s">
        <v>2</v>
      </c>
      <c r="H1305" s="34" t="s">
        <v>925</v>
      </c>
    </row>
    <row r="1306" spans="1:8" ht="33">
      <c r="A1306" s="160">
        <v>5</v>
      </c>
      <c r="B1306" s="160" t="s">
        <v>931</v>
      </c>
      <c r="C1306" s="157" t="s">
        <v>14</v>
      </c>
      <c r="D1306" s="159">
        <v>1</v>
      </c>
      <c r="E1306" s="159">
        <v>1174.32</v>
      </c>
      <c r="F1306" s="159">
        <v>1174.32</v>
      </c>
      <c r="G1306" s="160" t="s">
        <v>2</v>
      </c>
      <c r="H1306" s="34" t="s">
        <v>925</v>
      </c>
    </row>
    <row r="1307" spans="1:8" ht="16.5">
      <c r="A1307" s="160"/>
      <c r="B1307" s="160" t="s">
        <v>933</v>
      </c>
      <c r="C1307" s="157" t="s">
        <v>18</v>
      </c>
      <c r="D1307" s="159">
        <v>1000</v>
      </c>
      <c r="E1307" s="159"/>
      <c r="F1307" s="159">
        <v>40318.390000000007</v>
      </c>
      <c r="G1307" s="160"/>
    </row>
    <row r="1308" spans="1:8" ht="33">
      <c r="A1308" s="160"/>
      <c r="B1308" s="160" t="s">
        <v>934</v>
      </c>
      <c r="C1308" s="157" t="s">
        <v>18</v>
      </c>
      <c r="D1308" s="159"/>
      <c r="E1308" s="159"/>
      <c r="F1308" s="159">
        <v>40.32</v>
      </c>
      <c r="G1308" s="160"/>
      <c r="H1308" s="34" t="s">
        <v>925</v>
      </c>
    </row>
    <row r="1309" spans="1:8" ht="33">
      <c r="A1309" s="160"/>
      <c r="B1309" s="160"/>
      <c r="C1309" s="157"/>
      <c r="D1309" s="159"/>
      <c r="E1309" s="159"/>
      <c r="F1309" s="159"/>
      <c r="G1309" s="160"/>
      <c r="H1309" s="34" t="s">
        <v>925</v>
      </c>
    </row>
    <row r="1310" spans="1:8" ht="33">
      <c r="A1310" s="160" t="s">
        <v>1640</v>
      </c>
      <c r="B1310" s="160" t="s">
        <v>4577</v>
      </c>
      <c r="C1310" s="157" t="s">
        <v>18</v>
      </c>
      <c r="D1310" s="159">
        <v>1000</v>
      </c>
      <c r="E1310" s="159">
        <v>41.6</v>
      </c>
      <c r="F1310" s="159"/>
      <c r="G1310" s="160" t="s">
        <v>2</v>
      </c>
      <c r="H1310" s="34" t="s">
        <v>925</v>
      </c>
    </row>
    <row r="1311" spans="1:8" ht="33">
      <c r="A1311" s="160">
        <v>1</v>
      </c>
      <c r="B1311" s="160" t="s">
        <v>1427</v>
      </c>
      <c r="C1311" s="157" t="s">
        <v>1412</v>
      </c>
      <c r="D1311" s="159">
        <v>1.1000000000000001</v>
      </c>
      <c r="E1311" s="159">
        <v>20714.97</v>
      </c>
      <c r="F1311" s="159">
        <v>22786.47</v>
      </c>
      <c r="G1311" s="160" t="s">
        <v>2</v>
      </c>
      <c r="H1311" s="34" t="s">
        <v>925</v>
      </c>
    </row>
    <row r="1312" spans="1:8" ht="33">
      <c r="A1312" s="160">
        <v>2</v>
      </c>
      <c r="B1312" s="160" t="s">
        <v>4948</v>
      </c>
      <c r="C1312" s="157" t="s">
        <v>927</v>
      </c>
      <c r="D1312" s="159">
        <v>11.5</v>
      </c>
      <c r="E1312" s="159">
        <v>758.99</v>
      </c>
      <c r="F1312" s="159">
        <v>8728.39</v>
      </c>
      <c r="G1312" s="160" t="s">
        <v>5449</v>
      </c>
      <c r="H1312" s="34" t="s">
        <v>925</v>
      </c>
    </row>
    <row r="1313" spans="1:8" ht="33">
      <c r="A1313" s="160">
        <v>3</v>
      </c>
      <c r="B1313" s="160" t="s">
        <v>4946</v>
      </c>
      <c r="C1313" s="157" t="s">
        <v>927</v>
      </c>
      <c r="D1313" s="159">
        <v>11.5</v>
      </c>
      <c r="E1313" s="159">
        <v>758.99</v>
      </c>
      <c r="F1313" s="159">
        <v>8728.39</v>
      </c>
      <c r="G1313" s="160" t="s">
        <v>5450</v>
      </c>
      <c r="H1313" s="34" t="s">
        <v>925</v>
      </c>
    </row>
    <row r="1314" spans="1:8" ht="33">
      <c r="A1314" s="160">
        <v>4</v>
      </c>
      <c r="B1314" s="160" t="s">
        <v>1414</v>
      </c>
      <c r="C1314" s="157" t="s">
        <v>18</v>
      </c>
      <c r="D1314" s="159">
        <v>4</v>
      </c>
      <c r="E1314" s="159">
        <v>35.54</v>
      </c>
      <c r="F1314" s="159">
        <v>142.16</v>
      </c>
      <c r="G1314" s="160" t="s">
        <v>2</v>
      </c>
      <c r="H1314" s="34" t="s">
        <v>925</v>
      </c>
    </row>
    <row r="1315" spans="1:8" ht="16.5">
      <c r="A1315" s="160">
        <v>5</v>
      </c>
      <c r="B1315" s="160" t="s">
        <v>931</v>
      </c>
      <c r="C1315" s="157" t="s">
        <v>14</v>
      </c>
      <c r="D1315" s="159">
        <v>1</v>
      </c>
      <c r="E1315" s="159">
        <v>1211.56</v>
      </c>
      <c r="F1315" s="159">
        <v>1211.56</v>
      </c>
      <c r="G1315" s="160" t="s">
        <v>2</v>
      </c>
    </row>
    <row r="1316" spans="1:8" ht="33">
      <c r="A1316" s="160"/>
      <c r="B1316" s="160" t="s">
        <v>933</v>
      </c>
      <c r="C1316" s="157" t="s">
        <v>18</v>
      </c>
      <c r="D1316" s="159">
        <v>1000</v>
      </c>
      <c r="E1316" s="159"/>
      <c r="F1316" s="159">
        <v>41596.97</v>
      </c>
      <c r="G1316" s="160"/>
      <c r="H1316" s="34" t="s">
        <v>925</v>
      </c>
    </row>
    <row r="1317" spans="1:8" ht="33">
      <c r="A1317" s="160"/>
      <c r="B1317" s="160" t="s">
        <v>934</v>
      </c>
      <c r="C1317" s="157" t="s">
        <v>18</v>
      </c>
      <c r="D1317" s="159"/>
      <c r="E1317" s="159"/>
      <c r="F1317" s="159">
        <v>41.6</v>
      </c>
      <c r="G1317" s="160"/>
      <c r="H1317" s="34" t="s">
        <v>925</v>
      </c>
    </row>
    <row r="1318" spans="1:8" ht="33">
      <c r="A1318" s="160"/>
      <c r="B1318" s="160"/>
      <c r="C1318" s="157"/>
      <c r="D1318" s="159"/>
      <c r="E1318" s="159"/>
      <c r="F1318" s="159"/>
      <c r="G1318" s="160"/>
      <c r="H1318" s="34" t="s">
        <v>925</v>
      </c>
    </row>
    <row r="1319" spans="1:8" ht="33">
      <c r="A1319" s="160" t="s">
        <v>1646</v>
      </c>
      <c r="B1319" s="160" t="s">
        <v>1437</v>
      </c>
      <c r="C1319" s="157" t="s">
        <v>18</v>
      </c>
      <c r="D1319" s="159">
        <v>1000</v>
      </c>
      <c r="E1319" s="159">
        <v>32.92</v>
      </c>
      <c r="F1319" s="159"/>
      <c r="G1319" s="160" t="s">
        <v>2</v>
      </c>
      <c r="H1319" s="34" t="s">
        <v>925</v>
      </c>
    </row>
    <row r="1320" spans="1:8" ht="33">
      <c r="A1320" s="160">
        <v>1</v>
      </c>
      <c r="B1320" s="160" t="s">
        <v>1439</v>
      </c>
      <c r="C1320" s="157" t="s">
        <v>14</v>
      </c>
      <c r="D1320" s="159">
        <v>1</v>
      </c>
      <c r="E1320" s="159">
        <v>8330.42</v>
      </c>
      <c r="F1320" s="159">
        <v>8330.42</v>
      </c>
      <c r="G1320" s="160" t="s">
        <v>2</v>
      </c>
      <c r="H1320" s="34" t="s">
        <v>925</v>
      </c>
    </row>
    <row r="1321" spans="1:8" ht="33">
      <c r="A1321" s="160">
        <v>2</v>
      </c>
      <c r="B1321" s="160" t="s">
        <v>1441</v>
      </c>
      <c r="C1321" s="157" t="s">
        <v>927</v>
      </c>
      <c r="D1321" s="159">
        <v>2</v>
      </c>
      <c r="E1321" s="159">
        <v>1263.45</v>
      </c>
      <c r="F1321" s="159">
        <v>2526.9</v>
      </c>
      <c r="G1321" s="160" t="s">
        <v>2</v>
      </c>
      <c r="H1321" s="34" t="s">
        <v>925</v>
      </c>
    </row>
    <row r="1322" spans="1:8" ht="33">
      <c r="A1322" s="160">
        <v>3</v>
      </c>
      <c r="B1322" s="160" t="s">
        <v>1443</v>
      </c>
      <c r="C1322" s="157" t="s">
        <v>927</v>
      </c>
      <c r="D1322" s="159">
        <v>2</v>
      </c>
      <c r="E1322" s="159">
        <v>371.17</v>
      </c>
      <c r="F1322" s="159">
        <v>742.34</v>
      </c>
      <c r="G1322" s="160" t="s">
        <v>2</v>
      </c>
      <c r="H1322" s="34" t="s">
        <v>925</v>
      </c>
    </row>
    <row r="1323" spans="1:8" ht="16.5">
      <c r="A1323" s="160">
        <v>4</v>
      </c>
      <c r="B1323" s="160" t="s">
        <v>1445</v>
      </c>
      <c r="C1323" s="157" t="s">
        <v>18</v>
      </c>
      <c r="D1323" s="159">
        <v>1000</v>
      </c>
      <c r="E1323" s="159">
        <v>20.36</v>
      </c>
      <c r="F1323" s="159">
        <v>20360</v>
      </c>
      <c r="G1323" s="160" t="s">
        <v>2</v>
      </c>
    </row>
    <row r="1324" spans="1:8" ht="33">
      <c r="A1324" s="160">
        <v>5</v>
      </c>
      <c r="B1324" s="160" t="s">
        <v>931</v>
      </c>
      <c r="C1324" s="157" t="s">
        <v>14</v>
      </c>
      <c r="D1324" s="159">
        <v>1</v>
      </c>
      <c r="E1324" s="159">
        <v>958.79</v>
      </c>
      <c r="F1324" s="159">
        <v>958.79</v>
      </c>
      <c r="G1324" s="160" t="s">
        <v>2</v>
      </c>
      <c r="H1324" s="34" t="s">
        <v>925</v>
      </c>
    </row>
    <row r="1325" spans="1:8" ht="33">
      <c r="A1325" s="160"/>
      <c r="B1325" s="160" t="s">
        <v>933</v>
      </c>
      <c r="C1325" s="157" t="s">
        <v>18</v>
      </c>
      <c r="D1325" s="159">
        <v>1000</v>
      </c>
      <c r="E1325" s="159"/>
      <c r="F1325" s="159">
        <v>32918.449999999997</v>
      </c>
      <c r="G1325" s="160"/>
      <c r="H1325" s="34" t="s">
        <v>925</v>
      </c>
    </row>
    <row r="1326" spans="1:8" ht="33">
      <c r="A1326" s="160"/>
      <c r="B1326" s="160" t="s">
        <v>934</v>
      </c>
      <c r="C1326" s="157" t="s">
        <v>18</v>
      </c>
      <c r="D1326" s="159"/>
      <c r="E1326" s="159"/>
      <c r="F1326" s="159">
        <v>32.92</v>
      </c>
      <c r="G1326" s="160"/>
      <c r="H1326" s="34" t="s">
        <v>925</v>
      </c>
    </row>
    <row r="1327" spans="1:8" ht="33">
      <c r="A1327" s="160"/>
      <c r="B1327" s="160"/>
      <c r="C1327" s="157"/>
      <c r="D1327" s="159"/>
      <c r="E1327" s="159"/>
      <c r="F1327" s="159"/>
      <c r="G1327" s="160"/>
      <c r="H1327" s="34" t="s">
        <v>925</v>
      </c>
    </row>
    <row r="1328" spans="1:8" ht="33">
      <c r="A1328" s="160" t="s">
        <v>1650</v>
      </c>
      <c r="B1328" s="160" t="s">
        <v>1448</v>
      </c>
      <c r="C1328" s="157" t="s">
        <v>18</v>
      </c>
      <c r="D1328" s="159">
        <v>1</v>
      </c>
      <c r="E1328" s="159">
        <v>257.41000000000003</v>
      </c>
      <c r="F1328" s="159"/>
      <c r="G1328" s="160" t="s">
        <v>2</v>
      </c>
      <c r="H1328" s="34" t="s">
        <v>925</v>
      </c>
    </row>
    <row r="1329" spans="1:8" ht="33">
      <c r="A1329" s="160">
        <v>1</v>
      </c>
      <c r="B1329" s="160" t="s">
        <v>1450</v>
      </c>
      <c r="C1329" s="157" t="s">
        <v>18</v>
      </c>
      <c r="D1329" s="159">
        <v>1</v>
      </c>
      <c r="E1329" s="159">
        <v>111.07</v>
      </c>
      <c r="F1329" s="159">
        <v>111.07</v>
      </c>
      <c r="G1329" s="160" t="s">
        <v>2</v>
      </c>
      <c r="H1329" s="34" t="s">
        <v>925</v>
      </c>
    </row>
    <row r="1330" spans="1:8" ht="33">
      <c r="A1330" s="160">
        <v>2</v>
      </c>
      <c r="B1330" s="160" t="s">
        <v>1452</v>
      </c>
      <c r="C1330" s="157" t="s">
        <v>14</v>
      </c>
      <c r="D1330" s="159">
        <v>1</v>
      </c>
      <c r="E1330" s="159">
        <v>138.84</v>
      </c>
      <c r="F1330" s="159">
        <v>138.84</v>
      </c>
      <c r="G1330" s="160" t="s">
        <v>2</v>
      </c>
      <c r="H1330" s="34" t="s">
        <v>925</v>
      </c>
    </row>
    <row r="1331" spans="1:8" ht="16.5">
      <c r="A1331" s="160">
        <v>3</v>
      </c>
      <c r="B1331" s="160" t="s">
        <v>931</v>
      </c>
      <c r="C1331" s="157" t="s">
        <v>14</v>
      </c>
      <c r="D1331" s="159">
        <v>1</v>
      </c>
      <c r="E1331" s="159">
        <v>7.5</v>
      </c>
      <c r="F1331" s="159">
        <v>7.5</v>
      </c>
      <c r="G1331" s="160" t="s">
        <v>2</v>
      </c>
    </row>
    <row r="1332" spans="1:8" ht="33">
      <c r="A1332" s="160"/>
      <c r="B1332" s="160" t="s">
        <v>933</v>
      </c>
      <c r="C1332" s="157" t="s">
        <v>18</v>
      </c>
      <c r="D1332" s="159">
        <v>1</v>
      </c>
      <c r="E1332" s="159"/>
      <c r="F1332" s="159">
        <v>257.40999999999997</v>
      </c>
      <c r="G1332" s="160"/>
      <c r="H1332" s="34" t="s">
        <v>925</v>
      </c>
    </row>
    <row r="1333" spans="1:8" ht="33">
      <c r="A1333" s="160"/>
      <c r="B1333" s="160" t="s">
        <v>934</v>
      </c>
      <c r="C1333" s="157" t="s">
        <v>18</v>
      </c>
      <c r="D1333" s="159"/>
      <c r="E1333" s="159"/>
      <c r="F1333" s="159">
        <v>257.41000000000003</v>
      </c>
      <c r="G1333" s="160"/>
      <c r="H1333" s="34" t="s">
        <v>925</v>
      </c>
    </row>
    <row r="1334" spans="1:8" ht="33">
      <c r="A1334" s="160"/>
      <c r="B1334" s="160"/>
      <c r="C1334" s="157"/>
      <c r="D1334" s="159"/>
      <c r="E1334" s="159"/>
      <c r="F1334" s="159"/>
      <c r="G1334" s="160"/>
      <c r="H1334" s="34" t="s">
        <v>925</v>
      </c>
    </row>
    <row r="1335" spans="1:8" ht="33">
      <c r="A1335" s="160" t="s">
        <v>1657</v>
      </c>
      <c r="B1335" s="160" t="s">
        <v>1455</v>
      </c>
      <c r="C1335" s="157" t="s">
        <v>18</v>
      </c>
      <c r="D1335" s="159">
        <v>1</v>
      </c>
      <c r="E1335" s="159">
        <v>295.55</v>
      </c>
      <c r="F1335" s="159"/>
      <c r="G1335" s="160" t="s">
        <v>2</v>
      </c>
      <c r="H1335" s="34" t="s">
        <v>925</v>
      </c>
    </row>
    <row r="1336" spans="1:8" ht="33">
      <c r="A1336" s="160">
        <v>1</v>
      </c>
      <c r="B1336" s="160" t="s">
        <v>1457</v>
      </c>
      <c r="C1336" s="157" t="s">
        <v>18</v>
      </c>
      <c r="D1336" s="159">
        <v>1</v>
      </c>
      <c r="E1336" s="159">
        <v>148.1</v>
      </c>
      <c r="F1336" s="159">
        <v>148.1</v>
      </c>
      <c r="G1336" s="160" t="s">
        <v>2</v>
      </c>
      <c r="H1336" s="34" t="s">
        <v>925</v>
      </c>
    </row>
    <row r="1337" spans="1:8" ht="33">
      <c r="A1337" s="160">
        <v>2</v>
      </c>
      <c r="B1337" s="160" t="s">
        <v>1452</v>
      </c>
      <c r="C1337" s="157" t="s">
        <v>14</v>
      </c>
      <c r="D1337" s="159">
        <v>1</v>
      </c>
      <c r="E1337" s="159">
        <v>138.84</v>
      </c>
      <c r="F1337" s="159">
        <v>138.84</v>
      </c>
      <c r="G1337" s="160" t="s">
        <v>2</v>
      </c>
      <c r="H1337" s="34" t="s">
        <v>925</v>
      </c>
    </row>
    <row r="1338" spans="1:8" ht="33">
      <c r="A1338" s="160">
        <v>3</v>
      </c>
      <c r="B1338" s="160" t="s">
        <v>931</v>
      </c>
      <c r="C1338" s="157" t="s">
        <v>14</v>
      </c>
      <c r="D1338" s="159">
        <v>1</v>
      </c>
      <c r="E1338" s="159">
        <v>8.61</v>
      </c>
      <c r="F1338" s="159">
        <v>8.61</v>
      </c>
      <c r="G1338" s="160" t="s">
        <v>2</v>
      </c>
      <c r="H1338" s="34" t="s">
        <v>925</v>
      </c>
    </row>
    <row r="1339" spans="1:8" ht="33">
      <c r="A1339" s="160"/>
      <c r="B1339" s="160" t="s">
        <v>933</v>
      </c>
      <c r="C1339" s="157" t="s">
        <v>18</v>
      </c>
      <c r="D1339" s="159">
        <v>1</v>
      </c>
      <c r="E1339" s="159"/>
      <c r="F1339" s="159">
        <v>295.55</v>
      </c>
      <c r="G1339" s="160"/>
      <c r="H1339" s="34" t="s">
        <v>925</v>
      </c>
    </row>
    <row r="1340" spans="1:8" ht="33">
      <c r="A1340" s="160"/>
      <c r="B1340" s="160" t="s">
        <v>934</v>
      </c>
      <c r="C1340" s="157" t="s">
        <v>18</v>
      </c>
      <c r="D1340" s="159"/>
      <c r="E1340" s="159"/>
      <c r="F1340" s="159">
        <v>295.55</v>
      </c>
      <c r="G1340" s="160"/>
      <c r="H1340" s="34" t="s">
        <v>925</v>
      </c>
    </row>
    <row r="1341" spans="1:8" ht="33">
      <c r="A1341" s="160"/>
      <c r="B1341" s="160"/>
      <c r="C1341" s="157"/>
      <c r="D1341" s="159"/>
      <c r="E1341" s="159"/>
      <c r="F1341" s="159"/>
      <c r="G1341" s="160"/>
      <c r="H1341" s="34" t="s">
        <v>925</v>
      </c>
    </row>
    <row r="1342" spans="1:8" ht="28.5">
      <c r="A1342" s="160" t="s">
        <v>1661</v>
      </c>
      <c r="B1342" s="160" t="s">
        <v>1460</v>
      </c>
      <c r="C1342" s="157" t="s">
        <v>3</v>
      </c>
      <c r="D1342" s="159">
        <v>1</v>
      </c>
      <c r="E1342" s="159">
        <v>804.29</v>
      </c>
      <c r="F1342" s="159"/>
      <c r="G1342" s="160" t="s">
        <v>2</v>
      </c>
    </row>
    <row r="1343" spans="1:8" ht="33">
      <c r="A1343" s="160">
        <v>1</v>
      </c>
      <c r="B1343" s="160" t="s">
        <v>1462</v>
      </c>
      <c r="C1343" s="157" t="s">
        <v>14</v>
      </c>
      <c r="D1343" s="159">
        <v>1</v>
      </c>
      <c r="E1343" s="159">
        <v>27.77</v>
      </c>
      <c r="F1343" s="159">
        <v>27.77</v>
      </c>
      <c r="G1343" s="160" t="s">
        <v>2</v>
      </c>
      <c r="H1343" s="34" t="s">
        <v>925</v>
      </c>
    </row>
    <row r="1344" spans="1:8" ht="33">
      <c r="A1344" s="160">
        <v>2</v>
      </c>
      <c r="B1344" s="160" t="s">
        <v>1464</v>
      </c>
      <c r="C1344" s="157" t="s">
        <v>18</v>
      </c>
      <c r="D1344" s="159">
        <v>23.55</v>
      </c>
      <c r="E1344" s="159">
        <v>29.62</v>
      </c>
      <c r="F1344" s="159">
        <v>697.55</v>
      </c>
      <c r="G1344" s="160" t="s">
        <v>2</v>
      </c>
      <c r="H1344" s="34" t="s">
        <v>925</v>
      </c>
    </row>
    <row r="1345" spans="1:8" ht="33">
      <c r="A1345" s="160">
        <v>3</v>
      </c>
      <c r="B1345" s="160" t="s">
        <v>1466</v>
      </c>
      <c r="C1345" s="157" t="s">
        <v>14</v>
      </c>
      <c r="D1345" s="159">
        <v>1</v>
      </c>
      <c r="E1345" s="159">
        <v>55.54</v>
      </c>
      <c r="F1345" s="159">
        <v>55.54</v>
      </c>
      <c r="G1345" s="160" t="s">
        <v>2</v>
      </c>
      <c r="H1345" s="34" t="s">
        <v>925</v>
      </c>
    </row>
    <row r="1346" spans="1:8" ht="33">
      <c r="A1346" s="160">
        <v>4</v>
      </c>
      <c r="B1346" s="160" t="s">
        <v>931</v>
      </c>
      <c r="C1346" s="157" t="s">
        <v>14</v>
      </c>
      <c r="D1346" s="159">
        <v>1</v>
      </c>
      <c r="E1346" s="159">
        <v>23.43</v>
      </c>
      <c r="F1346" s="159">
        <v>23.43</v>
      </c>
      <c r="G1346" s="160" t="s">
        <v>2</v>
      </c>
      <c r="H1346" s="34" t="s">
        <v>925</v>
      </c>
    </row>
    <row r="1347" spans="1:8" ht="33">
      <c r="A1347" s="160"/>
      <c r="B1347" s="160" t="s">
        <v>933</v>
      </c>
      <c r="C1347" s="157" t="s">
        <v>3</v>
      </c>
      <c r="D1347" s="159">
        <v>1</v>
      </c>
      <c r="E1347" s="159"/>
      <c r="F1347" s="159">
        <v>804.28999999999985</v>
      </c>
      <c r="G1347" s="160"/>
      <c r="H1347" s="34" t="s">
        <v>925</v>
      </c>
    </row>
    <row r="1348" spans="1:8" ht="33">
      <c r="A1348" s="160"/>
      <c r="B1348" s="160" t="s">
        <v>934</v>
      </c>
      <c r="C1348" s="157" t="s">
        <v>3</v>
      </c>
      <c r="D1348" s="159"/>
      <c r="E1348" s="159"/>
      <c r="F1348" s="159">
        <v>804.29</v>
      </c>
      <c r="G1348" s="160"/>
      <c r="H1348" s="34" t="s">
        <v>925</v>
      </c>
    </row>
    <row r="1349" spans="1:8" ht="33">
      <c r="A1349" s="160"/>
      <c r="B1349" s="160"/>
      <c r="C1349" s="157"/>
      <c r="D1349" s="159"/>
      <c r="E1349" s="159"/>
      <c r="F1349" s="159"/>
      <c r="G1349" s="160"/>
      <c r="H1349" s="34" t="s">
        <v>925</v>
      </c>
    </row>
    <row r="1350" spans="1:8" ht="33">
      <c r="A1350" s="160" t="s">
        <v>1663</v>
      </c>
      <c r="B1350" s="160" t="s">
        <v>1469</v>
      </c>
      <c r="C1350" s="157" t="s">
        <v>3</v>
      </c>
      <c r="D1350" s="159">
        <v>1</v>
      </c>
      <c r="E1350" s="159">
        <v>1403.17</v>
      </c>
      <c r="F1350" s="159"/>
      <c r="G1350" s="160" t="s">
        <v>2</v>
      </c>
      <c r="H1350" s="34" t="s">
        <v>925</v>
      </c>
    </row>
    <row r="1351" spans="1:8" ht="33">
      <c r="A1351" s="160">
        <v>1</v>
      </c>
      <c r="B1351" s="160" t="s">
        <v>1462</v>
      </c>
      <c r="C1351" s="157" t="s">
        <v>14</v>
      </c>
      <c r="D1351" s="159">
        <v>1</v>
      </c>
      <c r="E1351" s="159">
        <v>27.77</v>
      </c>
      <c r="F1351" s="159">
        <v>27.77</v>
      </c>
      <c r="G1351" s="160" t="s">
        <v>2</v>
      </c>
      <c r="H1351" s="34" t="s">
        <v>925</v>
      </c>
    </row>
    <row r="1352" spans="1:8" ht="33">
      <c r="A1352" s="160">
        <v>2</v>
      </c>
      <c r="B1352" s="160" t="s">
        <v>1464</v>
      </c>
      <c r="C1352" s="157" t="s">
        <v>18</v>
      </c>
      <c r="D1352" s="159">
        <v>43.18</v>
      </c>
      <c r="E1352" s="159">
        <v>29.62</v>
      </c>
      <c r="F1352" s="159">
        <v>1278.99</v>
      </c>
      <c r="G1352" s="160" t="s">
        <v>2</v>
      </c>
      <c r="H1352" s="34" t="s">
        <v>925</v>
      </c>
    </row>
    <row r="1353" spans="1:8" ht="16.5">
      <c r="A1353" s="160">
        <v>3</v>
      </c>
      <c r="B1353" s="160" t="s">
        <v>1466</v>
      </c>
      <c r="C1353" s="157" t="s">
        <v>14</v>
      </c>
      <c r="D1353" s="159">
        <v>1</v>
      </c>
      <c r="E1353" s="159">
        <v>55.54</v>
      </c>
      <c r="F1353" s="159">
        <v>55.54</v>
      </c>
      <c r="G1353" s="160" t="s">
        <v>2</v>
      </c>
    </row>
    <row r="1354" spans="1:8" ht="33">
      <c r="A1354" s="160">
        <v>4</v>
      </c>
      <c r="B1354" s="160" t="s">
        <v>931</v>
      </c>
      <c r="C1354" s="157" t="s">
        <v>14</v>
      </c>
      <c r="D1354" s="159">
        <v>1</v>
      </c>
      <c r="E1354" s="159">
        <v>40.869999999999997</v>
      </c>
      <c r="F1354" s="159">
        <v>40.869999999999997</v>
      </c>
      <c r="G1354" s="160" t="s">
        <v>2</v>
      </c>
      <c r="H1354" s="34" t="s">
        <v>925</v>
      </c>
    </row>
    <row r="1355" spans="1:8" ht="33">
      <c r="A1355" s="160"/>
      <c r="B1355" s="160" t="s">
        <v>933</v>
      </c>
      <c r="C1355" s="157" t="s">
        <v>3</v>
      </c>
      <c r="D1355" s="159">
        <v>1</v>
      </c>
      <c r="E1355" s="159"/>
      <c r="F1355" s="159">
        <v>1403.1699999999998</v>
      </c>
      <c r="G1355" s="160"/>
      <c r="H1355" s="34" t="s">
        <v>925</v>
      </c>
    </row>
    <row r="1356" spans="1:8" ht="33">
      <c r="A1356" s="160"/>
      <c r="B1356" s="160" t="s">
        <v>934</v>
      </c>
      <c r="C1356" s="157" t="s">
        <v>3</v>
      </c>
      <c r="D1356" s="159"/>
      <c r="E1356" s="159"/>
      <c r="F1356" s="159">
        <v>1403.17</v>
      </c>
      <c r="G1356" s="160"/>
      <c r="H1356" s="34" t="s">
        <v>925</v>
      </c>
    </row>
    <row r="1357" spans="1:8" ht="33">
      <c r="A1357" s="160"/>
      <c r="B1357" s="160"/>
      <c r="C1357" s="157"/>
      <c r="D1357" s="159"/>
      <c r="E1357" s="159"/>
      <c r="F1357" s="159"/>
      <c r="G1357" s="160"/>
      <c r="H1357" s="34" t="s">
        <v>925</v>
      </c>
    </row>
    <row r="1358" spans="1:8" ht="42.75">
      <c r="A1358" s="160" t="s">
        <v>1665</v>
      </c>
      <c r="B1358" s="160" t="s">
        <v>1475</v>
      </c>
      <c r="C1358" s="157" t="s">
        <v>17</v>
      </c>
      <c r="D1358" s="159">
        <v>1</v>
      </c>
      <c r="E1358" s="159">
        <v>1457.4</v>
      </c>
      <c r="F1358" s="159"/>
      <c r="G1358" s="160" t="s">
        <v>4380</v>
      </c>
      <c r="H1358" s="34" t="s">
        <v>925</v>
      </c>
    </row>
    <row r="1359" spans="1:8" ht="33">
      <c r="A1359" s="160">
        <v>1</v>
      </c>
      <c r="B1359" s="160" t="s">
        <v>1477</v>
      </c>
      <c r="C1359" s="157" t="s">
        <v>0</v>
      </c>
      <c r="D1359" s="159">
        <v>0.1</v>
      </c>
      <c r="E1359" s="159">
        <v>3023.94</v>
      </c>
      <c r="F1359" s="159">
        <v>302.39</v>
      </c>
      <c r="G1359" s="160" t="s">
        <v>2</v>
      </c>
      <c r="H1359" s="34" t="s">
        <v>925</v>
      </c>
    </row>
    <row r="1360" spans="1:8" ht="33">
      <c r="A1360" s="160">
        <v>2</v>
      </c>
      <c r="B1360" s="160" t="s">
        <v>1479</v>
      </c>
      <c r="C1360" s="157" t="s">
        <v>17</v>
      </c>
      <c r="D1360" s="159">
        <v>1</v>
      </c>
      <c r="E1360" s="159">
        <v>329.51</v>
      </c>
      <c r="F1360" s="159">
        <v>329.51</v>
      </c>
      <c r="G1360" s="160" t="s">
        <v>2</v>
      </c>
      <c r="H1360" s="34" t="s">
        <v>925</v>
      </c>
    </row>
    <row r="1361" spans="1:8" ht="33">
      <c r="A1361" s="160">
        <v>3</v>
      </c>
      <c r="B1361" s="160" t="s">
        <v>1104</v>
      </c>
      <c r="C1361" s="157" t="s">
        <v>0</v>
      </c>
      <c r="D1361" s="159">
        <v>0.1</v>
      </c>
      <c r="E1361" s="159">
        <v>1378.09</v>
      </c>
      <c r="F1361" s="159">
        <v>137.81</v>
      </c>
      <c r="G1361" s="160" t="s">
        <v>1148</v>
      </c>
      <c r="H1361" s="34" t="s">
        <v>925</v>
      </c>
    </row>
    <row r="1362" spans="1:8" ht="42.75">
      <c r="A1362" s="160">
        <v>4</v>
      </c>
      <c r="B1362" s="160" t="s">
        <v>513</v>
      </c>
      <c r="C1362" s="157" t="s">
        <v>18</v>
      </c>
      <c r="D1362" s="159">
        <v>19</v>
      </c>
      <c r="E1362" s="159">
        <v>29.75</v>
      </c>
      <c r="F1362" s="159">
        <v>565.25</v>
      </c>
      <c r="G1362" s="160" t="s">
        <v>5451</v>
      </c>
      <c r="H1362" s="34" t="s">
        <v>925</v>
      </c>
    </row>
    <row r="1363" spans="1:8" ht="33">
      <c r="A1363" s="160">
        <v>5</v>
      </c>
      <c r="B1363" s="160" t="s">
        <v>1481</v>
      </c>
      <c r="C1363" s="157" t="s">
        <v>18</v>
      </c>
      <c r="D1363" s="159">
        <v>19</v>
      </c>
      <c r="E1363" s="159">
        <v>4.21</v>
      </c>
      <c r="F1363" s="159">
        <v>79.989999999999995</v>
      </c>
      <c r="G1363" s="160" t="s">
        <v>2</v>
      </c>
      <c r="H1363" s="34" t="s">
        <v>925</v>
      </c>
    </row>
    <row r="1364" spans="1:8" ht="16.5">
      <c r="A1364" s="160">
        <v>6</v>
      </c>
      <c r="B1364" s="160" t="s">
        <v>931</v>
      </c>
      <c r="C1364" s="157" t="s">
        <v>14</v>
      </c>
      <c r="D1364" s="159">
        <v>1</v>
      </c>
      <c r="E1364" s="159">
        <v>42.45</v>
      </c>
      <c r="F1364" s="159">
        <v>42.45</v>
      </c>
      <c r="G1364" s="160" t="s">
        <v>2</v>
      </c>
    </row>
    <row r="1365" spans="1:8" ht="33">
      <c r="A1365" s="160"/>
      <c r="B1365" s="160" t="s">
        <v>933</v>
      </c>
      <c r="C1365" s="157" t="s">
        <v>17</v>
      </c>
      <c r="D1365" s="159">
        <v>1</v>
      </c>
      <c r="E1365" s="159"/>
      <c r="F1365" s="159">
        <v>1457.4</v>
      </c>
      <c r="G1365" s="160"/>
      <c r="H1365" s="34" t="s">
        <v>925</v>
      </c>
    </row>
    <row r="1366" spans="1:8" ht="33">
      <c r="A1366" s="160"/>
      <c r="B1366" s="160" t="s">
        <v>934</v>
      </c>
      <c r="C1366" s="157" t="s">
        <v>17</v>
      </c>
      <c r="D1366" s="159"/>
      <c r="E1366" s="159"/>
      <c r="F1366" s="159">
        <v>1457.4</v>
      </c>
      <c r="G1366" s="160"/>
      <c r="H1366" s="34" t="s">
        <v>925</v>
      </c>
    </row>
    <row r="1367" spans="1:8" ht="33">
      <c r="A1367" s="160"/>
      <c r="B1367" s="160"/>
      <c r="C1367" s="157"/>
      <c r="D1367" s="159"/>
      <c r="E1367" s="159"/>
      <c r="F1367" s="159"/>
      <c r="G1367" s="160"/>
      <c r="H1367" s="34" t="s">
        <v>925</v>
      </c>
    </row>
    <row r="1368" spans="1:8" ht="42.75">
      <c r="A1368" s="160" t="s">
        <v>1674</v>
      </c>
      <c r="B1368" s="160" t="s">
        <v>1484</v>
      </c>
      <c r="C1368" s="157" t="s">
        <v>17</v>
      </c>
      <c r="D1368" s="159">
        <v>1</v>
      </c>
      <c r="E1368" s="159">
        <v>1787.01</v>
      </c>
      <c r="F1368" s="159"/>
      <c r="G1368" s="160" t="s">
        <v>4380</v>
      </c>
      <c r="H1368" s="34" t="s">
        <v>925</v>
      </c>
    </row>
    <row r="1369" spans="1:8" ht="33">
      <c r="A1369" s="160">
        <v>1</v>
      </c>
      <c r="B1369" s="160" t="s">
        <v>1477</v>
      </c>
      <c r="C1369" s="157" t="s">
        <v>0</v>
      </c>
      <c r="D1369" s="159">
        <v>0.14000000000000001</v>
      </c>
      <c r="E1369" s="159">
        <v>3023.94</v>
      </c>
      <c r="F1369" s="159">
        <v>423.35</v>
      </c>
      <c r="G1369" s="160" t="s">
        <v>2</v>
      </c>
      <c r="H1369" s="34" t="s">
        <v>925</v>
      </c>
    </row>
    <row r="1370" spans="1:8" ht="33">
      <c r="A1370" s="160">
        <v>2</v>
      </c>
      <c r="B1370" s="160" t="s">
        <v>1486</v>
      </c>
      <c r="C1370" s="157" t="s">
        <v>17</v>
      </c>
      <c r="D1370" s="159">
        <v>1</v>
      </c>
      <c r="E1370" s="159">
        <v>370.24</v>
      </c>
      <c r="F1370" s="159">
        <v>370.24</v>
      </c>
      <c r="G1370" s="160" t="s">
        <v>2</v>
      </c>
      <c r="H1370" s="34" t="s">
        <v>925</v>
      </c>
    </row>
    <row r="1371" spans="1:8" ht="33">
      <c r="A1371" s="160">
        <v>3</v>
      </c>
      <c r="B1371" s="160" t="s">
        <v>1104</v>
      </c>
      <c r="C1371" s="157" t="s">
        <v>0</v>
      </c>
      <c r="D1371" s="159">
        <v>0.14000000000000001</v>
      </c>
      <c r="E1371" s="159">
        <v>1378.09</v>
      </c>
      <c r="F1371" s="159">
        <v>192.93</v>
      </c>
      <c r="G1371" s="160" t="s">
        <v>1148</v>
      </c>
      <c r="H1371" s="34" t="s">
        <v>925</v>
      </c>
    </row>
    <row r="1372" spans="1:8" ht="16.5">
      <c r="A1372" s="160">
        <v>4</v>
      </c>
      <c r="B1372" s="160" t="s">
        <v>1425</v>
      </c>
      <c r="C1372" s="157" t="s">
        <v>18</v>
      </c>
      <c r="D1372" s="159">
        <v>21</v>
      </c>
      <c r="E1372" s="159">
        <v>31.43</v>
      </c>
      <c r="F1372" s="159">
        <v>660.03</v>
      </c>
      <c r="G1372" s="160" t="s">
        <v>1605</v>
      </c>
    </row>
    <row r="1373" spans="1:8" ht="33">
      <c r="A1373" s="160">
        <v>5</v>
      </c>
      <c r="B1373" s="160" t="s">
        <v>1481</v>
      </c>
      <c r="C1373" s="157" t="s">
        <v>18</v>
      </c>
      <c r="D1373" s="159">
        <v>21</v>
      </c>
      <c r="E1373" s="159">
        <v>4.21</v>
      </c>
      <c r="F1373" s="159">
        <v>88.41</v>
      </c>
      <c r="G1373" s="160" t="s">
        <v>2</v>
      </c>
      <c r="H1373" s="34" t="s">
        <v>925</v>
      </c>
    </row>
    <row r="1374" spans="1:8" ht="33">
      <c r="A1374" s="160">
        <v>6</v>
      </c>
      <c r="B1374" s="160" t="s">
        <v>931</v>
      </c>
      <c r="C1374" s="157" t="s">
        <v>14</v>
      </c>
      <c r="D1374" s="159">
        <v>1</v>
      </c>
      <c r="E1374" s="159">
        <v>52.05</v>
      </c>
      <c r="F1374" s="159">
        <v>52.05</v>
      </c>
      <c r="G1374" s="160" t="s">
        <v>2</v>
      </c>
      <c r="H1374" s="34" t="s">
        <v>925</v>
      </c>
    </row>
    <row r="1375" spans="1:8" ht="33">
      <c r="A1375" s="160"/>
      <c r="B1375" s="160" t="s">
        <v>933</v>
      </c>
      <c r="C1375" s="157" t="s">
        <v>17</v>
      </c>
      <c r="D1375" s="159">
        <v>1</v>
      </c>
      <c r="E1375" s="159"/>
      <c r="F1375" s="159">
        <v>1787.01</v>
      </c>
      <c r="G1375" s="160"/>
      <c r="H1375" s="34" t="s">
        <v>925</v>
      </c>
    </row>
    <row r="1376" spans="1:8" ht="33">
      <c r="A1376" s="160"/>
      <c r="B1376" s="160" t="s">
        <v>934</v>
      </c>
      <c r="C1376" s="157" t="s">
        <v>17</v>
      </c>
      <c r="D1376" s="159"/>
      <c r="E1376" s="159"/>
      <c r="F1376" s="159">
        <v>1787.01</v>
      </c>
      <c r="G1376" s="160"/>
      <c r="H1376" s="34" t="s">
        <v>925</v>
      </c>
    </row>
    <row r="1377" spans="1:8" ht="33">
      <c r="A1377" s="160"/>
      <c r="B1377" s="160"/>
      <c r="C1377" s="157"/>
      <c r="D1377" s="159"/>
      <c r="E1377" s="159"/>
      <c r="F1377" s="159"/>
      <c r="G1377" s="160"/>
      <c r="H1377" s="34" t="s">
        <v>925</v>
      </c>
    </row>
    <row r="1378" spans="1:8" ht="42.75">
      <c r="A1378" s="160" t="s">
        <v>1679</v>
      </c>
      <c r="B1378" s="160" t="s">
        <v>1489</v>
      </c>
      <c r="C1378" s="157" t="s">
        <v>17</v>
      </c>
      <c r="D1378" s="159">
        <v>1</v>
      </c>
      <c r="E1378" s="159">
        <v>2084.6999999999998</v>
      </c>
      <c r="F1378" s="159"/>
      <c r="G1378" s="160" t="s">
        <v>4380</v>
      </c>
      <c r="H1378" s="34" t="s">
        <v>925</v>
      </c>
    </row>
    <row r="1379" spans="1:8" ht="33">
      <c r="A1379" s="160">
        <v>1</v>
      </c>
      <c r="B1379" s="160" t="s">
        <v>1477</v>
      </c>
      <c r="C1379" s="157" t="s">
        <v>0</v>
      </c>
      <c r="D1379" s="159">
        <v>0.18</v>
      </c>
      <c r="E1379" s="159">
        <v>3023.94</v>
      </c>
      <c r="F1379" s="159">
        <v>544.30999999999995</v>
      </c>
      <c r="G1379" s="160" t="s">
        <v>2</v>
      </c>
      <c r="H1379" s="34" t="s">
        <v>925</v>
      </c>
    </row>
    <row r="1380" spans="1:8" ht="33">
      <c r="A1380" s="160">
        <v>2</v>
      </c>
      <c r="B1380" s="160" t="s">
        <v>1491</v>
      </c>
      <c r="C1380" s="157" t="s">
        <v>17</v>
      </c>
      <c r="D1380" s="159">
        <v>1</v>
      </c>
      <c r="E1380" s="159">
        <v>411.89</v>
      </c>
      <c r="F1380" s="159">
        <v>411.89</v>
      </c>
      <c r="G1380" s="160" t="s">
        <v>2</v>
      </c>
      <c r="H1380" s="34" t="s">
        <v>925</v>
      </c>
    </row>
    <row r="1381" spans="1:8" ht="33">
      <c r="A1381" s="160">
        <v>3</v>
      </c>
      <c r="B1381" s="160" t="s">
        <v>1104</v>
      </c>
      <c r="C1381" s="157" t="s">
        <v>0</v>
      </c>
      <c r="D1381" s="159">
        <v>0.18</v>
      </c>
      <c r="E1381" s="159">
        <v>1378.09</v>
      </c>
      <c r="F1381" s="159">
        <v>248.06</v>
      </c>
      <c r="G1381" s="160" t="s">
        <v>1148</v>
      </c>
      <c r="H1381" s="34" t="s">
        <v>925</v>
      </c>
    </row>
    <row r="1382" spans="1:8" ht="16.5">
      <c r="A1382" s="160">
        <v>4</v>
      </c>
      <c r="B1382" s="160" t="s">
        <v>1425</v>
      </c>
      <c r="C1382" s="157" t="s">
        <v>18</v>
      </c>
      <c r="D1382" s="159">
        <v>23</v>
      </c>
      <c r="E1382" s="159">
        <v>31.43</v>
      </c>
      <c r="F1382" s="159">
        <v>722.89</v>
      </c>
      <c r="G1382" s="160" t="s">
        <v>1605</v>
      </c>
    </row>
    <row r="1383" spans="1:8" ht="33">
      <c r="A1383" s="160">
        <v>5</v>
      </c>
      <c r="B1383" s="160" t="s">
        <v>1481</v>
      </c>
      <c r="C1383" s="157" t="s">
        <v>18</v>
      </c>
      <c r="D1383" s="159">
        <v>23</v>
      </c>
      <c r="E1383" s="159">
        <v>4.21</v>
      </c>
      <c r="F1383" s="159">
        <v>96.83</v>
      </c>
      <c r="G1383" s="160" t="s">
        <v>2</v>
      </c>
      <c r="H1383" s="34" t="s">
        <v>925</v>
      </c>
    </row>
    <row r="1384" spans="1:8" ht="33">
      <c r="A1384" s="160">
        <v>6</v>
      </c>
      <c r="B1384" s="160" t="s">
        <v>931</v>
      </c>
      <c r="C1384" s="157" t="s">
        <v>14</v>
      </c>
      <c r="D1384" s="159">
        <v>1</v>
      </c>
      <c r="E1384" s="159">
        <v>60.72</v>
      </c>
      <c r="F1384" s="159">
        <v>60.72</v>
      </c>
      <c r="G1384" s="160" t="s">
        <v>2</v>
      </c>
      <c r="H1384" s="34" t="s">
        <v>925</v>
      </c>
    </row>
    <row r="1385" spans="1:8" ht="33">
      <c r="A1385" s="160"/>
      <c r="B1385" s="160" t="s">
        <v>933</v>
      </c>
      <c r="C1385" s="157" t="s">
        <v>17</v>
      </c>
      <c r="D1385" s="159">
        <v>1</v>
      </c>
      <c r="E1385" s="159"/>
      <c r="F1385" s="159">
        <v>2084.6999999999998</v>
      </c>
      <c r="G1385" s="160"/>
      <c r="H1385" s="34" t="s">
        <v>925</v>
      </c>
    </row>
    <row r="1386" spans="1:8" ht="33">
      <c r="A1386" s="160"/>
      <c r="B1386" s="160" t="s">
        <v>934</v>
      </c>
      <c r="C1386" s="157" t="s">
        <v>17</v>
      </c>
      <c r="D1386" s="159"/>
      <c r="E1386" s="159"/>
      <c r="F1386" s="159">
        <v>2084.6999999999998</v>
      </c>
      <c r="G1386" s="160"/>
      <c r="H1386" s="34" t="s">
        <v>925</v>
      </c>
    </row>
    <row r="1387" spans="1:8" ht="33">
      <c r="A1387" s="160"/>
      <c r="B1387" s="160"/>
      <c r="C1387" s="157"/>
      <c r="D1387" s="159"/>
      <c r="E1387" s="159"/>
      <c r="F1387" s="159"/>
      <c r="G1387" s="160"/>
      <c r="H1387" s="34" t="s">
        <v>925</v>
      </c>
    </row>
    <row r="1388" spans="1:8" ht="57">
      <c r="A1388" s="160" t="s">
        <v>1684</v>
      </c>
      <c r="B1388" s="160" t="s">
        <v>1494</v>
      </c>
      <c r="C1388" s="157" t="s">
        <v>17</v>
      </c>
      <c r="D1388" s="159">
        <v>100</v>
      </c>
      <c r="E1388" s="159">
        <v>1413.2</v>
      </c>
      <c r="F1388" s="159"/>
      <c r="G1388" s="160" t="s">
        <v>2</v>
      </c>
      <c r="H1388" s="34" t="s">
        <v>925</v>
      </c>
    </row>
    <row r="1389" spans="1:8" ht="42.75">
      <c r="A1389" s="160">
        <v>1</v>
      </c>
      <c r="B1389" s="160" t="s">
        <v>1496</v>
      </c>
      <c r="C1389" s="157" t="s">
        <v>1497</v>
      </c>
      <c r="D1389" s="159">
        <v>400</v>
      </c>
      <c r="E1389" s="159">
        <v>37.020000000000003</v>
      </c>
      <c r="F1389" s="159">
        <v>14808</v>
      </c>
      <c r="G1389" s="160" t="s">
        <v>2</v>
      </c>
      <c r="H1389" s="34" t="s">
        <v>925</v>
      </c>
    </row>
    <row r="1390" spans="1:8" ht="28.5">
      <c r="A1390" s="160">
        <v>2</v>
      </c>
      <c r="B1390" s="160" t="s">
        <v>1499</v>
      </c>
      <c r="C1390" s="157" t="s">
        <v>0</v>
      </c>
      <c r="D1390" s="159">
        <v>4.5</v>
      </c>
      <c r="E1390" s="159">
        <v>15562.14</v>
      </c>
      <c r="F1390" s="159">
        <v>70029.63</v>
      </c>
      <c r="G1390" s="160" t="s">
        <v>2</v>
      </c>
    </row>
    <row r="1391" spans="1:8" ht="33">
      <c r="A1391" s="160">
        <v>3</v>
      </c>
      <c r="B1391" s="160" t="s">
        <v>1501</v>
      </c>
      <c r="C1391" s="157" t="s">
        <v>0</v>
      </c>
      <c r="D1391" s="159">
        <v>0.34</v>
      </c>
      <c r="E1391" s="159">
        <v>15562.14</v>
      </c>
      <c r="F1391" s="159">
        <v>5291.13</v>
      </c>
      <c r="G1391" s="160" t="s">
        <v>2</v>
      </c>
      <c r="H1391" s="34" t="s">
        <v>925</v>
      </c>
    </row>
    <row r="1392" spans="1:8" ht="33">
      <c r="A1392" s="160">
        <v>4</v>
      </c>
      <c r="B1392" s="160" t="s">
        <v>1503</v>
      </c>
      <c r="C1392" s="157" t="s">
        <v>927</v>
      </c>
      <c r="D1392" s="159">
        <v>10</v>
      </c>
      <c r="E1392" s="159">
        <v>379.5</v>
      </c>
      <c r="F1392" s="159">
        <v>3795</v>
      </c>
      <c r="G1392" s="160" t="s">
        <v>2</v>
      </c>
      <c r="H1392" s="34" t="s">
        <v>925</v>
      </c>
    </row>
    <row r="1393" spans="1:8" ht="33">
      <c r="A1393" s="160">
        <v>5</v>
      </c>
      <c r="B1393" s="160" t="s">
        <v>4871</v>
      </c>
      <c r="C1393" s="157" t="s">
        <v>927</v>
      </c>
      <c r="D1393" s="159">
        <v>160</v>
      </c>
      <c r="E1393" s="159">
        <v>260.08999999999997</v>
      </c>
      <c r="F1393" s="159">
        <v>41614.400000000001</v>
      </c>
      <c r="G1393" s="160" t="s">
        <v>5435</v>
      </c>
      <c r="H1393" s="34" t="s">
        <v>925</v>
      </c>
    </row>
    <row r="1394" spans="1:8" ht="33">
      <c r="A1394" s="160">
        <v>6</v>
      </c>
      <c r="B1394" s="160" t="s">
        <v>1505</v>
      </c>
      <c r="C1394" s="157" t="s">
        <v>18</v>
      </c>
      <c r="D1394" s="159">
        <v>50</v>
      </c>
      <c r="E1394" s="159">
        <v>33.32</v>
      </c>
      <c r="F1394" s="159">
        <v>1666</v>
      </c>
      <c r="G1394" s="160" t="s">
        <v>2</v>
      </c>
      <c r="H1394" s="34" t="s">
        <v>925</v>
      </c>
    </row>
    <row r="1395" spans="1:8" ht="33">
      <c r="A1395" s="160">
        <v>7</v>
      </c>
      <c r="B1395" s="160" t="s">
        <v>931</v>
      </c>
      <c r="C1395" s="157" t="s">
        <v>14</v>
      </c>
      <c r="D1395" s="159">
        <v>1</v>
      </c>
      <c r="E1395" s="159">
        <v>4116.12</v>
      </c>
      <c r="F1395" s="159">
        <v>4116.12</v>
      </c>
      <c r="G1395" s="160" t="s">
        <v>2</v>
      </c>
      <c r="H1395" s="34" t="s">
        <v>925</v>
      </c>
    </row>
    <row r="1396" spans="1:8" ht="33">
      <c r="A1396" s="160"/>
      <c r="B1396" s="160" t="s">
        <v>933</v>
      </c>
      <c r="C1396" s="157" t="s">
        <v>17</v>
      </c>
      <c r="D1396" s="159">
        <v>100</v>
      </c>
      <c r="E1396" s="159"/>
      <c r="F1396" s="159">
        <v>141320.28</v>
      </c>
      <c r="G1396" s="160"/>
      <c r="H1396" s="34" t="s">
        <v>925</v>
      </c>
    </row>
    <row r="1397" spans="1:8" ht="16.5">
      <c r="A1397" s="160"/>
      <c r="B1397" s="160" t="s">
        <v>934</v>
      </c>
      <c r="C1397" s="157" t="s">
        <v>17</v>
      </c>
      <c r="D1397" s="159"/>
      <c r="E1397" s="159"/>
      <c r="F1397" s="159">
        <v>1413.2</v>
      </c>
      <c r="G1397" s="160"/>
    </row>
    <row r="1398" spans="1:8" ht="33">
      <c r="A1398" s="160"/>
      <c r="B1398" s="160"/>
      <c r="C1398" s="157"/>
      <c r="D1398" s="159"/>
      <c r="E1398" s="159"/>
      <c r="F1398" s="159"/>
      <c r="G1398" s="160"/>
      <c r="H1398" s="34" t="s">
        <v>925</v>
      </c>
    </row>
    <row r="1399" spans="1:8" ht="57">
      <c r="A1399" s="160" t="s">
        <v>1687</v>
      </c>
      <c r="B1399" s="160" t="s">
        <v>1508</v>
      </c>
      <c r="C1399" s="157" t="s">
        <v>17</v>
      </c>
      <c r="D1399" s="159">
        <v>100</v>
      </c>
      <c r="E1399" s="159">
        <v>1132.81</v>
      </c>
      <c r="F1399" s="159"/>
      <c r="G1399" s="160" t="s">
        <v>2</v>
      </c>
      <c r="H1399" s="34" t="s">
        <v>925</v>
      </c>
    </row>
    <row r="1400" spans="1:8" ht="42.75">
      <c r="A1400" s="160">
        <v>1</v>
      </c>
      <c r="B1400" s="160" t="s">
        <v>1510</v>
      </c>
      <c r="C1400" s="157" t="s">
        <v>1497</v>
      </c>
      <c r="D1400" s="159">
        <v>400</v>
      </c>
      <c r="E1400" s="159">
        <v>32.4</v>
      </c>
      <c r="F1400" s="159">
        <v>12960</v>
      </c>
      <c r="G1400" s="160" t="s">
        <v>2</v>
      </c>
      <c r="H1400" s="34" t="s">
        <v>925</v>
      </c>
    </row>
    <row r="1401" spans="1:8" ht="33">
      <c r="A1401" s="160">
        <v>2</v>
      </c>
      <c r="B1401" s="160" t="s">
        <v>1499</v>
      </c>
      <c r="C1401" s="157" t="s">
        <v>0</v>
      </c>
      <c r="D1401" s="159">
        <v>3.2</v>
      </c>
      <c r="E1401" s="159">
        <v>15562.14</v>
      </c>
      <c r="F1401" s="159">
        <v>49798.85</v>
      </c>
      <c r="G1401" s="160" t="s">
        <v>2</v>
      </c>
      <c r="H1401" s="34" t="s">
        <v>925</v>
      </c>
    </row>
    <row r="1402" spans="1:8" ht="33">
      <c r="A1402" s="160">
        <v>3</v>
      </c>
      <c r="B1402" s="160" t="s">
        <v>1501</v>
      </c>
      <c r="C1402" s="157" t="s">
        <v>0</v>
      </c>
      <c r="D1402" s="159">
        <v>0.17</v>
      </c>
      <c r="E1402" s="159">
        <v>15562.14</v>
      </c>
      <c r="F1402" s="159">
        <v>2645.56</v>
      </c>
      <c r="G1402" s="160" t="s">
        <v>2</v>
      </c>
      <c r="H1402" s="34" t="s">
        <v>925</v>
      </c>
    </row>
    <row r="1403" spans="1:8" ht="33">
      <c r="A1403" s="160">
        <v>4</v>
      </c>
      <c r="B1403" s="160" t="s">
        <v>1503</v>
      </c>
      <c r="C1403" s="157" t="s">
        <v>927</v>
      </c>
      <c r="D1403" s="159">
        <v>60</v>
      </c>
      <c r="E1403" s="159">
        <v>379.5</v>
      </c>
      <c r="F1403" s="159">
        <v>22770</v>
      </c>
      <c r="G1403" s="160" t="s">
        <v>2</v>
      </c>
      <c r="H1403" s="34" t="s">
        <v>925</v>
      </c>
    </row>
    <row r="1404" spans="1:8" ht="33">
      <c r="A1404" s="160">
        <v>5</v>
      </c>
      <c r="B1404" s="160" t="s">
        <v>4871</v>
      </c>
      <c r="C1404" s="157" t="s">
        <v>927</v>
      </c>
      <c r="D1404" s="159">
        <v>80</v>
      </c>
      <c r="E1404" s="159">
        <v>260.08999999999997</v>
      </c>
      <c r="F1404" s="159">
        <v>20807.2</v>
      </c>
      <c r="G1404" s="160" t="s">
        <v>5435</v>
      </c>
      <c r="H1404" s="34" t="s">
        <v>925</v>
      </c>
    </row>
    <row r="1405" spans="1:8" ht="33">
      <c r="A1405" s="160">
        <v>6</v>
      </c>
      <c r="B1405" s="160" t="s">
        <v>1505</v>
      </c>
      <c r="C1405" s="157" t="s">
        <v>18</v>
      </c>
      <c r="D1405" s="159">
        <v>30</v>
      </c>
      <c r="E1405" s="159">
        <v>33.32</v>
      </c>
      <c r="F1405" s="159">
        <v>999.6</v>
      </c>
      <c r="G1405" s="160" t="s">
        <v>2</v>
      </c>
      <c r="H1405" s="34" t="s">
        <v>925</v>
      </c>
    </row>
    <row r="1406" spans="1:8" ht="33">
      <c r="A1406" s="160">
        <v>7</v>
      </c>
      <c r="B1406" s="160" t="s">
        <v>931</v>
      </c>
      <c r="C1406" s="157" t="s">
        <v>14</v>
      </c>
      <c r="D1406" s="159">
        <v>1</v>
      </c>
      <c r="E1406" s="159">
        <v>3299.44</v>
      </c>
      <c r="F1406" s="159">
        <v>3299.44</v>
      </c>
      <c r="G1406" s="160" t="s">
        <v>2</v>
      </c>
      <c r="H1406" s="34" t="s">
        <v>925</v>
      </c>
    </row>
    <row r="1407" spans="1:8" ht="33">
      <c r="A1407" s="160"/>
      <c r="B1407" s="160" t="s">
        <v>933</v>
      </c>
      <c r="C1407" s="157" t="s">
        <v>17</v>
      </c>
      <c r="D1407" s="159">
        <v>100</v>
      </c>
      <c r="E1407" s="159"/>
      <c r="F1407" s="159">
        <v>113280.65000000001</v>
      </c>
      <c r="G1407" s="160"/>
      <c r="H1407" s="34" t="s">
        <v>925</v>
      </c>
    </row>
    <row r="1408" spans="1:8" ht="33">
      <c r="A1408" s="160"/>
      <c r="B1408" s="160" t="s">
        <v>934</v>
      </c>
      <c r="C1408" s="157" t="s">
        <v>17</v>
      </c>
      <c r="D1408" s="159"/>
      <c r="E1408" s="159"/>
      <c r="F1408" s="159">
        <v>1132.81</v>
      </c>
      <c r="G1408" s="160"/>
      <c r="H1408" s="34" t="s">
        <v>925</v>
      </c>
    </row>
    <row r="1409" spans="1:8" ht="33">
      <c r="A1409" s="160"/>
      <c r="B1409" s="160"/>
      <c r="C1409" s="157"/>
      <c r="D1409" s="159"/>
      <c r="E1409" s="159"/>
      <c r="F1409" s="159"/>
      <c r="G1409" s="160"/>
      <c r="H1409" s="34" t="s">
        <v>925</v>
      </c>
    </row>
    <row r="1410" spans="1:8" ht="57">
      <c r="A1410" s="160" t="s">
        <v>1699</v>
      </c>
      <c r="B1410" s="160" t="s">
        <v>1513</v>
      </c>
      <c r="C1410" s="157" t="s">
        <v>17</v>
      </c>
      <c r="D1410" s="159">
        <v>100</v>
      </c>
      <c r="E1410" s="159">
        <v>857.52</v>
      </c>
      <c r="F1410" s="159"/>
      <c r="G1410" s="160" t="s">
        <v>2</v>
      </c>
    </row>
    <row r="1411" spans="1:8" ht="42.75">
      <c r="A1411" s="160">
        <v>1</v>
      </c>
      <c r="B1411" s="160" t="s">
        <v>1515</v>
      </c>
      <c r="C1411" s="157" t="s">
        <v>1497</v>
      </c>
      <c r="D1411" s="159">
        <v>400</v>
      </c>
      <c r="E1411" s="159">
        <v>27.77</v>
      </c>
      <c r="F1411" s="159">
        <v>11108</v>
      </c>
      <c r="G1411" s="160" t="s">
        <v>2</v>
      </c>
      <c r="H1411" s="34" t="s">
        <v>925</v>
      </c>
    </row>
    <row r="1412" spans="1:8" ht="33">
      <c r="A1412" s="160">
        <v>2</v>
      </c>
      <c r="B1412" s="160" t="s">
        <v>1499</v>
      </c>
      <c r="C1412" s="157" t="s">
        <v>0</v>
      </c>
      <c r="D1412" s="159">
        <v>2.1</v>
      </c>
      <c r="E1412" s="159">
        <v>15562.14</v>
      </c>
      <c r="F1412" s="159">
        <v>32680.49</v>
      </c>
      <c r="G1412" s="160" t="s">
        <v>2</v>
      </c>
      <c r="H1412" s="34" t="s">
        <v>925</v>
      </c>
    </row>
    <row r="1413" spans="1:8" ht="33">
      <c r="A1413" s="160">
        <v>3</v>
      </c>
      <c r="B1413" s="160" t="s">
        <v>1501</v>
      </c>
      <c r="C1413" s="157" t="s">
        <v>0</v>
      </c>
      <c r="D1413" s="159">
        <v>0.17</v>
      </c>
      <c r="E1413" s="159">
        <v>15562.14</v>
      </c>
      <c r="F1413" s="159">
        <v>2645.56</v>
      </c>
      <c r="G1413" s="160" t="s">
        <v>2</v>
      </c>
      <c r="H1413" s="34" t="s">
        <v>925</v>
      </c>
    </row>
    <row r="1414" spans="1:8" ht="33">
      <c r="A1414" s="160">
        <v>4</v>
      </c>
      <c r="B1414" s="160" t="s">
        <v>1503</v>
      </c>
      <c r="C1414" s="157" t="s">
        <v>927</v>
      </c>
      <c r="D1414" s="159">
        <v>40</v>
      </c>
      <c r="E1414" s="159">
        <v>379.5</v>
      </c>
      <c r="F1414" s="159">
        <v>15180</v>
      </c>
      <c r="G1414" s="160" t="s">
        <v>2</v>
      </c>
      <c r="H1414" s="34" t="s">
        <v>925</v>
      </c>
    </row>
    <row r="1415" spans="1:8" ht="33">
      <c r="A1415" s="160">
        <v>5</v>
      </c>
      <c r="B1415" s="160" t="s">
        <v>4871</v>
      </c>
      <c r="C1415" s="157" t="s">
        <v>927</v>
      </c>
      <c r="D1415" s="159">
        <v>80</v>
      </c>
      <c r="E1415" s="159">
        <v>260.08999999999997</v>
      </c>
      <c r="F1415" s="159">
        <v>20807.2</v>
      </c>
      <c r="G1415" s="160" t="s">
        <v>5435</v>
      </c>
      <c r="H1415" s="34" t="s">
        <v>925</v>
      </c>
    </row>
    <row r="1416" spans="1:8" ht="33">
      <c r="A1416" s="160">
        <v>6</v>
      </c>
      <c r="B1416" s="160" t="s">
        <v>1505</v>
      </c>
      <c r="C1416" s="157" t="s">
        <v>18</v>
      </c>
      <c r="D1416" s="159">
        <v>25</v>
      </c>
      <c r="E1416" s="159">
        <v>33.32</v>
      </c>
      <c r="F1416" s="159">
        <v>833</v>
      </c>
      <c r="G1416" s="160" t="s">
        <v>2</v>
      </c>
      <c r="H1416" s="34" t="s">
        <v>925</v>
      </c>
    </row>
    <row r="1417" spans="1:8" ht="33">
      <c r="A1417" s="160">
        <v>7</v>
      </c>
      <c r="B1417" s="160" t="s">
        <v>931</v>
      </c>
      <c r="C1417" s="157" t="s">
        <v>14</v>
      </c>
      <c r="D1417" s="159">
        <v>1</v>
      </c>
      <c r="E1417" s="159">
        <v>2497.63</v>
      </c>
      <c r="F1417" s="159">
        <v>2497.63</v>
      </c>
      <c r="G1417" s="160" t="s">
        <v>2</v>
      </c>
      <c r="H1417" s="34" t="s">
        <v>925</v>
      </c>
    </row>
    <row r="1418" spans="1:8" ht="33">
      <c r="A1418" s="160"/>
      <c r="B1418" s="160" t="s">
        <v>933</v>
      </c>
      <c r="C1418" s="157" t="s">
        <v>17</v>
      </c>
      <c r="D1418" s="159">
        <v>100</v>
      </c>
      <c r="E1418" s="159"/>
      <c r="F1418" s="159">
        <v>85751.88</v>
      </c>
      <c r="G1418" s="160"/>
      <c r="H1418" s="34" t="s">
        <v>925</v>
      </c>
    </row>
    <row r="1419" spans="1:8" ht="33">
      <c r="A1419" s="160"/>
      <c r="B1419" s="160" t="s">
        <v>934</v>
      </c>
      <c r="C1419" s="157" t="s">
        <v>17</v>
      </c>
      <c r="D1419" s="159"/>
      <c r="E1419" s="159"/>
      <c r="F1419" s="159">
        <v>857.52</v>
      </c>
      <c r="G1419" s="160"/>
      <c r="H1419" s="34" t="s">
        <v>925</v>
      </c>
    </row>
    <row r="1420" spans="1:8" ht="16.5">
      <c r="A1420" s="160"/>
      <c r="B1420" s="160"/>
      <c r="C1420" s="157"/>
      <c r="D1420" s="159"/>
      <c r="E1420" s="159"/>
      <c r="F1420" s="159"/>
      <c r="G1420" s="160"/>
    </row>
    <row r="1421" spans="1:8" ht="33">
      <c r="A1421" s="160" t="s">
        <v>1706</v>
      </c>
      <c r="B1421" s="160" t="s">
        <v>1518</v>
      </c>
      <c r="C1421" s="157" t="s">
        <v>17</v>
      </c>
      <c r="D1421" s="159">
        <v>12</v>
      </c>
      <c r="E1421" s="159">
        <v>2860.1</v>
      </c>
      <c r="F1421" s="159"/>
      <c r="G1421" s="160" t="s">
        <v>2</v>
      </c>
      <c r="H1421" s="34" t="s">
        <v>925</v>
      </c>
    </row>
    <row r="1422" spans="1:8" ht="33">
      <c r="A1422" s="160">
        <v>1</v>
      </c>
      <c r="B1422" s="160" t="s">
        <v>1520</v>
      </c>
      <c r="C1422" s="157" t="s">
        <v>17</v>
      </c>
      <c r="D1422" s="159">
        <v>12</v>
      </c>
      <c r="E1422" s="159">
        <v>1851.2</v>
      </c>
      <c r="F1422" s="159">
        <v>22214.400000000001</v>
      </c>
      <c r="G1422" s="160" t="s">
        <v>2</v>
      </c>
      <c r="H1422" s="34" t="s">
        <v>925</v>
      </c>
    </row>
    <row r="1423" spans="1:8" ht="33">
      <c r="A1423" s="160">
        <v>2</v>
      </c>
      <c r="B1423" s="160" t="s">
        <v>1522</v>
      </c>
      <c r="C1423" s="157" t="s">
        <v>17</v>
      </c>
      <c r="D1423" s="159">
        <v>12</v>
      </c>
      <c r="E1423" s="159">
        <v>925.6</v>
      </c>
      <c r="F1423" s="159">
        <v>11107.2</v>
      </c>
      <c r="G1423" s="160" t="s">
        <v>2</v>
      </c>
      <c r="H1423" s="34" t="s">
        <v>925</v>
      </c>
    </row>
    <row r="1424" spans="1:8" ht="33">
      <c r="A1424" s="160">
        <v>3</v>
      </c>
      <c r="B1424" s="160" t="s">
        <v>931</v>
      </c>
      <c r="C1424" s="157" t="s">
        <v>14</v>
      </c>
      <c r="D1424" s="159">
        <v>1</v>
      </c>
      <c r="E1424" s="159">
        <v>999.65</v>
      </c>
      <c r="F1424" s="159">
        <v>999.65</v>
      </c>
      <c r="G1424" s="160" t="s">
        <v>2</v>
      </c>
      <c r="H1424" s="34" t="s">
        <v>925</v>
      </c>
    </row>
    <row r="1425" spans="1:8" ht="33">
      <c r="A1425" s="160"/>
      <c r="B1425" s="160" t="s">
        <v>933</v>
      </c>
      <c r="C1425" s="157" t="s">
        <v>17</v>
      </c>
      <c r="D1425" s="159">
        <v>12</v>
      </c>
      <c r="E1425" s="159"/>
      <c r="F1425" s="159">
        <v>34321.250000000007</v>
      </c>
      <c r="G1425" s="160"/>
      <c r="H1425" s="34" t="s">
        <v>925</v>
      </c>
    </row>
    <row r="1426" spans="1:8" ht="33">
      <c r="A1426" s="160"/>
      <c r="B1426" s="160" t="s">
        <v>934</v>
      </c>
      <c r="C1426" s="157" t="s">
        <v>17</v>
      </c>
      <c r="D1426" s="159"/>
      <c r="E1426" s="159"/>
      <c r="F1426" s="159">
        <v>2860.1</v>
      </c>
      <c r="G1426" s="160"/>
      <c r="H1426" s="34" t="s">
        <v>925</v>
      </c>
    </row>
    <row r="1427" spans="1:8" ht="33">
      <c r="A1427" s="160"/>
      <c r="B1427" s="160"/>
      <c r="C1427" s="157"/>
      <c r="D1427" s="159"/>
      <c r="E1427" s="159"/>
      <c r="F1427" s="159"/>
      <c r="G1427" s="160"/>
      <c r="H1427" s="34" t="s">
        <v>925</v>
      </c>
    </row>
    <row r="1428" spans="1:8" ht="42.75">
      <c r="A1428" s="160" t="s">
        <v>1710</v>
      </c>
      <c r="B1428" s="160" t="s">
        <v>1525</v>
      </c>
      <c r="C1428" s="157" t="s">
        <v>3</v>
      </c>
      <c r="D1428" s="159">
        <v>1000</v>
      </c>
      <c r="E1428" s="159">
        <v>589.29999999999995</v>
      </c>
      <c r="F1428" s="159"/>
      <c r="G1428" s="160" t="s">
        <v>2</v>
      </c>
      <c r="H1428" s="34" t="s">
        <v>925</v>
      </c>
    </row>
    <row r="1429" spans="1:8" ht="33">
      <c r="A1429" s="160">
        <v>1</v>
      </c>
      <c r="B1429" s="160" t="s">
        <v>1527</v>
      </c>
      <c r="C1429" s="157" t="s">
        <v>1528</v>
      </c>
      <c r="D1429" s="159">
        <v>875</v>
      </c>
      <c r="E1429" s="159">
        <v>124.96</v>
      </c>
      <c r="F1429" s="159">
        <v>109340</v>
      </c>
      <c r="G1429" s="160" t="s">
        <v>2</v>
      </c>
      <c r="H1429" s="34" t="s">
        <v>925</v>
      </c>
    </row>
    <row r="1430" spans="1:8" ht="33">
      <c r="A1430" s="160">
        <v>2</v>
      </c>
      <c r="B1430" s="160" t="s">
        <v>1530</v>
      </c>
      <c r="C1430" s="157" t="s">
        <v>3</v>
      </c>
      <c r="D1430" s="159">
        <v>1000</v>
      </c>
      <c r="E1430" s="159">
        <v>462.8</v>
      </c>
      <c r="F1430" s="159">
        <v>462800</v>
      </c>
      <c r="G1430" s="160" t="s">
        <v>2</v>
      </c>
      <c r="H1430" s="34" t="s">
        <v>925</v>
      </c>
    </row>
    <row r="1431" spans="1:8" ht="33">
      <c r="A1431" s="160">
        <v>3</v>
      </c>
      <c r="B1431" s="160" t="s">
        <v>931</v>
      </c>
      <c r="C1431" s="157" t="s">
        <v>14</v>
      </c>
      <c r="D1431" s="159">
        <v>1</v>
      </c>
      <c r="E1431" s="159">
        <v>17164.2</v>
      </c>
      <c r="F1431" s="159">
        <v>17164.2</v>
      </c>
      <c r="G1431" s="160" t="s">
        <v>2</v>
      </c>
      <c r="H1431" s="34" t="s">
        <v>925</v>
      </c>
    </row>
    <row r="1432" spans="1:8" ht="16.5">
      <c r="A1432" s="160"/>
      <c r="B1432" s="160" t="s">
        <v>933</v>
      </c>
      <c r="C1432" s="157" t="s">
        <v>3</v>
      </c>
      <c r="D1432" s="159">
        <v>1000</v>
      </c>
      <c r="E1432" s="159"/>
      <c r="F1432" s="159">
        <v>589304.19999999995</v>
      </c>
      <c r="G1432" s="160"/>
    </row>
    <row r="1433" spans="1:8" ht="33">
      <c r="A1433" s="160"/>
      <c r="B1433" s="160" t="s">
        <v>934</v>
      </c>
      <c r="C1433" s="157" t="s">
        <v>3</v>
      </c>
      <c r="D1433" s="159"/>
      <c r="E1433" s="159"/>
      <c r="F1433" s="159">
        <v>589.29999999999995</v>
      </c>
      <c r="G1433" s="160"/>
      <c r="H1433" s="34" t="s">
        <v>925</v>
      </c>
    </row>
    <row r="1434" spans="1:8" ht="33">
      <c r="A1434" s="160"/>
      <c r="B1434" s="160"/>
      <c r="C1434" s="157"/>
      <c r="D1434" s="159"/>
      <c r="E1434" s="159"/>
      <c r="F1434" s="159"/>
      <c r="G1434" s="160"/>
      <c r="H1434" s="34" t="s">
        <v>925</v>
      </c>
    </row>
    <row r="1435" spans="1:8" ht="42.75">
      <c r="A1435" s="160" t="s">
        <v>1722</v>
      </c>
      <c r="B1435" s="160" t="s">
        <v>1533</v>
      </c>
      <c r="C1435" s="157" t="s">
        <v>17</v>
      </c>
      <c r="D1435" s="159">
        <v>10</v>
      </c>
      <c r="E1435" s="159">
        <v>2178.44</v>
      </c>
      <c r="F1435" s="159"/>
      <c r="G1435" s="160" t="s">
        <v>4381</v>
      </c>
      <c r="H1435" s="34" t="s">
        <v>925</v>
      </c>
    </row>
    <row r="1436" spans="1:8" ht="33">
      <c r="A1436" s="160">
        <v>1</v>
      </c>
      <c r="B1436" s="160" t="s">
        <v>1535</v>
      </c>
      <c r="C1436" s="157" t="s">
        <v>1536</v>
      </c>
      <c r="D1436" s="159">
        <v>25</v>
      </c>
      <c r="E1436" s="159">
        <v>249.91</v>
      </c>
      <c r="F1436" s="159">
        <v>6247.75</v>
      </c>
      <c r="G1436" s="160" t="s">
        <v>2</v>
      </c>
      <c r="H1436" s="34" t="s">
        <v>925</v>
      </c>
    </row>
    <row r="1437" spans="1:8" ht="33">
      <c r="A1437" s="160">
        <v>2</v>
      </c>
      <c r="B1437" s="160" t="s">
        <v>1538</v>
      </c>
      <c r="C1437" s="157" t="s">
        <v>1220</v>
      </c>
      <c r="D1437" s="159">
        <v>25</v>
      </c>
      <c r="E1437" s="159">
        <v>573.87</v>
      </c>
      <c r="F1437" s="159">
        <v>14346.75</v>
      </c>
      <c r="G1437" s="160" t="s">
        <v>2</v>
      </c>
      <c r="H1437" s="34" t="s">
        <v>925</v>
      </c>
    </row>
    <row r="1438" spans="1:8" ht="33">
      <c r="A1438" s="160">
        <v>3</v>
      </c>
      <c r="B1438" s="160" t="s">
        <v>1540</v>
      </c>
      <c r="C1438" s="157" t="s">
        <v>14</v>
      </c>
      <c r="D1438" s="159">
        <v>1</v>
      </c>
      <c r="E1438" s="159">
        <v>555.36</v>
      </c>
      <c r="F1438" s="159">
        <v>555.36</v>
      </c>
      <c r="G1438" s="160" t="s">
        <v>2</v>
      </c>
      <c r="H1438" s="34" t="s">
        <v>925</v>
      </c>
    </row>
    <row r="1439" spans="1:8" ht="33">
      <c r="A1439" s="160">
        <v>4</v>
      </c>
      <c r="B1439" s="160" t="s">
        <v>931</v>
      </c>
      <c r="C1439" s="157" t="s">
        <v>14</v>
      </c>
      <c r="D1439" s="159">
        <v>1</v>
      </c>
      <c r="E1439" s="159">
        <v>634.5</v>
      </c>
      <c r="F1439" s="159">
        <v>634.5</v>
      </c>
      <c r="G1439" s="160" t="s">
        <v>2</v>
      </c>
      <c r="H1439" s="34" t="s">
        <v>925</v>
      </c>
    </row>
    <row r="1440" spans="1:8" ht="33">
      <c r="A1440" s="160"/>
      <c r="B1440" s="160" t="s">
        <v>933</v>
      </c>
      <c r="C1440" s="157" t="s">
        <v>17</v>
      </c>
      <c r="D1440" s="159">
        <v>10</v>
      </c>
      <c r="E1440" s="159"/>
      <c r="F1440" s="159">
        <v>21784.36</v>
      </c>
      <c r="G1440" s="160"/>
      <c r="H1440" s="34" t="s">
        <v>925</v>
      </c>
    </row>
    <row r="1441" spans="1:8" ht="16.5">
      <c r="A1441" s="160"/>
      <c r="B1441" s="160" t="s">
        <v>934</v>
      </c>
      <c r="C1441" s="157" t="s">
        <v>17</v>
      </c>
      <c r="D1441" s="159"/>
      <c r="E1441" s="159"/>
      <c r="F1441" s="159">
        <v>2178.44</v>
      </c>
      <c r="G1441" s="160"/>
    </row>
    <row r="1442" spans="1:8" ht="33">
      <c r="A1442" s="160"/>
      <c r="B1442" s="160"/>
      <c r="C1442" s="157"/>
      <c r="D1442" s="159"/>
      <c r="E1442" s="159"/>
      <c r="F1442" s="159"/>
      <c r="G1442" s="160"/>
      <c r="H1442" s="34" t="s">
        <v>925</v>
      </c>
    </row>
    <row r="1443" spans="1:8" ht="42.75">
      <c r="A1443" s="160" t="s">
        <v>1728</v>
      </c>
      <c r="B1443" s="160" t="s">
        <v>1543</v>
      </c>
      <c r="C1443" s="157" t="s">
        <v>17</v>
      </c>
      <c r="D1443" s="159">
        <v>10</v>
      </c>
      <c r="E1443" s="159">
        <v>2421.54</v>
      </c>
      <c r="F1443" s="159"/>
      <c r="G1443" s="160" t="s">
        <v>4381</v>
      </c>
      <c r="H1443" s="34" t="s">
        <v>925</v>
      </c>
    </row>
    <row r="1444" spans="1:8" ht="33">
      <c r="A1444" s="160">
        <v>1</v>
      </c>
      <c r="B1444" s="160" t="s">
        <v>1545</v>
      </c>
      <c r="C1444" s="157" t="s">
        <v>1536</v>
      </c>
      <c r="D1444" s="159">
        <v>25</v>
      </c>
      <c r="E1444" s="159">
        <v>251.76</v>
      </c>
      <c r="F1444" s="159">
        <v>6294</v>
      </c>
      <c r="G1444" s="160" t="s">
        <v>2</v>
      </c>
      <c r="H1444" s="34" t="s">
        <v>925</v>
      </c>
    </row>
    <row r="1445" spans="1:8" ht="33">
      <c r="A1445" s="160">
        <v>2</v>
      </c>
      <c r="B1445" s="160" t="s">
        <v>1547</v>
      </c>
      <c r="C1445" s="157" t="s">
        <v>1220</v>
      </c>
      <c r="D1445" s="159">
        <v>25</v>
      </c>
      <c r="E1445" s="159">
        <v>666.43</v>
      </c>
      <c r="F1445" s="159">
        <v>16660.75</v>
      </c>
      <c r="G1445" s="160" t="s">
        <v>2</v>
      </c>
      <c r="H1445" s="34" t="s">
        <v>925</v>
      </c>
    </row>
    <row r="1446" spans="1:8" ht="33">
      <c r="A1446" s="160">
        <v>3</v>
      </c>
      <c r="B1446" s="160" t="s">
        <v>1540</v>
      </c>
      <c r="C1446" s="157" t="s">
        <v>14</v>
      </c>
      <c r="D1446" s="159">
        <v>1</v>
      </c>
      <c r="E1446" s="159">
        <v>555.36</v>
      </c>
      <c r="F1446" s="159">
        <v>555.36</v>
      </c>
      <c r="G1446" s="160" t="s">
        <v>2</v>
      </c>
      <c r="H1446" s="34" t="s">
        <v>925</v>
      </c>
    </row>
    <row r="1447" spans="1:8" ht="33">
      <c r="A1447" s="160">
        <v>4</v>
      </c>
      <c r="B1447" s="160" t="s">
        <v>931</v>
      </c>
      <c r="C1447" s="157" t="s">
        <v>14</v>
      </c>
      <c r="D1447" s="159">
        <v>1</v>
      </c>
      <c r="E1447" s="159">
        <v>705.3</v>
      </c>
      <c r="F1447" s="159">
        <v>705.3</v>
      </c>
      <c r="G1447" s="160" t="s">
        <v>2</v>
      </c>
      <c r="H1447" s="34" t="s">
        <v>925</v>
      </c>
    </row>
    <row r="1448" spans="1:8" ht="33">
      <c r="A1448" s="160"/>
      <c r="B1448" s="160" t="s">
        <v>933</v>
      </c>
      <c r="C1448" s="157" t="s">
        <v>17</v>
      </c>
      <c r="D1448" s="159">
        <v>10</v>
      </c>
      <c r="E1448" s="159"/>
      <c r="F1448" s="159">
        <v>24215.41</v>
      </c>
      <c r="G1448" s="160"/>
      <c r="H1448" s="34" t="s">
        <v>925</v>
      </c>
    </row>
    <row r="1449" spans="1:8" ht="33">
      <c r="A1449" s="160"/>
      <c r="B1449" s="160" t="s">
        <v>934</v>
      </c>
      <c r="C1449" s="157" t="s">
        <v>17</v>
      </c>
      <c r="D1449" s="159"/>
      <c r="E1449" s="159"/>
      <c r="F1449" s="159">
        <v>2421.54</v>
      </c>
      <c r="G1449" s="160"/>
      <c r="H1449" s="34" t="s">
        <v>925</v>
      </c>
    </row>
    <row r="1450" spans="1:8" ht="33">
      <c r="A1450" s="160"/>
      <c r="B1450" s="160"/>
      <c r="C1450" s="157"/>
      <c r="D1450" s="159"/>
      <c r="E1450" s="159"/>
      <c r="F1450" s="159"/>
      <c r="G1450" s="160"/>
      <c r="H1450" s="34" t="s">
        <v>925</v>
      </c>
    </row>
    <row r="1451" spans="1:8" ht="42.75">
      <c r="A1451" s="160" t="s">
        <v>1740</v>
      </c>
      <c r="B1451" s="160" t="s">
        <v>1550</v>
      </c>
      <c r="C1451" s="157" t="s">
        <v>17</v>
      </c>
      <c r="D1451" s="159">
        <v>10</v>
      </c>
      <c r="E1451" s="159">
        <v>2576.48</v>
      </c>
      <c r="F1451" s="159"/>
      <c r="G1451" s="160" t="s">
        <v>2</v>
      </c>
      <c r="H1451" s="34" t="s">
        <v>925</v>
      </c>
    </row>
    <row r="1452" spans="1:8" ht="33">
      <c r="A1452" s="160">
        <v>1</v>
      </c>
      <c r="B1452" s="160" t="s">
        <v>1552</v>
      </c>
      <c r="C1452" s="157" t="s">
        <v>1536</v>
      </c>
      <c r="D1452" s="159">
        <v>25</v>
      </c>
      <c r="E1452" s="159">
        <v>237.88</v>
      </c>
      <c r="F1452" s="159">
        <v>5947</v>
      </c>
      <c r="G1452" s="160" t="s">
        <v>2</v>
      </c>
      <c r="H1452" s="34" t="s">
        <v>925</v>
      </c>
    </row>
    <row r="1453" spans="1:8" ht="33">
      <c r="A1453" s="160">
        <v>2</v>
      </c>
      <c r="B1453" s="160" t="s">
        <v>1554</v>
      </c>
      <c r="C1453" s="157" t="s">
        <v>1220</v>
      </c>
      <c r="D1453" s="159">
        <v>25</v>
      </c>
      <c r="E1453" s="159">
        <v>740.48</v>
      </c>
      <c r="F1453" s="159">
        <v>18512</v>
      </c>
      <c r="G1453" s="160" t="s">
        <v>2</v>
      </c>
      <c r="H1453" s="34" t="s">
        <v>925</v>
      </c>
    </row>
    <row r="1454" spans="1:8" ht="28.5">
      <c r="A1454" s="160">
        <v>3</v>
      </c>
      <c r="B1454" s="160" t="s">
        <v>1540</v>
      </c>
      <c r="C1454" s="157" t="s">
        <v>14</v>
      </c>
      <c r="D1454" s="159">
        <v>1</v>
      </c>
      <c r="E1454" s="159">
        <v>555.36</v>
      </c>
      <c r="F1454" s="159">
        <v>555.36</v>
      </c>
      <c r="G1454" s="160" t="s">
        <v>2</v>
      </c>
    </row>
    <row r="1455" spans="1:8" ht="33">
      <c r="A1455" s="160">
        <v>4</v>
      </c>
      <c r="B1455" s="160" t="s">
        <v>931</v>
      </c>
      <c r="C1455" s="157" t="s">
        <v>14</v>
      </c>
      <c r="D1455" s="159">
        <v>1</v>
      </c>
      <c r="E1455" s="159">
        <v>750.43</v>
      </c>
      <c r="F1455" s="159">
        <v>750.43</v>
      </c>
      <c r="G1455" s="160" t="s">
        <v>2</v>
      </c>
      <c r="H1455" s="34" t="s">
        <v>925</v>
      </c>
    </row>
    <row r="1456" spans="1:8" ht="33">
      <c r="A1456" s="160"/>
      <c r="B1456" s="160" t="s">
        <v>933</v>
      </c>
      <c r="C1456" s="157" t="s">
        <v>17</v>
      </c>
      <c r="D1456" s="159">
        <v>10</v>
      </c>
      <c r="E1456" s="159"/>
      <c r="F1456" s="159">
        <v>25764.79</v>
      </c>
      <c r="G1456" s="160"/>
      <c r="H1456" s="34" t="s">
        <v>925</v>
      </c>
    </row>
    <row r="1457" spans="1:8" ht="33">
      <c r="A1457" s="160"/>
      <c r="B1457" s="160" t="s">
        <v>934</v>
      </c>
      <c r="C1457" s="157" t="s">
        <v>17</v>
      </c>
      <c r="D1457" s="159"/>
      <c r="E1457" s="159"/>
      <c r="F1457" s="159">
        <v>2576.48</v>
      </c>
      <c r="G1457" s="160"/>
      <c r="H1457" s="34" t="s">
        <v>925</v>
      </c>
    </row>
    <row r="1458" spans="1:8" ht="33">
      <c r="A1458" s="160"/>
      <c r="B1458" s="160"/>
      <c r="C1458" s="157"/>
      <c r="D1458" s="159"/>
      <c r="E1458" s="159"/>
      <c r="F1458" s="159"/>
      <c r="G1458" s="160"/>
      <c r="H1458" s="34" t="s">
        <v>925</v>
      </c>
    </row>
    <row r="1459" spans="1:8" ht="42.75">
      <c r="A1459" s="160" t="s">
        <v>1750</v>
      </c>
      <c r="B1459" s="160" t="s">
        <v>1557</v>
      </c>
      <c r="C1459" s="157" t="s">
        <v>17</v>
      </c>
      <c r="D1459" s="159">
        <v>10</v>
      </c>
      <c r="E1459" s="159">
        <v>3622.81</v>
      </c>
      <c r="F1459" s="159"/>
      <c r="G1459" s="160" t="s">
        <v>2</v>
      </c>
      <c r="H1459" s="34" t="s">
        <v>925</v>
      </c>
    </row>
    <row r="1460" spans="1:8" ht="33">
      <c r="A1460" s="160">
        <v>1</v>
      </c>
      <c r="B1460" s="160" t="s">
        <v>1559</v>
      </c>
      <c r="C1460" s="157" t="s">
        <v>1536</v>
      </c>
      <c r="D1460" s="159">
        <v>25</v>
      </c>
      <c r="E1460" s="159">
        <v>311</v>
      </c>
      <c r="F1460" s="159">
        <v>7775</v>
      </c>
      <c r="G1460" s="160" t="s">
        <v>2</v>
      </c>
      <c r="H1460" s="34" t="s">
        <v>925</v>
      </c>
    </row>
    <row r="1461" spans="1:8" ht="33">
      <c r="A1461" s="160">
        <v>2</v>
      </c>
      <c r="B1461" s="160" t="s">
        <v>1561</v>
      </c>
      <c r="C1461" s="157" t="s">
        <v>1220</v>
      </c>
      <c r="D1461" s="159">
        <v>25</v>
      </c>
      <c r="E1461" s="159">
        <v>1073.7</v>
      </c>
      <c r="F1461" s="159">
        <v>26842.5</v>
      </c>
      <c r="G1461" s="160" t="s">
        <v>2</v>
      </c>
      <c r="H1461" s="34" t="s">
        <v>925</v>
      </c>
    </row>
    <row r="1462" spans="1:8" ht="33">
      <c r="A1462" s="160">
        <v>3</v>
      </c>
      <c r="B1462" s="160" t="s">
        <v>1540</v>
      </c>
      <c r="C1462" s="157" t="s">
        <v>14</v>
      </c>
      <c r="D1462" s="159">
        <v>1</v>
      </c>
      <c r="E1462" s="159">
        <v>555.36</v>
      </c>
      <c r="F1462" s="159">
        <v>555.36</v>
      </c>
      <c r="G1462" s="160" t="s">
        <v>2</v>
      </c>
      <c r="H1462" s="34" t="s">
        <v>925</v>
      </c>
    </row>
    <row r="1463" spans="1:8" ht="33">
      <c r="A1463" s="160">
        <v>4</v>
      </c>
      <c r="B1463" s="160" t="s">
        <v>931</v>
      </c>
      <c r="C1463" s="157" t="s">
        <v>14</v>
      </c>
      <c r="D1463" s="159">
        <v>1</v>
      </c>
      <c r="E1463" s="159">
        <v>1055.19</v>
      </c>
      <c r="F1463" s="159">
        <v>1055.19</v>
      </c>
      <c r="G1463" s="160" t="s">
        <v>2</v>
      </c>
      <c r="H1463" s="34" t="s">
        <v>925</v>
      </c>
    </row>
    <row r="1464" spans="1:8" ht="16.5">
      <c r="A1464" s="160"/>
      <c r="B1464" s="160" t="s">
        <v>933</v>
      </c>
      <c r="C1464" s="157" t="s">
        <v>17</v>
      </c>
      <c r="D1464" s="159">
        <v>10</v>
      </c>
      <c r="E1464" s="159"/>
      <c r="F1464" s="159">
        <v>36228.050000000003</v>
      </c>
      <c r="G1464" s="160"/>
    </row>
    <row r="1465" spans="1:8" ht="33">
      <c r="A1465" s="160"/>
      <c r="B1465" s="160" t="s">
        <v>934</v>
      </c>
      <c r="C1465" s="157" t="s">
        <v>17</v>
      </c>
      <c r="D1465" s="159"/>
      <c r="E1465" s="159"/>
      <c r="F1465" s="159">
        <v>3622.81</v>
      </c>
      <c r="G1465" s="160"/>
      <c r="H1465" s="34" t="s">
        <v>925</v>
      </c>
    </row>
    <row r="1466" spans="1:8" ht="33">
      <c r="A1466" s="160"/>
      <c r="B1466" s="160"/>
      <c r="C1466" s="157"/>
      <c r="D1466" s="159"/>
      <c r="E1466" s="159"/>
      <c r="F1466" s="159"/>
      <c r="G1466" s="160"/>
      <c r="H1466" s="34" t="s">
        <v>925</v>
      </c>
    </row>
    <row r="1467" spans="1:8" ht="42.75">
      <c r="A1467" s="160" t="s">
        <v>1769</v>
      </c>
      <c r="B1467" s="160" t="s">
        <v>1564</v>
      </c>
      <c r="C1467" s="157" t="s">
        <v>17</v>
      </c>
      <c r="D1467" s="159">
        <v>10</v>
      </c>
      <c r="E1467" s="159">
        <v>5298.36</v>
      </c>
      <c r="F1467" s="159"/>
      <c r="G1467" s="160" t="s">
        <v>2</v>
      </c>
      <c r="H1467" s="34" t="s">
        <v>925</v>
      </c>
    </row>
    <row r="1468" spans="1:8" ht="33">
      <c r="A1468" s="160">
        <v>1</v>
      </c>
      <c r="B1468" s="160" t="s">
        <v>1566</v>
      </c>
      <c r="C1468" s="157" t="s">
        <v>1536</v>
      </c>
      <c r="D1468" s="159">
        <v>25</v>
      </c>
      <c r="E1468" s="159">
        <v>434.11</v>
      </c>
      <c r="F1468" s="159">
        <v>10852.75</v>
      </c>
      <c r="G1468" s="160" t="s">
        <v>2</v>
      </c>
      <c r="H1468" s="34" t="s">
        <v>925</v>
      </c>
    </row>
    <row r="1469" spans="1:8" ht="33">
      <c r="A1469" s="160">
        <v>2</v>
      </c>
      <c r="B1469" s="160" t="s">
        <v>1568</v>
      </c>
      <c r="C1469" s="157" t="s">
        <v>1220</v>
      </c>
      <c r="D1469" s="159">
        <v>25</v>
      </c>
      <c r="E1469" s="159">
        <v>1601.29</v>
      </c>
      <c r="F1469" s="159">
        <v>40032.25</v>
      </c>
      <c r="G1469" s="160" t="s">
        <v>2</v>
      </c>
      <c r="H1469" s="34" t="s">
        <v>925</v>
      </c>
    </row>
    <row r="1470" spans="1:8" ht="33">
      <c r="A1470" s="160">
        <v>3</v>
      </c>
      <c r="B1470" s="160" t="s">
        <v>1540</v>
      </c>
      <c r="C1470" s="157" t="s">
        <v>14</v>
      </c>
      <c r="D1470" s="159">
        <v>1</v>
      </c>
      <c r="E1470" s="159">
        <v>555.36</v>
      </c>
      <c r="F1470" s="159">
        <v>555.36</v>
      </c>
      <c r="G1470" s="160" t="s">
        <v>2</v>
      </c>
      <c r="H1470" s="34" t="s">
        <v>925</v>
      </c>
    </row>
    <row r="1471" spans="1:8" ht="33">
      <c r="A1471" s="160">
        <v>4</v>
      </c>
      <c r="B1471" s="160" t="s">
        <v>931</v>
      </c>
      <c r="C1471" s="157" t="s">
        <v>14</v>
      </c>
      <c r="D1471" s="159">
        <v>1</v>
      </c>
      <c r="E1471" s="159">
        <v>1543.21</v>
      </c>
      <c r="F1471" s="159">
        <v>1543.21</v>
      </c>
      <c r="G1471" s="160" t="s">
        <v>2</v>
      </c>
      <c r="H1471" s="34" t="s">
        <v>925</v>
      </c>
    </row>
    <row r="1472" spans="1:8" ht="33">
      <c r="A1472" s="160"/>
      <c r="B1472" s="160" t="s">
        <v>933</v>
      </c>
      <c r="C1472" s="157" t="s">
        <v>17</v>
      </c>
      <c r="D1472" s="159">
        <v>10</v>
      </c>
      <c r="E1472" s="159"/>
      <c r="F1472" s="159">
        <v>52983.57</v>
      </c>
      <c r="G1472" s="160"/>
      <c r="H1472" s="34" t="s">
        <v>925</v>
      </c>
    </row>
    <row r="1473" spans="1:8" ht="33">
      <c r="A1473" s="160"/>
      <c r="B1473" s="160" t="s">
        <v>934</v>
      </c>
      <c r="C1473" s="157" t="s">
        <v>17</v>
      </c>
      <c r="D1473" s="159"/>
      <c r="E1473" s="159"/>
      <c r="F1473" s="159">
        <v>5298.36</v>
      </c>
      <c r="G1473" s="160"/>
      <c r="H1473" s="34" t="s">
        <v>925</v>
      </c>
    </row>
    <row r="1474" spans="1:8" ht="16.5">
      <c r="A1474" s="160"/>
      <c r="B1474" s="160"/>
      <c r="C1474" s="157"/>
      <c r="D1474" s="159"/>
      <c r="E1474" s="159"/>
      <c r="F1474" s="159"/>
      <c r="G1474" s="160"/>
    </row>
    <row r="1475" spans="1:8" ht="42.75">
      <c r="A1475" s="160" t="s">
        <v>1776</v>
      </c>
      <c r="B1475" s="160" t="s">
        <v>1571</v>
      </c>
      <c r="C1475" s="157" t="s">
        <v>17</v>
      </c>
      <c r="D1475" s="159">
        <v>10</v>
      </c>
      <c r="E1475" s="159">
        <v>8306.2199999999993</v>
      </c>
      <c r="F1475" s="159"/>
      <c r="G1475" s="160" t="s">
        <v>2</v>
      </c>
      <c r="H1475" s="34" t="s">
        <v>925</v>
      </c>
    </row>
    <row r="1476" spans="1:8" ht="33">
      <c r="A1476" s="160">
        <v>1</v>
      </c>
      <c r="B1476" s="160" t="s">
        <v>1573</v>
      </c>
      <c r="C1476" s="157" t="s">
        <v>1536</v>
      </c>
      <c r="D1476" s="159">
        <v>25</v>
      </c>
      <c r="E1476" s="159">
        <v>491.49</v>
      </c>
      <c r="F1476" s="159">
        <v>12287.25</v>
      </c>
      <c r="G1476" s="160" t="s">
        <v>2</v>
      </c>
      <c r="H1476" s="34" t="s">
        <v>925</v>
      </c>
    </row>
    <row r="1477" spans="1:8" ht="33">
      <c r="A1477" s="160">
        <v>2</v>
      </c>
      <c r="B1477" s="160" t="s">
        <v>1575</v>
      </c>
      <c r="C1477" s="157" t="s">
        <v>1220</v>
      </c>
      <c r="D1477" s="159">
        <v>25</v>
      </c>
      <c r="E1477" s="159">
        <v>2712.01</v>
      </c>
      <c r="F1477" s="159">
        <v>67800.25</v>
      </c>
      <c r="G1477" s="160" t="s">
        <v>2</v>
      </c>
      <c r="H1477" s="34" t="s">
        <v>925</v>
      </c>
    </row>
    <row r="1478" spans="1:8" ht="33">
      <c r="A1478" s="160">
        <v>3</v>
      </c>
      <c r="B1478" s="160" t="s">
        <v>1540</v>
      </c>
      <c r="C1478" s="157" t="s">
        <v>14</v>
      </c>
      <c r="D1478" s="159">
        <v>1</v>
      </c>
      <c r="E1478" s="159">
        <v>555.36</v>
      </c>
      <c r="F1478" s="159">
        <v>555.36</v>
      </c>
      <c r="G1478" s="160" t="s">
        <v>2</v>
      </c>
      <c r="H1478" s="34" t="s">
        <v>925</v>
      </c>
    </row>
    <row r="1479" spans="1:8" ht="33">
      <c r="A1479" s="160">
        <v>4</v>
      </c>
      <c r="B1479" s="160" t="s">
        <v>931</v>
      </c>
      <c r="C1479" s="157" t="s">
        <v>14</v>
      </c>
      <c r="D1479" s="159">
        <v>1</v>
      </c>
      <c r="E1479" s="159">
        <v>2419.29</v>
      </c>
      <c r="F1479" s="159">
        <v>2419.29</v>
      </c>
      <c r="G1479" s="160" t="s">
        <v>2</v>
      </c>
      <c r="H1479" s="34" t="s">
        <v>925</v>
      </c>
    </row>
    <row r="1480" spans="1:8" ht="33">
      <c r="A1480" s="160"/>
      <c r="B1480" s="160" t="s">
        <v>933</v>
      </c>
      <c r="C1480" s="157" t="s">
        <v>17</v>
      </c>
      <c r="D1480" s="159">
        <v>10</v>
      </c>
      <c r="E1480" s="159"/>
      <c r="F1480" s="159">
        <v>83062.149999999994</v>
      </c>
      <c r="G1480" s="160"/>
      <c r="H1480" s="34" t="s">
        <v>925</v>
      </c>
    </row>
    <row r="1481" spans="1:8" ht="33">
      <c r="A1481" s="160"/>
      <c r="B1481" s="160" t="s">
        <v>934</v>
      </c>
      <c r="C1481" s="157" t="s">
        <v>17</v>
      </c>
      <c r="D1481" s="159"/>
      <c r="E1481" s="159"/>
      <c r="F1481" s="159">
        <v>8306.2199999999993</v>
      </c>
      <c r="G1481" s="160"/>
      <c r="H1481" s="34" t="s">
        <v>925</v>
      </c>
    </row>
    <row r="1482" spans="1:8" ht="33">
      <c r="A1482" s="160"/>
      <c r="B1482" s="160"/>
      <c r="C1482" s="157"/>
      <c r="D1482" s="159"/>
      <c r="E1482" s="159"/>
      <c r="F1482" s="159"/>
      <c r="G1482" s="160"/>
      <c r="H1482" s="34" t="s">
        <v>925</v>
      </c>
    </row>
    <row r="1483" spans="1:8" ht="33">
      <c r="A1483" s="160" t="s">
        <v>1781</v>
      </c>
      <c r="B1483" s="160" t="s">
        <v>1578</v>
      </c>
      <c r="C1483" s="157" t="s">
        <v>17</v>
      </c>
      <c r="D1483" s="159">
        <v>9</v>
      </c>
      <c r="E1483" s="159">
        <v>157.31</v>
      </c>
      <c r="F1483" s="159"/>
      <c r="G1483" s="160" t="s">
        <v>4382</v>
      </c>
      <c r="H1483" s="34" t="s">
        <v>925</v>
      </c>
    </row>
    <row r="1484" spans="1:8" ht="28.5">
      <c r="A1484" s="160">
        <v>1</v>
      </c>
      <c r="B1484" s="160" t="s">
        <v>1580</v>
      </c>
      <c r="C1484" s="157" t="s">
        <v>17</v>
      </c>
      <c r="D1484" s="159">
        <v>9</v>
      </c>
      <c r="E1484" s="159">
        <v>101.82</v>
      </c>
      <c r="F1484" s="159">
        <v>916.38</v>
      </c>
      <c r="G1484" s="160" t="s">
        <v>2</v>
      </c>
    </row>
    <row r="1485" spans="1:8" ht="33">
      <c r="A1485" s="160">
        <v>2</v>
      </c>
      <c r="B1485" s="160" t="s">
        <v>1582</v>
      </c>
      <c r="C1485" s="157" t="s">
        <v>17</v>
      </c>
      <c r="D1485" s="159">
        <v>9</v>
      </c>
      <c r="E1485" s="159">
        <v>50.91</v>
      </c>
      <c r="F1485" s="159">
        <v>458.19</v>
      </c>
      <c r="G1485" s="160" t="s">
        <v>4383</v>
      </c>
      <c r="H1485" s="34" t="s">
        <v>925</v>
      </c>
    </row>
    <row r="1486" spans="1:8" ht="33">
      <c r="A1486" s="160">
        <v>3</v>
      </c>
      <c r="B1486" s="160" t="s">
        <v>931</v>
      </c>
      <c r="C1486" s="157" t="s">
        <v>14</v>
      </c>
      <c r="D1486" s="159">
        <v>1</v>
      </c>
      <c r="E1486" s="159">
        <v>41.24</v>
      </c>
      <c r="F1486" s="159">
        <v>41.24</v>
      </c>
      <c r="G1486" s="160" t="s">
        <v>2</v>
      </c>
      <c r="H1486" s="34" t="s">
        <v>925</v>
      </c>
    </row>
    <row r="1487" spans="1:8" ht="33">
      <c r="A1487" s="160"/>
      <c r="B1487" s="160" t="s">
        <v>933</v>
      </c>
      <c r="C1487" s="157" t="s">
        <v>17</v>
      </c>
      <c r="D1487" s="159">
        <v>9</v>
      </c>
      <c r="E1487" s="159"/>
      <c r="F1487" s="159">
        <v>1415.81</v>
      </c>
      <c r="G1487" s="160"/>
      <c r="H1487" s="34" t="s">
        <v>925</v>
      </c>
    </row>
    <row r="1488" spans="1:8" ht="33">
      <c r="A1488" s="160"/>
      <c r="B1488" s="160" t="s">
        <v>934</v>
      </c>
      <c r="C1488" s="157" t="s">
        <v>17</v>
      </c>
      <c r="D1488" s="159"/>
      <c r="E1488" s="159"/>
      <c r="F1488" s="159">
        <v>157.31</v>
      </c>
      <c r="G1488" s="160"/>
      <c r="H1488" s="34" t="s">
        <v>925</v>
      </c>
    </row>
    <row r="1489" spans="1:8" ht="33">
      <c r="A1489" s="160"/>
      <c r="B1489" s="160"/>
      <c r="C1489" s="157"/>
      <c r="D1489" s="159"/>
      <c r="E1489" s="159"/>
      <c r="F1489" s="159"/>
      <c r="G1489" s="160"/>
      <c r="H1489" s="34" t="s">
        <v>925</v>
      </c>
    </row>
    <row r="1490" spans="1:8" ht="33">
      <c r="A1490" s="160" t="s">
        <v>1786</v>
      </c>
      <c r="B1490" s="160" t="s">
        <v>1585</v>
      </c>
      <c r="C1490" s="157" t="s">
        <v>17</v>
      </c>
      <c r="D1490" s="159">
        <v>13</v>
      </c>
      <c r="E1490" s="159">
        <v>228.8</v>
      </c>
      <c r="F1490" s="159"/>
      <c r="G1490" s="160" t="s">
        <v>4382</v>
      </c>
      <c r="H1490" s="34" t="s">
        <v>925</v>
      </c>
    </row>
    <row r="1491" spans="1:8" ht="33">
      <c r="A1491" s="160">
        <v>1</v>
      </c>
      <c r="B1491" s="160" t="s">
        <v>1587</v>
      </c>
      <c r="C1491" s="157" t="s">
        <v>17</v>
      </c>
      <c r="D1491" s="159">
        <v>13</v>
      </c>
      <c r="E1491" s="159">
        <v>161.97999999999999</v>
      </c>
      <c r="F1491" s="159">
        <v>2105.7399999999998</v>
      </c>
      <c r="G1491" s="160" t="s">
        <v>2</v>
      </c>
      <c r="H1491" s="34" t="s">
        <v>925</v>
      </c>
    </row>
    <row r="1492" spans="1:8" ht="33">
      <c r="A1492" s="160">
        <v>2</v>
      </c>
      <c r="B1492" s="160" t="s">
        <v>1589</v>
      </c>
      <c r="C1492" s="157" t="s">
        <v>17</v>
      </c>
      <c r="D1492" s="159">
        <v>13</v>
      </c>
      <c r="E1492" s="159">
        <v>60.16</v>
      </c>
      <c r="F1492" s="159">
        <v>782.08</v>
      </c>
      <c r="G1492" s="160" t="s">
        <v>4383</v>
      </c>
      <c r="H1492" s="34" t="s">
        <v>925</v>
      </c>
    </row>
    <row r="1493" spans="1:8" ht="33">
      <c r="A1493" s="160">
        <v>3</v>
      </c>
      <c r="B1493" s="160" t="s">
        <v>931</v>
      </c>
      <c r="C1493" s="157" t="s">
        <v>14</v>
      </c>
      <c r="D1493" s="159">
        <v>1</v>
      </c>
      <c r="E1493" s="159">
        <v>86.63</v>
      </c>
      <c r="F1493" s="159">
        <v>86.63</v>
      </c>
      <c r="G1493" s="160" t="s">
        <v>2</v>
      </c>
      <c r="H1493" s="34" t="s">
        <v>925</v>
      </c>
    </row>
    <row r="1494" spans="1:8" ht="16.5">
      <c r="A1494" s="160"/>
      <c r="B1494" s="160" t="s">
        <v>933</v>
      </c>
      <c r="C1494" s="157" t="s">
        <v>17</v>
      </c>
      <c r="D1494" s="159">
        <v>13</v>
      </c>
      <c r="E1494" s="159"/>
      <c r="F1494" s="159">
        <v>2974.45</v>
      </c>
      <c r="G1494" s="160"/>
    </row>
    <row r="1495" spans="1:8" ht="33">
      <c r="A1495" s="160"/>
      <c r="B1495" s="160" t="s">
        <v>934</v>
      </c>
      <c r="C1495" s="157" t="s">
        <v>17</v>
      </c>
      <c r="D1495" s="159"/>
      <c r="E1495" s="159"/>
      <c r="F1495" s="159">
        <v>228.8</v>
      </c>
      <c r="G1495" s="160"/>
      <c r="H1495" s="34" t="s">
        <v>925</v>
      </c>
    </row>
    <row r="1496" spans="1:8" ht="33">
      <c r="A1496" s="160"/>
      <c r="B1496" s="160"/>
      <c r="C1496" s="157"/>
      <c r="D1496" s="159"/>
      <c r="E1496" s="159"/>
      <c r="F1496" s="159"/>
      <c r="G1496" s="160"/>
      <c r="H1496" s="34" t="s">
        <v>925</v>
      </c>
    </row>
    <row r="1497" spans="1:8" ht="33">
      <c r="A1497" s="160" t="s">
        <v>1791</v>
      </c>
      <c r="B1497" s="160" t="s">
        <v>1592</v>
      </c>
      <c r="C1497" s="157" t="s">
        <v>17</v>
      </c>
      <c r="D1497" s="159">
        <v>9</v>
      </c>
      <c r="E1497" s="159">
        <v>810.36</v>
      </c>
      <c r="F1497" s="159"/>
      <c r="G1497" s="160" t="s">
        <v>2</v>
      </c>
      <c r="H1497" s="34" t="s">
        <v>925</v>
      </c>
    </row>
    <row r="1498" spans="1:8" ht="33">
      <c r="A1498" s="160">
        <v>1</v>
      </c>
      <c r="B1498" s="160" t="s">
        <v>1594</v>
      </c>
      <c r="C1498" s="157" t="s">
        <v>17</v>
      </c>
      <c r="D1498" s="159">
        <v>9</v>
      </c>
      <c r="E1498" s="159">
        <v>64.790000000000006</v>
      </c>
      <c r="F1498" s="159">
        <v>583.11</v>
      </c>
      <c r="G1498" s="160" t="s">
        <v>2</v>
      </c>
      <c r="H1498" s="34" t="s">
        <v>925</v>
      </c>
    </row>
    <row r="1499" spans="1:8" ht="33">
      <c r="A1499" s="160">
        <v>2</v>
      </c>
      <c r="B1499" s="160" t="s">
        <v>1596</v>
      </c>
      <c r="C1499" s="157" t="s">
        <v>17</v>
      </c>
      <c r="D1499" s="159">
        <v>9</v>
      </c>
      <c r="E1499" s="159">
        <v>721.97</v>
      </c>
      <c r="F1499" s="159">
        <v>6497.73</v>
      </c>
      <c r="G1499" s="160" t="s">
        <v>4383</v>
      </c>
      <c r="H1499" s="34" t="s">
        <v>925</v>
      </c>
    </row>
    <row r="1500" spans="1:8" ht="33">
      <c r="A1500" s="160">
        <v>3</v>
      </c>
      <c r="B1500" s="160" t="s">
        <v>931</v>
      </c>
      <c r="C1500" s="157" t="s">
        <v>14</v>
      </c>
      <c r="D1500" s="159">
        <v>1</v>
      </c>
      <c r="E1500" s="159">
        <v>212.43</v>
      </c>
      <c r="F1500" s="159">
        <v>212.43</v>
      </c>
      <c r="G1500" s="160" t="s">
        <v>2</v>
      </c>
      <c r="H1500" s="34" t="s">
        <v>925</v>
      </c>
    </row>
    <row r="1501" spans="1:8" ht="33">
      <c r="A1501" s="160"/>
      <c r="B1501" s="160" t="s">
        <v>933</v>
      </c>
      <c r="C1501" s="157" t="s">
        <v>17</v>
      </c>
      <c r="D1501" s="159">
        <v>9</v>
      </c>
      <c r="E1501" s="159"/>
      <c r="F1501" s="159">
        <v>7293.2699999999995</v>
      </c>
      <c r="G1501" s="160"/>
      <c r="H1501" s="34" t="s">
        <v>925</v>
      </c>
    </row>
    <row r="1502" spans="1:8" ht="33">
      <c r="A1502" s="160"/>
      <c r="B1502" s="160" t="s">
        <v>934</v>
      </c>
      <c r="C1502" s="157" t="s">
        <v>17</v>
      </c>
      <c r="D1502" s="159"/>
      <c r="E1502" s="159"/>
      <c r="F1502" s="159">
        <v>810.36</v>
      </c>
      <c r="G1502" s="160"/>
      <c r="H1502" s="34" t="s">
        <v>925</v>
      </c>
    </row>
    <row r="1503" spans="1:8" ht="33">
      <c r="A1503" s="160"/>
      <c r="B1503" s="160"/>
      <c r="C1503" s="157"/>
      <c r="D1503" s="159"/>
      <c r="E1503" s="159"/>
      <c r="F1503" s="159"/>
      <c r="G1503" s="160"/>
      <c r="H1503" s="34" t="s">
        <v>925</v>
      </c>
    </row>
    <row r="1504" spans="1:8" ht="28.5">
      <c r="A1504" s="160" t="s">
        <v>1796</v>
      </c>
      <c r="B1504" s="160" t="s">
        <v>1599</v>
      </c>
      <c r="C1504" s="157" t="s">
        <v>17</v>
      </c>
      <c r="D1504" s="159">
        <v>13</v>
      </c>
      <c r="E1504" s="159">
        <v>1110.67</v>
      </c>
      <c r="F1504" s="159"/>
      <c r="G1504" s="160" t="s">
        <v>2</v>
      </c>
    </row>
    <row r="1505" spans="1:8" ht="33">
      <c r="A1505" s="160">
        <v>1</v>
      </c>
      <c r="B1505" s="160" t="s">
        <v>1601</v>
      </c>
      <c r="C1505" s="157" t="s">
        <v>17</v>
      </c>
      <c r="D1505" s="159">
        <v>13</v>
      </c>
      <c r="E1505" s="159">
        <v>106.44</v>
      </c>
      <c r="F1505" s="159">
        <v>1383.72</v>
      </c>
      <c r="G1505" s="160" t="s">
        <v>2</v>
      </c>
      <c r="H1505" s="34" t="s">
        <v>925</v>
      </c>
    </row>
    <row r="1506" spans="1:8" ht="33">
      <c r="A1506" s="160">
        <v>2</v>
      </c>
      <c r="B1506" s="160" t="s">
        <v>1603</v>
      </c>
      <c r="C1506" s="157" t="s">
        <v>17</v>
      </c>
      <c r="D1506" s="159">
        <v>13</v>
      </c>
      <c r="E1506" s="159">
        <v>971.88</v>
      </c>
      <c r="F1506" s="159">
        <v>12634.44</v>
      </c>
      <c r="G1506" s="160" t="s">
        <v>4383</v>
      </c>
      <c r="H1506" s="34" t="s">
        <v>925</v>
      </c>
    </row>
    <row r="1507" spans="1:8" ht="33">
      <c r="A1507" s="160">
        <v>3</v>
      </c>
      <c r="B1507" s="160" t="s">
        <v>931</v>
      </c>
      <c r="C1507" s="157" t="s">
        <v>14</v>
      </c>
      <c r="D1507" s="159">
        <v>1</v>
      </c>
      <c r="E1507" s="159">
        <v>420.54</v>
      </c>
      <c r="F1507" s="159">
        <v>420.54</v>
      </c>
      <c r="G1507" s="160" t="s">
        <v>2</v>
      </c>
      <c r="H1507" s="34" t="s">
        <v>925</v>
      </c>
    </row>
    <row r="1508" spans="1:8" ht="33">
      <c r="A1508" s="160"/>
      <c r="B1508" s="160" t="s">
        <v>933</v>
      </c>
      <c r="C1508" s="157" t="s">
        <v>17</v>
      </c>
      <c r="D1508" s="159">
        <v>13</v>
      </c>
      <c r="E1508" s="159"/>
      <c r="F1508" s="159">
        <v>14438.7</v>
      </c>
      <c r="G1508" s="160"/>
      <c r="H1508" s="34" t="s">
        <v>925</v>
      </c>
    </row>
    <row r="1509" spans="1:8" ht="33">
      <c r="A1509" s="160"/>
      <c r="B1509" s="160" t="s">
        <v>934</v>
      </c>
      <c r="C1509" s="157" t="s">
        <v>17</v>
      </c>
      <c r="D1509" s="159"/>
      <c r="E1509" s="159"/>
      <c r="F1509" s="159">
        <v>1110.67</v>
      </c>
      <c r="G1509" s="160"/>
      <c r="H1509" s="34" t="s">
        <v>925</v>
      </c>
    </row>
    <row r="1510" spans="1:8" ht="33">
      <c r="A1510" s="160"/>
      <c r="B1510" s="160"/>
      <c r="C1510" s="157"/>
      <c r="D1510" s="159"/>
      <c r="E1510" s="159"/>
      <c r="F1510" s="159"/>
      <c r="G1510" s="160"/>
      <c r="H1510" s="34" t="s">
        <v>925</v>
      </c>
    </row>
    <row r="1511" spans="1:8" ht="33">
      <c r="A1511" s="160" t="s">
        <v>1801</v>
      </c>
      <c r="B1511" s="160" t="s">
        <v>1606</v>
      </c>
      <c r="C1511" s="157" t="s">
        <v>17</v>
      </c>
      <c r="D1511" s="159">
        <v>9</v>
      </c>
      <c r="E1511" s="159">
        <v>344.8</v>
      </c>
      <c r="F1511" s="159"/>
      <c r="G1511" s="160" t="s">
        <v>4383</v>
      </c>
      <c r="H1511" s="34" t="s">
        <v>925</v>
      </c>
    </row>
    <row r="1512" spans="1:8" ht="33">
      <c r="A1512" s="160">
        <v>1</v>
      </c>
      <c r="B1512" s="160" t="s">
        <v>1608</v>
      </c>
      <c r="C1512" s="157" t="s">
        <v>17</v>
      </c>
      <c r="D1512" s="159">
        <v>9</v>
      </c>
      <c r="E1512" s="159">
        <v>185.12</v>
      </c>
      <c r="F1512" s="159">
        <v>1666.08</v>
      </c>
      <c r="G1512" s="160" t="s">
        <v>2</v>
      </c>
      <c r="H1512" s="34" t="s">
        <v>925</v>
      </c>
    </row>
    <row r="1513" spans="1:8" ht="33">
      <c r="A1513" s="160">
        <v>2</v>
      </c>
      <c r="B1513" s="160" t="s">
        <v>1610</v>
      </c>
      <c r="C1513" s="157" t="s">
        <v>17</v>
      </c>
      <c r="D1513" s="159">
        <v>9</v>
      </c>
      <c r="E1513" s="159">
        <v>87.93</v>
      </c>
      <c r="F1513" s="159">
        <v>791.37</v>
      </c>
      <c r="G1513" s="160" t="s">
        <v>4383</v>
      </c>
      <c r="H1513" s="34" t="s">
        <v>925</v>
      </c>
    </row>
    <row r="1514" spans="1:8" ht="28.5">
      <c r="A1514" s="160">
        <v>3</v>
      </c>
      <c r="B1514" s="160" t="s">
        <v>1540</v>
      </c>
      <c r="C1514" s="157" t="s">
        <v>14</v>
      </c>
      <c r="D1514" s="159">
        <v>1</v>
      </c>
      <c r="E1514" s="159">
        <v>555.36</v>
      </c>
      <c r="F1514" s="159">
        <v>555.36</v>
      </c>
      <c r="G1514" s="160" t="s">
        <v>2</v>
      </c>
    </row>
    <row r="1515" spans="1:8" ht="33">
      <c r="A1515" s="160">
        <v>4</v>
      </c>
      <c r="B1515" s="160" t="s">
        <v>931</v>
      </c>
      <c r="C1515" s="157" t="s">
        <v>14</v>
      </c>
      <c r="D1515" s="159">
        <v>1</v>
      </c>
      <c r="E1515" s="159">
        <v>90.38</v>
      </c>
      <c r="F1515" s="159">
        <v>90.38</v>
      </c>
      <c r="G1515" s="160" t="s">
        <v>2</v>
      </c>
      <c r="H1515" s="34" t="s">
        <v>925</v>
      </c>
    </row>
    <row r="1516" spans="1:8" ht="33">
      <c r="A1516" s="160"/>
      <c r="B1516" s="160" t="s">
        <v>933</v>
      </c>
      <c r="C1516" s="157" t="s">
        <v>17</v>
      </c>
      <c r="D1516" s="159">
        <v>9</v>
      </c>
      <c r="E1516" s="159"/>
      <c r="F1516" s="159">
        <v>3103.19</v>
      </c>
      <c r="G1516" s="160"/>
      <c r="H1516" s="34" t="s">
        <v>925</v>
      </c>
    </row>
    <row r="1517" spans="1:8" ht="33">
      <c r="A1517" s="160"/>
      <c r="B1517" s="160" t="s">
        <v>934</v>
      </c>
      <c r="C1517" s="157" t="s">
        <v>17</v>
      </c>
      <c r="D1517" s="159"/>
      <c r="E1517" s="159"/>
      <c r="F1517" s="159">
        <v>344.8</v>
      </c>
      <c r="G1517" s="160"/>
      <c r="H1517" s="34" t="s">
        <v>925</v>
      </c>
    </row>
    <row r="1518" spans="1:8" ht="33">
      <c r="A1518" s="160"/>
      <c r="B1518" s="160"/>
      <c r="C1518" s="157"/>
      <c r="D1518" s="159"/>
      <c r="E1518" s="159"/>
      <c r="F1518" s="159"/>
      <c r="G1518" s="160"/>
      <c r="H1518" s="34" t="s">
        <v>925</v>
      </c>
    </row>
    <row r="1519" spans="1:8" ht="33">
      <c r="A1519" s="160" t="s">
        <v>1806</v>
      </c>
      <c r="B1519" s="160" t="s">
        <v>1613</v>
      </c>
      <c r="C1519" s="157" t="s">
        <v>17</v>
      </c>
      <c r="D1519" s="159">
        <v>9</v>
      </c>
      <c r="E1519" s="159">
        <v>1231.43</v>
      </c>
      <c r="F1519" s="159"/>
      <c r="G1519" s="160" t="s">
        <v>2</v>
      </c>
      <c r="H1519" s="34" t="s">
        <v>925</v>
      </c>
    </row>
    <row r="1520" spans="1:8" ht="33">
      <c r="A1520" s="160">
        <v>1</v>
      </c>
      <c r="B1520" s="160" t="s">
        <v>1615</v>
      </c>
      <c r="C1520" s="157" t="s">
        <v>17</v>
      </c>
      <c r="D1520" s="159">
        <v>9</v>
      </c>
      <c r="E1520" s="159">
        <v>115.7</v>
      </c>
      <c r="F1520" s="159">
        <v>1041.3</v>
      </c>
      <c r="G1520" s="160" t="s">
        <v>2</v>
      </c>
      <c r="H1520" s="34" t="s">
        <v>925</v>
      </c>
    </row>
    <row r="1521" spans="1:8" ht="33">
      <c r="A1521" s="160">
        <v>2</v>
      </c>
      <c r="B1521" s="160" t="s">
        <v>1617</v>
      </c>
      <c r="C1521" s="157" t="s">
        <v>17</v>
      </c>
      <c r="D1521" s="159">
        <v>9</v>
      </c>
      <c r="E1521" s="159">
        <v>1018.16</v>
      </c>
      <c r="F1521" s="159">
        <v>9163.44</v>
      </c>
      <c r="G1521" s="160" t="s">
        <v>5452</v>
      </c>
      <c r="H1521" s="34" t="s">
        <v>925</v>
      </c>
    </row>
    <row r="1522" spans="1:8" ht="33">
      <c r="A1522" s="160">
        <v>3</v>
      </c>
      <c r="B1522" s="160" t="s">
        <v>1540</v>
      </c>
      <c r="C1522" s="157" t="s">
        <v>14</v>
      </c>
      <c r="D1522" s="159">
        <v>1</v>
      </c>
      <c r="E1522" s="159">
        <v>555.36</v>
      </c>
      <c r="F1522" s="159">
        <v>555.36</v>
      </c>
      <c r="G1522" s="160" t="s">
        <v>2</v>
      </c>
      <c r="H1522" s="34" t="s">
        <v>925</v>
      </c>
    </row>
    <row r="1523" spans="1:8" ht="33">
      <c r="A1523" s="160">
        <v>4</v>
      </c>
      <c r="B1523" s="160" t="s">
        <v>931</v>
      </c>
      <c r="C1523" s="157" t="s">
        <v>14</v>
      </c>
      <c r="D1523" s="159">
        <v>1</v>
      </c>
      <c r="E1523" s="159">
        <v>322.8</v>
      </c>
      <c r="F1523" s="159">
        <v>322.8</v>
      </c>
      <c r="G1523" s="160" t="s">
        <v>2</v>
      </c>
      <c r="H1523" s="34" t="s">
        <v>925</v>
      </c>
    </row>
    <row r="1524" spans="1:8" ht="16.5">
      <c r="A1524" s="160"/>
      <c r="B1524" s="160" t="s">
        <v>933</v>
      </c>
      <c r="C1524" s="157" t="s">
        <v>17</v>
      </c>
      <c r="D1524" s="159">
        <v>9</v>
      </c>
      <c r="E1524" s="159"/>
      <c r="F1524" s="159">
        <v>11082.9</v>
      </c>
      <c r="G1524" s="160"/>
    </row>
    <row r="1525" spans="1:8" ht="33">
      <c r="A1525" s="160"/>
      <c r="B1525" s="160" t="s">
        <v>934</v>
      </c>
      <c r="C1525" s="157" t="s">
        <v>17</v>
      </c>
      <c r="D1525" s="159"/>
      <c r="E1525" s="159"/>
      <c r="F1525" s="159">
        <v>1231.43</v>
      </c>
      <c r="G1525" s="160"/>
      <c r="H1525" s="34" t="s">
        <v>925</v>
      </c>
    </row>
    <row r="1526" spans="1:8" ht="33">
      <c r="A1526" s="160"/>
      <c r="B1526" s="160"/>
      <c r="C1526" s="157"/>
      <c r="D1526" s="159"/>
      <c r="E1526" s="159"/>
      <c r="F1526" s="159"/>
      <c r="G1526" s="160"/>
      <c r="H1526" s="34" t="s">
        <v>925</v>
      </c>
    </row>
    <row r="1527" spans="1:8" ht="33">
      <c r="A1527" s="160" t="s">
        <v>1811</v>
      </c>
      <c r="B1527" s="160" t="s">
        <v>1620</v>
      </c>
      <c r="C1527" s="157" t="s">
        <v>17</v>
      </c>
      <c r="D1527" s="159">
        <v>9</v>
      </c>
      <c r="E1527" s="159">
        <v>152.54</v>
      </c>
      <c r="F1527" s="159"/>
      <c r="G1527" s="160" t="s">
        <v>2</v>
      </c>
      <c r="H1527" s="34" t="s">
        <v>925</v>
      </c>
    </row>
    <row r="1528" spans="1:8" ht="33">
      <c r="A1528" s="160">
        <v>1</v>
      </c>
      <c r="B1528" s="160" t="s">
        <v>1580</v>
      </c>
      <c r="C1528" s="157" t="s">
        <v>17</v>
      </c>
      <c r="D1528" s="159">
        <v>9</v>
      </c>
      <c r="E1528" s="159">
        <v>101.82</v>
      </c>
      <c r="F1528" s="159">
        <v>916.38</v>
      </c>
      <c r="G1528" s="160" t="s">
        <v>2</v>
      </c>
      <c r="H1528" s="34" t="s">
        <v>925</v>
      </c>
    </row>
    <row r="1529" spans="1:8" ht="33">
      <c r="A1529" s="160">
        <v>2</v>
      </c>
      <c r="B1529" s="160" t="s">
        <v>1622</v>
      </c>
      <c r="C1529" s="157" t="s">
        <v>17</v>
      </c>
      <c r="D1529" s="159">
        <v>9</v>
      </c>
      <c r="E1529" s="159">
        <v>46.28</v>
      </c>
      <c r="F1529" s="159">
        <v>416.52</v>
      </c>
      <c r="G1529" s="160" t="s">
        <v>2</v>
      </c>
      <c r="H1529" s="34" t="s">
        <v>925</v>
      </c>
    </row>
    <row r="1530" spans="1:8" ht="33">
      <c r="A1530" s="160">
        <v>3</v>
      </c>
      <c r="B1530" s="160" t="s">
        <v>931</v>
      </c>
      <c r="C1530" s="157" t="s">
        <v>14</v>
      </c>
      <c r="D1530" s="159">
        <v>1</v>
      </c>
      <c r="E1530" s="159">
        <v>39.99</v>
      </c>
      <c r="F1530" s="159">
        <v>39.99</v>
      </c>
      <c r="G1530" s="160" t="s">
        <v>2</v>
      </c>
      <c r="H1530" s="34" t="s">
        <v>925</v>
      </c>
    </row>
    <row r="1531" spans="1:8" ht="33">
      <c r="A1531" s="160"/>
      <c r="B1531" s="160" t="s">
        <v>933</v>
      </c>
      <c r="C1531" s="157" t="s">
        <v>17</v>
      </c>
      <c r="D1531" s="159">
        <v>9</v>
      </c>
      <c r="E1531" s="159"/>
      <c r="F1531" s="159">
        <v>1372.89</v>
      </c>
      <c r="G1531" s="160"/>
      <c r="H1531" s="34" t="s">
        <v>925</v>
      </c>
    </row>
    <row r="1532" spans="1:8" ht="33">
      <c r="A1532" s="160"/>
      <c r="B1532" s="160" t="s">
        <v>934</v>
      </c>
      <c r="C1532" s="157" t="s">
        <v>17</v>
      </c>
      <c r="D1532" s="159"/>
      <c r="E1532" s="159"/>
      <c r="F1532" s="159">
        <v>152.54</v>
      </c>
      <c r="G1532" s="160"/>
      <c r="H1532" s="34" t="s">
        <v>925</v>
      </c>
    </row>
    <row r="1533" spans="1:8" ht="33">
      <c r="A1533" s="160"/>
      <c r="B1533" s="160"/>
      <c r="C1533" s="157"/>
      <c r="D1533" s="159"/>
      <c r="E1533" s="159"/>
      <c r="F1533" s="159"/>
      <c r="G1533" s="160"/>
      <c r="H1533" s="34" t="s">
        <v>925</v>
      </c>
    </row>
    <row r="1534" spans="1:8" ht="28.5">
      <c r="A1534" s="160" t="s">
        <v>1816</v>
      </c>
      <c r="B1534" s="160" t="s">
        <v>1625</v>
      </c>
      <c r="C1534" s="157" t="s">
        <v>17</v>
      </c>
      <c r="D1534" s="159">
        <v>9</v>
      </c>
      <c r="E1534" s="159">
        <v>219.28</v>
      </c>
      <c r="F1534" s="159"/>
      <c r="G1534" s="160" t="s">
        <v>2</v>
      </c>
    </row>
    <row r="1535" spans="1:8" ht="33">
      <c r="A1535" s="160">
        <v>1</v>
      </c>
      <c r="B1535" s="160" t="s">
        <v>1587</v>
      </c>
      <c r="C1535" s="157" t="s">
        <v>17</v>
      </c>
      <c r="D1535" s="159">
        <v>9</v>
      </c>
      <c r="E1535" s="159">
        <v>161.97999999999999</v>
      </c>
      <c r="F1535" s="159">
        <v>1457.82</v>
      </c>
      <c r="G1535" s="160" t="s">
        <v>2</v>
      </c>
      <c r="H1535" s="34" t="s">
        <v>925</v>
      </c>
    </row>
    <row r="1536" spans="1:8" ht="33">
      <c r="A1536" s="160">
        <v>2</v>
      </c>
      <c r="B1536" s="160" t="s">
        <v>1627</v>
      </c>
      <c r="C1536" s="157" t="s">
        <v>17</v>
      </c>
      <c r="D1536" s="159">
        <v>9</v>
      </c>
      <c r="E1536" s="159">
        <v>50.91</v>
      </c>
      <c r="F1536" s="159">
        <v>458.19</v>
      </c>
      <c r="G1536" s="160" t="s">
        <v>2</v>
      </c>
      <c r="H1536" s="34" t="s">
        <v>925</v>
      </c>
    </row>
    <row r="1537" spans="1:8" ht="33">
      <c r="A1537" s="160">
        <v>3</v>
      </c>
      <c r="B1537" s="160" t="s">
        <v>931</v>
      </c>
      <c r="C1537" s="157" t="s">
        <v>14</v>
      </c>
      <c r="D1537" s="159">
        <v>1</v>
      </c>
      <c r="E1537" s="159">
        <v>57.48</v>
      </c>
      <c r="F1537" s="159">
        <v>57.48</v>
      </c>
      <c r="G1537" s="160" t="s">
        <v>2</v>
      </c>
      <c r="H1537" s="34" t="s">
        <v>925</v>
      </c>
    </row>
    <row r="1538" spans="1:8" ht="33">
      <c r="A1538" s="160"/>
      <c r="B1538" s="160" t="s">
        <v>933</v>
      </c>
      <c r="C1538" s="157" t="s">
        <v>17</v>
      </c>
      <c r="D1538" s="159">
        <v>9</v>
      </c>
      <c r="E1538" s="159"/>
      <c r="F1538" s="159">
        <v>1973.49</v>
      </c>
      <c r="G1538" s="160"/>
      <c r="H1538" s="34" t="s">
        <v>925</v>
      </c>
    </row>
    <row r="1539" spans="1:8" ht="33">
      <c r="A1539" s="160"/>
      <c r="B1539" s="160" t="s">
        <v>934</v>
      </c>
      <c r="C1539" s="157" t="s">
        <v>17</v>
      </c>
      <c r="D1539" s="159"/>
      <c r="E1539" s="159"/>
      <c r="F1539" s="159">
        <v>219.28</v>
      </c>
      <c r="G1539" s="160"/>
      <c r="H1539" s="34" t="s">
        <v>925</v>
      </c>
    </row>
    <row r="1540" spans="1:8" ht="33">
      <c r="A1540" s="160"/>
      <c r="B1540" s="160"/>
      <c r="C1540" s="157"/>
      <c r="D1540" s="159"/>
      <c r="E1540" s="159"/>
      <c r="F1540" s="159"/>
      <c r="G1540" s="160"/>
      <c r="H1540" s="34" t="s">
        <v>925</v>
      </c>
    </row>
    <row r="1541" spans="1:8" ht="33">
      <c r="A1541" s="160" t="s">
        <v>1824</v>
      </c>
      <c r="B1541" s="160" t="s">
        <v>1630</v>
      </c>
      <c r="C1541" s="157" t="s">
        <v>17</v>
      </c>
      <c r="D1541" s="159">
        <v>9</v>
      </c>
      <c r="E1541" s="159">
        <v>311.44</v>
      </c>
      <c r="F1541" s="159"/>
      <c r="G1541" s="160" t="s">
        <v>2</v>
      </c>
      <c r="H1541" s="34" t="s">
        <v>925</v>
      </c>
    </row>
    <row r="1542" spans="1:8" ht="33">
      <c r="A1542" s="160">
        <v>1</v>
      </c>
      <c r="B1542" s="160" t="s">
        <v>1608</v>
      </c>
      <c r="C1542" s="157" t="s">
        <v>17</v>
      </c>
      <c r="D1542" s="159">
        <v>9</v>
      </c>
      <c r="E1542" s="159">
        <v>185.12</v>
      </c>
      <c r="F1542" s="159">
        <v>1666.08</v>
      </c>
      <c r="G1542" s="160" t="s">
        <v>2</v>
      </c>
      <c r="H1542" s="34" t="s">
        <v>925</v>
      </c>
    </row>
    <row r="1543" spans="1:8" ht="33">
      <c r="A1543" s="160">
        <v>2</v>
      </c>
      <c r="B1543" s="160" t="s">
        <v>1632</v>
      </c>
      <c r="C1543" s="157" t="s">
        <v>17</v>
      </c>
      <c r="D1543" s="159">
        <v>9</v>
      </c>
      <c r="E1543" s="159">
        <v>55.54</v>
      </c>
      <c r="F1543" s="159">
        <v>499.86</v>
      </c>
      <c r="G1543" s="160" t="s">
        <v>2</v>
      </c>
      <c r="H1543" s="34" t="s">
        <v>925</v>
      </c>
    </row>
    <row r="1544" spans="1:8" ht="28.5">
      <c r="A1544" s="160">
        <v>3</v>
      </c>
      <c r="B1544" s="160" t="s">
        <v>1540</v>
      </c>
      <c r="C1544" s="157" t="s">
        <v>14</v>
      </c>
      <c r="D1544" s="159">
        <v>1</v>
      </c>
      <c r="E1544" s="159">
        <v>555.36</v>
      </c>
      <c r="F1544" s="159">
        <v>555.36</v>
      </c>
      <c r="G1544" s="160" t="s">
        <v>2</v>
      </c>
    </row>
    <row r="1545" spans="1:8" ht="33">
      <c r="A1545" s="160">
        <v>4</v>
      </c>
      <c r="B1545" s="160" t="s">
        <v>931</v>
      </c>
      <c r="C1545" s="157" t="s">
        <v>14</v>
      </c>
      <c r="D1545" s="159">
        <v>1</v>
      </c>
      <c r="E1545" s="159">
        <v>81.64</v>
      </c>
      <c r="F1545" s="159">
        <v>81.64</v>
      </c>
      <c r="G1545" s="160" t="s">
        <v>2</v>
      </c>
      <c r="H1545" s="34" t="s">
        <v>925</v>
      </c>
    </row>
    <row r="1546" spans="1:8" ht="33">
      <c r="A1546" s="160"/>
      <c r="B1546" s="160" t="s">
        <v>933</v>
      </c>
      <c r="C1546" s="157" t="s">
        <v>17</v>
      </c>
      <c r="D1546" s="159">
        <v>9</v>
      </c>
      <c r="E1546" s="159"/>
      <c r="F1546" s="159">
        <v>2802.94</v>
      </c>
      <c r="G1546" s="160"/>
      <c r="H1546" s="34" t="s">
        <v>925</v>
      </c>
    </row>
    <row r="1547" spans="1:8" ht="33">
      <c r="A1547" s="160"/>
      <c r="B1547" s="160" t="s">
        <v>934</v>
      </c>
      <c r="C1547" s="157" t="s">
        <v>17</v>
      </c>
      <c r="D1547" s="159"/>
      <c r="E1547" s="159"/>
      <c r="F1547" s="159">
        <v>311.44</v>
      </c>
      <c r="G1547" s="160"/>
      <c r="H1547" s="34" t="s">
        <v>925</v>
      </c>
    </row>
    <row r="1548" spans="1:8" ht="33">
      <c r="A1548" s="160"/>
      <c r="B1548" s="160"/>
      <c r="C1548" s="157"/>
      <c r="D1548" s="159"/>
      <c r="E1548" s="159"/>
      <c r="F1548" s="159"/>
      <c r="G1548" s="160"/>
      <c r="H1548" s="34" t="s">
        <v>925</v>
      </c>
    </row>
    <row r="1549" spans="1:8" ht="33">
      <c r="A1549" s="160" t="s">
        <v>1831</v>
      </c>
      <c r="B1549" s="160" t="s">
        <v>1635</v>
      </c>
      <c r="C1549" s="157" t="s">
        <v>3</v>
      </c>
      <c r="D1549" s="159">
        <v>10</v>
      </c>
      <c r="E1549" s="159">
        <v>314.57</v>
      </c>
      <c r="F1549" s="159"/>
      <c r="G1549" s="160" t="s">
        <v>2</v>
      </c>
      <c r="H1549" s="34" t="s">
        <v>925</v>
      </c>
    </row>
    <row r="1550" spans="1:8" ht="33">
      <c r="A1550" s="160">
        <v>1</v>
      </c>
      <c r="B1550" s="160" t="s">
        <v>1637</v>
      </c>
      <c r="C1550" s="157" t="s">
        <v>0</v>
      </c>
      <c r="D1550" s="159">
        <v>0.15</v>
      </c>
      <c r="E1550" s="159">
        <v>3304.6</v>
      </c>
      <c r="F1550" s="159">
        <v>495.69</v>
      </c>
      <c r="G1550" s="160" t="s">
        <v>1873</v>
      </c>
      <c r="H1550" s="34" t="s">
        <v>925</v>
      </c>
    </row>
    <row r="1551" spans="1:8" ht="16.5">
      <c r="A1551" s="160">
        <v>2</v>
      </c>
      <c r="B1551" s="160" t="s">
        <v>1638</v>
      </c>
      <c r="C1551" s="157" t="s">
        <v>927</v>
      </c>
      <c r="D1551" s="159">
        <v>4</v>
      </c>
      <c r="E1551" s="159">
        <v>379.5</v>
      </c>
      <c r="F1551" s="159">
        <v>1518</v>
      </c>
      <c r="G1551" s="160" t="s">
        <v>2</v>
      </c>
    </row>
    <row r="1552" spans="1:8" ht="33">
      <c r="A1552" s="160">
        <v>3</v>
      </c>
      <c r="B1552" s="160" t="s">
        <v>4871</v>
      </c>
      <c r="C1552" s="157" t="s">
        <v>927</v>
      </c>
      <c r="D1552" s="159">
        <v>4</v>
      </c>
      <c r="E1552" s="159">
        <v>260.08999999999997</v>
      </c>
      <c r="F1552" s="159">
        <v>1040.3599999999999</v>
      </c>
      <c r="G1552" s="160" t="s">
        <v>5435</v>
      </c>
      <c r="H1552" s="34" t="s">
        <v>925</v>
      </c>
    </row>
    <row r="1553" spans="1:8" ht="33">
      <c r="A1553" s="160">
        <v>4</v>
      </c>
      <c r="B1553" s="160" t="s">
        <v>955</v>
      </c>
      <c r="C1553" s="157" t="s">
        <v>14</v>
      </c>
      <c r="D1553" s="159">
        <v>1</v>
      </c>
      <c r="E1553" s="159">
        <v>91.62</v>
      </c>
      <c r="F1553" s="159">
        <v>91.62</v>
      </c>
      <c r="G1553" s="160" t="s">
        <v>2</v>
      </c>
      <c r="H1553" s="34" t="s">
        <v>925</v>
      </c>
    </row>
    <row r="1554" spans="1:8" ht="33">
      <c r="A1554" s="160"/>
      <c r="B1554" s="160" t="s">
        <v>933</v>
      </c>
      <c r="C1554" s="157" t="s">
        <v>3</v>
      </c>
      <c r="D1554" s="159">
        <v>10</v>
      </c>
      <c r="E1554" s="159"/>
      <c r="F1554" s="159">
        <v>3145.67</v>
      </c>
      <c r="G1554" s="160"/>
      <c r="H1554" s="34" t="s">
        <v>925</v>
      </c>
    </row>
    <row r="1555" spans="1:8" ht="33">
      <c r="A1555" s="160"/>
      <c r="B1555" s="160" t="s">
        <v>934</v>
      </c>
      <c r="C1555" s="157" t="s">
        <v>3</v>
      </c>
      <c r="D1555" s="159"/>
      <c r="E1555" s="159"/>
      <c r="F1555" s="159">
        <v>314.57</v>
      </c>
      <c r="G1555" s="160"/>
      <c r="H1555" s="34" t="s">
        <v>925</v>
      </c>
    </row>
    <row r="1556" spans="1:8" ht="33">
      <c r="A1556" s="160"/>
      <c r="B1556" s="160"/>
      <c r="C1556" s="157"/>
      <c r="D1556" s="159"/>
      <c r="E1556" s="159"/>
      <c r="F1556" s="159"/>
      <c r="G1556" s="160"/>
      <c r="H1556" s="34" t="s">
        <v>925</v>
      </c>
    </row>
    <row r="1557" spans="1:8" ht="33">
      <c r="A1557" s="160" t="s">
        <v>1838</v>
      </c>
      <c r="B1557" s="160" t="s">
        <v>1641</v>
      </c>
      <c r="C1557" s="157" t="s">
        <v>3</v>
      </c>
      <c r="D1557" s="159">
        <v>1</v>
      </c>
      <c r="E1557" s="159">
        <v>473.85</v>
      </c>
      <c r="F1557" s="159"/>
      <c r="G1557" s="160" t="s">
        <v>2</v>
      </c>
      <c r="H1557" s="34" t="s">
        <v>925</v>
      </c>
    </row>
    <row r="1558" spans="1:8" ht="16.5">
      <c r="A1558" s="160">
        <v>1</v>
      </c>
      <c r="B1558" s="160" t="s">
        <v>1643</v>
      </c>
      <c r="C1558" s="157" t="s">
        <v>0</v>
      </c>
      <c r="D1558" s="159">
        <v>0.02</v>
      </c>
      <c r="E1558" s="159">
        <v>4757.01</v>
      </c>
      <c r="F1558" s="159">
        <v>95.14</v>
      </c>
      <c r="G1558" s="160" t="s">
        <v>1859</v>
      </c>
    </row>
    <row r="1559" spans="1:8" ht="33">
      <c r="A1559" s="160">
        <v>2</v>
      </c>
      <c r="B1559" s="160" t="s">
        <v>1638</v>
      </c>
      <c r="C1559" s="157" t="s">
        <v>927</v>
      </c>
      <c r="D1559" s="159">
        <v>0.66</v>
      </c>
      <c r="E1559" s="159">
        <v>379.5</v>
      </c>
      <c r="F1559" s="159">
        <v>250.47</v>
      </c>
      <c r="G1559" s="160" t="s">
        <v>2</v>
      </c>
      <c r="H1559" s="34" t="s">
        <v>925</v>
      </c>
    </row>
    <row r="1560" spans="1:8" ht="33">
      <c r="A1560" s="160">
        <v>3</v>
      </c>
      <c r="B1560" s="160" t="s">
        <v>1644</v>
      </c>
      <c r="C1560" s="157" t="s">
        <v>927</v>
      </c>
      <c r="D1560" s="159">
        <v>0.44</v>
      </c>
      <c r="E1560" s="159">
        <v>260.08999999999997</v>
      </c>
      <c r="F1560" s="159">
        <v>114.44</v>
      </c>
      <c r="G1560" s="160" t="s">
        <v>2</v>
      </c>
      <c r="H1560" s="34" t="s">
        <v>925</v>
      </c>
    </row>
    <row r="1561" spans="1:8" ht="33">
      <c r="A1561" s="160">
        <v>4</v>
      </c>
      <c r="B1561" s="160" t="s">
        <v>955</v>
      </c>
      <c r="C1561" s="157" t="s">
        <v>14</v>
      </c>
      <c r="D1561" s="159">
        <v>1</v>
      </c>
      <c r="E1561" s="159">
        <v>13.8</v>
      </c>
      <c r="F1561" s="159">
        <v>13.8</v>
      </c>
      <c r="G1561" s="160" t="s">
        <v>2</v>
      </c>
      <c r="H1561" s="34" t="s">
        <v>925</v>
      </c>
    </row>
    <row r="1562" spans="1:8" ht="33">
      <c r="A1562" s="160"/>
      <c r="B1562" s="160" t="s">
        <v>933</v>
      </c>
      <c r="C1562" s="157" t="s">
        <v>3</v>
      </c>
      <c r="D1562" s="159">
        <v>1</v>
      </c>
      <c r="E1562" s="159"/>
      <c r="F1562" s="159">
        <v>473.85</v>
      </c>
      <c r="G1562" s="160"/>
      <c r="H1562" s="34" t="s">
        <v>925</v>
      </c>
    </row>
    <row r="1563" spans="1:8" ht="33">
      <c r="A1563" s="160"/>
      <c r="B1563" s="160" t="s">
        <v>934</v>
      </c>
      <c r="C1563" s="157" t="s">
        <v>3</v>
      </c>
      <c r="D1563" s="159"/>
      <c r="E1563" s="159"/>
      <c r="F1563" s="159">
        <v>473.85</v>
      </c>
      <c r="G1563" s="160"/>
      <c r="H1563" s="34" t="s">
        <v>925</v>
      </c>
    </row>
    <row r="1564" spans="1:8" ht="33">
      <c r="A1564" s="160"/>
      <c r="B1564" s="160"/>
      <c r="C1564" s="157"/>
      <c r="D1564" s="159"/>
      <c r="E1564" s="159"/>
      <c r="F1564" s="159"/>
      <c r="G1564" s="160"/>
      <c r="H1564" s="34" t="s">
        <v>925</v>
      </c>
    </row>
    <row r="1565" spans="1:8" ht="28.5">
      <c r="A1565" s="160" t="s">
        <v>1845</v>
      </c>
      <c r="B1565" s="160" t="s">
        <v>1647</v>
      </c>
      <c r="C1565" s="157" t="s">
        <v>3</v>
      </c>
      <c r="D1565" s="159">
        <v>1</v>
      </c>
      <c r="E1565" s="159">
        <v>447.6</v>
      </c>
      <c r="F1565" s="159"/>
      <c r="G1565" s="160" t="s">
        <v>2</v>
      </c>
    </row>
    <row r="1566" spans="1:8" ht="33">
      <c r="A1566" s="160">
        <v>1</v>
      </c>
      <c r="B1566" s="160" t="s">
        <v>1649</v>
      </c>
      <c r="C1566" s="157" t="s">
        <v>0</v>
      </c>
      <c r="D1566" s="159">
        <v>0.02</v>
      </c>
      <c r="E1566" s="159">
        <v>3482.33</v>
      </c>
      <c r="F1566" s="159">
        <v>69.650000000000006</v>
      </c>
      <c r="G1566" s="160" t="s">
        <v>1866</v>
      </c>
      <c r="H1566" s="34" t="s">
        <v>925</v>
      </c>
    </row>
    <row r="1567" spans="1:8" ht="33">
      <c r="A1567" s="160">
        <v>2</v>
      </c>
      <c r="B1567" s="160" t="s">
        <v>1638</v>
      </c>
      <c r="C1567" s="157" t="s">
        <v>927</v>
      </c>
      <c r="D1567" s="159">
        <v>0.66</v>
      </c>
      <c r="E1567" s="159">
        <v>379.5</v>
      </c>
      <c r="F1567" s="159">
        <v>250.47</v>
      </c>
      <c r="G1567" s="160" t="s">
        <v>2</v>
      </c>
      <c r="H1567" s="34" t="s">
        <v>925</v>
      </c>
    </row>
    <row r="1568" spans="1:8" ht="33">
      <c r="A1568" s="160">
        <v>3</v>
      </c>
      <c r="B1568" s="160" t="s">
        <v>1644</v>
      </c>
      <c r="C1568" s="157" t="s">
        <v>927</v>
      </c>
      <c r="D1568" s="159">
        <v>0.44</v>
      </c>
      <c r="E1568" s="159">
        <v>260.08999999999997</v>
      </c>
      <c r="F1568" s="159">
        <v>114.44</v>
      </c>
      <c r="G1568" s="160" t="s">
        <v>2</v>
      </c>
      <c r="H1568" s="34" t="s">
        <v>925</v>
      </c>
    </row>
    <row r="1569" spans="1:8" ht="33">
      <c r="A1569" s="160">
        <v>4</v>
      </c>
      <c r="B1569" s="160" t="s">
        <v>955</v>
      </c>
      <c r="C1569" s="157" t="s">
        <v>14</v>
      </c>
      <c r="D1569" s="159">
        <v>1</v>
      </c>
      <c r="E1569" s="159">
        <v>13.04</v>
      </c>
      <c r="F1569" s="159">
        <v>13.04</v>
      </c>
      <c r="G1569" s="160" t="s">
        <v>2</v>
      </c>
      <c r="H1569" s="34" t="s">
        <v>925</v>
      </c>
    </row>
    <row r="1570" spans="1:8" ht="33">
      <c r="A1570" s="160"/>
      <c r="B1570" s="160" t="s">
        <v>933</v>
      </c>
      <c r="C1570" s="157" t="s">
        <v>3</v>
      </c>
      <c r="D1570" s="159">
        <v>1</v>
      </c>
      <c r="E1570" s="159"/>
      <c r="F1570" s="159">
        <v>447.6</v>
      </c>
      <c r="G1570" s="160"/>
      <c r="H1570" s="34" t="s">
        <v>925</v>
      </c>
    </row>
    <row r="1571" spans="1:8" ht="33">
      <c r="A1571" s="160"/>
      <c r="B1571" s="160" t="s">
        <v>934</v>
      </c>
      <c r="C1571" s="157" t="s">
        <v>3</v>
      </c>
      <c r="D1571" s="159"/>
      <c r="E1571" s="159"/>
      <c r="F1571" s="159">
        <v>447.6</v>
      </c>
      <c r="G1571" s="160"/>
      <c r="H1571" s="34" t="s">
        <v>925</v>
      </c>
    </row>
    <row r="1572" spans="1:8" ht="16.5">
      <c r="A1572" s="160"/>
      <c r="B1572" s="160"/>
      <c r="C1572" s="157"/>
      <c r="D1572" s="159"/>
      <c r="E1572" s="159"/>
      <c r="F1572" s="159"/>
      <c r="G1572" s="160"/>
    </row>
    <row r="1573" spans="1:8" ht="33">
      <c r="A1573" s="160" t="s">
        <v>1852</v>
      </c>
      <c r="B1573" s="160" t="s">
        <v>1651</v>
      </c>
      <c r="C1573" s="157" t="s">
        <v>3</v>
      </c>
      <c r="D1573" s="159">
        <v>200</v>
      </c>
      <c r="E1573" s="159">
        <v>98.13</v>
      </c>
      <c r="F1573" s="159"/>
      <c r="G1573" s="160" t="s">
        <v>4384</v>
      </c>
      <c r="H1573" s="34" t="s">
        <v>925</v>
      </c>
    </row>
    <row r="1574" spans="1:8" ht="33">
      <c r="A1574" s="160">
        <v>1</v>
      </c>
      <c r="B1574" s="160" t="s">
        <v>1637</v>
      </c>
      <c r="C1574" s="157" t="s">
        <v>0</v>
      </c>
      <c r="D1574" s="159">
        <v>1</v>
      </c>
      <c r="E1574" s="159">
        <v>3304.6</v>
      </c>
      <c r="F1574" s="159">
        <v>3304.6</v>
      </c>
      <c r="G1574" s="160" t="s">
        <v>1873</v>
      </c>
      <c r="H1574" s="34" t="s">
        <v>925</v>
      </c>
    </row>
    <row r="1575" spans="1:8" ht="33">
      <c r="A1575" s="160">
        <v>2</v>
      </c>
      <c r="B1575" s="160" t="s">
        <v>1653</v>
      </c>
      <c r="C1575" s="157" t="s">
        <v>14</v>
      </c>
      <c r="D1575" s="159">
        <v>1</v>
      </c>
      <c r="E1575" s="159">
        <v>5553.61</v>
      </c>
      <c r="F1575" s="159">
        <v>5553.61</v>
      </c>
      <c r="G1575" s="160" t="s">
        <v>2</v>
      </c>
      <c r="H1575" s="34" t="s">
        <v>925</v>
      </c>
    </row>
    <row r="1576" spans="1:8" ht="33">
      <c r="A1576" s="160">
        <v>3</v>
      </c>
      <c r="B1576" s="160" t="s">
        <v>1638</v>
      </c>
      <c r="C1576" s="157" t="s">
        <v>927</v>
      </c>
      <c r="D1576" s="159">
        <v>12</v>
      </c>
      <c r="E1576" s="159">
        <v>379.5</v>
      </c>
      <c r="F1576" s="159">
        <v>4554</v>
      </c>
      <c r="G1576" s="160" t="s">
        <v>2</v>
      </c>
      <c r="H1576" s="34" t="s">
        <v>925</v>
      </c>
    </row>
    <row r="1577" spans="1:8" ht="33">
      <c r="A1577" s="160">
        <v>4</v>
      </c>
      <c r="B1577" s="160" t="s">
        <v>1644</v>
      </c>
      <c r="C1577" s="157" t="s">
        <v>927</v>
      </c>
      <c r="D1577" s="159">
        <v>16</v>
      </c>
      <c r="E1577" s="159">
        <v>260.08999999999997</v>
      </c>
      <c r="F1577" s="159">
        <v>4161.4399999999996</v>
      </c>
      <c r="G1577" s="160" t="s">
        <v>2</v>
      </c>
      <c r="H1577" s="34" t="s">
        <v>925</v>
      </c>
    </row>
    <row r="1578" spans="1:8" ht="33">
      <c r="A1578" s="160">
        <v>5</v>
      </c>
      <c r="B1578" s="160" t="s">
        <v>1655</v>
      </c>
      <c r="C1578" s="157" t="s">
        <v>3</v>
      </c>
      <c r="D1578" s="159">
        <v>200</v>
      </c>
      <c r="E1578" s="159">
        <v>7.4</v>
      </c>
      <c r="F1578" s="159">
        <v>1480</v>
      </c>
      <c r="G1578" s="160" t="s">
        <v>2</v>
      </c>
      <c r="H1578" s="34" t="s">
        <v>925</v>
      </c>
    </row>
    <row r="1579" spans="1:8" ht="16.5">
      <c r="A1579" s="160">
        <v>6</v>
      </c>
      <c r="B1579" s="160" t="s">
        <v>931</v>
      </c>
      <c r="C1579" s="157" t="s">
        <v>14</v>
      </c>
      <c r="D1579" s="159">
        <v>1</v>
      </c>
      <c r="E1579" s="159">
        <v>571.61</v>
      </c>
      <c r="F1579" s="159">
        <v>571.61</v>
      </c>
      <c r="G1579" s="160" t="s">
        <v>2</v>
      </c>
    </row>
    <row r="1580" spans="1:8" ht="33">
      <c r="A1580" s="160"/>
      <c r="B1580" s="160" t="s">
        <v>933</v>
      </c>
      <c r="C1580" s="157" t="s">
        <v>3</v>
      </c>
      <c r="D1580" s="159">
        <v>200</v>
      </c>
      <c r="E1580" s="159"/>
      <c r="F1580" s="159">
        <v>19625.259999999998</v>
      </c>
      <c r="G1580" s="160"/>
      <c r="H1580" s="34" t="s">
        <v>925</v>
      </c>
    </row>
    <row r="1581" spans="1:8" ht="33">
      <c r="A1581" s="160"/>
      <c r="B1581" s="160" t="s">
        <v>934</v>
      </c>
      <c r="C1581" s="157" t="s">
        <v>3</v>
      </c>
      <c r="D1581" s="159"/>
      <c r="E1581" s="159"/>
      <c r="F1581" s="159">
        <v>98.13</v>
      </c>
      <c r="G1581" s="160"/>
      <c r="H1581" s="34" t="s">
        <v>925</v>
      </c>
    </row>
    <row r="1582" spans="1:8" ht="33">
      <c r="A1582" s="160"/>
      <c r="B1582" s="160"/>
      <c r="C1582" s="157"/>
      <c r="D1582" s="159"/>
      <c r="E1582" s="159"/>
      <c r="F1582" s="159"/>
      <c r="G1582" s="160"/>
      <c r="H1582" s="34" t="s">
        <v>925</v>
      </c>
    </row>
    <row r="1583" spans="1:8" ht="33">
      <c r="A1583" s="160" t="s">
        <v>1859</v>
      </c>
      <c r="B1583" s="160" t="s">
        <v>1643</v>
      </c>
      <c r="C1583" s="157" t="s">
        <v>0</v>
      </c>
      <c r="D1583" s="159">
        <v>1</v>
      </c>
      <c r="E1583" s="159">
        <v>4757.01</v>
      </c>
      <c r="F1583" s="159"/>
      <c r="G1583" s="160" t="s">
        <v>2</v>
      </c>
      <c r="H1583" s="34" t="s">
        <v>925</v>
      </c>
    </row>
    <row r="1584" spans="1:8" ht="33">
      <c r="A1584" s="160">
        <v>1</v>
      </c>
      <c r="B1584" s="160" t="s">
        <v>1294</v>
      </c>
      <c r="C1584" s="157" t="s">
        <v>1295</v>
      </c>
      <c r="D1584" s="159">
        <v>20</v>
      </c>
      <c r="E1584" s="159">
        <v>154.58000000000001</v>
      </c>
      <c r="F1584" s="159">
        <v>3091.6</v>
      </c>
      <c r="G1584" s="160" t="s">
        <v>2</v>
      </c>
      <c r="H1584" s="34" t="s">
        <v>925</v>
      </c>
    </row>
    <row r="1585" spans="1:8" ht="33">
      <c r="A1585" s="160">
        <v>2</v>
      </c>
      <c r="B1585" s="160" t="s">
        <v>1659</v>
      </c>
      <c r="C1585" s="157" t="s">
        <v>1121</v>
      </c>
      <c r="D1585" s="159">
        <v>0.67</v>
      </c>
      <c r="E1585" s="159">
        <v>1036.67</v>
      </c>
      <c r="F1585" s="159">
        <v>694.57</v>
      </c>
      <c r="G1585" s="160" t="s">
        <v>2</v>
      </c>
      <c r="H1585" s="34" t="s">
        <v>925</v>
      </c>
    </row>
    <row r="1586" spans="1:8" ht="16.5">
      <c r="A1586" s="160">
        <v>3</v>
      </c>
      <c r="B1586" s="160" t="s">
        <v>4871</v>
      </c>
      <c r="C1586" s="157" t="s">
        <v>927</v>
      </c>
      <c r="D1586" s="159">
        <v>3.2</v>
      </c>
      <c r="E1586" s="159">
        <v>260.08999999999997</v>
      </c>
      <c r="F1586" s="159">
        <v>832.29</v>
      </c>
      <c r="G1586" s="160" t="s">
        <v>2</v>
      </c>
    </row>
    <row r="1587" spans="1:8" ht="33">
      <c r="A1587" s="160">
        <v>4</v>
      </c>
      <c r="B1587" s="160" t="s">
        <v>955</v>
      </c>
      <c r="C1587" s="157" t="s">
        <v>14</v>
      </c>
      <c r="D1587" s="159">
        <v>1</v>
      </c>
      <c r="E1587" s="159">
        <v>138.55000000000001</v>
      </c>
      <c r="F1587" s="159">
        <v>138.55000000000001</v>
      </c>
      <c r="G1587" s="160" t="s">
        <v>2</v>
      </c>
      <c r="H1587" s="34" t="s">
        <v>925</v>
      </c>
    </row>
    <row r="1588" spans="1:8" ht="33">
      <c r="A1588" s="160"/>
      <c r="B1588" s="160" t="s">
        <v>933</v>
      </c>
      <c r="C1588" s="157" t="s">
        <v>0</v>
      </c>
      <c r="D1588" s="159">
        <v>1</v>
      </c>
      <c r="E1588" s="159"/>
      <c r="F1588" s="159">
        <v>4757.01</v>
      </c>
      <c r="G1588" s="160"/>
      <c r="H1588" s="34" t="s">
        <v>925</v>
      </c>
    </row>
    <row r="1589" spans="1:8" ht="33">
      <c r="A1589" s="160"/>
      <c r="B1589" s="160" t="s">
        <v>934</v>
      </c>
      <c r="C1589" s="157" t="s">
        <v>0</v>
      </c>
      <c r="D1589" s="159"/>
      <c r="E1589" s="159"/>
      <c r="F1589" s="159">
        <v>4757.01</v>
      </c>
      <c r="G1589" s="160"/>
      <c r="H1589" s="34" t="s">
        <v>925</v>
      </c>
    </row>
    <row r="1590" spans="1:8" ht="33">
      <c r="A1590" s="160"/>
      <c r="B1590" s="160"/>
      <c r="C1590" s="157"/>
      <c r="D1590" s="159"/>
      <c r="E1590" s="159"/>
      <c r="F1590" s="159"/>
      <c r="G1590" s="160"/>
      <c r="H1590" s="34" t="s">
        <v>925</v>
      </c>
    </row>
    <row r="1591" spans="1:8" ht="33">
      <c r="A1591" s="160" t="s">
        <v>1866</v>
      </c>
      <c r="B1591" s="160" t="s">
        <v>1649</v>
      </c>
      <c r="C1591" s="157" t="s">
        <v>0</v>
      </c>
      <c r="D1591" s="159">
        <v>1</v>
      </c>
      <c r="E1591" s="159">
        <v>3482.33</v>
      </c>
      <c r="F1591" s="159"/>
      <c r="G1591" s="160" t="s">
        <v>2</v>
      </c>
      <c r="H1591" s="34" t="s">
        <v>925</v>
      </c>
    </row>
    <row r="1592" spans="1:8" ht="33">
      <c r="A1592" s="160">
        <v>1</v>
      </c>
      <c r="B1592" s="160" t="s">
        <v>1294</v>
      </c>
      <c r="C1592" s="157" t="s">
        <v>1295</v>
      </c>
      <c r="D1592" s="159">
        <v>13</v>
      </c>
      <c r="E1592" s="159">
        <v>154.58000000000001</v>
      </c>
      <c r="F1592" s="159">
        <v>2009.54</v>
      </c>
      <c r="G1592" s="160" t="s">
        <v>2</v>
      </c>
      <c r="H1592" s="34" t="s">
        <v>925</v>
      </c>
    </row>
    <row r="1593" spans="1:8" ht="16.5">
      <c r="A1593" s="160">
        <v>2</v>
      </c>
      <c r="B1593" s="160" t="s">
        <v>1299</v>
      </c>
      <c r="C1593" s="157" t="s">
        <v>1121</v>
      </c>
      <c r="D1593" s="159">
        <v>0.8</v>
      </c>
      <c r="E1593" s="159">
        <v>673.84</v>
      </c>
      <c r="F1593" s="159">
        <v>539.07000000000005</v>
      </c>
      <c r="G1593" s="160" t="s">
        <v>2</v>
      </c>
    </row>
    <row r="1594" spans="1:8" ht="33">
      <c r="A1594" s="160">
        <v>3</v>
      </c>
      <c r="B1594" s="160" t="s">
        <v>4871</v>
      </c>
      <c r="C1594" s="157" t="s">
        <v>927</v>
      </c>
      <c r="D1594" s="159">
        <v>3.2</v>
      </c>
      <c r="E1594" s="159">
        <v>260.08999999999997</v>
      </c>
      <c r="F1594" s="159">
        <v>832.29</v>
      </c>
      <c r="G1594" s="160" t="s">
        <v>5435</v>
      </c>
      <c r="H1594" s="34" t="s">
        <v>925</v>
      </c>
    </row>
    <row r="1595" spans="1:8" ht="33">
      <c r="A1595" s="160">
        <v>4</v>
      </c>
      <c r="B1595" s="160" t="s">
        <v>955</v>
      </c>
      <c r="C1595" s="157" t="s">
        <v>14</v>
      </c>
      <c r="D1595" s="159">
        <v>1</v>
      </c>
      <c r="E1595" s="159">
        <v>101.43</v>
      </c>
      <c r="F1595" s="159">
        <v>101.43</v>
      </c>
      <c r="G1595" s="160" t="s">
        <v>2</v>
      </c>
      <c r="H1595" s="34" t="s">
        <v>925</v>
      </c>
    </row>
    <row r="1596" spans="1:8" ht="33">
      <c r="A1596" s="160"/>
      <c r="B1596" s="160" t="s">
        <v>933</v>
      </c>
      <c r="C1596" s="157" t="s">
        <v>0</v>
      </c>
      <c r="D1596" s="159">
        <v>1</v>
      </c>
      <c r="E1596" s="159"/>
      <c r="F1596" s="159">
        <v>3482.33</v>
      </c>
      <c r="G1596" s="160"/>
      <c r="H1596" s="34" t="s">
        <v>925</v>
      </c>
    </row>
    <row r="1597" spans="1:8" ht="33">
      <c r="A1597" s="160"/>
      <c r="B1597" s="160" t="s">
        <v>934</v>
      </c>
      <c r="C1597" s="157" t="s">
        <v>0</v>
      </c>
      <c r="D1597" s="159"/>
      <c r="E1597" s="159"/>
      <c r="F1597" s="159">
        <v>3482.33</v>
      </c>
      <c r="G1597" s="160"/>
      <c r="H1597" s="34" t="s">
        <v>925</v>
      </c>
    </row>
    <row r="1598" spans="1:8" ht="33">
      <c r="A1598" s="160"/>
      <c r="B1598" s="160"/>
      <c r="C1598" s="157"/>
      <c r="D1598" s="159"/>
      <c r="E1598" s="159"/>
      <c r="F1598" s="159"/>
      <c r="G1598" s="160"/>
      <c r="H1598" s="34" t="s">
        <v>925</v>
      </c>
    </row>
    <row r="1599" spans="1:8" ht="33">
      <c r="A1599" s="160" t="s">
        <v>1873</v>
      </c>
      <c r="B1599" s="160" t="s">
        <v>1637</v>
      </c>
      <c r="C1599" s="157" t="s">
        <v>0</v>
      </c>
      <c r="D1599" s="159">
        <v>1</v>
      </c>
      <c r="E1599" s="159">
        <v>3304.6</v>
      </c>
      <c r="F1599" s="159"/>
      <c r="G1599" s="160" t="s">
        <v>2</v>
      </c>
      <c r="H1599" s="34" t="s">
        <v>925</v>
      </c>
    </row>
    <row r="1600" spans="1:8" ht="28.5">
      <c r="A1600" s="160">
        <v>1</v>
      </c>
      <c r="B1600" s="160" t="s">
        <v>1294</v>
      </c>
      <c r="C1600" s="157" t="s">
        <v>1295</v>
      </c>
      <c r="D1600" s="159">
        <v>9</v>
      </c>
      <c r="E1600" s="159">
        <v>154.58000000000001</v>
      </c>
      <c r="F1600" s="159">
        <v>1391.22</v>
      </c>
      <c r="G1600" s="160" t="s">
        <v>2</v>
      </c>
    </row>
    <row r="1601" spans="1:8" ht="33">
      <c r="A1601" s="160">
        <v>2</v>
      </c>
      <c r="B1601" s="160" t="s">
        <v>1659</v>
      </c>
      <c r="C1601" s="157" t="s">
        <v>1121</v>
      </c>
      <c r="D1601" s="159">
        <v>0.95</v>
      </c>
      <c r="E1601" s="159">
        <v>1036.67</v>
      </c>
      <c r="F1601" s="159">
        <v>984.84</v>
      </c>
      <c r="G1601" s="160" t="s">
        <v>2</v>
      </c>
      <c r="H1601" s="34" t="s">
        <v>925</v>
      </c>
    </row>
    <row r="1602" spans="1:8" ht="33">
      <c r="A1602" s="160">
        <v>3</v>
      </c>
      <c r="B1602" s="160" t="s">
        <v>4871</v>
      </c>
      <c r="C1602" s="157" t="s">
        <v>927</v>
      </c>
      <c r="D1602" s="159">
        <v>3.2</v>
      </c>
      <c r="E1602" s="159">
        <v>260.08999999999997</v>
      </c>
      <c r="F1602" s="159">
        <v>832.29</v>
      </c>
      <c r="G1602" s="160" t="s">
        <v>2</v>
      </c>
      <c r="H1602" s="34" t="s">
        <v>925</v>
      </c>
    </row>
    <row r="1603" spans="1:8" ht="33">
      <c r="A1603" s="160">
        <v>4</v>
      </c>
      <c r="B1603" s="160" t="s">
        <v>955</v>
      </c>
      <c r="C1603" s="157" t="s">
        <v>14</v>
      </c>
      <c r="D1603" s="159">
        <v>1</v>
      </c>
      <c r="E1603" s="159">
        <v>96.25</v>
      </c>
      <c r="F1603" s="159">
        <v>96.25</v>
      </c>
      <c r="G1603" s="160" t="s">
        <v>2</v>
      </c>
      <c r="H1603" s="34" t="s">
        <v>925</v>
      </c>
    </row>
    <row r="1604" spans="1:8" ht="33">
      <c r="A1604" s="160"/>
      <c r="B1604" s="160" t="s">
        <v>933</v>
      </c>
      <c r="C1604" s="157" t="s">
        <v>0</v>
      </c>
      <c r="D1604" s="159">
        <v>1</v>
      </c>
      <c r="E1604" s="159"/>
      <c r="F1604" s="159">
        <v>3304.6</v>
      </c>
      <c r="G1604" s="160"/>
      <c r="H1604" s="34" t="s">
        <v>925</v>
      </c>
    </row>
    <row r="1605" spans="1:8" ht="33">
      <c r="A1605" s="160"/>
      <c r="B1605" s="160" t="s">
        <v>934</v>
      </c>
      <c r="C1605" s="157" t="s">
        <v>0</v>
      </c>
      <c r="D1605" s="159"/>
      <c r="E1605" s="159"/>
      <c r="F1605" s="159">
        <v>3304.6</v>
      </c>
      <c r="G1605" s="160"/>
      <c r="H1605" s="34" t="s">
        <v>925</v>
      </c>
    </row>
    <row r="1606" spans="1:8" ht="33">
      <c r="A1606" s="160"/>
      <c r="B1606" s="160"/>
      <c r="C1606" s="157"/>
      <c r="D1606" s="159"/>
      <c r="E1606" s="159"/>
      <c r="F1606" s="159"/>
      <c r="G1606" s="160"/>
      <c r="H1606" s="34" t="s">
        <v>925</v>
      </c>
    </row>
    <row r="1607" spans="1:8" ht="28.5">
      <c r="A1607" s="160" t="s">
        <v>1881</v>
      </c>
      <c r="B1607" s="160" t="s">
        <v>1666</v>
      </c>
      <c r="C1607" s="157" t="s">
        <v>3</v>
      </c>
      <c r="D1607" s="159">
        <v>1</v>
      </c>
      <c r="E1607" s="159">
        <v>1132.71</v>
      </c>
      <c r="F1607" s="159"/>
      <c r="G1607" s="160" t="s">
        <v>2</v>
      </c>
    </row>
    <row r="1608" spans="1:8" ht="33">
      <c r="A1608" s="160">
        <v>1</v>
      </c>
      <c r="B1608" s="160" t="s">
        <v>464</v>
      </c>
      <c r="C1608" s="157" t="s">
        <v>0</v>
      </c>
      <c r="D1608" s="159">
        <v>0.04</v>
      </c>
      <c r="E1608" s="159">
        <v>3092.05</v>
      </c>
      <c r="F1608" s="159">
        <v>123.68</v>
      </c>
      <c r="G1608" s="160" t="s">
        <v>1332</v>
      </c>
      <c r="H1608" s="34" t="s">
        <v>925</v>
      </c>
    </row>
    <row r="1609" spans="1:8" ht="33">
      <c r="A1609" s="160">
        <v>2</v>
      </c>
      <c r="B1609" s="160" t="s">
        <v>1668</v>
      </c>
      <c r="C1609" s="157" t="s">
        <v>1121</v>
      </c>
      <c r="D1609" s="159">
        <v>0.2</v>
      </c>
      <c r="E1609" s="159">
        <v>601.64</v>
      </c>
      <c r="F1609" s="159">
        <v>120.33</v>
      </c>
      <c r="G1609" s="160" t="s">
        <v>2</v>
      </c>
      <c r="H1609" s="34" t="s">
        <v>925</v>
      </c>
    </row>
    <row r="1610" spans="1:8" ht="33">
      <c r="A1610" s="160">
        <v>3</v>
      </c>
      <c r="B1610" s="160" t="s">
        <v>1670</v>
      </c>
      <c r="C1610" s="157" t="s">
        <v>927</v>
      </c>
      <c r="D1610" s="159">
        <v>0.64</v>
      </c>
      <c r="E1610" s="159">
        <v>379.5</v>
      </c>
      <c r="F1610" s="159">
        <v>242.88</v>
      </c>
      <c r="G1610" s="160" t="s">
        <v>2</v>
      </c>
      <c r="H1610" s="34" t="s">
        <v>925</v>
      </c>
    </row>
    <row r="1611" spans="1:8" ht="33">
      <c r="A1611" s="160">
        <v>4</v>
      </c>
      <c r="B1611" s="160" t="s">
        <v>4871</v>
      </c>
      <c r="C1611" s="157" t="s">
        <v>927</v>
      </c>
      <c r="D1611" s="159">
        <v>1.04</v>
      </c>
      <c r="E1611" s="159">
        <v>260.08999999999997</v>
      </c>
      <c r="F1611" s="159">
        <v>270.49</v>
      </c>
      <c r="G1611" s="160" t="s">
        <v>5435</v>
      </c>
      <c r="H1611" s="34" t="s">
        <v>925</v>
      </c>
    </row>
    <row r="1612" spans="1:8" ht="33">
      <c r="A1612" s="160">
        <v>5</v>
      </c>
      <c r="B1612" s="160" t="s">
        <v>1635</v>
      </c>
      <c r="C1612" s="157" t="s">
        <v>3</v>
      </c>
      <c r="D1612" s="159">
        <v>1</v>
      </c>
      <c r="E1612" s="159">
        <v>314.57</v>
      </c>
      <c r="F1612" s="159">
        <v>314.57</v>
      </c>
      <c r="G1612" s="160" t="s">
        <v>1831</v>
      </c>
      <c r="H1612" s="34" t="s">
        <v>925</v>
      </c>
    </row>
    <row r="1613" spans="1:8" ht="33">
      <c r="A1613" s="160">
        <v>6</v>
      </c>
      <c r="B1613" s="160" t="s">
        <v>1672</v>
      </c>
      <c r="C1613" s="157" t="s">
        <v>14</v>
      </c>
      <c r="D1613" s="159">
        <v>1</v>
      </c>
      <c r="E1613" s="159">
        <v>27.77</v>
      </c>
      <c r="F1613" s="159">
        <v>27.77</v>
      </c>
      <c r="G1613" s="160" t="s">
        <v>2</v>
      </c>
      <c r="H1613" s="34" t="s">
        <v>925</v>
      </c>
    </row>
    <row r="1614" spans="1:8" ht="16.5">
      <c r="A1614" s="160">
        <v>7</v>
      </c>
      <c r="B1614" s="160" t="s">
        <v>931</v>
      </c>
      <c r="C1614" s="157" t="s">
        <v>14</v>
      </c>
      <c r="D1614" s="159">
        <v>1</v>
      </c>
      <c r="E1614" s="159">
        <v>32.99</v>
      </c>
      <c r="F1614" s="159">
        <v>32.99</v>
      </c>
      <c r="G1614" s="160" t="s">
        <v>2</v>
      </c>
    </row>
    <row r="1615" spans="1:8" ht="33">
      <c r="A1615" s="160"/>
      <c r="B1615" s="160" t="s">
        <v>933</v>
      </c>
      <c r="C1615" s="157" t="s">
        <v>3</v>
      </c>
      <c r="D1615" s="159">
        <v>1</v>
      </c>
      <c r="E1615" s="159"/>
      <c r="F1615" s="159">
        <v>1132.71</v>
      </c>
      <c r="G1615" s="160"/>
      <c r="H1615" s="34" t="s">
        <v>925</v>
      </c>
    </row>
    <row r="1616" spans="1:8" ht="33">
      <c r="A1616" s="160"/>
      <c r="B1616" s="160" t="s">
        <v>934</v>
      </c>
      <c r="C1616" s="157" t="s">
        <v>3</v>
      </c>
      <c r="D1616" s="159"/>
      <c r="E1616" s="159"/>
      <c r="F1616" s="159">
        <v>1132.71</v>
      </c>
      <c r="G1616" s="160"/>
      <c r="H1616" s="34" t="s">
        <v>925</v>
      </c>
    </row>
    <row r="1617" spans="1:8" ht="33">
      <c r="A1617" s="160"/>
      <c r="B1617" s="160"/>
      <c r="C1617" s="157"/>
      <c r="D1617" s="159"/>
      <c r="E1617" s="159"/>
      <c r="F1617" s="159"/>
      <c r="G1617" s="160"/>
      <c r="H1617" s="34" t="s">
        <v>925</v>
      </c>
    </row>
    <row r="1618" spans="1:8" ht="33">
      <c r="A1618" s="160" t="s">
        <v>1888</v>
      </c>
      <c r="B1618" s="160" t="s">
        <v>1675</v>
      </c>
      <c r="C1618" s="157" t="s">
        <v>3</v>
      </c>
      <c r="D1618" s="159">
        <v>1</v>
      </c>
      <c r="E1618" s="159">
        <v>1303.03</v>
      </c>
      <c r="F1618" s="159"/>
      <c r="G1618" s="160" t="s">
        <v>2</v>
      </c>
      <c r="H1618" s="34" t="s">
        <v>925</v>
      </c>
    </row>
    <row r="1619" spans="1:8" ht="33">
      <c r="A1619" s="160">
        <v>1</v>
      </c>
      <c r="B1619" s="160" t="s">
        <v>464</v>
      </c>
      <c r="C1619" s="157" t="s">
        <v>0</v>
      </c>
      <c r="D1619" s="159">
        <v>0.05</v>
      </c>
      <c r="E1619" s="159">
        <v>3092.05</v>
      </c>
      <c r="F1619" s="159">
        <v>154.6</v>
      </c>
      <c r="G1619" s="160" t="s">
        <v>1332</v>
      </c>
      <c r="H1619" s="34" t="s">
        <v>925</v>
      </c>
    </row>
    <row r="1620" spans="1:8" ht="33">
      <c r="A1620" s="160">
        <v>2</v>
      </c>
      <c r="B1620" s="160" t="s">
        <v>1677</v>
      </c>
      <c r="C1620" s="157" t="s">
        <v>1121</v>
      </c>
      <c r="D1620" s="159">
        <v>0.25</v>
      </c>
      <c r="E1620" s="159">
        <v>647.91999999999996</v>
      </c>
      <c r="F1620" s="159">
        <v>161.97999999999999</v>
      </c>
      <c r="G1620" s="160" t="s">
        <v>2</v>
      </c>
      <c r="H1620" s="34" t="s">
        <v>925</v>
      </c>
    </row>
    <row r="1621" spans="1:8" ht="16.5">
      <c r="A1621" s="160">
        <v>3</v>
      </c>
      <c r="B1621" s="160" t="s">
        <v>1670</v>
      </c>
      <c r="C1621" s="157" t="s">
        <v>927</v>
      </c>
      <c r="D1621" s="159">
        <v>0.72</v>
      </c>
      <c r="E1621" s="159">
        <v>379.5</v>
      </c>
      <c r="F1621" s="159">
        <v>273.24</v>
      </c>
      <c r="G1621" s="160" t="s">
        <v>2</v>
      </c>
    </row>
    <row r="1622" spans="1:8" ht="33">
      <c r="A1622" s="160">
        <v>4</v>
      </c>
      <c r="B1622" s="160" t="s">
        <v>4871</v>
      </c>
      <c r="C1622" s="157" t="s">
        <v>927</v>
      </c>
      <c r="D1622" s="159">
        <v>1.28</v>
      </c>
      <c r="E1622" s="159">
        <v>260.08999999999997</v>
      </c>
      <c r="F1622" s="159">
        <v>332.92</v>
      </c>
      <c r="G1622" s="160" t="s">
        <v>5435</v>
      </c>
      <c r="H1622" s="34" t="s">
        <v>925</v>
      </c>
    </row>
    <row r="1623" spans="1:8" ht="33">
      <c r="A1623" s="160">
        <v>5</v>
      </c>
      <c r="B1623" s="160" t="s">
        <v>1672</v>
      </c>
      <c r="C1623" s="157" t="s">
        <v>14</v>
      </c>
      <c r="D1623" s="159">
        <v>1</v>
      </c>
      <c r="E1623" s="159">
        <v>27.77</v>
      </c>
      <c r="F1623" s="159">
        <v>27.77</v>
      </c>
      <c r="G1623" s="160" t="s">
        <v>2</v>
      </c>
      <c r="H1623" s="34" t="s">
        <v>925</v>
      </c>
    </row>
    <row r="1624" spans="1:8" ht="33">
      <c r="A1624" s="160">
        <v>6</v>
      </c>
      <c r="B1624" s="160" t="s">
        <v>1635</v>
      </c>
      <c r="C1624" s="157" t="s">
        <v>3</v>
      </c>
      <c r="D1624" s="159">
        <v>1</v>
      </c>
      <c r="E1624" s="159">
        <v>314.57</v>
      </c>
      <c r="F1624" s="159">
        <v>314.57</v>
      </c>
      <c r="G1624" s="160" t="s">
        <v>1831</v>
      </c>
      <c r="H1624" s="34" t="s">
        <v>925</v>
      </c>
    </row>
    <row r="1625" spans="1:8" ht="33">
      <c r="A1625" s="160">
        <v>7</v>
      </c>
      <c r="B1625" s="160" t="s">
        <v>931</v>
      </c>
      <c r="C1625" s="157" t="s">
        <v>14</v>
      </c>
      <c r="D1625" s="159">
        <v>1</v>
      </c>
      <c r="E1625" s="159">
        <v>37.950000000000003</v>
      </c>
      <c r="F1625" s="159">
        <v>37.950000000000003</v>
      </c>
      <c r="G1625" s="160" t="s">
        <v>2</v>
      </c>
      <c r="H1625" s="34" t="s">
        <v>925</v>
      </c>
    </row>
    <row r="1626" spans="1:8" ht="33">
      <c r="A1626" s="160"/>
      <c r="B1626" s="160" t="s">
        <v>933</v>
      </c>
      <c r="C1626" s="157" t="s">
        <v>3</v>
      </c>
      <c r="D1626" s="159">
        <v>1</v>
      </c>
      <c r="E1626" s="159"/>
      <c r="F1626" s="159">
        <v>1303.03</v>
      </c>
      <c r="G1626" s="160"/>
      <c r="H1626" s="34" t="s">
        <v>925</v>
      </c>
    </row>
    <row r="1627" spans="1:8" ht="33">
      <c r="A1627" s="160"/>
      <c r="B1627" s="160" t="s">
        <v>934</v>
      </c>
      <c r="C1627" s="157" t="s">
        <v>3</v>
      </c>
      <c r="D1627" s="159"/>
      <c r="E1627" s="159"/>
      <c r="F1627" s="159">
        <v>1303.03</v>
      </c>
      <c r="G1627" s="160"/>
      <c r="H1627" s="34" t="s">
        <v>925</v>
      </c>
    </row>
    <row r="1628" spans="1:8" ht="16.5">
      <c r="A1628" s="160"/>
      <c r="B1628" s="160"/>
      <c r="C1628" s="157"/>
      <c r="D1628" s="159"/>
      <c r="E1628" s="159"/>
      <c r="F1628" s="159"/>
      <c r="G1628" s="160"/>
    </row>
    <row r="1629" spans="1:8" ht="33">
      <c r="A1629" s="160" t="s">
        <v>1895</v>
      </c>
      <c r="B1629" s="160" t="s">
        <v>1680</v>
      </c>
      <c r="C1629" s="157" t="s">
        <v>3</v>
      </c>
      <c r="D1629" s="159">
        <v>1</v>
      </c>
      <c r="E1629" s="159">
        <v>1456.68</v>
      </c>
      <c r="F1629" s="159"/>
      <c r="G1629" s="160" t="s">
        <v>2</v>
      </c>
      <c r="H1629" s="34" t="s">
        <v>925</v>
      </c>
    </row>
    <row r="1630" spans="1:8" ht="33">
      <c r="A1630" s="160">
        <v>1</v>
      </c>
      <c r="B1630" s="160" t="s">
        <v>464</v>
      </c>
      <c r="C1630" s="157" t="s">
        <v>0</v>
      </c>
      <c r="D1630" s="159">
        <v>0.06</v>
      </c>
      <c r="E1630" s="159">
        <v>3092.05</v>
      </c>
      <c r="F1630" s="159">
        <v>185.52</v>
      </c>
      <c r="G1630" s="160" t="s">
        <v>1332</v>
      </c>
      <c r="H1630" s="34" t="s">
        <v>925</v>
      </c>
    </row>
    <row r="1631" spans="1:8" ht="33">
      <c r="A1631" s="160">
        <v>2</v>
      </c>
      <c r="B1631" s="160" t="s">
        <v>1682</v>
      </c>
      <c r="C1631" s="157" t="s">
        <v>1121</v>
      </c>
      <c r="D1631" s="159">
        <v>0.3</v>
      </c>
      <c r="E1631" s="159">
        <v>694.2</v>
      </c>
      <c r="F1631" s="159">
        <v>208.26</v>
      </c>
      <c r="G1631" s="160" t="s">
        <v>2</v>
      </c>
      <c r="H1631" s="34" t="s">
        <v>925</v>
      </c>
    </row>
    <row r="1632" spans="1:8" ht="33">
      <c r="A1632" s="160">
        <v>3</v>
      </c>
      <c r="B1632" s="160" t="s">
        <v>1670</v>
      </c>
      <c r="C1632" s="157" t="s">
        <v>927</v>
      </c>
      <c r="D1632" s="159">
        <v>0.8</v>
      </c>
      <c r="E1632" s="159">
        <v>379.5</v>
      </c>
      <c r="F1632" s="159">
        <v>303.60000000000002</v>
      </c>
      <c r="G1632" s="160" t="s">
        <v>2</v>
      </c>
      <c r="H1632" s="34" t="s">
        <v>925</v>
      </c>
    </row>
    <row r="1633" spans="1:8" ht="33">
      <c r="A1633" s="160">
        <v>4</v>
      </c>
      <c r="B1633" s="160" t="s">
        <v>4871</v>
      </c>
      <c r="C1633" s="157" t="s">
        <v>927</v>
      </c>
      <c r="D1633" s="159">
        <v>1.44</v>
      </c>
      <c r="E1633" s="159">
        <v>260.08999999999997</v>
      </c>
      <c r="F1633" s="159">
        <v>374.53</v>
      </c>
      <c r="G1633" s="160" t="s">
        <v>5435</v>
      </c>
      <c r="H1633" s="34" t="s">
        <v>925</v>
      </c>
    </row>
    <row r="1634" spans="1:8" ht="33">
      <c r="A1634" s="160">
        <v>5</v>
      </c>
      <c r="B1634" s="160" t="s">
        <v>1635</v>
      </c>
      <c r="C1634" s="157" t="s">
        <v>3</v>
      </c>
      <c r="D1634" s="159">
        <v>1</v>
      </c>
      <c r="E1634" s="159">
        <v>314.57</v>
      </c>
      <c r="F1634" s="159">
        <v>314.57</v>
      </c>
      <c r="G1634" s="160" t="s">
        <v>1831</v>
      </c>
      <c r="H1634" s="34" t="s">
        <v>925</v>
      </c>
    </row>
    <row r="1635" spans="1:8" ht="28.5">
      <c r="A1635" s="160">
        <v>6</v>
      </c>
      <c r="B1635" s="160" t="s">
        <v>1672</v>
      </c>
      <c r="C1635" s="157" t="s">
        <v>14</v>
      </c>
      <c r="D1635" s="159">
        <v>1</v>
      </c>
      <c r="E1635" s="159">
        <v>27.77</v>
      </c>
      <c r="F1635" s="159">
        <v>27.77</v>
      </c>
      <c r="G1635" s="160" t="s">
        <v>2</v>
      </c>
    </row>
    <row r="1636" spans="1:8" ht="33">
      <c r="A1636" s="160">
        <v>7</v>
      </c>
      <c r="B1636" s="160" t="s">
        <v>931</v>
      </c>
      <c r="C1636" s="157" t="s">
        <v>14</v>
      </c>
      <c r="D1636" s="159">
        <v>1</v>
      </c>
      <c r="E1636" s="159">
        <v>42.43</v>
      </c>
      <c r="F1636" s="159">
        <v>42.43</v>
      </c>
      <c r="G1636" s="160" t="s">
        <v>2</v>
      </c>
      <c r="H1636" s="34" t="s">
        <v>925</v>
      </c>
    </row>
    <row r="1637" spans="1:8" ht="33">
      <c r="A1637" s="160"/>
      <c r="B1637" s="160" t="s">
        <v>933</v>
      </c>
      <c r="C1637" s="157" t="s">
        <v>3</v>
      </c>
      <c r="D1637" s="159">
        <v>1</v>
      </c>
      <c r="E1637" s="159"/>
      <c r="F1637" s="159">
        <v>1456.6799999999998</v>
      </c>
      <c r="G1637" s="160"/>
      <c r="H1637" s="34" t="s">
        <v>925</v>
      </c>
    </row>
    <row r="1638" spans="1:8" ht="33">
      <c r="A1638" s="160"/>
      <c r="B1638" s="160" t="s">
        <v>934</v>
      </c>
      <c r="C1638" s="157" t="s">
        <v>3</v>
      </c>
      <c r="D1638" s="159"/>
      <c r="E1638" s="159"/>
      <c r="F1638" s="159">
        <v>1456.68</v>
      </c>
      <c r="G1638" s="160"/>
      <c r="H1638" s="34" t="s">
        <v>925</v>
      </c>
    </row>
    <row r="1639" spans="1:8" ht="33">
      <c r="A1639" s="160"/>
      <c r="B1639" s="160"/>
      <c r="C1639" s="157"/>
      <c r="D1639" s="159"/>
      <c r="E1639" s="159"/>
      <c r="F1639" s="159"/>
      <c r="G1639" s="160"/>
      <c r="H1639" s="34" t="s">
        <v>925</v>
      </c>
    </row>
    <row r="1640" spans="1:8" ht="33">
      <c r="A1640" s="160" t="s">
        <v>1902</v>
      </c>
      <c r="B1640" s="160" t="s">
        <v>1685</v>
      </c>
      <c r="C1640" s="157" t="s">
        <v>3</v>
      </c>
      <c r="D1640" s="159">
        <v>1</v>
      </c>
      <c r="E1640" s="159">
        <v>443.93</v>
      </c>
      <c r="F1640" s="159"/>
      <c r="G1640" s="160" t="s">
        <v>2</v>
      </c>
      <c r="H1640" s="34" t="s">
        <v>925</v>
      </c>
    </row>
    <row r="1641" spans="1:8" ht="33">
      <c r="A1641" s="160">
        <v>1</v>
      </c>
      <c r="B1641" s="160" t="s">
        <v>1637</v>
      </c>
      <c r="C1641" s="157" t="s">
        <v>0</v>
      </c>
      <c r="D1641" s="159">
        <v>0.02</v>
      </c>
      <c r="E1641" s="159">
        <v>3304.6</v>
      </c>
      <c r="F1641" s="159">
        <v>66.09</v>
      </c>
      <c r="G1641" s="160" t="s">
        <v>1873</v>
      </c>
      <c r="H1641" s="34" t="s">
        <v>925</v>
      </c>
    </row>
    <row r="1642" spans="1:8" ht="16.5">
      <c r="A1642" s="160">
        <v>2</v>
      </c>
      <c r="B1642" s="160" t="s">
        <v>1638</v>
      </c>
      <c r="C1642" s="157" t="s">
        <v>927</v>
      </c>
      <c r="D1642" s="159">
        <v>0.66</v>
      </c>
      <c r="E1642" s="159">
        <v>379.5</v>
      </c>
      <c r="F1642" s="159">
        <v>250.47</v>
      </c>
      <c r="G1642" s="160" t="s">
        <v>2</v>
      </c>
    </row>
    <row r="1643" spans="1:8" ht="33">
      <c r="A1643" s="160">
        <v>3</v>
      </c>
      <c r="B1643" s="160" t="s">
        <v>1644</v>
      </c>
      <c r="C1643" s="157" t="s">
        <v>927</v>
      </c>
      <c r="D1643" s="159">
        <v>0.44</v>
      </c>
      <c r="E1643" s="159">
        <v>260.08999999999997</v>
      </c>
      <c r="F1643" s="159">
        <v>114.44</v>
      </c>
      <c r="G1643" s="160" t="s">
        <v>2</v>
      </c>
      <c r="H1643" s="34" t="s">
        <v>925</v>
      </c>
    </row>
    <row r="1644" spans="1:8" ht="33">
      <c r="A1644" s="160">
        <v>4</v>
      </c>
      <c r="B1644" s="160" t="s">
        <v>955</v>
      </c>
      <c r="C1644" s="157" t="s">
        <v>14</v>
      </c>
      <c r="D1644" s="159">
        <v>1</v>
      </c>
      <c r="E1644" s="159">
        <v>12.93</v>
      </c>
      <c r="F1644" s="159">
        <v>12.93</v>
      </c>
      <c r="G1644" s="160" t="s">
        <v>2</v>
      </c>
      <c r="H1644" s="34" t="s">
        <v>925</v>
      </c>
    </row>
    <row r="1645" spans="1:8" ht="33">
      <c r="A1645" s="160"/>
      <c r="B1645" s="160" t="s">
        <v>933</v>
      </c>
      <c r="C1645" s="157" t="s">
        <v>3</v>
      </c>
      <c r="D1645" s="159">
        <v>1</v>
      </c>
      <c r="E1645" s="159"/>
      <c r="F1645" s="159">
        <v>443.93</v>
      </c>
      <c r="G1645" s="160"/>
      <c r="H1645" s="34" t="s">
        <v>925</v>
      </c>
    </row>
    <row r="1646" spans="1:8" ht="33">
      <c r="A1646" s="160"/>
      <c r="B1646" s="160" t="s">
        <v>934</v>
      </c>
      <c r="C1646" s="157" t="s">
        <v>3</v>
      </c>
      <c r="D1646" s="159"/>
      <c r="E1646" s="159"/>
      <c r="F1646" s="159">
        <v>443.93</v>
      </c>
      <c r="G1646" s="160"/>
      <c r="H1646" s="34" t="s">
        <v>925</v>
      </c>
    </row>
    <row r="1647" spans="1:8" ht="33">
      <c r="A1647" s="160"/>
      <c r="B1647" s="160"/>
      <c r="C1647" s="157"/>
      <c r="D1647" s="159"/>
      <c r="E1647" s="159"/>
      <c r="F1647" s="159"/>
      <c r="G1647" s="160"/>
      <c r="H1647" s="34" t="s">
        <v>925</v>
      </c>
    </row>
    <row r="1648" spans="1:8" ht="33">
      <c r="A1648" s="160" t="s">
        <v>1909</v>
      </c>
      <c r="B1648" s="160" t="s">
        <v>1688</v>
      </c>
      <c r="C1648" s="157" t="s">
        <v>1689</v>
      </c>
      <c r="D1648" s="159">
        <v>1</v>
      </c>
      <c r="E1648" s="159">
        <v>7490.61</v>
      </c>
      <c r="F1648" s="159"/>
      <c r="G1648" s="160" t="s">
        <v>2</v>
      </c>
      <c r="H1648" s="34" t="s">
        <v>925</v>
      </c>
    </row>
    <row r="1649" spans="1:8" ht="42.75">
      <c r="A1649" s="160">
        <v>1</v>
      </c>
      <c r="B1649" s="160" t="s">
        <v>1691</v>
      </c>
      <c r="C1649" s="157" t="s">
        <v>3</v>
      </c>
      <c r="D1649" s="159">
        <v>15</v>
      </c>
      <c r="E1649" s="159">
        <v>277.68</v>
      </c>
      <c r="F1649" s="159">
        <v>4165.2</v>
      </c>
      <c r="G1649" s="160" t="s">
        <v>2</v>
      </c>
    </row>
    <row r="1650" spans="1:8" ht="33">
      <c r="A1650" s="160">
        <v>2</v>
      </c>
      <c r="B1650" s="160" t="s">
        <v>1693</v>
      </c>
      <c r="C1650" s="157" t="s">
        <v>0</v>
      </c>
      <c r="D1650" s="159">
        <v>2.25</v>
      </c>
      <c r="E1650" s="159">
        <v>647.91999999999996</v>
      </c>
      <c r="F1650" s="159">
        <v>1457.82</v>
      </c>
      <c r="G1650" s="160" t="s">
        <v>2</v>
      </c>
      <c r="H1650" s="34" t="s">
        <v>925</v>
      </c>
    </row>
    <row r="1651" spans="1:8" ht="33">
      <c r="A1651" s="160">
        <v>3</v>
      </c>
      <c r="B1651" s="160" t="s">
        <v>4942</v>
      </c>
      <c r="C1651" s="157" t="s">
        <v>927</v>
      </c>
      <c r="D1651" s="159">
        <v>2</v>
      </c>
      <c r="E1651" s="159">
        <v>379.5</v>
      </c>
      <c r="F1651" s="159">
        <v>759</v>
      </c>
      <c r="G1651" s="160" t="s">
        <v>5450</v>
      </c>
      <c r="H1651" s="34" t="s">
        <v>925</v>
      </c>
    </row>
    <row r="1652" spans="1:8" ht="33">
      <c r="A1652" s="160">
        <v>4</v>
      </c>
      <c r="B1652" s="160" t="s">
        <v>1695</v>
      </c>
      <c r="C1652" s="157" t="s">
        <v>927</v>
      </c>
      <c r="D1652" s="159">
        <v>2</v>
      </c>
      <c r="E1652" s="159">
        <v>260.08999999999997</v>
      </c>
      <c r="F1652" s="159">
        <v>520.17999999999995</v>
      </c>
      <c r="G1652" s="160" t="s">
        <v>2</v>
      </c>
      <c r="H1652" s="34" t="s">
        <v>925</v>
      </c>
    </row>
    <row r="1653" spans="1:8" ht="33">
      <c r="A1653" s="160">
        <v>5</v>
      </c>
      <c r="B1653" s="160" t="s">
        <v>1697</v>
      </c>
      <c r="C1653" s="157" t="s">
        <v>14</v>
      </c>
      <c r="D1653" s="159">
        <v>1</v>
      </c>
      <c r="E1653" s="159">
        <v>370.24</v>
      </c>
      <c r="F1653" s="159">
        <v>370.24</v>
      </c>
      <c r="G1653" s="160" t="s">
        <v>2</v>
      </c>
      <c r="H1653" s="34" t="s">
        <v>925</v>
      </c>
    </row>
    <row r="1654" spans="1:8" ht="33">
      <c r="A1654" s="160">
        <v>6</v>
      </c>
      <c r="B1654" s="160" t="s">
        <v>931</v>
      </c>
      <c r="C1654" s="157" t="s">
        <v>14</v>
      </c>
      <c r="D1654" s="159">
        <v>1</v>
      </c>
      <c r="E1654" s="159">
        <v>218.17</v>
      </c>
      <c r="F1654" s="159">
        <v>218.17</v>
      </c>
      <c r="G1654" s="160" t="s">
        <v>2</v>
      </c>
      <c r="H1654" s="34" t="s">
        <v>925</v>
      </c>
    </row>
    <row r="1655" spans="1:8" ht="33">
      <c r="A1655" s="160"/>
      <c r="B1655" s="160" t="s">
        <v>933</v>
      </c>
      <c r="C1655" s="157" t="s">
        <v>1689</v>
      </c>
      <c r="D1655" s="159">
        <v>1</v>
      </c>
      <c r="E1655" s="159"/>
      <c r="F1655" s="159">
        <v>7490.61</v>
      </c>
      <c r="G1655" s="160"/>
      <c r="H1655" s="34" t="s">
        <v>925</v>
      </c>
    </row>
    <row r="1656" spans="1:8" ht="16.5">
      <c r="A1656" s="160"/>
      <c r="B1656" s="160" t="s">
        <v>934</v>
      </c>
      <c r="C1656" s="157" t="s">
        <v>1689</v>
      </c>
      <c r="D1656" s="159"/>
      <c r="E1656" s="159"/>
      <c r="F1656" s="159">
        <v>7490.61</v>
      </c>
      <c r="G1656" s="160"/>
    </row>
    <row r="1657" spans="1:8" ht="33">
      <c r="A1657" s="160"/>
      <c r="B1657" s="160"/>
      <c r="C1657" s="157"/>
      <c r="D1657" s="159"/>
      <c r="E1657" s="159"/>
      <c r="F1657" s="159"/>
      <c r="G1657" s="160"/>
      <c r="H1657" s="34" t="s">
        <v>925</v>
      </c>
    </row>
    <row r="1658" spans="1:8" ht="33">
      <c r="A1658" s="160" t="s">
        <v>1916</v>
      </c>
      <c r="B1658" s="160" t="s">
        <v>1700</v>
      </c>
      <c r="C1658" s="157" t="s">
        <v>17</v>
      </c>
      <c r="D1658" s="159">
        <v>1</v>
      </c>
      <c r="E1658" s="159">
        <v>1501.79</v>
      </c>
      <c r="F1658" s="159"/>
      <c r="G1658" s="160" t="s">
        <v>2</v>
      </c>
      <c r="H1658" s="34" t="s">
        <v>925</v>
      </c>
    </row>
    <row r="1659" spans="1:8" ht="33">
      <c r="A1659" s="160">
        <v>1</v>
      </c>
      <c r="B1659" s="160" t="s">
        <v>1702</v>
      </c>
      <c r="C1659" s="157" t="s">
        <v>17</v>
      </c>
      <c r="D1659" s="159">
        <v>1</v>
      </c>
      <c r="E1659" s="159">
        <v>1295.8399999999999</v>
      </c>
      <c r="F1659" s="159">
        <v>1295.8399999999999</v>
      </c>
      <c r="G1659" s="160" t="s">
        <v>2</v>
      </c>
      <c r="H1659" s="34" t="s">
        <v>925</v>
      </c>
    </row>
    <row r="1660" spans="1:8" ht="33">
      <c r="A1660" s="160">
        <v>2</v>
      </c>
      <c r="B1660" s="160" t="s">
        <v>1649</v>
      </c>
      <c r="C1660" s="157" t="s">
        <v>0</v>
      </c>
      <c r="D1660" s="159">
        <v>0.02</v>
      </c>
      <c r="E1660" s="159">
        <v>3482.33</v>
      </c>
      <c r="F1660" s="159">
        <v>69.650000000000006</v>
      </c>
      <c r="G1660" s="160" t="s">
        <v>1866</v>
      </c>
      <c r="H1660" s="34" t="s">
        <v>925</v>
      </c>
    </row>
    <row r="1661" spans="1:8" ht="33">
      <c r="A1661" s="160">
        <v>3</v>
      </c>
      <c r="B1661" s="160" t="s">
        <v>1704</v>
      </c>
      <c r="C1661" s="157" t="s">
        <v>14</v>
      </c>
      <c r="D1661" s="159">
        <v>1</v>
      </c>
      <c r="E1661" s="159">
        <v>92.56</v>
      </c>
      <c r="F1661" s="159">
        <v>92.56</v>
      </c>
      <c r="G1661" s="160" t="s">
        <v>2</v>
      </c>
      <c r="H1661" s="34" t="s">
        <v>925</v>
      </c>
    </row>
    <row r="1662" spans="1:8" ht="33">
      <c r="A1662" s="160">
        <v>4</v>
      </c>
      <c r="B1662" s="160" t="s">
        <v>931</v>
      </c>
      <c r="C1662" s="157" t="s">
        <v>14</v>
      </c>
      <c r="D1662" s="159">
        <v>1</v>
      </c>
      <c r="E1662" s="159">
        <v>43.74</v>
      </c>
      <c r="F1662" s="159">
        <v>43.74</v>
      </c>
      <c r="G1662" s="160" t="s">
        <v>2</v>
      </c>
      <c r="H1662" s="34" t="s">
        <v>925</v>
      </c>
    </row>
    <row r="1663" spans="1:8" ht="16.5">
      <c r="A1663" s="160"/>
      <c r="B1663" s="160" t="s">
        <v>933</v>
      </c>
      <c r="C1663" s="157" t="s">
        <v>17</v>
      </c>
      <c r="D1663" s="159">
        <v>1</v>
      </c>
      <c r="E1663" s="159"/>
      <c r="F1663" s="159">
        <v>1501.79</v>
      </c>
      <c r="G1663" s="160"/>
    </row>
    <row r="1664" spans="1:8" ht="33">
      <c r="A1664" s="160"/>
      <c r="B1664" s="160" t="s">
        <v>934</v>
      </c>
      <c r="C1664" s="157" t="s">
        <v>17</v>
      </c>
      <c r="D1664" s="159"/>
      <c r="E1664" s="159"/>
      <c r="F1664" s="159">
        <v>1501.79</v>
      </c>
      <c r="G1664" s="160"/>
      <c r="H1664" s="34" t="s">
        <v>925</v>
      </c>
    </row>
    <row r="1665" spans="1:8" ht="33">
      <c r="A1665" s="160"/>
      <c r="B1665" s="160"/>
      <c r="C1665" s="157"/>
      <c r="D1665" s="159"/>
      <c r="E1665" s="159"/>
      <c r="F1665" s="159"/>
      <c r="G1665" s="160"/>
      <c r="H1665" s="34" t="s">
        <v>925</v>
      </c>
    </row>
    <row r="1666" spans="1:8" ht="33">
      <c r="A1666" s="160" t="s">
        <v>1923</v>
      </c>
      <c r="B1666" s="160" t="s">
        <v>1697</v>
      </c>
      <c r="C1666" s="157" t="s">
        <v>15</v>
      </c>
      <c r="D1666" s="159">
        <v>1</v>
      </c>
      <c r="E1666" s="159">
        <v>1324.6</v>
      </c>
      <c r="F1666" s="159"/>
      <c r="G1666" s="160" t="s">
        <v>2</v>
      </c>
      <c r="H1666" s="34" t="s">
        <v>925</v>
      </c>
    </row>
    <row r="1667" spans="1:8" ht="33">
      <c r="A1667" s="160">
        <v>1</v>
      </c>
      <c r="B1667" s="160" t="s">
        <v>1708</v>
      </c>
      <c r="C1667" s="157" t="s">
        <v>1121</v>
      </c>
      <c r="D1667" s="159">
        <v>1.1000000000000001</v>
      </c>
      <c r="E1667" s="159">
        <v>601.64</v>
      </c>
      <c r="F1667" s="159">
        <v>661.8</v>
      </c>
      <c r="G1667" s="160" t="s">
        <v>2</v>
      </c>
      <c r="H1667" s="34" t="s">
        <v>925</v>
      </c>
    </row>
    <row r="1668" spans="1:8" ht="33">
      <c r="A1668" s="160">
        <v>2</v>
      </c>
      <c r="B1668" s="160" t="s">
        <v>4871</v>
      </c>
      <c r="C1668" s="157" t="s">
        <v>927</v>
      </c>
      <c r="D1668" s="159">
        <v>2.4</v>
      </c>
      <c r="E1668" s="159">
        <v>260.08999999999997</v>
      </c>
      <c r="F1668" s="159">
        <v>624.22</v>
      </c>
      <c r="G1668" s="160" t="s">
        <v>5435</v>
      </c>
      <c r="H1668" s="34" t="s">
        <v>925</v>
      </c>
    </row>
    <row r="1669" spans="1:8" ht="33">
      <c r="A1669" s="160">
        <v>3</v>
      </c>
      <c r="B1669" s="160" t="s">
        <v>931</v>
      </c>
      <c r="C1669" s="157" t="s">
        <v>14</v>
      </c>
      <c r="D1669" s="159">
        <v>1</v>
      </c>
      <c r="E1669" s="159">
        <v>38.58</v>
      </c>
      <c r="F1669" s="159">
        <v>38.58</v>
      </c>
      <c r="G1669" s="160" t="s">
        <v>2</v>
      </c>
      <c r="H1669" s="34" t="s">
        <v>925</v>
      </c>
    </row>
    <row r="1670" spans="1:8" ht="16.5">
      <c r="A1670" s="160"/>
      <c r="B1670" s="160" t="s">
        <v>933</v>
      </c>
      <c r="C1670" s="157" t="s">
        <v>15</v>
      </c>
      <c r="D1670" s="159">
        <v>1</v>
      </c>
      <c r="E1670" s="159"/>
      <c r="F1670" s="159">
        <v>1324.6</v>
      </c>
      <c r="G1670" s="160"/>
    </row>
    <row r="1671" spans="1:8" ht="33">
      <c r="A1671" s="160"/>
      <c r="B1671" s="160" t="s">
        <v>934</v>
      </c>
      <c r="C1671" s="157" t="s">
        <v>15</v>
      </c>
      <c r="D1671" s="159"/>
      <c r="E1671" s="159"/>
      <c r="F1671" s="159">
        <v>1324.6</v>
      </c>
      <c r="G1671" s="160"/>
      <c r="H1671" s="34" t="s">
        <v>925</v>
      </c>
    </row>
    <row r="1672" spans="1:8" ht="33">
      <c r="A1672" s="160"/>
      <c r="B1672" s="160"/>
      <c r="C1672" s="157"/>
      <c r="D1672" s="159"/>
      <c r="E1672" s="159"/>
      <c r="F1672" s="159"/>
      <c r="G1672" s="160"/>
      <c r="H1672" s="34" t="s">
        <v>925</v>
      </c>
    </row>
    <row r="1673" spans="1:8" ht="33">
      <c r="A1673" s="160" t="s">
        <v>1930</v>
      </c>
      <c r="B1673" s="160" t="s">
        <v>1711</v>
      </c>
      <c r="C1673" s="157" t="s">
        <v>3</v>
      </c>
      <c r="D1673" s="159">
        <v>1</v>
      </c>
      <c r="E1673" s="159">
        <v>1531.55</v>
      </c>
      <c r="F1673" s="159"/>
      <c r="G1673" s="160" t="s">
        <v>2</v>
      </c>
      <c r="H1673" s="34" t="s">
        <v>925</v>
      </c>
    </row>
    <row r="1674" spans="1:8" ht="33">
      <c r="A1674" s="160">
        <v>1</v>
      </c>
      <c r="B1674" s="160" t="s">
        <v>1713</v>
      </c>
      <c r="C1674" s="157" t="s">
        <v>0</v>
      </c>
      <c r="D1674" s="159">
        <v>0.06</v>
      </c>
      <c r="E1674" s="159">
        <v>2283.83</v>
      </c>
      <c r="F1674" s="159">
        <v>137.03</v>
      </c>
      <c r="G1674" s="160" t="s">
        <v>1937</v>
      </c>
      <c r="H1674" s="34" t="s">
        <v>925</v>
      </c>
    </row>
    <row r="1675" spans="1:8" ht="33">
      <c r="A1675" s="160">
        <v>2</v>
      </c>
      <c r="B1675" s="160" t="s">
        <v>1714</v>
      </c>
      <c r="C1675" s="157" t="s">
        <v>3</v>
      </c>
      <c r="D1675" s="159">
        <v>2</v>
      </c>
      <c r="E1675" s="159">
        <v>387.75</v>
      </c>
      <c r="F1675" s="159">
        <v>775.5</v>
      </c>
      <c r="G1675" s="160" t="s">
        <v>1944</v>
      </c>
      <c r="H1675" s="34" t="s">
        <v>925</v>
      </c>
    </row>
    <row r="1676" spans="1:8" ht="33">
      <c r="A1676" s="160">
        <v>3</v>
      </c>
      <c r="B1676" s="160" t="s">
        <v>4871</v>
      </c>
      <c r="C1676" s="157" t="s">
        <v>927</v>
      </c>
      <c r="D1676" s="159">
        <v>0.48</v>
      </c>
      <c r="E1676" s="159">
        <v>260.08999999999997</v>
      </c>
      <c r="F1676" s="159">
        <v>124.84</v>
      </c>
      <c r="G1676" s="160" t="s">
        <v>5435</v>
      </c>
      <c r="H1676" s="34" t="s">
        <v>925</v>
      </c>
    </row>
    <row r="1677" spans="1:8" ht="16.5">
      <c r="A1677" s="160">
        <v>4</v>
      </c>
      <c r="B1677" s="160" t="s">
        <v>1715</v>
      </c>
      <c r="C1677" s="157" t="s">
        <v>14</v>
      </c>
      <c r="D1677" s="159">
        <v>1</v>
      </c>
      <c r="E1677" s="159">
        <v>111.07</v>
      </c>
      <c r="F1677" s="159">
        <v>111.07</v>
      </c>
      <c r="G1677" s="160" t="s">
        <v>2</v>
      </c>
    </row>
    <row r="1678" spans="1:8" ht="33">
      <c r="A1678" s="160">
        <v>5</v>
      </c>
      <c r="B1678" s="160" t="s">
        <v>1717</v>
      </c>
      <c r="C1678" s="157" t="s">
        <v>14</v>
      </c>
      <c r="D1678" s="159">
        <v>1</v>
      </c>
      <c r="E1678" s="159">
        <v>27.77</v>
      </c>
      <c r="F1678" s="159">
        <v>27.77</v>
      </c>
      <c r="G1678" s="160" t="s">
        <v>2</v>
      </c>
      <c r="H1678" s="34" t="s">
        <v>925</v>
      </c>
    </row>
    <row r="1679" spans="1:8" ht="33">
      <c r="A1679" s="160">
        <v>6</v>
      </c>
      <c r="B1679" s="160" t="s">
        <v>1719</v>
      </c>
      <c r="C1679" s="157" t="s">
        <v>1497</v>
      </c>
      <c r="D1679" s="159">
        <v>1</v>
      </c>
      <c r="E1679" s="159">
        <v>51.56</v>
      </c>
      <c r="F1679" s="159">
        <v>51.56</v>
      </c>
      <c r="G1679" s="160" t="s">
        <v>1951</v>
      </c>
      <c r="H1679" s="34" t="s">
        <v>925</v>
      </c>
    </row>
    <row r="1680" spans="1:8" ht="33">
      <c r="A1680" s="160">
        <v>7</v>
      </c>
      <c r="B1680" s="160" t="s">
        <v>1720</v>
      </c>
      <c r="C1680" s="157" t="s">
        <v>3</v>
      </c>
      <c r="D1680" s="159">
        <v>1</v>
      </c>
      <c r="E1680" s="159">
        <v>231.4</v>
      </c>
      <c r="F1680" s="159">
        <v>231.4</v>
      </c>
      <c r="G1680" s="160" t="s">
        <v>2</v>
      </c>
      <c r="H1680" s="34" t="s">
        <v>925</v>
      </c>
    </row>
    <row r="1681" spans="1:8" ht="33">
      <c r="A1681" s="160">
        <v>8</v>
      </c>
      <c r="B1681" s="160" t="s">
        <v>1672</v>
      </c>
      <c r="C1681" s="157" t="s">
        <v>14</v>
      </c>
      <c r="D1681" s="159">
        <v>1</v>
      </c>
      <c r="E1681" s="159">
        <v>27.77</v>
      </c>
      <c r="F1681" s="159">
        <v>27.77</v>
      </c>
      <c r="G1681" s="160" t="s">
        <v>2</v>
      </c>
      <c r="H1681" s="34" t="s">
        <v>925</v>
      </c>
    </row>
    <row r="1682" spans="1:8" ht="33">
      <c r="A1682" s="160">
        <v>9</v>
      </c>
      <c r="B1682" s="160" t="s">
        <v>931</v>
      </c>
      <c r="C1682" s="157" t="s">
        <v>14</v>
      </c>
      <c r="D1682" s="159">
        <v>1</v>
      </c>
      <c r="E1682" s="159">
        <v>44.61</v>
      </c>
      <c r="F1682" s="159">
        <v>44.61</v>
      </c>
      <c r="G1682" s="160" t="s">
        <v>2</v>
      </c>
      <c r="H1682" s="34" t="s">
        <v>925</v>
      </c>
    </row>
    <row r="1683" spans="1:8" ht="33">
      <c r="A1683" s="160"/>
      <c r="B1683" s="160" t="s">
        <v>933</v>
      </c>
      <c r="C1683" s="157" t="s">
        <v>3</v>
      </c>
      <c r="D1683" s="159">
        <v>1</v>
      </c>
      <c r="E1683" s="159"/>
      <c r="F1683" s="159">
        <v>1531.5499999999997</v>
      </c>
      <c r="G1683" s="160"/>
      <c r="H1683" s="34" t="s">
        <v>925</v>
      </c>
    </row>
    <row r="1684" spans="1:8" ht="16.5">
      <c r="A1684" s="160"/>
      <c r="B1684" s="160" t="s">
        <v>934</v>
      </c>
      <c r="C1684" s="157" t="s">
        <v>3</v>
      </c>
      <c r="D1684" s="159"/>
      <c r="E1684" s="159"/>
      <c r="F1684" s="159">
        <v>1531.55</v>
      </c>
      <c r="G1684" s="160"/>
    </row>
    <row r="1685" spans="1:8" ht="33">
      <c r="A1685" s="160"/>
      <c r="B1685" s="160"/>
      <c r="C1685" s="157"/>
      <c r="D1685" s="159"/>
      <c r="E1685" s="159"/>
      <c r="F1685" s="159"/>
      <c r="G1685" s="160"/>
      <c r="H1685" s="34" t="s">
        <v>925</v>
      </c>
    </row>
    <row r="1686" spans="1:8" ht="33">
      <c r="A1686" s="160" t="s">
        <v>1937</v>
      </c>
      <c r="B1686" s="160" t="s">
        <v>1713</v>
      </c>
      <c r="C1686" s="157" t="s">
        <v>0</v>
      </c>
      <c r="D1686" s="159">
        <v>1</v>
      </c>
      <c r="E1686" s="159">
        <v>2283.83</v>
      </c>
      <c r="F1686" s="159"/>
      <c r="G1686" s="160" t="s">
        <v>2</v>
      </c>
      <c r="H1686" s="34" t="s">
        <v>925</v>
      </c>
    </row>
    <row r="1687" spans="1:8" ht="33">
      <c r="A1687" s="160">
        <v>1</v>
      </c>
      <c r="B1687" s="160" t="s">
        <v>1294</v>
      </c>
      <c r="C1687" s="157" t="s">
        <v>1295</v>
      </c>
      <c r="D1687" s="159">
        <v>8.5</v>
      </c>
      <c r="E1687" s="159">
        <v>154.58000000000001</v>
      </c>
      <c r="F1687" s="159">
        <v>1313.93</v>
      </c>
      <c r="G1687" s="160" t="s">
        <v>2</v>
      </c>
      <c r="H1687" s="34" t="s">
        <v>925</v>
      </c>
    </row>
    <row r="1688" spans="1:8" ht="33">
      <c r="A1688" s="160">
        <v>2</v>
      </c>
      <c r="B1688" s="160" t="s">
        <v>1297</v>
      </c>
      <c r="C1688" s="157" t="s">
        <v>1121</v>
      </c>
      <c r="D1688" s="159">
        <v>0.2</v>
      </c>
      <c r="E1688" s="159">
        <v>661.81</v>
      </c>
      <c r="F1688" s="159">
        <v>132.36000000000001</v>
      </c>
      <c r="G1688" s="160" t="s">
        <v>2</v>
      </c>
      <c r="H1688" s="34" t="s">
        <v>925</v>
      </c>
    </row>
    <row r="1689" spans="1:8" ht="33">
      <c r="A1689" s="160">
        <v>3</v>
      </c>
      <c r="B1689" s="160" t="s">
        <v>1299</v>
      </c>
      <c r="C1689" s="157" t="s">
        <v>1121</v>
      </c>
      <c r="D1689" s="159">
        <v>1</v>
      </c>
      <c r="E1689" s="159">
        <v>673.84</v>
      </c>
      <c r="F1689" s="159">
        <v>673.84</v>
      </c>
      <c r="G1689" s="160" t="s">
        <v>2</v>
      </c>
      <c r="H1689" s="34" t="s">
        <v>925</v>
      </c>
    </row>
    <row r="1690" spans="1:8" ht="33">
      <c r="A1690" s="160">
        <v>4</v>
      </c>
      <c r="B1690" s="160" t="s">
        <v>1724</v>
      </c>
      <c r="C1690" s="157" t="s">
        <v>14</v>
      </c>
      <c r="D1690" s="159">
        <v>1</v>
      </c>
      <c r="E1690" s="159">
        <v>83.3</v>
      </c>
      <c r="F1690" s="159">
        <v>83.3</v>
      </c>
      <c r="G1690" s="160" t="s">
        <v>2</v>
      </c>
      <c r="H1690" s="34" t="s">
        <v>925</v>
      </c>
    </row>
    <row r="1691" spans="1:8" ht="16.5">
      <c r="A1691" s="160">
        <v>5</v>
      </c>
      <c r="B1691" s="160" t="s">
        <v>1726</v>
      </c>
      <c r="C1691" s="157" t="s">
        <v>0</v>
      </c>
      <c r="D1691" s="159">
        <v>1</v>
      </c>
      <c r="E1691" s="159">
        <v>13.88</v>
      </c>
      <c r="F1691" s="159">
        <v>13.88</v>
      </c>
      <c r="G1691" s="160" t="s">
        <v>2</v>
      </c>
    </row>
    <row r="1692" spans="1:8" ht="33">
      <c r="A1692" s="160">
        <v>6</v>
      </c>
      <c r="B1692" s="160" t="s">
        <v>931</v>
      </c>
      <c r="C1692" s="157" t="s">
        <v>14</v>
      </c>
      <c r="D1692" s="159">
        <v>1</v>
      </c>
      <c r="E1692" s="159">
        <v>66.52</v>
      </c>
      <c r="F1692" s="159">
        <v>66.52</v>
      </c>
      <c r="G1692" s="160" t="s">
        <v>2</v>
      </c>
      <c r="H1692" s="34" t="s">
        <v>925</v>
      </c>
    </row>
    <row r="1693" spans="1:8" ht="33">
      <c r="A1693" s="160"/>
      <c r="B1693" s="160" t="s">
        <v>933</v>
      </c>
      <c r="C1693" s="157" t="s">
        <v>0</v>
      </c>
      <c r="D1693" s="159">
        <v>1</v>
      </c>
      <c r="E1693" s="159"/>
      <c r="F1693" s="159">
        <v>2283.8300000000004</v>
      </c>
      <c r="G1693" s="160"/>
      <c r="H1693" s="34" t="s">
        <v>925</v>
      </c>
    </row>
    <row r="1694" spans="1:8" ht="33">
      <c r="A1694" s="160"/>
      <c r="B1694" s="160" t="s">
        <v>934</v>
      </c>
      <c r="C1694" s="157" t="s">
        <v>0</v>
      </c>
      <c r="D1694" s="159"/>
      <c r="E1694" s="159"/>
      <c r="F1694" s="159">
        <v>2283.83</v>
      </c>
      <c r="G1694" s="160"/>
      <c r="H1694" s="34" t="s">
        <v>925</v>
      </c>
    </row>
    <row r="1695" spans="1:8" ht="33">
      <c r="A1695" s="160"/>
      <c r="B1695" s="160"/>
      <c r="C1695" s="157"/>
      <c r="D1695" s="159"/>
      <c r="E1695" s="159"/>
      <c r="F1695" s="159"/>
      <c r="G1695" s="160"/>
      <c r="H1695" s="34" t="s">
        <v>925</v>
      </c>
    </row>
    <row r="1696" spans="1:8" ht="33">
      <c r="A1696" s="160" t="s">
        <v>1944</v>
      </c>
      <c r="B1696" s="160" t="s">
        <v>1714</v>
      </c>
      <c r="C1696" s="157" t="s">
        <v>3</v>
      </c>
      <c r="D1696" s="159">
        <v>100</v>
      </c>
      <c r="E1696" s="159">
        <v>387.75</v>
      </c>
      <c r="F1696" s="159"/>
      <c r="G1696" s="160" t="s">
        <v>2</v>
      </c>
      <c r="H1696" s="34" t="s">
        <v>925</v>
      </c>
    </row>
    <row r="1697" spans="1:8" ht="33">
      <c r="A1697" s="160">
        <v>1</v>
      </c>
      <c r="B1697" s="160" t="s">
        <v>1730</v>
      </c>
      <c r="C1697" s="157" t="s">
        <v>927</v>
      </c>
      <c r="D1697" s="159">
        <v>8</v>
      </c>
      <c r="E1697" s="159">
        <v>416.52</v>
      </c>
      <c r="F1697" s="159">
        <v>3332.16</v>
      </c>
      <c r="G1697" s="160" t="s">
        <v>2</v>
      </c>
      <c r="H1697" s="34" t="s">
        <v>925</v>
      </c>
    </row>
    <row r="1698" spans="1:8" ht="28.5">
      <c r="A1698" s="160">
        <v>2</v>
      </c>
      <c r="B1698" s="160" t="s">
        <v>1732</v>
      </c>
      <c r="C1698" s="157" t="s">
        <v>927</v>
      </c>
      <c r="D1698" s="159">
        <v>8</v>
      </c>
      <c r="E1698" s="159">
        <v>925.6</v>
      </c>
      <c r="F1698" s="159">
        <v>7404.8</v>
      </c>
      <c r="G1698" s="160" t="s">
        <v>2</v>
      </c>
    </row>
    <row r="1699" spans="1:8" ht="33">
      <c r="A1699" s="160">
        <v>3</v>
      </c>
      <c r="B1699" s="160" t="s">
        <v>1734</v>
      </c>
      <c r="C1699" s="157" t="s">
        <v>927</v>
      </c>
      <c r="D1699" s="159">
        <v>8</v>
      </c>
      <c r="E1699" s="159">
        <v>277.68</v>
      </c>
      <c r="F1699" s="159">
        <v>2221.44</v>
      </c>
      <c r="G1699" s="160" t="s">
        <v>2</v>
      </c>
      <c r="H1699" s="34" t="s">
        <v>925</v>
      </c>
    </row>
    <row r="1700" spans="1:8" ht="33">
      <c r="A1700" s="160">
        <v>4</v>
      </c>
      <c r="B1700" s="160" t="s">
        <v>1736</v>
      </c>
      <c r="C1700" s="157" t="s">
        <v>927</v>
      </c>
      <c r="D1700" s="159">
        <v>8</v>
      </c>
      <c r="E1700" s="159">
        <v>462.8</v>
      </c>
      <c r="F1700" s="159">
        <v>3702.4</v>
      </c>
      <c r="G1700" s="160" t="s">
        <v>2</v>
      </c>
      <c r="H1700" s="34" t="s">
        <v>925</v>
      </c>
    </row>
    <row r="1701" spans="1:8" ht="33">
      <c r="A1701" s="160">
        <v>5</v>
      </c>
      <c r="B1701" s="160" t="s">
        <v>1127</v>
      </c>
      <c r="C1701" s="157" t="s">
        <v>927</v>
      </c>
      <c r="D1701" s="159">
        <v>8</v>
      </c>
      <c r="E1701" s="159">
        <v>423</v>
      </c>
      <c r="F1701" s="159">
        <v>3384</v>
      </c>
      <c r="G1701" s="160" t="s">
        <v>2</v>
      </c>
      <c r="H1701" s="34" t="s">
        <v>925</v>
      </c>
    </row>
    <row r="1702" spans="1:8" ht="33">
      <c r="A1702" s="160">
        <v>6</v>
      </c>
      <c r="B1702" s="160" t="s">
        <v>1738</v>
      </c>
      <c r="C1702" s="157" t="s">
        <v>927</v>
      </c>
      <c r="D1702" s="159">
        <v>8</v>
      </c>
      <c r="E1702" s="159">
        <v>379.5</v>
      </c>
      <c r="F1702" s="159">
        <v>3036</v>
      </c>
      <c r="G1702" s="160" t="s">
        <v>2</v>
      </c>
      <c r="H1702" s="34" t="s">
        <v>925</v>
      </c>
    </row>
    <row r="1703" spans="1:8" ht="33">
      <c r="A1703" s="160">
        <v>7</v>
      </c>
      <c r="B1703" s="160" t="s">
        <v>4871</v>
      </c>
      <c r="C1703" s="157" t="s">
        <v>927</v>
      </c>
      <c r="D1703" s="159">
        <v>56</v>
      </c>
      <c r="E1703" s="159">
        <v>260.08999999999997</v>
      </c>
      <c r="F1703" s="159">
        <v>14565.04</v>
      </c>
      <c r="G1703" s="160" t="s">
        <v>5435</v>
      </c>
      <c r="H1703" s="34" t="s">
        <v>925</v>
      </c>
    </row>
    <row r="1704" spans="1:8" ht="33">
      <c r="A1704" s="160">
        <v>8</v>
      </c>
      <c r="B1704" s="160" t="s">
        <v>931</v>
      </c>
      <c r="C1704" s="157" t="s">
        <v>14</v>
      </c>
      <c r="D1704" s="159">
        <v>1</v>
      </c>
      <c r="E1704" s="159">
        <v>1129.3800000000001</v>
      </c>
      <c r="F1704" s="159">
        <v>1129.3800000000001</v>
      </c>
      <c r="G1704" s="160" t="s">
        <v>2</v>
      </c>
      <c r="H1704" s="34" t="s">
        <v>925</v>
      </c>
    </row>
    <row r="1705" spans="1:8" ht="16.5">
      <c r="A1705" s="160"/>
      <c r="B1705" s="160" t="s">
        <v>933</v>
      </c>
      <c r="C1705" s="157" t="s">
        <v>3</v>
      </c>
      <c r="D1705" s="159">
        <v>100</v>
      </c>
      <c r="E1705" s="159"/>
      <c r="F1705" s="159">
        <v>38775.219999999994</v>
      </c>
      <c r="G1705" s="160"/>
    </row>
    <row r="1706" spans="1:8" ht="33">
      <c r="A1706" s="160"/>
      <c r="B1706" s="160" t="s">
        <v>934</v>
      </c>
      <c r="C1706" s="157" t="s">
        <v>3</v>
      </c>
      <c r="D1706" s="159"/>
      <c r="E1706" s="159"/>
      <c r="F1706" s="159">
        <v>387.75</v>
      </c>
      <c r="G1706" s="160"/>
      <c r="H1706" s="34" t="s">
        <v>925</v>
      </c>
    </row>
    <row r="1707" spans="1:8" ht="33">
      <c r="A1707" s="160"/>
      <c r="B1707" s="160"/>
      <c r="C1707" s="157"/>
      <c r="D1707" s="159"/>
      <c r="E1707" s="159"/>
      <c r="F1707" s="159"/>
      <c r="G1707" s="160"/>
      <c r="H1707" s="34" t="s">
        <v>925</v>
      </c>
    </row>
    <row r="1708" spans="1:8" ht="33">
      <c r="A1708" s="160" t="s">
        <v>1951</v>
      </c>
      <c r="B1708" s="160" t="s">
        <v>1719</v>
      </c>
      <c r="C1708" s="157" t="s">
        <v>1497</v>
      </c>
      <c r="D1708" s="159">
        <v>10</v>
      </c>
      <c r="E1708" s="159">
        <v>51.56</v>
      </c>
      <c r="F1708" s="159"/>
      <c r="G1708" s="160" t="s">
        <v>2</v>
      </c>
      <c r="H1708" s="34" t="s">
        <v>925</v>
      </c>
    </row>
    <row r="1709" spans="1:8" ht="33">
      <c r="A1709" s="160">
        <v>1</v>
      </c>
      <c r="B1709" s="160" t="s">
        <v>1742</v>
      </c>
      <c r="C1709" s="157" t="s">
        <v>1497</v>
      </c>
      <c r="D1709" s="159">
        <v>10</v>
      </c>
      <c r="E1709" s="159">
        <v>27.77</v>
      </c>
      <c r="F1709" s="159">
        <v>277.7</v>
      </c>
      <c r="G1709" s="160" t="s">
        <v>2</v>
      </c>
      <c r="H1709" s="34" t="s">
        <v>925</v>
      </c>
    </row>
    <row r="1710" spans="1:8" ht="33">
      <c r="A1710" s="160">
        <v>2</v>
      </c>
      <c r="B1710" s="160" t="s">
        <v>1744</v>
      </c>
      <c r="C1710" s="157" t="s">
        <v>18</v>
      </c>
      <c r="D1710" s="159">
        <v>11</v>
      </c>
      <c r="E1710" s="159">
        <v>19.52</v>
      </c>
      <c r="F1710" s="159">
        <v>214.72</v>
      </c>
      <c r="G1710" s="160" t="s">
        <v>2</v>
      </c>
      <c r="H1710" s="34" t="s">
        <v>925</v>
      </c>
    </row>
    <row r="1711" spans="1:8" ht="33">
      <c r="A1711" s="160">
        <v>3</v>
      </c>
      <c r="B1711" s="160" t="s">
        <v>1746</v>
      </c>
      <c r="C1711" s="157" t="s">
        <v>0</v>
      </c>
      <c r="D1711" s="159">
        <v>0.03</v>
      </c>
      <c r="E1711" s="159">
        <v>9.26</v>
      </c>
      <c r="F1711" s="159">
        <v>0.28000000000000003</v>
      </c>
      <c r="G1711" s="160" t="s">
        <v>2</v>
      </c>
      <c r="H1711" s="34" t="s">
        <v>925</v>
      </c>
    </row>
    <row r="1712" spans="1:8" ht="16.5">
      <c r="A1712" s="160">
        <v>4</v>
      </c>
      <c r="B1712" s="160" t="s">
        <v>1748</v>
      </c>
      <c r="C1712" s="157" t="s">
        <v>1497</v>
      </c>
      <c r="D1712" s="159">
        <v>1</v>
      </c>
      <c r="E1712" s="159">
        <v>7.87</v>
      </c>
      <c r="F1712" s="159">
        <v>7.87</v>
      </c>
      <c r="G1712" s="160" t="s">
        <v>2</v>
      </c>
    </row>
    <row r="1713" spans="1:8" ht="33">
      <c r="A1713" s="160">
        <v>5</v>
      </c>
      <c r="B1713" s="160" t="s">
        <v>931</v>
      </c>
      <c r="C1713" s="157" t="s">
        <v>14</v>
      </c>
      <c r="D1713" s="159">
        <v>1</v>
      </c>
      <c r="E1713" s="159">
        <v>15.02</v>
      </c>
      <c r="F1713" s="159">
        <v>15.02</v>
      </c>
      <c r="G1713" s="160" t="s">
        <v>2</v>
      </c>
      <c r="H1713" s="34" t="s">
        <v>925</v>
      </c>
    </row>
    <row r="1714" spans="1:8" ht="33">
      <c r="A1714" s="160"/>
      <c r="B1714" s="160" t="s">
        <v>933</v>
      </c>
      <c r="C1714" s="157" t="s">
        <v>1497</v>
      </c>
      <c r="D1714" s="159">
        <v>10</v>
      </c>
      <c r="E1714" s="159"/>
      <c r="F1714" s="159">
        <v>515.58999999999992</v>
      </c>
      <c r="G1714" s="160"/>
      <c r="H1714" s="34" t="s">
        <v>925</v>
      </c>
    </row>
    <row r="1715" spans="1:8" ht="33">
      <c r="A1715" s="160"/>
      <c r="B1715" s="160" t="s">
        <v>934</v>
      </c>
      <c r="C1715" s="157" t="s">
        <v>1497</v>
      </c>
      <c r="D1715" s="159"/>
      <c r="E1715" s="159"/>
      <c r="F1715" s="159">
        <v>51.56</v>
      </c>
      <c r="G1715" s="160"/>
      <c r="H1715" s="34" t="s">
        <v>925</v>
      </c>
    </row>
    <row r="1716" spans="1:8" ht="33">
      <c r="A1716" s="160"/>
      <c r="B1716" s="160"/>
      <c r="C1716" s="157"/>
      <c r="D1716" s="159"/>
      <c r="E1716" s="159"/>
      <c r="F1716" s="159"/>
      <c r="G1716" s="160"/>
      <c r="H1716" s="34" t="s">
        <v>925</v>
      </c>
    </row>
    <row r="1717" spans="1:8" ht="33">
      <c r="A1717" s="160" t="s">
        <v>1958</v>
      </c>
      <c r="B1717" s="160" t="s">
        <v>1751</v>
      </c>
      <c r="C1717" s="157" t="s">
        <v>3</v>
      </c>
      <c r="D1717" s="159">
        <v>1</v>
      </c>
      <c r="E1717" s="159">
        <v>5198.51</v>
      </c>
      <c r="F1717" s="159"/>
      <c r="G1717" s="160" t="s">
        <v>2</v>
      </c>
      <c r="H1717" s="34" t="s">
        <v>925</v>
      </c>
    </row>
    <row r="1718" spans="1:8" ht="42.75">
      <c r="A1718" s="160">
        <v>1</v>
      </c>
      <c r="B1718" s="160" t="s">
        <v>1753</v>
      </c>
      <c r="C1718" s="157" t="s">
        <v>0</v>
      </c>
      <c r="D1718" s="159">
        <v>0.1</v>
      </c>
      <c r="E1718" s="159">
        <v>6115.63</v>
      </c>
      <c r="F1718" s="159">
        <v>611.55999999999995</v>
      </c>
      <c r="G1718" s="160" t="s">
        <v>2</v>
      </c>
      <c r="H1718" s="34" t="s">
        <v>925</v>
      </c>
    </row>
    <row r="1719" spans="1:8" ht="16.5">
      <c r="A1719" s="160">
        <v>2</v>
      </c>
      <c r="B1719" s="160" t="s">
        <v>1755</v>
      </c>
      <c r="C1719" s="157" t="s">
        <v>3</v>
      </c>
      <c r="D1719" s="159">
        <v>1</v>
      </c>
      <c r="E1719" s="159">
        <v>83.3</v>
      </c>
      <c r="F1719" s="159">
        <v>83.3</v>
      </c>
      <c r="G1719" s="160" t="s">
        <v>2</v>
      </c>
    </row>
    <row r="1720" spans="1:8" ht="33">
      <c r="A1720" s="160">
        <v>3</v>
      </c>
      <c r="B1720" s="160" t="s">
        <v>1757</v>
      </c>
      <c r="C1720" s="157" t="s">
        <v>14</v>
      </c>
      <c r="D1720" s="159">
        <v>1</v>
      </c>
      <c r="E1720" s="159">
        <v>44.43</v>
      </c>
      <c r="F1720" s="159">
        <v>44.43</v>
      </c>
      <c r="G1720" s="160" t="s">
        <v>2</v>
      </c>
      <c r="H1720" s="34" t="s">
        <v>925</v>
      </c>
    </row>
    <row r="1721" spans="1:8" ht="33">
      <c r="A1721" s="160">
        <v>4</v>
      </c>
      <c r="B1721" s="160" t="s">
        <v>1759</v>
      </c>
      <c r="C1721" s="157" t="s">
        <v>14</v>
      </c>
      <c r="D1721" s="159">
        <v>1</v>
      </c>
      <c r="E1721" s="159">
        <v>207.15</v>
      </c>
      <c r="F1721" s="159">
        <v>207.15</v>
      </c>
      <c r="G1721" s="160" t="s">
        <v>2</v>
      </c>
      <c r="H1721" s="34" t="s">
        <v>925</v>
      </c>
    </row>
    <row r="1722" spans="1:8" ht="33">
      <c r="A1722" s="160">
        <v>5</v>
      </c>
      <c r="B1722" s="160" t="s">
        <v>1761</v>
      </c>
      <c r="C1722" s="157" t="s">
        <v>0</v>
      </c>
      <c r="D1722" s="159">
        <v>0.15</v>
      </c>
      <c r="E1722" s="159">
        <v>25054.560000000001</v>
      </c>
      <c r="F1722" s="159">
        <v>3758.18</v>
      </c>
      <c r="G1722" s="160" t="s">
        <v>2</v>
      </c>
      <c r="H1722" s="34" t="s">
        <v>925</v>
      </c>
    </row>
    <row r="1723" spans="1:8" ht="33">
      <c r="A1723" s="160">
        <v>6</v>
      </c>
      <c r="B1723" s="160" t="s">
        <v>1763</v>
      </c>
      <c r="C1723" s="157" t="s">
        <v>3</v>
      </c>
      <c r="D1723" s="159">
        <v>1</v>
      </c>
      <c r="E1723" s="159">
        <v>46.28</v>
      </c>
      <c r="F1723" s="159">
        <v>46.28</v>
      </c>
      <c r="G1723" s="160" t="s">
        <v>2</v>
      </c>
      <c r="H1723" s="34" t="s">
        <v>925</v>
      </c>
    </row>
    <row r="1724" spans="1:8" ht="33">
      <c r="A1724" s="160">
        <v>7</v>
      </c>
      <c r="B1724" s="160" t="s">
        <v>1765</v>
      </c>
      <c r="C1724" s="157" t="s">
        <v>0</v>
      </c>
      <c r="D1724" s="159">
        <v>0.1</v>
      </c>
      <c r="E1724" s="159">
        <v>648.04</v>
      </c>
      <c r="F1724" s="159">
        <v>64.8</v>
      </c>
      <c r="G1724" s="160" t="s">
        <v>2</v>
      </c>
      <c r="H1724" s="34" t="s">
        <v>925</v>
      </c>
    </row>
    <row r="1725" spans="1:8" ht="33">
      <c r="A1725" s="160">
        <v>8</v>
      </c>
      <c r="B1725" s="160" t="s">
        <v>1767</v>
      </c>
      <c r="C1725" s="157" t="s">
        <v>14</v>
      </c>
      <c r="D1725" s="159">
        <v>1</v>
      </c>
      <c r="E1725" s="159">
        <v>231.4</v>
      </c>
      <c r="F1725" s="159">
        <v>231.4</v>
      </c>
      <c r="G1725" s="160" t="s">
        <v>2</v>
      </c>
      <c r="H1725" s="34" t="s">
        <v>925</v>
      </c>
    </row>
    <row r="1726" spans="1:8" ht="16.5">
      <c r="A1726" s="160">
        <v>9</v>
      </c>
      <c r="B1726" s="160" t="s">
        <v>931</v>
      </c>
      <c r="C1726" s="157" t="s">
        <v>14</v>
      </c>
      <c r="D1726" s="159">
        <v>1</v>
      </c>
      <c r="E1726" s="159">
        <v>151.41</v>
      </c>
      <c r="F1726" s="159">
        <v>151.41</v>
      </c>
      <c r="G1726" s="160" t="s">
        <v>2</v>
      </c>
    </row>
    <row r="1727" spans="1:8" ht="33">
      <c r="A1727" s="160"/>
      <c r="B1727" s="160" t="s">
        <v>933</v>
      </c>
      <c r="C1727" s="157" t="s">
        <v>3</v>
      </c>
      <c r="D1727" s="159">
        <v>1</v>
      </c>
      <c r="E1727" s="159"/>
      <c r="F1727" s="159">
        <v>5198.5099999999993</v>
      </c>
      <c r="G1727" s="160"/>
      <c r="H1727" s="34" t="s">
        <v>925</v>
      </c>
    </row>
    <row r="1728" spans="1:8" ht="33">
      <c r="A1728" s="160"/>
      <c r="B1728" s="160" t="s">
        <v>934</v>
      </c>
      <c r="C1728" s="157" t="s">
        <v>3</v>
      </c>
      <c r="D1728" s="159"/>
      <c r="E1728" s="159"/>
      <c r="F1728" s="159">
        <v>5198.51</v>
      </c>
      <c r="G1728" s="160"/>
      <c r="H1728" s="34" t="s">
        <v>925</v>
      </c>
    </row>
    <row r="1729" spans="1:8" ht="33">
      <c r="A1729" s="160"/>
      <c r="B1729" s="160"/>
      <c r="C1729" s="157"/>
      <c r="D1729" s="159"/>
      <c r="E1729" s="159"/>
      <c r="F1729" s="159"/>
      <c r="G1729" s="160"/>
      <c r="H1729" s="34" t="s">
        <v>925</v>
      </c>
    </row>
    <row r="1730" spans="1:8" ht="33">
      <c r="A1730" s="160" t="s">
        <v>1965</v>
      </c>
      <c r="B1730" s="160" t="s">
        <v>1770</v>
      </c>
      <c r="C1730" s="157" t="s">
        <v>17</v>
      </c>
      <c r="D1730" s="159">
        <v>2.4</v>
      </c>
      <c r="E1730" s="159">
        <v>3425.4</v>
      </c>
      <c r="F1730" s="159"/>
      <c r="G1730" s="160" t="s">
        <v>2</v>
      </c>
      <c r="H1730" s="34" t="s">
        <v>925</v>
      </c>
    </row>
    <row r="1731" spans="1:8" ht="33">
      <c r="A1731" s="160">
        <v>1</v>
      </c>
      <c r="B1731" s="160" t="s">
        <v>1772</v>
      </c>
      <c r="C1731" s="157" t="s">
        <v>1497</v>
      </c>
      <c r="D1731" s="159">
        <v>1</v>
      </c>
      <c r="E1731" s="159">
        <v>5783.16</v>
      </c>
      <c r="F1731" s="159">
        <v>5783.16</v>
      </c>
      <c r="G1731" s="160" t="s">
        <v>5426</v>
      </c>
      <c r="H1731" s="34" t="s">
        <v>925</v>
      </c>
    </row>
    <row r="1732" spans="1:8" ht="33">
      <c r="A1732" s="160">
        <v>2</v>
      </c>
      <c r="B1732" s="160" t="s">
        <v>4962</v>
      </c>
      <c r="C1732" s="157" t="s">
        <v>927</v>
      </c>
      <c r="D1732" s="159">
        <v>0.56999999999999995</v>
      </c>
      <c r="E1732" s="159">
        <v>379.5</v>
      </c>
      <c r="F1732" s="159">
        <v>216.32</v>
      </c>
      <c r="G1732" s="160" t="s">
        <v>5453</v>
      </c>
      <c r="H1732" s="34" t="s">
        <v>925</v>
      </c>
    </row>
    <row r="1733" spans="1:8" ht="16.5">
      <c r="A1733" s="160">
        <v>3</v>
      </c>
      <c r="B1733" s="160" t="s">
        <v>4871</v>
      </c>
      <c r="C1733" s="157" t="s">
        <v>927</v>
      </c>
      <c r="D1733" s="159">
        <v>1.1399999999999999</v>
      </c>
      <c r="E1733" s="159">
        <v>260.08999999999997</v>
      </c>
      <c r="F1733" s="159">
        <v>296.5</v>
      </c>
      <c r="G1733" s="160" t="s">
        <v>5435</v>
      </c>
    </row>
    <row r="1734" spans="1:8" ht="33">
      <c r="A1734" s="160">
        <v>4</v>
      </c>
      <c r="B1734" s="160" t="s">
        <v>1774</v>
      </c>
      <c r="C1734" s="157" t="s">
        <v>927</v>
      </c>
      <c r="D1734" s="159">
        <v>1</v>
      </c>
      <c r="E1734" s="159">
        <v>1314.35</v>
      </c>
      <c r="F1734" s="159">
        <v>1314.35</v>
      </c>
      <c r="G1734" s="160" t="s">
        <v>2</v>
      </c>
      <c r="H1734" s="34" t="s">
        <v>925</v>
      </c>
    </row>
    <row r="1735" spans="1:8" ht="33">
      <c r="A1735" s="160">
        <v>5</v>
      </c>
      <c r="B1735" s="160" t="s">
        <v>4964</v>
      </c>
      <c r="C1735" s="157" t="s">
        <v>927</v>
      </c>
      <c r="D1735" s="159">
        <v>1</v>
      </c>
      <c r="E1735" s="159">
        <v>371.17</v>
      </c>
      <c r="F1735" s="159">
        <v>371.17</v>
      </c>
      <c r="G1735" s="160" t="s">
        <v>5454</v>
      </c>
      <c r="H1735" s="34" t="s">
        <v>925</v>
      </c>
    </row>
    <row r="1736" spans="1:8" ht="33">
      <c r="A1736" s="160">
        <v>6</v>
      </c>
      <c r="B1736" s="160" t="s">
        <v>931</v>
      </c>
      <c r="C1736" s="157" t="s">
        <v>14</v>
      </c>
      <c r="D1736" s="159">
        <v>1</v>
      </c>
      <c r="E1736" s="159">
        <v>239.45</v>
      </c>
      <c r="F1736" s="159">
        <v>239.45</v>
      </c>
      <c r="G1736" s="160" t="s">
        <v>2</v>
      </c>
      <c r="H1736" s="34" t="s">
        <v>925</v>
      </c>
    </row>
    <row r="1737" spans="1:8" ht="33">
      <c r="A1737" s="160"/>
      <c r="B1737" s="160" t="s">
        <v>933</v>
      </c>
      <c r="C1737" s="157" t="s">
        <v>17</v>
      </c>
      <c r="D1737" s="159">
        <v>2.4</v>
      </c>
      <c r="E1737" s="159"/>
      <c r="F1737" s="159">
        <v>8220.9500000000007</v>
      </c>
      <c r="G1737" s="160"/>
      <c r="H1737" s="34" t="s">
        <v>925</v>
      </c>
    </row>
    <row r="1738" spans="1:8" ht="33">
      <c r="A1738" s="160"/>
      <c r="B1738" s="160" t="s">
        <v>934</v>
      </c>
      <c r="C1738" s="157" t="s">
        <v>17</v>
      </c>
      <c r="D1738" s="159"/>
      <c r="E1738" s="159"/>
      <c r="F1738" s="159">
        <v>3425.4</v>
      </c>
      <c r="G1738" s="160"/>
      <c r="H1738" s="34" t="s">
        <v>925</v>
      </c>
    </row>
    <row r="1739" spans="1:8" ht="33">
      <c r="A1739" s="160"/>
      <c r="B1739" s="160"/>
      <c r="C1739" s="157"/>
      <c r="D1739" s="159"/>
      <c r="E1739" s="159"/>
      <c r="F1739" s="159"/>
      <c r="G1739" s="160"/>
      <c r="H1739" s="34" t="s">
        <v>925</v>
      </c>
    </row>
    <row r="1740" spans="1:8" ht="28.5">
      <c r="A1740" s="160" t="s">
        <v>1972</v>
      </c>
      <c r="B1740" s="160" t="s">
        <v>1777</v>
      </c>
      <c r="C1740" s="157" t="s">
        <v>17</v>
      </c>
      <c r="D1740" s="159">
        <v>2.4</v>
      </c>
      <c r="E1740" s="159">
        <v>4459.07</v>
      </c>
      <c r="F1740" s="159"/>
      <c r="G1740" s="160" t="s">
        <v>2</v>
      </c>
    </row>
    <row r="1741" spans="1:8" ht="33">
      <c r="A1741" s="160">
        <v>1</v>
      </c>
      <c r="B1741" s="160" t="s">
        <v>1779</v>
      </c>
      <c r="C1741" s="157" t="s">
        <v>1497</v>
      </c>
      <c r="D1741" s="159">
        <v>1</v>
      </c>
      <c r="E1741" s="159">
        <v>8043.48</v>
      </c>
      <c r="F1741" s="159">
        <v>8043.48</v>
      </c>
      <c r="G1741" s="160" t="s">
        <v>5426</v>
      </c>
      <c r="H1741" s="34" t="s">
        <v>925</v>
      </c>
    </row>
    <row r="1742" spans="1:8" ht="33">
      <c r="A1742" s="160">
        <v>2</v>
      </c>
      <c r="B1742" s="160" t="s">
        <v>4962</v>
      </c>
      <c r="C1742" s="157" t="s">
        <v>927</v>
      </c>
      <c r="D1742" s="159">
        <v>0.56999999999999995</v>
      </c>
      <c r="E1742" s="159">
        <v>379.5</v>
      </c>
      <c r="F1742" s="159">
        <v>216.32</v>
      </c>
      <c r="G1742" s="160" t="s">
        <v>5453</v>
      </c>
      <c r="H1742" s="34" t="s">
        <v>925</v>
      </c>
    </row>
    <row r="1743" spans="1:8" ht="33">
      <c r="A1743" s="160">
        <v>3</v>
      </c>
      <c r="B1743" s="160" t="s">
        <v>4871</v>
      </c>
      <c r="C1743" s="157" t="s">
        <v>927</v>
      </c>
      <c r="D1743" s="159">
        <v>1.71</v>
      </c>
      <c r="E1743" s="159">
        <v>260.08999999999997</v>
      </c>
      <c r="F1743" s="159">
        <v>444.75</v>
      </c>
      <c r="G1743" s="160" t="s">
        <v>5435</v>
      </c>
      <c r="H1743" s="34" t="s">
        <v>925</v>
      </c>
    </row>
    <row r="1744" spans="1:8" ht="33">
      <c r="A1744" s="160">
        <v>4</v>
      </c>
      <c r="B1744" s="160" t="s">
        <v>1774</v>
      </c>
      <c r="C1744" s="157" t="s">
        <v>927</v>
      </c>
      <c r="D1744" s="159">
        <v>1</v>
      </c>
      <c r="E1744" s="159">
        <v>1314.35</v>
      </c>
      <c r="F1744" s="159">
        <v>1314.35</v>
      </c>
      <c r="G1744" s="160" t="s">
        <v>2</v>
      </c>
      <c r="H1744" s="34" t="s">
        <v>925</v>
      </c>
    </row>
    <row r="1745" spans="1:8" ht="33">
      <c r="A1745" s="160">
        <v>5</v>
      </c>
      <c r="B1745" s="160" t="s">
        <v>4964</v>
      </c>
      <c r="C1745" s="157" t="s">
        <v>927</v>
      </c>
      <c r="D1745" s="159">
        <v>1</v>
      </c>
      <c r="E1745" s="159">
        <v>371.17</v>
      </c>
      <c r="F1745" s="159">
        <v>371.17</v>
      </c>
      <c r="G1745" s="160" t="s">
        <v>5454</v>
      </c>
      <c r="H1745" s="34" t="s">
        <v>925</v>
      </c>
    </row>
    <row r="1746" spans="1:8" ht="33">
      <c r="A1746" s="160">
        <v>6</v>
      </c>
      <c r="B1746" s="160" t="s">
        <v>931</v>
      </c>
      <c r="C1746" s="157" t="s">
        <v>14</v>
      </c>
      <c r="D1746" s="159">
        <v>1</v>
      </c>
      <c r="E1746" s="159">
        <v>311.7</v>
      </c>
      <c r="F1746" s="159">
        <v>311.7</v>
      </c>
      <c r="G1746" s="160" t="s">
        <v>2</v>
      </c>
      <c r="H1746" s="34" t="s">
        <v>925</v>
      </c>
    </row>
    <row r="1747" spans="1:8" ht="16.5">
      <c r="A1747" s="160"/>
      <c r="B1747" s="160" t="s">
        <v>933</v>
      </c>
      <c r="C1747" s="157" t="s">
        <v>17</v>
      </c>
      <c r="D1747" s="159">
        <v>2.4</v>
      </c>
      <c r="E1747" s="159"/>
      <c r="F1747" s="159">
        <v>10701.77</v>
      </c>
      <c r="G1747" s="160"/>
    </row>
    <row r="1748" spans="1:8" ht="33">
      <c r="A1748" s="160"/>
      <c r="B1748" s="160" t="s">
        <v>934</v>
      </c>
      <c r="C1748" s="157" t="s">
        <v>17</v>
      </c>
      <c r="D1748" s="159"/>
      <c r="E1748" s="159"/>
      <c r="F1748" s="159">
        <v>4459.07</v>
      </c>
      <c r="G1748" s="160"/>
      <c r="H1748" s="34" t="s">
        <v>925</v>
      </c>
    </row>
    <row r="1749" spans="1:8" ht="33">
      <c r="A1749" s="160"/>
      <c r="B1749" s="160"/>
      <c r="C1749" s="157"/>
      <c r="D1749" s="159"/>
      <c r="E1749" s="159"/>
      <c r="F1749" s="159"/>
      <c r="G1749" s="160"/>
      <c r="H1749" s="34" t="s">
        <v>925</v>
      </c>
    </row>
    <row r="1750" spans="1:8" ht="33">
      <c r="A1750" s="160" t="s">
        <v>1979</v>
      </c>
      <c r="B1750" s="160" t="s">
        <v>1782</v>
      </c>
      <c r="C1750" s="157" t="s">
        <v>17</v>
      </c>
      <c r="D1750" s="159">
        <v>2.4</v>
      </c>
      <c r="E1750" s="159">
        <v>6178.39</v>
      </c>
      <c r="F1750" s="159"/>
      <c r="G1750" s="160" t="s">
        <v>2</v>
      </c>
      <c r="H1750" s="34" t="s">
        <v>925</v>
      </c>
    </row>
    <row r="1751" spans="1:8" ht="33">
      <c r="A1751" s="160">
        <v>1</v>
      </c>
      <c r="B1751" s="160" t="s">
        <v>1784</v>
      </c>
      <c r="C1751" s="157" t="s">
        <v>1497</v>
      </c>
      <c r="D1751" s="159">
        <v>1</v>
      </c>
      <c r="E1751" s="159">
        <v>11782.91</v>
      </c>
      <c r="F1751" s="159">
        <v>11782.91</v>
      </c>
      <c r="G1751" s="160" t="s">
        <v>5426</v>
      </c>
      <c r="H1751" s="34" t="s">
        <v>925</v>
      </c>
    </row>
    <row r="1752" spans="1:8" ht="33">
      <c r="A1752" s="160">
        <v>2</v>
      </c>
      <c r="B1752" s="160" t="s">
        <v>4962</v>
      </c>
      <c r="C1752" s="157" t="s">
        <v>927</v>
      </c>
      <c r="D1752" s="159">
        <v>0.8</v>
      </c>
      <c r="E1752" s="159">
        <v>379.5</v>
      </c>
      <c r="F1752" s="159">
        <v>303.60000000000002</v>
      </c>
      <c r="G1752" s="160" t="s">
        <v>5453</v>
      </c>
      <c r="H1752" s="34" t="s">
        <v>925</v>
      </c>
    </row>
    <row r="1753" spans="1:8" ht="33">
      <c r="A1753" s="160">
        <v>3</v>
      </c>
      <c r="B1753" s="160" t="s">
        <v>4871</v>
      </c>
      <c r="C1753" s="157" t="s">
        <v>927</v>
      </c>
      <c r="D1753" s="159">
        <v>2.4</v>
      </c>
      <c r="E1753" s="159">
        <v>260.08999999999997</v>
      </c>
      <c r="F1753" s="159">
        <v>624.22</v>
      </c>
      <c r="G1753" s="160" t="s">
        <v>5435</v>
      </c>
      <c r="H1753" s="34" t="s">
        <v>925</v>
      </c>
    </row>
    <row r="1754" spans="1:8" ht="16.5">
      <c r="A1754" s="160">
        <v>4</v>
      </c>
      <c r="B1754" s="160" t="s">
        <v>1774</v>
      </c>
      <c r="C1754" s="157" t="s">
        <v>927</v>
      </c>
      <c r="D1754" s="159">
        <v>1</v>
      </c>
      <c r="E1754" s="159">
        <v>1314.35</v>
      </c>
      <c r="F1754" s="159">
        <v>1314.35</v>
      </c>
      <c r="G1754" s="160" t="s">
        <v>2</v>
      </c>
    </row>
    <row r="1755" spans="1:8" ht="33">
      <c r="A1755" s="160">
        <v>5</v>
      </c>
      <c r="B1755" s="160" t="s">
        <v>4964</v>
      </c>
      <c r="C1755" s="157" t="s">
        <v>927</v>
      </c>
      <c r="D1755" s="159">
        <v>1</v>
      </c>
      <c r="E1755" s="159">
        <v>371.17</v>
      </c>
      <c r="F1755" s="159">
        <v>371.17</v>
      </c>
      <c r="G1755" s="160" t="s">
        <v>5454</v>
      </c>
      <c r="H1755" s="34" t="s">
        <v>925</v>
      </c>
    </row>
    <row r="1756" spans="1:8" ht="33">
      <c r="A1756" s="160">
        <v>6</v>
      </c>
      <c r="B1756" s="160" t="s">
        <v>931</v>
      </c>
      <c r="C1756" s="157" t="s">
        <v>14</v>
      </c>
      <c r="D1756" s="159">
        <v>1</v>
      </c>
      <c r="E1756" s="159">
        <v>431.89</v>
      </c>
      <c r="F1756" s="159">
        <v>431.89</v>
      </c>
      <c r="G1756" s="160" t="s">
        <v>2</v>
      </c>
      <c r="H1756" s="34" t="s">
        <v>925</v>
      </c>
    </row>
    <row r="1757" spans="1:8" ht="33">
      <c r="A1757" s="160"/>
      <c r="B1757" s="160" t="s">
        <v>933</v>
      </c>
      <c r="C1757" s="157" t="s">
        <v>17</v>
      </c>
      <c r="D1757" s="159">
        <v>2.4</v>
      </c>
      <c r="E1757" s="159"/>
      <c r="F1757" s="159">
        <v>14828.14</v>
      </c>
      <c r="G1757" s="160"/>
      <c r="H1757" s="34" t="s">
        <v>925</v>
      </c>
    </row>
    <row r="1758" spans="1:8" ht="33">
      <c r="A1758" s="160"/>
      <c r="B1758" s="160" t="s">
        <v>934</v>
      </c>
      <c r="C1758" s="157" t="s">
        <v>17</v>
      </c>
      <c r="D1758" s="159"/>
      <c r="E1758" s="159"/>
      <c r="F1758" s="159">
        <v>6178.39</v>
      </c>
      <c r="G1758" s="160"/>
      <c r="H1758" s="34" t="s">
        <v>925</v>
      </c>
    </row>
    <row r="1759" spans="1:8" ht="33">
      <c r="A1759" s="160"/>
      <c r="B1759" s="160"/>
      <c r="C1759" s="157"/>
      <c r="D1759" s="159"/>
      <c r="E1759" s="159"/>
      <c r="F1759" s="159"/>
      <c r="G1759" s="160"/>
      <c r="H1759" s="34" t="s">
        <v>925</v>
      </c>
    </row>
    <row r="1760" spans="1:8" ht="33">
      <c r="A1760" s="160" t="s">
        <v>1986</v>
      </c>
      <c r="B1760" s="160" t="s">
        <v>1787</v>
      </c>
      <c r="C1760" s="157" t="s">
        <v>17</v>
      </c>
      <c r="D1760" s="159">
        <v>2.4</v>
      </c>
      <c r="E1760" s="159">
        <v>8051.6</v>
      </c>
      <c r="F1760" s="159"/>
      <c r="G1760" s="160" t="s">
        <v>2</v>
      </c>
      <c r="H1760" s="34" t="s">
        <v>925</v>
      </c>
    </row>
    <row r="1761" spans="1:8" ht="28.5">
      <c r="A1761" s="160">
        <v>1</v>
      </c>
      <c r="B1761" s="160" t="s">
        <v>1789</v>
      </c>
      <c r="C1761" s="157" t="s">
        <v>1497</v>
      </c>
      <c r="D1761" s="159">
        <v>1</v>
      </c>
      <c r="E1761" s="159">
        <v>17142.14</v>
      </c>
      <c r="F1761" s="159">
        <v>17142.14</v>
      </c>
      <c r="G1761" s="160" t="s">
        <v>5426</v>
      </c>
    </row>
    <row r="1762" spans="1:8" ht="33">
      <c r="A1762" s="160">
        <v>2</v>
      </c>
      <c r="B1762" s="160" t="s">
        <v>4962</v>
      </c>
      <c r="C1762" s="157" t="s">
        <v>927</v>
      </c>
      <c r="D1762" s="159">
        <v>0.53</v>
      </c>
      <c r="E1762" s="159">
        <v>379.5</v>
      </c>
      <c r="F1762" s="159">
        <v>201.14</v>
      </c>
      <c r="G1762" s="160" t="s">
        <v>5453</v>
      </c>
      <c r="H1762" s="34" t="s">
        <v>925</v>
      </c>
    </row>
    <row r="1763" spans="1:8" ht="33">
      <c r="A1763" s="160">
        <v>3</v>
      </c>
      <c r="B1763" s="160" t="s">
        <v>4871</v>
      </c>
      <c r="C1763" s="157" t="s">
        <v>927</v>
      </c>
      <c r="D1763" s="159">
        <v>2.12</v>
      </c>
      <c r="E1763" s="159">
        <v>260.08999999999997</v>
      </c>
      <c r="F1763" s="159">
        <v>551.39</v>
      </c>
      <c r="G1763" s="160" t="s">
        <v>5435</v>
      </c>
      <c r="H1763" s="34" t="s">
        <v>925</v>
      </c>
    </row>
    <row r="1764" spans="1:8" ht="33">
      <c r="A1764" s="160">
        <v>4</v>
      </c>
      <c r="B1764" s="160" t="s">
        <v>1441</v>
      </c>
      <c r="C1764" s="157" t="s">
        <v>927</v>
      </c>
      <c r="D1764" s="159">
        <v>0.53</v>
      </c>
      <c r="E1764" s="159">
        <v>1263.45</v>
      </c>
      <c r="F1764" s="159">
        <v>669.63</v>
      </c>
      <c r="G1764" s="160" t="s">
        <v>2</v>
      </c>
      <c r="H1764" s="34" t="s">
        <v>925</v>
      </c>
    </row>
    <row r="1765" spans="1:8" ht="33">
      <c r="A1765" s="160">
        <v>5</v>
      </c>
      <c r="B1765" s="160" t="s">
        <v>1443</v>
      </c>
      <c r="C1765" s="157" t="s">
        <v>927</v>
      </c>
      <c r="D1765" s="159">
        <v>0.53</v>
      </c>
      <c r="E1765" s="159">
        <v>371.17</v>
      </c>
      <c r="F1765" s="159">
        <v>196.72</v>
      </c>
      <c r="G1765" s="160" t="s">
        <v>2</v>
      </c>
      <c r="H1765" s="34" t="s">
        <v>925</v>
      </c>
    </row>
    <row r="1766" spans="1:8" ht="33">
      <c r="A1766" s="160">
        <v>6</v>
      </c>
      <c r="B1766" s="160" t="s">
        <v>931</v>
      </c>
      <c r="C1766" s="157" t="s">
        <v>14</v>
      </c>
      <c r="D1766" s="159">
        <v>1</v>
      </c>
      <c r="E1766" s="159">
        <v>562.83000000000004</v>
      </c>
      <c r="F1766" s="159">
        <v>562.83000000000004</v>
      </c>
      <c r="G1766" s="160" t="s">
        <v>2</v>
      </c>
      <c r="H1766" s="34" t="s">
        <v>925</v>
      </c>
    </row>
    <row r="1767" spans="1:8" ht="33">
      <c r="A1767" s="160"/>
      <c r="B1767" s="160" t="s">
        <v>933</v>
      </c>
      <c r="C1767" s="157" t="s">
        <v>17</v>
      </c>
      <c r="D1767" s="159">
        <v>2.4</v>
      </c>
      <c r="E1767" s="159"/>
      <c r="F1767" s="159">
        <v>19323.850000000002</v>
      </c>
      <c r="G1767" s="160"/>
      <c r="H1767" s="34" t="s">
        <v>925</v>
      </c>
    </row>
    <row r="1768" spans="1:8" ht="16.5">
      <c r="A1768" s="160"/>
      <c r="B1768" s="160" t="s">
        <v>934</v>
      </c>
      <c r="C1768" s="157" t="s">
        <v>17</v>
      </c>
      <c r="D1768" s="159"/>
      <c r="E1768" s="159"/>
      <c r="F1768" s="159">
        <v>8051.6</v>
      </c>
      <c r="G1768" s="160"/>
    </row>
    <row r="1769" spans="1:8" ht="33">
      <c r="A1769" s="160"/>
      <c r="B1769" s="160"/>
      <c r="C1769" s="157"/>
      <c r="D1769" s="159"/>
      <c r="E1769" s="159"/>
      <c r="F1769" s="159"/>
      <c r="G1769" s="160"/>
      <c r="H1769" s="34" t="s">
        <v>925</v>
      </c>
    </row>
    <row r="1770" spans="1:8" ht="33">
      <c r="A1770" s="160" t="s">
        <v>1993</v>
      </c>
      <c r="B1770" s="160" t="s">
        <v>1792</v>
      </c>
      <c r="C1770" s="157" t="s">
        <v>17</v>
      </c>
      <c r="D1770" s="159">
        <v>2.4</v>
      </c>
      <c r="E1770" s="159">
        <v>9975.0300000000007</v>
      </c>
      <c r="F1770" s="159"/>
      <c r="G1770" s="160" t="s">
        <v>2</v>
      </c>
      <c r="H1770" s="34" t="s">
        <v>925</v>
      </c>
    </row>
    <row r="1771" spans="1:8" ht="33">
      <c r="A1771" s="160">
        <v>1</v>
      </c>
      <c r="B1771" s="160" t="s">
        <v>1794</v>
      </c>
      <c r="C1771" s="157" t="s">
        <v>1497</v>
      </c>
      <c r="D1771" s="159">
        <v>1</v>
      </c>
      <c r="E1771" s="159">
        <v>21196.28</v>
      </c>
      <c r="F1771" s="159">
        <v>21196.28</v>
      </c>
      <c r="G1771" s="160" t="s">
        <v>5426</v>
      </c>
      <c r="H1771" s="34" t="s">
        <v>925</v>
      </c>
    </row>
    <row r="1772" spans="1:8" ht="33">
      <c r="A1772" s="160">
        <v>2</v>
      </c>
      <c r="B1772" s="160" t="s">
        <v>4962</v>
      </c>
      <c r="C1772" s="157" t="s">
        <v>927</v>
      </c>
      <c r="D1772" s="159">
        <v>0.67</v>
      </c>
      <c r="E1772" s="159">
        <v>379.5</v>
      </c>
      <c r="F1772" s="159">
        <v>254.27</v>
      </c>
      <c r="G1772" s="160" t="s">
        <v>5453</v>
      </c>
      <c r="H1772" s="34" t="s">
        <v>925</v>
      </c>
    </row>
    <row r="1773" spans="1:8" ht="33">
      <c r="A1773" s="160">
        <v>3</v>
      </c>
      <c r="B1773" s="160" t="s">
        <v>4871</v>
      </c>
      <c r="C1773" s="157" t="s">
        <v>927</v>
      </c>
      <c r="D1773" s="159">
        <v>2.68</v>
      </c>
      <c r="E1773" s="159">
        <v>260.08999999999997</v>
      </c>
      <c r="F1773" s="159">
        <v>697.04</v>
      </c>
      <c r="G1773" s="160" t="s">
        <v>5435</v>
      </c>
      <c r="H1773" s="34" t="s">
        <v>925</v>
      </c>
    </row>
    <row r="1774" spans="1:8" ht="33">
      <c r="A1774" s="160">
        <v>4</v>
      </c>
      <c r="B1774" s="160" t="s">
        <v>1441</v>
      </c>
      <c r="C1774" s="157" t="s">
        <v>927</v>
      </c>
      <c r="D1774" s="159">
        <v>0.67</v>
      </c>
      <c r="E1774" s="159">
        <v>1263.45</v>
      </c>
      <c r="F1774" s="159">
        <v>846.51</v>
      </c>
      <c r="G1774" s="160" t="s">
        <v>2</v>
      </c>
      <c r="H1774" s="34" t="s">
        <v>925</v>
      </c>
    </row>
    <row r="1775" spans="1:8" ht="16.5">
      <c r="A1775" s="160">
        <v>5</v>
      </c>
      <c r="B1775" s="160" t="s">
        <v>1443</v>
      </c>
      <c r="C1775" s="157" t="s">
        <v>927</v>
      </c>
      <c r="D1775" s="159">
        <v>0.67</v>
      </c>
      <c r="E1775" s="159">
        <v>371.17</v>
      </c>
      <c r="F1775" s="159">
        <v>248.68</v>
      </c>
      <c r="G1775" s="160" t="s">
        <v>2</v>
      </c>
    </row>
    <row r="1776" spans="1:8" ht="33">
      <c r="A1776" s="160">
        <v>6</v>
      </c>
      <c r="B1776" s="160" t="s">
        <v>931</v>
      </c>
      <c r="C1776" s="157" t="s">
        <v>14</v>
      </c>
      <c r="D1776" s="159">
        <v>1</v>
      </c>
      <c r="E1776" s="159">
        <v>697.28</v>
      </c>
      <c r="F1776" s="159">
        <v>697.28</v>
      </c>
      <c r="G1776" s="160" t="s">
        <v>2</v>
      </c>
      <c r="H1776" s="34" t="s">
        <v>925</v>
      </c>
    </row>
    <row r="1777" spans="1:8" ht="33">
      <c r="A1777" s="160"/>
      <c r="B1777" s="160" t="s">
        <v>933</v>
      </c>
      <c r="C1777" s="157" t="s">
        <v>17</v>
      </c>
      <c r="D1777" s="159">
        <v>2.4</v>
      </c>
      <c r="E1777" s="159"/>
      <c r="F1777" s="159">
        <v>23940.059999999998</v>
      </c>
      <c r="G1777" s="160"/>
      <c r="H1777" s="34" t="s">
        <v>925</v>
      </c>
    </row>
    <row r="1778" spans="1:8" ht="33">
      <c r="A1778" s="160"/>
      <c r="B1778" s="160" t="s">
        <v>934</v>
      </c>
      <c r="C1778" s="157" t="s">
        <v>17</v>
      </c>
      <c r="D1778" s="159"/>
      <c r="E1778" s="159"/>
      <c r="F1778" s="159">
        <v>9975.0300000000007</v>
      </c>
      <c r="G1778" s="160"/>
      <c r="H1778" s="34" t="s">
        <v>925</v>
      </c>
    </row>
    <row r="1779" spans="1:8" ht="33">
      <c r="A1779" s="160"/>
      <c r="B1779" s="160"/>
      <c r="C1779" s="157"/>
      <c r="D1779" s="159"/>
      <c r="E1779" s="159"/>
      <c r="F1779" s="159"/>
      <c r="G1779" s="160"/>
      <c r="H1779" s="34" t="s">
        <v>925</v>
      </c>
    </row>
    <row r="1780" spans="1:8" ht="33">
      <c r="A1780" s="160" t="s">
        <v>2000</v>
      </c>
      <c r="B1780" s="160" t="s">
        <v>1797</v>
      </c>
      <c r="C1780" s="157" t="s">
        <v>17</v>
      </c>
      <c r="D1780" s="159">
        <v>2.4</v>
      </c>
      <c r="E1780" s="159">
        <v>12012.46</v>
      </c>
      <c r="F1780" s="159"/>
      <c r="G1780" s="160" t="s">
        <v>2</v>
      </c>
      <c r="H1780" s="34" t="s">
        <v>925</v>
      </c>
    </row>
    <row r="1781" spans="1:8" ht="33">
      <c r="A1781" s="160">
        <v>1</v>
      </c>
      <c r="B1781" s="160" t="s">
        <v>1799</v>
      </c>
      <c r="C1781" s="157" t="s">
        <v>1497</v>
      </c>
      <c r="D1781" s="159">
        <v>1</v>
      </c>
      <c r="E1781" s="159">
        <v>25546.61</v>
      </c>
      <c r="F1781" s="159">
        <v>25546.61</v>
      </c>
      <c r="G1781" s="160" t="s">
        <v>5426</v>
      </c>
      <c r="H1781" s="34" t="s">
        <v>925</v>
      </c>
    </row>
    <row r="1782" spans="1:8" ht="28.5">
      <c r="A1782" s="160">
        <v>2</v>
      </c>
      <c r="B1782" s="160" t="s">
        <v>4962</v>
      </c>
      <c r="C1782" s="157" t="s">
        <v>927</v>
      </c>
      <c r="D1782" s="159">
        <v>0.8</v>
      </c>
      <c r="E1782" s="159">
        <v>379.5</v>
      </c>
      <c r="F1782" s="159">
        <v>303.60000000000002</v>
      </c>
      <c r="G1782" s="160" t="s">
        <v>5453</v>
      </c>
    </row>
    <row r="1783" spans="1:8" ht="33">
      <c r="A1783" s="160">
        <v>3</v>
      </c>
      <c r="B1783" s="160" t="s">
        <v>4871</v>
      </c>
      <c r="C1783" s="157" t="s">
        <v>927</v>
      </c>
      <c r="D1783" s="159">
        <v>3.2</v>
      </c>
      <c r="E1783" s="159">
        <v>260.08999999999997</v>
      </c>
      <c r="F1783" s="159">
        <v>832.29</v>
      </c>
      <c r="G1783" s="160" t="s">
        <v>5435</v>
      </c>
      <c r="H1783" s="34" t="s">
        <v>925</v>
      </c>
    </row>
    <row r="1784" spans="1:8" ht="33">
      <c r="A1784" s="160">
        <v>4</v>
      </c>
      <c r="B1784" s="160" t="s">
        <v>1441</v>
      </c>
      <c r="C1784" s="157" t="s">
        <v>927</v>
      </c>
      <c r="D1784" s="159">
        <v>0.8</v>
      </c>
      <c r="E1784" s="159">
        <v>1263.45</v>
      </c>
      <c r="F1784" s="159">
        <v>1010.76</v>
      </c>
      <c r="G1784" s="160" t="s">
        <v>2</v>
      </c>
      <c r="H1784" s="34" t="s">
        <v>925</v>
      </c>
    </row>
    <row r="1785" spans="1:8" ht="33">
      <c r="A1785" s="160">
        <v>5</v>
      </c>
      <c r="B1785" s="160" t="s">
        <v>1443</v>
      </c>
      <c r="C1785" s="157" t="s">
        <v>927</v>
      </c>
      <c r="D1785" s="159">
        <v>0.8</v>
      </c>
      <c r="E1785" s="159">
        <v>371.17</v>
      </c>
      <c r="F1785" s="159">
        <v>296.94</v>
      </c>
      <c r="G1785" s="160" t="s">
        <v>2</v>
      </c>
      <c r="H1785" s="34" t="s">
        <v>925</v>
      </c>
    </row>
    <row r="1786" spans="1:8" ht="33">
      <c r="A1786" s="160">
        <v>6</v>
      </c>
      <c r="B1786" s="160" t="s">
        <v>931</v>
      </c>
      <c r="C1786" s="157" t="s">
        <v>14</v>
      </c>
      <c r="D1786" s="159">
        <v>1</v>
      </c>
      <c r="E1786" s="159">
        <v>839.71</v>
      </c>
      <c r="F1786" s="159">
        <v>839.71</v>
      </c>
      <c r="G1786" s="160" t="s">
        <v>2</v>
      </c>
      <c r="H1786" s="34" t="s">
        <v>925</v>
      </c>
    </row>
    <row r="1787" spans="1:8" ht="33">
      <c r="A1787" s="160"/>
      <c r="B1787" s="160" t="s">
        <v>933</v>
      </c>
      <c r="C1787" s="157" t="s">
        <v>17</v>
      </c>
      <c r="D1787" s="159">
        <v>2.4</v>
      </c>
      <c r="E1787" s="159"/>
      <c r="F1787" s="159">
        <v>28829.909999999996</v>
      </c>
      <c r="G1787" s="160"/>
      <c r="H1787" s="34" t="s">
        <v>925</v>
      </c>
    </row>
    <row r="1788" spans="1:8" ht="33">
      <c r="A1788" s="160"/>
      <c r="B1788" s="160" t="s">
        <v>934</v>
      </c>
      <c r="C1788" s="157" t="s">
        <v>17</v>
      </c>
      <c r="D1788" s="159"/>
      <c r="E1788" s="159"/>
      <c r="F1788" s="159">
        <v>12012.46</v>
      </c>
      <c r="G1788" s="160"/>
      <c r="H1788" s="34" t="s">
        <v>925</v>
      </c>
    </row>
    <row r="1789" spans="1:8" ht="33">
      <c r="A1789" s="160"/>
      <c r="B1789" s="160"/>
      <c r="C1789" s="157"/>
      <c r="D1789" s="159"/>
      <c r="E1789" s="159"/>
      <c r="F1789" s="159"/>
      <c r="G1789" s="160"/>
      <c r="H1789" s="34" t="s">
        <v>925</v>
      </c>
    </row>
    <row r="1790" spans="1:8" ht="33">
      <c r="A1790" s="160" t="s">
        <v>2007</v>
      </c>
      <c r="B1790" s="160" t="s">
        <v>1802</v>
      </c>
      <c r="C1790" s="157" t="s">
        <v>17</v>
      </c>
      <c r="D1790" s="159">
        <v>2.4</v>
      </c>
      <c r="E1790" s="159">
        <v>15170.49</v>
      </c>
      <c r="F1790" s="159"/>
      <c r="G1790" s="160" t="s">
        <v>2</v>
      </c>
      <c r="H1790" s="34" t="s">
        <v>925</v>
      </c>
    </row>
    <row r="1791" spans="1:8" ht="28.5">
      <c r="A1791" s="160">
        <v>1</v>
      </c>
      <c r="B1791" s="160" t="s">
        <v>1804</v>
      </c>
      <c r="C1791" s="157" t="s">
        <v>1497</v>
      </c>
      <c r="D1791" s="159">
        <v>1</v>
      </c>
      <c r="E1791" s="159">
        <v>32599.69</v>
      </c>
      <c r="F1791" s="159">
        <v>32599.69</v>
      </c>
      <c r="G1791" s="160" t="s">
        <v>5426</v>
      </c>
    </row>
    <row r="1792" spans="1:8" ht="33">
      <c r="A1792" s="160">
        <v>2</v>
      </c>
      <c r="B1792" s="160" t="s">
        <v>4962</v>
      </c>
      <c r="C1792" s="157" t="s">
        <v>927</v>
      </c>
      <c r="D1792" s="159">
        <v>0.9</v>
      </c>
      <c r="E1792" s="159">
        <v>379.5</v>
      </c>
      <c r="F1792" s="159">
        <v>341.55</v>
      </c>
      <c r="G1792" s="160" t="s">
        <v>5453</v>
      </c>
      <c r="H1792" s="34" t="s">
        <v>925</v>
      </c>
    </row>
    <row r="1793" spans="1:8" ht="33">
      <c r="A1793" s="160">
        <v>3</v>
      </c>
      <c r="B1793" s="160" t="s">
        <v>4871</v>
      </c>
      <c r="C1793" s="157" t="s">
        <v>927</v>
      </c>
      <c r="D1793" s="159">
        <v>3.6</v>
      </c>
      <c r="E1793" s="159">
        <v>260.08999999999997</v>
      </c>
      <c r="F1793" s="159">
        <v>936.32</v>
      </c>
      <c r="G1793" s="160" t="s">
        <v>5435</v>
      </c>
      <c r="H1793" s="34" t="s">
        <v>925</v>
      </c>
    </row>
    <row r="1794" spans="1:8" ht="33">
      <c r="A1794" s="160">
        <v>4</v>
      </c>
      <c r="B1794" s="160" t="s">
        <v>1441</v>
      </c>
      <c r="C1794" s="157" t="s">
        <v>927</v>
      </c>
      <c r="D1794" s="159">
        <v>0.9</v>
      </c>
      <c r="E1794" s="159">
        <v>1263.45</v>
      </c>
      <c r="F1794" s="159">
        <v>1137.1099999999999</v>
      </c>
      <c r="G1794" s="160" t="s">
        <v>2</v>
      </c>
      <c r="H1794" s="34" t="s">
        <v>925</v>
      </c>
    </row>
    <row r="1795" spans="1:8" ht="33">
      <c r="A1795" s="160">
        <v>5</v>
      </c>
      <c r="B1795" s="160" t="s">
        <v>1443</v>
      </c>
      <c r="C1795" s="157" t="s">
        <v>927</v>
      </c>
      <c r="D1795" s="159">
        <v>0.9</v>
      </c>
      <c r="E1795" s="159">
        <v>371.17</v>
      </c>
      <c r="F1795" s="159">
        <v>334.05</v>
      </c>
      <c r="G1795" s="160" t="s">
        <v>2</v>
      </c>
      <c r="H1795" s="34" t="s">
        <v>925</v>
      </c>
    </row>
    <row r="1796" spans="1:8" ht="33">
      <c r="A1796" s="160">
        <v>6</v>
      </c>
      <c r="B1796" s="160" t="s">
        <v>931</v>
      </c>
      <c r="C1796" s="157" t="s">
        <v>14</v>
      </c>
      <c r="D1796" s="159">
        <v>1</v>
      </c>
      <c r="E1796" s="159">
        <v>1060.46</v>
      </c>
      <c r="F1796" s="159">
        <v>1060.46</v>
      </c>
      <c r="G1796" s="160" t="s">
        <v>2</v>
      </c>
      <c r="H1796" s="34" t="s">
        <v>925</v>
      </c>
    </row>
    <row r="1797" spans="1:8" ht="33">
      <c r="A1797" s="160"/>
      <c r="B1797" s="160" t="s">
        <v>933</v>
      </c>
      <c r="C1797" s="157" t="s">
        <v>17</v>
      </c>
      <c r="D1797" s="159">
        <v>2.4</v>
      </c>
      <c r="E1797" s="159"/>
      <c r="F1797" s="159">
        <v>36409.18</v>
      </c>
      <c r="G1797" s="160"/>
      <c r="H1797" s="34" t="s">
        <v>925</v>
      </c>
    </row>
    <row r="1798" spans="1:8" ht="16.5">
      <c r="A1798" s="160"/>
      <c r="B1798" s="160" t="s">
        <v>934</v>
      </c>
      <c r="C1798" s="157" t="s">
        <v>17</v>
      </c>
      <c r="D1798" s="159"/>
      <c r="E1798" s="159"/>
      <c r="F1798" s="159">
        <v>15170.49</v>
      </c>
      <c r="G1798" s="160"/>
    </row>
    <row r="1799" spans="1:8" ht="33">
      <c r="A1799" s="160"/>
      <c r="B1799" s="160"/>
      <c r="C1799" s="157"/>
      <c r="D1799" s="159"/>
      <c r="E1799" s="159"/>
      <c r="F1799" s="159"/>
      <c r="G1799" s="160"/>
      <c r="H1799" s="34" t="s">
        <v>925</v>
      </c>
    </row>
    <row r="1800" spans="1:8" ht="33">
      <c r="A1800" s="160" t="s">
        <v>2014</v>
      </c>
      <c r="B1800" s="160" t="s">
        <v>1807</v>
      </c>
      <c r="C1800" s="157" t="s">
        <v>17</v>
      </c>
      <c r="D1800" s="159">
        <v>2.4</v>
      </c>
      <c r="E1800" s="159">
        <v>18793.3</v>
      </c>
      <c r="F1800" s="159"/>
      <c r="G1800" s="160" t="s">
        <v>2</v>
      </c>
      <c r="H1800" s="34" t="s">
        <v>925</v>
      </c>
    </row>
    <row r="1801" spans="1:8" ht="33">
      <c r="A1801" s="160">
        <v>1</v>
      </c>
      <c r="B1801" s="160" t="s">
        <v>1809</v>
      </c>
      <c r="C1801" s="157" t="s">
        <v>1497</v>
      </c>
      <c r="D1801" s="159">
        <v>1</v>
      </c>
      <c r="E1801" s="159">
        <v>40735.730000000003</v>
      </c>
      <c r="F1801" s="159">
        <v>40735.730000000003</v>
      </c>
      <c r="G1801" s="160" t="s">
        <v>5426</v>
      </c>
      <c r="H1801" s="34" t="s">
        <v>925</v>
      </c>
    </row>
    <row r="1802" spans="1:8" ht="33">
      <c r="A1802" s="160">
        <v>2</v>
      </c>
      <c r="B1802" s="160" t="s">
        <v>4962</v>
      </c>
      <c r="C1802" s="157" t="s">
        <v>927</v>
      </c>
      <c r="D1802" s="159">
        <v>1</v>
      </c>
      <c r="E1802" s="159">
        <v>379.5</v>
      </c>
      <c r="F1802" s="159">
        <v>379.5</v>
      </c>
      <c r="G1802" s="160" t="s">
        <v>5453</v>
      </c>
      <c r="H1802" s="34" t="s">
        <v>925</v>
      </c>
    </row>
    <row r="1803" spans="1:8" ht="33">
      <c r="A1803" s="160">
        <v>3</v>
      </c>
      <c r="B1803" s="160" t="s">
        <v>4871</v>
      </c>
      <c r="C1803" s="157" t="s">
        <v>927</v>
      </c>
      <c r="D1803" s="159">
        <v>4</v>
      </c>
      <c r="E1803" s="159">
        <v>260.08999999999997</v>
      </c>
      <c r="F1803" s="159">
        <v>1040.3599999999999</v>
      </c>
      <c r="G1803" s="160" t="s">
        <v>5435</v>
      </c>
      <c r="H1803" s="34" t="s">
        <v>925</v>
      </c>
    </row>
    <row r="1804" spans="1:8" ht="33">
      <c r="A1804" s="160">
        <v>4</v>
      </c>
      <c r="B1804" s="160" t="s">
        <v>1441</v>
      </c>
      <c r="C1804" s="157" t="s">
        <v>927</v>
      </c>
      <c r="D1804" s="159">
        <v>1</v>
      </c>
      <c r="E1804" s="159">
        <v>1263.45</v>
      </c>
      <c r="F1804" s="159">
        <v>1263.45</v>
      </c>
      <c r="G1804" s="160" t="s">
        <v>2</v>
      </c>
      <c r="H1804" s="34" t="s">
        <v>925</v>
      </c>
    </row>
    <row r="1805" spans="1:8" ht="16.5">
      <c r="A1805" s="160">
        <v>5</v>
      </c>
      <c r="B1805" s="160" t="s">
        <v>1443</v>
      </c>
      <c r="C1805" s="157" t="s">
        <v>927</v>
      </c>
      <c r="D1805" s="159">
        <v>1</v>
      </c>
      <c r="E1805" s="159">
        <v>371.17</v>
      </c>
      <c r="F1805" s="159">
        <v>371.17</v>
      </c>
      <c r="G1805" s="160" t="s">
        <v>2</v>
      </c>
    </row>
    <row r="1806" spans="1:8" ht="33">
      <c r="A1806" s="160">
        <v>6</v>
      </c>
      <c r="B1806" s="160" t="s">
        <v>931</v>
      </c>
      <c r="C1806" s="157" t="s">
        <v>14</v>
      </c>
      <c r="D1806" s="159">
        <v>1</v>
      </c>
      <c r="E1806" s="159">
        <v>1313.71</v>
      </c>
      <c r="F1806" s="159">
        <v>1313.71</v>
      </c>
      <c r="G1806" s="160" t="s">
        <v>2</v>
      </c>
      <c r="H1806" s="34" t="s">
        <v>925</v>
      </c>
    </row>
    <row r="1807" spans="1:8" ht="33">
      <c r="A1807" s="160"/>
      <c r="B1807" s="160" t="s">
        <v>933</v>
      </c>
      <c r="C1807" s="157" t="s">
        <v>17</v>
      </c>
      <c r="D1807" s="159">
        <v>2.4</v>
      </c>
      <c r="E1807" s="159"/>
      <c r="F1807" s="159">
        <v>45103.92</v>
      </c>
      <c r="G1807" s="160"/>
      <c r="H1807" s="34" t="s">
        <v>925</v>
      </c>
    </row>
    <row r="1808" spans="1:8" ht="33">
      <c r="A1808" s="160"/>
      <c r="B1808" s="160" t="s">
        <v>934</v>
      </c>
      <c r="C1808" s="157" t="s">
        <v>17</v>
      </c>
      <c r="D1808" s="159"/>
      <c r="E1808" s="159"/>
      <c r="F1808" s="159">
        <v>18793.3</v>
      </c>
      <c r="G1808" s="160"/>
      <c r="H1808" s="34" t="s">
        <v>925</v>
      </c>
    </row>
    <row r="1809" spans="1:8" ht="33">
      <c r="A1809" s="160"/>
      <c r="B1809" s="160"/>
      <c r="C1809" s="157"/>
      <c r="D1809" s="159"/>
      <c r="E1809" s="159"/>
      <c r="F1809" s="159"/>
      <c r="G1809" s="160"/>
      <c r="H1809" s="34" t="s">
        <v>925</v>
      </c>
    </row>
    <row r="1810" spans="1:8" ht="33">
      <c r="A1810" s="160" t="s">
        <v>2021</v>
      </c>
      <c r="B1810" s="160" t="s">
        <v>1812</v>
      </c>
      <c r="C1810" s="157" t="s">
        <v>17</v>
      </c>
      <c r="D1810" s="159">
        <v>2.4</v>
      </c>
      <c r="E1810" s="159">
        <v>22550.81</v>
      </c>
      <c r="F1810" s="159"/>
      <c r="G1810" s="160" t="s">
        <v>2</v>
      </c>
      <c r="H1810" s="34" t="s">
        <v>925</v>
      </c>
    </row>
    <row r="1811" spans="1:8" ht="33">
      <c r="A1811" s="160">
        <v>1</v>
      </c>
      <c r="B1811" s="160" t="s">
        <v>1814</v>
      </c>
      <c r="C1811" s="157" t="s">
        <v>1497</v>
      </c>
      <c r="D1811" s="159">
        <v>1</v>
      </c>
      <c r="E1811" s="159">
        <v>48899.54</v>
      </c>
      <c r="F1811" s="159">
        <v>48899.54</v>
      </c>
      <c r="G1811" s="160" t="s">
        <v>5426</v>
      </c>
      <c r="H1811" s="34" t="s">
        <v>925</v>
      </c>
    </row>
    <row r="1812" spans="1:8" ht="28.5">
      <c r="A1812" s="160">
        <v>2</v>
      </c>
      <c r="B1812" s="160" t="s">
        <v>4962</v>
      </c>
      <c r="C1812" s="157" t="s">
        <v>927</v>
      </c>
      <c r="D1812" s="159">
        <v>1.1000000000000001</v>
      </c>
      <c r="E1812" s="159">
        <v>379.5</v>
      </c>
      <c r="F1812" s="159">
        <v>417.45</v>
      </c>
      <c r="G1812" s="160" t="s">
        <v>5453</v>
      </c>
    </row>
    <row r="1813" spans="1:8" ht="33">
      <c r="A1813" s="160">
        <v>3</v>
      </c>
      <c r="B1813" s="160" t="s">
        <v>4871</v>
      </c>
      <c r="C1813" s="157" t="s">
        <v>927</v>
      </c>
      <c r="D1813" s="159">
        <v>5.5</v>
      </c>
      <c r="E1813" s="159">
        <v>260.08999999999997</v>
      </c>
      <c r="F1813" s="159">
        <v>1430.5</v>
      </c>
      <c r="G1813" s="160" t="s">
        <v>5435</v>
      </c>
      <c r="H1813" s="34" t="s">
        <v>925</v>
      </c>
    </row>
    <row r="1814" spans="1:8" ht="33">
      <c r="A1814" s="160">
        <v>4</v>
      </c>
      <c r="B1814" s="160" t="s">
        <v>1441</v>
      </c>
      <c r="C1814" s="157" t="s">
        <v>927</v>
      </c>
      <c r="D1814" s="159">
        <v>1.1000000000000001</v>
      </c>
      <c r="E1814" s="159">
        <v>1263.45</v>
      </c>
      <c r="F1814" s="159">
        <v>1389.8</v>
      </c>
      <c r="G1814" s="160" t="s">
        <v>2</v>
      </c>
      <c r="H1814" s="34" t="s">
        <v>925</v>
      </c>
    </row>
    <row r="1815" spans="1:8" ht="33">
      <c r="A1815" s="160">
        <v>5</v>
      </c>
      <c r="B1815" s="160" t="s">
        <v>1443</v>
      </c>
      <c r="C1815" s="157" t="s">
        <v>927</v>
      </c>
      <c r="D1815" s="159">
        <v>1.1000000000000001</v>
      </c>
      <c r="E1815" s="159">
        <v>371.17</v>
      </c>
      <c r="F1815" s="159">
        <v>408.29</v>
      </c>
      <c r="G1815" s="160" t="s">
        <v>2</v>
      </c>
      <c r="H1815" s="34" t="s">
        <v>925</v>
      </c>
    </row>
    <row r="1816" spans="1:8" ht="33">
      <c r="A1816" s="160">
        <v>6</v>
      </c>
      <c r="B1816" s="160" t="s">
        <v>931</v>
      </c>
      <c r="C1816" s="157" t="s">
        <v>14</v>
      </c>
      <c r="D1816" s="159">
        <v>1</v>
      </c>
      <c r="E1816" s="159">
        <v>1576.37</v>
      </c>
      <c r="F1816" s="159">
        <v>1576.37</v>
      </c>
      <c r="G1816" s="160" t="s">
        <v>2</v>
      </c>
      <c r="H1816" s="34" t="s">
        <v>925</v>
      </c>
    </row>
    <row r="1817" spans="1:8" ht="33">
      <c r="A1817" s="160"/>
      <c r="B1817" s="160" t="s">
        <v>933</v>
      </c>
      <c r="C1817" s="157" t="s">
        <v>17</v>
      </c>
      <c r="D1817" s="159">
        <v>2.4</v>
      </c>
      <c r="E1817" s="159"/>
      <c r="F1817" s="159">
        <v>54121.950000000004</v>
      </c>
      <c r="G1817" s="160"/>
      <c r="H1817" s="34" t="s">
        <v>925</v>
      </c>
    </row>
    <row r="1818" spans="1:8" ht="33">
      <c r="A1818" s="160"/>
      <c r="B1818" s="160" t="s">
        <v>934</v>
      </c>
      <c r="C1818" s="157" t="s">
        <v>17</v>
      </c>
      <c r="D1818" s="159"/>
      <c r="E1818" s="159"/>
      <c r="F1818" s="159">
        <v>22550.81</v>
      </c>
      <c r="G1818" s="160"/>
      <c r="H1818" s="34" t="s">
        <v>925</v>
      </c>
    </row>
    <row r="1819" spans="1:8" ht="16.5">
      <c r="A1819" s="160"/>
      <c r="B1819" s="160"/>
      <c r="C1819" s="157"/>
      <c r="D1819" s="159"/>
      <c r="E1819" s="159"/>
      <c r="F1819" s="159"/>
      <c r="G1819" s="160"/>
    </row>
    <row r="1820" spans="1:8" ht="33">
      <c r="A1820" s="160" t="s">
        <v>2028</v>
      </c>
      <c r="B1820" s="160" t="s">
        <v>1817</v>
      </c>
      <c r="C1820" s="157" t="s">
        <v>1818</v>
      </c>
      <c r="D1820" s="159">
        <v>1</v>
      </c>
      <c r="E1820" s="159">
        <v>1087.79</v>
      </c>
      <c r="F1820" s="159"/>
      <c r="G1820" s="160" t="s">
        <v>2</v>
      </c>
      <c r="H1820" s="34" t="s">
        <v>925</v>
      </c>
    </row>
    <row r="1821" spans="1:8" ht="33">
      <c r="A1821" s="160">
        <v>1</v>
      </c>
      <c r="B1821" s="160" t="s">
        <v>1820</v>
      </c>
      <c r="C1821" s="157" t="s">
        <v>1818</v>
      </c>
      <c r="D1821" s="159">
        <v>1</v>
      </c>
      <c r="E1821" s="159">
        <v>1014.46</v>
      </c>
      <c r="F1821" s="159">
        <v>1014.46</v>
      </c>
      <c r="G1821" s="160" t="s">
        <v>2</v>
      </c>
      <c r="H1821" s="34" t="s">
        <v>925</v>
      </c>
    </row>
    <row r="1822" spans="1:8" ht="33">
      <c r="A1822" s="160">
        <v>2</v>
      </c>
      <c r="B1822" s="160" t="s">
        <v>1822</v>
      </c>
      <c r="C1822" s="157" t="s">
        <v>1818</v>
      </c>
      <c r="D1822" s="159">
        <v>1</v>
      </c>
      <c r="E1822" s="159">
        <v>41.65</v>
      </c>
      <c r="F1822" s="159">
        <v>41.65</v>
      </c>
      <c r="G1822" s="160" t="s">
        <v>2</v>
      </c>
      <c r="H1822" s="34" t="s">
        <v>925</v>
      </c>
    </row>
    <row r="1823" spans="1:8" ht="33">
      <c r="A1823" s="160">
        <v>3</v>
      </c>
      <c r="B1823" s="160" t="s">
        <v>931</v>
      </c>
      <c r="C1823" s="157" t="s">
        <v>14</v>
      </c>
      <c r="D1823" s="159">
        <v>1</v>
      </c>
      <c r="E1823" s="159">
        <v>31.68</v>
      </c>
      <c r="F1823" s="159">
        <v>31.68</v>
      </c>
      <c r="G1823" s="160" t="s">
        <v>2</v>
      </c>
      <c r="H1823" s="34" t="s">
        <v>925</v>
      </c>
    </row>
    <row r="1824" spans="1:8" ht="33">
      <c r="A1824" s="160"/>
      <c r="B1824" s="160" t="s">
        <v>933</v>
      </c>
      <c r="C1824" s="157" t="s">
        <v>1818</v>
      </c>
      <c r="D1824" s="159">
        <v>1</v>
      </c>
      <c r="E1824" s="159"/>
      <c r="F1824" s="159">
        <v>1087.7900000000002</v>
      </c>
      <c r="G1824" s="160"/>
      <c r="H1824" s="34" t="s">
        <v>925</v>
      </c>
    </row>
    <row r="1825" spans="1:8" ht="33">
      <c r="A1825" s="160"/>
      <c r="B1825" s="160" t="s">
        <v>934</v>
      </c>
      <c r="C1825" s="157" t="s">
        <v>1818</v>
      </c>
      <c r="D1825" s="159"/>
      <c r="E1825" s="159"/>
      <c r="F1825" s="159">
        <v>1087.79</v>
      </c>
      <c r="G1825" s="160"/>
      <c r="H1825" s="34" t="s">
        <v>925</v>
      </c>
    </row>
    <row r="1826" spans="1:8" ht="16.5">
      <c r="A1826" s="160"/>
      <c r="B1826" s="160"/>
      <c r="C1826" s="157"/>
      <c r="D1826" s="159"/>
      <c r="E1826" s="159"/>
      <c r="F1826" s="159"/>
      <c r="G1826" s="160"/>
    </row>
    <row r="1827" spans="1:8" ht="33">
      <c r="A1827" s="160" t="s">
        <v>2031</v>
      </c>
      <c r="B1827" s="160" t="s">
        <v>1825</v>
      </c>
      <c r="C1827" s="157" t="s">
        <v>1818</v>
      </c>
      <c r="D1827" s="159">
        <v>1</v>
      </c>
      <c r="E1827" s="159">
        <v>1214.5999999999999</v>
      </c>
      <c r="F1827" s="159"/>
      <c r="G1827" s="160" t="s">
        <v>2</v>
      </c>
      <c r="H1827" s="34" t="s">
        <v>925</v>
      </c>
    </row>
    <row r="1828" spans="1:8" ht="33">
      <c r="A1828" s="160">
        <v>1</v>
      </c>
      <c r="B1828" s="160" t="s">
        <v>1827</v>
      </c>
      <c r="C1828" s="157" t="s">
        <v>1818</v>
      </c>
      <c r="D1828" s="159">
        <v>1</v>
      </c>
      <c r="E1828" s="159">
        <v>1132.94</v>
      </c>
      <c r="F1828" s="159">
        <v>1132.94</v>
      </c>
      <c r="G1828" s="160" t="s">
        <v>2</v>
      </c>
      <c r="H1828" s="34" t="s">
        <v>925</v>
      </c>
    </row>
    <row r="1829" spans="1:8" ht="33">
      <c r="A1829" s="160">
        <v>2</v>
      </c>
      <c r="B1829" s="160" t="s">
        <v>1829</v>
      </c>
      <c r="C1829" s="157" t="s">
        <v>1818</v>
      </c>
      <c r="D1829" s="159">
        <v>1</v>
      </c>
      <c r="E1829" s="159">
        <v>46.28</v>
      </c>
      <c r="F1829" s="159">
        <v>46.28</v>
      </c>
      <c r="G1829" s="160" t="s">
        <v>2</v>
      </c>
      <c r="H1829" s="34" t="s">
        <v>925</v>
      </c>
    </row>
    <row r="1830" spans="1:8" ht="33">
      <c r="A1830" s="160">
        <v>3</v>
      </c>
      <c r="B1830" s="160" t="s">
        <v>931</v>
      </c>
      <c r="C1830" s="157" t="s">
        <v>14</v>
      </c>
      <c r="D1830" s="159">
        <v>1</v>
      </c>
      <c r="E1830" s="159">
        <v>35.380000000000003</v>
      </c>
      <c r="F1830" s="159">
        <v>35.380000000000003</v>
      </c>
      <c r="G1830" s="160" t="s">
        <v>2</v>
      </c>
      <c r="H1830" s="34" t="s">
        <v>925</v>
      </c>
    </row>
    <row r="1831" spans="1:8" ht="33">
      <c r="A1831" s="160"/>
      <c r="B1831" s="160" t="s">
        <v>933</v>
      </c>
      <c r="C1831" s="157" t="s">
        <v>1818</v>
      </c>
      <c r="D1831" s="159">
        <v>1</v>
      </c>
      <c r="E1831" s="159"/>
      <c r="F1831" s="159">
        <v>1214.6000000000001</v>
      </c>
      <c r="G1831" s="160"/>
      <c r="H1831" s="34" t="s">
        <v>925</v>
      </c>
    </row>
    <row r="1832" spans="1:8" ht="33">
      <c r="A1832" s="160"/>
      <c r="B1832" s="160" t="s">
        <v>934</v>
      </c>
      <c r="C1832" s="157" t="s">
        <v>1818</v>
      </c>
      <c r="D1832" s="159"/>
      <c r="E1832" s="159"/>
      <c r="F1832" s="159">
        <v>1214.5999999999999</v>
      </c>
      <c r="G1832" s="160"/>
      <c r="H1832" s="34" t="s">
        <v>925</v>
      </c>
    </row>
    <row r="1833" spans="1:8" ht="16.5">
      <c r="A1833" s="160"/>
      <c r="B1833" s="160"/>
      <c r="C1833" s="157"/>
      <c r="D1833" s="159"/>
      <c r="E1833" s="159"/>
      <c r="F1833" s="159"/>
      <c r="G1833" s="160"/>
    </row>
    <row r="1834" spans="1:8" ht="33">
      <c r="A1834" s="160" t="s">
        <v>2036</v>
      </c>
      <c r="B1834" s="160" t="s">
        <v>1832</v>
      </c>
      <c r="C1834" s="157" t="s">
        <v>1818</v>
      </c>
      <c r="D1834" s="159">
        <v>1</v>
      </c>
      <c r="E1834" s="159">
        <v>1478.68</v>
      </c>
      <c r="F1834" s="159"/>
      <c r="G1834" s="160" t="s">
        <v>2</v>
      </c>
      <c r="H1834" s="34" t="s">
        <v>925</v>
      </c>
    </row>
    <row r="1835" spans="1:8" ht="33">
      <c r="A1835" s="160">
        <v>1</v>
      </c>
      <c r="B1835" s="160" t="s">
        <v>1834</v>
      </c>
      <c r="C1835" s="157" t="s">
        <v>1818</v>
      </c>
      <c r="D1835" s="159">
        <v>1</v>
      </c>
      <c r="E1835" s="159">
        <v>1384.7</v>
      </c>
      <c r="F1835" s="159">
        <v>1384.7</v>
      </c>
      <c r="G1835" s="160" t="s">
        <v>2</v>
      </c>
      <c r="H1835" s="34" t="s">
        <v>925</v>
      </c>
    </row>
    <row r="1836" spans="1:8" ht="33">
      <c r="A1836" s="160">
        <v>2</v>
      </c>
      <c r="B1836" s="160" t="s">
        <v>1836</v>
      </c>
      <c r="C1836" s="157" t="s">
        <v>1818</v>
      </c>
      <c r="D1836" s="159">
        <v>1</v>
      </c>
      <c r="E1836" s="159">
        <v>50.91</v>
      </c>
      <c r="F1836" s="159">
        <v>50.91</v>
      </c>
      <c r="G1836" s="160" t="s">
        <v>2</v>
      </c>
      <c r="H1836" s="34" t="s">
        <v>925</v>
      </c>
    </row>
    <row r="1837" spans="1:8" ht="33">
      <c r="A1837" s="160">
        <v>3</v>
      </c>
      <c r="B1837" s="160" t="s">
        <v>931</v>
      </c>
      <c r="C1837" s="157" t="s">
        <v>14</v>
      </c>
      <c r="D1837" s="159">
        <v>1</v>
      </c>
      <c r="E1837" s="159">
        <v>43.07</v>
      </c>
      <c r="F1837" s="159">
        <v>43.07</v>
      </c>
      <c r="G1837" s="160" t="s">
        <v>2</v>
      </c>
      <c r="H1837" s="34" t="s">
        <v>925</v>
      </c>
    </row>
    <row r="1838" spans="1:8" ht="33">
      <c r="A1838" s="160"/>
      <c r="B1838" s="160" t="s">
        <v>933</v>
      </c>
      <c r="C1838" s="157" t="s">
        <v>1818</v>
      </c>
      <c r="D1838" s="159">
        <v>1</v>
      </c>
      <c r="E1838" s="159"/>
      <c r="F1838" s="159">
        <v>1478.68</v>
      </c>
      <c r="G1838" s="160"/>
      <c r="H1838" s="34" t="s">
        <v>925</v>
      </c>
    </row>
    <row r="1839" spans="1:8" ht="33">
      <c r="A1839" s="160"/>
      <c r="B1839" s="160" t="s">
        <v>934</v>
      </c>
      <c r="C1839" s="157" t="s">
        <v>1818</v>
      </c>
      <c r="D1839" s="159"/>
      <c r="E1839" s="159"/>
      <c r="F1839" s="159">
        <v>1478.68</v>
      </c>
      <c r="G1839" s="160"/>
      <c r="H1839" s="34" t="s">
        <v>925</v>
      </c>
    </row>
    <row r="1840" spans="1:8" ht="16.5">
      <c r="A1840" s="160"/>
      <c r="B1840" s="160"/>
      <c r="C1840" s="157"/>
      <c r="D1840" s="159"/>
      <c r="E1840" s="159"/>
      <c r="F1840" s="159"/>
      <c r="G1840" s="160"/>
    </row>
    <row r="1841" spans="1:8" ht="33">
      <c r="A1841" s="160" t="s">
        <v>2041</v>
      </c>
      <c r="B1841" s="160" t="s">
        <v>1839</v>
      </c>
      <c r="C1841" s="157" t="s">
        <v>1818</v>
      </c>
      <c r="D1841" s="159">
        <v>1</v>
      </c>
      <c r="E1841" s="159">
        <v>1516.82</v>
      </c>
      <c r="F1841" s="159"/>
      <c r="G1841" s="160" t="s">
        <v>2</v>
      </c>
      <c r="H1841" s="34" t="s">
        <v>925</v>
      </c>
    </row>
    <row r="1842" spans="1:8" ht="33">
      <c r="A1842" s="160">
        <v>1</v>
      </c>
      <c r="B1842" s="160" t="s">
        <v>1841</v>
      </c>
      <c r="C1842" s="157" t="s">
        <v>1818</v>
      </c>
      <c r="D1842" s="159">
        <v>1</v>
      </c>
      <c r="E1842" s="159">
        <v>1417.1</v>
      </c>
      <c r="F1842" s="159">
        <v>1417.1</v>
      </c>
      <c r="G1842" s="160" t="s">
        <v>2</v>
      </c>
      <c r="H1842" s="34" t="s">
        <v>925</v>
      </c>
    </row>
    <row r="1843" spans="1:8" ht="33">
      <c r="A1843" s="160">
        <v>2</v>
      </c>
      <c r="B1843" s="160" t="s">
        <v>1843</v>
      </c>
      <c r="C1843" s="157" t="s">
        <v>1818</v>
      </c>
      <c r="D1843" s="159">
        <v>1</v>
      </c>
      <c r="E1843" s="159">
        <v>55.54</v>
      </c>
      <c r="F1843" s="159">
        <v>55.54</v>
      </c>
      <c r="G1843" s="160" t="s">
        <v>2</v>
      </c>
      <c r="H1843" s="34" t="s">
        <v>925</v>
      </c>
    </row>
    <row r="1844" spans="1:8" ht="33">
      <c r="A1844" s="160">
        <v>3</v>
      </c>
      <c r="B1844" s="160" t="s">
        <v>931</v>
      </c>
      <c r="C1844" s="157" t="s">
        <v>14</v>
      </c>
      <c r="D1844" s="159">
        <v>1</v>
      </c>
      <c r="E1844" s="159">
        <v>44.18</v>
      </c>
      <c r="F1844" s="159">
        <v>44.18</v>
      </c>
      <c r="G1844" s="160" t="s">
        <v>2</v>
      </c>
      <c r="H1844" s="34" t="s">
        <v>925</v>
      </c>
    </row>
    <row r="1845" spans="1:8" ht="33">
      <c r="A1845" s="160"/>
      <c r="B1845" s="160" t="s">
        <v>933</v>
      </c>
      <c r="C1845" s="157" t="s">
        <v>1818</v>
      </c>
      <c r="D1845" s="159">
        <v>1</v>
      </c>
      <c r="E1845" s="159"/>
      <c r="F1845" s="159">
        <v>1516.82</v>
      </c>
      <c r="G1845" s="160"/>
      <c r="H1845" s="34" t="s">
        <v>925</v>
      </c>
    </row>
    <row r="1846" spans="1:8" ht="33">
      <c r="A1846" s="160"/>
      <c r="B1846" s="160" t="s">
        <v>934</v>
      </c>
      <c r="C1846" s="157" t="s">
        <v>1818</v>
      </c>
      <c r="D1846" s="159"/>
      <c r="E1846" s="159"/>
      <c r="F1846" s="159">
        <v>1516.82</v>
      </c>
      <c r="G1846" s="160"/>
      <c r="H1846" s="34" t="s">
        <v>925</v>
      </c>
    </row>
    <row r="1847" spans="1:8" ht="16.5">
      <c r="A1847" s="160"/>
      <c r="B1847" s="160"/>
      <c r="C1847" s="157"/>
      <c r="D1847" s="159"/>
      <c r="E1847" s="159"/>
      <c r="F1847" s="159"/>
      <c r="G1847" s="160"/>
    </row>
    <row r="1848" spans="1:8" ht="33">
      <c r="A1848" s="160" t="s">
        <v>2046</v>
      </c>
      <c r="B1848" s="160" t="s">
        <v>1846</v>
      </c>
      <c r="C1848" s="157" t="s">
        <v>1818</v>
      </c>
      <c r="D1848" s="159">
        <v>1</v>
      </c>
      <c r="E1848" s="159">
        <v>1706.52</v>
      </c>
      <c r="F1848" s="159"/>
      <c r="G1848" s="160" t="s">
        <v>2</v>
      </c>
      <c r="H1848" s="34" t="s">
        <v>925</v>
      </c>
    </row>
    <row r="1849" spans="1:8" ht="33">
      <c r="A1849" s="160">
        <v>1</v>
      </c>
      <c r="B1849" s="160" t="s">
        <v>1848</v>
      </c>
      <c r="C1849" s="157" t="s">
        <v>1818</v>
      </c>
      <c r="D1849" s="159">
        <v>1</v>
      </c>
      <c r="E1849" s="159">
        <v>1596.66</v>
      </c>
      <c r="F1849" s="159">
        <v>1596.66</v>
      </c>
      <c r="G1849" s="160" t="s">
        <v>2</v>
      </c>
      <c r="H1849" s="34" t="s">
        <v>925</v>
      </c>
    </row>
    <row r="1850" spans="1:8" ht="33">
      <c r="A1850" s="160">
        <v>2</v>
      </c>
      <c r="B1850" s="160" t="s">
        <v>1850</v>
      </c>
      <c r="C1850" s="157" t="s">
        <v>1818</v>
      </c>
      <c r="D1850" s="159">
        <v>1</v>
      </c>
      <c r="E1850" s="159">
        <v>60.16</v>
      </c>
      <c r="F1850" s="159">
        <v>60.16</v>
      </c>
      <c r="G1850" s="160" t="s">
        <v>2</v>
      </c>
      <c r="H1850" s="34" t="s">
        <v>925</v>
      </c>
    </row>
    <row r="1851" spans="1:8" ht="33">
      <c r="A1851" s="160">
        <v>3</v>
      </c>
      <c r="B1851" s="160" t="s">
        <v>931</v>
      </c>
      <c r="C1851" s="157" t="s">
        <v>14</v>
      </c>
      <c r="D1851" s="159">
        <v>1</v>
      </c>
      <c r="E1851" s="159">
        <v>49.7</v>
      </c>
      <c r="F1851" s="159">
        <v>49.7</v>
      </c>
      <c r="G1851" s="160" t="s">
        <v>2</v>
      </c>
      <c r="H1851" s="34" t="s">
        <v>925</v>
      </c>
    </row>
    <row r="1852" spans="1:8" ht="33">
      <c r="A1852" s="160"/>
      <c r="B1852" s="160" t="s">
        <v>933</v>
      </c>
      <c r="C1852" s="157" t="s">
        <v>1818</v>
      </c>
      <c r="D1852" s="159">
        <v>1</v>
      </c>
      <c r="E1852" s="159"/>
      <c r="F1852" s="159">
        <v>1706.5200000000002</v>
      </c>
      <c r="G1852" s="160"/>
      <c r="H1852" s="34" t="s">
        <v>925</v>
      </c>
    </row>
    <row r="1853" spans="1:8" ht="33">
      <c r="A1853" s="160"/>
      <c r="B1853" s="160" t="s">
        <v>934</v>
      </c>
      <c r="C1853" s="157" t="s">
        <v>1818</v>
      </c>
      <c r="D1853" s="159"/>
      <c r="E1853" s="159"/>
      <c r="F1853" s="159">
        <v>1706.52</v>
      </c>
      <c r="G1853" s="160"/>
      <c r="H1853" s="34" t="s">
        <v>925</v>
      </c>
    </row>
    <row r="1854" spans="1:8" ht="33">
      <c r="A1854" s="160"/>
      <c r="B1854" s="160"/>
      <c r="C1854" s="157"/>
      <c r="D1854" s="159"/>
      <c r="E1854" s="159"/>
      <c r="F1854" s="159"/>
      <c r="G1854" s="160"/>
      <c r="H1854" s="34" t="s">
        <v>925</v>
      </c>
    </row>
    <row r="1855" spans="1:8" ht="33">
      <c r="A1855" s="160" t="s">
        <v>2053</v>
      </c>
      <c r="B1855" s="160" t="s">
        <v>1853</v>
      </c>
      <c r="C1855" s="157" t="s">
        <v>1818</v>
      </c>
      <c r="D1855" s="159">
        <v>1</v>
      </c>
      <c r="E1855" s="159">
        <v>1973.47</v>
      </c>
      <c r="F1855" s="159"/>
      <c r="G1855" s="160" t="s">
        <v>2</v>
      </c>
      <c r="H1855" s="34" t="s">
        <v>925</v>
      </c>
    </row>
    <row r="1856" spans="1:8" ht="28.5">
      <c r="A1856" s="160">
        <v>1</v>
      </c>
      <c r="B1856" s="160" t="s">
        <v>1855</v>
      </c>
      <c r="C1856" s="157" t="s">
        <v>1818</v>
      </c>
      <c r="D1856" s="159">
        <v>1</v>
      </c>
      <c r="E1856" s="159">
        <v>1851.2</v>
      </c>
      <c r="F1856" s="159">
        <v>1851.2</v>
      </c>
      <c r="G1856" s="160" t="s">
        <v>2</v>
      </c>
    </row>
    <row r="1857" spans="1:8" ht="33">
      <c r="A1857" s="160">
        <v>2</v>
      </c>
      <c r="B1857" s="160" t="s">
        <v>1857</v>
      </c>
      <c r="C1857" s="157" t="s">
        <v>1818</v>
      </c>
      <c r="D1857" s="159">
        <v>1</v>
      </c>
      <c r="E1857" s="159">
        <v>64.790000000000006</v>
      </c>
      <c r="F1857" s="159">
        <v>64.790000000000006</v>
      </c>
      <c r="G1857" s="160" t="s">
        <v>2</v>
      </c>
      <c r="H1857" s="34" t="s">
        <v>925</v>
      </c>
    </row>
    <row r="1858" spans="1:8" ht="33">
      <c r="A1858" s="160">
        <v>3</v>
      </c>
      <c r="B1858" s="160" t="s">
        <v>931</v>
      </c>
      <c r="C1858" s="157" t="s">
        <v>14</v>
      </c>
      <c r="D1858" s="159">
        <v>1</v>
      </c>
      <c r="E1858" s="159">
        <v>57.48</v>
      </c>
      <c r="F1858" s="159">
        <v>57.48</v>
      </c>
      <c r="G1858" s="160" t="s">
        <v>2</v>
      </c>
      <c r="H1858" s="34" t="s">
        <v>925</v>
      </c>
    </row>
    <row r="1859" spans="1:8" ht="33">
      <c r="A1859" s="160"/>
      <c r="B1859" s="160" t="s">
        <v>933</v>
      </c>
      <c r="C1859" s="157" t="s">
        <v>1818</v>
      </c>
      <c r="D1859" s="159">
        <v>1</v>
      </c>
      <c r="E1859" s="159"/>
      <c r="F1859" s="159">
        <v>1973.47</v>
      </c>
      <c r="G1859" s="160"/>
      <c r="H1859" s="34" t="s">
        <v>925</v>
      </c>
    </row>
    <row r="1860" spans="1:8" ht="33">
      <c r="A1860" s="160"/>
      <c r="B1860" s="160" t="s">
        <v>934</v>
      </c>
      <c r="C1860" s="157" t="s">
        <v>1818</v>
      </c>
      <c r="D1860" s="159"/>
      <c r="E1860" s="159"/>
      <c r="F1860" s="159">
        <v>1973.47</v>
      </c>
      <c r="G1860" s="160"/>
      <c r="H1860" s="34" t="s">
        <v>925</v>
      </c>
    </row>
    <row r="1861" spans="1:8" ht="33">
      <c r="A1861" s="160"/>
      <c r="B1861" s="160"/>
      <c r="C1861" s="157"/>
      <c r="D1861" s="159"/>
      <c r="E1861" s="159"/>
      <c r="F1861" s="159"/>
      <c r="G1861" s="160"/>
      <c r="H1861" s="34" t="s">
        <v>925</v>
      </c>
    </row>
    <row r="1862" spans="1:8" ht="33">
      <c r="A1862" s="160" t="s">
        <v>2058</v>
      </c>
      <c r="B1862" s="160" t="s">
        <v>1860</v>
      </c>
      <c r="C1862" s="157" t="s">
        <v>1818</v>
      </c>
      <c r="D1862" s="159">
        <v>1</v>
      </c>
      <c r="E1862" s="159">
        <v>2118.39</v>
      </c>
      <c r="F1862" s="159"/>
      <c r="G1862" s="160" t="s">
        <v>2</v>
      </c>
      <c r="H1862" s="34" t="s">
        <v>925</v>
      </c>
    </row>
    <row r="1863" spans="1:8" ht="33">
      <c r="A1863" s="160">
        <v>1</v>
      </c>
      <c r="B1863" s="160" t="s">
        <v>1862</v>
      </c>
      <c r="C1863" s="157" t="s">
        <v>1818</v>
      </c>
      <c r="D1863" s="159">
        <v>1</v>
      </c>
      <c r="E1863" s="159">
        <v>1987.27</v>
      </c>
      <c r="F1863" s="159">
        <v>1987.27</v>
      </c>
      <c r="G1863" s="160" t="s">
        <v>2</v>
      </c>
      <c r="H1863" s="34" t="s">
        <v>925</v>
      </c>
    </row>
    <row r="1864" spans="1:8" ht="33">
      <c r="A1864" s="160">
        <v>2</v>
      </c>
      <c r="B1864" s="160" t="s">
        <v>1864</v>
      </c>
      <c r="C1864" s="157" t="s">
        <v>1818</v>
      </c>
      <c r="D1864" s="159">
        <v>1</v>
      </c>
      <c r="E1864" s="159">
        <v>69.42</v>
      </c>
      <c r="F1864" s="159">
        <v>69.42</v>
      </c>
      <c r="G1864" s="160" t="s">
        <v>2</v>
      </c>
      <c r="H1864" s="34" t="s">
        <v>925</v>
      </c>
    </row>
    <row r="1865" spans="1:8" ht="33">
      <c r="A1865" s="160">
        <v>3</v>
      </c>
      <c r="B1865" s="160" t="s">
        <v>931</v>
      </c>
      <c r="C1865" s="157" t="s">
        <v>14</v>
      </c>
      <c r="D1865" s="159">
        <v>1</v>
      </c>
      <c r="E1865" s="159">
        <v>61.7</v>
      </c>
      <c r="F1865" s="159">
        <v>61.7</v>
      </c>
      <c r="G1865" s="160" t="s">
        <v>2</v>
      </c>
      <c r="H1865" s="34" t="s">
        <v>925</v>
      </c>
    </row>
    <row r="1866" spans="1:8" ht="33">
      <c r="A1866" s="160"/>
      <c r="B1866" s="160" t="s">
        <v>933</v>
      </c>
      <c r="C1866" s="157" t="s">
        <v>1818</v>
      </c>
      <c r="D1866" s="159">
        <v>1</v>
      </c>
      <c r="E1866" s="159"/>
      <c r="F1866" s="159">
        <v>2118.39</v>
      </c>
      <c r="G1866" s="160"/>
      <c r="H1866" s="34" t="s">
        <v>925</v>
      </c>
    </row>
    <row r="1867" spans="1:8" ht="16.5">
      <c r="A1867" s="160"/>
      <c r="B1867" s="160" t="s">
        <v>934</v>
      </c>
      <c r="C1867" s="157" t="s">
        <v>1818</v>
      </c>
      <c r="D1867" s="159"/>
      <c r="E1867" s="159"/>
      <c r="F1867" s="159">
        <v>2118.39</v>
      </c>
      <c r="G1867" s="160"/>
    </row>
    <row r="1868" spans="1:8" ht="33">
      <c r="A1868" s="160"/>
      <c r="B1868" s="160"/>
      <c r="C1868" s="157"/>
      <c r="D1868" s="159"/>
      <c r="E1868" s="159"/>
      <c r="F1868" s="159"/>
      <c r="G1868" s="160"/>
      <c r="H1868" s="34" t="s">
        <v>925</v>
      </c>
    </row>
    <row r="1869" spans="1:8" ht="33">
      <c r="A1869" s="160" t="s">
        <v>2063</v>
      </c>
      <c r="B1869" s="160" t="s">
        <v>1867</v>
      </c>
      <c r="C1869" s="157" t="s">
        <v>1818</v>
      </c>
      <c r="D1869" s="159">
        <v>1</v>
      </c>
      <c r="E1869" s="159">
        <v>2245.1799999999998</v>
      </c>
      <c r="F1869" s="159"/>
      <c r="G1869" s="160" t="s">
        <v>2</v>
      </c>
      <c r="H1869" s="34" t="s">
        <v>925</v>
      </c>
    </row>
    <row r="1870" spans="1:8" ht="33">
      <c r="A1870" s="160">
        <v>1</v>
      </c>
      <c r="B1870" s="160" t="s">
        <v>1869</v>
      </c>
      <c r="C1870" s="157" t="s">
        <v>1818</v>
      </c>
      <c r="D1870" s="159">
        <v>1</v>
      </c>
      <c r="E1870" s="159">
        <v>2105.7399999999998</v>
      </c>
      <c r="F1870" s="159">
        <v>2105.7399999999998</v>
      </c>
      <c r="G1870" s="160" t="s">
        <v>2</v>
      </c>
      <c r="H1870" s="34" t="s">
        <v>925</v>
      </c>
    </row>
    <row r="1871" spans="1:8" ht="33">
      <c r="A1871" s="160">
        <v>2</v>
      </c>
      <c r="B1871" s="160" t="s">
        <v>1871</v>
      </c>
      <c r="C1871" s="157" t="s">
        <v>1818</v>
      </c>
      <c r="D1871" s="159">
        <v>1</v>
      </c>
      <c r="E1871" s="159">
        <v>74.05</v>
      </c>
      <c r="F1871" s="159">
        <v>74.05</v>
      </c>
      <c r="G1871" s="160" t="s">
        <v>2</v>
      </c>
      <c r="H1871" s="34" t="s">
        <v>925</v>
      </c>
    </row>
    <row r="1872" spans="1:8" ht="33">
      <c r="A1872" s="160">
        <v>3</v>
      </c>
      <c r="B1872" s="160" t="s">
        <v>931</v>
      </c>
      <c r="C1872" s="157" t="s">
        <v>14</v>
      </c>
      <c r="D1872" s="159">
        <v>1</v>
      </c>
      <c r="E1872" s="159">
        <v>65.39</v>
      </c>
      <c r="F1872" s="159">
        <v>65.39</v>
      </c>
      <c r="G1872" s="160" t="s">
        <v>2</v>
      </c>
      <c r="H1872" s="34" t="s">
        <v>925</v>
      </c>
    </row>
    <row r="1873" spans="1:8" ht="33">
      <c r="A1873" s="160"/>
      <c r="B1873" s="160" t="s">
        <v>933</v>
      </c>
      <c r="C1873" s="157" t="s">
        <v>1818</v>
      </c>
      <c r="D1873" s="159">
        <v>1</v>
      </c>
      <c r="E1873" s="159"/>
      <c r="F1873" s="159">
        <v>2245.1799999999998</v>
      </c>
      <c r="G1873" s="160"/>
      <c r="H1873" s="34" t="s">
        <v>925</v>
      </c>
    </row>
    <row r="1874" spans="1:8" ht="33">
      <c r="A1874" s="160"/>
      <c r="B1874" s="160" t="s">
        <v>934</v>
      </c>
      <c r="C1874" s="157" t="s">
        <v>1818</v>
      </c>
      <c r="D1874" s="159"/>
      <c r="E1874" s="159"/>
      <c r="F1874" s="159">
        <v>2245.1799999999998</v>
      </c>
      <c r="G1874" s="160"/>
      <c r="H1874" s="34" t="s">
        <v>925</v>
      </c>
    </row>
    <row r="1875" spans="1:8" ht="16.5">
      <c r="A1875" s="160"/>
      <c r="B1875" s="160"/>
      <c r="C1875" s="157"/>
      <c r="D1875" s="159"/>
      <c r="E1875" s="159"/>
      <c r="F1875" s="159"/>
      <c r="G1875" s="160"/>
    </row>
    <row r="1876" spans="1:8" ht="33">
      <c r="A1876" s="160" t="s">
        <v>2068</v>
      </c>
      <c r="B1876" s="160" t="s">
        <v>1874</v>
      </c>
      <c r="C1876" s="157" t="s">
        <v>1875</v>
      </c>
      <c r="D1876" s="159">
        <v>1</v>
      </c>
      <c r="E1876" s="159">
        <v>798.92</v>
      </c>
      <c r="F1876" s="159"/>
      <c r="G1876" s="160" t="s">
        <v>2</v>
      </c>
      <c r="H1876" s="34" t="s">
        <v>925</v>
      </c>
    </row>
    <row r="1877" spans="1:8" ht="33">
      <c r="A1877" s="160">
        <v>1</v>
      </c>
      <c r="B1877" s="160" t="s">
        <v>1877</v>
      </c>
      <c r="C1877" s="157" t="s">
        <v>1875</v>
      </c>
      <c r="D1877" s="159">
        <v>1</v>
      </c>
      <c r="E1877" s="159">
        <v>706.23</v>
      </c>
      <c r="F1877" s="159">
        <v>706.23</v>
      </c>
      <c r="G1877" s="160" t="s">
        <v>2</v>
      </c>
      <c r="H1877" s="34" t="s">
        <v>925</v>
      </c>
    </row>
    <row r="1878" spans="1:8" ht="33">
      <c r="A1878" s="160">
        <v>2</v>
      </c>
      <c r="B1878" s="160" t="s">
        <v>1879</v>
      </c>
      <c r="C1878" s="157" t="s">
        <v>1875</v>
      </c>
      <c r="D1878" s="159">
        <v>1</v>
      </c>
      <c r="E1878" s="159">
        <v>69.42</v>
      </c>
      <c r="F1878" s="159">
        <v>69.42</v>
      </c>
      <c r="G1878" s="160" t="s">
        <v>2</v>
      </c>
      <c r="H1878" s="34" t="s">
        <v>925</v>
      </c>
    </row>
    <row r="1879" spans="1:8" ht="33">
      <c r="A1879" s="160">
        <v>3</v>
      </c>
      <c r="B1879" s="160" t="s">
        <v>931</v>
      </c>
      <c r="C1879" s="157" t="s">
        <v>14</v>
      </c>
      <c r="D1879" s="159">
        <v>1</v>
      </c>
      <c r="E1879" s="159">
        <v>23.27</v>
      </c>
      <c r="F1879" s="159">
        <v>23.27</v>
      </c>
      <c r="G1879" s="160" t="s">
        <v>2</v>
      </c>
      <c r="H1879" s="34" t="s">
        <v>925</v>
      </c>
    </row>
    <row r="1880" spans="1:8" ht="33">
      <c r="A1880" s="160"/>
      <c r="B1880" s="160" t="s">
        <v>933</v>
      </c>
      <c r="C1880" s="157" t="s">
        <v>1875</v>
      </c>
      <c r="D1880" s="159">
        <v>1</v>
      </c>
      <c r="E1880" s="159"/>
      <c r="F1880" s="159">
        <v>798.92</v>
      </c>
      <c r="G1880" s="160"/>
      <c r="H1880" s="34" t="s">
        <v>925</v>
      </c>
    </row>
    <row r="1881" spans="1:8" ht="33">
      <c r="A1881" s="160"/>
      <c r="B1881" s="160" t="s">
        <v>934</v>
      </c>
      <c r="C1881" s="157" t="s">
        <v>1875</v>
      </c>
      <c r="D1881" s="159"/>
      <c r="E1881" s="159"/>
      <c r="F1881" s="159">
        <v>798.92</v>
      </c>
      <c r="G1881" s="160"/>
      <c r="H1881" s="34" t="s">
        <v>925</v>
      </c>
    </row>
    <row r="1882" spans="1:8" ht="33">
      <c r="A1882" s="160"/>
      <c r="B1882" s="160"/>
      <c r="C1882" s="157"/>
      <c r="D1882" s="159"/>
      <c r="E1882" s="159"/>
      <c r="F1882" s="159"/>
      <c r="G1882" s="160"/>
      <c r="H1882" s="34" t="s">
        <v>925</v>
      </c>
    </row>
    <row r="1883" spans="1:8" ht="28.5">
      <c r="A1883" s="160" t="s">
        <v>2075</v>
      </c>
      <c r="B1883" s="160" t="s">
        <v>1882</v>
      </c>
      <c r="C1883" s="157" t="s">
        <v>1875</v>
      </c>
      <c r="D1883" s="159">
        <v>1</v>
      </c>
      <c r="E1883" s="159">
        <v>877.11</v>
      </c>
      <c r="F1883" s="159"/>
      <c r="G1883" s="160" t="s">
        <v>2</v>
      </c>
    </row>
    <row r="1884" spans="1:8" ht="33">
      <c r="A1884" s="160">
        <v>1</v>
      </c>
      <c r="B1884" s="160" t="s">
        <v>1884</v>
      </c>
      <c r="C1884" s="157" t="s">
        <v>1875</v>
      </c>
      <c r="D1884" s="159">
        <v>1</v>
      </c>
      <c r="E1884" s="159">
        <v>772.88</v>
      </c>
      <c r="F1884" s="159">
        <v>772.88</v>
      </c>
      <c r="G1884" s="160" t="s">
        <v>2</v>
      </c>
      <c r="H1884" s="34" t="s">
        <v>925</v>
      </c>
    </row>
    <row r="1885" spans="1:8" ht="33">
      <c r="A1885" s="160">
        <v>2</v>
      </c>
      <c r="B1885" s="160" t="s">
        <v>1886</v>
      </c>
      <c r="C1885" s="157" t="s">
        <v>1875</v>
      </c>
      <c r="D1885" s="159">
        <v>1</v>
      </c>
      <c r="E1885" s="159">
        <v>78.680000000000007</v>
      </c>
      <c r="F1885" s="159">
        <v>78.680000000000007</v>
      </c>
      <c r="G1885" s="160" t="s">
        <v>2</v>
      </c>
      <c r="H1885" s="34" t="s">
        <v>925</v>
      </c>
    </row>
    <row r="1886" spans="1:8" ht="33">
      <c r="A1886" s="160">
        <v>3</v>
      </c>
      <c r="B1886" s="160" t="s">
        <v>931</v>
      </c>
      <c r="C1886" s="157" t="s">
        <v>14</v>
      </c>
      <c r="D1886" s="159">
        <v>1</v>
      </c>
      <c r="E1886" s="159">
        <v>25.55</v>
      </c>
      <c r="F1886" s="159">
        <v>25.55</v>
      </c>
      <c r="G1886" s="160" t="s">
        <v>2</v>
      </c>
      <c r="H1886" s="34" t="s">
        <v>925</v>
      </c>
    </row>
    <row r="1887" spans="1:8" ht="33">
      <c r="A1887" s="160"/>
      <c r="B1887" s="160" t="s">
        <v>933</v>
      </c>
      <c r="C1887" s="157" t="s">
        <v>1875</v>
      </c>
      <c r="D1887" s="159">
        <v>1</v>
      </c>
      <c r="E1887" s="159"/>
      <c r="F1887" s="159">
        <v>877.1099999999999</v>
      </c>
      <c r="G1887" s="160"/>
      <c r="H1887" s="34" t="s">
        <v>925</v>
      </c>
    </row>
    <row r="1888" spans="1:8" ht="33">
      <c r="A1888" s="160"/>
      <c r="B1888" s="160" t="s">
        <v>934</v>
      </c>
      <c r="C1888" s="157" t="s">
        <v>1875</v>
      </c>
      <c r="D1888" s="159"/>
      <c r="E1888" s="159"/>
      <c r="F1888" s="159">
        <v>877.11</v>
      </c>
      <c r="G1888" s="160"/>
      <c r="H1888" s="34" t="s">
        <v>925</v>
      </c>
    </row>
    <row r="1889" spans="1:8" ht="33">
      <c r="A1889" s="160"/>
      <c r="B1889" s="160"/>
      <c r="C1889" s="157"/>
      <c r="D1889" s="159"/>
      <c r="E1889" s="159"/>
      <c r="F1889" s="159"/>
      <c r="G1889" s="160"/>
      <c r="H1889" s="34" t="s">
        <v>925</v>
      </c>
    </row>
    <row r="1890" spans="1:8" ht="33">
      <c r="A1890" s="160" t="s">
        <v>2082</v>
      </c>
      <c r="B1890" s="160" t="s">
        <v>1889</v>
      </c>
      <c r="C1890" s="157" t="s">
        <v>1875</v>
      </c>
      <c r="D1890" s="159">
        <v>1</v>
      </c>
      <c r="E1890" s="159">
        <v>984.82</v>
      </c>
      <c r="F1890" s="159"/>
      <c r="G1890" s="160" t="s">
        <v>2</v>
      </c>
      <c r="H1890" s="34" t="s">
        <v>925</v>
      </c>
    </row>
    <row r="1891" spans="1:8" ht="28.5">
      <c r="A1891" s="160">
        <v>1</v>
      </c>
      <c r="B1891" s="160" t="s">
        <v>1891</v>
      </c>
      <c r="C1891" s="157" t="s">
        <v>1875</v>
      </c>
      <c r="D1891" s="159">
        <v>1</v>
      </c>
      <c r="E1891" s="159">
        <v>868.21</v>
      </c>
      <c r="F1891" s="159">
        <v>868.21</v>
      </c>
      <c r="G1891" s="160" t="s">
        <v>2</v>
      </c>
    </row>
    <row r="1892" spans="1:8" ht="33">
      <c r="A1892" s="160">
        <v>2</v>
      </c>
      <c r="B1892" s="160" t="s">
        <v>1893</v>
      </c>
      <c r="C1892" s="157" t="s">
        <v>1875</v>
      </c>
      <c r="D1892" s="159">
        <v>1</v>
      </c>
      <c r="E1892" s="159">
        <v>87.93</v>
      </c>
      <c r="F1892" s="159">
        <v>87.93</v>
      </c>
      <c r="G1892" s="160" t="s">
        <v>2</v>
      </c>
      <c r="H1892" s="34" t="s">
        <v>925</v>
      </c>
    </row>
    <row r="1893" spans="1:8" ht="33">
      <c r="A1893" s="160">
        <v>3</v>
      </c>
      <c r="B1893" s="160" t="s">
        <v>931</v>
      </c>
      <c r="C1893" s="157" t="s">
        <v>14</v>
      </c>
      <c r="D1893" s="159">
        <v>1</v>
      </c>
      <c r="E1893" s="159">
        <v>28.68</v>
      </c>
      <c r="F1893" s="159">
        <v>28.68</v>
      </c>
      <c r="G1893" s="160" t="s">
        <v>2</v>
      </c>
      <c r="H1893" s="34" t="s">
        <v>925</v>
      </c>
    </row>
    <row r="1894" spans="1:8" ht="33">
      <c r="A1894" s="160"/>
      <c r="B1894" s="160" t="s">
        <v>933</v>
      </c>
      <c r="C1894" s="157" t="s">
        <v>1875</v>
      </c>
      <c r="D1894" s="159">
        <v>1</v>
      </c>
      <c r="E1894" s="159"/>
      <c r="F1894" s="159">
        <v>984.82</v>
      </c>
      <c r="G1894" s="160"/>
      <c r="H1894" s="34" t="s">
        <v>925</v>
      </c>
    </row>
    <row r="1895" spans="1:8" ht="33">
      <c r="A1895" s="160"/>
      <c r="B1895" s="160" t="s">
        <v>934</v>
      </c>
      <c r="C1895" s="157" t="s">
        <v>1875</v>
      </c>
      <c r="D1895" s="159"/>
      <c r="E1895" s="159"/>
      <c r="F1895" s="159">
        <v>984.82</v>
      </c>
      <c r="G1895" s="160"/>
      <c r="H1895" s="34" t="s">
        <v>925</v>
      </c>
    </row>
    <row r="1896" spans="1:8" ht="33">
      <c r="A1896" s="160"/>
      <c r="B1896" s="160"/>
      <c r="C1896" s="157"/>
      <c r="D1896" s="159"/>
      <c r="E1896" s="159"/>
      <c r="F1896" s="159"/>
      <c r="G1896" s="160"/>
      <c r="H1896" s="34" t="s">
        <v>925</v>
      </c>
    </row>
    <row r="1897" spans="1:8" ht="33">
      <c r="A1897" s="160" t="s">
        <v>2089</v>
      </c>
      <c r="B1897" s="160" t="s">
        <v>1896</v>
      </c>
      <c r="C1897" s="157" t="s">
        <v>1875</v>
      </c>
      <c r="D1897" s="159">
        <v>1</v>
      </c>
      <c r="E1897" s="159">
        <v>1063.01</v>
      </c>
      <c r="F1897" s="159"/>
      <c r="G1897" s="160" t="s">
        <v>2</v>
      </c>
      <c r="H1897" s="34" t="s">
        <v>925</v>
      </c>
    </row>
    <row r="1898" spans="1:8" ht="33">
      <c r="A1898" s="160">
        <v>1</v>
      </c>
      <c r="B1898" s="160" t="s">
        <v>1898</v>
      </c>
      <c r="C1898" s="157" t="s">
        <v>1875</v>
      </c>
      <c r="D1898" s="159">
        <v>1</v>
      </c>
      <c r="E1898" s="159">
        <v>934.86</v>
      </c>
      <c r="F1898" s="159">
        <v>934.86</v>
      </c>
      <c r="G1898" s="160" t="s">
        <v>2</v>
      </c>
      <c r="H1898" s="34" t="s">
        <v>925</v>
      </c>
    </row>
    <row r="1899" spans="1:8" ht="28.5">
      <c r="A1899" s="160">
        <v>2</v>
      </c>
      <c r="B1899" s="160" t="s">
        <v>1900</v>
      </c>
      <c r="C1899" s="157" t="s">
        <v>1875</v>
      </c>
      <c r="D1899" s="159">
        <v>1</v>
      </c>
      <c r="E1899" s="159">
        <v>97.19</v>
      </c>
      <c r="F1899" s="159">
        <v>97.19</v>
      </c>
      <c r="G1899" s="160" t="s">
        <v>2</v>
      </c>
    </row>
    <row r="1900" spans="1:8" ht="33">
      <c r="A1900" s="160">
        <v>3</v>
      </c>
      <c r="B1900" s="160" t="s">
        <v>931</v>
      </c>
      <c r="C1900" s="157" t="s">
        <v>14</v>
      </c>
      <c r="D1900" s="159">
        <v>1</v>
      </c>
      <c r="E1900" s="159">
        <v>30.96</v>
      </c>
      <c r="F1900" s="159">
        <v>30.96</v>
      </c>
      <c r="G1900" s="160" t="s">
        <v>2</v>
      </c>
      <c r="H1900" s="34" t="s">
        <v>925</v>
      </c>
    </row>
    <row r="1901" spans="1:8" ht="33">
      <c r="A1901" s="160"/>
      <c r="B1901" s="160" t="s">
        <v>933</v>
      </c>
      <c r="C1901" s="157" t="s">
        <v>1875</v>
      </c>
      <c r="D1901" s="159">
        <v>1</v>
      </c>
      <c r="E1901" s="159"/>
      <c r="F1901" s="159">
        <v>1063.01</v>
      </c>
      <c r="G1901" s="160"/>
      <c r="H1901" s="34" t="s">
        <v>925</v>
      </c>
    </row>
    <row r="1902" spans="1:8" ht="33">
      <c r="A1902" s="160"/>
      <c r="B1902" s="160" t="s">
        <v>934</v>
      </c>
      <c r="C1902" s="157" t="s">
        <v>1875</v>
      </c>
      <c r="D1902" s="159"/>
      <c r="E1902" s="159"/>
      <c r="F1902" s="159">
        <v>1063.01</v>
      </c>
      <c r="G1902" s="160"/>
      <c r="H1902" s="34" t="s">
        <v>925</v>
      </c>
    </row>
    <row r="1903" spans="1:8" ht="33">
      <c r="A1903" s="160"/>
      <c r="B1903" s="160"/>
      <c r="C1903" s="157"/>
      <c r="D1903" s="159"/>
      <c r="E1903" s="159"/>
      <c r="F1903" s="159"/>
      <c r="G1903" s="160"/>
      <c r="H1903" s="34" t="s">
        <v>925</v>
      </c>
    </row>
    <row r="1904" spans="1:8" ht="33">
      <c r="A1904" s="160" t="s">
        <v>2096</v>
      </c>
      <c r="B1904" s="160" t="s">
        <v>1903</v>
      </c>
      <c r="C1904" s="157" t="s">
        <v>1875</v>
      </c>
      <c r="D1904" s="159">
        <v>1</v>
      </c>
      <c r="E1904" s="159">
        <v>1916.27</v>
      </c>
      <c r="F1904" s="159"/>
      <c r="G1904" s="160" t="s">
        <v>2</v>
      </c>
      <c r="H1904" s="34" t="s">
        <v>925</v>
      </c>
    </row>
    <row r="1905" spans="1:8" ht="33">
      <c r="A1905" s="160">
        <v>1</v>
      </c>
      <c r="B1905" s="160" t="s">
        <v>1905</v>
      </c>
      <c r="C1905" s="157" t="s">
        <v>1875</v>
      </c>
      <c r="D1905" s="159">
        <v>1</v>
      </c>
      <c r="E1905" s="159">
        <v>1675.34</v>
      </c>
      <c r="F1905" s="159">
        <v>1675.34</v>
      </c>
      <c r="G1905" s="160" t="s">
        <v>2</v>
      </c>
      <c r="H1905" s="34" t="s">
        <v>925</v>
      </c>
    </row>
    <row r="1906" spans="1:8" ht="33">
      <c r="A1906" s="160">
        <v>2</v>
      </c>
      <c r="B1906" s="160" t="s">
        <v>1907</v>
      </c>
      <c r="C1906" s="157" t="s">
        <v>1875</v>
      </c>
      <c r="D1906" s="159">
        <v>1</v>
      </c>
      <c r="E1906" s="159">
        <v>185.12</v>
      </c>
      <c r="F1906" s="159">
        <v>185.12</v>
      </c>
      <c r="G1906" s="160" t="s">
        <v>2</v>
      </c>
      <c r="H1906" s="34" t="s">
        <v>925</v>
      </c>
    </row>
    <row r="1907" spans="1:8" ht="33">
      <c r="A1907" s="160">
        <v>3</v>
      </c>
      <c r="B1907" s="160" t="s">
        <v>931</v>
      </c>
      <c r="C1907" s="157" t="s">
        <v>14</v>
      </c>
      <c r="D1907" s="159">
        <v>1</v>
      </c>
      <c r="E1907" s="159">
        <v>55.81</v>
      </c>
      <c r="F1907" s="159">
        <v>55.81</v>
      </c>
      <c r="G1907" s="160" t="s">
        <v>2</v>
      </c>
      <c r="H1907" s="34" t="s">
        <v>925</v>
      </c>
    </row>
    <row r="1908" spans="1:8" ht="16.5">
      <c r="A1908" s="160"/>
      <c r="B1908" s="160" t="s">
        <v>933</v>
      </c>
      <c r="C1908" s="157" t="s">
        <v>1875</v>
      </c>
      <c r="D1908" s="159">
        <v>1</v>
      </c>
      <c r="E1908" s="159"/>
      <c r="F1908" s="159">
        <v>1916.27</v>
      </c>
      <c r="G1908" s="160"/>
    </row>
    <row r="1909" spans="1:8" ht="33">
      <c r="A1909" s="160"/>
      <c r="B1909" s="160" t="s">
        <v>934</v>
      </c>
      <c r="C1909" s="157" t="s">
        <v>1875</v>
      </c>
      <c r="D1909" s="159"/>
      <c r="E1909" s="159"/>
      <c r="F1909" s="159">
        <v>1916.27</v>
      </c>
      <c r="G1909" s="160"/>
      <c r="H1909" s="34" t="s">
        <v>925</v>
      </c>
    </row>
    <row r="1910" spans="1:8" ht="33">
      <c r="A1910" s="160"/>
      <c r="B1910" s="160"/>
      <c r="C1910" s="157"/>
      <c r="D1910" s="159"/>
      <c r="E1910" s="159"/>
      <c r="F1910" s="159"/>
      <c r="G1910" s="160"/>
      <c r="H1910" s="34" t="s">
        <v>925</v>
      </c>
    </row>
    <row r="1911" spans="1:8" ht="33">
      <c r="A1911" s="160" t="s">
        <v>2101</v>
      </c>
      <c r="B1911" s="160" t="s">
        <v>1910</v>
      </c>
      <c r="C1911" s="157" t="s">
        <v>1875</v>
      </c>
      <c r="D1911" s="159">
        <v>1</v>
      </c>
      <c r="E1911" s="159">
        <v>3598.97</v>
      </c>
      <c r="F1911" s="159"/>
      <c r="G1911" s="160" t="s">
        <v>2</v>
      </c>
      <c r="H1911" s="34" t="s">
        <v>925</v>
      </c>
    </row>
    <row r="1912" spans="1:8" ht="33">
      <c r="A1912" s="160">
        <v>1</v>
      </c>
      <c r="B1912" s="160" t="s">
        <v>1912</v>
      </c>
      <c r="C1912" s="157" t="s">
        <v>1875</v>
      </c>
      <c r="D1912" s="159">
        <v>1</v>
      </c>
      <c r="E1912" s="159">
        <v>3369.19</v>
      </c>
      <c r="F1912" s="159">
        <v>3369.19</v>
      </c>
      <c r="G1912" s="160" t="s">
        <v>2</v>
      </c>
      <c r="H1912" s="34" t="s">
        <v>925</v>
      </c>
    </row>
    <row r="1913" spans="1:8" ht="33">
      <c r="A1913" s="160">
        <v>2</v>
      </c>
      <c r="B1913" s="160" t="s">
        <v>1914</v>
      </c>
      <c r="C1913" s="157" t="s">
        <v>1875</v>
      </c>
      <c r="D1913" s="159">
        <v>1</v>
      </c>
      <c r="E1913" s="159">
        <v>124.96</v>
      </c>
      <c r="F1913" s="159">
        <v>124.96</v>
      </c>
      <c r="G1913" s="160" t="s">
        <v>2</v>
      </c>
      <c r="H1913" s="34" t="s">
        <v>925</v>
      </c>
    </row>
    <row r="1914" spans="1:8" ht="33">
      <c r="A1914" s="160">
        <v>3</v>
      </c>
      <c r="B1914" s="160" t="s">
        <v>931</v>
      </c>
      <c r="C1914" s="157" t="s">
        <v>14</v>
      </c>
      <c r="D1914" s="159">
        <v>1</v>
      </c>
      <c r="E1914" s="159">
        <v>104.82</v>
      </c>
      <c r="F1914" s="159">
        <v>104.82</v>
      </c>
      <c r="G1914" s="160" t="s">
        <v>2</v>
      </c>
      <c r="H1914" s="34" t="s">
        <v>925</v>
      </c>
    </row>
    <row r="1915" spans="1:8" ht="33">
      <c r="A1915" s="160"/>
      <c r="B1915" s="160" t="s">
        <v>933</v>
      </c>
      <c r="C1915" s="157" t="s">
        <v>1875</v>
      </c>
      <c r="D1915" s="159">
        <v>1</v>
      </c>
      <c r="E1915" s="159"/>
      <c r="F1915" s="159">
        <v>3598.9700000000003</v>
      </c>
      <c r="G1915" s="160"/>
      <c r="H1915" s="34" t="s">
        <v>925</v>
      </c>
    </row>
    <row r="1916" spans="1:8" ht="33">
      <c r="A1916" s="160"/>
      <c r="B1916" s="160" t="s">
        <v>934</v>
      </c>
      <c r="C1916" s="157" t="s">
        <v>1875</v>
      </c>
      <c r="D1916" s="159"/>
      <c r="E1916" s="159"/>
      <c r="F1916" s="159">
        <v>3598.97</v>
      </c>
      <c r="G1916" s="160"/>
      <c r="H1916" s="34" t="s">
        <v>925</v>
      </c>
    </row>
    <row r="1917" spans="1:8" ht="16.5">
      <c r="A1917" s="160"/>
      <c r="B1917" s="160"/>
      <c r="C1917" s="157"/>
      <c r="D1917" s="159"/>
      <c r="E1917" s="159"/>
      <c r="F1917" s="159"/>
      <c r="G1917" s="160"/>
    </row>
    <row r="1918" spans="1:8" ht="33">
      <c r="A1918" s="160" t="s">
        <v>2111</v>
      </c>
      <c r="B1918" s="160" t="s">
        <v>1917</v>
      </c>
      <c r="C1918" s="157" t="s">
        <v>1875</v>
      </c>
      <c r="D1918" s="159">
        <v>1</v>
      </c>
      <c r="E1918" s="159">
        <v>4180.5200000000004</v>
      </c>
      <c r="F1918" s="159"/>
      <c r="G1918" s="160" t="s">
        <v>2</v>
      </c>
      <c r="H1918" s="34" t="s">
        <v>925</v>
      </c>
    </row>
    <row r="1919" spans="1:8" ht="33">
      <c r="A1919" s="160">
        <v>1</v>
      </c>
      <c r="B1919" s="160" t="s">
        <v>1919</v>
      </c>
      <c r="C1919" s="157" t="s">
        <v>1875</v>
      </c>
      <c r="D1919" s="159">
        <v>1</v>
      </c>
      <c r="E1919" s="159">
        <v>3924.55</v>
      </c>
      <c r="F1919" s="159">
        <v>3924.55</v>
      </c>
      <c r="G1919" s="160" t="s">
        <v>2</v>
      </c>
      <c r="H1919" s="34" t="s">
        <v>925</v>
      </c>
    </row>
    <row r="1920" spans="1:8" ht="33">
      <c r="A1920" s="160">
        <v>2</v>
      </c>
      <c r="B1920" s="160" t="s">
        <v>1921</v>
      </c>
      <c r="C1920" s="157" t="s">
        <v>1875</v>
      </c>
      <c r="D1920" s="159">
        <v>1</v>
      </c>
      <c r="E1920" s="159">
        <v>134.21</v>
      </c>
      <c r="F1920" s="159">
        <v>134.21</v>
      </c>
      <c r="G1920" s="160" t="s">
        <v>2</v>
      </c>
      <c r="H1920" s="34" t="s">
        <v>925</v>
      </c>
    </row>
    <row r="1921" spans="1:8" ht="33">
      <c r="A1921" s="160">
        <v>3</v>
      </c>
      <c r="B1921" s="160" t="s">
        <v>931</v>
      </c>
      <c r="C1921" s="157" t="s">
        <v>14</v>
      </c>
      <c r="D1921" s="159">
        <v>1</v>
      </c>
      <c r="E1921" s="159">
        <v>121.76</v>
      </c>
      <c r="F1921" s="159">
        <v>121.76</v>
      </c>
      <c r="G1921" s="160" t="s">
        <v>2</v>
      </c>
      <c r="H1921" s="34" t="s">
        <v>925</v>
      </c>
    </row>
    <row r="1922" spans="1:8" ht="33">
      <c r="A1922" s="160"/>
      <c r="B1922" s="160" t="s">
        <v>933</v>
      </c>
      <c r="C1922" s="157" t="s">
        <v>1875</v>
      </c>
      <c r="D1922" s="159">
        <v>1</v>
      </c>
      <c r="E1922" s="159"/>
      <c r="F1922" s="159">
        <v>4180.5200000000004</v>
      </c>
      <c r="G1922" s="160"/>
      <c r="H1922" s="34" t="s">
        <v>925</v>
      </c>
    </row>
    <row r="1923" spans="1:8" ht="33">
      <c r="A1923" s="160"/>
      <c r="B1923" s="160" t="s">
        <v>934</v>
      </c>
      <c r="C1923" s="157" t="s">
        <v>1875</v>
      </c>
      <c r="D1923" s="159"/>
      <c r="E1923" s="159"/>
      <c r="F1923" s="159">
        <v>4180.5200000000004</v>
      </c>
      <c r="G1923" s="160"/>
      <c r="H1923" s="34" t="s">
        <v>925</v>
      </c>
    </row>
    <row r="1924" spans="1:8" ht="33">
      <c r="A1924" s="160"/>
      <c r="B1924" s="160"/>
      <c r="C1924" s="157"/>
      <c r="D1924" s="159"/>
      <c r="E1924" s="159"/>
      <c r="F1924" s="159"/>
      <c r="G1924" s="160"/>
      <c r="H1924" s="34" t="s">
        <v>925</v>
      </c>
    </row>
    <row r="1925" spans="1:8" ht="33">
      <c r="A1925" s="160" t="s">
        <v>2114</v>
      </c>
      <c r="B1925" s="160" t="s">
        <v>1924</v>
      </c>
      <c r="C1925" s="157" t="s">
        <v>1875</v>
      </c>
      <c r="D1925" s="159">
        <v>1</v>
      </c>
      <c r="E1925" s="159">
        <v>5315.04</v>
      </c>
      <c r="F1925" s="159"/>
      <c r="G1925" s="160" t="s">
        <v>2</v>
      </c>
      <c r="H1925" s="34" t="s">
        <v>925</v>
      </c>
    </row>
    <row r="1926" spans="1:8" ht="28.5">
      <c r="A1926" s="160">
        <v>1</v>
      </c>
      <c r="B1926" s="160" t="s">
        <v>1926</v>
      </c>
      <c r="C1926" s="157" t="s">
        <v>1875</v>
      </c>
      <c r="D1926" s="159">
        <v>1</v>
      </c>
      <c r="E1926" s="159">
        <v>5007.51</v>
      </c>
      <c r="F1926" s="159">
        <v>5007.51</v>
      </c>
      <c r="G1926" s="160" t="s">
        <v>2</v>
      </c>
    </row>
    <row r="1927" spans="1:8" ht="33">
      <c r="A1927" s="160">
        <v>2</v>
      </c>
      <c r="B1927" s="160" t="s">
        <v>1928</v>
      </c>
      <c r="C1927" s="157" t="s">
        <v>1875</v>
      </c>
      <c r="D1927" s="159">
        <v>1</v>
      </c>
      <c r="E1927" s="159">
        <v>152.72</v>
      </c>
      <c r="F1927" s="159">
        <v>152.72</v>
      </c>
      <c r="G1927" s="160" t="s">
        <v>2</v>
      </c>
      <c r="H1927" s="34" t="s">
        <v>925</v>
      </c>
    </row>
    <row r="1928" spans="1:8" ht="33">
      <c r="A1928" s="160">
        <v>3</v>
      </c>
      <c r="B1928" s="160" t="s">
        <v>931</v>
      </c>
      <c r="C1928" s="157" t="s">
        <v>14</v>
      </c>
      <c r="D1928" s="159">
        <v>1</v>
      </c>
      <c r="E1928" s="159">
        <v>154.81</v>
      </c>
      <c r="F1928" s="159">
        <v>154.81</v>
      </c>
      <c r="G1928" s="160" t="s">
        <v>2</v>
      </c>
      <c r="H1928" s="34" t="s">
        <v>925</v>
      </c>
    </row>
    <row r="1929" spans="1:8" ht="33">
      <c r="A1929" s="160"/>
      <c r="B1929" s="160" t="s">
        <v>933</v>
      </c>
      <c r="C1929" s="157" t="s">
        <v>1875</v>
      </c>
      <c r="D1929" s="159">
        <v>1</v>
      </c>
      <c r="E1929" s="159"/>
      <c r="F1929" s="159">
        <v>5315.0400000000009</v>
      </c>
      <c r="G1929" s="160"/>
      <c r="H1929" s="34" t="s">
        <v>925</v>
      </c>
    </row>
    <row r="1930" spans="1:8" ht="33">
      <c r="A1930" s="160"/>
      <c r="B1930" s="160" t="s">
        <v>934</v>
      </c>
      <c r="C1930" s="157" t="s">
        <v>1875</v>
      </c>
      <c r="D1930" s="159"/>
      <c r="E1930" s="159"/>
      <c r="F1930" s="159">
        <v>5315.04</v>
      </c>
      <c r="G1930" s="160"/>
      <c r="H1930" s="34" t="s">
        <v>925</v>
      </c>
    </row>
    <row r="1931" spans="1:8" ht="33">
      <c r="A1931" s="160"/>
      <c r="B1931" s="160"/>
      <c r="C1931" s="157"/>
      <c r="D1931" s="159"/>
      <c r="E1931" s="159"/>
      <c r="F1931" s="159"/>
      <c r="G1931" s="160"/>
      <c r="H1931" s="34" t="s">
        <v>925</v>
      </c>
    </row>
    <row r="1932" spans="1:8" ht="33">
      <c r="A1932" s="160" t="s">
        <v>2123</v>
      </c>
      <c r="B1932" s="160" t="s">
        <v>1931</v>
      </c>
      <c r="C1932" s="157" t="s">
        <v>1875</v>
      </c>
      <c r="D1932" s="159">
        <v>1</v>
      </c>
      <c r="E1932" s="159">
        <v>4743.0200000000004</v>
      </c>
      <c r="F1932" s="159"/>
      <c r="G1932" s="160" t="s">
        <v>2</v>
      </c>
      <c r="H1932" s="34" t="s">
        <v>925</v>
      </c>
    </row>
    <row r="1933" spans="1:8" ht="33">
      <c r="A1933" s="160">
        <v>1</v>
      </c>
      <c r="B1933" s="160" t="s">
        <v>1933</v>
      </c>
      <c r="C1933" s="157" t="s">
        <v>1875</v>
      </c>
      <c r="D1933" s="159">
        <v>1</v>
      </c>
      <c r="E1933" s="159">
        <v>4461.3999999999996</v>
      </c>
      <c r="F1933" s="159">
        <v>4461.3999999999996</v>
      </c>
      <c r="G1933" s="160" t="s">
        <v>2</v>
      </c>
      <c r="H1933" s="34" t="s">
        <v>925</v>
      </c>
    </row>
    <row r="1934" spans="1:8" ht="28.5">
      <c r="A1934" s="160">
        <v>2</v>
      </c>
      <c r="B1934" s="160" t="s">
        <v>1935</v>
      </c>
      <c r="C1934" s="157" t="s">
        <v>1875</v>
      </c>
      <c r="D1934" s="159">
        <v>1</v>
      </c>
      <c r="E1934" s="159">
        <v>143.47</v>
      </c>
      <c r="F1934" s="159">
        <v>143.47</v>
      </c>
      <c r="G1934" s="160" t="s">
        <v>2</v>
      </c>
    </row>
    <row r="1935" spans="1:8" ht="33">
      <c r="A1935" s="160">
        <v>3</v>
      </c>
      <c r="B1935" s="160" t="s">
        <v>931</v>
      </c>
      <c r="C1935" s="157" t="s">
        <v>14</v>
      </c>
      <c r="D1935" s="159">
        <v>1</v>
      </c>
      <c r="E1935" s="159">
        <v>138.15</v>
      </c>
      <c r="F1935" s="159">
        <v>138.15</v>
      </c>
      <c r="G1935" s="160" t="s">
        <v>2</v>
      </c>
      <c r="H1935" s="34" t="s">
        <v>925</v>
      </c>
    </row>
    <row r="1936" spans="1:8" ht="33">
      <c r="A1936" s="160"/>
      <c r="B1936" s="160" t="s">
        <v>933</v>
      </c>
      <c r="C1936" s="157" t="s">
        <v>1875</v>
      </c>
      <c r="D1936" s="159">
        <v>1</v>
      </c>
      <c r="E1936" s="159"/>
      <c r="F1936" s="159">
        <v>4743.0199999999995</v>
      </c>
      <c r="G1936" s="160"/>
      <c r="H1936" s="34" t="s">
        <v>925</v>
      </c>
    </row>
    <row r="1937" spans="1:8" ht="33">
      <c r="A1937" s="160"/>
      <c r="B1937" s="160" t="s">
        <v>934</v>
      </c>
      <c r="C1937" s="157" t="s">
        <v>1875</v>
      </c>
      <c r="D1937" s="159"/>
      <c r="E1937" s="159"/>
      <c r="F1937" s="159">
        <v>4743.0200000000004</v>
      </c>
      <c r="G1937" s="160"/>
      <c r="H1937" s="34" t="s">
        <v>925</v>
      </c>
    </row>
    <row r="1938" spans="1:8" ht="33">
      <c r="A1938" s="160"/>
      <c r="B1938" s="160"/>
      <c r="C1938" s="157"/>
      <c r="D1938" s="159"/>
      <c r="E1938" s="159"/>
      <c r="F1938" s="159"/>
      <c r="G1938" s="160"/>
      <c r="H1938" s="34" t="s">
        <v>925</v>
      </c>
    </row>
    <row r="1939" spans="1:8" ht="42.75">
      <c r="A1939" s="160" t="s">
        <v>2128</v>
      </c>
      <c r="B1939" s="160" t="s">
        <v>1938</v>
      </c>
      <c r="C1939" s="157" t="s">
        <v>1875</v>
      </c>
      <c r="D1939" s="159">
        <v>1</v>
      </c>
      <c r="E1939" s="159">
        <v>2083.11</v>
      </c>
      <c r="F1939" s="159"/>
      <c r="G1939" s="160" t="s">
        <v>2</v>
      </c>
      <c r="H1939" s="34" t="s">
        <v>925</v>
      </c>
    </row>
    <row r="1940" spans="1:8" ht="33">
      <c r="A1940" s="160">
        <v>1</v>
      </c>
      <c r="B1940" s="160" t="s">
        <v>1940</v>
      </c>
      <c r="C1940" s="157" t="s">
        <v>1875</v>
      </c>
      <c r="D1940" s="159">
        <v>1</v>
      </c>
      <c r="E1940" s="159">
        <v>1841.95</v>
      </c>
      <c r="F1940" s="159">
        <v>1841.95</v>
      </c>
      <c r="G1940" s="160" t="s">
        <v>2</v>
      </c>
      <c r="H1940" s="34" t="s">
        <v>925</v>
      </c>
    </row>
    <row r="1941" spans="1:8" ht="33">
      <c r="A1941" s="160">
        <v>2</v>
      </c>
      <c r="B1941" s="160" t="s">
        <v>1942</v>
      </c>
      <c r="C1941" s="157" t="s">
        <v>1875</v>
      </c>
      <c r="D1941" s="159">
        <v>1</v>
      </c>
      <c r="E1941" s="159">
        <v>180.49</v>
      </c>
      <c r="F1941" s="159">
        <v>180.49</v>
      </c>
      <c r="G1941" s="160" t="s">
        <v>5455</v>
      </c>
      <c r="H1941" s="34" t="s">
        <v>925</v>
      </c>
    </row>
    <row r="1942" spans="1:8" ht="33">
      <c r="A1942" s="160">
        <v>3</v>
      </c>
      <c r="B1942" s="160" t="s">
        <v>931</v>
      </c>
      <c r="C1942" s="157" t="s">
        <v>14</v>
      </c>
      <c r="D1942" s="159">
        <v>1</v>
      </c>
      <c r="E1942" s="159">
        <v>60.67</v>
      </c>
      <c r="F1942" s="159">
        <v>60.67</v>
      </c>
      <c r="G1942" s="160" t="s">
        <v>2</v>
      </c>
      <c r="H1942" s="34" t="s">
        <v>925</v>
      </c>
    </row>
    <row r="1943" spans="1:8" ht="33">
      <c r="A1943" s="160"/>
      <c r="B1943" s="160" t="s">
        <v>933</v>
      </c>
      <c r="C1943" s="157" t="s">
        <v>1875</v>
      </c>
      <c r="D1943" s="159">
        <v>1</v>
      </c>
      <c r="E1943" s="159"/>
      <c r="F1943" s="159">
        <v>2083.11</v>
      </c>
      <c r="G1943" s="160"/>
      <c r="H1943" s="34" t="s">
        <v>925</v>
      </c>
    </row>
    <row r="1944" spans="1:8" ht="16.5">
      <c r="A1944" s="160"/>
      <c r="B1944" s="160" t="s">
        <v>934</v>
      </c>
      <c r="C1944" s="157" t="s">
        <v>1875</v>
      </c>
      <c r="D1944" s="159"/>
      <c r="E1944" s="159"/>
      <c r="F1944" s="159">
        <v>2083.11</v>
      </c>
      <c r="G1944" s="160"/>
    </row>
    <row r="1945" spans="1:8" ht="33">
      <c r="A1945" s="160"/>
      <c r="B1945" s="160"/>
      <c r="C1945" s="157"/>
      <c r="D1945" s="159"/>
      <c r="E1945" s="159"/>
      <c r="F1945" s="159"/>
      <c r="G1945" s="160"/>
      <c r="H1945" s="34" t="s">
        <v>925</v>
      </c>
    </row>
    <row r="1946" spans="1:8" ht="42.75">
      <c r="A1946" s="160" t="s">
        <v>2133</v>
      </c>
      <c r="B1946" s="160" t="s">
        <v>1945</v>
      </c>
      <c r="C1946" s="157" t="s">
        <v>1875</v>
      </c>
      <c r="D1946" s="159">
        <v>1</v>
      </c>
      <c r="E1946" s="159">
        <v>2292.85</v>
      </c>
      <c r="F1946" s="159"/>
      <c r="G1946" s="160" t="s">
        <v>2</v>
      </c>
      <c r="H1946" s="34" t="s">
        <v>925</v>
      </c>
    </row>
    <row r="1947" spans="1:8" ht="33">
      <c r="A1947" s="160">
        <v>1</v>
      </c>
      <c r="B1947" s="160" t="s">
        <v>1947</v>
      </c>
      <c r="C1947" s="157" t="s">
        <v>1875</v>
      </c>
      <c r="D1947" s="159">
        <v>1</v>
      </c>
      <c r="E1947" s="159">
        <v>2036.32</v>
      </c>
      <c r="F1947" s="159">
        <v>2036.32</v>
      </c>
      <c r="G1947" s="160" t="s">
        <v>2</v>
      </c>
      <c r="H1947" s="34" t="s">
        <v>925</v>
      </c>
    </row>
    <row r="1948" spans="1:8" ht="33">
      <c r="A1948" s="160">
        <v>2</v>
      </c>
      <c r="B1948" s="160" t="s">
        <v>1949</v>
      </c>
      <c r="C1948" s="157" t="s">
        <v>1875</v>
      </c>
      <c r="D1948" s="159">
        <v>1</v>
      </c>
      <c r="E1948" s="159">
        <v>189.75</v>
      </c>
      <c r="F1948" s="159">
        <v>189.75</v>
      </c>
      <c r="G1948" s="160" t="s">
        <v>5455</v>
      </c>
      <c r="H1948" s="34" t="s">
        <v>925</v>
      </c>
    </row>
    <row r="1949" spans="1:8" ht="33">
      <c r="A1949" s="160">
        <v>3</v>
      </c>
      <c r="B1949" s="160" t="s">
        <v>931</v>
      </c>
      <c r="C1949" s="157" t="s">
        <v>14</v>
      </c>
      <c r="D1949" s="159">
        <v>1</v>
      </c>
      <c r="E1949" s="159">
        <v>66.78</v>
      </c>
      <c r="F1949" s="159">
        <v>66.78</v>
      </c>
      <c r="G1949" s="160" t="s">
        <v>2</v>
      </c>
      <c r="H1949" s="34" t="s">
        <v>925</v>
      </c>
    </row>
    <row r="1950" spans="1:8" ht="33">
      <c r="A1950" s="160"/>
      <c r="B1950" s="160" t="s">
        <v>933</v>
      </c>
      <c r="C1950" s="157" t="s">
        <v>1875</v>
      </c>
      <c r="D1950" s="159">
        <v>1</v>
      </c>
      <c r="E1950" s="159"/>
      <c r="F1950" s="159">
        <v>2292.85</v>
      </c>
      <c r="G1950" s="160"/>
      <c r="H1950" s="34" t="s">
        <v>925</v>
      </c>
    </row>
    <row r="1951" spans="1:8" ht="33">
      <c r="A1951" s="160"/>
      <c r="B1951" s="160" t="s">
        <v>934</v>
      </c>
      <c r="C1951" s="157" t="s">
        <v>1875</v>
      </c>
      <c r="D1951" s="159"/>
      <c r="E1951" s="159"/>
      <c r="F1951" s="159">
        <v>2292.85</v>
      </c>
      <c r="G1951" s="160"/>
      <c r="H1951" s="34" t="s">
        <v>925</v>
      </c>
    </row>
    <row r="1952" spans="1:8" ht="33">
      <c r="A1952" s="160"/>
      <c r="B1952" s="160"/>
      <c r="C1952" s="157"/>
      <c r="D1952" s="159"/>
      <c r="E1952" s="159"/>
      <c r="F1952" s="159"/>
      <c r="G1952" s="160"/>
      <c r="H1952" s="34" t="s">
        <v>925</v>
      </c>
    </row>
    <row r="1953" spans="1:8" ht="42.75">
      <c r="A1953" s="160" t="s">
        <v>2140</v>
      </c>
      <c r="B1953" s="160" t="s">
        <v>1952</v>
      </c>
      <c r="C1953" s="157" t="s">
        <v>1875</v>
      </c>
      <c r="D1953" s="159">
        <v>1</v>
      </c>
      <c r="E1953" s="159">
        <v>2311.92</v>
      </c>
      <c r="F1953" s="159"/>
      <c r="G1953" s="160" t="s">
        <v>2</v>
      </c>
      <c r="H1953" s="34" t="s">
        <v>925</v>
      </c>
    </row>
    <row r="1954" spans="1:8" ht="42.75">
      <c r="A1954" s="160">
        <v>1</v>
      </c>
      <c r="B1954" s="160" t="s">
        <v>1954</v>
      </c>
      <c r="C1954" s="157" t="s">
        <v>1875</v>
      </c>
      <c r="D1954" s="159">
        <v>1</v>
      </c>
      <c r="E1954" s="159">
        <v>2045.58</v>
      </c>
      <c r="F1954" s="159">
        <v>2045.58</v>
      </c>
      <c r="G1954" s="160" t="s">
        <v>2</v>
      </c>
      <c r="H1954" s="34" t="s">
        <v>925</v>
      </c>
    </row>
    <row r="1955" spans="1:8" ht="42.75">
      <c r="A1955" s="160">
        <v>2</v>
      </c>
      <c r="B1955" s="160" t="s">
        <v>1956</v>
      </c>
      <c r="C1955" s="157" t="s">
        <v>1875</v>
      </c>
      <c r="D1955" s="159">
        <v>1</v>
      </c>
      <c r="E1955" s="159">
        <v>199</v>
      </c>
      <c r="F1955" s="159">
        <v>199</v>
      </c>
      <c r="G1955" s="160" t="s">
        <v>5455</v>
      </c>
      <c r="H1955" s="34" t="s">
        <v>925</v>
      </c>
    </row>
    <row r="1956" spans="1:8" ht="16.5">
      <c r="A1956" s="160">
        <v>3</v>
      </c>
      <c r="B1956" s="160" t="s">
        <v>931</v>
      </c>
      <c r="C1956" s="157" t="s">
        <v>14</v>
      </c>
      <c r="D1956" s="159">
        <v>1</v>
      </c>
      <c r="E1956" s="159">
        <v>67.34</v>
      </c>
      <c r="F1956" s="159">
        <v>67.34</v>
      </c>
      <c r="G1956" s="160" t="s">
        <v>2</v>
      </c>
    </row>
    <row r="1957" spans="1:8" ht="33">
      <c r="A1957" s="160"/>
      <c r="B1957" s="160" t="s">
        <v>933</v>
      </c>
      <c r="C1957" s="157" t="s">
        <v>1875</v>
      </c>
      <c r="D1957" s="159">
        <v>1</v>
      </c>
      <c r="E1957" s="159"/>
      <c r="F1957" s="159">
        <v>2311.92</v>
      </c>
      <c r="G1957" s="160"/>
      <c r="H1957" s="34" t="s">
        <v>925</v>
      </c>
    </row>
    <row r="1958" spans="1:8" ht="33">
      <c r="A1958" s="160"/>
      <c r="B1958" s="160" t="s">
        <v>934</v>
      </c>
      <c r="C1958" s="157" t="s">
        <v>1875</v>
      </c>
      <c r="D1958" s="159"/>
      <c r="E1958" s="159"/>
      <c r="F1958" s="159">
        <v>2311.92</v>
      </c>
      <c r="G1958" s="160"/>
      <c r="H1958" s="34" t="s">
        <v>925</v>
      </c>
    </row>
    <row r="1959" spans="1:8" ht="33">
      <c r="A1959" s="160"/>
      <c r="B1959" s="160"/>
      <c r="C1959" s="157"/>
      <c r="D1959" s="159"/>
      <c r="E1959" s="159"/>
      <c r="F1959" s="159"/>
      <c r="G1959" s="160"/>
      <c r="H1959" s="34" t="s">
        <v>925</v>
      </c>
    </row>
    <row r="1960" spans="1:8" ht="42.75">
      <c r="A1960" s="160" t="s">
        <v>2145</v>
      </c>
      <c r="B1960" s="160" t="s">
        <v>1959</v>
      </c>
      <c r="C1960" s="157" t="s">
        <v>1875</v>
      </c>
      <c r="D1960" s="159">
        <v>1</v>
      </c>
      <c r="E1960" s="159">
        <v>2197.52</v>
      </c>
      <c r="F1960" s="159"/>
      <c r="G1960" s="160" t="s">
        <v>2</v>
      </c>
      <c r="H1960" s="34" t="s">
        <v>925</v>
      </c>
    </row>
    <row r="1961" spans="1:8" ht="33">
      <c r="A1961" s="160">
        <v>1</v>
      </c>
      <c r="B1961" s="160" t="s">
        <v>1961</v>
      </c>
      <c r="C1961" s="157" t="s">
        <v>1875</v>
      </c>
      <c r="D1961" s="159">
        <v>1</v>
      </c>
      <c r="E1961" s="159">
        <v>1953.02</v>
      </c>
      <c r="F1961" s="159">
        <v>1953.02</v>
      </c>
      <c r="G1961" s="160" t="s">
        <v>2</v>
      </c>
      <c r="H1961" s="34" t="s">
        <v>925</v>
      </c>
    </row>
    <row r="1962" spans="1:8" ht="33">
      <c r="A1962" s="160">
        <v>2</v>
      </c>
      <c r="B1962" s="160" t="s">
        <v>1963</v>
      </c>
      <c r="C1962" s="157" t="s">
        <v>1875</v>
      </c>
      <c r="D1962" s="159">
        <v>1</v>
      </c>
      <c r="E1962" s="159">
        <v>180.49</v>
      </c>
      <c r="F1962" s="159">
        <v>180.49</v>
      </c>
      <c r="G1962" s="160" t="s">
        <v>5455</v>
      </c>
      <c r="H1962" s="34" t="s">
        <v>925</v>
      </c>
    </row>
    <row r="1963" spans="1:8" ht="33">
      <c r="A1963" s="160">
        <v>3</v>
      </c>
      <c r="B1963" s="160" t="s">
        <v>931</v>
      </c>
      <c r="C1963" s="157" t="s">
        <v>14</v>
      </c>
      <c r="D1963" s="159">
        <v>1</v>
      </c>
      <c r="E1963" s="159">
        <v>64.010000000000005</v>
      </c>
      <c r="F1963" s="159">
        <v>64.010000000000005</v>
      </c>
      <c r="G1963" s="160" t="s">
        <v>2</v>
      </c>
      <c r="H1963" s="34" t="s">
        <v>925</v>
      </c>
    </row>
    <row r="1964" spans="1:8" ht="33">
      <c r="A1964" s="160"/>
      <c r="B1964" s="160" t="s">
        <v>933</v>
      </c>
      <c r="C1964" s="157" t="s">
        <v>1875</v>
      </c>
      <c r="D1964" s="159">
        <v>1</v>
      </c>
      <c r="E1964" s="159"/>
      <c r="F1964" s="159">
        <v>2197.5200000000004</v>
      </c>
      <c r="G1964" s="160"/>
      <c r="H1964" s="34" t="s">
        <v>925</v>
      </c>
    </row>
    <row r="1965" spans="1:8" ht="33">
      <c r="A1965" s="160"/>
      <c r="B1965" s="160" t="s">
        <v>934</v>
      </c>
      <c r="C1965" s="157" t="s">
        <v>1875</v>
      </c>
      <c r="D1965" s="159"/>
      <c r="E1965" s="159"/>
      <c r="F1965" s="159">
        <v>2197.52</v>
      </c>
      <c r="G1965" s="160"/>
      <c r="H1965" s="34" t="s">
        <v>925</v>
      </c>
    </row>
    <row r="1966" spans="1:8" ht="33">
      <c r="A1966" s="160"/>
      <c r="B1966" s="160"/>
      <c r="C1966" s="157"/>
      <c r="D1966" s="159"/>
      <c r="E1966" s="159"/>
      <c r="F1966" s="159"/>
      <c r="G1966" s="160"/>
      <c r="H1966" s="34" t="s">
        <v>925</v>
      </c>
    </row>
    <row r="1967" spans="1:8" ht="42.75">
      <c r="A1967" s="160" t="s">
        <v>2157</v>
      </c>
      <c r="B1967" s="160" t="s">
        <v>1966</v>
      </c>
      <c r="C1967" s="157" t="s">
        <v>1875</v>
      </c>
      <c r="D1967" s="159">
        <v>1</v>
      </c>
      <c r="E1967" s="159">
        <v>2350.06</v>
      </c>
      <c r="F1967" s="159"/>
      <c r="G1967" s="160" t="s">
        <v>2</v>
      </c>
      <c r="H1967" s="34" t="s">
        <v>925</v>
      </c>
    </row>
    <row r="1968" spans="1:8" ht="33">
      <c r="A1968" s="160">
        <v>1</v>
      </c>
      <c r="B1968" s="160" t="s">
        <v>1968</v>
      </c>
      <c r="C1968" s="157" t="s">
        <v>1875</v>
      </c>
      <c r="D1968" s="159">
        <v>1</v>
      </c>
      <c r="E1968" s="159">
        <v>2091.86</v>
      </c>
      <c r="F1968" s="159">
        <v>2091.86</v>
      </c>
      <c r="G1968" s="160" t="s">
        <v>2</v>
      </c>
      <c r="H1968" s="34" t="s">
        <v>925</v>
      </c>
    </row>
    <row r="1969" spans="1:8" ht="28.5">
      <c r="A1969" s="160">
        <v>2</v>
      </c>
      <c r="B1969" s="160" t="s">
        <v>1970</v>
      </c>
      <c r="C1969" s="157" t="s">
        <v>1875</v>
      </c>
      <c r="D1969" s="159">
        <v>1</v>
      </c>
      <c r="E1969" s="159">
        <v>189.75</v>
      </c>
      <c r="F1969" s="159">
        <v>189.75</v>
      </c>
      <c r="G1969" s="160" t="s">
        <v>5455</v>
      </c>
    </row>
    <row r="1970" spans="1:8" ht="33">
      <c r="A1970" s="160">
        <v>3</v>
      </c>
      <c r="B1970" s="160" t="s">
        <v>931</v>
      </c>
      <c r="C1970" s="157" t="s">
        <v>14</v>
      </c>
      <c r="D1970" s="159">
        <v>1</v>
      </c>
      <c r="E1970" s="159">
        <v>68.45</v>
      </c>
      <c r="F1970" s="159">
        <v>68.45</v>
      </c>
      <c r="G1970" s="160" t="s">
        <v>2</v>
      </c>
      <c r="H1970" s="34" t="s">
        <v>925</v>
      </c>
    </row>
    <row r="1971" spans="1:8" ht="33">
      <c r="A1971" s="160"/>
      <c r="B1971" s="160" t="s">
        <v>933</v>
      </c>
      <c r="C1971" s="157" t="s">
        <v>1875</v>
      </c>
      <c r="D1971" s="159">
        <v>1</v>
      </c>
      <c r="E1971" s="159"/>
      <c r="F1971" s="159">
        <v>2350.06</v>
      </c>
      <c r="G1971" s="160"/>
      <c r="H1971" s="34" t="s">
        <v>925</v>
      </c>
    </row>
    <row r="1972" spans="1:8" ht="33">
      <c r="A1972" s="160"/>
      <c r="B1972" s="160" t="s">
        <v>934</v>
      </c>
      <c r="C1972" s="157" t="s">
        <v>1875</v>
      </c>
      <c r="D1972" s="159"/>
      <c r="E1972" s="159"/>
      <c r="F1972" s="159">
        <v>2350.06</v>
      </c>
      <c r="G1972" s="160"/>
      <c r="H1972" s="34" t="s">
        <v>925</v>
      </c>
    </row>
    <row r="1973" spans="1:8" ht="33">
      <c r="A1973" s="160"/>
      <c r="B1973" s="160"/>
      <c r="C1973" s="157"/>
      <c r="D1973" s="159"/>
      <c r="E1973" s="159"/>
      <c r="F1973" s="159"/>
      <c r="G1973" s="160"/>
      <c r="H1973" s="34" t="s">
        <v>925</v>
      </c>
    </row>
    <row r="1974" spans="1:8" ht="42.75">
      <c r="A1974" s="160" t="s">
        <v>2160</v>
      </c>
      <c r="B1974" s="160" t="s">
        <v>1973</v>
      </c>
      <c r="C1974" s="157" t="s">
        <v>1875</v>
      </c>
      <c r="D1974" s="159">
        <v>1</v>
      </c>
      <c r="E1974" s="159">
        <v>2464.46</v>
      </c>
      <c r="F1974" s="159"/>
      <c r="G1974" s="160" t="s">
        <v>2</v>
      </c>
      <c r="H1974" s="34" t="s">
        <v>925</v>
      </c>
    </row>
    <row r="1975" spans="1:8" ht="42.75">
      <c r="A1975" s="160">
        <v>1</v>
      </c>
      <c r="B1975" s="160" t="s">
        <v>1975</v>
      </c>
      <c r="C1975" s="157" t="s">
        <v>1875</v>
      </c>
      <c r="D1975" s="159">
        <v>1</v>
      </c>
      <c r="E1975" s="159">
        <v>2193.6799999999998</v>
      </c>
      <c r="F1975" s="159">
        <v>2193.6799999999998</v>
      </c>
      <c r="G1975" s="160" t="s">
        <v>2</v>
      </c>
      <c r="H1975" s="34" t="s">
        <v>925</v>
      </c>
    </row>
    <row r="1976" spans="1:8" ht="42.75">
      <c r="A1976" s="160">
        <v>2</v>
      </c>
      <c r="B1976" s="160" t="s">
        <v>1977</v>
      </c>
      <c r="C1976" s="157" t="s">
        <v>1875</v>
      </c>
      <c r="D1976" s="159">
        <v>1</v>
      </c>
      <c r="E1976" s="159">
        <v>199</v>
      </c>
      <c r="F1976" s="159">
        <v>199</v>
      </c>
      <c r="G1976" s="160" t="s">
        <v>5455</v>
      </c>
      <c r="H1976" s="34" t="s">
        <v>925</v>
      </c>
    </row>
    <row r="1977" spans="1:8" ht="33">
      <c r="A1977" s="160">
        <v>3</v>
      </c>
      <c r="B1977" s="160" t="s">
        <v>931</v>
      </c>
      <c r="C1977" s="157" t="s">
        <v>14</v>
      </c>
      <c r="D1977" s="159">
        <v>1</v>
      </c>
      <c r="E1977" s="159">
        <v>71.78</v>
      </c>
      <c r="F1977" s="159">
        <v>71.78</v>
      </c>
      <c r="G1977" s="160" t="s">
        <v>2</v>
      </c>
      <c r="H1977" s="34" t="s">
        <v>925</v>
      </c>
    </row>
    <row r="1978" spans="1:8" ht="33">
      <c r="A1978" s="160"/>
      <c r="B1978" s="160" t="s">
        <v>933</v>
      </c>
      <c r="C1978" s="157" t="s">
        <v>1875</v>
      </c>
      <c r="D1978" s="159">
        <v>1</v>
      </c>
      <c r="E1978" s="159"/>
      <c r="F1978" s="159">
        <v>2464.46</v>
      </c>
      <c r="G1978" s="160"/>
      <c r="H1978" s="34" t="s">
        <v>925</v>
      </c>
    </row>
    <row r="1979" spans="1:8" ht="33">
      <c r="A1979" s="160"/>
      <c r="B1979" s="160" t="s">
        <v>934</v>
      </c>
      <c r="C1979" s="157" t="s">
        <v>1875</v>
      </c>
      <c r="D1979" s="159"/>
      <c r="E1979" s="159"/>
      <c r="F1979" s="159">
        <v>2464.46</v>
      </c>
      <c r="G1979" s="160"/>
      <c r="H1979" s="34" t="s">
        <v>925</v>
      </c>
    </row>
    <row r="1980" spans="1:8" ht="33">
      <c r="A1980" s="160"/>
      <c r="B1980" s="160"/>
      <c r="C1980" s="157"/>
      <c r="D1980" s="159"/>
      <c r="E1980" s="159"/>
      <c r="F1980" s="159"/>
      <c r="G1980" s="160"/>
      <c r="H1980" s="34" t="s">
        <v>925</v>
      </c>
    </row>
    <row r="1981" spans="1:8" ht="42.75">
      <c r="A1981" s="160" t="s">
        <v>2168</v>
      </c>
      <c r="B1981" s="160" t="s">
        <v>1980</v>
      </c>
      <c r="C1981" s="157" t="s">
        <v>1875</v>
      </c>
      <c r="D1981" s="159">
        <v>1</v>
      </c>
      <c r="E1981" s="159">
        <v>4285.3999999999996</v>
      </c>
      <c r="F1981" s="159"/>
      <c r="G1981" s="160" t="s">
        <v>2</v>
      </c>
      <c r="H1981" s="34" t="s">
        <v>925</v>
      </c>
    </row>
    <row r="1982" spans="1:8" ht="28.5">
      <c r="A1982" s="160">
        <v>1</v>
      </c>
      <c r="B1982" s="160" t="s">
        <v>1982</v>
      </c>
      <c r="C1982" s="157" t="s">
        <v>1875</v>
      </c>
      <c r="D1982" s="159">
        <v>1</v>
      </c>
      <c r="E1982" s="159">
        <v>3998.6</v>
      </c>
      <c r="F1982" s="159">
        <v>3998.6</v>
      </c>
      <c r="G1982" s="160" t="s">
        <v>2</v>
      </c>
    </row>
    <row r="1983" spans="1:8" ht="33">
      <c r="A1983" s="160">
        <v>2</v>
      </c>
      <c r="B1983" s="160" t="s">
        <v>1984</v>
      </c>
      <c r="C1983" s="157" t="s">
        <v>1875</v>
      </c>
      <c r="D1983" s="159">
        <v>1</v>
      </c>
      <c r="E1983" s="159">
        <v>161.97999999999999</v>
      </c>
      <c r="F1983" s="159">
        <v>161.97999999999999</v>
      </c>
      <c r="G1983" s="160" t="s">
        <v>5455</v>
      </c>
      <c r="H1983" s="34" t="s">
        <v>925</v>
      </c>
    </row>
    <row r="1984" spans="1:8" ht="33">
      <c r="A1984" s="160">
        <v>3</v>
      </c>
      <c r="B1984" s="160" t="s">
        <v>931</v>
      </c>
      <c r="C1984" s="157" t="s">
        <v>14</v>
      </c>
      <c r="D1984" s="159">
        <v>1</v>
      </c>
      <c r="E1984" s="159">
        <v>124.82</v>
      </c>
      <c r="F1984" s="159">
        <v>124.82</v>
      </c>
      <c r="G1984" s="160" t="s">
        <v>2</v>
      </c>
      <c r="H1984" s="34" t="s">
        <v>925</v>
      </c>
    </row>
    <row r="1985" spans="1:8" ht="33">
      <c r="A1985" s="160"/>
      <c r="B1985" s="160" t="s">
        <v>933</v>
      </c>
      <c r="C1985" s="157" t="s">
        <v>1875</v>
      </c>
      <c r="D1985" s="159">
        <v>1</v>
      </c>
      <c r="E1985" s="159"/>
      <c r="F1985" s="159">
        <v>4285.3999999999996</v>
      </c>
      <c r="G1985" s="160"/>
      <c r="H1985" s="34" t="s">
        <v>925</v>
      </c>
    </row>
    <row r="1986" spans="1:8" ht="33">
      <c r="A1986" s="160"/>
      <c r="B1986" s="160" t="s">
        <v>934</v>
      </c>
      <c r="C1986" s="157" t="s">
        <v>1875</v>
      </c>
      <c r="D1986" s="159"/>
      <c r="E1986" s="159"/>
      <c r="F1986" s="159">
        <v>4285.3999999999996</v>
      </c>
      <c r="G1986" s="160"/>
      <c r="H1986" s="34" t="s">
        <v>925</v>
      </c>
    </row>
    <row r="1987" spans="1:8" ht="33">
      <c r="A1987" s="160"/>
      <c r="B1987" s="160"/>
      <c r="C1987" s="157"/>
      <c r="D1987" s="159"/>
      <c r="E1987" s="159"/>
      <c r="F1987" s="159"/>
      <c r="G1987" s="160"/>
      <c r="H1987" s="34" t="s">
        <v>925</v>
      </c>
    </row>
    <row r="1988" spans="1:8" ht="42.75">
      <c r="A1988" s="160" t="s">
        <v>2179</v>
      </c>
      <c r="B1988" s="160" t="s">
        <v>1987</v>
      </c>
      <c r="C1988" s="157" t="s">
        <v>1875</v>
      </c>
      <c r="D1988" s="159">
        <v>1</v>
      </c>
      <c r="E1988" s="159">
        <v>4752.55</v>
      </c>
      <c r="F1988" s="159"/>
      <c r="G1988" s="160" t="s">
        <v>2</v>
      </c>
      <c r="H1988" s="34" t="s">
        <v>925</v>
      </c>
    </row>
    <row r="1989" spans="1:8" ht="33">
      <c r="A1989" s="160">
        <v>1</v>
      </c>
      <c r="B1989" s="160" t="s">
        <v>1989</v>
      </c>
      <c r="C1989" s="157" t="s">
        <v>1875</v>
      </c>
      <c r="D1989" s="159">
        <v>1</v>
      </c>
      <c r="E1989" s="159">
        <v>4442.8900000000003</v>
      </c>
      <c r="F1989" s="159">
        <v>4442.8900000000003</v>
      </c>
      <c r="G1989" s="160" t="s">
        <v>2</v>
      </c>
      <c r="H1989" s="34" t="s">
        <v>925</v>
      </c>
    </row>
    <row r="1990" spans="1:8" ht="33">
      <c r="A1990" s="160">
        <v>2</v>
      </c>
      <c r="B1990" s="160" t="s">
        <v>1991</v>
      </c>
      <c r="C1990" s="157" t="s">
        <v>1875</v>
      </c>
      <c r="D1990" s="159">
        <v>1</v>
      </c>
      <c r="E1990" s="159">
        <v>171.24</v>
      </c>
      <c r="F1990" s="159">
        <v>171.24</v>
      </c>
      <c r="G1990" s="160" t="s">
        <v>2</v>
      </c>
      <c r="H1990" s="34" t="s">
        <v>925</v>
      </c>
    </row>
    <row r="1991" spans="1:8" ht="33">
      <c r="A1991" s="160">
        <v>3</v>
      </c>
      <c r="B1991" s="160" t="s">
        <v>931</v>
      </c>
      <c r="C1991" s="157" t="s">
        <v>14</v>
      </c>
      <c r="D1991" s="159">
        <v>1</v>
      </c>
      <c r="E1991" s="159">
        <v>138.41999999999999</v>
      </c>
      <c r="F1991" s="159">
        <v>138.41999999999999</v>
      </c>
      <c r="G1991" s="160" t="s">
        <v>2</v>
      </c>
      <c r="H1991" s="34" t="s">
        <v>925</v>
      </c>
    </row>
    <row r="1992" spans="1:8" ht="33">
      <c r="A1992" s="160"/>
      <c r="B1992" s="160" t="s">
        <v>933</v>
      </c>
      <c r="C1992" s="157" t="s">
        <v>1875</v>
      </c>
      <c r="D1992" s="159">
        <v>1</v>
      </c>
      <c r="E1992" s="159"/>
      <c r="F1992" s="159">
        <v>4752.55</v>
      </c>
      <c r="G1992" s="160"/>
      <c r="H1992" s="34" t="s">
        <v>925</v>
      </c>
    </row>
    <row r="1993" spans="1:8" ht="33">
      <c r="A1993" s="160"/>
      <c r="B1993" s="160" t="s">
        <v>934</v>
      </c>
      <c r="C1993" s="157" t="s">
        <v>1875</v>
      </c>
      <c r="D1993" s="159"/>
      <c r="E1993" s="159"/>
      <c r="F1993" s="159">
        <v>4752.55</v>
      </c>
      <c r="G1993" s="160"/>
      <c r="H1993" s="34" t="s">
        <v>925</v>
      </c>
    </row>
    <row r="1994" spans="1:8" ht="16.5">
      <c r="A1994" s="160"/>
      <c r="B1994" s="160"/>
      <c r="C1994" s="157"/>
      <c r="D1994" s="159"/>
      <c r="E1994" s="159"/>
      <c r="F1994" s="159"/>
      <c r="G1994" s="160"/>
    </row>
    <row r="1995" spans="1:8" ht="42.75">
      <c r="A1995" s="160" t="s">
        <v>2190</v>
      </c>
      <c r="B1995" s="160" t="s">
        <v>1994</v>
      </c>
      <c r="C1995" s="157" t="s">
        <v>1875</v>
      </c>
      <c r="D1995" s="159">
        <v>1</v>
      </c>
      <c r="E1995" s="159">
        <v>5315.04</v>
      </c>
      <c r="F1995" s="159"/>
      <c r="G1995" s="160" t="s">
        <v>2</v>
      </c>
      <c r="H1995" s="34" t="s">
        <v>925</v>
      </c>
    </row>
    <row r="1996" spans="1:8" ht="42.75">
      <c r="A1996" s="160">
        <v>1</v>
      </c>
      <c r="B1996" s="160" t="s">
        <v>1996</v>
      </c>
      <c r="C1996" s="157" t="s">
        <v>1875</v>
      </c>
      <c r="D1996" s="159">
        <v>1</v>
      </c>
      <c r="E1996" s="159">
        <v>4979.74</v>
      </c>
      <c r="F1996" s="159">
        <v>4979.74</v>
      </c>
      <c r="G1996" s="160" t="s">
        <v>2</v>
      </c>
      <c r="H1996" s="34" t="s">
        <v>925</v>
      </c>
    </row>
    <row r="1997" spans="1:8" ht="42.75">
      <c r="A1997" s="160">
        <v>2</v>
      </c>
      <c r="B1997" s="160" t="s">
        <v>1998</v>
      </c>
      <c r="C1997" s="157" t="s">
        <v>1875</v>
      </c>
      <c r="D1997" s="159">
        <v>1</v>
      </c>
      <c r="E1997" s="159">
        <v>180.49</v>
      </c>
      <c r="F1997" s="159">
        <v>180.49</v>
      </c>
      <c r="G1997" s="160" t="s">
        <v>5455</v>
      </c>
      <c r="H1997" s="34" t="s">
        <v>925</v>
      </c>
    </row>
    <row r="1998" spans="1:8" ht="33">
      <c r="A1998" s="160">
        <v>3</v>
      </c>
      <c r="B1998" s="160" t="s">
        <v>931</v>
      </c>
      <c r="C1998" s="157" t="s">
        <v>14</v>
      </c>
      <c r="D1998" s="159">
        <v>1</v>
      </c>
      <c r="E1998" s="159">
        <v>154.81</v>
      </c>
      <c r="F1998" s="159">
        <v>154.81</v>
      </c>
      <c r="G1998" s="160" t="s">
        <v>2</v>
      </c>
      <c r="H1998" s="34" t="s">
        <v>925</v>
      </c>
    </row>
    <row r="1999" spans="1:8" ht="33">
      <c r="A1999" s="160"/>
      <c r="B1999" s="160" t="s">
        <v>933</v>
      </c>
      <c r="C1999" s="157" t="s">
        <v>1875</v>
      </c>
      <c r="D1999" s="159">
        <v>1</v>
      </c>
      <c r="E1999" s="159"/>
      <c r="F1999" s="159">
        <v>5315.04</v>
      </c>
      <c r="G1999" s="160"/>
      <c r="H1999" s="34" t="s">
        <v>925</v>
      </c>
    </row>
    <row r="2000" spans="1:8" ht="33">
      <c r="A2000" s="160"/>
      <c r="B2000" s="160" t="s">
        <v>934</v>
      </c>
      <c r="C2000" s="157" t="s">
        <v>1875</v>
      </c>
      <c r="D2000" s="159"/>
      <c r="E2000" s="159"/>
      <c r="F2000" s="159">
        <v>5315.04</v>
      </c>
      <c r="G2000" s="160"/>
      <c r="H2000" s="34" t="s">
        <v>925</v>
      </c>
    </row>
    <row r="2001" spans="1:8" ht="33">
      <c r="A2001" s="160"/>
      <c r="B2001" s="160"/>
      <c r="C2001" s="157"/>
      <c r="D2001" s="159"/>
      <c r="E2001" s="159"/>
      <c r="F2001" s="159"/>
      <c r="G2001" s="160"/>
      <c r="H2001" s="34" t="s">
        <v>925</v>
      </c>
    </row>
    <row r="2002" spans="1:8" ht="42.75">
      <c r="A2002" s="160" t="s">
        <v>2194</v>
      </c>
      <c r="B2002" s="160" t="s">
        <v>2001</v>
      </c>
      <c r="C2002" s="157" t="s">
        <v>1875</v>
      </c>
      <c r="D2002" s="159">
        <v>1</v>
      </c>
      <c r="E2002" s="159">
        <v>4333.07</v>
      </c>
      <c r="F2002" s="159"/>
      <c r="G2002" s="160" t="s">
        <v>2</v>
      </c>
      <c r="H2002" s="34" t="s">
        <v>925</v>
      </c>
    </row>
    <row r="2003" spans="1:8" ht="33">
      <c r="A2003" s="160">
        <v>1</v>
      </c>
      <c r="B2003" s="160" t="s">
        <v>2003</v>
      </c>
      <c r="C2003" s="157" t="s">
        <v>1875</v>
      </c>
      <c r="D2003" s="159">
        <v>1</v>
      </c>
      <c r="E2003" s="159">
        <v>4044.88</v>
      </c>
      <c r="F2003" s="159">
        <v>4044.88</v>
      </c>
      <c r="G2003" s="160" t="s">
        <v>2</v>
      </c>
      <c r="H2003" s="34" t="s">
        <v>925</v>
      </c>
    </row>
    <row r="2004" spans="1:8" ht="33">
      <c r="A2004" s="160">
        <v>2</v>
      </c>
      <c r="B2004" s="160" t="s">
        <v>2005</v>
      </c>
      <c r="C2004" s="157" t="s">
        <v>1875</v>
      </c>
      <c r="D2004" s="159">
        <v>1</v>
      </c>
      <c r="E2004" s="159">
        <v>161.97999999999999</v>
      </c>
      <c r="F2004" s="159">
        <v>161.97999999999999</v>
      </c>
      <c r="G2004" s="160" t="s">
        <v>2</v>
      </c>
      <c r="H2004" s="34" t="s">
        <v>925</v>
      </c>
    </row>
    <row r="2005" spans="1:8" ht="33">
      <c r="A2005" s="160">
        <v>3</v>
      </c>
      <c r="B2005" s="160" t="s">
        <v>931</v>
      </c>
      <c r="C2005" s="157" t="s">
        <v>14</v>
      </c>
      <c r="D2005" s="159">
        <v>1</v>
      </c>
      <c r="E2005" s="159">
        <v>126.21</v>
      </c>
      <c r="F2005" s="159">
        <v>126.21</v>
      </c>
      <c r="G2005" s="160" t="s">
        <v>2</v>
      </c>
      <c r="H2005" s="34" t="s">
        <v>925</v>
      </c>
    </row>
    <row r="2006" spans="1:8" ht="16.5">
      <c r="A2006" s="160"/>
      <c r="B2006" s="160" t="s">
        <v>933</v>
      </c>
      <c r="C2006" s="157" t="s">
        <v>1875</v>
      </c>
      <c r="D2006" s="159">
        <v>1</v>
      </c>
      <c r="E2006" s="159"/>
      <c r="F2006" s="159">
        <v>4333.07</v>
      </c>
      <c r="G2006" s="160"/>
    </row>
    <row r="2007" spans="1:8" ht="33">
      <c r="A2007" s="160"/>
      <c r="B2007" s="160" t="s">
        <v>934</v>
      </c>
      <c r="C2007" s="157" t="s">
        <v>1875</v>
      </c>
      <c r="D2007" s="159"/>
      <c r="E2007" s="159"/>
      <c r="F2007" s="159">
        <v>4333.07</v>
      </c>
      <c r="G2007" s="160"/>
      <c r="H2007" s="34" t="s">
        <v>925</v>
      </c>
    </row>
    <row r="2008" spans="1:8" ht="33">
      <c r="A2008" s="160"/>
      <c r="B2008" s="160"/>
      <c r="C2008" s="157"/>
      <c r="D2008" s="159"/>
      <c r="E2008" s="159"/>
      <c r="F2008" s="159"/>
      <c r="G2008" s="160"/>
      <c r="H2008" s="34" t="s">
        <v>925</v>
      </c>
    </row>
    <row r="2009" spans="1:8" ht="42.75">
      <c r="A2009" s="160" t="s">
        <v>2203</v>
      </c>
      <c r="B2009" s="160" t="s">
        <v>2008</v>
      </c>
      <c r="C2009" s="157" t="s">
        <v>1875</v>
      </c>
      <c r="D2009" s="159">
        <v>1</v>
      </c>
      <c r="E2009" s="159">
        <v>4866.96</v>
      </c>
      <c r="F2009" s="159"/>
      <c r="G2009" s="160" t="s">
        <v>2</v>
      </c>
      <c r="H2009" s="34" t="s">
        <v>925</v>
      </c>
    </row>
    <row r="2010" spans="1:8" ht="33">
      <c r="A2010" s="160">
        <v>1</v>
      </c>
      <c r="B2010" s="160" t="s">
        <v>2012</v>
      </c>
      <c r="C2010" s="157" t="s">
        <v>1875</v>
      </c>
      <c r="D2010" s="159">
        <v>1</v>
      </c>
      <c r="E2010" s="159">
        <v>171.24</v>
      </c>
      <c r="F2010" s="159">
        <v>171.24</v>
      </c>
      <c r="G2010" s="160" t="s">
        <v>5455</v>
      </c>
      <c r="H2010" s="34" t="s">
        <v>925</v>
      </c>
    </row>
    <row r="2011" spans="1:8" ht="33">
      <c r="A2011" s="160">
        <v>2</v>
      </c>
      <c r="B2011" s="160" t="s">
        <v>2010</v>
      </c>
      <c r="C2011" s="157" t="s">
        <v>1875</v>
      </c>
      <c r="D2011" s="159">
        <v>1</v>
      </c>
      <c r="E2011" s="159">
        <v>4553.96</v>
      </c>
      <c r="F2011" s="159">
        <v>4553.96</v>
      </c>
      <c r="G2011" s="160" t="s">
        <v>2</v>
      </c>
      <c r="H2011" s="34" t="s">
        <v>925</v>
      </c>
    </row>
    <row r="2012" spans="1:8" ht="33">
      <c r="A2012" s="160">
        <v>3</v>
      </c>
      <c r="B2012" s="160" t="s">
        <v>931</v>
      </c>
      <c r="C2012" s="157" t="s">
        <v>14</v>
      </c>
      <c r="D2012" s="159">
        <v>1</v>
      </c>
      <c r="E2012" s="159">
        <v>141.76</v>
      </c>
      <c r="F2012" s="159">
        <v>141.76</v>
      </c>
      <c r="G2012" s="160" t="s">
        <v>2</v>
      </c>
      <c r="H2012" s="34" t="s">
        <v>925</v>
      </c>
    </row>
    <row r="2013" spans="1:8" ht="33">
      <c r="A2013" s="160"/>
      <c r="B2013" s="160" t="s">
        <v>933</v>
      </c>
      <c r="C2013" s="157" t="s">
        <v>1875</v>
      </c>
      <c r="D2013" s="159">
        <v>1</v>
      </c>
      <c r="E2013" s="159"/>
      <c r="F2013" s="159">
        <v>4866.96</v>
      </c>
      <c r="G2013" s="160"/>
      <c r="H2013" s="34" t="s">
        <v>925</v>
      </c>
    </row>
    <row r="2014" spans="1:8" ht="33">
      <c r="A2014" s="160"/>
      <c r="B2014" s="160" t="s">
        <v>934</v>
      </c>
      <c r="C2014" s="157" t="s">
        <v>1875</v>
      </c>
      <c r="D2014" s="159"/>
      <c r="E2014" s="159"/>
      <c r="F2014" s="159">
        <v>4866.96</v>
      </c>
      <c r="G2014" s="160"/>
      <c r="H2014" s="34" t="s">
        <v>925</v>
      </c>
    </row>
    <row r="2015" spans="1:8" ht="33">
      <c r="A2015" s="160"/>
      <c r="B2015" s="160"/>
      <c r="C2015" s="157"/>
      <c r="D2015" s="159"/>
      <c r="E2015" s="159"/>
      <c r="F2015" s="159"/>
      <c r="G2015" s="160"/>
      <c r="H2015" s="34" t="s">
        <v>925</v>
      </c>
    </row>
    <row r="2016" spans="1:8" ht="42.75">
      <c r="A2016" s="160" t="s">
        <v>2211</v>
      </c>
      <c r="B2016" s="160" t="s">
        <v>2015</v>
      </c>
      <c r="C2016" s="157" t="s">
        <v>1875</v>
      </c>
      <c r="D2016" s="159">
        <v>1</v>
      </c>
      <c r="E2016" s="159">
        <v>5629.65</v>
      </c>
      <c r="F2016" s="159"/>
      <c r="G2016" s="160" t="s">
        <v>2</v>
      </c>
      <c r="H2016" s="34" t="s">
        <v>925</v>
      </c>
    </row>
    <row r="2017" spans="1:8" ht="42.75">
      <c r="A2017" s="160">
        <v>1</v>
      </c>
      <c r="B2017" s="160" t="s">
        <v>2017</v>
      </c>
      <c r="C2017" s="157" t="s">
        <v>1875</v>
      </c>
      <c r="D2017" s="159">
        <v>1</v>
      </c>
      <c r="E2017" s="159">
        <v>5285.19</v>
      </c>
      <c r="F2017" s="159">
        <v>5285.19</v>
      </c>
      <c r="G2017" s="160" t="s">
        <v>2</v>
      </c>
      <c r="H2017" s="34" t="s">
        <v>925</v>
      </c>
    </row>
    <row r="2018" spans="1:8" ht="42.75">
      <c r="A2018" s="160">
        <v>2</v>
      </c>
      <c r="B2018" s="160" t="s">
        <v>2019</v>
      </c>
      <c r="C2018" s="157" t="s">
        <v>1875</v>
      </c>
      <c r="D2018" s="159">
        <v>1</v>
      </c>
      <c r="E2018" s="159">
        <v>180.49</v>
      </c>
      <c r="F2018" s="159">
        <v>180.49</v>
      </c>
      <c r="G2018" s="160" t="s">
        <v>5455</v>
      </c>
      <c r="H2018" s="34" t="s">
        <v>925</v>
      </c>
    </row>
    <row r="2019" spans="1:8" ht="16.5">
      <c r="A2019" s="160">
        <v>3</v>
      </c>
      <c r="B2019" s="160" t="s">
        <v>931</v>
      </c>
      <c r="C2019" s="157" t="s">
        <v>14</v>
      </c>
      <c r="D2019" s="159">
        <v>1</v>
      </c>
      <c r="E2019" s="159">
        <v>163.97</v>
      </c>
      <c r="F2019" s="159">
        <v>163.97</v>
      </c>
      <c r="G2019" s="160" t="s">
        <v>2</v>
      </c>
    </row>
    <row r="2020" spans="1:8" ht="33">
      <c r="A2020" s="160"/>
      <c r="B2020" s="160" t="s">
        <v>933</v>
      </c>
      <c r="C2020" s="157" t="s">
        <v>1875</v>
      </c>
      <c r="D2020" s="159">
        <v>1</v>
      </c>
      <c r="E2020" s="159"/>
      <c r="F2020" s="159">
        <v>5629.65</v>
      </c>
      <c r="G2020" s="160"/>
      <c r="H2020" s="34" t="s">
        <v>925</v>
      </c>
    </row>
    <row r="2021" spans="1:8" ht="33">
      <c r="A2021" s="160"/>
      <c r="B2021" s="160" t="s">
        <v>934</v>
      </c>
      <c r="C2021" s="157" t="s">
        <v>1875</v>
      </c>
      <c r="D2021" s="159"/>
      <c r="E2021" s="159"/>
      <c r="F2021" s="159">
        <v>5629.65</v>
      </c>
      <c r="G2021" s="160"/>
      <c r="H2021" s="34" t="s">
        <v>925</v>
      </c>
    </row>
    <row r="2022" spans="1:8" ht="33">
      <c r="A2022" s="160"/>
      <c r="B2022" s="160"/>
      <c r="C2022" s="157"/>
      <c r="D2022" s="159"/>
      <c r="E2022" s="159"/>
      <c r="F2022" s="159"/>
      <c r="G2022" s="160"/>
      <c r="H2022" s="34" t="s">
        <v>925</v>
      </c>
    </row>
    <row r="2023" spans="1:8" ht="42.75">
      <c r="A2023" s="160" t="s">
        <v>2218</v>
      </c>
      <c r="B2023" s="160" t="s">
        <v>4664</v>
      </c>
      <c r="C2023" s="157" t="s">
        <v>1689</v>
      </c>
      <c r="D2023" s="159">
        <v>1</v>
      </c>
      <c r="E2023" s="159">
        <v>6154.96</v>
      </c>
      <c r="F2023" s="159"/>
      <c r="G2023" s="160" t="s">
        <v>2</v>
      </c>
      <c r="H2023" s="34" t="s">
        <v>925</v>
      </c>
    </row>
    <row r="2024" spans="1:8" ht="42.75">
      <c r="A2024" s="160">
        <v>1</v>
      </c>
      <c r="B2024" s="160" t="s">
        <v>4967</v>
      </c>
      <c r="C2024" s="157" t="s">
        <v>1875</v>
      </c>
      <c r="D2024" s="159">
        <v>1</v>
      </c>
      <c r="E2024" s="159">
        <v>5827.59</v>
      </c>
      <c r="F2024" s="159">
        <v>5827.59</v>
      </c>
      <c r="G2024" s="160" t="s">
        <v>2</v>
      </c>
      <c r="H2024" s="34" t="s">
        <v>925</v>
      </c>
    </row>
    <row r="2025" spans="1:8" ht="33">
      <c r="A2025" s="160">
        <v>2</v>
      </c>
      <c r="B2025" s="160" t="s">
        <v>2026</v>
      </c>
      <c r="C2025" s="157" t="s">
        <v>14</v>
      </c>
      <c r="D2025" s="159">
        <v>1</v>
      </c>
      <c r="E2025" s="159">
        <v>148.1</v>
      </c>
      <c r="F2025" s="159">
        <v>148.1</v>
      </c>
      <c r="G2025" s="160" t="s">
        <v>2</v>
      </c>
      <c r="H2025" s="34" t="s">
        <v>925</v>
      </c>
    </row>
    <row r="2026" spans="1:8" ht="33">
      <c r="A2026" s="160">
        <v>3</v>
      </c>
      <c r="B2026" s="160" t="s">
        <v>931</v>
      </c>
      <c r="C2026" s="157" t="s">
        <v>14</v>
      </c>
      <c r="D2026" s="159">
        <v>1</v>
      </c>
      <c r="E2026" s="159">
        <v>179.27</v>
      </c>
      <c r="F2026" s="159">
        <v>179.27</v>
      </c>
      <c r="G2026" s="160" t="s">
        <v>2</v>
      </c>
      <c r="H2026" s="34" t="s">
        <v>925</v>
      </c>
    </row>
    <row r="2027" spans="1:8" ht="33">
      <c r="A2027" s="160"/>
      <c r="B2027" s="160" t="s">
        <v>933</v>
      </c>
      <c r="C2027" s="157" t="s">
        <v>1689</v>
      </c>
      <c r="D2027" s="159">
        <v>1</v>
      </c>
      <c r="E2027" s="159"/>
      <c r="F2027" s="159">
        <v>6154.9600000000009</v>
      </c>
      <c r="G2027" s="160"/>
      <c r="H2027" s="34" t="s">
        <v>925</v>
      </c>
    </row>
    <row r="2028" spans="1:8" ht="33">
      <c r="A2028" s="160"/>
      <c r="B2028" s="160" t="s">
        <v>934</v>
      </c>
      <c r="C2028" s="157" t="s">
        <v>1689</v>
      </c>
      <c r="D2028" s="159"/>
      <c r="E2028" s="159"/>
      <c r="F2028" s="159">
        <v>6154.96</v>
      </c>
      <c r="G2028" s="160"/>
      <c r="H2028" s="34" t="s">
        <v>925</v>
      </c>
    </row>
    <row r="2029" spans="1:8" ht="33">
      <c r="A2029" s="160"/>
      <c r="B2029" s="160"/>
      <c r="C2029" s="157"/>
      <c r="D2029" s="159"/>
      <c r="E2029" s="159"/>
      <c r="F2029" s="159"/>
      <c r="G2029" s="160"/>
      <c r="H2029" s="34" t="s">
        <v>925</v>
      </c>
    </row>
    <row r="2030" spans="1:8" ht="42.75">
      <c r="A2030" s="160" t="s">
        <v>2225</v>
      </c>
      <c r="B2030" s="160" t="s">
        <v>4666</v>
      </c>
      <c r="C2030" s="157" t="s">
        <v>1689</v>
      </c>
      <c r="D2030" s="159">
        <v>1</v>
      </c>
      <c r="E2030" s="159">
        <v>7253.24</v>
      </c>
      <c r="F2030" s="159"/>
      <c r="G2030" s="160" t="s">
        <v>2</v>
      </c>
      <c r="H2030" s="34" t="s">
        <v>925</v>
      </c>
    </row>
    <row r="2031" spans="1:8" ht="42.75">
      <c r="A2031" s="160">
        <v>1</v>
      </c>
      <c r="B2031" s="160" t="s">
        <v>4970</v>
      </c>
      <c r="C2031" s="157" t="s">
        <v>1875</v>
      </c>
      <c r="D2031" s="159">
        <v>1</v>
      </c>
      <c r="E2031" s="159">
        <v>6893.88</v>
      </c>
      <c r="F2031" s="159">
        <v>6893.88</v>
      </c>
      <c r="G2031" s="160" t="s">
        <v>2</v>
      </c>
      <c r="H2031" s="34" t="s">
        <v>925</v>
      </c>
    </row>
    <row r="2032" spans="1:8" ht="28.5">
      <c r="A2032" s="160">
        <v>2</v>
      </c>
      <c r="B2032" s="160" t="s">
        <v>2026</v>
      </c>
      <c r="C2032" s="157" t="s">
        <v>14</v>
      </c>
      <c r="D2032" s="159">
        <v>1</v>
      </c>
      <c r="E2032" s="159">
        <v>148.1</v>
      </c>
      <c r="F2032" s="159">
        <v>148.1</v>
      </c>
      <c r="G2032" s="160" t="s">
        <v>2</v>
      </c>
    </row>
    <row r="2033" spans="1:8" ht="33">
      <c r="A2033" s="160">
        <v>3</v>
      </c>
      <c r="B2033" s="160" t="s">
        <v>931</v>
      </c>
      <c r="C2033" s="157" t="s">
        <v>14</v>
      </c>
      <c r="D2033" s="159">
        <v>1</v>
      </c>
      <c r="E2033" s="159">
        <v>211.26</v>
      </c>
      <c r="F2033" s="159">
        <v>211.26</v>
      </c>
      <c r="G2033" s="160" t="s">
        <v>2</v>
      </c>
      <c r="H2033" s="34" t="s">
        <v>925</v>
      </c>
    </row>
    <row r="2034" spans="1:8" ht="33">
      <c r="A2034" s="160"/>
      <c r="B2034" s="160" t="s">
        <v>933</v>
      </c>
      <c r="C2034" s="157" t="s">
        <v>1689</v>
      </c>
      <c r="D2034" s="159">
        <v>1</v>
      </c>
      <c r="E2034" s="159"/>
      <c r="F2034" s="159">
        <v>7253.2400000000007</v>
      </c>
      <c r="G2034" s="160"/>
      <c r="H2034" s="34" t="s">
        <v>925</v>
      </c>
    </row>
    <row r="2035" spans="1:8" ht="33">
      <c r="A2035" s="160"/>
      <c r="B2035" s="160" t="s">
        <v>934</v>
      </c>
      <c r="C2035" s="157" t="s">
        <v>1689</v>
      </c>
      <c r="D2035" s="159"/>
      <c r="E2035" s="159"/>
      <c r="F2035" s="159">
        <v>7253.24</v>
      </c>
      <c r="G2035" s="160"/>
      <c r="H2035" s="34" t="s">
        <v>925</v>
      </c>
    </row>
    <row r="2036" spans="1:8" ht="33">
      <c r="A2036" s="160"/>
      <c r="B2036" s="160"/>
      <c r="C2036" s="157"/>
      <c r="D2036" s="159"/>
      <c r="E2036" s="159"/>
      <c r="F2036" s="159"/>
      <c r="G2036" s="160"/>
      <c r="H2036" s="34" t="s">
        <v>925</v>
      </c>
    </row>
    <row r="2037" spans="1:8" ht="42.75">
      <c r="A2037" s="160" t="s">
        <v>2228</v>
      </c>
      <c r="B2037" s="160" t="s">
        <v>4668</v>
      </c>
      <c r="C2037" s="157" t="s">
        <v>1689</v>
      </c>
      <c r="D2037" s="159">
        <v>1</v>
      </c>
      <c r="E2037" s="159">
        <v>8351.52</v>
      </c>
      <c r="F2037" s="159"/>
      <c r="G2037" s="160" t="s">
        <v>2</v>
      </c>
      <c r="H2037" s="34" t="s">
        <v>925</v>
      </c>
    </row>
    <row r="2038" spans="1:8" ht="42.75">
      <c r="A2038" s="160">
        <v>1</v>
      </c>
      <c r="B2038" s="160" t="s">
        <v>4973</v>
      </c>
      <c r="C2038" s="157" t="s">
        <v>1875</v>
      </c>
      <c r="D2038" s="159">
        <v>1</v>
      </c>
      <c r="E2038" s="159">
        <v>7960.17</v>
      </c>
      <c r="F2038" s="159">
        <v>7960.17</v>
      </c>
      <c r="G2038" s="160" t="s">
        <v>2</v>
      </c>
      <c r="H2038" s="34" t="s">
        <v>925</v>
      </c>
    </row>
    <row r="2039" spans="1:8" ht="33">
      <c r="A2039" s="160">
        <v>2</v>
      </c>
      <c r="B2039" s="160" t="s">
        <v>2026</v>
      </c>
      <c r="C2039" s="157" t="s">
        <v>14</v>
      </c>
      <c r="D2039" s="159">
        <v>1</v>
      </c>
      <c r="E2039" s="159">
        <v>148.1</v>
      </c>
      <c r="F2039" s="159">
        <v>148.1</v>
      </c>
      <c r="G2039" s="160" t="s">
        <v>2</v>
      </c>
      <c r="H2039" s="34" t="s">
        <v>925</v>
      </c>
    </row>
    <row r="2040" spans="1:8" ht="33">
      <c r="A2040" s="160">
        <v>3</v>
      </c>
      <c r="B2040" s="160" t="s">
        <v>931</v>
      </c>
      <c r="C2040" s="157" t="s">
        <v>14</v>
      </c>
      <c r="D2040" s="159">
        <v>1</v>
      </c>
      <c r="E2040" s="159">
        <v>243.25</v>
      </c>
      <c r="F2040" s="159">
        <v>243.25</v>
      </c>
      <c r="G2040" s="160" t="s">
        <v>2</v>
      </c>
      <c r="H2040" s="34" t="s">
        <v>925</v>
      </c>
    </row>
    <row r="2041" spans="1:8" ht="33">
      <c r="A2041" s="160"/>
      <c r="B2041" s="160" t="s">
        <v>933</v>
      </c>
      <c r="C2041" s="157" t="s">
        <v>1689</v>
      </c>
      <c r="D2041" s="159">
        <v>1</v>
      </c>
      <c r="E2041" s="159"/>
      <c r="F2041" s="159">
        <v>8351.52</v>
      </c>
      <c r="G2041" s="160"/>
      <c r="H2041" s="34" t="s">
        <v>925</v>
      </c>
    </row>
    <row r="2042" spans="1:8" ht="33">
      <c r="A2042" s="160"/>
      <c r="B2042" s="160" t="s">
        <v>934</v>
      </c>
      <c r="C2042" s="157" t="s">
        <v>1689</v>
      </c>
      <c r="D2042" s="159"/>
      <c r="E2042" s="159"/>
      <c r="F2042" s="159">
        <v>8351.52</v>
      </c>
      <c r="G2042" s="160"/>
      <c r="H2042" s="34" t="s">
        <v>925</v>
      </c>
    </row>
    <row r="2043" spans="1:8" ht="33">
      <c r="A2043" s="160"/>
      <c r="B2043" s="160"/>
      <c r="C2043" s="157"/>
      <c r="D2043" s="159"/>
      <c r="E2043" s="159"/>
      <c r="F2043" s="159"/>
      <c r="G2043" s="160"/>
      <c r="H2043" s="34" t="s">
        <v>925</v>
      </c>
    </row>
    <row r="2044" spans="1:8" ht="33">
      <c r="A2044" s="160" t="s">
        <v>2231</v>
      </c>
      <c r="B2044" s="160" t="s">
        <v>2022</v>
      </c>
      <c r="C2044" s="157" t="s">
        <v>1689</v>
      </c>
      <c r="D2044" s="159">
        <v>1</v>
      </c>
      <c r="E2044" s="159">
        <v>2101.7800000000002</v>
      </c>
      <c r="F2044" s="159"/>
      <c r="G2044" s="160" t="s">
        <v>2</v>
      </c>
      <c r="H2044" s="34" t="s">
        <v>925</v>
      </c>
    </row>
    <row r="2045" spans="1:8" ht="16.5">
      <c r="A2045" s="160">
        <v>1</v>
      </c>
      <c r="B2045" s="160" t="s">
        <v>2024</v>
      </c>
      <c r="C2045" s="157" t="s">
        <v>18</v>
      </c>
      <c r="D2045" s="159">
        <v>23.5</v>
      </c>
      <c r="E2045" s="159">
        <v>80.53</v>
      </c>
      <c r="F2045" s="159">
        <v>1892.46</v>
      </c>
      <c r="G2045" s="160" t="s">
        <v>2</v>
      </c>
    </row>
    <row r="2046" spans="1:8" ht="33">
      <c r="A2046" s="160">
        <v>2</v>
      </c>
      <c r="B2046" s="160" t="s">
        <v>2026</v>
      </c>
      <c r="C2046" s="157" t="s">
        <v>14</v>
      </c>
      <c r="D2046" s="159">
        <v>1</v>
      </c>
      <c r="E2046" s="159">
        <v>148.1</v>
      </c>
      <c r="F2046" s="159">
        <v>148.1</v>
      </c>
      <c r="G2046" s="160" t="s">
        <v>2</v>
      </c>
      <c r="H2046" s="34" t="s">
        <v>925</v>
      </c>
    </row>
    <row r="2047" spans="1:8" ht="33">
      <c r="A2047" s="160">
        <v>3</v>
      </c>
      <c r="B2047" s="160" t="s">
        <v>931</v>
      </c>
      <c r="C2047" s="157" t="s">
        <v>14</v>
      </c>
      <c r="D2047" s="159">
        <v>1</v>
      </c>
      <c r="E2047" s="159">
        <v>61.22</v>
      </c>
      <c r="F2047" s="159">
        <v>61.22</v>
      </c>
      <c r="G2047" s="160" t="s">
        <v>2</v>
      </c>
      <c r="H2047" s="34" t="s">
        <v>925</v>
      </c>
    </row>
    <row r="2048" spans="1:8" ht="33">
      <c r="A2048" s="160"/>
      <c r="B2048" s="160" t="s">
        <v>933</v>
      </c>
      <c r="C2048" s="157" t="s">
        <v>1689</v>
      </c>
      <c r="D2048" s="159">
        <v>1</v>
      </c>
      <c r="E2048" s="159"/>
      <c r="F2048" s="159">
        <v>2101.7799999999997</v>
      </c>
      <c r="G2048" s="160"/>
      <c r="H2048" s="34" t="s">
        <v>925</v>
      </c>
    </row>
    <row r="2049" spans="1:8" ht="33">
      <c r="A2049" s="160"/>
      <c r="B2049" s="160" t="s">
        <v>934</v>
      </c>
      <c r="C2049" s="157" t="s">
        <v>1689</v>
      </c>
      <c r="D2049" s="159"/>
      <c r="E2049" s="159"/>
      <c r="F2049" s="159">
        <v>2101.7800000000002</v>
      </c>
      <c r="G2049" s="160"/>
      <c r="H2049" s="34" t="s">
        <v>925</v>
      </c>
    </row>
    <row r="2050" spans="1:8" ht="33">
      <c r="A2050" s="160"/>
      <c r="B2050" s="160"/>
      <c r="C2050" s="157"/>
      <c r="D2050" s="159"/>
      <c r="E2050" s="159"/>
      <c r="F2050" s="159"/>
      <c r="G2050" s="160"/>
      <c r="H2050" s="34" t="s">
        <v>925</v>
      </c>
    </row>
    <row r="2051" spans="1:8" ht="33">
      <c r="A2051" s="160" t="s">
        <v>2236</v>
      </c>
      <c r="B2051" s="160" t="s">
        <v>2029</v>
      </c>
      <c r="C2051" s="157" t="s">
        <v>1689</v>
      </c>
      <c r="D2051" s="159">
        <v>1</v>
      </c>
      <c r="E2051" s="159">
        <v>2649.21</v>
      </c>
      <c r="F2051" s="159"/>
      <c r="G2051" s="160" t="s">
        <v>2</v>
      </c>
      <c r="H2051" s="34" t="s">
        <v>925</v>
      </c>
    </row>
    <row r="2052" spans="1:8" ht="33">
      <c r="A2052" s="160">
        <v>1</v>
      </c>
      <c r="B2052" s="160" t="s">
        <v>2024</v>
      </c>
      <c r="C2052" s="157" t="s">
        <v>18</v>
      </c>
      <c r="D2052" s="159">
        <v>30.1</v>
      </c>
      <c r="E2052" s="159">
        <v>80.53</v>
      </c>
      <c r="F2052" s="159">
        <v>2423.9499999999998</v>
      </c>
      <c r="G2052" s="160" t="s">
        <v>2</v>
      </c>
      <c r="H2052" s="34" t="s">
        <v>925</v>
      </c>
    </row>
    <row r="2053" spans="1:8" ht="33">
      <c r="A2053" s="160">
        <v>2</v>
      </c>
      <c r="B2053" s="160" t="s">
        <v>2026</v>
      </c>
      <c r="C2053" s="157" t="s">
        <v>14</v>
      </c>
      <c r="D2053" s="159">
        <v>1</v>
      </c>
      <c r="E2053" s="159">
        <v>148.1</v>
      </c>
      <c r="F2053" s="159">
        <v>148.1</v>
      </c>
      <c r="G2053" s="160" t="s">
        <v>2</v>
      </c>
      <c r="H2053" s="34" t="s">
        <v>925</v>
      </c>
    </row>
    <row r="2054" spans="1:8" ht="33">
      <c r="A2054" s="160">
        <v>3</v>
      </c>
      <c r="B2054" s="160" t="s">
        <v>931</v>
      </c>
      <c r="C2054" s="157" t="s">
        <v>14</v>
      </c>
      <c r="D2054" s="159">
        <v>1</v>
      </c>
      <c r="E2054" s="159">
        <v>77.16</v>
      </c>
      <c r="F2054" s="159">
        <v>77.16</v>
      </c>
      <c r="G2054" s="160" t="s">
        <v>2</v>
      </c>
      <c r="H2054" s="34" t="s">
        <v>925</v>
      </c>
    </row>
    <row r="2055" spans="1:8" ht="33">
      <c r="A2055" s="160"/>
      <c r="B2055" s="160" t="s">
        <v>933</v>
      </c>
      <c r="C2055" s="157" t="s">
        <v>1689</v>
      </c>
      <c r="D2055" s="159">
        <v>1</v>
      </c>
      <c r="E2055" s="159"/>
      <c r="F2055" s="159">
        <v>2649.2099999999996</v>
      </c>
      <c r="G2055" s="160"/>
      <c r="H2055" s="34" t="s">
        <v>925</v>
      </c>
    </row>
    <row r="2056" spans="1:8" ht="33">
      <c r="A2056" s="160"/>
      <c r="B2056" s="160" t="s">
        <v>934</v>
      </c>
      <c r="C2056" s="157" t="s">
        <v>1689</v>
      </c>
      <c r="D2056" s="159"/>
      <c r="E2056" s="159"/>
      <c r="F2056" s="159">
        <v>2649.21</v>
      </c>
      <c r="G2056" s="160"/>
      <c r="H2056" s="34" t="s">
        <v>925</v>
      </c>
    </row>
    <row r="2057" spans="1:8" ht="33">
      <c r="A2057" s="160"/>
      <c r="B2057" s="160"/>
      <c r="C2057" s="157"/>
      <c r="D2057" s="159"/>
      <c r="E2057" s="159"/>
      <c r="F2057" s="159"/>
      <c r="G2057" s="160"/>
      <c r="H2057" s="34" t="s">
        <v>925</v>
      </c>
    </row>
    <row r="2058" spans="1:8" ht="28.5">
      <c r="A2058" s="160" t="s">
        <v>2244</v>
      </c>
      <c r="B2058" s="160" t="s">
        <v>2032</v>
      </c>
      <c r="C2058" s="157" t="s">
        <v>1689</v>
      </c>
      <c r="D2058" s="159">
        <v>1</v>
      </c>
      <c r="E2058" s="159">
        <v>2898.24</v>
      </c>
      <c r="F2058" s="159"/>
      <c r="G2058" s="160" t="s">
        <v>2</v>
      </c>
    </row>
    <row r="2059" spans="1:8" ht="42.75">
      <c r="A2059" s="160">
        <v>1</v>
      </c>
      <c r="B2059" s="160" t="s">
        <v>2034</v>
      </c>
      <c r="C2059" s="157" t="s">
        <v>1875</v>
      </c>
      <c r="D2059" s="159">
        <v>1</v>
      </c>
      <c r="E2059" s="159">
        <v>2665.73</v>
      </c>
      <c r="F2059" s="159">
        <v>2665.73</v>
      </c>
      <c r="G2059" s="160" t="s">
        <v>2</v>
      </c>
      <c r="H2059" s="34" t="s">
        <v>925</v>
      </c>
    </row>
    <row r="2060" spans="1:8" ht="33">
      <c r="A2060" s="160">
        <v>2</v>
      </c>
      <c r="B2060" s="160" t="s">
        <v>2026</v>
      </c>
      <c r="C2060" s="157" t="s">
        <v>14</v>
      </c>
      <c r="D2060" s="159">
        <v>1</v>
      </c>
      <c r="E2060" s="159">
        <v>148.1</v>
      </c>
      <c r="F2060" s="159">
        <v>148.1</v>
      </c>
      <c r="G2060" s="160" t="s">
        <v>2</v>
      </c>
      <c r="H2060" s="34" t="s">
        <v>925</v>
      </c>
    </row>
    <row r="2061" spans="1:8" ht="33">
      <c r="A2061" s="160">
        <v>3</v>
      </c>
      <c r="B2061" s="160" t="s">
        <v>931</v>
      </c>
      <c r="C2061" s="157" t="s">
        <v>14</v>
      </c>
      <c r="D2061" s="159">
        <v>1</v>
      </c>
      <c r="E2061" s="159">
        <v>84.41</v>
      </c>
      <c r="F2061" s="159">
        <v>84.41</v>
      </c>
      <c r="G2061" s="160" t="s">
        <v>2</v>
      </c>
      <c r="H2061" s="34" t="s">
        <v>925</v>
      </c>
    </row>
    <row r="2062" spans="1:8" ht="33">
      <c r="A2062" s="160"/>
      <c r="B2062" s="160" t="s">
        <v>933</v>
      </c>
      <c r="C2062" s="157" t="s">
        <v>1689</v>
      </c>
      <c r="D2062" s="159">
        <v>1</v>
      </c>
      <c r="E2062" s="159"/>
      <c r="F2062" s="159">
        <v>2898.24</v>
      </c>
      <c r="G2062" s="160"/>
      <c r="H2062" s="34" t="s">
        <v>925</v>
      </c>
    </row>
    <row r="2063" spans="1:8" ht="33">
      <c r="A2063" s="160"/>
      <c r="B2063" s="160" t="s">
        <v>934</v>
      </c>
      <c r="C2063" s="157" t="s">
        <v>1689</v>
      </c>
      <c r="D2063" s="159"/>
      <c r="E2063" s="159"/>
      <c r="F2063" s="159">
        <v>2898.24</v>
      </c>
      <c r="G2063" s="160"/>
      <c r="H2063" s="34" t="s">
        <v>925</v>
      </c>
    </row>
    <row r="2064" spans="1:8" ht="33">
      <c r="A2064" s="160"/>
      <c r="B2064" s="160"/>
      <c r="C2064" s="157"/>
      <c r="D2064" s="159"/>
      <c r="E2064" s="159"/>
      <c r="F2064" s="159"/>
      <c r="G2064" s="160"/>
      <c r="H2064" s="34" t="s">
        <v>925</v>
      </c>
    </row>
    <row r="2065" spans="1:8" ht="33">
      <c r="A2065" s="160" t="s">
        <v>2255</v>
      </c>
      <c r="B2065" s="160" t="s">
        <v>2037</v>
      </c>
      <c r="C2065" s="157" t="s">
        <v>1689</v>
      </c>
      <c r="D2065" s="159">
        <v>1</v>
      </c>
      <c r="E2065" s="159">
        <v>3336.8</v>
      </c>
      <c r="F2065" s="159"/>
      <c r="G2065" s="160" t="s">
        <v>2</v>
      </c>
      <c r="H2065" s="34" t="s">
        <v>925</v>
      </c>
    </row>
    <row r="2066" spans="1:8" ht="42.75">
      <c r="A2066" s="160">
        <v>1</v>
      </c>
      <c r="B2066" s="160" t="s">
        <v>2039</v>
      </c>
      <c r="C2066" s="157" t="s">
        <v>1875</v>
      </c>
      <c r="D2066" s="159">
        <v>1</v>
      </c>
      <c r="E2066" s="159">
        <v>3091.51</v>
      </c>
      <c r="F2066" s="159">
        <v>3091.51</v>
      </c>
      <c r="G2066" s="160" t="s">
        <v>2</v>
      </c>
    </row>
    <row r="2067" spans="1:8" ht="33">
      <c r="A2067" s="160">
        <v>2</v>
      </c>
      <c r="B2067" s="160" t="s">
        <v>2026</v>
      </c>
      <c r="C2067" s="157" t="s">
        <v>14</v>
      </c>
      <c r="D2067" s="159">
        <v>1</v>
      </c>
      <c r="E2067" s="159">
        <v>148.1</v>
      </c>
      <c r="F2067" s="159">
        <v>148.1</v>
      </c>
      <c r="G2067" s="160" t="s">
        <v>2</v>
      </c>
      <c r="H2067" s="34" t="s">
        <v>925</v>
      </c>
    </row>
    <row r="2068" spans="1:8" ht="33">
      <c r="A2068" s="160">
        <v>3</v>
      </c>
      <c r="B2068" s="160" t="s">
        <v>931</v>
      </c>
      <c r="C2068" s="157" t="s">
        <v>14</v>
      </c>
      <c r="D2068" s="159">
        <v>1</v>
      </c>
      <c r="E2068" s="159">
        <v>97.19</v>
      </c>
      <c r="F2068" s="159">
        <v>97.19</v>
      </c>
      <c r="G2068" s="160" t="s">
        <v>2</v>
      </c>
      <c r="H2068" s="34" t="s">
        <v>925</v>
      </c>
    </row>
    <row r="2069" spans="1:8" ht="33">
      <c r="A2069" s="160"/>
      <c r="B2069" s="160" t="s">
        <v>933</v>
      </c>
      <c r="C2069" s="157" t="s">
        <v>1689</v>
      </c>
      <c r="D2069" s="159">
        <v>1</v>
      </c>
      <c r="E2069" s="159"/>
      <c r="F2069" s="159">
        <v>3336.8</v>
      </c>
      <c r="G2069" s="160"/>
      <c r="H2069" s="34" t="s">
        <v>925</v>
      </c>
    </row>
    <row r="2070" spans="1:8" ht="33">
      <c r="A2070" s="160"/>
      <c r="B2070" s="160" t="s">
        <v>934</v>
      </c>
      <c r="C2070" s="157" t="s">
        <v>1689</v>
      </c>
      <c r="D2070" s="159"/>
      <c r="E2070" s="159"/>
      <c r="F2070" s="159">
        <v>3336.8</v>
      </c>
      <c r="G2070" s="160"/>
      <c r="H2070" s="34" t="s">
        <v>925</v>
      </c>
    </row>
    <row r="2071" spans="1:8" ht="33">
      <c r="A2071" s="160"/>
      <c r="B2071" s="160"/>
      <c r="C2071" s="157"/>
      <c r="D2071" s="159"/>
      <c r="E2071" s="159"/>
      <c r="F2071" s="159"/>
      <c r="G2071" s="160"/>
      <c r="H2071" s="34" t="s">
        <v>925</v>
      </c>
    </row>
    <row r="2072" spans="1:8" ht="33">
      <c r="A2072" s="160" t="s">
        <v>2258</v>
      </c>
      <c r="B2072" s="160" t="s">
        <v>2042</v>
      </c>
      <c r="C2072" s="157" t="s">
        <v>1689</v>
      </c>
      <c r="D2072" s="159">
        <v>1</v>
      </c>
      <c r="E2072" s="159">
        <v>3651.41</v>
      </c>
      <c r="F2072" s="159"/>
      <c r="G2072" s="160" t="s">
        <v>2</v>
      </c>
      <c r="H2072" s="34" t="s">
        <v>925</v>
      </c>
    </row>
    <row r="2073" spans="1:8" ht="33">
      <c r="A2073" s="160">
        <v>1</v>
      </c>
      <c r="B2073" s="160" t="s">
        <v>2026</v>
      </c>
      <c r="C2073" s="157" t="s">
        <v>14</v>
      </c>
      <c r="D2073" s="159">
        <v>1</v>
      </c>
      <c r="E2073" s="159">
        <v>148.1</v>
      </c>
      <c r="F2073" s="159">
        <v>148.1</v>
      </c>
      <c r="G2073" s="160" t="s">
        <v>2</v>
      </c>
      <c r="H2073" s="34" t="s">
        <v>925</v>
      </c>
    </row>
    <row r="2074" spans="1:8" ht="42.75">
      <c r="A2074" s="160">
        <v>2</v>
      </c>
      <c r="B2074" s="160" t="s">
        <v>2044</v>
      </c>
      <c r="C2074" s="157" t="s">
        <v>1875</v>
      </c>
      <c r="D2074" s="159">
        <v>1</v>
      </c>
      <c r="E2074" s="159">
        <v>3396.96</v>
      </c>
      <c r="F2074" s="159">
        <v>3396.96</v>
      </c>
      <c r="G2074" s="160" t="s">
        <v>2</v>
      </c>
      <c r="H2074" s="34" t="s">
        <v>925</v>
      </c>
    </row>
    <row r="2075" spans="1:8" ht="33">
      <c r="A2075" s="160">
        <v>3</v>
      </c>
      <c r="B2075" s="160" t="s">
        <v>931</v>
      </c>
      <c r="C2075" s="157" t="s">
        <v>14</v>
      </c>
      <c r="D2075" s="159">
        <v>1</v>
      </c>
      <c r="E2075" s="159">
        <v>106.35</v>
      </c>
      <c r="F2075" s="159">
        <v>106.35</v>
      </c>
      <c r="G2075" s="160" t="s">
        <v>2</v>
      </c>
      <c r="H2075" s="34" t="s">
        <v>925</v>
      </c>
    </row>
    <row r="2076" spans="1:8" ht="33">
      <c r="A2076" s="160"/>
      <c r="B2076" s="160" t="s">
        <v>933</v>
      </c>
      <c r="C2076" s="157" t="s">
        <v>1689</v>
      </c>
      <c r="D2076" s="159">
        <v>1</v>
      </c>
      <c r="E2076" s="159"/>
      <c r="F2076" s="159">
        <v>3651.41</v>
      </c>
      <c r="G2076" s="160"/>
      <c r="H2076" s="34" t="s">
        <v>925</v>
      </c>
    </row>
    <row r="2077" spans="1:8" ht="33">
      <c r="A2077" s="160"/>
      <c r="B2077" s="160" t="s">
        <v>934</v>
      </c>
      <c r="C2077" s="157" t="s">
        <v>1689</v>
      </c>
      <c r="D2077" s="159"/>
      <c r="E2077" s="159"/>
      <c r="F2077" s="159">
        <v>3651.41</v>
      </c>
      <c r="G2077" s="160"/>
      <c r="H2077" s="34" t="s">
        <v>925</v>
      </c>
    </row>
    <row r="2078" spans="1:8" ht="16.5">
      <c r="A2078" s="160"/>
      <c r="B2078" s="160"/>
      <c r="C2078" s="157"/>
      <c r="D2078" s="159"/>
      <c r="E2078" s="159"/>
      <c r="F2078" s="159"/>
      <c r="G2078" s="160"/>
    </row>
    <row r="2079" spans="1:8" ht="33">
      <c r="A2079" s="160" t="s">
        <v>2261</v>
      </c>
      <c r="B2079" s="160" t="s">
        <v>2047</v>
      </c>
      <c r="C2079" s="157" t="s">
        <v>18</v>
      </c>
      <c r="D2079" s="159">
        <v>1000</v>
      </c>
      <c r="E2079" s="159">
        <v>82.2</v>
      </c>
      <c r="F2079" s="159"/>
      <c r="G2079" s="160" t="s">
        <v>2</v>
      </c>
      <c r="H2079" s="34" t="s">
        <v>925</v>
      </c>
    </row>
    <row r="2080" spans="1:8" ht="33">
      <c r="A2080" s="160">
        <v>1</v>
      </c>
      <c r="B2080" s="160" t="s">
        <v>2049</v>
      </c>
      <c r="C2080" s="157" t="s">
        <v>18</v>
      </c>
      <c r="D2080" s="159">
        <v>1000</v>
      </c>
      <c r="E2080" s="159">
        <v>29.62</v>
      </c>
      <c r="F2080" s="159">
        <v>29620</v>
      </c>
      <c r="G2080" s="160" t="s">
        <v>2</v>
      </c>
      <c r="H2080" s="34" t="s">
        <v>925</v>
      </c>
    </row>
    <row r="2081" spans="1:8" ht="33">
      <c r="A2081" s="160">
        <v>2</v>
      </c>
      <c r="B2081" s="160" t="s">
        <v>1437</v>
      </c>
      <c r="C2081" s="157" t="s">
        <v>18</v>
      </c>
      <c r="D2081" s="159">
        <v>1000</v>
      </c>
      <c r="E2081" s="159">
        <v>32.92</v>
      </c>
      <c r="F2081" s="159">
        <v>32920</v>
      </c>
      <c r="G2081" s="160" t="s">
        <v>1646</v>
      </c>
      <c r="H2081" s="34" t="s">
        <v>925</v>
      </c>
    </row>
    <row r="2082" spans="1:8" ht="42.75">
      <c r="A2082" s="160">
        <v>3</v>
      </c>
      <c r="B2082" s="160" t="s">
        <v>2051</v>
      </c>
      <c r="C2082" s="157" t="s">
        <v>18</v>
      </c>
      <c r="D2082" s="159">
        <v>1000</v>
      </c>
      <c r="E2082" s="159">
        <v>17.12</v>
      </c>
      <c r="F2082" s="159">
        <v>17120</v>
      </c>
      <c r="G2082" s="160" t="s">
        <v>2</v>
      </c>
      <c r="H2082" s="34" t="s">
        <v>925</v>
      </c>
    </row>
    <row r="2083" spans="1:8" ht="33">
      <c r="A2083" s="160">
        <v>4</v>
      </c>
      <c r="B2083" s="160" t="s">
        <v>2026</v>
      </c>
      <c r="C2083" s="157" t="s">
        <v>14</v>
      </c>
      <c r="D2083" s="159">
        <v>1</v>
      </c>
      <c r="E2083" s="159">
        <v>148.1</v>
      </c>
      <c r="F2083" s="159">
        <v>148.1</v>
      </c>
      <c r="G2083" s="160" t="s">
        <v>2</v>
      </c>
      <c r="H2083" s="34" t="s">
        <v>925</v>
      </c>
    </row>
    <row r="2084" spans="1:8" ht="33">
      <c r="A2084" s="160">
        <v>5</v>
      </c>
      <c r="B2084" s="160" t="s">
        <v>931</v>
      </c>
      <c r="C2084" s="157" t="s">
        <v>14</v>
      </c>
      <c r="D2084" s="159">
        <v>1</v>
      </c>
      <c r="E2084" s="159">
        <v>2394.2399999999998</v>
      </c>
      <c r="F2084" s="159">
        <v>2394.2399999999998</v>
      </c>
      <c r="G2084" s="160" t="s">
        <v>2</v>
      </c>
      <c r="H2084" s="34" t="s">
        <v>925</v>
      </c>
    </row>
    <row r="2085" spans="1:8" ht="33">
      <c r="A2085" s="160"/>
      <c r="B2085" s="160" t="s">
        <v>933</v>
      </c>
      <c r="C2085" s="157" t="s">
        <v>18</v>
      </c>
      <c r="D2085" s="159">
        <v>1000</v>
      </c>
      <c r="E2085" s="159"/>
      <c r="F2085" s="159">
        <v>82202.340000000011</v>
      </c>
      <c r="G2085" s="160"/>
      <c r="H2085" s="34" t="s">
        <v>925</v>
      </c>
    </row>
    <row r="2086" spans="1:8" ht="33">
      <c r="A2086" s="160"/>
      <c r="B2086" s="160" t="s">
        <v>934</v>
      </c>
      <c r="C2086" s="157" t="s">
        <v>18</v>
      </c>
      <c r="D2086" s="159"/>
      <c r="E2086" s="159"/>
      <c r="F2086" s="159">
        <v>82.2</v>
      </c>
      <c r="G2086" s="160"/>
      <c r="H2086" s="34" t="s">
        <v>925</v>
      </c>
    </row>
    <row r="2087" spans="1:8" ht="33">
      <c r="A2087" s="160"/>
      <c r="B2087" s="160"/>
      <c r="C2087" s="157"/>
      <c r="D2087" s="159"/>
      <c r="E2087" s="159"/>
      <c r="F2087" s="159"/>
      <c r="G2087" s="160"/>
      <c r="H2087" s="34" t="s">
        <v>925</v>
      </c>
    </row>
    <row r="2088" spans="1:8" ht="33">
      <c r="A2088" s="160" t="s">
        <v>2264</v>
      </c>
      <c r="B2088" s="160" t="s">
        <v>2054</v>
      </c>
      <c r="C2088" s="157" t="s">
        <v>1689</v>
      </c>
      <c r="D2088" s="159">
        <v>1</v>
      </c>
      <c r="E2088" s="159">
        <v>3346.34</v>
      </c>
      <c r="F2088" s="159"/>
      <c r="G2088" s="160" t="s">
        <v>2</v>
      </c>
      <c r="H2088" s="34" t="s">
        <v>925</v>
      </c>
    </row>
    <row r="2089" spans="1:8" ht="42.75">
      <c r="A2089" s="160">
        <v>1</v>
      </c>
      <c r="B2089" s="160" t="s">
        <v>2056</v>
      </c>
      <c r="C2089" s="157" t="s">
        <v>1689</v>
      </c>
      <c r="D2089" s="159">
        <v>1</v>
      </c>
      <c r="E2089" s="159">
        <v>3100.77</v>
      </c>
      <c r="F2089" s="159">
        <v>3100.77</v>
      </c>
      <c r="G2089" s="160" t="s">
        <v>2</v>
      </c>
      <c r="H2089" s="34" t="s">
        <v>925</v>
      </c>
    </row>
    <row r="2090" spans="1:8" ht="28.5">
      <c r="A2090" s="160">
        <v>2</v>
      </c>
      <c r="B2090" s="160" t="s">
        <v>2026</v>
      </c>
      <c r="C2090" s="157" t="s">
        <v>14</v>
      </c>
      <c r="D2090" s="159">
        <v>1</v>
      </c>
      <c r="E2090" s="159">
        <v>148.1</v>
      </c>
      <c r="F2090" s="159">
        <v>148.1</v>
      </c>
      <c r="G2090" s="160" t="s">
        <v>2</v>
      </c>
    </row>
    <row r="2091" spans="1:8" ht="33">
      <c r="A2091" s="160">
        <v>3</v>
      </c>
      <c r="B2091" s="160" t="s">
        <v>931</v>
      </c>
      <c r="C2091" s="157" t="s">
        <v>14</v>
      </c>
      <c r="D2091" s="159">
        <v>1</v>
      </c>
      <c r="E2091" s="159">
        <v>97.47</v>
      </c>
      <c r="F2091" s="159">
        <v>97.47</v>
      </c>
      <c r="G2091" s="160" t="s">
        <v>2</v>
      </c>
      <c r="H2091" s="34" t="s">
        <v>925</v>
      </c>
    </row>
    <row r="2092" spans="1:8" ht="33">
      <c r="A2092" s="160"/>
      <c r="B2092" s="160" t="s">
        <v>933</v>
      </c>
      <c r="C2092" s="157" t="s">
        <v>1689</v>
      </c>
      <c r="D2092" s="159">
        <v>1</v>
      </c>
      <c r="E2092" s="159"/>
      <c r="F2092" s="159">
        <v>3346.3399999999997</v>
      </c>
      <c r="G2092" s="160"/>
      <c r="H2092" s="34" t="s">
        <v>925</v>
      </c>
    </row>
    <row r="2093" spans="1:8" ht="33">
      <c r="A2093" s="160"/>
      <c r="B2093" s="160" t="s">
        <v>934</v>
      </c>
      <c r="C2093" s="157" t="s">
        <v>1689</v>
      </c>
      <c r="D2093" s="159"/>
      <c r="E2093" s="159"/>
      <c r="F2093" s="159">
        <v>3346.34</v>
      </c>
      <c r="G2093" s="160"/>
      <c r="H2093" s="34" t="s">
        <v>925</v>
      </c>
    </row>
    <row r="2094" spans="1:8" ht="33">
      <c r="A2094" s="160"/>
      <c r="B2094" s="160"/>
      <c r="C2094" s="157"/>
      <c r="D2094" s="159"/>
      <c r="E2094" s="159"/>
      <c r="F2094" s="159"/>
      <c r="G2094" s="160"/>
      <c r="H2094" s="34" t="s">
        <v>925</v>
      </c>
    </row>
    <row r="2095" spans="1:8" ht="33">
      <c r="A2095" s="160" t="s">
        <v>2273</v>
      </c>
      <c r="B2095" s="160" t="s">
        <v>2059</v>
      </c>
      <c r="C2095" s="157" t="s">
        <v>1689</v>
      </c>
      <c r="D2095" s="159">
        <v>1</v>
      </c>
      <c r="E2095" s="159">
        <v>3823.02</v>
      </c>
      <c r="F2095" s="159"/>
      <c r="G2095" s="160" t="s">
        <v>2</v>
      </c>
      <c r="H2095" s="34" t="s">
        <v>925</v>
      </c>
    </row>
    <row r="2096" spans="1:8" ht="42.75">
      <c r="A2096" s="160">
        <v>1</v>
      </c>
      <c r="B2096" s="160" t="s">
        <v>2061</v>
      </c>
      <c r="C2096" s="157" t="s">
        <v>1875</v>
      </c>
      <c r="D2096" s="159">
        <v>1</v>
      </c>
      <c r="E2096" s="159">
        <v>3563.57</v>
      </c>
      <c r="F2096" s="159">
        <v>3563.57</v>
      </c>
      <c r="G2096" s="160" t="s">
        <v>2</v>
      </c>
      <c r="H2096" s="34" t="s">
        <v>925</v>
      </c>
    </row>
    <row r="2097" spans="1:8" ht="33">
      <c r="A2097" s="160">
        <v>2</v>
      </c>
      <c r="B2097" s="160" t="s">
        <v>2026</v>
      </c>
      <c r="C2097" s="157" t="s">
        <v>14</v>
      </c>
      <c r="D2097" s="159">
        <v>1</v>
      </c>
      <c r="E2097" s="159">
        <v>148.1</v>
      </c>
      <c r="F2097" s="159">
        <v>148.1</v>
      </c>
      <c r="G2097" s="160" t="s">
        <v>2</v>
      </c>
      <c r="H2097" s="34" t="s">
        <v>925</v>
      </c>
    </row>
    <row r="2098" spans="1:8" ht="33">
      <c r="A2098" s="160">
        <v>3</v>
      </c>
      <c r="B2098" s="160" t="s">
        <v>931</v>
      </c>
      <c r="C2098" s="157" t="s">
        <v>14</v>
      </c>
      <c r="D2098" s="159">
        <v>1</v>
      </c>
      <c r="E2098" s="159">
        <v>111.35</v>
      </c>
      <c r="F2098" s="159">
        <v>111.35</v>
      </c>
      <c r="G2098" s="160" t="s">
        <v>2</v>
      </c>
      <c r="H2098" s="34" t="s">
        <v>925</v>
      </c>
    </row>
    <row r="2099" spans="1:8" ht="33">
      <c r="A2099" s="160"/>
      <c r="B2099" s="160" t="s">
        <v>933</v>
      </c>
      <c r="C2099" s="157" t="s">
        <v>1689</v>
      </c>
      <c r="D2099" s="159">
        <v>1</v>
      </c>
      <c r="E2099" s="159"/>
      <c r="F2099" s="159">
        <v>3823.02</v>
      </c>
      <c r="G2099" s="160"/>
      <c r="H2099" s="34" t="s">
        <v>925</v>
      </c>
    </row>
    <row r="2100" spans="1:8" ht="33">
      <c r="A2100" s="160"/>
      <c r="B2100" s="160" t="s">
        <v>934</v>
      </c>
      <c r="C2100" s="157" t="s">
        <v>1689</v>
      </c>
      <c r="D2100" s="159"/>
      <c r="E2100" s="159"/>
      <c r="F2100" s="159">
        <v>3823.02</v>
      </c>
      <c r="G2100" s="160"/>
      <c r="H2100" s="34" t="s">
        <v>925</v>
      </c>
    </row>
    <row r="2101" spans="1:8" ht="33">
      <c r="A2101" s="160"/>
      <c r="B2101" s="160"/>
      <c r="C2101" s="157"/>
      <c r="D2101" s="159"/>
      <c r="E2101" s="159"/>
      <c r="F2101" s="159"/>
      <c r="G2101" s="160"/>
      <c r="H2101" s="34" t="s">
        <v>925</v>
      </c>
    </row>
    <row r="2102" spans="1:8" ht="28.5">
      <c r="A2102" s="160" t="s">
        <v>2280</v>
      </c>
      <c r="B2102" s="160" t="s">
        <v>2064</v>
      </c>
      <c r="C2102" s="157" t="s">
        <v>1689</v>
      </c>
      <c r="D2102" s="159">
        <v>1</v>
      </c>
      <c r="E2102" s="159">
        <v>4395.04</v>
      </c>
      <c r="F2102" s="159"/>
      <c r="G2102" s="160" t="s">
        <v>2</v>
      </c>
    </row>
    <row r="2103" spans="1:8" ht="42.75">
      <c r="A2103" s="160">
        <v>1</v>
      </c>
      <c r="B2103" s="160" t="s">
        <v>2066</v>
      </c>
      <c r="C2103" s="157" t="s">
        <v>1875</v>
      </c>
      <c r="D2103" s="159">
        <v>1</v>
      </c>
      <c r="E2103" s="159">
        <v>4118.93</v>
      </c>
      <c r="F2103" s="159">
        <v>4118.93</v>
      </c>
      <c r="G2103" s="160" t="s">
        <v>2</v>
      </c>
      <c r="H2103" s="34" t="s">
        <v>925</v>
      </c>
    </row>
    <row r="2104" spans="1:8" ht="33">
      <c r="A2104" s="160">
        <v>2</v>
      </c>
      <c r="B2104" s="160" t="s">
        <v>2026</v>
      </c>
      <c r="C2104" s="157" t="s">
        <v>14</v>
      </c>
      <c r="D2104" s="159">
        <v>1</v>
      </c>
      <c r="E2104" s="159">
        <v>148.1</v>
      </c>
      <c r="F2104" s="159">
        <v>148.1</v>
      </c>
      <c r="G2104" s="160" t="s">
        <v>2</v>
      </c>
      <c r="H2104" s="34" t="s">
        <v>925</v>
      </c>
    </row>
    <row r="2105" spans="1:8" ht="33">
      <c r="A2105" s="160">
        <v>3</v>
      </c>
      <c r="B2105" s="160" t="s">
        <v>931</v>
      </c>
      <c r="C2105" s="157" t="s">
        <v>14</v>
      </c>
      <c r="D2105" s="159">
        <v>1</v>
      </c>
      <c r="E2105" s="159">
        <v>128.01</v>
      </c>
      <c r="F2105" s="159">
        <v>128.01</v>
      </c>
      <c r="G2105" s="160" t="s">
        <v>2</v>
      </c>
      <c r="H2105" s="34" t="s">
        <v>925</v>
      </c>
    </row>
    <row r="2106" spans="1:8" ht="33">
      <c r="A2106" s="160"/>
      <c r="B2106" s="160" t="s">
        <v>933</v>
      </c>
      <c r="C2106" s="157" t="s">
        <v>1689</v>
      </c>
      <c r="D2106" s="159">
        <v>1</v>
      </c>
      <c r="E2106" s="159"/>
      <c r="F2106" s="159">
        <v>4395.0400000000009</v>
      </c>
      <c r="G2106" s="160"/>
      <c r="H2106" s="34" t="s">
        <v>925</v>
      </c>
    </row>
    <row r="2107" spans="1:8" ht="33">
      <c r="A2107" s="160"/>
      <c r="B2107" s="160" t="s">
        <v>934</v>
      </c>
      <c r="C2107" s="157" t="s">
        <v>1689</v>
      </c>
      <c r="D2107" s="159"/>
      <c r="E2107" s="159"/>
      <c r="F2107" s="159">
        <v>4395.04</v>
      </c>
      <c r="G2107" s="160"/>
      <c r="H2107" s="34" t="s">
        <v>925</v>
      </c>
    </row>
    <row r="2108" spans="1:8" ht="33">
      <c r="A2108" s="160"/>
      <c r="B2108" s="160"/>
      <c r="C2108" s="157"/>
      <c r="D2108" s="159"/>
      <c r="E2108" s="159"/>
      <c r="F2108" s="159"/>
      <c r="G2108" s="160"/>
      <c r="H2108" s="34" t="s">
        <v>925</v>
      </c>
    </row>
    <row r="2109" spans="1:8" ht="42.75">
      <c r="A2109" s="160" t="s">
        <v>2291</v>
      </c>
      <c r="B2109" s="160" t="s">
        <v>2069</v>
      </c>
      <c r="C2109" s="157" t="s">
        <v>1875</v>
      </c>
      <c r="D2109" s="159">
        <v>1</v>
      </c>
      <c r="E2109" s="159">
        <v>6254.11</v>
      </c>
      <c r="F2109" s="159"/>
      <c r="G2109" s="160" t="s">
        <v>2</v>
      </c>
      <c r="H2109" s="34" t="s">
        <v>925</v>
      </c>
    </row>
    <row r="2110" spans="1:8" ht="33">
      <c r="A2110" s="160">
        <v>1</v>
      </c>
      <c r="B2110" s="160" t="s">
        <v>2071</v>
      </c>
      <c r="C2110" s="157" t="s">
        <v>1875</v>
      </c>
      <c r="D2110" s="159">
        <v>1</v>
      </c>
      <c r="E2110" s="159">
        <v>5747.99</v>
      </c>
      <c r="F2110" s="159">
        <v>5747.99</v>
      </c>
      <c r="G2110" s="160" t="s">
        <v>2</v>
      </c>
      <c r="H2110" s="34" t="s">
        <v>925</v>
      </c>
    </row>
    <row r="2111" spans="1:8" ht="33">
      <c r="A2111" s="160">
        <v>2</v>
      </c>
      <c r="B2111" s="160" t="s">
        <v>2073</v>
      </c>
      <c r="C2111" s="157" t="s">
        <v>14</v>
      </c>
      <c r="D2111" s="159">
        <v>1</v>
      </c>
      <c r="E2111" s="159">
        <v>323.95999999999998</v>
      </c>
      <c r="F2111" s="159">
        <v>323.95999999999998</v>
      </c>
      <c r="G2111" s="160" t="s">
        <v>5456</v>
      </c>
      <c r="H2111" s="34" t="s">
        <v>925</v>
      </c>
    </row>
    <row r="2112" spans="1:8" ht="33">
      <c r="A2112" s="160">
        <v>3</v>
      </c>
      <c r="B2112" s="160" t="s">
        <v>931</v>
      </c>
      <c r="C2112" s="157" t="s">
        <v>14</v>
      </c>
      <c r="D2112" s="159">
        <v>1</v>
      </c>
      <c r="E2112" s="159">
        <v>182.16</v>
      </c>
      <c r="F2112" s="159">
        <v>182.16</v>
      </c>
      <c r="G2112" s="160" t="s">
        <v>2</v>
      </c>
      <c r="H2112" s="34" t="s">
        <v>925</v>
      </c>
    </row>
    <row r="2113" spans="1:8" ht="16.5">
      <c r="A2113" s="160"/>
      <c r="B2113" s="160" t="s">
        <v>933</v>
      </c>
      <c r="C2113" s="157" t="s">
        <v>1875</v>
      </c>
      <c r="D2113" s="159">
        <v>1</v>
      </c>
      <c r="E2113" s="159"/>
      <c r="F2113" s="159">
        <v>6254.11</v>
      </c>
      <c r="G2113" s="160"/>
    </row>
    <row r="2114" spans="1:8" ht="33">
      <c r="A2114" s="160"/>
      <c r="B2114" s="160" t="s">
        <v>934</v>
      </c>
      <c r="C2114" s="157" t="s">
        <v>1875</v>
      </c>
      <c r="D2114" s="159"/>
      <c r="E2114" s="159"/>
      <c r="F2114" s="159">
        <v>6254.11</v>
      </c>
      <c r="G2114" s="160"/>
      <c r="H2114" s="34" t="s">
        <v>925</v>
      </c>
    </row>
    <row r="2115" spans="1:8" ht="33">
      <c r="A2115" s="160"/>
      <c r="B2115" s="160"/>
      <c r="C2115" s="157"/>
      <c r="D2115" s="159"/>
      <c r="E2115" s="159"/>
      <c r="F2115" s="159"/>
      <c r="G2115" s="160"/>
      <c r="H2115" s="34" t="s">
        <v>925</v>
      </c>
    </row>
    <row r="2116" spans="1:8" ht="42.75">
      <c r="A2116" s="160" t="s">
        <v>2296</v>
      </c>
      <c r="B2116" s="160" t="s">
        <v>2076</v>
      </c>
      <c r="C2116" s="157" t="s">
        <v>1875</v>
      </c>
      <c r="D2116" s="159">
        <v>1</v>
      </c>
      <c r="E2116" s="159">
        <v>3880.22</v>
      </c>
      <c r="F2116" s="159"/>
      <c r="G2116" s="160" t="s">
        <v>2</v>
      </c>
      <c r="H2116" s="34" t="s">
        <v>925</v>
      </c>
    </row>
    <row r="2117" spans="1:8" ht="33">
      <c r="A2117" s="160">
        <v>1</v>
      </c>
      <c r="B2117" s="160" t="s">
        <v>2078</v>
      </c>
      <c r="C2117" s="157" t="s">
        <v>1875</v>
      </c>
      <c r="D2117" s="159">
        <v>1</v>
      </c>
      <c r="E2117" s="159">
        <v>3535.8</v>
      </c>
      <c r="F2117" s="159">
        <v>3535.8</v>
      </c>
      <c r="G2117" s="160" t="s">
        <v>2</v>
      </c>
      <c r="H2117" s="34" t="s">
        <v>925</v>
      </c>
    </row>
    <row r="2118" spans="1:8" ht="33">
      <c r="A2118" s="160">
        <v>2</v>
      </c>
      <c r="B2118" s="160" t="s">
        <v>2080</v>
      </c>
      <c r="C2118" s="157" t="s">
        <v>14</v>
      </c>
      <c r="D2118" s="159">
        <v>1</v>
      </c>
      <c r="E2118" s="159">
        <v>231.4</v>
      </c>
      <c r="F2118" s="159">
        <v>231.4</v>
      </c>
      <c r="G2118" s="160" t="s">
        <v>5456</v>
      </c>
      <c r="H2118" s="34" t="s">
        <v>925</v>
      </c>
    </row>
    <row r="2119" spans="1:8" ht="33">
      <c r="A2119" s="160">
        <v>3</v>
      </c>
      <c r="B2119" s="160" t="s">
        <v>931</v>
      </c>
      <c r="C2119" s="157" t="s">
        <v>14</v>
      </c>
      <c r="D2119" s="159">
        <v>1</v>
      </c>
      <c r="E2119" s="159">
        <v>113.02</v>
      </c>
      <c r="F2119" s="159">
        <v>113.02</v>
      </c>
      <c r="G2119" s="160" t="s">
        <v>2</v>
      </c>
      <c r="H2119" s="34" t="s">
        <v>925</v>
      </c>
    </row>
    <row r="2120" spans="1:8" ht="33">
      <c r="A2120" s="160"/>
      <c r="B2120" s="160" t="s">
        <v>933</v>
      </c>
      <c r="C2120" s="157" t="s">
        <v>1875</v>
      </c>
      <c r="D2120" s="159">
        <v>1</v>
      </c>
      <c r="E2120" s="159"/>
      <c r="F2120" s="159">
        <v>3880.2200000000003</v>
      </c>
      <c r="G2120" s="160"/>
      <c r="H2120" s="34" t="s">
        <v>925</v>
      </c>
    </row>
    <row r="2121" spans="1:8" ht="16.5">
      <c r="A2121" s="160"/>
      <c r="B2121" s="160" t="s">
        <v>934</v>
      </c>
      <c r="C2121" s="157" t="s">
        <v>1875</v>
      </c>
      <c r="D2121" s="159"/>
      <c r="E2121" s="159"/>
      <c r="F2121" s="159">
        <v>3880.22</v>
      </c>
      <c r="G2121" s="160"/>
    </row>
    <row r="2122" spans="1:8" ht="33">
      <c r="A2122" s="160"/>
      <c r="B2122" s="160"/>
      <c r="C2122" s="157"/>
      <c r="D2122" s="159"/>
      <c r="E2122" s="159"/>
      <c r="F2122" s="159"/>
      <c r="G2122" s="160"/>
      <c r="H2122" s="34" t="s">
        <v>925</v>
      </c>
    </row>
    <row r="2123" spans="1:8" ht="33">
      <c r="A2123" s="160" t="s">
        <v>2298</v>
      </c>
      <c r="B2123" s="160" t="s">
        <v>2083</v>
      </c>
      <c r="C2123" s="157" t="s">
        <v>1875</v>
      </c>
      <c r="D2123" s="159">
        <v>1</v>
      </c>
      <c r="E2123" s="159">
        <v>14901.17</v>
      </c>
      <c r="F2123" s="159"/>
      <c r="G2123" s="160" t="s">
        <v>2</v>
      </c>
      <c r="H2123" s="34" t="s">
        <v>925</v>
      </c>
    </row>
    <row r="2124" spans="1:8" ht="33">
      <c r="A2124" s="160">
        <v>1</v>
      </c>
      <c r="B2124" s="160" t="s">
        <v>2085</v>
      </c>
      <c r="C2124" s="157" t="s">
        <v>1875</v>
      </c>
      <c r="D2124" s="159">
        <v>1</v>
      </c>
      <c r="E2124" s="159">
        <v>14161.71</v>
      </c>
      <c r="F2124" s="159">
        <v>14161.71</v>
      </c>
      <c r="G2124" s="160" t="s">
        <v>2</v>
      </c>
      <c r="H2124" s="34" t="s">
        <v>925</v>
      </c>
    </row>
    <row r="2125" spans="1:8" ht="33">
      <c r="A2125" s="160">
        <v>2</v>
      </c>
      <c r="B2125" s="160" t="s">
        <v>2087</v>
      </c>
      <c r="C2125" s="157" t="s">
        <v>14</v>
      </c>
      <c r="D2125" s="159">
        <v>1</v>
      </c>
      <c r="E2125" s="159">
        <v>305.45</v>
      </c>
      <c r="F2125" s="159">
        <v>305.45</v>
      </c>
      <c r="G2125" s="160" t="s">
        <v>2</v>
      </c>
      <c r="H2125" s="34" t="s">
        <v>925</v>
      </c>
    </row>
    <row r="2126" spans="1:8" ht="33">
      <c r="A2126" s="160">
        <v>3</v>
      </c>
      <c r="B2126" s="160" t="s">
        <v>931</v>
      </c>
      <c r="C2126" s="157" t="s">
        <v>14</v>
      </c>
      <c r="D2126" s="159">
        <v>1</v>
      </c>
      <c r="E2126" s="159">
        <v>434.01</v>
      </c>
      <c r="F2126" s="159">
        <v>434.01</v>
      </c>
      <c r="G2126" s="160" t="s">
        <v>2</v>
      </c>
      <c r="H2126" s="34" t="s">
        <v>925</v>
      </c>
    </row>
    <row r="2127" spans="1:8" ht="33">
      <c r="A2127" s="160"/>
      <c r="B2127" s="160" t="s">
        <v>933</v>
      </c>
      <c r="C2127" s="157" t="s">
        <v>1875</v>
      </c>
      <c r="D2127" s="159">
        <v>1</v>
      </c>
      <c r="E2127" s="159"/>
      <c r="F2127" s="159">
        <v>14901.17</v>
      </c>
      <c r="G2127" s="160"/>
      <c r="H2127" s="34" t="s">
        <v>925</v>
      </c>
    </row>
    <row r="2128" spans="1:8" ht="33">
      <c r="A2128" s="160"/>
      <c r="B2128" s="160" t="s">
        <v>934</v>
      </c>
      <c r="C2128" s="157" t="s">
        <v>1875</v>
      </c>
      <c r="D2128" s="159"/>
      <c r="E2128" s="159"/>
      <c r="F2128" s="159">
        <v>14901.17</v>
      </c>
      <c r="G2128" s="160"/>
      <c r="H2128" s="34" t="s">
        <v>925</v>
      </c>
    </row>
    <row r="2129" spans="1:8" ht="16.5">
      <c r="A2129" s="160"/>
      <c r="B2129" s="160"/>
      <c r="C2129" s="157"/>
      <c r="D2129" s="159"/>
      <c r="E2129" s="159"/>
      <c r="F2129" s="159"/>
      <c r="G2129" s="160"/>
    </row>
    <row r="2130" spans="1:8" ht="33">
      <c r="A2130" s="160" t="s">
        <v>2305</v>
      </c>
      <c r="B2130" s="160" t="s">
        <v>2090</v>
      </c>
      <c r="C2130" s="157" t="s">
        <v>1875</v>
      </c>
      <c r="D2130" s="159">
        <v>1</v>
      </c>
      <c r="E2130" s="159">
        <v>10000.85</v>
      </c>
      <c r="F2130" s="159"/>
      <c r="G2130" s="160" t="s">
        <v>2</v>
      </c>
      <c r="H2130" s="34" t="s">
        <v>925</v>
      </c>
    </row>
    <row r="2131" spans="1:8" ht="33">
      <c r="A2131" s="160">
        <v>1</v>
      </c>
      <c r="B2131" s="160" t="s">
        <v>2092</v>
      </c>
      <c r="C2131" s="157" t="s">
        <v>1875</v>
      </c>
      <c r="D2131" s="159">
        <v>1</v>
      </c>
      <c r="E2131" s="159">
        <v>9450.39</v>
      </c>
      <c r="F2131" s="159">
        <v>9450.39</v>
      </c>
      <c r="G2131" s="160" t="s">
        <v>2</v>
      </c>
      <c r="H2131" s="34" t="s">
        <v>925</v>
      </c>
    </row>
    <row r="2132" spans="1:8" ht="33">
      <c r="A2132" s="160">
        <v>2</v>
      </c>
      <c r="B2132" s="160" t="s">
        <v>2094</v>
      </c>
      <c r="C2132" s="157" t="s">
        <v>14</v>
      </c>
      <c r="D2132" s="159">
        <v>1</v>
      </c>
      <c r="E2132" s="159">
        <v>259.17</v>
      </c>
      <c r="F2132" s="159">
        <v>259.17</v>
      </c>
      <c r="G2132" s="160" t="s">
        <v>2</v>
      </c>
      <c r="H2132" s="34" t="s">
        <v>925</v>
      </c>
    </row>
    <row r="2133" spans="1:8" ht="33">
      <c r="A2133" s="160">
        <v>3</v>
      </c>
      <c r="B2133" s="160" t="s">
        <v>931</v>
      </c>
      <c r="C2133" s="157" t="s">
        <v>14</v>
      </c>
      <c r="D2133" s="159">
        <v>1</v>
      </c>
      <c r="E2133" s="159">
        <v>291.29000000000002</v>
      </c>
      <c r="F2133" s="159">
        <v>291.29000000000002</v>
      </c>
      <c r="G2133" s="160" t="s">
        <v>2</v>
      </c>
      <c r="H2133" s="34" t="s">
        <v>925</v>
      </c>
    </row>
    <row r="2134" spans="1:8" ht="33">
      <c r="A2134" s="160"/>
      <c r="B2134" s="160" t="s">
        <v>933</v>
      </c>
      <c r="C2134" s="157" t="s">
        <v>1875</v>
      </c>
      <c r="D2134" s="159">
        <v>1</v>
      </c>
      <c r="E2134" s="159"/>
      <c r="F2134" s="159">
        <v>10000.85</v>
      </c>
      <c r="G2134" s="160"/>
      <c r="H2134" s="34" t="s">
        <v>925</v>
      </c>
    </row>
    <row r="2135" spans="1:8" ht="33">
      <c r="A2135" s="160"/>
      <c r="B2135" s="160" t="s">
        <v>934</v>
      </c>
      <c r="C2135" s="157" t="s">
        <v>1875</v>
      </c>
      <c r="D2135" s="159"/>
      <c r="E2135" s="159"/>
      <c r="F2135" s="159">
        <v>10000.85</v>
      </c>
      <c r="G2135" s="160"/>
      <c r="H2135" s="34" t="s">
        <v>925</v>
      </c>
    </row>
    <row r="2136" spans="1:8" ht="33">
      <c r="A2136" s="160"/>
      <c r="B2136" s="160"/>
      <c r="C2136" s="157"/>
      <c r="D2136" s="159"/>
      <c r="E2136" s="159"/>
      <c r="F2136" s="159"/>
      <c r="G2136" s="160"/>
      <c r="H2136" s="34" t="s">
        <v>925</v>
      </c>
    </row>
    <row r="2137" spans="1:8" ht="33">
      <c r="A2137" s="160" t="s">
        <v>2312</v>
      </c>
      <c r="B2137" s="160" t="s">
        <v>2097</v>
      </c>
      <c r="C2137" s="157" t="s">
        <v>1875</v>
      </c>
      <c r="D2137" s="159">
        <v>1</v>
      </c>
      <c r="E2137" s="159">
        <v>9371.6299999999992</v>
      </c>
      <c r="F2137" s="159"/>
      <c r="G2137" s="160" t="s">
        <v>2</v>
      </c>
      <c r="H2137" s="34" t="s">
        <v>925</v>
      </c>
    </row>
    <row r="2138" spans="1:8" ht="28.5">
      <c r="A2138" s="160">
        <v>1</v>
      </c>
      <c r="B2138" s="160" t="s">
        <v>2099</v>
      </c>
      <c r="C2138" s="157" t="s">
        <v>1875</v>
      </c>
      <c r="D2138" s="159">
        <v>1</v>
      </c>
      <c r="E2138" s="159">
        <v>8839.5</v>
      </c>
      <c r="F2138" s="159">
        <v>8839.5</v>
      </c>
      <c r="G2138" s="160" t="s">
        <v>2</v>
      </c>
    </row>
    <row r="2139" spans="1:8" ht="33">
      <c r="A2139" s="160">
        <v>2</v>
      </c>
      <c r="B2139" s="160" t="s">
        <v>2094</v>
      </c>
      <c r="C2139" s="157" t="s">
        <v>14</v>
      </c>
      <c r="D2139" s="159">
        <v>1</v>
      </c>
      <c r="E2139" s="159">
        <v>259.17</v>
      </c>
      <c r="F2139" s="159">
        <v>259.17</v>
      </c>
      <c r="G2139" s="160" t="s">
        <v>2</v>
      </c>
      <c r="H2139" s="34" t="s">
        <v>925</v>
      </c>
    </row>
    <row r="2140" spans="1:8" ht="33">
      <c r="A2140" s="160">
        <v>3</v>
      </c>
      <c r="B2140" s="160" t="s">
        <v>931</v>
      </c>
      <c r="C2140" s="157" t="s">
        <v>14</v>
      </c>
      <c r="D2140" s="159">
        <v>1</v>
      </c>
      <c r="E2140" s="159">
        <v>272.95999999999998</v>
      </c>
      <c r="F2140" s="159">
        <v>272.95999999999998</v>
      </c>
      <c r="G2140" s="160" t="s">
        <v>2</v>
      </c>
      <c r="H2140" s="34" t="s">
        <v>925</v>
      </c>
    </row>
    <row r="2141" spans="1:8" ht="33">
      <c r="A2141" s="160"/>
      <c r="B2141" s="160" t="s">
        <v>933</v>
      </c>
      <c r="C2141" s="157" t="s">
        <v>1875</v>
      </c>
      <c r="D2141" s="159">
        <v>1</v>
      </c>
      <c r="E2141" s="159"/>
      <c r="F2141" s="159">
        <v>9371.6299999999992</v>
      </c>
      <c r="G2141" s="160"/>
      <c r="H2141" s="34" t="s">
        <v>925</v>
      </c>
    </row>
    <row r="2142" spans="1:8" ht="33">
      <c r="A2142" s="160"/>
      <c r="B2142" s="160" t="s">
        <v>934</v>
      </c>
      <c r="C2142" s="157" t="s">
        <v>1875</v>
      </c>
      <c r="D2142" s="159"/>
      <c r="E2142" s="159"/>
      <c r="F2142" s="159">
        <v>9371.6299999999992</v>
      </c>
      <c r="G2142" s="160"/>
      <c r="H2142" s="34" t="s">
        <v>925</v>
      </c>
    </row>
    <row r="2143" spans="1:8" ht="33">
      <c r="A2143" s="160"/>
      <c r="B2143" s="160"/>
      <c r="C2143" s="157"/>
      <c r="D2143" s="159"/>
      <c r="E2143" s="159"/>
      <c r="F2143" s="159"/>
      <c r="G2143" s="160"/>
      <c r="H2143" s="34" t="s">
        <v>925</v>
      </c>
    </row>
    <row r="2144" spans="1:8" ht="42.75">
      <c r="A2144" s="160" t="s">
        <v>2317</v>
      </c>
      <c r="B2144" s="160" t="s">
        <v>2102</v>
      </c>
      <c r="C2144" s="157" t="s">
        <v>1818</v>
      </c>
      <c r="D2144" s="159">
        <v>1</v>
      </c>
      <c r="E2144" s="159">
        <v>22529.14</v>
      </c>
      <c r="F2144" s="159"/>
      <c r="G2144" s="160" t="s">
        <v>2</v>
      </c>
      <c r="H2144" s="34" t="s">
        <v>925</v>
      </c>
    </row>
    <row r="2145" spans="1:8" ht="42.75">
      <c r="A2145" s="160">
        <v>1</v>
      </c>
      <c r="B2145" s="160" t="s">
        <v>2104</v>
      </c>
      <c r="C2145" s="157" t="s">
        <v>1818</v>
      </c>
      <c r="D2145" s="159">
        <v>1</v>
      </c>
      <c r="E2145" s="159">
        <v>21288.84</v>
      </c>
      <c r="F2145" s="159">
        <v>21288.84</v>
      </c>
      <c r="G2145" s="160" t="s">
        <v>2</v>
      </c>
    </row>
    <row r="2146" spans="1:8" ht="33">
      <c r="A2146" s="160">
        <v>2</v>
      </c>
      <c r="B2146" s="160" t="s">
        <v>2106</v>
      </c>
      <c r="C2146" s="157" t="s">
        <v>14</v>
      </c>
      <c r="D2146" s="159">
        <v>1</v>
      </c>
      <c r="E2146" s="159">
        <v>185.12</v>
      </c>
      <c r="F2146" s="159">
        <v>185.12</v>
      </c>
      <c r="G2146" s="160" t="s">
        <v>2</v>
      </c>
      <c r="H2146" s="34" t="s">
        <v>925</v>
      </c>
    </row>
    <row r="2147" spans="1:8" ht="33">
      <c r="A2147" s="160">
        <v>3</v>
      </c>
      <c r="B2147" s="160" t="s">
        <v>2108</v>
      </c>
      <c r="C2147" s="157" t="s">
        <v>14</v>
      </c>
      <c r="D2147" s="159">
        <v>1</v>
      </c>
      <c r="E2147" s="159">
        <v>462.8</v>
      </c>
      <c r="F2147" s="159">
        <v>462.8</v>
      </c>
      <c r="G2147" s="160" t="s">
        <v>2</v>
      </c>
      <c r="H2147" s="34" t="s">
        <v>925</v>
      </c>
    </row>
    <row r="2148" spans="1:8" ht="33">
      <c r="A2148" s="160">
        <v>4</v>
      </c>
      <c r="B2148" s="160" t="s">
        <v>4871</v>
      </c>
      <c r="C2148" s="157" t="s">
        <v>927</v>
      </c>
      <c r="D2148" s="159">
        <v>1</v>
      </c>
      <c r="E2148" s="159">
        <v>260.08999999999997</v>
      </c>
      <c r="F2148" s="159">
        <v>260.08999999999997</v>
      </c>
      <c r="G2148" s="160" t="s">
        <v>5435</v>
      </c>
      <c r="H2148" s="34" t="s">
        <v>925</v>
      </c>
    </row>
    <row r="2149" spans="1:8" ht="33">
      <c r="A2149" s="160">
        <v>5</v>
      </c>
      <c r="B2149" s="160" t="s">
        <v>931</v>
      </c>
      <c r="C2149" s="157" t="s">
        <v>14</v>
      </c>
      <c r="D2149" s="159">
        <v>1</v>
      </c>
      <c r="E2149" s="159">
        <v>332.29</v>
      </c>
      <c r="F2149" s="159">
        <v>332.29</v>
      </c>
      <c r="G2149" s="160" t="s">
        <v>2</v>
      </c>
      <c r="H2149" s="34" t="s">
        <v>925</v>
      </c>
    </row>
    <row r="2150" spans="1:8" ht="33">
      <c r="A2150" s="160"/>
      <c r="B2150" s="160" t="s">
        <v>933</v>
      </c>
      <c r="C2150" s="157" t="s">
        <v>1818</v>
      </c>
      <c r="D2150" s="159">
        <v>1</v>
      </c>
      <c r="E2150" s="159"/>
      <c r="F2150" s="159">
        <v>22529.14</v>
      </c>
      <c r="G2150" s="160"/>
      <c r="H2150" s="34" t="s">
        <v>925</v>
      </c>
    </row>
    <row r="2151" spans="1:8" ht="33">
      <c r="A2151" s="160"/>
      <c r="B2151" s="160" t="s">
        <v>934</v>
      </c>
      <c r="C2151" s="157" t="s">
        <v>1818</v>
      </c>
      <c r="D2151" s="159"/>
      <c r="E2151" s="159"/>
      <c r="F2151" s="159">
        <v>22529.14</v>
      </c>
      <c r="G2151" s="160"/>
      <c r="H2151" s="34" t="s">
        <v>925</v>
      </c>
    </row>
    <row r="2152" spans="1:8" ht="16.5">
      <c r="A2152" s="160"/>
      <c r="B2152" s="160"/>
      <c r="C2152" s="157"/>
      <c r="D2152" s="159"/>
      <c r="E2152" s="159"/>
      <c r="F2152" s="159"/>
      <c r="G2152" s="160"/>
    </row>
    <row r="2153" spans="1:8" ht="33">
      <c r="A2153" s="160" t="s">
        <v>2326</v>
      </c>
      <c r="B2153" s="160" t="s">
        <v>2112</v>
      </c>
      <c r="C2153" s="157" t="s">
        <v>1818</v>
      </c>
      <c r="D2153" s="159">
        <v>1</v>
      </c>
      <c r="E2153" s="159">
        <v>21796.07</v>
      </c>
      <c r="F2153" s="159"/>
      <c r="G2153" s="160" t="s">
        <v>2</v>
      </c>
      <c r="H2153" s="34" t="s">
        <v>925</v>
      </c>
    </row>
    <row r="2154" spans="1:8" ht="42.75">
      <c r="A2154" s="160">
        <v>1</v>
      </c>
      <c r="B2154" s="160" t="s">
        <v>2104</v>
      </c>
      <c r="C2154" s="157" t="s">
        <v>1818</v>
      </c>
      <c r="D2154" s="159">
        <v>1</v>
      </c>
      <c r="E2154" s="159">
        <v>21288.84</v>
      </c>
      <c r="F2154" s="159">
        <v>21288.84</v>
      </c>
      <c r="G2154" s="160" t="s">
        <v>2</v>
      </c>
      <c r="H2154" s="34" t="s">
        <v>925</v>
      </c>
    </row>
    <row r="2155" spans="1:8" ht="33">
      <c r="A2155" s="160">
        <v>2</v>
      </c>
      <c r="B2155" s="160" t="s">
        <v>2106</v>
      </c>
      <c r="C2155" s="157" t="s">
        <v>14</v>
      </c>
      <c r="D2155" s="159">
        <v>1</v>
      </c>
      <c r="E2155" s="159">
        <v>185.12</v>
      </c>
      <c r="F2155" s="159">
        <v>185.12</v>
      </c>
      <c r="G2155" s="160" t="s">
        <v>2</v>
      </c>
      <c r="H2155" s="34" t="s">
        <v>925</v>
      </c>
    </row>
    <row r="2156" spans="1:8" ht="33">
      <c r="A2156" s="160">
        <v>3</v>
      </c>
      <c r="B2156" s="160" t="s">
        <v>931</v>
      </c>
      <c r="C2156" s="157" t="s">
        <v>14</v>
      </c>
      <c r="D2156" s="159">
        <v>1</v>
      </c>
      <c r="E2156" s="159">
        <v>322.11</v>
      </c>
      <c r="F2156" s="159">
        <v>322.11</v>
      </c>
      <c r="G2156" s="160" t="s">
        <v>2</v>
      </c>
      <c r="H2156" s="34" t="s">
        <v>925</v>
      </c>
    </row>
    <row r="2157" spans="1:8" ht="33">
      <c r="A2157" s="160"/>
      <c r="B2157" s="160" t="s">
        <v>933</v>
      </c>
      <c r="C2157" s="157" t="s">
        <v>1818</v>
      </c>
      <c r="D2157" s="159">
        <v>1</v>
      </c>
      <c r="E2157" s="159"/>
      <c r="F2157" s="159">
        <v>21796.07</v>
      </c>
      <c r="G2157" s="160"/>
      <c r="H2157" s="34" t="s">
        <v>925</v>
      </c>
    </row>
    <row r="2158" spans="1:8" ht="33">
      <c r="A2158" s="160"/>
      <c r="B2158" s="160" t="s">
        <v>934</v>
      </c>
      <c r="C2158" s="157" t="s">
        <v>1818</v>
      </c>
      <c r="D2158" s="159"/>
      <c r="E2158" s="159"/>
      <c r="F2158" s="159">
        <v>21796.07</v>
      </c>
      <c r="G2158" s="160"/>
      <c r="H2158" s="34" t="s">
        <v>925</v>
      </c>
    </row>
    <row r="2159" spans="1:8" ht="16.5">
      <c r="A2159" s="160"/>
      <c r="B2159" s="160"/>
      <c r="C2159" s="157"/>
      <c r="D2159" s="159"/>
      <c r="E2159" s="159"/>
      <c r="F2159" s="159"/>
      <c r="G2159" s="160"/>
    </row>
    <row r="2160" spans="1:8" ht="33">
      <c r="A2160" s="160" t="s">
        <v>2337</v>
      </c>
      <c r="B2160" s="160" t="s">
        <v>2115</v>
      </c>
      <c r="C2160" s="157" t="s">
        <v>1875</v>
      </c>
      <c r="D2160" s="159">
        <v>1</v>
      </c>
      <c r="E2160" s="159">
        <v>4313.05</v>
      </c>
      <c r="F2160" s="159"/>
      <c r="G2160" s="160" t="s">
        <v>2</v>
      </c>
      <c r="H2160" s="34" t="s">
        <v>925</v>
      </c>
    </row>
    <row r="2161" spans="1:8" ht="33">
      <c r="A2161" s="160">
        <v>1</v>
      </c>
      <c r="B2161" s="160" t="s">
        <v>2117</v>
      </c>
      <c r="C2161" s="157" t="s">
        <v>1875</v>
      </c>
      <c r="D2161" s="159">
        <v>1</v>
      </c>
      <c r="E2161" s="159">
        <v>3026.72</v>
      </c>
      <c r="F2161" s="159">
        <v>3026.72</v>
      </c>
      <c r="G2161" s="160" t="s">
        <v>2</v>
      </c>
      <c r="H2161" s="34" t="s">
        <v>925</v>
      </c>
    </row>
    <row r="2162" spans="1:8" ht="33">
      <c r="A2162" s="160">
        <v>2</v>
      </c>
      <c r="B2162" s="160" t="s">
        <v>2119</v>
      </c>
      <c r="C2162" s="157" t="s">
        <v>1497</v>
      </c>
      <c r="D2162" s="159">
        <v>1</v>
      </c>
      <c r="E2162" s="159">
        <v>429.48</v>
      </c>
      <c r="F2162" s="159">
        <v>429.48</v>
      </c>
      <c r="G2162" s="160" t="s">
        <v>5457</v>
      </c>
      <c r="H2162" s="34" t="s">
        <v>925</v>
      </c>
    </row>
    <row r="2163" spans="1:8" ht="33">
      <c r="A2163" s="160">
        <v>3</v>
      </c>
      <c r="B2163" s="160" t="s">
        <v>2121</v>
      </c>
      <c r="C2163" s="157" t="s">
        <v>14</v>
      </c>
      <c r="D2163" s="159">
        <v>1</v>
      </c>
      <c r="E2163" s="159">
        <v>731.23</v>
      </c>
      <c r="F2163" s="159">
        <v>731.23</v>
      </c>
      <c r="G2163" s="160" t="s">
        <v>2</v>
      </c>
      <c r="H2163" s="34" t="s">
        <v>925</v>
      </c>
    </row>
    <row r="2164" spans="1:8" ht="33">
      <c r="A2164" s="160">
        <v>4</v>
      </c>
      <c r="B2164" s="160" t="s">
        <v>931</v>
      </c>
      <c r="C2164" s="157" t="s">
        <v>14</v>
      </c>
      <c r="D2164" s="159">
        <v>1</v>
      </c>
      <c r="E2164" s="159">
        <v>125.62</v>
      </c>
      <c r="F2164" s="159">
        <v>125.62</v>
      </c>
      <c r="G2164" s="160" t="s">
        <v>2</v>
      </c>
      <c r="H2164" s="34" t="s">
        <v>925</v>
      </c>
    </row>
    <row r="2165" spans="1:8" ht="33">
      <c r="A2165" s="160"/>
      <c r="B2165" s="160" t="s">
        <v>933</v>
      </c>
      <c r="C2165" s="157" t="s">
        <v>1875</v>
      </c>
      <c r="D2165" s="159">
        <v>1</v>
      </c>
      <c r="E2165" s="159"/>
      <c r="F2165" s="159">
        <v>4313.05</v>
      </c>
      <c r="G2165" s="160"/>
      <c r="H2165" s="34" t="s">
        <v>925</v>
      </c>
    </row>
    <row r="2166" spans="1:8" ht="16.5">
      <c r="A2166" s="160"/>
      <c r="B2166" s="160" t="s">
        <v>934</v>
      </c>
      <c r="C2166" s="157" t="s">
        <v>1875</v>
      </c>
      <c r="D2166" s="159"/>
      <c r="E2166" s="159"/>
      <c r="F2166" s="159">
        <v>4313.05</v>
      </c>
      <c r="G2166" s="160"/>
    </row>
    <row r="2167" spans="1:8" ht="33">
      <c r="A2167" s="160"/>
      <c r="B2167" s="160"/>
      <c r="C2167" s="157"/>
      <c r="D2167" s="159"/>
      <c r="E2167" s="159"/>
      <c r="F2167" s="159"/>
      <c r="G2167" s="160"/>
      <c r="H2167" s="34" t="s">
        <v>925</v>
      </c>
    </row>
    <row r="2168" spans="1:8" ht="33">
      <c r="A2168" s="160" t="s">
        <v>2340</v>
      </c>
      <c r="B2168" s="160" t="s">
        <v>2124</v>
      </c>
      <c r="C2168" s="157" t="s">
        <v>1875</v>
      </c>
      <c r="D2168" s="159">
        <v>1</v>
      </c>
      <c r="E2168" s="159">
        <v>7043.5</v>
      </c>
      <c r="F2168" s="159"/>
      <c r="G2168" s="160" t="s">
        <v>2</v>
      </c>
      <c r="H2168" s="34" t="s">
        <v>925</v>
      </c>
    </row>
    <row r="2169" spans="1:8" ht="33">
      <c r="A2169" s="160">
        <v>1</v>
      </c>
      <c r="B2169" s="160" t="s">
        <v>2126</v>
      </c>
      <c r="C2169" s="157" t="s">
        <v>1875</v>
      </c>
      <c r="D2169" s="159">
        <v>1</v>
      </c>
      <c r="E2169" s="159">
        <v>5248.16</v>
      </c>
      <c r="F2169" s="159">
        <v>5248.16</v>
      </c>
      <c r="G2169" s="160" t="s">
        <v>2</v>
      </c>
      <c r="H2169" s="34" t="s">
        <v>925</v>
      </c>
    </row>
    <row r="2170" spans="1:8" ht="33">
      <c r="A2170" s="160">
        <v>2</v>
      </c>
      <c r="B2170" s="160" t="s">
        <v>2119</v>
      </c>
      <c r="C2170" s="157" t="s">
        <v>1497</v>
      </c>
      <c r="D2170" s="159">
        <v>2</v>
      </c>
      <c r="E2170" s="159">
        <v>429.48</v>
      </c>
      <c r="F2170" s="159">
        <v>858.96</v>
      </c>
      <c r="G2170" s="160" t="s">
        <v>5457</v>
      </c>
      <c r="H2170" s="34" t="s">
        <v>925</v>
      </c>
    </row>
    <row r="2171" spans="1:8" ht="33">
      <c r="A2171" s="160">
        <v>3</v>
      </c>
      <c r="B2171" s="160" t="s">
        <v>2121</v>
      </c>
      <c r="C2171" s="157" t="s">
        <v>14</v>
      </c>
      <c r="D2171" s="159">
        <v>1</v>
      </c>
      <c r="E2171" s="159">
        <v>731.23</v>
      </c>
      <c r="F2171" s="159">
        <v>731.23</v>
      </c>
      <c r="G2171" s="160" t="s">
        <v>2</v>
      </c>
      <c r="H2171" s="34" t="s">
        <v>925</v>
      </c>
    </row>
    <row r="2172" spans="1:8" ht="33">
      <c r="A2172" s="160">
        <v>4</v>
      </c>
      <c r="B2172" s="160" t="s">
        <v>931</v>
      </c>
      <c r="C2172" s="157" t="s">
        <v>14</v>
      </c>
      <c r="D2172" s="159">
        <v>1</v>
      </c>
      <c r="E2172" s="159">
        <v>205.15</v>
      </c>
      <c r="F2172" s="159">
        <v>205.15</v>
      </c>
      <c r="G2172" s="160" t="s">
        <v>2</v>
      </c>
      <c r="H2172" s="34" t="s">
        <v>925</v>
      </c>
    </row>
    <row r="2173" spans="1:8" ht="16.5">
      <c r="A2173" s="160"/>
      <c r="B2173" s="160" t="s">
        <v>933</v>
      </c>
      <c r="C2173" s="157" t="s">
        <v>1875</v>
      </c>
      <c r="D2173" s="159">
        <v>1</v>
      </c>
      <c r="E2173" s="159"/>
      <c r="F2173" s="159">
        <v>7043.5</v>
      </c>
      <c r="G2173" s="160"/>
    </row>
    <row r="2174" spans="1:8" ht="33">
      <c r="A2174" s="160"/>
      <c r="B2174" s="160" t="s">
        <v>934</v>
      </c>
      <c r="C2174" s="157" t="s">
        <v>1875</v>
      </c>
      <c r="D2174" s="159"/>
      <c r="E2174" s="159"/>
      <c r="F2174" s="159">
        <v>7043.5</v>
      </c>
      <c r="G2174" s="160"/>
      <c r="H2174" s="34" t="s">
        <v>925</v>
      </c>
    </row>
    <row r="2175" spans="1:8" ht="33">
      <c r="A2175" s="160"/>
      <c r="B2175" s="160"/>
      <c r="C2175" s="157"/>
      <c r="D2175" s="159"/>
      <c r="E2175" s="159"/>
      <c r="F2175" s="159"/>
      <c r="G2175" s="160"/>
      <c r="H2175" s="34" t="s">
        <v>925</v>
      </c>
    </row>
    <row r="2176" spans="1:8" ht="33">
      <c r="A2176" s="160" t="s">
        <v>2345</v>
      </c>
      <c r="B2176" s="160" t="s">
        <v>2129</v>
      </c>
      <c r="C2176" s="157" t="s">
        <v>1875</v>
      </c>
      <c r="D2176" s="159">
        <v>1</v>
      </c>
      <c r="E2176" s="159">
        <v>3550.36</v>
      </c>
      <c r="F2176" s="159"/>
      <c r="G2176" s="160" t="s">
        <v>2</v>
      </c>
      <c r="H2176" s="34" t="s">
        <v>925</v>
      </c>
    </row>
    <row r="2177" spans="1:8" ht="33">
      <c r="A2177" s="160">
        <v>1</v>
      </c>
      <c r="B2177" s="160" t="s">
        <v>2131</v>
      </c>
      <c r="C2177" s="157" t="s">
        <v>1875</v>
      </c>
      <c r="D2177" s="159">
        <v>1</v>
      </c>
      <c r="E2177" s="159">
        <v>2286.2399999999998</v>
      </c>
      <c r="F2177" s="159">
        <v>2286.2399999999998</v>
      </c>
      <c r="G2177" s="160" t="s">
        <v>2</v>
      </c>
      <c r="H2177" s="34" t="s">
        <v>925</v>
      </c>
    </row>
    <row r="2178" spans="1:8" ht="33">
      <c r="A2178" s="160">
        <v>2</v>
      </c>
      <c r="B2178" s="160" t="s">
        <v>2119</v>
      </c>
      <c r="C2178" s="157" t="s">
        <v>1497</v>
      </c>
      <c r="D2178" s="159">
        <v>1</v>
      </c>
      <c r="E2178" s="159">
        <v>429.48</v>
      </c>
      <c r="F2178" s="159">
        <v>429.48</v>
      </c>
      <c r="G2178" s="160" t="s">
        <v>5457</v>
      </c>
      <c r="H2178" s="34" t="s">
        <v>925</v>
      </c>
    </row>
    <row r="2179" spans="1:8" ht="33">
      <c r="A2179" s="160">
        <v>3</v>
      </c>
      <c r="B2179" s="160" t="s">
        <v>2121</v>
      </c>
      <c r="C2179" s="157" t="s">
        <v>14</v>
      </c>
      <c r="D2179" s="159">
        <v>1</v>
      </c>
      <c r="E2179" s="159">
        <v>731.23</v>
      </c>
      <c r="F2179" s="159">
        <v>731.23</v>
      </c>
      <c r="G2179" s="160" t="s">
        <v>2</v>
      </c>
      <c r="H2179" s="34" t="s">
        <v>925</v>
      </c>
    </row>
    <row r="2180" spans="1:8" ht="33">
      <c r="A2180" s="160">
        <v>4</v>
      </c>
      <c r="B2180" s="160" t="s">
        <v>931</v>
      </c>
      <c r="C2180" s="157" t="s">
        <v>14</v>
      </c>
      <c r="D2180" s="159">
        <v>1</v>
      </c>
      <c r="E2180" s="159">
        <v>103.41</v>
      </c>
      <c r="F2180" s="159">
        <v>103.41</v>
      </c>
      <c r="G2180" s="160" t="s">
        <v>2</v>
      </c>
      <c r="H2180" s="34" t="s">
        <v>925</v>
      </c>
    </row>
    <row r="2181" spans="1:8" ht="33">
      <c r="A2181" s="160"/>
      <c r="B2181" s="160" t="s">
        <v>933</v>
      </c>
      <c r="C2181" s="157" t="s">
        <v>1875</v>
      </c>
      <c r="D2181" s="159">
        <v>1</v>
      </c>
      <c r="E2181" s="159"/>
      <c r="F2181" s="159">
        <v>3550.3599999999997</v>
      </c>
      <c r="G2181" s="160"/>
      <c r="H2181" s="34" t="s">
        <v>925</v>
      </c>
    </row>
    <row r="2182" spans="1:8" ht="16.5">
      <c r="A2182" s="160"/>
      <c r="B2182" s="160" t="s">
        <v>934</v>
      </c>
      <c r="C2182" s="157" t="s">
        <v>1875</v>
      </c>
      <c r="D2182" s="159"/>
      <c r="E2182" s="159"/>
      <c r="F2182" s="159">
        <v>3550.36</v>
      </c>
      <c r="G2182" s="160"/>
    </row>
    <row r="2183" spans="1:8" ht="33">
      <c r="A2183" s="160"/>
      <c r="B2183" s="160"/>
      <c r="C2183" s="157"/>
      <c r="D2183" s="159"/>
      <c r="E2183" s="159"/>
      <c r="F2183" s="159"/>
      <c r="G2183" s="160"/>
      <c r="H2183" s="34" t="s">
        <v>925</v>
      </c>
    </row>
    <row r="2184" spans="1:8" ht="33">
      <c r="A2184" s="160" t="s">
        <v>2359</v>
      </c>
      <c r="B2184" s="160" t="s">
        <v>2134</v>
      </c>
      <c r="C2184" s="157" t="s">
        <v>1875</v>
      </c>
      <c r="D2184" s="159">
        <v>1</v>
      </c>
      <c r="E2184" s="159">
        <v>4322.58</v>
      </c>
      <c r="F2184" s="159"/>
      <c r="G2184" s="160" t="s">
        <v>2</v>
      </c>
      <c r="H2184" s="34" t="s">
        <v>925</v>
      </c>
    </row>
    <row r="2185" spans="1:8" ht="33">
      <c r="A2185" s="160">
        <v>1</v>
      </c>
      <c r="B2185" s="160" t="s">
        <v>2136</v>
      </c>
      <c r="C2185" s="157" t="s">
        <v>1875</v>
      </c>
      <c r="D2185" s="159">
        <v>1</v>
      </c>
      <c r="E2185" s="159">
        <v>3230.35</v>
      </c>
      <c r="F2185" s="159">
        <v>3230.35</v>
      </c>
      <c r="G2185" s="160" t="s">
        <v>2</v>
      </c>
      <c r="H2185" s="34" t="s">
        <v>925</v>
      </c>
    </row>
    <row r="2186" spans="1:8" ht="33">
      <c r="A2186" s="160">
        <v>2</v>
      </c>
      <c r="B2186" s="160" t="s">
        <v>2119</v>
      </c>
      <c r="C2186" s="157" t="s">
        <v>1497</v>
      </c>
      <c r="D2186" s="159">
        <v>1</v>
      </c>
      <c r="E2186" s="159">
        <v>429.48</v>
      </c>
      <c r="F2186" s="159">
        <v>429.48</v>
      </c>
      <c r="G2186" s="160" t="s">
        <v>5457</v>
      </c>
      <c r="H2186" s="34" t="s">
        <v>925</v>
      </c>
    </row>
    <row r="2187" spans="1:8" ht="33">
      <c r="A2187" s="160">
        <v>3</v>
      </c>
      <c r="B2187" s="160" t="s">
        <v>2138</v>
      </c>
      <c r="C2187" s="157" t="s">
        <v>14</v>
      </c>
      <c r="D2187" s="159">
        <v>1</v>
      </c>
      <c r="E2187" s="159">
        <v>536.85</v>
      </c>
      <c r="F2187" s="159">
        <v>536.85</v>
      </c>
      <c r="G2187" s="160" t="s">
        <v>2</v>
      </c>
      <c r="H2187" s="34" t="s">
        <v>925</v>
      </c>
    </row>
    <row r="2188" spans="1:8" ht="33">
      <c r="A2188" s="160">
        <v>4</v>
      </c>
      <c r="B2188" s="160" t="s">
        <v>931</v>
      </c>
      <c r="C2188" s="157" t="s">
        <v>14</v>
      </c>
      <c r="D2188" s="159">
        <v>1</v>
      </c>
      <c r="E2188" s="159">
        <v>125.9</v>
      </c>
      <c r="F2188" s="159">
        <v>125.9</v>
      </c>
      <c r="G2188" s="160" t="s">
        <v>2</v>
      </c>
      <c r="H2188" s="34" t="s">
        <v>925</v>
      </c>
    </row>
    <row r="2189" spans="1:8" ht="33">
      <c r="A2189" s="160"/>
      <c r="B2189" s="160" t="s">
        <v>933</v>
      </c>
      <c r="C2189" s="157" t="s">
        <v>1875</v>
      </c>
      <c r="D2189" s="159">
        <v>1</v>
      </c>
      <c r="E2189" s="159"/>
      <c r="F2189" s="159">
        <v>4322.58</v>
      </c>
      <c r="G2189" s="160"/>
      <c r="H2189" s="34" t="s">
        <v>925</v>
      </c>
    </row>
    <row r="2190" spans="1:8" ht="33">
      <c r="A2190" s="160"/>
      <c r="B2190" s="160" t="s">
        <v>934</v>
      </c>
      <c r="C2190" s="157" t="s">
        <v>1875</v>
      </c>
      <c r="D2190" s="159"/>
      <c r="E2190" s="159"/>
      <c r="F2190" s="159">
        <v>4322.58</v>
      </c>
      <c r="G2190" s="160"/>
      <c r="H2190" s="34" t="s">
        <v>925</v>
      </c>
    </row>
    <row r="2191" spans="1:8" ht="33">
      <c r="A2191" s="160"/>
      <c r="B2191" s="160"/>
      <c r="C2191" s="157"/>
      <c r="D2191" s="159"/>
      <c r="E2191" s="159"/>
      <c r="F2191" s="159"/>
      <c r="G2191" s="160"/>
      <c r="H2191" s="34" t="s">
        <v>925</v>
      </c>
    </row>
    <row r="2192" spans="1:8" ht="28.5">
      <c r="A2192" s="160" t="s">
        <v>2371</v>
      </c>
      <c r="B2192" s="160" t="s">
        <v>2141</v>
      </c>
      <c r="C2192" s="157" t="s">
        <v>3</v>
      </c>
      <c r="D2192" s="159">
        <v>10</v>
      </c>
      <c r="E2192" s="159">
        <v>1515.57</v>
      </c>
      <c r="F2192" s="159"/>
      <c r="G2192" s="160" t="s">
        <v>2</v>
      </c>
    </row>
    <row r="2193" spans="1:8" ht="33">
      <c r="A2193" s="160">
        <v>1</v>
      </c>
      <c r="B2193" s="160" t="s">
        <v>2143</v>
      </c>
      <c r="C2193" s="157" t="s">
        <v>3</v>
      </c>
      <c r="D2193" s="159">
        <v>10.5</v>
      </c>
      <c r="E2193" s="159">
        <v>694.2</v>
      </c>
      <c r="F2193" s="159">
        <v>7289.1</v>
      </c>
      <c r="G2193" s="160" t="s">
        <v>2</v>
      </c>
      <c r="H2193" s="34" t="s">
        <v>925</v>
      </c>
    </row>
    <row r="2194" spans="1:8" ht="33">
      <c r="A2194" s="160">
        <v>2</v>
      </c>
      <c r="B2194" s="160" t="s">
        <v>1637</v>
      </c>
      <c r="C2194" s="157" t="s">
        <v>0</v>
      </c>
      <c r="D2194" s="159">
        <v>0.2</v>
      </c>
      <c r="E2194" s="159">
        <v>3304.6</v>
      </c>
      <c r="F2194" s="159">
        <v>660.92</v>
      </c>
      <c r="G2194" s="160" t="s">
        <v>1873</v>
      </c>
      <c r="H2194" s="34" t="s">
        <v>925</v>
      </c>
    </row>
    <row r="2195" spans="1:8" ht="33">
      <c r="A2195" s="160">
        <v>3</v>
      </c>
      <c r="B2195" s="160" t="s">
        <v>1210</v>
      </c>
      <c r="C2195" s="157" t="s">
        <v>927</v>
      </c>
      <c r="D2195" s="159">
        <v>9.6</v>
      </c>
      <c r="E2195" s="159">
        <v>379.5</v>
      </c>
      <c r="F2195" s="159">
        <v>3643.2</v>
      </c>
      <c r="G2195" s="160" t="s">
        <v>2</v>
      </c>
      <c r="H2195" s="34" t="s">
        <v>925</v>
      </c>
    </row>
    <row r="2196" spans="1:8" ht="33">
      <c r="A2196" s="160">
        <v>4</v>
      </c>
      <c r="B2196" s="160" t="s">
        <v>4871</v>
      </c>
      <c r="C2196" s="157" t="s">
        <v>927</v>
      </c>
      <c r="D2196" s="159">
        <v>12</v>
      </c>
      <c r="E2196" s="159">
        <v>260.08999999999997</v>
      </c>
      <c r="F2196" s="159">
        <v>3121.08</v>
      </c>
      <c r="G2196" s="160" t="s">
        <v>5435</v>
      </c>
      <c r="H2196" s="34" t="s">
        <v>925</v>
      </c>
    </row>
    <row r="2197" spans="1:8" ht="33">
      <c r="A2197" s="160">
        <v>5</v>
      </c>
      <c r="B2197" s="160" t="s">
        <v>931</v>
      </c>
      <c r="C2197" s="157" t="s">
        <v>14</v>
      </c>
      <c r="D2197" s="159">
        <v>1</v>
      </c>
      <c r="E2197" s="159">
        <v>441.43</v>
      </c>
      <c r="F2197" s="159">
        <v>441.43</v>
      </c>
      <c r="G2197" s="160" t="s">
        <v>2</v>
      </c>
      <c r="H2197" s="34" t="s">
        <v>925</v>
      </c>
    </row>
    <row r="2198" spans="1:8" ht="33">
      <c r="A2198" s="160"/>
      <c r="B2198" s="160" t="s">
        <v>933</v>
      </c>
      <c r="C2198" s="157" t="s">
        <v>3</v>
      </c>
      <c r="D2198" s="159">
        <v>10</v>
      </c>
      <c r="E2198" s="159"/>
      <c r="F2198" s="159">
        <v>15155.730000000001</v>
      </c>
      <c r="G2198" s="160"/>
      <c r="H2198" s="34" t="s">
        <v>925</v>
      </c>
    </row>
    <row r="2199" spans="1:8" ht="33">
      <c r="A2199" s="160"/>
      <c r="B2199" s="160" t="s">
        <v>934</v>
      </c>
      <c r="C2199" s="157" t="s">
        <v>3</v>
      </c>
      <c r="D2199" s="159"/>
      <c r="E2199" s="159"/>
      <c r="F2199" s="159">
        <v>1515.57</v>
      </c>
      <c r="G2199" s="160"/>
      <c r="H2199" s="34" t="s">
        <v>925</v>
      </c>
    </row>
    <row r="2200" spans="1:8" ht="33">
      <c r="A2200" s="160"/>
      <c r="B2200" s="160"/>
      <c r="C2200" s="157"/>
      <c r="D2200" s="159"/>
      <c r="E2200" s="159"/>
      <c r="F2200" s="159"/>
      <c r="G2200" s="160"/>
      <c r="H2200" s="34" t="s">
        <v>925</v>
      </c>
    </row>
    <row r="2201" spans="1:8" ht="33">
      <c r="A2201" s="160" t="s">
        <v>2378</v>
      </c>
      <c r="B2201" s="160" t="s">
        <v>3641</v>
      </c>
      <c r="C2201" s="157" t="s">
        <v>1875</v>
      </c>
      <c r="D2201" s="159">
        <v>1</v>
      </c>
      <c r="E2201" s="159">
        <v>3184.26</v>
      </c>
      <c r="F2201" s="159"/>
      <c r="G2201" s="160" t="s">
        <v>2</v>
      </c>
      <c r="H2201" s="34" t="s">
        <v>925</v>
      </c>
    </row>
    <row r="2202" spans="1:8" ht="28.5">
      <c r="A2202" s="160">
        <v>1</v>
      </c>
      <c r="B2202" s="160" t="s">
        <v>4025</v>
      </c>
      <c r="C2202" s="157" t="s">
        <v>1875</v>
      </c>
      <c r="D2202" s="159">
        <v>1</v>
      </c>
      <c r="E2202" s="159">
        <v>2776.81</v>
      </c>
      <c r="F2202" s="159">
        <v>2776.81</v>
      </c>
      <c r="G2202" s="160" t="s">
        <v>2</v>
      </c>
    </row>
    <row r="2203" spans="1:8" ht="33">
      <c r="A2203" s="160">
        <v>2</v>
      </c>
      <c r="B2203" s="160" t="s">
        <v>4027</v>
      </c>
      <c r="C2203" s="157" t="s">
        <v>3</v>
      </c>
      <c r="D2203" s="159">
        <v>0.3</v>
      </c>
      <c r="E2203" s="159">
        <v>462.8</v>
      </c>
      <c r="F2203" s="159">
        <v>138.84</v>
      </c>
      <c r="G2203" s="160" t="s">
        <v>2</v>
      </c>
      <c r="H2203" s="34" t="s">
        <v>925</v>
      </c>
    </row>
    <row r="2204" spans="1:8" ht="33">
      <c r="A2204" s="160">
        <v>3</v>
      </c>
      <c r="B2204" s="160" t="s">
        <v>4029</v>
      </c>
      <c r="C2204" s="157" t="s">
        <v>14</v>
      </c>
      <c r="D2204" s="159">
        <v>1</v>
      </c>
      <c r="E2204" s="159">
        <v>83.3</v>
      </c>
      <c r="F2204" s="159">
        <v>83.3</v>
      </c>
      <c r="G2204" s="160" t="s">
        <v>2</v>
      </c>
      <c r="H2204" s="34" t="s">
        <v>925</v>
      </c>
    </row>
    <row r="2205" spans="1:8" ht="33">
      <c r="A2205" s="160">
        <v>4</v>
      </c>
      <c r="B2205" s="160" t="s">
        <v>4031</v>
      </c>
      <c r="C2205" s="157" t="s">
        <v>14</v>
      </c>
      <c r="D2205" s="159">
        <v>1</v>
      </c>
      <c r="E2205" s="159">
        <v>92.56</v>
      </c>
      <c r="F2205" s="159">
        <v>92.56</v>
      </c>
      <c r="G2205" s="160" t="s">
        <v>2</v>
      </c>
      <c r="H2205" s="34" t="s">
        <v>925</v>
      </c>
    </row>
    <row r="2206" spans="1:8" ht="33">
      <c r="A2206" s="160">
        <v>5</v>
      </c>
      <c r="B2206" s="160" t="s">
        <v>931</v>
      </c>
      <c r="C2206" s="157" t="s">
        <v>14</v>
      </c>
      <c r="D2206" s="159">
        <v>1</v>
      </c>
      <c r="E2206" s="159">
        <v>92.75</v>
      </c>
      <c r="F2206" s="159">
        <v>92.75</v>
      </c>
      <c r="G2206" s="160" t="s">
        <v>2</v>
      </c>
      <c r="H2206" s="34" t="s">
        <v>925</v>
      </c>
    </row>
    <row r="2207" spans="1:8" ht="33">
      <c r="A2207" s="160"/>
      <c r="B2207" s="160" t="s">
        <v>933</v>
      </c>
      <c r="C2207" s="157" t="s">
        <v>1875</v>
      </c>
      <c r="D2207" s="159">
        <v>1</v>
      </c>
      <c r="E2207" s="159"/>
      <c r="F2207" s="159">
        <v>3184.26</v>
      </c>
      <c r="G2207" s="160"/>
      <c r="H2207" s="34" t="s">
        <v>925</v>
      </c>
    </row>
    <row r="2208" spans="1:8" ht="33">
      <c r="A2208" s="160"/>
      <c r="B2208" s="160" t="s">
        <v>934</v>
      </c>
      <c r="C2208" s="157" t="s">
        <v>1875</v>
      </c>
      <c r="D2208" s="159"/>
      <c r="E2208" s="159"/>
      <c r="F2208" s="159">
        <v>3184.26</v>
      </c>
      <c r="G2208" s="160"/>
      <c r="H2208" s="34" t="s">
        <v>925</v>
      </c>
    </row>
    <row r="2209" spans="1:8" ht="16.5">
      <c r="A2209" s="160"/>
      <c r="B2209" s="160"/>
      <c r="C2209" s="157"/>
      <c r="D2209" s="159"/>
      <c r="E2209" s="159"/>
      <c r="F2209" s="159"/>
      <c r="G2209" s="160"/>
    </row>
    <row r="2210" spans="1:8" ht="33">
      <c r="A2210" s="160" t="s">
        <v>2382</v>
      </c>
      <c r="B2210" s="160" t="s">
        <v>2146</v>
      </c>
      <c r="C2210" s="157" t="s">
        <v>3</v>
      </c>
      <c r="D2210" s="159">
        <v>1</v>
      </c>
      <c r="E2210" s="159">
        <v>2310.04</v>
      </c>
      <c r="F2210" s="159"/>
      <c r="G2210" s="160" t="s">
        <v>4385</v>
      </c>
      <c r="H2210" s="34" t="s">
        <v>925</v>
      </c>
    </row>
    <row r="2211" spans="1:8" ht="33">
      <c r="A2211" s="160">
        <v>1</v>
      </c>
      <c r="B2211" s="160" t="s">
        <v>2148</v>
      </c>
      <c r="C2211" s="157" t="s">
        <v>2149</v>
      </c>
      <c r="D2211" s="159">
        <v>15</v>
      </c>
      <c r="E2211" s="159">
        <v>120.33</v>
      </c>
      <c r="F2211" s="159">
        <v>1804.95</v>
      </c>
      <c r="G2211" s="160" t="s">
        <v>4379</v>
      </c>
      <c r="H2211" s="34" t="s">
        <v>925</v>
      </c>
    </row>
    <row r="2212" spans="1:8" ht="33">
      <c r="A2212" s="160">
        <v>2</v>
      </c>
      <c r="B2212" s="160" t="s">
        <v>2151</v>
      </c>
      <c r="C2212" s="157" t="s">
        <v>14</v>
      </c>
      <c r="D2212" s="159">
        <v>1</v>
      </c>
      <c r="E2212" s="159">
        <v>194.38</v>
      </c>
      <c r="F2212" s="159">
        <v>194.38</v>
      </c>
      <c r="G2212" s="160" t="s">
        <v>4379</v>
      </c>
      <c r="H2212" s="34" t="s">
        <v>925</v>
      </c>
    </row>
    <row r="2213" spans="1:8" ht="33">
      <c r="A2213" s="160">
        <v>3</v>
      </c>
      <c r="B2213" s="160" t="s">
        <v>2153</v>
      </c>
      <c r="C2213" s="157" t="s">
        <v>14</v>
      </c>
      <c r="D2213" s="159">
        <v>1</v>
      </c>
      <c r="E2213" s="159">
        <v>222.14</v>
      </c>
      <c r="F2213" s="159">
        <v>222.14</v>
      </c>
      <c r="G2213" s="160" t="s">
        <v>4379</v>
      </c>
      <c r="H2213" s="34" t="s">
        <v>925</v>
      </c>
    </row>
    <row r="2214" spans="1:8" ht="33">
      <c r="A2214" s="160">
        <v>4</v>
      </c>
      <c r="B2214" s="160" t="s">
        <v>2155</v>
      </c>
      <c r="C2214" s="157" t="s">
        <v>14</v>
      </c>
      <c r="D2214" s="159">
        <v>1</v>
      </c>
      <c r="E2214" s="159">
        <v>21.29</v>
      </c>
      <c r="F2214" s="159">
        <v>21.29</v>
      </c>
      <c r="G2214" s="160" t="s">
        <v>4379</v>
      </c>
      <c r="H2214" s="34" t="s">
        <v>925</v>
      </c>
    </row>
    <row r="2215" spans="1:8" ht="33">
      <c r="A2215" s="160">
        <v>5</v>
      </c>
      <c r="B2215" s="160" t="s">
        <v>931</v>
      </c>
      <c r="C2215" s="157" t="s">
        <v>14</v>
      </c>
      <c r="D2215" s="159">
        <v>1</v>
      </c>
      <c r="E2215" s="159">
        <v>67.28</v>
      </c>
      <c r="F2215" s="159">
        <v>67.28</v>
      </c>
      <c r="G2215" s="160" t="s">
        <v>2</v>
      </c>
      <c r="H2215" s="34" t="s">
        <v>925</v>
      </c>
    </row>
    <row r="2216" spans="1:8" ht="33">
      <c r="A2216" s="160"/>
      <c r="B2216" s="160" t="s">
        <v>933</v>
      </c>
      <c r="C2216" s="157" t="s">
        <v>3</v>
      </c>
      <c r="D2216" s="159">
        <v>1</v>
      </c>
      <c r="E2216" s="159"/>
      <c r="F2216" s="159">
        <v>2310.04</v>
      </c>
      <c r="G2216" s="160"/>
      <c r="H2216" s="34" t="s">
        <v>925</v>
      </c>
    </row>
    <row r="2217" spans="1:8" ht="33">
      <c r="A2217" s="160"/>
      <c r="B2217" s="160" t="s">
        <v>934</v>
      </c>
      <c r="C2217" s="157" t="s">
        <v>3</v>
      </c>
      <c r="D2217" s="159"/>
      <c r="E2217" s="159"/>
      <c r="F2217" s="159">
        <v>2310.04</v>
      </c>
      <c r="G2217" s="160"/>
      <c r="H2217" s="34" t="s">
        <v>925</v>
      </c>
    </row>
    <row r="2218" spans="1:8" ht="33">
      <c r="A2218" s="160"/>
      <c r="B2218" s="160"/>
      <c r="C2218" s="157"/>
      <c r="D2218" s="159"/>
      <c r="E2218" s="159"/>
      <c r="F2218" s="159"/>
      <c r="G2218" s="160"/>
      <c r="H2218" s="34" t="s">
        <v>925</v>
      </c>
    </row>
    <row r="2219" spans="1:8" ht="33">
      <c r="A2219" s="160" t="s">
        <v>2389</v>
      </c>
      <c r="B2219" s="160" t="s">
        <v>2158</v>
      </c>
      <c r="C2219" s="157" t="s">
        <v>1497</v>
      </c>
      <c r="D2219" s="159">
        <v>1</v>
      </c>
      <c r="E2219" s="159">
        <v>251.69</v>
      </c>
      <c r="F2219" s="159"/>
      <c r="G2219" s="160" t="s">
        <v>4385</v>
      </c>
      <c r="H2219" s="34" t="s">
        <v>925</v>
      </c>
    </row>
    <row r="2220" spans="1:8" ht="28.5">
      <c r="A2220" s="160">
        <v>1</v>
      </c>
      <c r="B2220" s="160" t="s">
        <v>2148</v>
      </c>
      <c r="C2220" s="157" t="s">
        <v>2149</v>
      </c>
      <c r="D2220" s="159">
        <v>0.1</v>
      </c>
      <c r="E2220" s="159">
        <v>120.33</v>
      </c>
      <c r="F2220" s="159">
        <v>12.03</v>
      </c>
      <c r="G2220" s="160" t="s">
        <v>4379</v>
      </c>
    </row>
    <row r="2221" spans="1:8" ht="33">
      <c r="A2221" s="160">
        <v>2</v>
      </c>
      <c r="B2221" s="160" t="s">
        <v>2151</v>
      </c>
      <c r="C2221" s="157" t="s">
        <v>14</v>
      </c>
      <c r="D2221" s="159">
        <v>1</v>
      </c>
      <c r="E2221" s="159">
        <v>194.38</v>
      </c>
      <c r="F2221" s="159">
        <v>194.38</v>
      </c>
      <c r="G2221" s="160" t="s">
        <v>4379</v>
      </c>
      <c r="H2221" s="34" t="s">
        <v>925</v>
      </c>
    </row>
    <row r="2222" spans="1:8" ht="33">
      <c r="A2222" s="160">
        <v>3</v>
      </c>
      <c r="B2222" s="160" t="s">
        <v>2153</v>
      </c>
      <c r="C2222" s="157" t="s">
        <v>14</v>
      </c>
      <c r="D2222" s="159">
        <v>1</v>
      </c>
      <c r="E2222" s="159">
        <v>16.66</v>
      </c>
      <c r="F2222" s="159">
        <v>16.66</v>
      </c>
      <c r="G2222" s="160" t="s">
        <v>4379</v>
      </c>
      <c r="H2222" s="34" t="s">
        <v>925</v>
      </c>
    </row>
    <row r="2223" spans="1:8" ht="33">
      <c r="A2223" s="160">
        <v>4</v>
      </c>
      <c r="B2223" s="160" t="s">
        <v>2155</v>
      </c>
      <c r="C2223" s="157" t="s">
        <v>14</v>
      </c>
      <c r="D2223" s="159">
        <v>1</v>
      </c>
      <c r="E2223" s="159">
        <v>21.29</v>
      </c>
      <c r="F2223" s="159">
        <v>21.29</v>
      </c>
      <c r="G2223" s="160" t="s">
        <v>4379</v>
      </c>
      <c r="H2223" s="34" t="s">
        <v>925</v>
      </c>
    </row>
    <row r="2224" spans="1:8" ht="33">
      <c r="A2224" s="160">
        <v>5</v>
      </c>
      <c r="B2224" s="160" t="s">
        <v>931</v>
      </c>
      <c r="C2224" s="157" t="s">
        <v>14</v>
      </c>
      <c r="D2224" s="159">
        <v>1</v>
      </c>
      <c r="E2224" s="159">
        <v>7.33</v>
      </c>
      <c r="F2224" s="159">
        <v>7.33</v>
      </c>
      <c r="G2224" s="160" t="s">
        <v>2</v>
      </c>
      <c r="H2224" s="34" t="s">
        <v>925</v>
      </c>
    </row>
    <row r="2225" spans="1:8" ht="33">
      <c r="A2225" s="160"/>
      <c r="B2225" s="160" t="s">
        <v>933</v>
      </c>
      <c r="C2225" s="157" t="s">
        <v>1497</v>
      </c>
      <c r="D2225" s="159">
        <v>1</v>
      </c>
      <c r="E2225" s="159"/>
      <c r="F2225" s="159">
        <v>251.69</v>
      </c>
      <c r="G2225" s="160"/>
      <c r="H2225" s="34" t="s">
        <v>925</v>
      </c>
    </row>
    <row r="2226" spans="1:8" ht="33">
      <c r="A2226" s="160"/>
      <c r="B2226" s="160" t="s">
        <v>934</v>
      </c>
      <c r="C2226" s="157" t="s">
        <v>1497</v>
      </c>
      <c r="D2226" s="159"/>
      <c r="E2226" s="159"/>
      <c r="F2226" s="159">
        <v>251.69</v>
      </c>
      <c r="G2226" s="160"/>
      <c r="H2226" s="34" t="s">
        <v>925</v>
      </c>
    </row>
    <row r="2227" spans="1:8" ht="33">
      <c r="A2227" s="160"/>
      <c r="B2227" s="160"/>
      <c r="C2227" s="157"/>
      <c r="D2227" s="159"/>
      <c r="E2227" s="159"/>
      <c r="F2227" s="159"/>
      <c r="G2227" s="160"/>
      <c r="H2227" s="34" t="s">
        <v>925</v>
      </c>
    </row>
    <row r="2228" spans="1:8" ht="33">
      <c r="A2228" s="160" t="s">
        <v>2392</v>
      </c>
      <c r="B2228" s="160" t="s">
        <v>912</v>
      </c>
      <c r="C2228" s="157" t="s">
        <v>3</v>
      </c>
      <c r="D2228" s="159">
        <v>1</v>
      </c>
      <c r="E2228" s="159">
        <v>651.15</v>
      </c>
      <c r="F2228" s="159"/>
      <c r="G2228" s="160" t="s">
        <v>4379</v>
      </c>
      <c r="H2228" s="34" t="s">
        <v>925</v>
      </c>
    </row>
    <row r="2229" spans="1:8" ht="33">
      <c r="A2229" s="160">
        <v>1</v>
      </c>
      <c r="B2229" s="160" t="s">
        <v>2162</v>
      </c>
      <c r="C2229" s="157" t="s">
        <v>3</v>
      </c>
      <c r="D2229" s="159">
        <v>1</v>
      </c>
      <c r="E2229" s="159">
        <v>76.819999999999993</v>
      </c>
      <c r="F2229" s="159">
        <v>76.819999999999993</v>
      </c>
      <c r="G2229" s="160" t="s">
        <v>2</v>
      </c>
      <c r="H2229" s="34" t="s">
        <v>925</v>
      </c>
    </row>
    <row r="2230" spans="1:8" ht="33">
      <c r="A2230" s="160">
        <v>2</v>
      </c>
      <c r="B2230" s="160" t="s">
        <v>2164</v>
      </c>
      <c r="C2230" s="157" t="s">
        <v>3</v>
      </c>
      <c r="D2230" s="159">
        <v>1</v>
      </c>
      <c r="E2230" s="159">
        <v>92.56</v>
      </c>
      <c r="F2230" s="159">
        <v>92.56</v>
      </c>
      <c r="G2230" s="160" t="s">
        <v>2</v>
      </c>
      <c r="H2230" s="34" t="s">
        <v>925</v>
      </c>
    </row>
    <row r="2231" spans="1:8" ht="16.5">
      <c r="A2231" s="160">
        <v>3</v>
      </c>
      <c r="B2231" s="160" t="s">
        <v>2166</v>
      </c>
      <c r="C2231" s="157" t="s">
        <v>3</v>
      </c>
      <c r="D2231" s="159">
        <v>1</v>
      </c>
      <c r="E2231" s="159">
        <v>462.8</v>
      </c>
      <c r="F2231" s="159">
        <v>462.8</v>
      </c>
      <c r="G2231" s="160" t="s">
        <v>2</v>
      </c>
    </row>
    <row r="2232" spans="1:8" ht="33">
      <c r="A2232" s="160">
        <v>4</v>
      </c>
      <c r="B2232" s="160" t="s">
        <v>931</v>
      </c>
      <c r="C2232" s="157" t="s">
        <v>14</v>
      </c>
      <c r="D2232" s="159">
        <v>1</v>
      </c>
      <c r="E2232" s="159">
        <v>18.97</v>
      </c>
      <c r="F2232" s="159">
        <v>18.97</v>
      </c>
      <c r="G2232" s="160" t="s">
        <v>2</v>
      </c>
      <c r="H2232" s="34" t="s">
        <v>925</v>
      </c>
    </row>
    <row r="2233" spans="1:8" ht="33">
      <c r="A2233" s="160"/>
      <c r="B2233" s="160" t="s">
        <v>933</v>
      </c>
      <c r="C2233" s="157" t="s">
        <v>3</v>
      </c>
      <c r="D2233" s="159">
        <v>1</v>
      </c>
      <c r="E2233" s="159"/>
      <c r="F2233" s="159">
        <v>651.15000000000009</v>
      </c>
      <c r="G2233" s="160"/>
      <c r="H2233" s="34" t="s">
        <v>925</v>
      </c>
    </row>
    <row r="2234" spans="1:8" ht="33">
      <c r="A2234" s="160"/>
      <c r="B2234" s="160" t="s">
        <v>934</v>
      </c>
      <c r="C2234" s="157" t="s">
        <v>3</v>
      </c>
      <c r="D2234" s="159"/>
      <c r="E2234" s="159"/>
      <c r="F2234" s="159">
        <v>651.15</v>
      </c>
      <c r="G2234" s="160"/>
      <c r="H2234" s="34" t="s">
        <v>925</v>
      </c>
    </row>
    <row r="2235" spans="1:8" ht="33">
      <c r="A2235" s="160"/>
      <c r="B2235" s="160"/>
      <c r="C2235" s="157"/>
      <c r="D2235" s="159"/>
      <c r="E2235" s="159"/>
      <c r="F2235" s="159"/>
      <c r="G2235" s="160"/>
      <c r="H2235" s="34" t="s">
        <v>925</v>
      </c>
    </row>
    <row r="2236" spans="1:8" ht="33">
      <c r="A2236" s="160" t="s">
        <v>2398</v>
      </c>
      <c r="B2236" s="160" t="s">
        <v>2169</v>
      </c>
      <c r="C2236" s="157" t="s">
        <v>17</v>
      </c>
      <c r="D2236" s="159">
        <v>10</v>
      </c>
      <c r="E2236" s="159">
        <v>128.66999999999999</v>
      </c>
      <c r="F2236" s="159"/>
      <c r="G2236" s="160" t="s">
        <v>2</v>
      </c>
      <c r="H2236" s="34" t="s">
        <v>925</v>
      </c>
    </row>
    <row r="2237" spans="1:8" ht="33">
      <c r="A2237" s="160">
        <v>1</v>
      </c>
      <c r="B2237" s="160" t="s">
        <v>2171</v>
      </c>
      <c r="C2237" s="157" t="s">
        <v>14</v>
      </c>
      <c r="D2237" s="159">
        <v>1</v>
      </c>
      <c r="E2237" s="159">
        <v>231.4</v>
      </c>
      <c r="F2237" s="159">
        <v>231.4</v>
      </c>
      <c r="G2237" s="160" t="s">
        <v>2</v>
      </c>
      <c r="H2237" s="34" t="s">
        <v>925</v>
      </c>
    </row>
    <row r="2238" spans="1:8" ht="33">
      <c r="A2238" s="160">
        <v>2</v>
      </c>
      <c r="B2238" s="160" t="s">
        <v>2173</v>
      </c>
      <c r="C2238" s="157" t="s">
        <v>14</v>
      </c>
      <c r="D2238" s="159">
        <v>1</v>
      </c>
      <c r="E2238" s="159">
        <v>185.12</v>
      </c>
      <c r="F2238" s="159">
        <v>185.12</v>
      </c>
      <c r="G2238" s="160" t="s">
        <v>2</v>
      </c>
      <c r="H2238" s="34" t="s">
        <v>925</v>
      </c>
    </row>
    <row r="2239" spans="1:8" ht="33">
      <c r="A2239" s="160">
        <v>3</v>
      </c>
      <c r="B2239" s="160" t="s">
        <v>2175</v>
      </c>
      <c r="C2239" s="157" t="s">
        <v>14</v>
      </c>
      <c r="D2239" s="159">
        <v>1</v>
      </c>
      <c r="E2239" s="159">
        <v>92.56</v>
      </c>
      <c r="F2239" s="159">
        <v>92.56</v>
      </c>
      <c r="G2239" s="160" t="s">
        <v>2</v>
      </c>
      <c r="H2239" s="34" t="s">
        <v>925</v>
      </c>
    </row>
    <row r="2240" spans="1:8" ht="28.5">
      <c r="A2240" s="160">
        <v>4</v>
      </c>
      <c r="B2240" s="160" t="s">
        <v>2177</v>
      </c>
      <c r="C2240" s="157" t="s">
        <v>14</v>
      </c>
      <c r="D2240" s="159">
        <v>1</v>
      </c>
      <c r="E2240" s="159">
        <v>323.95999999999998</v>
      </c>
      <c r="F2240" s="159">
        <v>323.95999999999998</v>
      </c>
      <c r="G2240" s="160" t="s">
        <v>2</v>
      </c>
    </row>
    <row r="2241" spans="1:8" ht="33">
      <c r="A2241" s="160">
        <v>5</v>
      </c>
      <c r="B2241" s="160" t="s">
        <v>4871</v>
      </c>
      <c r="C2241" s="157" t="s">
        <v>927</v>
      </c>
      <c r="D2241" s="159">
        <v>1.6</v>
      </c>
      <c r="E2241" s="159">
        <v>260.08999999999997</v>
      </c>
      <c r="F2241" s="159">
        <v>416.14</v>
      </c>
      <c r="G2241" s="160" t="s">
        <v>5435</v>
      </c>
      <c r="H2241" s="34" t="s">
        <v>925</v>
      </c>
    </row>
    <row r="2242" spans="1:8" ht="33">
      <c r="A2242" s="160">
        <v>6</v>
      </c>
      <c r="B2242" s="160" t="s">
        <v>931</v>
      </c>
      <c r="C2242" s="157" t="s">
        <v>14</v>
      </c>
      <c r="D2242" s="159">
        <v>1</v>
      </c>
      <c r="E2242" s="159">
        <v>37.479999999999997</v>
      </c>
      <c r="F2242" s="159">
        <v>37.479999999999997</v>
      </c>
      <c r="G2242" s="160" t="s">
        <v>2</v>
      </c>
      <c r="H2242" s="34" t="s">
        <v>925</v>
      </c>
    </row>
    <row r="2243" spans="1:8" ht="33">
      <c r="A2243" s="160"/>
      <c r="B2243" s="160" t="s">
        <v>933</v>
      </c>
      <c r="C2243" s="157" t="s">
        <v>17</v>
      </c>
      <c r="D2243" s="159">
        <v>10</v>
      </c>
      <c r="E2243" s="159"/>
      <c r="F2243" s="159">
        <v>1286.6599999999999</v>
      </c>
      <c r="G2243" s="160"/>
      <c r="H2243" s="34" t="s">
        <v>925</v>
      </c>
    </row>
    <row r="2244" spans="1:8" ht="33">
      <c r="A2244" s="160"/>
      <c r="B2244" s="160" t="s">
        <v>934</v>
      </c>
      <c r="C2244" s="157" t="s">
        <v>17</v>
      </c>
      <c r="D2244" s="159"/>
      <c r="E2244" s="159"/>
      <c r="F2244" s="159">
        <v>128.66999999999999</v>
      </c>
      <c r="G2244" s="160"/>
      <c r="H2244" s="34" t="s">
        <v>925</v>
      </c>
    </row>
    <row r="2245" spans="1:8" ht="33">
      <c r="A2245" s="160"/>
      <c r="B2245" s="160"/>
      <c r="C2245" s="157"/>
      <c r="D2245" s="159"/>
      <c r="E2245" s="159"/>
      <c r="F2245" s="159"/>
      <c r="G2245" s="160"/>
      <c r="H2245" s="34" t="s">
        <v>925</v>
      </c>
    </row>
    <row r="2246" spans="1:8" ht="33">
      <c r="A2246" s="160" t="s">
        <v>2404</v>
      </c>
      <c r="B2246" s="160" t="s">
        <v>3642</v>
      </c>
      <c r="C2246" s="157" t="s">
        <v>17</v>
      </c>
      <c r="D2246" s="159">
        <v>10</v>
      </c>
      <c r="E2246" s="159">
        <v>109.6</v>
      </c>
      <c r="F2246" s="159"/>
      <c r="G2246" s="160" t="s">
        <v>2</v>
      </c>
      <c r="H2246" s="34" t="s">
        <v>925</v>
      </c>
    </row>
    <row r="2247" spans="1:8" ht="33">
      <c r="A2247" s="160">
        <v>1</v>
      </c>
      <c r="B2247" s="160" t="s">
        <v>2171</v>
      </c>
      <c r="C2247" s="157" t="s">
        <v>14</v>
      </c>
      <c r="D2247" s="159">
        <v>1</v>
      </c>
      <c r="E2247" s="159">
        <v>231.4</v>
      </c>
      <c r="F2247" s="159">
        <v>231.4</v>
      </c>
      <c r="G2247" s="160" t="s">
        <v>2</v>
      </c>
      <c r="H2247" s="34" t="s">
        <v>925</v>
      </c>
    </row>
    <row r="2248" spans="1:8" ht="33">
      <c r="A2248" s="160">
        <v>2</v>
      </c>
      <c r="B2248" s="160" t="s">
        <v>2175</v>
      </c>
      <c r="C2248" s="157" t="s">
        <v>14</v>
      </c>
      <c r="D2248" s="159">
        <v>1</v>
      </c>
      <c r="E2248" s="159">
        <v>92.56</v>
      </c>
      <c r="F2248" s="159">
        <v>92.56</v>
      </c>
      <c r="G2248" s="160" t="s">
        <v>2</v>
      </c>
      <c r="H2248" s="34" t="s">
        <v>925</v>
      </c>
    </row>
    <row r="2249" spans="1:8" ht="28.5">
      <c r="A2249" s="160">
        <v>3</v>
      </c>
      <c r="B2249" s="160" t="s">
        <v>2177</v>
      </c>
      <c r="C2249" s="157" t="s">
        <v>14</v>
      </c>
      <c r="D2249" s="159">
        <v>1</v>
      </c>
      <c r="E2249" s="159">
        <v>323.95999999999998</v>
      </c>
      <c r="F2249" s="159">
        <v>323.95999999999998</v>
      </c>
      <c r="G2249" s="160" t="s">
        <v>2</v>
      </c>
    </row>
    <row r="2250" spans="1:8" ht="33">
      <c r="A2250" s="160">
        <v>4</v>
      </c>
      <c r="B2250" s="160" t="s">
        <v>4871</v>
      </c>
      <c r="C2250" s="157" t="s">
        <v>927</v>
      </c>
      <c r="D2250" s="159">
        <v>1.6</v>
      </c>
      <c r="E2250" s="159">
        <v>260.08999999999997</v>
      </c>
      <c r="F2250" s="159">
        <v>416.14</v>
      </c>
      <c r="G2250" s="160" t="s">
        <v>5435</v>
      </c>
      <c r="H2250" s="34" t="s">
        <v>925</v>
      </c>
    </row>
    <row r="2251" spans="1:8" ht="33">
      <c r="A2251" s="160">
        <v>5</v>
      </c>
      <c r="B2251" s="160" t="s">
        <v>931</v>
      </c>
      <c r="C2251" s="157" t="s">
        <v>14</v>
      </c>
      <c r="D2251" s="159">
        <v>1</v>
      </c>
      <c r="E2251" s="159">
        <v>31.92</v>
      </c>
      <c r="F2251" s="159">
        <v>31.92</v>
      </c>
      <c r="G2251" s="160" t="s">
        <v>2</v>
      </c>
      <c r="H2251" s="34" t="s">
        <v>925</v>
      </c>
    </row>
    <row r="2252" spans="1:8" ht="33">
      <c r="A2252" s="160"/>
      <c r="B2252" s="160" t="s">
        <v>933</v>
      </c>
      <c r="C2252" s="157" t="s">
        <v>17</v>
      </c>
      <c r="D2252" s="159">
        <v>10</v>
      </c>
      <c r="E2252" s="159"/>
      <c r="F2252" s="159">
        <v>1095.98</v>
      </c>
      <c r="G2252" s="160"/>
      <c r="H2252" s="34" t="s">
        <v>925</v>
      </c>
    </row>
    <row r="2253" spans="1:8" ht="33">
      <c r="A2253" s="160"/>
      <c r="B2253" s="160" t="s">
        <v>934</v>
      </c>
      <c r="C2253" s="157" t="s">
        <v>17</v>
      </c>
      <c r="D2253" s="159"/>
      <c r="E2253" s="159"/>
      <c r="F2253" s="159">
        <v>109.6</v>
      </c>
      <c r="G2253" s="160"/>
      <c r="H2253" s="34" t="s">
        <v>925</v>
      </c>
    </row>
    <row r="2254" spans="1:8" ht="33">
      <c r="A2254" s="160"/>
      <c r="B2254" s="160"/>
      <c r="C2254" s="157"/>
      <c r="D2254" s="159"/>
      <c r="E2254" s="159"/>
      <c r="F2254" s="159"/>
      <c r="G2254" s="160"/>
      <c r="H2254" s="34" t="s">
        <v>925</v>
      </c>
    </row>
    <row r="2255" spans="1:8" ht="33">
      <c r="A2255" s="160" t="s">
        <v>2409</v>
      </c>
      <c r="B2255" s="160" t="s">
        <v>4697</v>
      </c>
      <c r="C2255" s="157" t="s">
        <v>17</v>
      </c>
      <c r="D2255" s="159">
        <v>10</v>
      </c>
      <c r="E2255" s="159">
        <v>165.32</v>
      </c>
      <c r="F2255" s="159"/>
      <c r="G2255" s="160" t="s">
        <v>2</v>
      </c>
      <c r="H2255" s="34" t="s">
        <v>925</v>
      </c>
    </row>
    <row r="2256" spans="1:8" ht="16.5">
      <c r="A2256" s="160">
        <v>1</v>
      </c>
      <c r="B2256" s="160" t="s">
        <v>2171</v>
      </c>
      <c r="C2256" s="157" t="s">
        <v>14</v>
      </c>
      <c r="D2256" s="159">
        <v>1</v>
      </c>
      <c r="E2256" s="159">
        <v>231.4</v>
      </c>
      <c r="F2256" s="159">
        <v>231.4</v>
      </c>
      <c r="G2256" s="160" t="s">
        <v>2</v>
      </c>
    </row>
    <row r="2257" spans="1:8" ht="33">
      <c r="A2257" s="160">
        <v>2</v>
      </c>
      <c r="B2257" s="160" t="s">
        <v>2175</v>
      </c>
      <c r="C2257" s="157" t="s">
        <v>14</v>
      </c>
      <c r="D2257" s="159">
        <v>1</v>
      </c>
      <c r="E2257" s="159">
        <v>92.56</v>
      </c>
      <c r="F2257" s="159">
        <v>92.56</v>
      </c>
      <c r="G2257" s="160" t="s">
        <v>2</v>
      </c>
      <c r="H2257" s="34" t="s">
        <v>925</v>
      </c>
    </row>
    <row r="2258" spans="1:8" ht="33">
      <c r="A2258" s="160">
        <v>3</v>
      </c>
      <c r="B2258" s="160" t="s">
        <v>2177</v>
      </c>
      <c r="C2258" s="157" t="s">
        <v>14</v>
      </c>
      <c r="D2258" s="159">
        <v>1</v>
      </c>
      <c r="E2258" s="159">
        <v>323.95999999999998</v>
      </c>
      <c r="F2258" s="159">
        <v>323.95999999999998</v>
      </c>
      <c r="G2258" s="160" t="s">
        <v>2</v>
      </c>
      <c r="H2258" s="34" t="s">
        <v>925</v>
      </c>
    </row>
    <row r="2259" spans="1:8" ht="33">
      <c r="A2259" s="160">
        <v>4</v>
      </c>
      <c r="B2259" s="160" t="s">
        <v>4874</v>
      </c>
      <c r="C2259" s="157" t="s">
        <v>927</v>
      </c>
      <c r="D2259" s="159">
        <v>1.84</v>
      </c>
      <c r="E2259" s="159">
        <v>520.19000000000005</v>
      </c>
      <c r="F2259" s="159">
        <v>957.15</v>
      </c>
      <c r="G2259" s="160" t="s">
        <v>5436</v>
      </c>
      <c r="H2259" s="34" t="s">
        <v>925</v>
      </c>
    </row>
    <row r="2260" spans="1:8" ht="33">
      <c r="A2260" s="160">
        <v>5</v>
      </c>
      <c r="B2260" s="160" t="s">
        <v>931</v>
      </c>
      <c r="C2260" s="157" t="s">
        <v>14</v>
      </c>
      <c r="D2260" s="159">
        <v>1</v>
      </c>
      <c r="E2260" s="159">
        <v>48.15</v>
      </c>
      <c r="F2260" s="159">
        <v>48.15</v>
      </c>
      <c r="G2260" s="160" t="s">
        <v>2</v>
      </c>
      <c r="H2260" s="34" t="s">
        <v>925</v>
      </c>
    </row>
    <row r="2261" spans="1:8" ht="33">
      <c r="A2261" s="160"/>
      <c r="B2261" s="160" t="s">
        <v>933</v>
      </c>
      <c r="C2261" s="157" t="s">
        <v>17</v>
      </c>
      <c r="D2261" s="159">
        <v>10</v>
      </c>
      <c r="E2261" s="159"/>
      <c r="F2261" s="159">
        <v>1653.2200000000003</v>
      </c>
      <c r="G2261" s="160"/>
      <c r="H2261" s="34" t="s">
        <v>925</v>
      </c>
    </row>
    <row r="2262" spans="1:8" ht="16.5">
      <c r="A2262" s="160"/>
      <c r="B2262" s="160" t="s">
        <v>934</v>
      </c>
      <c r="C2262" s="157" t="s">
        <v>17</v>
      </c>
      <c r="D2262" s="159"/>
      <c r="E2262" s="159"/>
      <c r="F2262" s="159">
        <v>165.32</v>
      </c>
      <c r="G2262" s="160"/>
    </row>
    <row r="2263" spans="1:8" ht="33">
      <c r="A2263" s="160"/>
      <c r="B2263" s="160"/>
      <c r="C2263" s="157"/>
      <c r="D2263" s="159"/>
      <c r="E2263" s="159"/>
      <c r="F2263" s="159"/>
      <c r="G2263" s="160"/>
      <c r="H2263" s="34" t="s">
        <v>925</v>
      </c>
    </row>
    <row r="2264" spans="1:8" ht="33">
      <c r="A2264" s="160" t="s">
        <v>2413</v>
      </c>
      <c r="B2264" s="160" t="s">
        <v>2180</v>
      </c>
      <c r="C2264" s="157" t="s">
        <v>3</v>
      </c>
      <c r="D2264" s="159">
        <v>1</v>
      </c>
      <c r="E2264" s="159">
        <v>1173.79</v>
      </c>
      <c r="F2264" s="159"/>
      <c r="G2264" s="160" t="s">
        <v>2</v>
      </c>
      <c r="H2264" s="34" t="s">
        <v>925</v>
      </c>
    </row>
    <row r="2265" spans="1:8" ht="33">
      <c r="A2265" s="160">
        <v>1</v>
      </c>
      <c r="B2265" s="160" t="s">
        <v>2182</v>
      </c>
      <c r="C2265" s="157" t="s">
        <v>3</v>
      </c>
      <c r="D2265" s="159">
        <v>1</v>
      </c>
      <c r="E2265" s="159">
        <v>309.14999999999998</v>
      </c>
      <c r="F2265" s="159">
        <v>309.14999999999998</v>
      </c>
      <c r="G2265" s="160" t="s">
        <v>2</v>
      </c>
      <c r="H2265" s="34" t="s">
        <v>925</v>
      </c>
    </row>
    <row r="2266" spans="1:8" ht="33">
      <c r="A2266" s="160">
        <v>2</v>
      </c>
      <c r="B2266" s="160" t="s">
        <v>1294</v>
      </c>
      <c r="C2266" s="157" t="s">
        <v>1295</v>
      </c>
      <c r="D2266" s="159">
        <v>0.12</v>
      </c>
      <c r="E2266" s="159">
        <v>154.58000000000001</v>
      </c>
      <c r="F2266" s="159">
        <v>18.55</v>
      </c>
      <c r="G2266" s="160" t="s">
        <v>2</v>
      </c>
      <c r="H2266" s="34" t="s">
        <v>925</v>
      </c>
    </row>
    <row r="2267" spans="1:8" ht="33">
      <c r="A2267" s="160">
        <v>3</v>
      </c>
      <c r="B2267" s="160" t="s">
        <v>2184</v>
      </c>
      <c r="C2267" s="157" t="s">
        <v>18</v>
      </c>
      <c r="D2267" s="159">
        <v>12</v>
      </c>
      <c r="E2267" s="159">
        <v>13.88</v>
      </c>
      <c r="F2267" s="159">
        <v>166.56</v>
      </c>
      <c r="G2267" s="160" t="s">
        <v>2</v>
      </c>
      <c r="H2267" s="34" t="s">
        <v>925</v>
      </c>
    </row>
    <row r="2268" spans="1:8" ht="33">
      <c r="A2268" s="160">
        <v>4</v>
      </c>
      <c r="B2268" s="160" t="s">
        <v>2186</v>
      </c>
      <c r="C2268" s="157" t="s">
        <v>18</v>
      </c>
      <c r="D2268" s="159">
        <v>3</v>
      </c>
      <c r="E2268" s="159">
        <v>11.11</v>
      </c>
      <c r="F2268" s="159">
        <v>33.33</v>
      </c>
      <c r="G2268" s="160" t="s">
        <v>2</v>
      </c>
      <c r="H2268" s="34" t="s">
        <v>925</v>
      </c>
    </row>
    <row r="2269" spans="1:8" ht="33">
      <c r="A2269" s="160">
        <v>5</v>
      </c>
      <c r="B2269" s="160" t="s">
        <v>2188</v>
      </c>
      <c r="C2269" s="157" t="s">
        <v>14</v>
      </c>
      <c r="D2269" s="159">
        <v>1</v>
      </c>
      <c r="E2269" s="159">
        <v>9.26</v>
      </c>
      <c r="F2269" s="159">
        <v>9.26</v>
      </c>
      <c r="G2269" s="160" t="s">
        <v>2</v>
      </c>
      <c r="H2269" s="34" t="s">
        <v>925</v>
      </c>
    </row>
    <row r="2270" spans="1:8" ht="33">
      <c r="A2270" s="160">
        <v>6</v>
      </c>
      <c r="B2270" s="160" t="s">
        <v>1210</v>
      </c>
      <c r="C2270" s="157" t="s">
        <v>927</v>
      </c>
      <c r="D2270" s="159">
        <v>1.04</v>
      </c>
      <c r="E2270" s="159">
        <v>379.5</v>
      </c>
      <c r="F2270" s="159">
        <v>394.68</v>
      </c>
      <c r="G2270" s="160" t="s">
        <v>2</v>
      </c>
      <c r="H2270" s="34" t="s">
        <v>925</v>
      </c>
    </row>
    <row r="2271" spans="1:8" ht="16.5">
      <c r="A2271" s="160">
        <v>7</v>
      </c>
      <c r="B2271" s="160" t="s">
        <v>1644</v>
      </c>
      <c r="C2271" s="157" t="s">
        <v>927</v>
      </c>
      <c r="D2271" s="159">
        <v>0.8</v>
      </c>
      <c r="E2271" s="159">
        <v>260.08999999999997</v>
      </c>
      <c r="F2271" s="159">
        <v>208.07</v>
      </c>
      <c r="G2271" s="160" t="s">
        <v>2</v>
      </c>
    </row>
    <row r="2272" spans="1:8" ht="33">
      <c r="A2272" s="160">
        <v>8</v>
      </c>
      <c r="B2272" s="160" t="s">
        <v>955</v>
      </c>
      <c r="C2272" s="157" t="s">
        <v>14</v>
      </c>
      <c r="D2272" s="159">
        <v>1</v>
      </c>
      <c r="E2272" s="159">
        <v>34.19</v>
      </c>
      <c r="F2272" s="159">
        <v>34.19</v>
      </c>
      <c r="G2272" s="160" t="s">
        <v>2</v>
      </c>
      <c r="H2272" s="34" t="s">
        <v>925</v>
      </c>
    </row>
    <row r="2273" spans="1:8" ht="33">
      <c r="A2273" s="160"/>
      <c r="B2273" s="160" t="s">
        <v>933</v>
      </c>
      <c r="C2273" s="157" t="s">
        <v>3</v>
      </c>
      <c r="D2273" s="159">
        <v>1</v>
      </c>
      <c r="E2273" s="159"/>
      <c r="F2273" s="159">
        <v>1173.79</v>
      </c>
      <c r="G2273" s="160"/>
      <c r="H2273" s="34" t="s">
        <v>925</v>
      </c>
    </row>
    <row r="2274" spans="1:8" ht="33">
      <c r="A2274" s="160"/>
      <c r="B2274" s="160" t="s">
        <v>934</v>
      </c>
      <c r="C2274" s="157" t="s">
        <v>3</v>
      </c>
      <c r="D2274" s="159"/>
      <c r="E2274" s="159"/>
      <c r="F2274" s="159">
        <v>1173.79</v>
      </c>
      <c r="G2274" s="160"/>
      <c r="H2274" s="34" t="s">
        <v>925</v>
      </c>
    </row>
    <row r="2275" spans="1:8" ht="33">
      <c r="A2275" s="160"/>
      <c r="B2275" s="160"/>
      <c r="C2275" s="157"/>
      <c r="D2275" s="159"/>
      <c r="E2275" s="159"/>
      <c r="F2275" s="159"/>
      <c r="G2275" s="160"/>
      <c r="H2275" s="34" t="s">
        <v>925</v>
      </c>
    </row>
    <row r="2276" spans="1:8" ht="33">
      <c r="A2276" s="160" t="s">
        <v>2415</v>
      </c>
      <c r="B2276" s="160" t="s">
        <v>2191</v>
      </c>
      <c r="C2276" s="157" t="s">
        <v>3</v>
      </c>
      <c r="D2276" s="159">
        <v>1</v>
      </c>
      <c r="E2276" s="159">
        <v>1692.05</v>
      </c>
      <c r="F2276" s="159"/>
      <c r="G2276" s="160" t="s">
        <v>2</v>
      </c>
      <c r="H2276" s="34" t="s">
        <v>925</v>
      </c>
    </row>
    <row r="2277" spans="1:8" ht="33">
      <c r="A2277" s="160">
        <v>1</v>
      </c>
      <c r="B2277" s="160" t="s">
        <v>2182</v>
      </c>
      <c r="C2277" s="157" t="s">
        <v>3</v>
      </c>
      <c r="D2277" s="159">
        <v>1</v>
      </c>
      <c r="E2277" s="159">
        <v>309.14999999999998</v>
      </c>
      <c r="F2277" s="159">
        <v>309.14999999999998</v>
      </c>
      <c r="G2277" s="160" t="s">
        <v>2</v>
      </c>
      <c r="H2277" s="34" t="s">
        <v>925</v>
      </c>
    </row>
    <row r="2278" spans="1:8" ht="33">
      <c r="A2278" s="160">
        <v>2</v>
      </c>
      <c r="B2278" s="160" t="s">
        <v>1294</v>
      </c>
      <c r="C2278" s="157" t="s">
        <v>1295</v>
      </c>
      <c r="D2278" s="159">
        <v>0.12</v>
      </c>
      <c r="E2278" s="159">
        <v>154.58000000000001</v>
      </c>
      <c r="F2278" s="159">
        <v>18.55</v>
      </c>
      <c r="G2278" s="160" t="s">
        <v>2</v>
      </c>
      <c r="H2278" s="34" t="s">
        <v>925</v>
      </c>
    </row>
    <row r="2279" spans="1:8" ht="33">
      <c r="A2279" s="160">
        <v>3</v>
      </c>
      <c r="B2279" s="160" t="s">
        <v>2184</v>
      </c>
      <c r="C2279" s="157" t="s">
        <v>18</v>
      </c>
      <c r="D2279" s="159">
        <v>12</v>
      </c>
      <c r="E2279" s="159">
        <v>13.88</v>
      </c>
      <c r="F2279" s="159">
        <v>166.56</v>
      </c>
      <c r="G2279" s="160" t="s">
        <v>2</v>
      </c>
      <c r="H2279" s="34" t="s">
        <v>925</v>
      </c>
    </row>
    <row r="2280" spans="1:8" ht="33">
      <c r="A2280" s="160">
        <v>4</v>
      </c>
      <c r="B2280" s="160" t="s">
        <v>2186</v>
      </c>
      <c r="C2280" s="157" t="s">
        <v>18</v>
      </c>
      <c r="D2280" s="159">
        <v>3</v>
      </c>
      <c r="E2280" s="159">
        <v>11.11</v>
      </c>
      <c r="F2280" s="159">
        <v>33.33</v>
      </c>
      <c r="G2280" s="160" t="s">
        <v>2</v>
      </c>
      <c r="H2280" s="34" t="s">
        <v>925</v>
      </c>
    </row>
    <row r="2281" spans="1:8" ht="33">
      <c r="A2281" s="160">
        <v>5</v>
      </c>
      <c r="B2281" s="160" t="s">
        <v>2188</v>
      </c>
      <c r="C2281" s="157" t="s">
        <v>14</v>
      </c>
      <c r="D2281" s="159">
        <v>1</v>
      </c>
      <c r="E2281" s="159">
        <v>9.26</v>
      </c>
      <c r="F2281" s="159">
        <v>9.26</v>
      </c>
      <c r="G2281" s="160" t="s">
        <v>2</v>
      </c>
      <c r="H2281" s="34" t="s">
        <v>925</v>
      </c>
    </row>
    <row r="2282" spans="1:8" ht="16.5">
      <c r="A2282" s="160">
        <v>6</v>
      </c>
      <c r="B2282" s="160" t="s">
        <v>1210</v>
      </c>
      <c r="C2282" s="157" t="s">
        <v>927</v>
      </c>
      <c r="D2282" s="159">
        <v>0.24</v>
      </c>
      <c r="E2282" s="159">
        <v>379.5</v>
      </c>
      <c r="F2282" s="159">
        <v>91.08</v>
      </c>
      <c r="G2282" s="160" t="s">
        <v>2</v>
      </c>
    </row>
    <row r="2283" spans="1:8" ht="33">
      <c r="A2283" s="160">
        <v>7</v>
      </c>
      <c r="B2283" s="160" t="s">
        <v>2193</v>
      </c>
      <c r="C2283" s="157" t="s">
        <v>927</v>
      </c>
      <c r="D2283" s="159">
        <v>2.4</v>
      </c>
      <c r="E2283" s="159">
        <v>379.5</v>
      </c>
      <c r="F2283" s="159">
        <v>910.8</v>
      </c>
      <c r="G2283" s="160" t="s">
        <v>2</v>
      </c>
      <c r="H2283" s="34" t="s">
        <v>925</v>
      </c>
    </row>
    <row r="2284" spans="1:8" ht="33">
      <c r="A2284" s="160">
        <v>8</v>
      </c>
      <c r="B2284" s="160" t="s">
        <v>1644</v>
      </c>
      <c r="C2284" s="157" t="s">
        <v>927</v>
      </c>
      <c r="D2284" s="159">
        <v>0.4</v>
      </c>
      <c r="E2284" s="159">
        <v>260.08999999999997</v>
      </c>
      <c r="F2284" s="159">
        <v>104.04</v>
      </c>
      <c r="G2284" s="160" t="s">
        <v>2</v>
      </c>
      <c r="H2284" s="34" t="s">
        <v>925</v>
      </c>
    </row>
    <row r="2285" spans="1:8" ht="33">
      <c r="A2285" s="160">
        <v>9</v>
      </c>
      <c r="B2285" s="160" t="s">
        <v>955</v>
      </c>
      <c r="C2285" s="157" t="s">
        <v>14</v>
      </c>
      <c r="D2285" s="159">
        <v>1</v>
      </c>
      <c r="E2285" s="159">
        <v>49.28</v>
      </c>
      <c r="F2285" s="159">
        <v>49.28</v>
      </c>
      <c r="G2285" s="160" t="s">
        <v>2</v>
      </c>
      <c r="H2285" s="34" t="s">
        <v>925</v>
      </c>
    </row>
    <row r="2286" spans="1:8" ht="33">
      <c r="A2286" s="160"/>
      <c r="B2286" s="160" t="s">
        <v>933</v>
      </c>
      <c r="C2286" s="157" t="s">
        <v>3</v>
      </c>
      <c r="D2286" s="159">
        <v>1</v>
      </c>
      <c r="E2286" s="159"/>
      <c r="F2286" s="159">
        <v>1692.05</v>
      </c>
      <c r="G2286" s="160"/>
      <c r="H2286" s="34" t="s">
        <v>925</v>
      </c>
    </row>
    <row r="2287" spans="1:8" ht="33">
      <c r="A2287" s="160"/>
      <c r="B2287" s="160" t="s">
        <v>934</v>
      </c>
      <c r="C2287" s="157" t="s">
        <v>3</v>
      </c>
      <c r="D2287" s="159"/>
      <c r="E2287" s="159"/>
      <c r="F2287" s="159">
        <v>1692.05</v>
      </c>
      <c r="G2287" s="160"/>
      <c r="H2287" s="34" t="s">
        <v>925</v>
      </c>
    </row>
    <row r="2288" spans="1:8" ht="33">
      <c r="A2288" s="160"/>
      <c r="B2288" s="160"/>
      <c r="C2288" s="157"/>
      <c r="D2288" s="159"/>
      <c r="E2288" s="159"/>
      <c r="F2288" s="159"/>
      <c r="G2288" s="160"/>
      <c r="H2288" s="34" t="s">
        <v>925</v>
      </c>
    </row>
    <row r="2289" spans="1:8" ht="33">
      <c r="A2289" s="160" t="s">
        <v>2417</v>
      </c>
      <c r="B2289" s="160" t="s">
        <v>2195</v>
      </c>
      <c r="C2289" s="157" t="s">
        <v>3</v>
      </c>
      <c r="D2289" s="159">
        <v>1</v>
      </c>
      <c r="E2289" s="159">
        <v>1391.92</v>
      </c>
      <c r="F2289" s="159"/>
      <c r="G2289" s="160" t="s">
        <v>2</v>
      </c>
      <c r="H2289" s="34" t="s">
        <v>925</v>
      </c>
    </row>
    <row r="2290" spans="1:8" ht="33">
      <c r="A2290" s="160">
        <v>1</v>
      </c>
      <c r="B2290" s="160" t="s">
        <v>2182</v>
      </c>
      <c r="C2290" s="157" t="s">
        <v>3</v>
      </c>
      <c r="D2290" s="159">
        <v>1</v>
      </c>
      <c r="E2290" s="159">
        <v>309.14999999999998</v>
      </c>
      <c r="F2290" s="159">
        <v>309.14999999999998</v>
      </c>
      <c r="G2290" s="160" t="s">
        <v>2</v>
      </c>
      <c r="H2290" s="34" t="s">
        <v>925</v>
      </c>
    </row>
    <row r="2291" spans="1:8" ht="33">
      <c r="A2291" s="160">
        <v>2</v>
      </c>
      <c r="B2291" s="160" t="s">
        <v>1294</v>
      </c>
      <c r="C2291" s="157" t="s">
        <v>1295</v>
      </c>
      <c r="D2291" s="159">
        <v>0.12</v>
      </c>
      <c r="E2291" s="159">
        <v>154.58000000000001</v>
      </c>
      <c r="F2291" s="159">
        <v>18.55</v>
      </c>
      <c r="G2291" s="160" t="s">
        <v>2</v>
      </c>
      <c r="H2291" s="34" t="s">
        <v>925</v>
      </c>
    </row>
    <row r="2292" spans="1:8" ht="16.5">
      <c r="A2292" s="160">
        <v>3</v>
      </c>
      <c r="B2292" s="160" t="s">
        <v>2184</v>
      </c>
      <c r="C2292" s="157" t="s">
        <v>18</v>
      </c>
      <c r="D2292" s="159">
        <v>12</v>
      </c>
      <c r="E2292" s="159">
        <v>13.88</v>
      </c>
      <c r="F2292" s="159">
        <v>166.56</v>
      </c>
      <c r="G2292" s="160" t="s">
        <v>2</v>
      </c>
    </row>
    <row r="2293" spans="1:8" ht="33">
      <c r="A2293" s="160">
        <v>4</v>
      </c>
      <c r="B2293" s="160" t="s">
        <v>2186</v>
      </c>
      <c r="C2293" s="157" t="s">
        <v>18</v>
      </c>
      <c r="D2293" s="159">
        <v>3</v>
      </c>
      <c r="E2293" s="159">
        <v>11.11</v>
      </c>
      <c r="F2293" s="159">
        <v>33.33</v>
      </c>
      <c r="G2293" s="160" t="s">
        <v>2</v>
      </c>
      <c r="H2293" s="34" t="s">
        <v>925</v>
      </c>
    </row>
    <row r="2294" spans="1:8" ht="33">
      <c r="A2294" s="160">
        <v>5</v>
      </c>
      <c r="B2294" s="160" t="s">
        <v>2197</v>
      </c>
      <c r="C2294" s="157" t="s">
        <v>14</v>
      </c>
      <c r="D2294" s="159">
        <v>1</v>
      </c>
      <c r="E2294" s="159">
        <v>4.63</v>
      </c>
      <c r="F2294" s="159">
        <v>4.63</v>
      </c>
      <c r="G2294" s="160" t="s">
        <v>2</v>
      </c>
      <c r="H2294" s="34" t="s">
        <v>925</v>
      </c>
    </row>
    <row r="2295" spans="1:8" ht="33">
      <c r="A2295" s="160">
        <v>6</v>
      </c>
      <c r="B2295" s="160" t="s">
        <v>1644</v>
      </c>
      <c r="C2295" s="157" t="s">
        <v>927</v>
      </c>
      <c r="D2295" s="159">
        <v>1</v>
      </c>
      <c r="E2295" s="159">
        <v>260.08999999999997</v>
      </c>
      <c r="F2295" s="159">
        <v>260.08999999999997</v>
      </c>
      <c r="G2295" s="160" t="s">
        <v>2</v>
      </c>
      <c r="H2295" s="34" t="s">
        <v>925</v>
      </c>
    </row>
    <row r="2296" spans="1:8" ht="33">
      <c r="A2296" s="160">
        <v>7</v>
      </c>
      <c r="B2296" s="160" t="s">
        <v>2199</v>
      </c>
      <c r="C2296" s="157" t="s">
        <v>927</v>
      </c>
      <c r="D2296" s="159">
        <v>1.4</v>
      </c>
      <c r="E2296" s="159">
        <v>379.5</v>
      </c>
      <c r="F2296" s="159">
        <v>531.29999999999995</v>
      </c>
      <c r="G2296" s="160" t="s">
        <v>2</v>
      </c>
      <c r="H2296" s="34" t="s">
        <v>925</v>
      </c>
    </row>
    <row r="2297" spans="1:8" ht="33">
      <c r="A2297" s="160">
        <v>8</v>
      </c>
      <c r="B2297" s="160" t="s">
        <v>2201</v>
      </c>
      <c r="C2297" s="157" t="s">
        <v>3</v>
      </c>
      <c r="D2297" s="159">
        <v>1</v>
      </c>
      <c r="E2297" s="159">
        <v>27.77</v>
      </c>
      <c r="F2297" s="159">
        <v>27.77</v>
      </c>
      <c r="G2297" s="160" t="s">
        <v>2</v>
      </c>
      <c r="H2297" s="34" t="s">
        <v>925</v>
      </c>
    </row>
    <row r="2298" spans="1:8" ht="33">
      <c r="A2298" s="160">
        <v>9</v>
      </c>
      <c r="B2298" s="160" t="s">
        <v>955</v>
      </c>
      <c r="C2298" s="157" t="s">
        <v>14</v>
      </c>
      <c r="D2298" s="159">
        <v>1</v>
      </c>
      <c r="E2298" s="159">
        <v>40.54</v>
      </c>
      <c r="F2298" s="159">
        <v>40.54</v>
      </c>
      <c r="G2298" s="160" t="s">
        <v>2</v>
      </c>
      <c r="H2298" s="34" t="s">
        <v>925</v>
      </c>
    </row>
    <row r="2299" spans="1:8" ht="33">
      <c r="A2299" s="160"/>
      <c r="B2299" s="160" t="s">
        <v>933</v>
      </c>
      <c r="C2299" s="157" t="s">
        <v>3</v>
      </c>
      <c r="D2299" s="159">
        <v>1</v>
      </c>
      <c r="E2299" s="159"/>
      <c r="F2299" s="159">
        <v>1391.9199999999998</v>
      </c>
      <c r="G2299" s="160"/>
      <c r="H2299" s="34" t="s">
        <v>925</v>
      </c>
    </row>
    <row r="2300" spans="1:8" ht="33">
      <c r="A2300" s="160"/>
      <c r="B2300" s="160" t="s">
        <v>934</v>
      </c>
      <c r="C2300" s="157" t="s">
        <v>3</v>
      </c>
      <c r="D2300" s="159"/>
      <c r="E2300" s="159"/>
      <c r="F2300" s="159">
        <v>1391.92</v>
      </c>
      <c r="G2300" s="160"/>
      <c r="H2300" s="34" t="s">
        <v>925</v>
      </c>
    </row>
    <row r="2301" spans="1:8" ht="33">
      <c r="A2301" s="160"/>
      <c r="B2301" s="160"/>
      <c r="C2301" s="157"/>
      <c r="D2301" s="159"/>
      <c r="E2301" s="159"/>
      <c r="F2301" s="159"/>
      <c r="G2301" s="160"/>
      <c r="H2301" s="34" t="s">
        <v>925</v>
      </c>
    </row>
    <row r="2302" spans="1:8" ht="28.5">
      <c r="A2302" s="160" t="s">
        <v>2421</v>
      </c>
      <c r="B2302" s="160" t="s">
        <v>2204</v>
      </c>
      <c r="C2302" s="157" t="s">
        <v>1818</v>
      </c>
      <c r="D2302" s="159">
        <v>1</v>
      </c>
      <c r="E2302" s="159">
        <v>2546.37</v>
      </c>
      <c r="F2302" s="159"/>
      <c r="G2302" s="160" t="s">
        <v>2</v>
      </c>
    </row>
    <row r="2303" spans="1:8" ht="33">
      <c r="A2303" s="160">
        <v>1</v>
      </c>
      <c r="B2303" s="160" t="s">
        <v>1250</v>
      </c>
      <c r="C2303" s="157" t="s">
        <v>17</v>
      </c>
      <c r="D2303" s="159">
        <v>4.4000000000000004</v>
      </c>
      <c r="E2303" s="159">
        <v>71.48</v>
      </c>
      <c r="F2303" s="159">
        <v>314.51</v>
      </c>
      <c r="G2303" s="160" t="s">
        <v>1325</v>
      </c>
      <c r="H2303" s="34" t="s">
        <v>925</v>
      </c>
    </row>
    <row r="2304" spans="1:8" ht="33">
      <c r="A2304" s="160">
        <v>2</v>
      </c>
      <c r="B2304" s="160" t="s">
        <v>985</v>
      </c>
      <c r="C2304" s="157" t="s">
        <v>1</v>
      </c>
      <c r="D2304" s="159">
        <v>0.19</v>
      </c>
      <c r="E2304" s="159">
        <v>600.08000000000004</v>
      </c>
      <c r="F2304" s="159">
        <v>114.02</v>
      </c>
      <c r="G2304" s="160" t="s">
        <v>980</v>
      </c>
      <c r="H2304" s="34" t="s">
        <v>925</v>
      </c>
    </row>
    <row r="2305" spans="1:8" ht="33">
      <c r="A2305" s="160">
        <v>3</v>
      </c>
      <c r="B2305" s="160" t="s">
        <v>26</v>
      </c>
      <c r="C2305" s="157" t="s">
        <v>1</v>
      </c>
      <c r="D2305" s="159">
        <v>0.19</v>
      </c>
      <c r="E2305" s="159">
        <v>663.18</v>
      </c>
      <c r="F2305" s="159">
        <v>126</v>
      </c>
      <c r="G2305" s="160" t="s">
        <v>1117</v>
      </c>
      <c r="H2305" s="34" t="s">
        <v>925</v>
      </c>
    </row>
    <row r="2306" spans="1:8" ht="33">
      <c r="A2306" s="160">
        <v>4</v>
      </c>
      <c r="B2306" s="160" t="s">
        <v>1317</v>
      </c>
      <c r="C2306" s="157" t="s">
        <v>0</v>
      </c>
      <c r="D2306" s="159">
        <v>0.19</v>
      </c>
      <c r="E2306" s="159">
        <v>3683.89</v>
      </c>
      <c r="F2306" s="159">
        <v>699.94</v>
      </c>
      <c r="G2306" s="160" t="s">
        <v>2</v>
      </c>
      <c r="H2306" s="34" t="s">
        <v>925</v>
      </c>
    </row>
    <row r="2307" spans="1:8" ht="33">
      <c r="A2307" s="160">
        <v>5</v>
      </c>
      <c r="B2307" s="160" t="s">
        <v>2207</v>
      </c>
      <c r="C2307" s="157" t="s">
        <v>1689</v>
      </c>
      <c r="D2307" s="159">
        <v>1</v>
      </c>
      <c r="E2307" s="159">
        <v>416.52</v>
      </c>
      <c r="F2307" s="159">
        <v>416.52</v>
      </c>
      <c r="G2307" s="160" t="s">
        <v>2</v>
      </c>
      <c r="H2307" s="34" t="s">
        <v>925</v>
      </c>
    </row>
    <row r="2308" spans="1:8" ht="33">
      <c r="A2308" s="160">
        <v>6</v>
      </c>
      <c r="B2308" s="160" t="s">
        <v>2209</v>
      </c>
      <c r="C2308" s="157" t="s">
        <v>14</v>
      </c>
      <c r="D2308" s="159">
        <v>1</v>
      </c>
      <c r="E2308" s="159">
        <v>92.56</v>
      </c>
      <c r="F2308" s="159">
        <v>92.56</v>
      </c>
      <c r="G2308" s="160" t="s">
        <v>2</v>
      </c>
      <c r="H2308" s="34" t="s">
        <v>925</v>
      </c>
    </row>
    <row r="2309" spans="1:8" ht="42.75">
      <c r="A2309" s="160">
        <v>7</v>
      </c>
      <c r="B2309" s="160" t="s">
        <v>513</v>
      </c>
      <c r="C2309" s="157" t="s">
        <v>18</v>
      </c>
      <c r="D2309" s="159">
        <v>23.82</v>
      </c>
      <c r="E2309" s="159">
        <v>29.75</v>
      </c>
      <c r="F2309" s="159">
        <v>708.65</v>
      </c>
      <c r="G2309" s="160" t="s">
        <v>5451</v>
      </c>
      <c r="H2309" s="34" t="s">
        <v>925</v>
      </c>
    </row>
    <row r="2310" spans="1:8" ht="16.5">
      <c r="A2310" s="160">
        <v>8</v>
      </c>
      <c r="B2310" s="160" t="s">
        <v>931</v>
      </c>
      <c r="C2310" s="157" t="s">
        <v>14</v>
      </c>
      <c r="D2310" s="159">
        <v>1</v>
      </c>
      <c r="E2310" s="159">
        <v>74.17</v>
      </c>
      <c r="F2310" s="159">
        <v>74.17</v>
      </c>
      <c r="G2310" s="160" t="s">
        <v>2</v>
      </c>
    </row>
    <row r="2311" spans="1:8" ht="33">
      <c r="A2311" s="160"/>
      <c r="B2311" s="160" t="s">
        <v>933</v>
      </c>
      <c r="C2311" s="157" t="s">
        <v>1818</v>
      </c>
      <c r="D2311" s="159">
        <v>1</v>
      </c>
      <c r="E2311" s="159"/>
      <c r="F2311" s="159">
        <v>2546.37</v>
      </c>
      <c r="G2311" s="160"/>
      <c r="H2311" s="34" t="s">
        <v>925</v>
      </c>
    </row>
    <row r="2312" spans="1:8" ht="33">
      <c r="A2312" s="160"/>
      <c r="B2312" s="160" t="s">
        <v>934</v>
      </c>
      <c r="C2312" s="157" t="s">
        <v>1818</v>
      </c>
      <c r="D2312" s="159"/>
      <c r="E2312" s="159"/>
      <c r="F2312" s="159">
        <v>2546.37</v>
      </c>
      <c r="G2312" s="160"/>
      <c r="H2312" s="34" t="s">
        <v>925</v>
      </c>
    </row>
    <row r="2313" spans="1:8" ht="33">
      <c r="A2313" s="160"/>
      <c r="B2313" s="160"/>
      <c r="C2313" s="157"/>
      <c r="D2313" s="159"/>
      <c r="E2313" s="159"/>
      <c r="F2313" s="159"/>
      <c r="G2313" s="160"/>
      <c r="H2313" s="34" t="s">
        <v>925</v>
      </c>
    </row>
    <row r="2314" spans="1:8" ht="33">
      <c r="A2314" s="160" t="s">
        <v>2426</v>
      </c>
      <c r="B2314" s="160" t="s">
        <v>2212</v>
      </c>
      <c r="C2314" s="157" t="s">
        <v>1818</v>
      </c>
      <c r="D2314" s="159">
        <v>1</v>
      </c>
      <c r="E2314" s="159">
        <v>2723.22</v>
      </c>
      <c r="F2314" s="159"/>
      <c r="G2314" s="160" t="s">
        <v>2</v>
      </c>
      <c r="H2314" s="34" t="s">
        <v>925</v>
      </c>
    </row>
    <row r="2315" spans="1:8" ht="33">
      <c r="A2315" s="160">
        <v>1</v>
      </c>
      <c r="B2315" s="160" t="s">
        <v>1250</v>
      </c>
      <c r="C2315" s="157" t="s">
        <v>17</v>
      </c>
      <c r="D2315" s="159">
        <v>4.4000000000000004</v>
      </c>
      <c r="E2315" s="159">
        <v>71.48</v>
      </c>
      <c r="F2315" s="159">
        <v>314.51</v>
      </c>
      <c r="G2315" s="160" t="s">
        <v>1325</v>
      </c>
      <c r="H2315" s="34" t="s">
        <v>925</v>
      </c>
    </row>
    <row r="2316" spans="1:8" ht="33">
      <c r="A2316" s="160">
        <v>2</v>
      </c>
      <c r="B2316" s="160" t="s">
        <v>2214</v>
      </c>
      <c r="C2316" s="157" t="s">
        <v>1</v>
      </c>
      <c r="D2316" s="159">
        <v>0.19</v>
      </c>
      <c r="E2316" s="159">
        <v>1382.35</v>
      </c>
      <c r="F2316" s="159">
        <v>262.64999999999998</v>
      </c>
      <c r="G2316" s="160" t="s">
        <v>982</v>
      </c>
      <c r="H2316" s="34" t="s">
        <v>925</v>
      </c>
    </row>
    <row r="2317" spans="1:8" ht="33">
      <c r="A2317" s="160">
        <v>3</v>
      </c>
      <c r="B2317" s="160" t="s">
        <v>2216</v>
      </c>
      <c r="C2317" s="157" t="s">
        <v>1</v>
      </c>
      <c r="D2317" s="159">
        <v>0.19</v>
      </c>
      <c r="E2317" s="159">
        <v>784.56</v>
      </c>
      <c r="F2317" s="159">
        <v>149.07</v>
      </c>
      <c r="G2317" s="160" t="s">
        <v>2</v>
      </c>
      <c r="H2317" s="34" t="s">
        <v>925</v>
      </c>
    </row>
    <row r="2318" spans="1:8" ht="28.5">
      <c r="A2318" s="160">
        <v>4</v>
      </c>
      <c r="B2318" s="160" t="s">
        <v>1317</v>
      </c>
      <c r="C2318" s="157" t="s">
        <v>0</v>
      </c>
      <c r="D2318" s="159">
        <v>0.19</v>
      </c>
      <c r="E2318" s="159">
        <v>3683.89</v>
      </c>
      <c r="F2318" s="159">
        <v>699.94</v>
      </c>
      <c r="G2318" s="160" t="s">
        <v>2</v>
      </c>
    </row>
    <row r="2319" spans="1:8" ht="33">
      <c r="A2319" s="160">
        <v>5</v>
      </c>
      <c r="B2319" s="160" t="s">
        <v>2207</v>
      </c>
      <c r="C2319" s="157" t="s">
        <v>1689</v>
      </c>
      <c r="D2319" s="159">
        <v>1</v>
      </c>
      <c r="E2319" s="159">
        <v>416.52</v>
      </c>
      <c r="F2319" s="159">
        <v>416.52</v>
      </c>
      <c r="G2319" s="160" t="s">
        <v>2</v>
      </c>
      <c r="H2319" s="34" t="s">
        <v>925</v>
      </c>
    </row>
    <row r="2320" spans="1:8" ht="33">
      <c r="A2320" s="160">
        <v>6</v>
      </c>
      <c r="B2320" s="160" t="s">
        <v>2209</v>
      </c>
      <c r="C2320" s="157" t="s">
        <v>14</v>
      </c>
      <c r="D2320" s="159">
        <v>1</v>
      </c>
      <c r="E2320" s="159">
        <v>92.56</v>
      </c>
      <c r="F2320" s="159">
        <v>92.56</v>
      </c>
      <c r="G2320" s="160" t="s">
        <v>2</v>
      </c>
      <c r="H2320" s="34" t="s">
        <v>925</v>
      </c>
    </row>
    <row r="2321" spans="1:8" ht="42.75">
      <c r="A2321" s="160">
        <v>7</v>
      </c>
      <c r="B2321" s="160" t="s">
        <v>513</v>
      </c>
      <c r="C2321" s="157" t="s">
        <v>18</v>
      </c>
      <c r="D2321" s="159">
        <v>23.82</v>
      </c>
      <c r="E2321" s="159">
        <v>29.75</v>
      </c>
      <c r="F2321" s="159">
        <v>708.65</v>
      </c>
      <c r="G2321" s="160" t="s">
        <v>5451</v>
      </c>
      <c r="H2321" s="34" t="s">
        <v>925</v>
      </c>
    </row>
    <row r="2322" spans="1:8" ht="33">
      <c r="A2322" s="160">
        <v>8</v>
      </c>
      <c r="B2322" s="160" t="s">
        <v>931</v>
      </c>
      <c r="C2322" s="157" t="s">
        <v>14</v>
      </c>
      <c r="D2322" s="159">
        <v>1</v>
      </c>
      <c r="E2322" s="159">
        <v>79.319999999999993</v>
      </c>
      <c r="F2322" s="159">
        <v>79.319999999999993</v>
      </c>
      <c r="G2322" s="160" t="s">
        <v>2</v>
      </c>
      <c r="H2322" s="34" t="s">
        <v>925</v>
      </c>
    </row>
    <row r="2323" spans="1:8" ht="33">
      <c r="A2323" s="160"/>
      <c r="B2323" s="160" t="s">
        <v>933</v>
      </c>
      <c r="C2323" s="157" t="s">
        <v>1818</v>
      </c>
      <c r="D2323" s="159">
        <v>1</v>
      </c>
      <c r="E2323" s="159"/>
      <c r="F2323" s="159">
        <v>2723.2200000000003</v>
      </c>
      <c r="G2323" s="160"/>
      <c r="H2323" s="34" t="s">
        <v>925</v>
      </c>
    </row>
    <row r="2324" spans="1:8" ht="33">
      <c r="A2324" s="160"/>
      <c r="B2324" s="160" t="s">
        <v>934</v>
      </c>
      <c r="C2324" s="157" t="s">
        <v>1818</v>
      </c>
      <c r="D2324" s="159"/>
      <c r="E2324" s="159"/>
      <c r="F2324" s="159">
        <v>2723.22</v>
      </c>
      <c r="G2324" s="160"/>
      <c r="H2324" s="34" t="s">
        <v>925</v>
      </c>
    </row>
    <row r="2325" spans="1:8" ht="33">
      <c r="A2325" s="160"/>
      <c r="B2325" s="160"/>
      <c r="C2325" s="157"/>
      <c r="D2325" s="159"/>
      <c r="E2325" s="159"/>
      <c r="F2325" s="159"/>
      <c r="G2325" s="160"/>
      <c r="H2325" s="34" t="s">
        <v>925</v>
      </c>
    </row>
    <row r="2326" spans="1:8" ht="28.5">
      <c r="A2326" s="160" t="s">
        <v>2432</v>
      </c>
      <c r="B2326" s="160" t="s">
        <v>2219</v>
      </c>
      <c r="C2326" s="157" t="s">
        <v>1818</v>
      </c>
      <c r="D2326" s="159">
        <v>1</v>
      </c>
      <c r="E2326" s="159">
        <v>13986.8</v>
      </c>
      <c r="F2326" s="159"/>
      <c r="G2326" s="160" t="s">
        <v>2</v>
      </c>
    </row>
    <row r="2327" spans="1:8" ht="33">
      <c r="A2327" s="160">
        <v>1</v>
      </c>
      <c r="B2327" s="160" t="s">
        <v>1250</v>
      </c>
      <c r="C2327" s="157" t="s">
        <v>17</v>
      </c>
      <c r="D2327" s="159">
        <v>4.4000000000000004</v>
      </c>
      <c r="E2327" s="159">
        <v>71.48</v>
      </c>
      <c r="F2327" s="159">
        <v>314.51</v>
      </c>
      <c r="G2327" s="160" t="s">
        <v>1325</v>
      </c>
      <c r="H2327" s="34" t="s">
        <v>925</v>
      </c>
    </row>
    <row r="2328" spans="1:8" ht="33">
      <c r="A2328" s="160">
        <v>2</v>
      </c>
      <c r="B2328" s="160" t="s">
        <v>985</v>
      </c>
      <c r="C2328" s="157" t="s">
        <v>1</v>
      </c>
      <c r="D2328" s="159">
        <v>0.19</v>
      </c>
      <c r="E2328" s="159">
        <v>600.08000000000004</v>
      </c>
      <c r="F2328" s="159">
        <v>114.02</v>
      </c>
      <c r="G2328" s="160" t="s">
        <v>980</v>
      </c>
      <c r="H2328" s="34" t="s">
        <v>925</v>
      </c>
    </row>
    <row r="2329" spans="1:8" ht="33">
      <c r="A2329" s="160">
        <v>3</v>
      </c>
      <c r="B2329" s="160" t="s">
        <v>26</v>
      </c>
      <c r="C2329" s="157" t="s">
        <v>1</v>
      </c>
      <c r="D2329" s="159">
        <v>0.19</v>
      </c>
      <c r="E2329" s="159">
        <v>663.18</v>
      </c>
      <c r="F2329" s="159">
        <v>126</v>
      </c>
      <c r="G2329" s="160" t="s">
        <v>1117</v>
      </c>
      <c r="H2329" s="34" t="s">
        <v>925</v>
      </c>
    </row>
    <row r="2330" spans="1:8" ht="33">
      <c r="A2330" s="160">
        <v>4</v>
      </c>
      <c r="B2330" s="160" t="s">
        <v>1317</v>
      </c>
      <c r="C2330" s="157" t="s">
        <v>0</v>
      </c>
      <c r="D2330" s="159">
        <v>0.19</v>
      </c>
      <c r="E2330" s="159">
        <v>3683.89</v>
      </c>
      <c r="F2330" s="159">
        <v>699.94</v>
      </c>
      <c r="G2330" s="160" t="s">
        <v>2</v>
      </c>
      <c r="H2330" s="34" t="s">
        <v>925</v>
      </c>
    </row>
    <row r="2331" spans="1:8" ht="33">
      <c r="A2331" s="160">
        <v>5</v>
      </c>
      <c r="B2331" s="160" t="s">
        <v>2207</v>
      </c>
      <c r="C2331" s="157" t="s">
        <v>1689</v>
      </c>
      <c r="D2331" s="159">
        <v>1</v>
      </c>
      <c r="E2331" s="159">
        <v>416.52</v>
      </c>
      <c r="F2331" s="159">
        <v>416.52</v>
      </c>
      <c r="G2331" s="160" t="s">
        <v>2</v>
      </c>
      <c r="H2331" s="34" t="s">
        <v>925</v>
      </c>
    </row>
    <row r="2332" spans="1:8" ht="42.75">
      <c r="A2332" s="160">
        <v>6</v>
      </c>
      <c r="B2332" s="160" t="s">
        <v>513</v>
      </c>
      <c r="C2332" s="157" t="s">
        <v>18</v>
      </c>
      <c r="D2332" s="159">
        <v>23.82</v>
      </c>
      <c r="E2332" s="159">
        <v>29.75</v>
      </c>
      <c r="F2332" s="159">
        <v>708.65</v>
      </c>
      <c r="G2332" s="160" t="s">
        <v>5451</v>
      </c>
      <c r="H2332" s="34" t="s">
        <v>925</v>
      </c>
    </row>
    <row r="2333" spans="1:8" ht="33">
      <c r="A2333" s="160">
        <v>7</v>
      </c>
      <c r="B2333" s="160" t="s">
        <v>2221</v>
      </c>
      <c r="C2333" s="157" t="s">
        <v>14</v>
      </c>
      <c r="D2333" s="159">
        <v>1</v>
      </c>
      <c r="E2333" s="159">
        <v>92.56</v>
      </c>
      <c r="F2333" s="159">
        <v>92.56</v>
      </c>
      <c r="G2333" s="160" t="s">
        <v>2</v>
      </c>
      <c r="H2333" s="34" t="s">
        <v>925</v>
      </c>
    </row>
    <row r="2334" spans="1:8" ht="28.5">
      <c r="A2334" s="160">
        <v>8</v>
      </c>
      <c r="B2334" s="160" t="s">
        <v>2223</v>
      </c>
      <c r="C2334" s="157" t="s">
        <v>1689</v>
      </c>
      <c r="D2334" s="159">
        <v>1</v>
      </c>
      <c r="E2334" s="159">
        <v>11107.22</v>
      </c>
      <c r="F2334" s="159">
        <v>11107.22</v>
      </c>
      <c r="G2334" s="160" t="s">
        <v>2</v>
      </c>
    </row>
    <row r="2335" spans="1:8" ht="33">
      <c r="A2335" s="160">
        <v>9</v>
      </c>
      <c r="B2335" s="160" t="s">
        <v>931</v>
      </c>
      <c r="C2335" s="157" t="s">
        <v>14</v>
      </c>
      <c r="D2335" s="159">
        <v>1</v>
      </c>
      <c r="E2335" s="159">
        <v>407.38</v>
      </c>
      <c r="F2335" s="159">
        <v>407.38</v>
      </c>
      <c r="G2335" s="160" t="s">
        <v>2</v>
      </c>
      <c r="H2335" s="34" t="s">
        <v>925</v>
      </c>
    </row>
    <row r="2336" spans="1:8" ht="33">
      <c r="A2336" s="160"/>
      <c r="B2336" s="160" t="s">
        <v>933</v>
      </c>
      <c r="C2336" s="157" t="s">
        <v>1818</v>
      </c>
      <c r="D2336" s="159">
        <v>1</v>
      </c>
      <c r="E2336" s="159"/>
      <c r="F2336" s="159">
        <v>13986.799999999997</v>
      </c>
      <c r="G2336" s="160"/>
      <c r="H2336" s="34" t="s">
        <v>925</v>
      </c>
    </row>
    <row r="2337" spans="1:8" ht="33">
      <c r="A2337" s="160"/>
      <c r="B2337" s="160" t="s">
        <v>934</v>
      </c>
      <c r="C2337" s="157" t="s">
        <v>1818</v>
      </c>
      <c r="D2337" s="159"/>
      <c r="E2337" s="159"/>
      <c r="F2337" s="159">
        <v>13986.8</v>
      </c>
      <c r="G2337" s="160"/>
      <c r="H2337" s="34" t="s">
        <v>925</v>
      </c>
    </row>
    <row r="2338" spans="1:8" ht="33">
      <c r="A2338" s="160"/>
      <c r="B2338" s="160"/>
      <c r="C2338" s="157"/>
      <c r="D2338" s="159"/>
      <c r="E2338" s="159"/>
      <c r="F2338" s="159"/>
      <c r="G2338" s="160"/>
      <c r="H2338" s="34" t="s">
        <v>925</v>
      </c>
    </row>
    <row r="2339" spans="1:8" ht="33">
      <c r="A2339" s="160" t="s">
        <v>2437</v>
      </c>
      <c r="B2339" s="160" t="s">
        <v>2226</v>
      </c>
      <c r="C2339" s="157" t="s">
        <v>1818</v>
      </c>
      <c r="D2339" s="159">
        <v>1</v>
      </c>
      <c r="E2339" s="159">
        <v>14163.65</v>
      </c>
      <c r="F2339" s="159"/>
      <c r="G2339" s="160" t="s">
        <v>2</v>
      </c>
      <c r="H2339" s="34" t="s">
        <v>925</v>
      </c>
    </row>
    <row r="2340" spans="1:8" ht="33">
      <c r="A2340" s="160">
        <v>1</v>
      </c>
      <c r="B2340" s="160" t="s">
        <v>1250</v>
      </c>
      <c r="C2340" s="157" t="s">
        <v>17</v>
      </c>
      <c r="D2340" s="159">
        <v>4.4000000000000004</v>
      </c>
      <c r="E2340" s="159">
        <v>71.48</v>
      </c>
      <c r="F2340" s="159">
        <v>314.51</v>
      </c>
      <c r="G2340" s="160" t="s">
        <v>1325</v>
      </c>
      <c r="H2340" s="34" t="s">
        <v>925</v>
      </c>
    </row>
    <row r="2341" spans="1:8" ht="33">
      <c r="A2341" s="160">
        <v>2</v>
      </c>
      <c r="B2341" s="160" t="s">
        <v>2214</v>
      </c>
      <c r="C2341" s="157" t="s">
        <v>1</v>
      </c>
      <c r="D2341" s="159">
        <v>0.19</v>
      </c>
      <c r="E2341" s="159">
        <v>1382.35</v>
      </c>
      <c r="F2341" s="159">
        <v>262.64999999999998</v>
      </c>
      <c r="G2341" s="160" t="s">
        <v>982</v>
      </c>
      <c r="H2341" s="34" t="s">
        <v>925</v>
      </c>
    </row>
    <row r="2342" spans="1:8" ht="33">
      <c r="A2342" s="160">
        <v>3</v>
      </c>
      <c r="B2342" s="160" t="s">
        <v>2216</v>
      </c>
      <c r="C2342" s="157" t="s">
        <v>1</v>
      </c>
      <c r="D2342" s="159">
        <v>0.19</v>
      </c>
      <c r="E2342" s="159">
        <v>784.56</v>
      </c>
      <c r="F2342" s="159">
        <v>149.07</v>
      </c>
      <c r="G2342" s="160" t="s">
        <v>2</v>
      </c>
      <c r="H2342" s="34" t="s">
        <v>925</v>
      </c>
    </row>
    <row r="2343" spans="1:8" ht="28.5">
      <c r="A2343" s="160">
        <v>4</v>
      </c>
      <c r="B2343" s="160" t="s">
        <v>1317</v>
      </c>
      <c r="C2343" s="157" t="s">
        <v>0</v>
      </c>
      <c r="D2343" s="159">
        <v>0.19</v>
      </c>
      <c r="E2343" s="159">
        <v>3683.89</v>
      </c>
      <c r="F2343" s="159">
        <v>699.94</v>
      </c>
      <c r="G2343" s="160" t="s">
        <v>2</v>
      </c>
    </row>
    <row r="2344" spans="1:8" ht="33">
      <c r="A2344" s="160">
        <v>5</v>
      </c>
      <c r="B2344" s="160" t="s">
        <v>2207</v>
      </c>
      <c r="C2344" s="157" t="s">
        <v>1689</v>
      </c>
      <c r="D2344" s="159">
        <v>1</v>
      </c>
      <c r="E2344" s="159">
        <v>416.52</v>
      </c>
      <c r="F2344" s="159">
        <v>416.52</v>
      </c>
      <c r="G2344" s="160" t="s">
        <v>2</v>
      </c>
      <c r="H2344" s="34" t="s">
        <v>925</v>
      </c>
    </row>
    <row r="2345" spans="1:8" ht="42.75">
      <c r="A2345" s="160">
        <v>6</v>
      </c>
      <c r="B2345" s="160" t="s">
        <v>513</v>
      </c>
      <c r="C2345" s="157" t="s">
        <v>18</v>
      </c>
      <c r="D2345" s="159">
        <v>23.82</v>
      </c>
      <c r="E2345" s="159">
        <v>29.75</v>
      </c>
      <c r="F2345" s="159">
        <v>708.65</v>
      </c>
      <c r="G2345" s="160" t="s">
        <v>5451</v>
      </c>
      <c r="H2345" s="34" t="s">
        <v>925</v>
      </c>
    </row>
    <row r="2346" spans="1:8" ht="33">
      <c r="A2346" s="160">
        <v>7</v>
      </c>
      <c r="B2346" s="160" t="s">
        <v>2221</v>
      </c>
      <c r="C2346" s="157" t="s">
        <v>14</v>
      </c>
      <c r="D2346" s="159">
        <v>1</v>
      </c>
      <c r="E2346" s="159">
        <v>92.56</v>
      </c>
      <c r="F2346" s="159">
        <v>92.56</v>
      </c>
      <c r="G2346" s="160" t="s">
        <v>2</v>
      </c>
      <c r="H2346" s="34" t="s">
        <v>925</v>
      </c>
    </row>
    <row r="2347" spans="1:8" ht="33">
      <c r="A2347" s="160">
        <v>8</v>
      </c>
      <c r="B2347" s="160" t="s">
        <v>2223</v>
      </c>
      <c r="C2347" s="157" t="s">
        <v>1689</v>
      </c>
      <c r="D2347" s="159">
        <v>1</v>
      </c>
      <c r="E2347" s="159">
        <v>11107.22</v>
      </c>
      <c r="F2347" s="159">
        <v>11107.22</v>
      </c>
      <c r="G2347" s="160" t="s">
        <v>2</v>
      </c>
      <c r="H2347" s="34" t="s">
        <v>925</v>
      </c>
    </row>
    <row r="2348" spans="1:8" ht="33">
      <c r="A2348" s="160">
        <v>9</v>
      </c>
      <c r="B2348" s="160" t="s">
        <v>931</v>
      </c>
      <c r="C2348" s="157" t="s">
        <v>14</v>
      </c>
      <c r="D2348" s="159">
        <v>1</v>
      </c>
      <c r="E2348" s="159">
        <v>412.53</v>
      </c>
      <c r="F2348" s="159">
        <v>412.53</v>
      </c>
      <c r="G2348" s="160" t="s">
        <v>2</v>
      </c>
      <c r="H2348" s="34" t="s">
        <v>925</v>
      </c>
    </row>
    <row r="2349" spans="1:8" ht="33">
      <c r="A2349" s="160"/>
      <c r="B2349" s="160" t="s">
        <v>933</v>
      </c>
      <c r="C2349" s="157" t="s">
        <v>1818</v>
      </c>
      <c r="D2349" s="159">
        <v>1</v>
      </c>
      <c r="E2349" s="159"/>
      <c r="F2349" s="159">
        <v>14163.65</v>
      </c>
      <c r="G2349" s="160"/>
      <c r="H2349" s="34" t="s">
        <v>925</v>
      </c>
    </row>
    <row r="2350" spans="1:8" ht="33">
      <c r="A2350" s="160"/>
      <c r="B2350" s="160" t="s">
        <v>934</v>
      </c>
      <c r="C2350" s="157" t="s">
        <v>1818</v>
      </c>
      <c r="D2350" s="159"/>
      <c r="E2350" s="159"/>
      <c r="F2350" s="159">
        <v>14163.65</v>
      </c>
      <c r="G2350" s="160"/>
      <c r="H2350" s="34" t="s">
        <v>925</v>
      </c>
    </row>
    <row r="2351" spans="1:8" ht="33">
      <c r="A2351" s="160"/>
      <c r="B2351" s="160"/>
      <c r="C2351" s="157"/>
      <c r="D2351" s="159"/>
      <c r="E2351" s="159"/>
      <c r="F2351" s="159"/>
      <c r="G2351" s="160"/>
      <c r="H2351" s="34" t="s">
        <v>925</v>
      </c>
    </row>
    <row r="2352" spans="1:8" ht="42.75">
      <c r="A2352" s="160" t="s">
        <v>2442</v>
      </c>
      <c r="B2352" s="160" t="s">
        <v>2229</v>
      </c>
      <c r="C2352" s="157" t="s">
        <v>1818</v>
      </c>
      <c r="D2352" s="159">
        <v>1</v>
      </c>
      <c r="E2352" s="159">
        <v>14896.92</v>
      </c>
      <c r="F2352" s="159"/>
      <c r="G2352" s="160" t="s">
        <v>2</v>
      </c>
    </row>
    <row r="2353" spans="1:8" ht="33">
      <c r="A2353" s="160">
        <v>1</v>
      </c>
      <c r="B2353" s="160" t="s">
        <v>1250</v>
      </c>
      <c r="C2353" s="157" t="s">
        <v>17</v>
      </c>
      <c r="D2353" s="159">
        <v>4.4000000000000004</v>
      </c>
      <c r="E2353" s="159">
        <v>71.48</v>
      </c>
      <c r="F2353" s="159">
        <v>314.51</v>
      </c>
      <c r="G2353" s="160" t="s">
        <v>1325</v>
      </c>
      <c r="H2353" s="34" t="s">
        <v>925</v>
      </c>
    </row>
    <row r="2354" spans="1:8" ht="33">
      <c r="A2354" s="160">
        <v>2</v>
      </c>
      <c r="B2354" s="160" t="s">
        <v>453</v>
      </c>
      <c r="C2354" s="157" t="s">
        <v>0</v>
      </c>
      <c r="D2354" s="159">
        <v>0.19</v>
      </c>
      <c r="E2354" s="159">
        <v>5250.69</v>
      </c>
      <c r="F2354" s="159">
        <v>997.63</v>
      </c>
      <c r="G2354" s="160" t="s">
        <v>957</v>
      </c>
      <c r="H2354" s="34" t="s">
        <v>925</v>
      </c>
    </row>
    <row r="2355" spans="1:8" ht="33">
      <c r="A2355" s="160">
        <v>3</v>
      </c>
      <c r="B2355" s="160" t="s">
        <v>26</v>
      </c>
      <c r="C2355" s="157" t="s">
        <v>1</v>
      </c>
      <c r="D2355" s="159">
        <v>0.19</v>
      </c>
      <c r="E2355" s="159">
        <v>663.18</v>
      </c>
      <c r="F2355" s="159">
        <v>126</v>
      </c>
      <c r="G2355" s="160" t="s">
        <v>1117</v>
      </c>
      <c r="H2355" s="34" t="s">
        <v>925</v>
      </c>
    </row>
    <row r="2356" spans="1:8" ht="33">
      <c r="A2356" s="160">
        <v>4</v>
      </c>
      <c r="B2356" s="160" t="s">
        <v>1317</v>
      </c>
      <c r="C2356" s="157" t="s">
        <v>0</v>
      </c>
      <c r="D2356" s="159">
        <v>0.19</v>
      </c>
      <c r="E2356" s="159">
        <v>3683.89</v>
      </c>
      <c r="F2356" s="159">
        <v>699.94</v>
      </c>
      <c r="G2356" s="160" t="s">
        <v>2</v>
      </c>
      <c r="H2356" s="34" t="s">
        <v>925</v>
      </c>
    </row>
    <row r="2357" spans="1:8" ht="33">
      <c r="A2357" s="160">
        <v>5</v>
      </c>
      <c r="B2357" s="160" t="s">
        <v>2207</v>
      </c>
      <c r="C2357" s="157" t="s">
        <v>1689</v>
      </c>
      <c r="D2357" s="159">
        <v>1</v>
      </c>
      <c r="E2357" s="159">
        <v>416.52</v>
      </c>
      <c r="F2357" s="159">
        <v>416.52</v>
      </c>
      <c r="G2357" s="160" t="s">
        <v>2</v>
      </c>
      <c r="H2357" s="34" t="s">
        <v>925</v>
      </c>
    </row>
    <row r="2358" spans="1:8" ht="42.75">
      <c r="A2358" s="160">
        <v>6</v>
      </c>
      <c r="B2358" s="160" t="s">
        <v>513</v>
      </c>
      <c r="C2358" s="157" t="s">
        <v>18</v>
      </c>
      <c r="D2358" s="159">
        <v>23.82</v>
      </c>
      <c r="E2358" s="159">
        <v>29.75</v>
      </c>
      <c r="F2358" s="159">
        <v>708.65</v>
      </c>
      <c r="G2358" s="160" t="s">
        <v>5451</v>
      </c>
      <c r="H2358" s="34" t="s">
        <v>925</v>
      </c>
    </row>
    <row r="2359" spans="1:8" ht="33">
      <c r="A2359" s="160">
        <v>7</v>
      </c>
      <c r="B2359" s="160" t="s">
        <v>2221</v>
      </c>
      <c r="C2359" s="157" t="s">
        <v>14</v>
      </c>
      <c r="D2359" s="159">
        <v>1</v>
      </c>
      <c r="E2359" s="159">
        <v>92.56</v>
      </c>
      <c r="F2359" s="159">
        <v>92.56</v>
      </c>
      <c r="G2359" s="160" t="s">
        <v>2</v>
      </c>
      <c r="H2359" s="34" t="s">
        <v>925</v>
      </c>
    </row>
    <row r="2360" spans="1:8" ht="33">
      <c r="A2360" s="160">
        <v>8</v>
      </c>
      <c r="B2360" s="160" t="s">
        <v>2223</v>
      </c>
      <c r="C2360" s="157" t="s">
        <v>1689</v>
      </c>
      <c r="D2360" s="159">
        <v>1</v>
      </c>
      <c r="E2360" s="159">
        <v>11107.22</v>
      </c>
      <c r="F2360" s="159">
        <v>11107.22</v>
      </c>
      <c r="G2360" s="160" t="s">
        <v>2</v>
      </c>
      <c r="H2360" s="34" t="s">
        <v>925</v>
      </c>
    </row>
    <row r="2361" spans="1:8" ht="16.5">
      <c r="A2361" s="160">
        <v>9</v>
      </c>
      <c r="B2361" s="160" t="s">
        <v>931</v>
      </c>
      <c r="C2361" s="157" t="s">
        <v>14</v>
      </c>
      <c r="D2361" s="159">
        <v>1</v>
      </c>
      <c r="E2361" s="159">
        <v>433.89</v>
      </c>
      <c r="F2361" s="159">
        <v>433.89</v>
      </c>
      <c r="G2361" s="160" t="s">
        <v>2</v>
      </c>
    </row>
    <row r="2362" spans="1:8" ht="33">
      <c r="A2362" s="160"/>
      <c r="B2362" s="160" t="s">
        <v>933</v>
      </c>
      <c r="C2362" s="157" t="s">
        <v>1818</v>
      </c>
      <c r="D2362" s="159">
        <v>1</v>
      </c>
      <c r="E2362" s="159"/>
      <c r="F2362" s="159">
        <v>14896.919999999998</v>
      </c>
      <c r="G2362" s="160"/>
      <c r="H2362" s="34" t="s">
        <v>925</v>
      </c>
    </row>
    <row r="2363" spans="1:8" ht="33">
      <c r="A2363" s="160"/>
      <c r="B2363" s="160" t="s">
        <v>934</v>
      </c>
      <c r="C2363" s="157" t="s">
        <v>1818</v>
      </c>
      <c r="D2363" s="159"/>
      <c r="E2363" s="159"/>
      <c r="F2363" s="159">
        <v>14896.92</v>
      </c>
      <c r="G2363" s="160"/>
      <c r="H2363" s="34" t="s">
        <v>925</v>
      </c>
    </row>
    <row r="2364" spans="1:8" ht="33">
      <c r="A2364" s="160"/>
      <c r="B2364" s="160"/>
      <c r="C2364" s="157"/>
      <c r="D2364" s="159"/>
      <c r="E2364" s="159"/>
      <c r="F2364" s="159"/>
      <c r="G2364" s="160"/>
      <c r="H2364" s="34" t="s">
        <v>925</v>
      </c>
    </row>
    <row r="2365" spans="1:8" ht="42.75">
      <c r="A2365" s="160" t="s">
        <v>2451</v>
      </c>
      <c r="B2365" s="160" t="s">
        <v>2232</v>
      </c>
      <c r="C2365" s="157" t="s">
        <v>1818</v>
      </c>
      <c r="D2365" s="159">
        <v>1</v>
      </c>
      <c r="E2365" s="159">
        <v>16256.56</v>
      </c>
      <c r="F2365" s="159"/>
      <c r="G2365" s="160" t="s">
        <v>2</v>
      </c>
      <c r="H2365" s="34" t="s">
        <v>925</v>
      </c>
    </row>
    <row r="2366" spans="1:8" ht="33">
      <c r="A2366" s="160">
        <v>1</v>
      </c>
      <c r="B2366" s="160" t="s">
        <v>1250</v>
      </c>
      <c r="C2366" s="157" t="s">
        <v>17</v>
      </c>
      <c r="D2366" s="159">
        <v>4.4000000000000004</v>
      </c>
      <c r="E2366" s="159">
        <v>71.48</v>
      </c>
      <c r="F2366" s="159">
        <v>314.51</v>
      </c>
      <c r="G2366" s="160" t="s">
        <v>1325</v>
      </c>
      <c r="H2366" s="34" t="s">
        <v>925</v>
      </c>
    </row>
    <row r="2367" spans="1:8" ht="33">
      <c r="A2367" s="160">
        <v>2</v>
      </c>
      <c r="B2367" s="160" t="s">
        <v>2234</v>
      </c>
      <c r="C2367" s="157" t="s">
        <v>0</v>
      </c>
      <c r="D2367" s="159">
        <v>0.19</v>
      </c>
      <c r="E2367" s="159">
        <v>12076.83</v>
      </c>
      <c r="F2367" s="159">
        <v>2294.6</v>
      </c>
      <c r="G2367" s="160" t="s">
        <v>963</v>
      </c>
      <c r="H2367" s="34" t="s">
        <v>925</v>
      </c>
    </row>
    <row r="2368" spans="1:8" ht="33">
      <c r="A2368" s="160">
        <v>3</v>
      </c>
      <c r="B2368" s="160" t="s">
        <v>2216</v>
      </c>
      <c r="C2368" s="157" t="s">
        <v>1</v>
      </c>
      <c r="D2368" s="159">
        <v>0.19</v>
      </c>
      <c r="E2368" s="159">
        <v>784.56</v>
      </c>
      <c r="F2368" s="159">
        <v>149.07</v>
      </c>
      <c r="G2368" s="160" t="s">
        <v>2</v>
      </c>
      <c r="H2368" s="34" t="s">
        <v>925</v>
      </c>
    </row>
    <row r="2369" spans="1:8" ht="28.5">
      <c r="A2369" s="160">
        <v>4</v>
      </c>
      <c r="B2369" s="160" t="s">
        <v>1317</v>
      </c>
      <c r="C2369" s="157" t="s">
        <v>0</v>
      </c>
      <c r="D2369" s="159">
        <v>0.19</v>
      </c>
      <c r="E2369" s="159">
        <v>3683.89</v>
      </c>
      <c r="F2369" s="159">
        <v>699.94</v>
      </c>
      <c r="G2369" s="160" t="s">
        <v>2</v>
      </c>
    </row>
    <row r="2370" spans="1:8" ht="33">
      <c r="A2370" s="160">
        <v>5</v>
      </c>
      <c r="B2370" s="160" t="s">
        <v>2207</v>
      </c>
      <c r="C2370" s="157" t="s">
        <v>1689</v>
      </c>
      <c r="D2370" s="159">
        <v>1</v>
      </c>
      <c r="E2370" s="159">
        <v>416.52</v>
      </c>
      <c r="F2370" s="159">
        <v>416.52</v>
      </c>
      <c r="G2370" s="160" t="s">
        <v>2</v>
      </c>
      <c r="H2370" s="34" t="s">
        <v>925</v>
      </c>
    </row>
    <row r="2371" spans="1:8" ht="42.75">
      <c r="A2371" s="160">
        <v>6</v>
      </c>
      <c r="B2371" s="160" t="s">
        <v>513</v>
      </c>
      <c r="C2371" s="157" t="s">
        <v>18</v>
      </c>
      <c r="D2371" s="159">
        <v>23.82</v>
      </c>
      <c r="E2371" s="159">
        <v>29.75</v>
      </c>
      <c r="F2371" s="159">
        <v>708.65</v>
      </c>
      <c r="G2371" s="160" t="s">
        <v>5451</v>
      </c>
      <c r="H2371" s="34" t="s">
        <v>925</v>
      </c>
    </row>
    <row r="2372" spans="1:8" ht="33">
      <c r="A2372" s="160">
        <v>7</v>
      </c>
      <c r="B2372" s="160" t="s">
        <v>2221</v>
      </c>
      <c r="C2372" s="157" t="s">
        <v>14</v>
      </c>
      <c r="D2372" s="159">
        <v>1</v>
      </c>
      <c r="E2372" s="159">
        <v>92.56</v>
      </c>
      <c r="F2372" s="159">
        <v>92.56</v>
      </c>
      <c r="G2372" s="160" t="s">
        <v>2</v>
      </c>
      <c r="H2372" s="34" t="s">
        <v>925</v>
      </c>
    </row>
    <row r="2373" spans="1:8" ht="33">
      <c r="A2373" s="160">
        <v>8</v>
      </c>
      <c r="B2373" s="160" t="s">
        <v>2223</v>
      </c>
      <c r="C2373" s="157" t="s">
        <v>1689</v>
      </c>
      <c r="D2373" s="159">
        <v>1</v>
      </c>
      <c r="E2373" s="159">
        <v>11107.22</v>
      </c>
      <c r="F2373" s="159">
        <v>11107.22</v>
      </c>
      <c r="G2373" s="160" t="s">
        <v>2</v>
      </c>
      <c r="H2373" s="34" t="s">
        <v>925</v>
      </c>
    </row>
    <row r="2374" spans="1:8" ht="33">
      <c r="A2374" s="160">
        <v>9</v>
      </c>
      <c r="B2374" s="160" t="s">
        <v>931</v>
      </c>
      <c r="C2374" s="157" t="s">
        <v>14</v>
      </c>
      <c r="D2374" s="159">
        <v>1</v>
      </c>
      <c r="E2374" s="159">
        <v>473.49</v>
      </c>
      <c r="F2374" s="159">
        <v>473.49</v>
      </c>
      <c r="G2374" s="160" t="s">
        <v>2</v>
      </c>
      <c r="H2374" s="34" t="s">
        <v>925</v>
      </c>
    </row>
    <row r="2375" spans="1:8" ht="33">
      <c r="A2375" s="160"/>
      <c r="B2375" s="160" t="s">
        <v>933</v>
      </c>
      <c r="C2375" s="157" t="s">
        <v>1818</v>
      </c>
      <c r="D2375" s="159">
        <v>1</v>
      </c>
      <c r="E2375" s="159"/>
      <c r="F2375" s="159">
        <v>16256.56</v>
      </c>
      <c r="G2375" s="160"/>
      <c r="H2375" s="34" t="s">
        <v>925</v>
      </c>
    </row>
    <row r="2376" spans="1:8" ht="33">
      <c r="A2376" s="160"/>
      <c r="B2376" s="160" t="s">
        <v>934</v>
      </c>
      <c r="C2376" s="157" t="s">
        <v>1818</v>
      </c>
      <c r="D2376" s="159"/>
      <c r="E2376" s="159"/>
      <c r="F2376" s="159">
        <v>16256.56</v>
      </c>
      <c r="G2376" s="160"/>
      <c r="H2376" s="34" t="s">
        <v>925</v>
      </c>
    </row>
    <row r="2377" spans="1:8" ht="33">
      <c r="A2377" s="160"/>
      <c r="B2377" s="160"/>
      <c r="C2377" s="157"/>
      <c r="D2377" s="159"/>
      <c r="E2377" s="159"/>
      <c r="F2377" s="159"/>
      <c r="G2377" s="160"/>
      <c r="H2377" s="34" t="s">
        <v>925</v>
      </c>
    </row>
    <row r="2378" spans="1:8" ht="28.5">
      <c r="A2378" s="160" t="s">
        <v>2457</v>
      </c>
      <c r="B2378" s="160" t="s">
        <v>2237</v>
      </c>
      <c r="C2378" s="157" t="s">
        <v>2238</v>
      </c>
      <c r="D2378" s="159">
        <v>1</v>
      </c>
      <c r="E2378" s="159">
        <v>1078.26</v>
      </c>
      <c r="F2378" s="159"/>
      <c r="G2378" s="160" t="s">
        <v>2</v>
      </c>
    </row>
    <row r="2379" spans="1:8" ht="33">
      <c r="A2379" s="160">
        <v>1</v>
      </c>
      <c r="B2379" s="160" t="s">
        <v>2240</v>
      </c>
      <c r="C2379" s="157" t="s">
        <v>14</v>
      </c>
      <c r="D2379" s="159">
        <v>1</v>
      </c>
      <c r="E2379" s="159">
        <v>647.91999999999996</v>
      </c>
      <c r="F2379" s="159">
        <v>647.91999999999996</v>
      </c>
      <c r="G2379" s="160" t="s">
        <v>2</v>
      </c>
      <c r="H2379" s="34" t="s">
        <v>925</v>
      </c>
    </row>
    <row r="2380" spans="1:8" ht="33">
      <c r="A2380" s="160">
        <v>2</v>
      </c>
      <c r="B2380" s="160" t="s">
        <v>2242</v>
      </c>
      <c r="C2380" s="157" t="s">
        <v>14</v>
      </c>
      <c r="D2380" s="159">
        <v>1</v>
      </c>
      <c r="E2380" s="159">
        <v>138.84</v>
      </c>
      <c r="F2380" s="159">
        <v>138.84</v>
      </c>
      <c r="G2380" s="160" t="s">
        <v>2</v>
      </c>
      <c r="H2380" s="34" t="s">
        <v>925</v>
      </c>
    </row>
    <row r="2381" spans="1:8" ht="33">
      <c r="A2381" s="160">
        <v>3</v>
      </c>
      <c r="B2381" s="160" t="s">
        <v>4871</v>
      </c>
      <c r="C2381" s="157" t="s">
        <v>927</v>
      </c>
      <c r="D2381" s="159">
        <v>1</v>
      </c>
      <c r="E2381" s="159">
        <v>260.08999999999997</v>
      </c>
      <c r="F2381" s="159">
        <v>260.08999999999997</v>
      </c>
      <c r="G2381" s="160" t="s">
        <v>5435</v>
      </c>
      <c r="H2381" s="34" t="s">
        <v>925</v>
      </c>
    </row>
    <row r="2382" spans="1:8" ht="33">
      <c r="A2382" s="160">
        <v>4</v>
      </c>
      <c r="B2382" s="160" t="s">
        <v>931</v>
      </c>
      <c r="C2382" s="157" t="s">
        <v>14</v>
      </c>
      <c r="D2382" s="159">
        <v>1</v>
      </c>
      <c r="E2382" s="159">
        <v>31.41</v>
      </c>
      <c r="F2382" s="159">
        <v>31.41</v>
      </c>
      <c r="G2382" s="160" t="s">
        <v>2</v>
      </c>
      <c r="H2382" s="34" t="s">
        <v>925</v>
      </c>
    </row>
    <row r="2383" spans="1:8" ht="33">
      <c r="A2383" s="160"/>
      <c r="B2383" s="160" t="s">
        <v>933</v>
      </c>
      <c r="C2383" s="157" t="s">
        <v>2238</v>
      </c>
      <c r="D2383" s="159">
        <v>1</v>
      </c>
      <c r="E2383" s="159"/>
      <c r="F2383" s="159">
        <v>1078.26</v>
      </c>
      <c r="G2383" s="160"/>
      <c r="H2383" s="34" t="s">
        <v>925</v>
      </c>
    </row>
    <row r="2384" spans="1:8" ht="33">
      <c r="A2384" s="160"/>
      <c r="B2384" s="160" t="s">
        <v>934</v>
      </c>
      <c r="C2384" s="157" t="s">
        <v>2238</v>
      </c>
      <c r="D2384" s="159"/>
      <c r="E2384" s="159"/>
      <c r="F2384" s="159">
        <v>1078.26</v>
      </c>
      <c r="G2384" s="160"/>
      <c r="H2384" s="34" t="s">
        <v>925</v>
      </c>
    </row>
    <row r="2385" spans="1:8" ht="33">
      <c r="A2385" s="160"/>
      <c r="B2385" s="160"/>
      <c r="C2385" s="157"/>
      <c r="D2385" s="159"/>
      <c r="E2385" s="159"/>
      <c r="F2385" s="159"/>
      <c r="G2385" s="160"/>
      <c r="H2385" s="34" t="s">
        <v>925</v>
      </c>
    </row>
    <row r="2386" spans="1:8" ht="28.5">
      <c r="A2386" s="160" t="s">
        <v>2467</v>
      </c>
      <c r="B2386" s="160" t="s">
        <v>2245</v>
      </c>
      <c r="C2386" s="157" t="s">
        <v>17</v>
      </c>
      <c r="D2386" s="159">
        <v>45.5</v>
      </c>
      <c r="E2386" s="159">
        <v>2726.58</v>
      </c>
      <c r="F2386" s="159"/>
      <c r="G2386" s="160" t="s">
        <v>2</v>
      </c>
    </row>
    <row r="2387" spans="1:8" ht="42.75">
      <c r="A2387" s="160">
        <v>1</v>
      </c>
      <c r="B2387" s="160" t="s">
        <v>513</v>
      </c>
      <c r="C2387" s="157" t="s">
        <v>18</v>
      </c>
      <c r="D2387" s="159">
        <v>1089.2</v>
      </c>
      <c r="E2387" s="159">
        <v>29.75</v>
      </c>
      <c r="F2387" s="159">
        <v>32403.7</v>
      </c>
      <c r="G2387" s="160" t="s">
        <v>5451</v>
      </c>
      <c r="H2387" s="34" t="s">
        <v>925</v>
      </c>
    </row>
    <row r="2388" spans="1:8" ht="57">
      <c r="A2388" s="160">
        <v>2</v>
      </c>
      <c r="B2388" s="160" t="s">
        <v>1275</v>
      </c>
      <c r="C2388" s="157" t="s">
        <v>0</v>
      </c>
      <c r="D2388" s="159">
        <v>3.2</v>
      </c>
      <c r="E2388" s="159">
        <v>3273.2</v>
      </c>
      <c r="F2388" s="159">
        <v>10474.24</v>
      </c>
      <c r="G2388" s="160" t="s">
        <v>5458</v>
      </c>
      <c r="H2388" s="34" t="s">
        <v>925</v>
      </c>
    </row>
    <row r="2389" spans="1:8" ht="33">
      <c r="A2389" s="160">
        <v>3</v>
      </c>
      <c r="B2389" s="160" t="s">
        <v>2247</v>
      </c>
      <c r="C2389" s="157" t="s">
        <v>3</v>
      </c>
      <c r="D2389" s="159">
        <v>13.7</v>
      </c>
      <c r="E2389" s="159">
        <v>320.05</v>
      </c>
      <c r="F2389" s="159">
        <v>4384.6899999999996</v>
      </c>
      <c r="G2389" s="160" t="s">
        <v>2</v>
      </c>
      <c r="H2389" s="34" t="s">
        <v>925</v>
      </c>
    </row>
    <row r="2390" spans="1:8" ht="33">
      <c r="A2390" s="160">
        <v>4</v>
      </c>
      <c r="B2390" s="160" t="s">
        <v>2249</v>
      </c>
      <c r="C2390" s="157" t="s">
        <v>3</v>
      </c>
      <c r="D2390" s="159">
        <v>48.1</v>
      </c>
      <c r="E2390" s="159">
        <v>249.91</v>
      </c>
      <c r="F2390" s="159">
        <v>12020.67</v>
      </c>
      <c r="G2390" s="160" t="s">
        <v>2</v>
      </c>
      <c r="H2390" s="34" t="s">
        <v>925</v>
      </c>
    </row>
    <row r="2391" spans="1:8" ht="33">
      <c r="A2391" s="160">
        <v>5</v>
      </c>
      <c r="B2391" s="160" t="s">
        <v>2251</v>
      </c>
      <c r="C2391" s="157" t="s">
        <v>14</v>
      </c>
      <c r="D2391" s="159">
        <v>1</v>
      </c>
      <c r="E2391" s="159">
        <v>8654.3799999999992</v>
      </c>
      <c r="F2391" s="159">
        <v>8654.3799999999992</v>
      </c>
      <c r="G2391" s="160" t="s">
        <v>2</v>
      </c>
      <c r="H2391" s="34" t="s">
        <v>925</v>
      </c>
    </row>
    <row r="2392" spans="1:8" ht="33">
      <c r="A2392" s="160">
        <v>6</v>
      </c>
      <c r="B2392" s="160" t="s">
        <v>1685</v>
      </c>
      <c r="C2392" s="157" t="s">
        <v>3</v>
      </c>
      <c r="D2392" s="159">
        <v>69.7</v>
      </c>
      <c r="E2392" s="159">
        <v>443.93</v>
      </c>
      <c r="F2392" s="159">
        <v>30941.919999999998</v>
      </c>
      <c r="G2392" s="160" t="s">
        <v>1902</v>
      </c>
      <c r="H2392" s="34" t="s">
        <v>925</v>
      </c>
    </row>
    <row r="2393" spans="1:8" ht="28.5">
      <c r="A2393" s="160">
        <v>7</v>
      </c>
      <c r="B2393" s="160" t="s">
        <v>2253</v>
      </c>
      <c r="C2393" s="157" t="s">
        <v>3</v>
      </c>
      <c r="D2393" s="159">
        <v>46.6</v>
      </c>
      <c r="E2393" s="159">
        <v>462.8</v>
      </c>
      <c r="F2393" s="159">
        <v>21566.48</v>
      </c>
      <c r="G2393" s="160" t="s">
        <v>2</v>
      </c>
    </row>
    <row r="2394" spans="1:8" ht="33">
      <c r="A2394" s="160">
        <v>8</v>
      </c>
      <c r="B2394" s="160" t="s">
        <v>931</v>
      </c>
      <c r="C2394" s="157" t="s">
        <v>14</v>
      </c>
      <c r="D2394" s="159">
        <v>1</v>
      </c>
      <c r="E2394" s="159">
        <v>3613.38</v>
      </c>
      <c r="F2394" s="159">
        <v>3613.38</v>
      </c>
      <c r="G2394" s="160" t="s">
        <v>2</v>
      </c>
      <c r="H2394" s="34" t="s">
        <v>925</v>
      </c>
    </row>
    <row r="2395" spans="1:8" ht="33">
      <c r="A2395" s="160"/>
      <c r="B2395" s="160" t="s">
        <v>933</v>
      </c>
      <c r="C2395" s="157" t="s">
        <v>17</v>
      </c>
      <c r="D2395" s="159">
        <v>45.5</v>
      </c>
      <c r="E2395" s="159"/>
      <c r="F2395" s="159">
        <v>124059.46</v>
      </c>
      <c r="G2395" s="160"/>
      <c r="H2395" s="34" t="s">
        <v>925</v>
      </c>
    </row>
    <row r="2396" spans="1:8" ht="33">
      <c r="A2396" s="160"/>
      <c r="B2396" s="160" t="s">
        <v>934</v>
      </c>
      <c r="C2396" s="157" t="s">
        <v>17</v>
      </c>
      <c r="D2396" s="159"/>
      <c r="E2396" s="159"/>
      <c r="F2396" s="159">
        <v>2726.58</v>
      </c>
      <c r="G2396" s="160"/>
      <c r="H2396" s="34" t="s">
        <v>925</v>
      </c>
    </row>
    <row r="2397" spans="1:8" ht="33">
      <c r="A2397" s="160"/>
      <c r="B2397" s="160"/>
      <c r="C2397" s="157"/>
      <c r="D2397" s="159"/>
      <c r="E2397" s="159"/>
      <c r="F2397" s="159"/>
      <c r="G2397" s="160"/>
      <c r="H2397" s="34" t="s">
        <v>925</v>
      </c>
    </row>
    <row r="2398" spans="1:8" ht="33">
      <c r="A2398" s="160" t="s">
        <v>2474</v>
      </c>
      <c r="B2398" s="160" t="s">
        <v>2256</v>
      </c>
      <c r="C2398" s="157" t="s">
        <v>17</v>
      </c>
      <c r="D2398" s="159">
        <v>17.899999999999999</v>
      </c>
      <c r="E2398" s="159">
        <v>3509.25</v>
      </c>
      <c r="F2398" s="159"/>
      <c r="G2398" s="160" t="s">
        <v>2</v>
      </c>
      <c r="H2398" s="34" t="s">
        <v>925</v>
      </c>
    </row>
    <row r="2399" spans="1:8" ht="42.75">
      <c r="A2399" s="160">
        <v>1</v>
      </c>
      <c r="B2399" s="160" t="s">
        <v>513</v>
      </c>
      <c r="C2399" s="157" t="s">
        <v>18</v>
      </c>
      <c r="D2399" s="159">
        <v>337.2</v>
      </c>
      <c r="E2399" s="159">
        <v>29.75</v>
      </c>
      <c r="F2399" s="159">
        <v>10031.700000000001</v>
      </c>
      <c r="G2399" s="160" t="s">
        <v>5451</v>
      </c>
      <c r="H2399" s="34" t="s">
        <v>925</v>
      </c>
    </row>
    <row r="2400" spans="1:8" ht="57">
      <c r="A2400" s="160">
        <v>2</v>
      </c>
      <c r="B2400" s="160" t="s">
        <v>1275</v>
      </c>
      <c r="C2400" s="157" t="s">
        <v>0</v>
      </c>
      <c r="D2400" s="159">
        <v>1.3</v>
      </c>
      <c r="E2400" s="159">
        <v>3273.2</v>
      </c>
      <c r="F2400" s="159">
        <v>4255.16</v>
      </c>
      <c r="G2400" s="160" t="s">
        <v>5458</v>
      </c>
      <c r="H2400" s="34" t="s">
        <v>925</v>
      </c>
    </row>
    <row r="2401" spans="1:8" ht="33">
      <c r="A2401" s="160">
        <v>3</v>
      </c>
      <c r="B2401" s="160" t="s">
        <v>2247</v>
      </c>
      <c r="C2401" s="157" t="s">
        <v>3</v>
      </c>
      <c r="D2401" s="159">
        <v>5.7</v>
      </c>
      <c r="E2401" s="159">
        <v>320.05</v>
      </c>
      <c r="F2401" s="159">
        <v>1824.29</v>
      </c>
      <c r="G2401" s="160" t="s">
        <v>2</v>
      </c>
      <c r="H2401" s="34" t="s">
        <v>925</v>
      </c>
    </row>
    <row r="2402" spans="1:8" ht="33">
      <c r="A2402" s="160">
        <v>4</v>
      </c>
      <c r="B2402" s="160" t="s">
        <v>2249</v>
      </c>
      <c r="C2402" s="157" t="s">
        <v>3</v>
      </c>
      <c r="D2402" s="159">
        <v>28.8</v>
      </c>
      <c r="E2402" s="159">
        <v>249.91</v>
      </c>
      <c r="F2402" s="159">
        <v>7197.41</v>
      </c>
      <c r="G2402" s="160" t="s">
        <v>2</v>
      </c>
      <c r="H2402" s="34" t="s">
        <v>925</v>
      </c>
    </row>
    <row r="2403" spans="1:8" ht="28.5">
      <c r="A2403" s="160">
        <v>5</v>
      </c>
      <c r="B2403" s="160" t="s">
        <v>2251</v>
      </c>
      <c r="C2403" s="157" t="s">
        <v>14</v>
      </c>
      <c r="D2403" s="159">
        <v>1</v>
      </c>
      <c r="E2403" s="159">
        <v>8654.3799999999992</v>
      </c>
      <c r="F2403" s="159">
        <v>8654.3799999999992</v>
      </c>
      <c r="G2403" s="160" t="s">
        <v>2</v>
      </c>
    </row>
    <row r="2404" spans="1:8" ht="33">
      <c r="A2404" s="160">
        <v>6</v>
      </c>
      <c r="B2404" s="160" t="s">
        <v>1685</v>
      </c>
      <c r="C2404" s="157" t="s">
        <v>3</v>
      </c>
      <c r="D2404" s="159">
        <v>36.5</v>
      </c>
      <c r="E2404" s="159">
        <v>443.93</v>
      </c>
      <c r="F2404" s="159">
        <v>16203.45</v>
      </c>
      <c r="G2404" s="160" t="s">
        <v>1902</v>
      </c>
      <c r="H2404" s="34" t="s">
        <v>925</v>
      </c>
    </row>
    <row r="2405" spans="1:8" ht="33">
      <c r="A2405" s="160">
        <v>7</v>
      </c>
      <c r="B2405" s="160" t="s">
        <v>2253</v>
      </c>
      <c r="C2405" s="157" t="s">
        <v>3</v>
      </c>
      <c r="D2405" s="159">
        <v>27.7</v>
      </c>
      <c r="E2405" s="159">
        <v>462.8</v>
      </c>
      <c r="F2405" s="159">
        <v>12819.56</v>
      </c>
      <c r="G2405" s="160" t="s">
        <v>2</v>
      </c>
      <c r="H2405" s="34" t="s">
        <v>925</v>
      </c>
    </row>
    <row r="2406" spans="1:8" ht="33">
      <c r="A2406" s="160">
        <v>8</v>
      </c>
      <c r="B2406" s="160" t="s">
        <v>931</v>
      </c>
      <c r="C2406" s="157" t="s">
        <v>14</v>
      </c>
      <c r="D2406" s="159">
        <v>1</v>
      </c>
      <c r="E2406" s="159">
        <v>1829.58</v>
      </c>
      <c r="F2406" s="159">
        <v>1829.58</v>
      </c>
      <c r="G2406" s="160" t="s">
        <v>2</v>
      </c>
      <c r="H2406" s="34" t="s">
        <v>925</v>
      </c>
    </row>
    <row r="2407" spans="1:8" ht="33">
      <c r="A2407" s="160"/>
      <c r="B2407" s="160" t="s">
        <v>933</v>
      </c>
      <c r="C2407" s="157" t="s">
        <v>17</v>
      </c>
      <c r="D2407" s="159">
        <v>17.899999999999999</v>
      </c>
      <c r="E2407" s="159"/>
      <c r="F2407" s="159">
        <v>62815.53</v>
      </c>
      <c r="G2407" s="160"/>
      <c r="H2407" s="34" t="s">
        <v>925</v>
      </c>
    </row>
    <row r="2408" spans="1:8" ht="33">
      <c r="A2408" s="160"/>
      <c r="B2408" s="160" t="s">
        <v>934</v>
      </c>
      <c r="C2408" s="157" t="s">
        <v>17</v>
      </c>
      <c r="D2408" s="159"/>
      <c r="E2408" s="159"/>
      <c r="F2408" s="159">
        <v>3509.25</v>
      </c>
      <c r="G2408" s="160"/>
      <c r="H2408" s="34" t="s">
        <v>925</v>
      </c>
    </row>
    <row r="2409" spans="1:8" ht="33">
      <c r="A2409" s="160"/>
      <c r="B2409" s="160"/>
      <c r="C2409" s="157"/>
      <c r="D2409" s="159"/>
      <c r="E2409" s="159"/>
      <c r="F2409" s="159"/>
      <c r="G2409" s="160"/>
      <c r="H2409" s="34" t="s">
        <v>925</v>
      </c>
    </row>
    <row r="2410" spans="1:8" ht="33">
      <c r="A2410" s="160" t="s">
        <v>2479</v>
      </c>
      <c r="B2410" s="160" t="s">
        <v>2259</v>
      </c>
      <c r="C2410" s="157" t="s">
        <v>17</v>
      </c>
      <c r="D2410" s="159">
        <v>45.5</v>
      </c>
      <c r="E2410" s="159">
        <v>2726.58</v>
      </c>
      <c r="F2410" s="159"/>
      <c r="G2410" s="160" t="s">
        <v>2</v>
      </c>
      <c r="H2410" s="34" t="s">
        <v>925</v>
      </c>
    </row>
    <row r="2411" spans="1:8" ht="42.75">
      <c r="A2411" s="160">
        <v>1</v>
      </c>
      <c r="B2411" s="160" t="s">
        <v>513</v>
      </c>
      <c r="C2411" s="157" t="s">
        <v>18</v>
      </c>
      <c r="D2411" s="159">
        <v>1089.2</v>
      </c>
      <c r="E2411" s="159">
        <v>29.75</v>
      </c>
      <c r="F2411" s="159">
        <v>32403.7</v>
      </c>
      <c r="G2411" s="160" t="s">
        <v>5451</v>
      </c>
      <c r="H2411" s="34" t="s">
        <v>925</v>
      </c>
    </row>
    <row r="2412" spans="1:8" ht="57">
      <c r="A2412" s="160">
        <v>2</v>
      </c>
      <c r="B2412" s="160" t="s">
        <v>1275</v>
      </c>
      <c r="C2412" s="157" t="s">
        <v>0</v>
      </c>
      <c r="D2412" s="159">
        <v>3.2</v>
      </c>
      <c r="E2412" s="159">
        <v>3273.2</v>
      </c>
      <c r="F2412" s="159">
        <v>10474.24</v>
      </c>
      <c r="G2412" s="160" t="s">
        <v>5458</v>
      </c>
      <c r="H2412" s="34" t="s">
        <v>925</v>
      </c>
    </row>
    <row r="2413" spans="1:8" ht="16.5">
      <c r="A2413" s="160">
        <v>3</v>
      </c>
      <c r="B2413" s="160" t="s">
        <v>2247</v>
      </c>
      <c r="C2413" s="157" t="s">
        <v>3</v>
      </c>
      <c r="D2413" s="159">
        <v>13.7</v>
      </c>
      <c r="E2413" s="159">
        <v>320.05</v>
      </c>
      <c r="F2413" s="159">
        <v>4384.6899999999996</v>
      </c>
      <c r="G2413" s="160" t="s">
        <v>2</v>
      </c>
    </row>
    <row r="2414" spans="1:8" ht="33">
      <c r="A2414" s="160">
        <v>4</v>
      </c>
      <c r="B2414" s="160" t="s">
        <v>2249</v>
      </c>
      <c r="C2414" s="157" t="s">
        <v>3</v>
      </c>
      <c r="D2414" s="159">
        <v>48.1</v>
      </c>
      <c r="E2414" s="159">
        <v>249.91</v>
      </c>
      <c r="F2414" s="159">
        <v>12020.67</v>
      </c>
      <c r="G2414" s="160" t="s">
        <v>2</v>
      </c>
      <c r="H2414" s="34" t="s">
        <v>925</v>
      </c>
    </row>
    <row r="2415" spans="1:8" ht="33">
      <c r="A2415" s="160">
        <v>5</v>
      </c>
      <c r="B2415" s="160" t="s">
        <v>2251</v>
      </c>
      <c r="C2415" s="157" t="s">
        <v>14</v>
      </c>
      <c r="D2415" s="159">
        <v>1</v>
      </c>
      <c r="E2415" s="159">
        <v>8654.3799999999992</v>
      </c>
      <c r="F2415" s="159">
        <v>8654.3799999999992</v>
      </c>
      <c r="G2415" s="160" t="s">
        <v>2</v>
      </c>
      <c r="H2415" s="34" t="s">
        <v>925</v>
      </c>
    </row>
    <row r="2416" spans="1:8" ht="33">
      <c r="A2416" s="160">
        <v>6</v>
      </c>
      <c r="B2416" s="160" t="s">
        <v>1685</v>
      </c>
      <c r="C2416" s="157" t="s">
        <v>3</v>
      </c>
      <c r="D2416" s="159">
        <v>69.7</v>
      </c>
      <c r="E2416" s="159">
        <v>443.93</v>
      </c>
      <c r="F2416" s="159">
        <v>30941.919999999998</v>
      </c>
      <c r="G2416" s="160" t="s">
        <v>1902</v>
      </c>
      <c r="H2416" s="34" t="s">
        <v>925</v>
      </c>
    </row>
    <row r="2417" spans="1:8" ht="33">
      <c r="A2417" s="160">
        <v>7</v>
      </c>
      <c r="B2417" s="160" t="s">
        <v>2253</v>
      </c>
      <c r="C2417" s="157" t="s">
        <v>3</v>
      </c>
      <c r="D2417" s="159">
        <v>46.6</v>
      </c>
      <c r="E2417" s="159">
        <v>462.8</v>
      </c>
      <c r="F2417" s="159">
        <v>21566.48</v>
      </c>
      <c r="G2417" s="160" t="s">
        <v>2</v>
      </c>
      <c r="H2417" s="34" t="s">
        <v>925</v>
      </c>
    </row>
    <row r="2418" spans="1:8" ht="33">
      <c r="A2418" s="160">
        <v>8</v>
      </c>
      <c r="B2418" s="160" t="s">
        <v>931</v>
      </c>
      <c r="C2418" s="157" t="s">
        <v>14</v>
      </c>
      <c r="D2418" s="159">
        <v>1</v>
      </c>
      <c r="E2418" s="159">
        <v>3613.38</v>
      </c>
      <c r="F2418" s="159">
        <v>3613.38</v>
      </c>
      <c r="G2418" s="160" t="s">
        <v>2</v>
      </c>
      <c r="H2418" s="34" t="s">
        <v>925</v>
      </c>
    </row>
    <row r="2419" spans="1:8" ht="33">
      <c r="A2419" s="160"/>
      <c r="B2419" s="160" t="s">
        <v>933</v>
      </c>
      <c r="C2419" s="157" t="s">
        <v>17</v>
      </c>
      <c r="D2419" s="159">
        <v>45.5</v>
      </c>
      <c r="E2419" s="159"/>
      <c r="F2419" s="159">
        <v>124059.46</v>
      </c>
      <c r="G2419" s="160"/>
      <c r="H2419" s="34" t="s">
        <v>925</v>
      </c>
    </row>
    <row r="2420" spans="1:8" ht="33">
      <c r="A2420" s="160"/>
      <c r="B2420" s="160" t="s">
        <v>934</v>
      </c>
      <c r="C2420" s="157" t="s">
        <v>17</v>
      </c>
      <c r="D2420" s="159"/>
      <c r="E2420" s="159"/>
      <c r="F2420" s="159">
        <v>2726.58</v>
      </c>
      <c r="G2420" s="160"/>
      <c r="H2420" s="34" t="s">
        <v>925</v>
      </c>
    </row>
    <row r="2421" spans="1:8" ht="33">
      <c r="A2421" s="160"/>
      <c r="B2421" s="160"/>
      <c r="C2421" s="157"/>
      <c r="D2421" s="159"/>
      <c r="E2421" s="159"/>
      <c r="F2421" s="159"/>
      <c r="G2421" s="160"/>
      <c r="H2421" s="34" t="s">
        <v>925</v>
      </c>
    </row>
    <row r="2422" spans="1:8" ht="33">
      <c r="A2422" s="160" t="s">
        <v>2482</v>
      </c>
      <c r="B2422" s="160" t="s">
        <v>2262</v>
      </c>
      <c r="C2422" s="157" t="s">
        <v>17</v>
      </c>
      <c r="D2422" s="159">
        <v>32</v>
      </c>
      <c r="E2422" s="159">
        <v>3047.69</v>
      </c>
      <c r="F2422" s="159"/>
      <c r="G2422" s="160" t="s">
        <v>2</v>
      </c>
      <c r="H2422" s="34" t="s">
        <v>925</v>
      </c>
    </row>
    <row r="2423" spans="1:8" ht="42.75">
      <c r="A2423" s="160">
        <v>1</v>
      </c>
      <c r="B2423" s="160" t="s">
        <v>513</v>
      </c>
      <c r="C2423" s="157" t="s">
        <v>18</v>
      </c>
      <c r="D2423" s="159">
        <v>536</v>
      </c>
      <c r="E2423" s="159">
        <v>29.75</v>
      </c>
      <c r="F2423" s="159">
        <v>15946</v>
      </c>
      <c r="G2423" s="160" t="s">
        <v>5451</v>
      </c>
    </row>
    <row r="2424" spans="1:8" ht="57">
      <c r="A2424" s="160">
        <v>2</v>
      </c>
      <c r="B2424" s="160" t="s">
        <v>1275</v>
      </c>
      <c r="C2424" s="157" t="s">
        <v>0</v>
      </c>
      <c r="D2424" s="159">
        <v>1.9</v>
      </c>
      <c r="E2424" s="159">
        <v>3273.2</v>
      </c>
      <c r="F2424" s="159">
        <v>6219.08</v>
      </c>
      <c r="G2424" s="160" t="s">
        <v>5458</v>
      </c>
      <c r="H2424" s="34" t="s">
        <v>925</v>
      </c>
    </row>
    <row r="2425" spans="1:8" ht="33">
      <c r="A2425" s="160">
        <v>3</v>
      </c>
      <c r="B2425" s="160" t="s">
        <v>2249</v>
      </c>
      <c r="C2425" s="157" t="s">
        <v>3</v>
      </c>
      <c r="D2425" s="159">
        <v>52.3</v>
      </c>
      <c r="E2425" s="159">
        <v>249.91</v>
      </c>
      <c r="F2425" s="159">
        <v>13070.29</v>
      </c>
      <c r="G2425" s="160" t="s">
        <v>2</v>
      </c>
      <c r="H2425" s="34" t="s">
        <v>925</v>
      </c>
    </row>
    <row r="2426" spans="1:8" ht="33">
      <c r="A2426" s="160">
        <v>4</v>
      </c>
      <c r="B2426" s="160" t="s">
        <v>2251</v>
      </c>
      <c r="C2426" s="157" t="s">
        <v>14</v>
      </c>
      <c r="D2426" s="159">
        <v>1</v>
      </c>
      <c r="E2426" s="159">
        <v>8654.3799999999992</v>
      </c>
      <c r="F2426" s="159">
        <v>8654.3799999999992</v>
      </c>
      <c r="G2426" s="160" t="s">
        <v>2</v>
      </c>
      <c r="H2426" s="34" t="s">
        <v>925</v>
      </c>
    </row>
    <row r="2427" spans="1:8" ht="33">
      <c r="A2427" s="160">
        <v>5</v>
      </c>
      <c r="B2427" s="160" t="s">
        <v>1685</v>
      </c>
      <c r="C2427" s="157" t="s">
        <v>3</v>
      </c>
      <c r="D2427" s="159">
        <v>59.9</v>
      </c>
      <c r="E2427" s="159">
        <v>443.93</v>
      </c>
      <c r="F2427" s="159">
        <v>26591.41</v>
      </c>
      <c r="G2427" s="160" t="s">
        <v>1902</v>
      </c>
      <c r="H2427" s="34" t="s">
        <v>925</v>
      </c>
    </row>
    <row r="2428" spans="1:8" ht="33">
      <c r="A2428" s="160">
        <v>6</v>
      </c>
      <c r="B2428" s="160" t="s">
        <v>2253</v>
      </c>
      <c r="C2428" s="157" t="s">
        <v>3</v>
      </c>
      <c r="D2428" s="159">
        <v>52.3</v>
      </c>
      <c r="E2428" s="159">
        <v>462.8</v>
      </c>
      <c r="F2428" s="159">
        <v>24204.44</v>
      </c>
      <c r="G2428" s="160" t="s">
        <v>2</v>
      </c>
      <c r="H2428" s="34" t="s">
        <v>925</v>
      </c>
    </row>
    <row r="2429" spans="1:8" ht="33">
      <c r="A2429" s="160">
        <v>7</v>
      </c>
      <c r="B2429" s="160" t="s">
        <v>931</v>
      </c>
      <c r="C2429" s="157" t="s">
        <v>14</v>
      </c>
      <c r="D2429" s="159">
        <v>1</v>
      </c>
      <c r="E2429" s="159">
        <v>2840.57</v>
      </c>
      <c r="F2429" s="159">
        <v>2840.57</v>
      </c>
      <c r="G2429" s="160" t="s">
        <v>2</v>
      </c>
      <c r="H2429" s="34" t="s">
        <v>925</v>
      </c>
    </row>
    <row r="2430" spans="1:8" ht="33">
      <c r="A2430" s="160"/>
      <c r="B2430" s="160" t="s">
        <v>933</v>
      </c>
      <c r="C2430" s="157" t="s">
        <v>17</v>
      </c>
      <c r="D2430" s="159">
        <v>32</v>
      </c>
      <c r="E2430" s="159"/>
      <c r="F2430" s="159">
        <v>97526.170000000013</v>
      </c>
      <c r="G2430" s="160"/>
      <c r="H2430" s="34" t="s">
        <v>925</v>
      </c>
    </row>
    <row r="2431" spans="1:8" ht="33">
      <c r="A2431" s="160"/>
      <c r="B2431" s="160" t="s">
        <v>934</v>
      </c>
      <c r="C2431" s="157" t="s">
        <v>17</v>
      </c>
      <c r="D2431" s="159"/>
      <c r="E2431" s="159"/>
      <c r="F2431" s="159">
        <v>3047.69</v>
      </c>
      <c r="G2431" s="160"/>
      <c r="H2431" s="34" t="s">
        <v>925</v>
      </c>
    </row>
    <row r="2432" spans="1:8" ht="33">
      <c r="A2432" s="160"/>
      <c r="B2432" s="160"/>
      <c r="C2432" s="157"/>
      <c r="D2432" s="159"/>
      <c r="E2432" s="159"/>
      <c r="F2432" s="159"/>
      <c r="G2432" s="160"/>
      <c r="H2432" s="34" t="s">
        <v>925</v>
      </c>
    </row>
    <row r="2433" spans="1:8" ht="28.5">
      <c r="A2433" s="160" t="s">
        <v>2485</v>
      </c>
      <c r="B2433" s="160" t="s">
        <v>2265</v>
      </c>
      <c r="C2433" s="157" t="s">
        <v>3</v>
      </c>
      <c r="D2433" s="159">
        <v>1</v>
      </c>
      <c r="E2433" s="159">
        <v>371.81</v>
      </c>
      <c r="F2433" s="159"/>
      <c r="G2433" s="160" t="s">
        <v>2</v>
      </c>
    </row>
    <row r="2434" spans="1:8" ht="33">
      <c r="A2434" s="160">
        <v>1</v>
      </c>
      <c r="B2434" s="160" t="s">
        <v>2267</v>
      </c>
      <c r="C2434" s="157" t="s">
        <v>3</v>
      </c>
      <c r="D2434" s="159">
        <v>1</v>
      </c>
      <c r="E2434" s="159">
        <v>111.07</v>
      </c>
      <c r="F2434" s="159">
        <v>111.07</v>
      </c>
      <c r="G2434" s="160" t="s">
        <v>5459</v>
      </c>
      <c r="H2434" s="34" t="s">
        <v>925</v>
      </c>
    </row>
    <row r="2435" spans="1:8" ht="33">
      <c r="A2435" s="160">
        <v>2</v>
      </c>
      <c r="B2435" s="160" t="s">
        <v>2269</v>
      </c>
      <c r="C2435" s="157" t="s">
        <v>3</v>
      </c>
      <c r="D2435" s="159">
        <v>1</v>
      </c>
      <c r="E2435" s="159">
        <v>111.07</v>
      </c>
      <c r="F2435" s="159">
        <v>111.07</v>
      </c>
      <c r="G2435" s="160" t="s">
        <v>2</v>
      </c>
      <c r="H2435" s="34" t="s">
        <v>925</v>
      </c>
    </row>
    <row r="2436" spans="1:8" ht="33">
      <c r="A2436" s="160">
        <v>3</v>
      </c>
      <c r="B2436" s="160" t="s">
        <v>2271</v>
      </c>
      <c r="C2436" s="157" t="s">
        <v>14</v>
      </c>
      <c r="D2436" s="159">
        <v>1</v>
      </c>
      <c r="E2436" s="159">
        <v>138.84</v>
      </c>
      <c r="F2436" s="159">
        <v>138.84</v>
      </c>
      <c r="G2436" s="160" t="s">
        <v>2</v>
      </c>
      <c r="H2436" s="34" t="s">
        <v>925</v>
      </c>
    </row>
    <row r="2437" spans="1:8" ht="33">
      <c r="A2437" s="160">
        <v>4</v>
      </c>
      <c r="B2437" s="160" t="s">
        <v>955</v>
      </c>
      <c r="C2437" s="157" t="s">
        <v>14</v>
      </c>
      <c r="D2437" s="159">
        <v>1</v>
      </c>
      <c r="E2437" s="159">
        <v>10.83</v>
      </c>
      <c r="F2437" s="159">
        <v>10.83</v>
      </c>
      <c r="G2437" s="160" t="s">
        <v>2</v>
      </c>
      <c r="H2437" s="34" t="s">
        <v>925</v>
      </c>
    </row>
    <row r="2438" spans="1:8" ht="33">
      <c r="A2438" s="160"/>
      <c r="B2438" s="160" t="s">
        <v>933</v>
      </c>
      <c r="C2438" s="157" t="s">
        <v>3</v>
      </c>
      <c r="D2438" s="159">
        <v>1</v>
      </c>
      <c r="E2438" s="159"/>
      <c r="F2438" s="159">
        <v>371.81</v>
      </c>
      <c r="G2438" s="160"/>
      <c r="H2438" s="34" t="s">
        <v>925</v>
      </c>
    </row>
    <row r="2439" spans="1:8" ht="16.5">
      <c r="A2439" s="160"/>
      <c r="B2439" s="160" t="s">
        <v>934</v>
      </c>
      <c r="C2439" s="157" t="s">
        <v>3</v>
      </c>
      <c r="D2439" s="159"/>
      <c r="E2439" s="159"/>
      <c r="F2439" s="159">
        <v>371.81</v>
      </c>
      <c r="G2439" s="160"/>
    </row>
    <row r="2440" spans="1:8" ht="33">
      <c r="A2440" s="160"/>
      <c r="B2440" s="160"/>
      <c r="C2440" s="157"/>
      <c r="D2440" s="159"/>
      <c r="E2440" s="159"/>
      <c r="F2440" s="159"/>
      <c r="G2440" s="160"/>
      <c r="H2440" s="34" t="s">
        <v>925</v>
      </c>
    </row>
    <row r="2441" spans="1:8" ht="33">
      <c r="A2441" s="160" t="s">
        <v>2488</v>
      </c>
      <c r="B2441" s="160" t="s">
        <v>2274</v>
      </c>
      <c r="C2441" s="157" t="s">
        <v>3</v>
      </c>
      <c r="D2441" s="159">
        <v>1</v>
      </c>
      <c r="E2441" s="159">
        <v>640.66</v>
      </c>
      <c r="F2441" s="159"/>
      <c r="G2441" s="160" t="s">
        <v>4386</v>
      </c>
      <c r="H2441" s="34" t="s">
        <v>925</v>
      </c>
    </row>
    <row r="2442" spans="1:8" ht="33">
      <c r="A2442" s="160">
        <v>1</v>
      </c>
      <c r="B2442" s="160" t="s">
        <v>2276</v>
      </c>
      <c r="C2442" s="157" t="s">
        <v>3</v>
      </c>
      <c r="D2442" s="159">
        <v>1</v>
      </c>
      <c r="E2442" s="159">
        <v>390.6</v>
      </c>
      <c r="F2442" s="159">
        <v>390.6</v>
      </c>
      <c r="G2442" s="160" t="s">
        <v>5459</v>
      </c>
      <c r="H2442" s="34" t="s">
        <v>925</v>
      </c>
    </row>
    <row r="2443" spans="1:8" ht="33">
      <c r="A2443" s="160">
        <v>2</v>
      </c>
      <c r="B2443" s="160" t="s">
        <v>2278</v>
      </c>
      <c r="C2443" s="157" t="s">
        <v>3</v>
      </c>
      <c r="D2443" s="159">
        <v>1</v>
      </c>
      <c r="E2443" s="159">
        <v>92.56</v>
      </c>
      <c r="F2443" s="159">
        <v>92.56</v>
      </c>
      <c r="G2443" s="160" t="s">
        <v>2</v>
      </c>
      <c r="H2443" s="34" t="s">
        <v>925</v>
      </c>
    </row>
    <row r="2444" spans="1:8" ht="33">
      <c r="A2444" s="160">
        <v>3</v>
      </c>
      <c r="B2444" s="160" t="s">
        <v>2271</v>
      </c>
      <c r="C2444" s="157" t="s">
        <v>14</v>
      </c>
      <c r="D2444" s="159">
        <v>1</v>
      </c>
      <c r="E2444" s="159">
        <v>138.84</v>
      </c>
      <c r="F2444" s="159">
        <v>138.84</v>
      </c>
      <c r="G2444" s="160" t="s">
        <v>2</v>
      </c>
      <c r="H2444" s="34" t="s">
        <v>925</v>
      </c>
    </row>
    <row r="2445" spans="1:8" ht="33">
      <c r="A2445" s="160">
        <v>4</v>
      </c>
      <c r="B2445" s="160" t="s">
        <v>955</v>
      </c>
      <c r="C2445" s="157" t="s">
        <v>14</v>
      </c>
      <c r="D2445" s="159">
        <v>1</v>
      </c>
      <c r="E2445" s="159">
        <v>18.66</v>
      </c>
      <c r="F2445" s="159">
        <v>18.66</v>
      </c>
      <c r="G2445" s="160" t="s">
        <v>2</v>
      </c>
      <c r="H2445" s="34" t="s">
        <v>925</v>
      </c>
    </row>
    <row r="2446" spans="1:8" ht="16.5">
      <c r="A2446" s="160"/>
      <c r="B2446" s="160" t="s">
        <v>933</v>
      </c>
      <c r="C2446" s="157" t="s">
        <v>3</v>
      </c>
      <c r="D2446" s="159">
        <v>1</v>
      </c>
      <c r="E2446" s="159"/>
      <c r="F2446" s="159">
        <v>640.66</v>
      </c>
      <c r="G2446" s="160"/>
    </row>
    <row r="2447" spans="1:8" ht="33">
      <c r="A2447" s="160"/>
      <c r="B2447" s="160" t="s">
        <v>934</v>
      </c>
      <c r="C2447" s="157" t="s">
        <v>3</v>
      </c>
      <c r="D2447" s="159"/>
      <c r="E2447" s="159"/>
      <c r="F2447" s="159">
        <v>640.66</v>
      </c>
      <c r="G2447" s="160"/>
      <c r="H2447" s="34" t="s">
        <v>925</v>
      </c>
    </row>
    <row r="2448" spans="1:8" ht="33">
      <c r="A2448" s="160"/>
      <c r="B2448" s="160"/>
      <c r="C2448" s="157"/>
      <c r="D2448" s="159"/>
      <c r="E2448" s="159"/>
      <c r="F2448" s="159"/>
      <c r="G2448" s="160"/>
      <c r="H2448" s="34" t="s">
        <v>925</v>
      </c>
    </row>
    <row r="2449" spans="1:8" ht="42.75">
      <c r="A2449" s="160" t="s">
        <v>2496</v>
      </c>
      <c r="B2449" s="160" t="s">
        <v>2281</v>
      </c>
      <c r="C2449" s="157" t="s">
        <v>3</v>
      </c>
      <c r="D2449" s="159">
        <v>12</v>
      </c>
      <c r="E2449" s="159">
        <v>3789.64</v>
      </c>
      <c r="F2449" s="159"/>
      <c r="G2449" s="160" t="s">
        <v>2</v>
      </c>
      <c r="H2449" s="34" t="s">
        <v>925</v>
      </c>
    </row>
    <row r="2450" spans="1:8" ht="33">
      <c r="A2450" s="160">
        <v>1</v>
      </c>
      <c r="B2450" s="160" t="s">
        <v>2283</v>
      </c>
      <c r="C2450" s="157" t="s">
        <v>1875</v>
      </c>
      <c r="D2450" s="159">
        <v>4</v>
      </c>
      <c r="E2450" s="159">
        <v>2314</v>
      </c>
      <c r="F2450" s="159">
        <v>9256</v>
      </c>
      <c r="G2450" s="160" t="s">
        <v>5460</v>
      </c>
      <c r="H2450" s="34" t="s">
        <v>925</v>
      </c>
    </row>
    <row r="2451" spans="1:8" ht="57">
      <c r="A2451" s="160">
        <v>2</v>
      </c>
      <c r="B2451" s="160" t="s">
        <v>2285</v>
      </c>
      <c r="C2451" s="157" t="s">
        <v>14</v>
      </c>
      <c r="D2451" s="159">
        <v>1</v>
      </c>
      <c r="E2451" s="159">
        <v>13513.78</v>
      </c>
      <c r="F2451" s="159">
        <v>13513.78</v>
      </c>
      <c r="G2451" s="160" t="s">
        <v>2</v>
      </c>
      <c r="H2451" s="34" t="s">
        <v>925</v>
      </c>
    </row>
    <row r="2452" spans="1:8" ht="42.75">
      <c r="A2452" s="160">
        <v>3</v>
      </c>
      <c r="B2452" s="160" t="s">
        <v>2287</v>
      </c>
      <c r="C2452" s="157" t="s">
        <v>14</v>
      </c>
      <c r="D2452" s="159">
        <v>1</v>
      </c>
      <c r="E2452" s="159">
        <v>18049.23</v>
      </c>
      <c r="F2452" s="159">
        <v>18049.23</v>
      </c>
      <c r="G2452" s="160" t="s">
        <v>5461</v>
      </c>
    </row>
    <row r="2453" spans="1:8" ht="57">
      <c r="A2453" s="160">
        <v>4</v>
      </c>
      <c r="B2453" s="160" t="s">
        <v>2289</v>
      </c>
      <c r="C2453" s="157" t="s">
        <v>14</v>
      </c>
      <c r="D2453" s="159">
        <v>1</v>
      </c>
      <c r="E2453" s="159">
        <v>3332.17</v>
      </c>
      <c r="F2453" s="159">
        <v>3332.17</v>
      </c>
      <c r="G2453" s="160" t="s">
        <v>2</v>
      </c>
      <c r="H2453" s="34" t="s">
        <v>925</v>
      </c>
    </row>
    <row r="2454" spans="1:8" ht="33">
      <c r="A2454" s="160">
        <v>5</v>
      </c>
      <c r="B2454" s="160" t="s">
        <v>931</v>
      </c>
      <c r="C2454" s="157" t="s">
        <v>14</v>
      </c>
      <c r="D2454" s="159">
        <v>1</v>
      </c>
      <c r="E2454" s="159">
        <v>1324.54</v>
      </c>
      <c r="F2454" s="159">
        <v>1324.54</v>
      </c>
      <c r="G2454" s="160" t="s">
        <v>2</v>
      </c>
      <c r="H2454" s="34" t="s">
        <v>925</v>
      </c>
    </row>
    <row r="2455" spans="1:8" ht="33">
      <c r="A2455" s="160"/>
      <c r="B2455" s="160" t="s">
        <v>933</v>
      </c>
      <c r="C2455" s="157" t="s">
        <v>3</v>
      </c>
      <c r="D2455" s="159">
        <v>12</v>
      </c>
      <c r="E2455" s="159"/>
      <c r="F2455" s="159">
        <v>45475.719999999994</v>
      </c>
      <c r="G2455" s="160"/>
      <c r="H2455" s="34" t="s">
        <v>925</v>
      </c>
    </row>
    <row r="2456" spans="1:8" ht="33">
      <c r="A2456" s="160"/>
      <c r="B2456" s="160" t="s">
        <v>934</v>
      </c>
      <c r="C2456" s="157" t="s">
        <v>3</v>
      </c>
      <c r="D2456" s="159"/>
      <c r="E2456" s="159"/>
      <c r="F2456" s="159">
        <v>3789.64</v>
      </c>
      <c r="G2456" s="160"/>
      <c r="H2456" s="34" t="s">
        <v>925</v>
      </c>
    </row>
    <row r="2457" spans="1:8" ht="33">
      <c r="A2457" s="160"/>
      <c r="B2457" s="160"/>
      <c r="C2457" s="157"/>
      <c r="D2457" s="159"/>
      <c r="E2457" s="159"/>
      <c r="F2457" s="159"/>
      <c r="G2457" s="160"/>
      <c r="H2457" s="34" t="s">
        <v>925</v>
      </c>
    </row>
    <row r="2458" spans="1:8" ht="42.75">
      <c r="A2458" s="160" t="s">
        <v>2505</v>
      </c>
      <c r="B2458" s="160" t="s">
        <v>2292</v>
      </c>
      <c r="C2458" s="157" t="s">
        <v>3</v>
      </c>
      <c r="D2458" s="159">
        <v>1</v>
      </c>
      <c r="E2458" s="159">
        <v>233.57</v>
      </c>
      <c r="F2458" s="159"/>
      <c r="G2458" s="160" t="s">
        <v>2</v>
      </c>
      <c r="H2458" s="34" t="s">
        <v>925</v>
      </c>
    </row>
    <row r="2459" spans="1:8" ht="42.75">
      <c r="A2459" s="160">
        <v>1</v>
      </c>
      <c r="B2459" s="160" t="s">
        <v>2294</v>
      </c>
      <c r="C2459" s="157" t="s">
        <v>3</v>
      </c>
      <c r="D2459" s="159">
        <v>1</v>
      </c>
      <c r="E2459" s="159">
        <v>185.12</v>
      </c>
      <c r="F2459" s="159">
        <v>185.12</v>
      </c>
      <c r="G2459" s="160" t="s">
        <v>2</v>
      </c>
    </row>
    <row r="2460" spans="1:8" ht="42.75">
      <c r="A2460" s="160">
        <v>2</v>
      </c>
      <c r="B2460" s="160" t="s">
        <v>2287</v>
      </c>
      <c r="C2460" s="157" t="s">
        <v>14</v>
      </c>
      <c r="D2460" s="159">
        <v>1</v>
      </c>
      <c r="E2460" s="159">
        <v>41.65</v>
      </c>
      <c r="F2460" s="159">
        <v>41.65</v>
      </c>
      <c r="G2460" s="160" t="s">
        <v>5461</v>
      </c>
      <c r="H2460" s="34" t="s">
        <v>925</v>
      </c>
    </row>
    <row r="2461" spans="1:8" ht="33">
      <c r="A2461" s="160">
        <v>3</v>
      </c>
      <c r="B2461" s="160" t="s">
        <v>931</v>
      </c>
      <c r="C2461" s="157" t="s">
        <v>14</v>
      </c>
      <c r="D2461" s="159">
        <v>1</v>
      </c>
      <c r="E2461" s="159">
        <v>6.8</v>
      </c>
      <c r="F2461" s="159">
        <v>6.8</v>
      </c>
      <c r="G2461" s="160" t="s">
        <v>2</v>
      </c>
      <c r="H2461" s="34" t="s">
        <v>925</v>
      </c>
    </row>
    <row r="2462" spans="1:8" ht="33">
      <c r="A2462" s="160"/>
      <c r="B2462" s="160" t="s">
        <v>933</v>
      </c>
      <c r="C2462" s="157" t="s">
        <v>3</v>
      </c>
      <c r="D2462" s="159">
        <v>1</v>
      </c>
      <c r="E2462" s="159"/>
      <c r="F2462" s="159">
        <v>233.57000000000002</v>
      </c>
      <c r="G2462" s="160"/>
      <c r="H2462" s="34" t="s">
        <v>925</v>
      </c>
    </row>
    <row r="2463" spans="1:8" ht="33">
      <c r="A2463" s="160"/>
      <c r="B2463" s="160" t="s">
        <v>934</v>
      </c>
      <c r="C2463" s="157" t="s">
        <v>3</v>
      </c>
      <c r="D2463" s="159"/>
      <c r="E2463" s="159"/>
      <c r="F2463" s="159">
        <v>233.57</v>
      </c>
      <c r="G2463" s="160"/>
      <c r="H2463" s="34" t="s">
        <v>925</v>
      </c>
    </row>
    <row r="2464" spans="1:8" ht="33">
      <c r="A2464" s="160"/>
      <c r="B2464" s="160"/>
      <c r="C2464" s="157"/>
      <c r="D2464" s="159"/>
      <c r="E2464" s="159"/>
      <c r="F2464" s="159"/>
      <c r="G2464" s="160"/>
      <c r="H2464" s="34" t="s">
        <v>925</v>
      </c>
    </row>
    <row r="2465" spans="1:8" ht="33">
      <c r="A2465" s="160" t="s">
        <v>2508</v>
      </c>
      <c r="B2465" s="160" t="s">
        <v>3654</v>
      </c>
      <c r="C2465" s="157" t="s">
        <v>1689</v>
      </c>
      <c r="D2465" s="159">
        <v>1</v>
      </c>
      <c r="E2465" s="159">
        <v>461.63</v>
      </c>
      <c r="F2465" s="159"/>
      <c r="G2465" s="160" t="s">
        <v>3970</v>
      </c>
      <c r="H2465" s="34" t="s">
        <v>925</v>
      </c>
    </row>
    <row r="2466" spans="1:8" ht="42.75">
      <c r="A2466" s="160">
        <v>1</v>
      </c>
      <c r="B2466" s="160" t="s">
        <v>4987</v>
      </c>
      <c r="C2466" s="157" t="s">
        <v>1689</v>
      </c>
      <c r="D2466" s="159">
        <v>1</v>
      </c>
      <c r="E2466" s="159">
        <v>161.97999999999999</v>
      </c>
      <c r="F2466" s="159">
        <v>161.97999999999999</v>
      </c>
      <c r="G2466" s="160" t="s">
        <v>5462</v>
      </c>
      <c r="H2466" s="34" t="s">
        <v>925</v>
      </c>
    </row>
    <row r="2467" spans="1:8" ht="16.5">
      <c r="A2467" s="160">
        <v>2</v>
      </c>
      <c r="B2467" s="160" t="s">
        <v>4036</v>
      </c>
      <c r="C2467" s="157" t="s">
        <v>14</v>
      </c>
      <c r="D2467" s="159">
        <v>1</v>
      </c>
      <c r="E2467" s="159">
        <v>96.45</v>
      </c>
      <c r="F2467" s="159">
        <v>96.45</v>
      </c>
      <c r="G2467" s="160" t="s">
        <v>2</v>
      </c>
    </row>
    <row r="2468" spans="1:8" ht="33">
      <c r="A2468" s="160">
        <v>3</v>
      </c>
      <c r="B2468" s="160" t="s">
        <v>4989</v>
      </c>
      <c r="C2468" s="157" t="s">
        <v>14</v>
      </c>
      <c r="D2468" s="159">
        <v>1</v>
      </c>
      <c r="E2468" s="159">
        <v>189.75</v>
      </c>
      <c r="F2468" s="159">
        <v>189.75</v>
      </c>
      <c r="G2468" s="160" t="s">
        <v>5463</v>
      </c>
      <c r="H2468" s="34" t="s">
        <v>925</v>
      </c>
    </row>
    <row r="2469" spans="1:8" ht="33">
      <c r="A2469" s="160">
        <v>4</v>
      </c>
      <c r="B2469" s="160" t="s">
        <v>931</v>
      </c>
      <c r="C2469" s="157" t="s">
        <v>14</v>
      </c>
      <c r="D2469" s="159">
        <v>1</v>
      </c>
      <c r="E2469" s="159">
        <v>13.45</v>
      </c>
      <c r="F2469" s="159">
        <v>13.45</v>
      </c>
      <c r="G2469" s="160" t="s">
        <v>2</v>
      </c>
      <c r="H2469" s="34" t="s">
        <v>925</v>
      </c>
    </row>
    <row r="2470" spans="1:8" ht="33">
      <c r="A2470" s="160"/>
      <c r="B2470" s="160" t="s">
        <v>933</v>
      </c>
      <c r="C2470" s="157" t="s">
        <v>1689</v>
      </c>
      <c r="D2470" s="159">
        <v>1</v>
      </c>
      <c r="E2470" s="159"/>
      <c r="F2470" s="159">
        <v>461.63</v>
      </c>
      <c r="G2470" s="160"/>
      <c r="H2470" s="34" t="s">
        <v>925</v>
      </c>
    </row>
    <row r="2471" spans="1:8" ht="33">
      <c r="A2471" s="160"/>
      <c r="B2471" s="160" t="s">
        <v>934</v>
      </c>
      <c r="C2471" s="157" t="s">
        <v>1689</v>
      </c>
      <c r="D2471" s="159"/>
      <c r="E2471" s="159"/>
      <c r="F2471" s="159">
        <v>461.63</v>
      </c>
      <c r="G2471" s="160"/>
      <c r="H2471" s="34" t="s">
        <v>925</v>
      </c>
    </row>
    <row r="2472" spans="1:8" ht="33">
      <c r="A2472" s="160"/>
      <c r="B2472" s="160"/>
      <c r="C2472" s="157"/>
      <c r="D2472" s="159"/>
      <c r="E2472" s="159"/>
      <c r="F2472" s="159"/>
      <c r="G2472" s="160"/>
      <c r="H2472" s="34" t="s">
        <v>925</v>
      </c>
    </row>
    <row r="2473" spans="1:8" ht="33">
      <c r="A2473" s="160" t="s">
        <v>2511</v>
      </c>
      <c r="B2473" s="160" t="s">
        <v>3652</v>
      </c>
      <c r="C2473" s="157" t="s">
        <v>1689</v>
      </c>
      <c r="D2473" s="159">
        <v>1</v>
      </c>
      <c r="E2473" s="159">
        <v>592.91</v>
      </c>
      <c r="F2473" s="159"/>
      <c r="G2473" s="160" t="s">
        <v>3968</v>
      </c>
      <c r="H2473" s="34" t="s">
        <v>925</v>
      </c>
    </row>
    <row r="2474" spans="1:8" ht="42.75">
      <c r="A2474" s="160">
        <v>1</v>
      </c>
      <c r="B2474" s="160" t="s">
        <v>4987</v>
      </c>
      <c r="C2474" s="157" t="s">
        <v>1689</v>
      </c>
      <c r="D2474" s="159">
        <v>1</v>
      </c>
      <c r="E2474" s="159">
        <v>192.44</v>
      </c>
      <c r="F2474" s="159">
        <v>192.44</v>
      </c>
      <c r="G2474" s="160" t="s">
        <v>5462</v>
      </c>
      <c r="H2474" s="34" t="s">
        <v>925</v>
      </c>
    </row>
    <row r="2475" spans="1:8" ht="16.5">
      <c r="A2475" s="160">
        <v>2</v>
      </c>
      <c r="B2475" s="160" t="s">
        <v>4036</v>
      </c>
      <c r="C2475" s="157" t="s">
        <v>14</v>
      </c>
      <c r="D2475" s="159">
        <v>1</v>
      </c>
      <c r="E2475" s="159">
        <v>128.66</v>
      </c>
      <c r="F2475" s="159">
        <v>128.66</v>
      </c>
      <c r="G2475" s="160" t="s">
        <v>2</v>
      </c>
    </row>
    <row r="2476" spans="1:8" ht="33">
      <c r="A2476" s="160">
        <v>3</v>
      </c>
      <c r="B2476" s="160" t="s">
        <v>4989</v>
      </c>
      <c r="C2476" s="157" t="s">
        <v>14</v>
      </c>
      <c r="D2476" s="159">
        <v>1</v>
      </c>
      <c r="E2476" s="159">
        <v>254.54</v>
      </c>
      <c r="F2476" s="159">
        <v>254.54</v>
      </c>
      <c r="G2476" s="160" t="s">
        <v>5463</v>
      </c>
      <c r="H2476" s="34" t="s">
        <v>925</v>
      </c>
    </row>
    <row r="2477" spans="1:8" ht="33">
      <c r="A2477" s="160">
        <v>4</v>
      </c>
      <c r="B2477" s="160" t="s">
        <v>931</v>
      </c>
      <c r="C2477" s="157" t="s">
        <v>14</v>
      </c>
      <c r="D2477" s="159">
        <v>1</v>
      </c>
      <c r="E2477" s="159">
        <v>17.27</v>
      </c>
      <c r="F2477" s="159">
        <v>17.27</v>
      </c>
      <c r="G2477" s="160" t="s">
        <v>2</v>
      </c>
      <c r="H2477" s="34" t="s">
        <v>925</v>
      </c>
    </row>
    <row r="2478" spans="1:8" ht="33">
      <c r="A2478" s="160"/>
      <c r="B2478" s="160" t="s">
        <v>933</v>
      </c>
      <c r="C2478" s="157" t="s">
        <v>1689</v>
      </c>
      <c r="D2478" s="159">
        <v>1</v>
      </c>
      <c r="E2478" s="159"/>
      <c r="F2478" s="159">
        <v>592.91</v>
      </c>
      <c r="G2478" s="160"/>
      <c r="H2478" s="34" t="s">
        <v>925</v>
      </c>
    </row>
    <row r="2479" spans="1:8" ht="33">
      <c r="A2479" s="160"/>
      <c r="B2479" s="160" t="s">
        <v>934</v>
      </c>
      <c r="C2479" s="157" t="s">
        <v>1689</v>
      </c>
      <c r="D2479" s="159"/>
      <c r="E2479" s="159"/>
      <c r="F2479" s="159">
        <v>592.91</v>
      </c>
      <c r="G2479" s="160"/>
      <c r="H2479" s="34" t="s">
        <v>925</v>
      </c>
    </row>
    <row r="2480" spans="1:8" ht="33">
      <c r="A2480" s="160"/>
      <c r="B2480" s="160"/>
      <c r="C2480" s="157"/>
      <c r="D2480" s="159"/>
      <c r="E2480" s="159"/>
      <c r="F2480" s="159"/>
      <c r="G2480" s="160"/>
      <c r="H2480" s="34" t="s">
        <v>925</v>
      </c>
    </row>
    <row r="2481" spans="1:8" ht="33">
      <c r="A2481" s="160" t="s">
        <v>2514</v>
      </c>
      <c r="B2481" s="160" t="s">
        <v>3649</v>
      </c>
      <c r="C2481" s="157" t="s">
        <v>3</v>
      </c>
      <c r="D2481" s="159">
        <v>1</v>
      </c>
      <c r="E2481" s="159">
        <v>728.18</v>
      </c>
      <c r="F2481" s="159"/>
      <c r="G2481" s="160" t="s">
        <v>2</v>
      </c>
      <c r="H2481" s="34" t="s">
        <v>925</v>
      </c>
    </row>
    <row r="2482" spans="1:8" ht="33">
      <c r="A2482" s="160">
        <v>1</v>
      </c>
      <c r="B2482" s="160" t="s">
        <v>4034</v>
      </c>
      <c r="C2482" s="157" t="s">
        <v>3</v>
      </c>
      <c r="D2482" s="159">
        <v>1.1000000000000001</v>
      </c>
      <c r="E2482" s="159">
        <v>219.28</v>
      </c>
      <c r="F2482" s="159">
        <v>241.21</v>
      </c>
      <c r="G2482" s="160" t="s">
        <v>5464</v>
      </c>
      <c r="H2482" s="34" t="s">
        <v>925</v>
      </c>
    </row>
    <row r="2483" spans="1:8" ht="33">
      <c r="A2483" s="160">
        <v>2</v>
      </c>
      <c r="B2483" s="160" t="s">
        <v>4036</v>
      </c>
      <c r="C2483" s="157" t="s">
        <v>14</v>
      </c>
      <c r="D2483" s="159">
        <v>1</v>
      </c>
      <c r="E2483" s="159">
        <v>128.66</v>
      </c>
      <c r="F2483" s="159">
        <v>128.66</v>
      </c>
      <c r="G2483" s="160" t="s">
        <v>2</v>
      </c>
      <c r="H2483" s="34" t="s">
        <v>925</v>
      </c>
    </row>
    <row r="2484" spans="1:8" ht="33">
      <c r="A2484" s="160">
        <v>3</v>
      </c>
      <c r="B2484" s="160" t="s">
        <v>4964</v>
      </c>
      <c r="C2484" s="157" t="s">
        <v>927</v>
      </c>
      <c r="D2484" s="159">
        <v>0.2</v>
      </c>
      <c r="E2484" s="159">
        <v>371.17</v>
      </c>
      <c r="F2484" s="159">
        <v>74.23</v>
      </c>
      <c r="G2484" s="160" t="s">
        <v>5454</v>
      </c>
      <c r="H2484" s="34" t="s">
        <v>925</v>
      </c>
    </row>
    <row r="2485" spans="1:8" ht="16.5">
      <c r="A2485" s="160">
        <v>4</v>
      </c>
      <c r="B2485" s="160" t="s">
        <v>1774</v>
      </c>
      <c r="C2485" s="157" t="s">
        <v>927</v>
      </c>
      <c r="D2485" s="159">
        <v>0.2</v>
      </c>
      <c r="E2485" s="159">
        <v>1314.35</v>
      </c>
      <c r="F2485" s="159">
        <v>262.87</v>
      </c>
      <c r="G2485" s="160" t="s">
        <v>2</v>
      </c>
    </row>
    <row r="2486" spans="1:8" ht="33">
      <c r="A2486" s="160">
        <v>5</v>
      </c>
      <c r="B2486" s="160" t="s">
        <v>931</v>
      </c>
      <c r="C2486" s="157" t="s">
        <v>14</v>
      </c>
      <c r="D2486" s="159">
        <v>1</v>
      </c>
      <c r="E2486" s="159">
        <v>21.21</v>
      </c>
      <c r="F2486" s="159">
        <v>21.21</v>
      </c>
      <c r="G2486" s="160" t="s">
        <v>2</v>
      </c>
      <c r="H2486" s="34" t="s">
        <v>925</v>
      </c>
    </row>
    <row r="2487" spans="1:8" ht="33">
      <c r="A2487" s="160"/>
      <c r="B2487" s="160" t="s">
        <v>933</v>
      </c>
      <c r="C2487" s="157" t="s">
        <v>3</v>
      </c>
      <c r="D2487" s="159">
        <v>1</v>
      </c>
      <c r="E2487" s="159"/>
      <c r="F2487" s="159">
        <v>728.18000000000006</v>
      </c>
      <c r="G2487" s="160"/>
      <c r="H2487" s="34" t="s">
        <v>925</v>
      </c>
    </row>
    <row r="2488" spans="1:8" ht="33">
      <c r="A2488" s="160"/>
      <c r="B2488" s="160" t="s">
        <v>934</v>
      </c>
      <c r="C2488" s="157" t="s">
        <v>3</v>
      </c>
      <c r="D2488" s="159"/>
      <c r="E2488" s="159"/>
      <c r="F2488" s="159">
        <v>728.18</v>
      </c>
      <c r="G2488" s="160"/>
      <c r="H2488" s="34" t="s">
        <v>925</v>
      </c>
    </row>
    <row r="2489" spans="1:8" ht="33">
      <c r="A2489" s="160"/>
      <c r="B2489" s="160"/>
      <c r="C2489" s="157"/>
      <c r="D2489" s="159"/>
      <c r="E2489" s="159"/>
      <c r="F2489" s="159"/>
      <c r="G2489" s="160"/>
      <c r="H2489" s="34" t="s">
        <v>925</v>
      </c>
    </row>
    <row r="2490" spans="1:8" ht="33">
      <c r="A2490" s="160" t="s">
        <v>2517</v>
      </c>
      <c r="B2490" s="160" t="s">
        <v>3650</v>
      </c>
      <c r="C2490" s="157" t="s">
        <v>3</v>
      </c>
      <c r="D2490" s="159">
        <v>1</v>
      </c>
      <c r="E2490" s="159">
        <v>806.62</v>
      </c>
      <c r="F2490" s="159"/>
      <c r="G2490" s="160" t="s">
        <v>2</v>
      </c>
      <c r="H2490" s="34" t="s">
        <v>925</v>
      </c>
    </row>
    <row r="2491" spans="1:8" ht="33">
      <c r="A2491" s="160">
        <v>1</v>
      </c>
      <c r="B2491" s="160" t="s">
        <v>4039</v>
      </c>
      <c r="C2491" s="157" t="s">
        <v>3</v>
      </c>
      <c r="D2491" s="159">
        <v>1.1000000000000001</v>
      </c>
      <c r="E2491" s="159">
        <v>288.52</v>
      </c>
      <c r="F2491" s="159">
        <v>317.37</v>
      </c>
      <c r="G2491" s="160" t="s">
        <v>5464</v>
      </c>
      <c r="H2491" s="34" t="s">
        <v>925</v>
      </c>
    </row>
    <row r="2492" spans="1:8" ht="33">
      <c r="A2492" s="160">
        <v>2</v>
      </c>
      <c r="B2492" s="160" t="s">
        <v>4036</v>
      </c>
      <c r="C2492" s="157" t="s">
        <v>14</v>
      </c>
      <c r="D2492" s="159">
        <v>1</v>
      </c>
      <c r="E2492" s="159">
        <v>128.66</v>
      </c>
      <c r="F2492" s="159">
        <v>128.66</v>
      </c>
      <c r="G2492" s="160" t="s">
        <v>2</v>
      </c>
      <c r="H2492" s="34" t="s">
        <v>925</v>
      </c>
    </row>
    <row r="2493" spans="1:8" ht="33">
      <c r="A2493" s="160">
        <v>3</v>
      </c>
      <c r="B2493" s="160" t="s">
        <v>4964</v>
      </c>
      <c r="C2493" s="157" t="s">
        <v>927</v>
      </c>
      <c r="D2493" s="159">
        <v>0.2</v>
      </c>
      <c r="E2493" s="159">
        <v>371.17</v>
      </c>
      <c r="F2493" s="159">
        <v>74.23</v>
      </c>
      <c r="G2493" s="160" t="s">
        <v>5454</v>
      </c>
      <c r="H2493" s="34" t="s">
        <v>925</v>
      </c>
    </row>
    <row r="2494" spans="1:8" ht="33">
      <c r="A2494" s="160">
        <v>4</v>
      </c>
      <c r="B2494" s="160" t="s">
        <v>1774</v>
      </c>
      <c r="C2494" s="157" t="s">
        <v>927</v>
      </c>
      <c r="D2494" s="159">
        <v>0.2</v>
      </c>
      <c r="E2494" s="159">
        <v>1314.35</v>
      </c>
      <c r="F2494" s="159">
        <v>262.87</v>
      </c>
      <c r="G2494" s="160" t="s">
        <v>2</v>
      </c>
      <c r="H2494" s="34" t="s">
        <v>925</v>
      </c>
    </row>
    <row r="2495" spans="1:8" ht="16.5">
      <c r="A2495" s="160">
        <v>5</v>
      </c>
      <c r="B2495" s="160" t="s">
        <v>931</v>
      </c>
      <c r="C2495" s="157" t="s">
        <v>14</v>
      </c>
      <c r="D2495" s="159">
        <v>1</v>
      </c>
      <c r="E2495" s="159">
        <v>23.49</v>
      </c>
      <c r="F2495" s="159">
        <v>23.49</v>
      </c>
      <c r="G2495" s="160" t="s">
        <v>2</v>
      </c>
    </row>
    <row r="2496" spans="1:8" ht="33">
      <c r="A2496" s="160"/>
      <c r="B2496" s="160" t="s">
        <v>933</v>
      </c>
      <c r="C2496" s="157" t="s">
        <v>3</v>
      </c>
      <c r="D2496" s="159">
        <v>1</v>
      </c>
      <c r="E2496" s="159"/>
      <c r="F2496" s="159">
        <v>806.62</v>
      </c>
      <c r="G2496" s="160"/>
      <c r="H2496" s="34" t="s">
        <v>925</v>
      </c>
    </row>
    <row r="2497" spans="1:8" ht="33">
      <c r="A2497" s="160"/>
      <c r="B2497" s="160" t="s">
        <v>934</v>
      </c>
      <c r="C2497" s="157" t="s">
        <v>3</v>
      </c>
      <c r="D2497" s="159"/>
      <c r="E2497" s="159"/>
      <c r="F2497" s="159">
        <v>806.62</v>
      </c>
      <c r="G2497" s="160"/>
      <c r="H2497" s="34" t="s">
        <v>925</v>
      </c>
    </row>
    <row r="2498" spans="1:8" ht="33">
      <c r="A2498" s="160"/>
      <c r="B2498" s="160"/>
      <c r="C2498" s="157"/>
      <c r="D2498" s="159"/>
      <c r="E2498" s="159"/>
      <c r="F2498" s="159"/>
      <c r="G2498" s="160"/>
      <c r="H2498" s="34" t="s">
        <v>925</v>
      </c>
    </row>
    <row r="2499" spans="1:8" ht="33">
      <c r="A2499" s="160" t="s">
        <v>2526</v>
      </c>
      <c r="B2499" s="160" t="s">
        <v>3651</v>
      </c>
      <c r="C2499" s="157" t="s">
        <v>3</v>
      </c>
      <c r="D2499" s="159">
        <v>1</v>
      </c>
      <c r="E2499" s="159">
        <v>898.16</v>
      </c>
      <c r="F2499" s="159"/>
      <c r="G2499" s="160" t="s">
        <v>2</v>
      </c>
      <c r="H2499" s="34" t="s">
        <v>925</v>
      </c>
    </row>
    <row r="2500" spans="1:8" ht="33">
      <c r="A2500" s="160">
        <v>1</v>
      </c>
      <c r="B2500" s="160" t="s">
        <v>4042</v>
      </c>
      <c r="C2500" s="157" t="s">
        <v>3</v>
      </c>
      <c r="D2500" s="159">
        <v>1.1000000000000001</v>
      </c>
      <c r="E2500" s="159">
        <v>369.31</v>
      </c>
      <c r="F2500" s="159">
        <v>406.24</v>
      </c>
      <c r="G2500" s="160" t="s">
        <v>5464</v>
      </c>
      <c r="H2500" s="34" t="s">
        <v>925</v>
      </c>
    </row>
    <row r="2501" spans="1:8" ht="33">
      <c r="A2501" s="160">
        <v>2</v>
      </c>
      <c r="B2501" s="160" t="s">
        <v>4036</v>
      </c>
      <c r="C2501" s="157" t="s">
        <v>14</v>
      </c>
      <c r="D2501" s="159">
        <v>1</v>
      </c>
      <c r="E2501" s="159">
        <v>128.66</v>
      </c>
      <c r="F2501" s="159">
        <v>128.66</v>
      </c>
      <c r="G2501" s="160" t="s">
        <v>2</v>
      </c>
      <c r="H2501" s="34" t="s">
        <v>925</v>
      </c>
    </row>
    <row r="2502" spans="1:8" ht="33">
      <c r="A2502" s="160">
        <v>3</v>
      </c>
      <c r="B2502" s="160" t="s">
        <v>4964</v>
      </c>
      <c r="C2502" s="157" t="s">
        <v>927</v>
      </c>
      <c r="D2502" s="159">
        <v>0.2</v>
      </c>
      <c r="E2502" s="159">
        <v>371.17</v>
      </c>
      <c r="F2502" s="159">
        <v>74.23</v>
      </c>
      <c r="G2502" s="160" t="s">
        <v>5454</v>
      </c>
      <c r="H2502" s="34" t="s">
        <v>925</v>
      </c>
    </row>
    <row r="2503" spans="1:8" ht="33">
      <c r="A2503" s="160">
        <v>4</v>
      </c>
      <c r="B2503" s="160" t="s">
        <v>1774</v>
      </c>
      <c r="C2503" s="157" t="s">
        <v>927</v>
      </c>
      <c r="D2503" s="159">
        <v>0.2</v>
      </c>
      <c r="E2503" s="159">
        <v>1314.35</v>
      </c>
      <c r="F2503" s="159">
        <v>262.87</v>
      </c>
      <c r="G2503" s="160" t="s">
        <v>2</v>
      </c>
      <c r="H2503" s="34" t="s">
        <v>925</v>
      </c>
    </row>
    <row r="2504" spans="1:8" ht="33">
      <c r="A2504" s="160">
        <v>5</v>
      </c>
      <c r="B2504" s="160" t="s">
        <v>931</v>
      </c>
      <c r="C2504" s="157" t="s">
        <v>14</v>
      </c>
      <c r="D2504" s="159">
        <v>1</v>
      </c>
      <c r="E2504" s="159">
        <v>26.16</v>
      </c>
      <c r="F2504" s="159">
        <v>26.16</v>
      </c>
      <c r="G2504" s="160" t="s">
        <v>2</v>
      </c>
      <c r="H2504" s="34" t="s">
        <v>925</v>
      </c>
    </row>
    <row r="2505" spans="1:8" ht="16.5">
      <c r="A2505" s="160"/>
      <c r="B2505" s="160" t="s">
        <v>933</v>
      </c>
      <c r="C2505" s="157" t="s">
        <v>3</v>
      </c>
      <c r="D2505" s="159">
        <v>1</v>
      </c>
      <c r="E2505" s="159"/>
      <c r="F2505" s="159">
        <v>898.16</v>
      </c>
      <c r="G2505" s="160"/>
    </row>
    <row r="2506" spans="1:8" ht="33">
      <c r="A2506" s="160"/>
      <c r="B2506" s="160" t="s">
        <v>934</v>
      </c>
      <c r="C2506" s="157" t="s">
        <v>3</v>
      </c>
      <c r="D2506" s="159"/>
      <c r="E2506" s="159"/>
      <c r="F2506" s="159">
        <v>898.16</v>
      </c>
      <c r="G2506" s="160"/>
      <c r="H2506" s="34" t="s">
        <v>925</v>
      </c>
    </row>
    <row r="2507" spans="1:8" ht="33">
      <c r="A2507" s="160"/>
      <c r="B2507" s="160"/>
      <c r="C2507" s="157"/>
      <c r="D2507" s="159"/>
      <c r="E2507" s="159"/>
      <c r="F2507" s="159"/>
      <c r="G2507" s="160"/>
      <c r="H2507" s="34" t="s">
        <v>925</v>
      </c>
    </row>
    <row r="2508" spans="1:8" ht="33">
      <c r="A2508" s="160" t="s">
        <v>2529</v>
      </c>
      <c r="B2508" s="160" t="s">
        <v>2299</v>
      </c>
      <c r="C2508" s="157" t="s">
        <v>1689</v>
      </c>
      <c r="D2508" s="159">
        <v>1</v>
      </c>
      <c r="E2508" s="159">
        <v>68165.94</v>
      </c>
      <c r="F2508" s="159"/>
      <c r="G2508" s="160" t="s">
        <v>2</v>
      </c>
      <c r="H2508" s="34" t="s">
        <v>925</v>
      </c>
    </row>
    <row r="2509" spans="1:8" ht="33">
      <c r="A2509" s="160">
        <v>1</v>
      </c>
      <c r="B2509" s="160" t="s">
        <v>2301</v>
      </c>
      <c r="C2509" s="157" t="s">
        <v>1689</v>
      </c>
      <c r="D2509" s="159">
        <v>1</v>
      </c>
      <c r="E2509" s="159">
        <v>62478.11</v>
      </c>
      <c r="F2509" s="159">
        <v>62478.11</v>
      </c>
      <c r="G2509" s="160" t="s">
        <v>2</v>
      </c>
      <c r="H2509" s="34" t="s">
        <v>925</v>
      </c>
    </row>
    <row r="2510" spans="1:8" ht="33">
      <c r="A2510" s="160">
        <v>2</v>
      </c>
      <c r="B2510" s="160" t="s">
        <v>2303</v>
      </c>
      <c r="C2510" s="157" t="s">
        <v>14</v>
      </c>
      <c r="D2510" s="159">
        <v>1</v>
      </c>
      <c r="E2510" s="159">
        <v>3702.41</v>
      </c>
      <c r="F2510" s="159">
        <v>3702.41</v>
      </c>
      <c r="G2510" s="160" t="s">
        <v>2</v>
      </c>
      <c r="H2510" s="34" t="s">
        <v>925</v>
      </c>
    </row>
    <row r="2511" spans="1:8" ht="33">
      <c r="A2511" s="160">
        <v>3</v>
      </c>
      <c r="B2511" s="160" t="s">
        <v>931</v>
      </c>
      <c r="C2511" s="157" t="s">
        <v>14</v>
      </c>
      <c r="D2511" s="159">
        <v>1</v>
      </c>
      <c r="E2511" s="159">
        <v>1985.42</v>
      </c>
      <c r="F2511" s="159">
        <v>1985.42</v>
      </c>
      <c r="G2511" s="160" t="s">
        <v>2</v>
      </c>
      <c r="H2511" s="34" t="s">
        <v>925</v>
      </c>
    </row>
    <row r="2512" spans="1:8" ht="33">
      <c r="A2512" s="160"/>
      <c r="B2512" s="160" t="s">
        <v>933</v>
      </c>
      <c r="C2512" s="157" t="s">
        <v>1689</v>
      </c>
      <c r="D2512" s="159">
        <v>1</v>
      </c>
      <c r="E2512" s="159"/>
      <c r="F2512" s="159">
        <v>68165.94</v>
      </c>
      <c r="G2512" s="160"/>
      <c r="H2512" s="34" t="s">
        <v>925</v>
      </c>
    </row>
    <row r="2513" spans="1:8" ht="33">
      <c r="A2513" s="160"/>
      <c r="B2513" s="160" t="s">
        <v>934</v>
      </c>
      <c r="C2513" s="157" t="s">
        <v>1689</v>
      </c>
      <c r="D2513" s="159"/>
      <c r="E2513" s="159"/>
      <c r="F2513" s="159">
        <v>68165.94</v>
      </c>
      <c r="G2513" s="160"/>
      <c r="H2513" s="34" t="s">
        <v>925</v>
      </c>
    </row>
    <row r="2514" spans="1:8" ht="33">
      <c r="A2514" s="160"/>
      <c r="B2514" s="160"/>
      <c r="C2514" s="157"/>
      <c r="D2514" s="159"/>
      <c r="E2514" s="159"/>
      <c r="F2514" s="159"/>
      <c r="G2514" s="160"/>
      <c r="H2514" s="34" t="s">
        <v>925</v>
      </c>
    </row>
    <row r="2515" spans="1:8" ht="28.5">
      <c r="A2515" s="160" t="s">
        <v>2536</v>
      </c>
      <c r="B2515" s="160" t="s">
        <v>2306</v>
      </c>
      <c r="C2515" s="157" t="s">
        <v>1497</v>
      </c>
      <c r="D2515" s="159">
        <v>1</v>
      </c>
      <c r="E2515" s="159">
        <v>490.98</v>
      </c>
      <c r="F2515" s="159"/>
      <c r="G2515" s="160" t="s">
        <v>2</v>
      </c>
    </row>
    <row r="2516" spans="1:8" ht="33">
      <c r="A2516" s="160">
        <v>1</v>
      </c>
      <c r="B2516" s="160" t="s">
        <v>2308</v>
      </c>
      <c r="C2516" s="157" t="s">
        <v>1497</v>
      </c>
      <c r="D2516" s="159">
        <v>1</v>
      </c>
      <c r="E2516" s="159">
        <v>458.17</v>
      </c>
      <c r="F2516" s="159">
        <v>458.17</v>
      </c>
      <c r="G2516" s="160" t="s">
        <v>2</v>
      </c>
      <c r="H2516" s="34" t="s">
        <v>925</v>
      </c>
    </row>
    <row r="2517" spans="1:8" ht="33">
      <c r="A2517" s="160">
        <v>2</v>
      </c>
      <c r="B2517" s="160" t="s">
        <v>2310</v>
      </c>
      <c r="C2517" s="157" t="s">
        <v>14</v>
      </c>
      <c r="D2517" s="159">
        <v>1</v>
      </c>
      <c r="E2517" s="159">
        <v>18.510000000000002</v>
      </c>
      <c r="F2517" s="159">
        <v>18.510000000000002</v>
      </c>
      <c r="G2517" s="160" t="s">
        <v>2</v>
      </c>
      <c r="H2517" s="34" t="s">
        <v>925</v>
      </c>
    </row>
    <row r="2518" spans="1:8" ht="33">
      <c r="A2518" s="160">
        <v>3</v>
      </c>
      <c r="B2518" s="160" t="s">
        <v>931</v>
      </c>
      <c r="C2518" s="157" t="s">
        <v>14</v>
      </c>
      <c r="D2518" s="159">
        <v>1</v>
      </c>
      <c r="E2518" s="159">
        <v>14.3</v>
      </c>
      <c r="F2518" s="159">
        <v>14.3</v>
      </c>
      <c r="G2518" s="160" t="s">
        <v>2</v>
      </c>
      <c r="H2518" s="34" t="s">
        <v>925</v>
      </c>
    </row>
    <row r="2519" spans="1:8" ht="33">
      <c r="A2519" s="160"/>
      <c r="B2519" s="160" t="s">
        <v>933</v>
      </c>
      <c r="C2519" s="157" t="s">
        <v>1497</v>
      </c>
      <c r="D2519" s="159">
        <v>1</v>
      </c>
      <c r="E2519" s="159"/>
      <c r="F2519" s="159">
        <v>490.98</v>
      </c>
      <c r="G2519" s="160"/>
      <c r="H2519" s="34" t="s">
        <v>925</v>
      </c>
    </row>
    <row r="2520" spans="1:8" ht="33">
      <c r="A2520" s="160"/>
      <c r="B2520" s="160" t="s">
        <v>934</v>
      </c>
      <c r="C2520" s="157" t="s">
        <v>1497</v>
      </c>
      <c r="D2520" s="159"/>
      <c r="E2520" s="159"/>
      <c r="F2520" s="159">
        <v>490.98</v>
      </c>
      <c r="G2520" s="160"/>
      <c r="H2520" s="34" t="s">
        <v>925</v>
      </c>
    </row>
    <row r="2521" spans="1:8" ht="33">
      <c r="A2521" s="160"/>
      <c r="B2521" s="160"/>
      <c r="C2521" s="157"/>
      <c r="D2521" s="159"/>
      <c r="E2521" s="159"/>
      <c r="F2521" s="159"/>
      <c r="G2521" s="160"/>
      <c r="H2521" s="34" t="s">
        <v>925</v>
      </c>
    </row>
    <row r="2522" spans="1:8" ht="28.5">
      <c r="A2522" s="160" t="s">
        <v>2539</v>
      </c>
      <c r="B2522" s="160" t="s">
        <v>2313</v>
      </c>
      <c r="C2522" s="157" t="s">
        <v>1497</v>
      </c>
      <c r="D2522" s="159">
        <v>1</v>
      </c>
      <c r="E2522" s="159">
        <v>652.1</v>
      </c>
      <c r="F2522" s="159"/>
      <c r="G2522" s="160" t="s">
        <v>2</v>
      </c>
    </row>
    <row r="2523" spans="1:8" ht="33">
      <c r="A2523" s="160">
        <v>1</v>
      </c>
      <c r="B2523" s="160" t="s">
        <v>2119</v>
      </c>
      <c r="C2523" s="157" t="s">
        <v>1497</v>
      </c>
      <c r="D2523" s="159">
        <v>1</v>
      </c>
      <c r="E2523" s="159">
        <v>429.48</v>
      </c>
      <c r="F2523" s="159">
        <v>429.48</v>
      </c>
      <c r="G2523" s="160" t="s">
        <v>5457</v>
      </c>
      <c r="H2523" s="34" t="s">
        <v>925</v>
      </c>
    </row>
    <row r="2524" spans="1:8" ht="33">
      <c r="A2524" s="160">
        <v>2</v>
      </c>
      <c r="B2524" s="160" t="s">
        <v>2315</v>
      </c>
      <c r="C2524" s="157" t="s">
        <v>14</v>
      </c>
      <c r="D2524" s="159">
        <v>1</v>
      </c>
      <c r="E2524" s="159">
        <v>203.63</v>
      </c>
      <c r="F2524" s="159">
        <v>203.63</v>
      </c>
      <c r="G2524" s="160" t="s">
        <v>2</v>
      </c>
      <c r="H2524" s="34" t="s">
        <v>925</v>
      </c>
    </row>
    <row r="2525" spans="1:8" ht="33">
      <c r="A2525" s="160">
        <v>3</v>
      </c>
      <c r="B2525" s="160" t="s">
        <v>931</v>
      </c>
      <c r="C2525" s="157" t="s">
        <v>14</v>
      </c>
      <c r="D2525" s="159">
        <v>1</v>
      </c>
      <c r="E2525" s="159">
        <v>18.989999999999998</v>
      </c>
      <c r="F2525" s="159">
        <v>18.989999999999998</v>
      </c>
      <c r="G2525" s="160" t="s">
        <v>2</v>
      </c>
      <c r="H2525" s="34" t="s">
        <v>925</v>
      </c>
    </row>
    <row r="2526" spans="1:8" ht="33">
      <c r="A2526" s="160"/>
      <c r="B2526" s="160" t="s">
        <v>933</v>
      </c>
      <c r="C2526" s="157" t="s">
        <v>1497</v>
      </c>
      <c r="D2526" s="159">
        <v>1</v>
      </c>
      <c r="E2526" s="159"/>
      <c r="F2526" s="159">
        <v>652.1</v>
      </c>
      <c r="G2526" s="160"/>
      <c r="H2526" s="34" t="s">
        <v>925</v>
      </c>
    </row>
    <row r="2527" spans="1:8" ht="33">
      <c r="A2527" s="160"/>
      <c r="B2527" s="160" t="s">
        <v>934</v>
      </c>
      <c r="C2527" s="157" t="s">
        <v>1497</v>
      </c>
      <c r="D2527" s="159"/>
      <c r="E2527" s="159"/>
      <c r="F2527" s="159">
        <v>652.1</v>
      </c>
      <c r="G2527" s="160"/>
      <c r="H2527" s="34" t="s">
        <v>925</v>
      </c>
    </row>
    <row r="2528" spans="1:8" ht="33">
      <c r="A2528" s="160"/>
      <c r="B2528" s="160"/>
      <c r="C2528" s="157"/>
      <c r="D2528" s="159"/>
      <c r="E2528" s="159"/>
      <c r="F2528" s="159"/>
      <c r="G2528" s="160"/>
      <c r="H2528" s="34" t="s">
        <v>925</v>
      </c>
    </row>
    <row r="2529" spans="1:8" ht="42.75">
      <c r="A2529" s="160" t="s">
        <v>2543</v>
      </c>
      <c r="B2529" s="160" t="s">
        <v>2318</v>
      </c>
      <c r="C2529" s="157" t="s">
        <v>1497</v>
      </c>
      <c r="D2529" s="159">
        <v>1</v>
      </c>
      <c r="E2529" s="159">
        <v>661.64</v>
      </c>
      <c r="F2529" s="159"/>
      <c r="G2529" s="160" t="s">
        <v>2</v>
      </c>
    </row>
    <row r="2530" spans="1:8" ht="33">
      <c r="A2530" s="160">
        <v>1</v>
      </c>
      <c r="B2530" s="160" t="s">
        <v>2320</v>
      </c>
      <c r="C2530" s="157" t="s">
        <v>14</v>
      </c>
      <c r="D2530" s="159">
        <v>1</v>
      </c>
      <c r="E2530" s="159">
        <v>27.77</v>
      </c>
      <c r="F2530" s="159">
        <v>27.77</v>
      </c>
      <c r="G2530" s="160" t="s">
        <v>2</v>
      </c>
      <c r="H2530" s="34" t="s">
        <v>925</v>
      </c>
    </row>
    <row r="2531" spans="1:8" ht="33">
      <c r="A2531" s="160">
        <v>2</v>
      </c>
      <c r="B2531" s="160" t="s">
        <v>2119</v>
      </c>
      <c r="C2531" s="157" t="s">
        <v>1497</v>
      </c>
      <c r="D2531" s="159">
        <v>1</v>
      </c>
      <c r="E2531" s="159">
        <v>429.48</v>
      </c>
      <c r="F2531" s="159">
        <v>429.48</v>
      </c>
      <c r="G2531" s="160" t="s">
        <v>5457</v>
      </c>
      <c r="H2531" s="34" t="s">
        <v>925</v>
      </c>
    </row>
    <row r="2532" spans="1:8" ht="33">
      <c r="A2532" s="160">
        <v>3</v>
      </c>
      <c r="B2532" s="160" t="s">
        <v>2322</v>
      </c>
      <c r="C2532" s="157" t="s">
        <v>14</v>
      </c>
      <c r="D2532" s="159">
        <v>1</v>
      </c>
      <c r="E2532" s="159">
        <v>138.84</v>
      </c>
      <c r="F2532" s="159">
        <v>138.84</v>
      </c>
      <c r="G2532" s="160" t="s">
        <v>2</v>
      </c>
      <c r="H2532" s="34" t="s">
        <v>925</v>
      </c>
    </row>
    <row r="2533" spans="1:8" ht="33">
      <c r="A2533" s="160">
        <v>4</v>
      </c>
      <c r="B2533" s="160" t="s">
        <v>2324</v>
      </c>
      <c r="C2533" s="157" t="s">
        <v>14</v>
      </c>
      <c r="D2533" s="159">
        <v>1</v>
      </c>
      <c r="E2533" s="159">
        <v>46.28</v>
      </c>
      <c r="F2533" s="159">
        <v>46.28</v>
      </c>
      <c r="G2533" s="160" t="s">
        <v>2</v>
      </c>
      <c r="H2533" s="34" t="s">
        <v>925</v>
      </c>
    </row>
    <row r="2534" spans="1:8" ht="33">
      <c r="A2534" s="160">
        <v>5</v>
      </c>
      <c r="B2534" s="160" t="s">
        <v>931</v>
      </c>
      <c r="C2534" s="157" t="s">
        <v>14</v>
      </c>
      <c r="D2534" s="159">
        <v>1</v>
      </c>
      <c r="E2534" s="159">
        <v>19.27</v>
      </c>
      <c r="F2534" s="159">
        <v>19.27</v>
      </c>
      <c r="G2534" s="160" t="s">
        <v>2</v>
      </c>
      <c r="H2534" s="34" t="s">
        <v>925</v>
      </c>
    </row>
    <row r="2535" spans="1:8" ht="33">
      <c r="A2535" s="160"/>
      <c r="B2535" s="160" t="s">
        <v>933</v>
      </c>
      <c r="C2535" s="157" t="s">
        <v>1497</v>
      </c>
      <c r="D2535" s="159">
        <v>1</v>
      </c>
      <c r="E2535" s="159"/>
      <c r="F2535" s="159">
        <v>661.64</v>
      </c>
      <c r="G2535" s="160"/>
      <c r="H2535" s="34" t="s">
        <v>925</v>
      </c>
    </row>
    <row r="2536" spans="1:8" ht="16.5">
      <c r="A2536" s="160"/>
      <c r="B2536" s="160" t="s">
        <v>934</v>
      </c>
      <c r="C2536" s="157" t="s">
        <v>1497</v>
      </c>
      <c r="D2536" s="159"/>
      <c r="E2536" s="159"/>
      <c r="F2536" s="159">
        <v>661.64</v>
      </c>
      <c r="G2536" s="160"/>
    </row>
    <row r="2537" spans="1:8" ht="33">
      <c r="A2537" s="160"/>
      <c r="B2537" s="160"/>
      <c r="C2537" s="157"/>
      <c r="D2537" s="159"/>
      <c r="E2537" s="159"/>
      <c r="F2537" s="159"/>
      <c r="G2537" s="160"/>
      <c r="H2537" s="34" t="s">
        <v>925</v>
      </c>
    </row>
    <row r="2538" spans="1:8" ht="42.75">
      <c r="A2538" s="160" t="s">
        <v>2546</v>
      </c>
      <c r="B2538" s="160" t="s">
        <v>2327</v>
      </c>
      <c r="C2538" s="157" t="s">
        <v>1497</v>
      </c>
      <c r="D2538" s="159">
        <v>3.3</v>
      </c>
      <c r="E2538" s="159">
        <v>454.72</v>
      </c>
      <c r="F2538" s="159"/>
      <c r="G2538" s="160" t="s">
        <v>4387</v>
      </c>
      <c r="H2538" s="34" t="s">
        <v>925</v>
      </c>
    </row>
    <row r="2539" spans="1:8" ht="33">
      <c r="A2539" s="160">
        <v>1</v>
      </c>
      <c r="B2539" s="160" t="s">
        <v>2320</v>
      </c>
      <c r="C2539" s="157" t="s">
        <v>14</v>
      </c>
      <c r="D2539" s="159">
        <v>1</v>
      </c>
      <c r="E2539" s="159">
        <v>27.77</v>
      </c>
      <c r="F2539" s="159">
        <v>27.77</v>
      </c>
      <c r="G2539" s="160" t="s">
        <v>2</v>
      </c>
      <c r="H2539" s="34" t="s">
        <v>925</v>
      </c>
    </row>
    <row r="2540" spans="1:8" ht="33">
      <c r="A2540" s="160">
        <v>2</v>
      </c>
      <c r="B2540" s="160" t="s">
        <v>2329</v>
      </c>
      <c r="C2540" s="157" t="s">
        <v>14</v>
      </c>
      <c r="D2540" s="159">
        <v>1</v>
      </c>
      <c r="E2540" s="159">
        <v>453.54</v>
      </c>
      <c r="F2540" s="159">
        <v>453.54</v>
      </c>
      <c r="G2540" s="160" t="s">
        <v>2</v>
      </c>
      <c r="H2540" s="34" t="s">
        <v>925</v>
      </c>
    </row>
    <row r="2541" spans="1:8" ht="33">
      <c r="A2541" s="160">
        <v>3</v>
      </c>
      <c r="B2541" s="160" t="s">
        <v>2331</v>
      </c>
      <c r="C2541" s="157" t="s">
        <v>14</v>
      </c>
      <c r="D2541" s="159">
        <v>1</v>
      </c>
      <c r="E2541" s="159">
        <v>425.78</v>
      </c>
      <c r="F2541" s="159">
        <v>425.78</v>
      </c>
      <c r="G2541" s="160" t="s">
        <v>2</v>
      </c>
      <c r="H2541" s="34" t="s">
        <v>925</v>
      </c>
    </row>
    <row r="2542" spans="1:8" ht="33">
      <c r="A2542" s="160">
        <v>4</v>
      </c>
      <c r="B2542" s="160" t="s">
        <v>2333</v>
      </c>
      <c r="C2542" s="157" t="s">
        <v>1497</v>
      </c>
      <c r="D2542" s="159">
        <v>4.4000000000000004</v>
      </c>
      <c r="E2542" s="159">
        <v>64.790000000000006</v>
      </c>
      <c r="F2542" s="159">
        <v>285.08</v>
      </c>
      <c r="G2542" s="160" t="s">
        <v>2</v>
      </c>
      <c r="H2542" s="34" t="s">
        <v>925</v>
      </c>
    </row>
    <row r="2543" spans="1:8" ht="28.5">
      <c r="A2543" s="160">
        <v>5</v>
      </c>
      <c r="B2543" s="160" t="s">
        <v>2322</v>
      </c>
      <c r="C2543" s="157" t="s">
        <v>2335</v>
      </c>
      <c r="D2543" s="159">
        <v>4.4000000000000004</v>
      </c>
      <c r="E2543" s="159">
        <v>60.16</v>
      </c>
      <c r="F2543" s="159">
        <v>264.7</v>
      </c>
      <c r="G2543" s="160" t="s">
        <v>2</v>
      </c>
    </row>
    <row r="2544" spans="1:8" ht="33">
      <c r="A2544" s="160">
        <v>6</v>
      </c>
      <c r="B2544" s="160" t="s">
        <v>931</v>
      </c>
      <c r="C2544" s="157" t="s">
        <v>14</v>
      </c>
      <c r="D2544" s="159">
        <v>1</v>
      </c>
      <c r="E2544" s="159">
        <v>43.71</v>
      </c>
      <c r="F2544" s="159">
        <v>43.71</v>
      </c>
      <c r="G2544" s="160" t="s">
        <v>2</v>
      </c>
      <c r="H2544" s="34" t="s">
        <v>925</v>
      </c>
    </row>
    <row r="2545" spans="1:8" ht="33">
      <c r="A2545" s="160"/>
      <c r="B2545" s="160" t="s">
        <v>933</v>
      </c>
      <c r="C2545" s="157" t="s">
        <v>1497</v>
      </c>
      <c r="D2545" s="159">
        <v>3.3</v>
      </c>
      <c r="E2545" s="159"/>
      <c r="F2545" s="159">
        <v>1500.58</v>
      </c>
      <c r="G2545" s="160"/>
      <c r="H2545" s="34" t="s">
        <v>925</v>
      </c>
    </row>
    <row r="2546" spans="1:8" ht="33">
      <c r="A2546" s="160"/>
      <c r="B2546" s="160" t="s">
        <v>934</v>
      </c>
      <c r="C2546" s="157" t="s">
        <v>1497</v>
      </c>
      <c r="D2546" s="159"/>
      <c r="E2546" s="159"/>
      <c r="F2546" s="159">
        <v>454.72</v>
      </c>
      <c r="G2546" s="160"/>
      <c r="H2546" s="34" t="s">
        <v>925</v>
      </c>
    </row>
    <row r="2547" spans="1:8" ht="33">
      <c r="A2547" s="160"/>
      <c r="B2547" s="160"/>
      <c r="C2547" s="157"/>
      <c r="D2547" s="159"/>
      <c r="E2547" s="159"/>
      <c r="F2547" s="159"/>
      <c r="G2547" s="160"/>
      <c r="H2547" s="34" t="s">
        <v>925</v>
      </c>
    </row>
    <row r="2548" spans="1:8" ht="42.75">
      <c r="A2548" s="160" t="s">
        <v>2549</v>
      </c>
      <c r="B2548" s="160" t="s">
        <v>2338</v>
      </c>
      <c r="C2548" s="157" t="s">
        <v>2238</v>
      </c>
      <c r="D2548" s="159">
        <v>1</v>
      </c>
      <c r="E2548" s="159">
        <v>1210.78</v>
      </c>
      <c r="F2548" s="159"/>
      <c r="G2548" s="160" t="s">
        <v>2</v>
      </c>
      <c r="H2548" s="34" t="s">
        <v>925</v>
      </c>
    </row>
    <row r="2549" spans="1:8" ht="33">
      <c r="A2549" s="160">
        <v>1</v>
      </c>
      <c r="B2549" s="160" t="s">
        <v>2320</v>
      </c>
      <c r="C2549" s="157" t="s">
        <v>14</v>
      </c>
      <c r="D2549" s="159">
        <v>1</v>
      </c>
      <c r="E2549" s="159">
        <v>27.77</v>
      </c>
      <c r="F2549" s="159">
        <v>27.77</v>
      </c>
      <c r="G2549" s="160" t="s">
        <v>2</v>
      </c>
      <c r="H2549" s="34" t="s">
        <v>925</v>
      </c>
    </row>
    <row r="2550" spans="1:8" ht="28.5">
      <c r="A2550" s="160">
        <v>2</v>
      </c>
      <c r="B2550" s="160" t="s">
        <v>2329</v>
      </c>
      <c r="C2550" s="157" t="s">
        <v>14</v>
      </c>
      <c r="D2550" s="159">
        <v>1</v>
      </c>
      <c r="E2550" s="159">
        <v>453.54</v>
      </c>
      <c r="F2550" s="159">
        <v>453.54</v>
      </c>
      <c r="G2550" s="160" t="s">
        <v>2</v>
      </c>
    </row>
    <row r="2551" spans="1:8" ht="33">
      <c r="A2551" s="160">
        <v>3</v>
      </c>
      <c r="B2551" s="160" t="s">
        <v>2331</v>
      </c>
      <c r="C2551" s="157" t="s">
        <v>14</v>
      </c>
      <c r="D2551" s="159">
        <v>1</v>
      </c>
      <c r="E2551" s="159">
        <v>425.78</v>
      </c>
      <c r="F2551" s="159">
        <v>425.78</v>
      </c>
      <c r="G2551" s="160" t="s">
        <v>2</v>
      </c>
      <c r="H2551" s="34" t="s">
        <v>925</v>
      </c>
    </row>
    <row r="2552" spans="1:8" ht="33">
      <c r="A2552" s="160">
        <v>4</v>
      </c>
      <c r="B2552" s="160" t="s">
        <v>2333</v>
      </c>
      <c r="C2552" s="157" t="s">
        <v>1497</v>
      </c>
      <c r="D2552" s="159">
        <v>2</v>
      </c>
      <c r="E2552" s="159">
        <v>64.790000000000006</v>
      </c>
      <c r="F2552" s="159">
        <v>129.58000000000001</v>
      </c>
      <c r="G2552" s="160" t="s">
        <v>2</v>
      </c>
      <c r="H2552" s="34" t="s">
        <v>925</v>
      </c>
    </row>
    <row r="2553" spans="1:8" ht="33">
      <c r="A2553" s="160">
        <v>5</v>
      </c>
      <c r="B2553" s="160" t="s">
        <v>2322</v>
      </c>
      <c r="C2553" s="157" t="s">
        <v>14</v>
      </c>
      <c r="D2553" s="159">
        <v>1</v>
      </c>
      <c r="E2553" s="159">
        <v>138.84</v>
      </c>
      <c r="F2553" s="159">
        <v>138.84</v>
      </c>
      <c r="G2553" s="160" t="s">
        <v>2</v>
      </c>
      <c r="H2553" s="34" t="s">
        <v>925</v>
      </c>
    </row>
    <row r="2554" spans="1:8" ht="33">
      <c r="A2554" s="160">
        <v>6</v>
      </c>
      <c r="B2554" s="160" t="s">
        <v>931</v>
      </c>
      <c r="C2554" s="157" t="s">
        <v>14</v>
      </c>
      <c r="D2554" s="159">
        <v>1</v>
      </c>
      <c r="E2554" s="159">
        <v>35.270000000000003</v>
      </c>
      <c r="F2554" s="159">
        <v>35.270000000000003</v>
      </c>
      <c r="G2554" s="160" t="s">
        <v>2</v>
      </c>
      <c r="H2554" s="34" t="s">
        <v>925</v>
      </c>
    </row>
    <row r="2555" spans="1:8" ht="33">
      <c r="A2555" s="160"/>
      <c r="B2555" s="160" t="s">
        <v>933</v>
      </c>
      <c r="C2555" s="157" t="s">
        <v>2238</v>
      </c>
      <c r="D2555" s="159">
        <v>1</v>
      </c>
      <c r="E2555" s="159"/>
      <c r="F2555" s="159">
        <v>1210.7799999999997</v>
      </c>
      <c r="G2555" s="160"/>
      <c r="H2555" s="34" t="s">
        <v>925</v>
      </c>
    </row>
    <row r="2556" spans="1:8" ht="33">
      <c r="A2556" s="160"/>
      <c r="B2556" s="160" t="s">
        <v>934</v>
      </c>
      <c r="C2556" s="157" t="s">
        <v>2238</v>
      </c>
      <c r="D2556" s="159"/>
      <c r="E2556" s="159"/>
      <c r="F2556" s="159">
        <v>1210.78</v>
      </c>
      <c r="G2556" s="160"/>
      <c r="H2556" s="34" t="s">
        <v>925</v>
      </c>
    </row>
    <row r="2557" spans="1:8" ht="33">
      <c r="A2557" s="160"/>
      <c r="B2557" s="160"/>
      <c r="C2557" s="157"/>
      <c r="D2557" s="159"/>
      <c r="E2557" s="159"/>
      <c r="F2557" s="159"/>
      <c r="G2557" s="160"/>
      <c r="H2557" s="34" t="s">
        <v>925</v>
      </c>
    </row>
    <row r="2558" spans="1:8" ht="33">
      <c r="A2558" s="160" t="s">
        <v>2552</v>
      </c>
      <c r="B2558" s="160" t="s">
        <v>2341</v>
      </c>
      <c r="C2558" s="157" t="s">
        <v>15</v>
      </c>
      <c r="D2558" s="159">
        <v>1</v>
      </c>
      <c r="E2558" s="159">
        <v>652.76</v>
      </c>
      <c r="F2558" s="159"/>
      <c r="G2558" s="160" t="s">
        <v>4388</v>
      </c>
      <c r="H2558" s="34" t="s">
        <v>925</v>
      </c>
    </row>
    <row r="2559" spans="1:8" ht="33">
      <c r="A2559" s="160">
        <v>1</v>
      </c>
      <c r="B2559" s="160" t="s">
        <v>2343</v>
      </c>
      <c r="C2559" s="157" t="s">
        <v>1</v>
      </c>
      <c r="D2559" s="159">
        <v>1</v>
      </c>
      <c r="E2559" s="159">
        <v>451.69</v>
      </c>
      <c r="F2559" s="159">
        <v>451.69</v>
      </c>
      <c r="G2559" s="160" t="s">
        <v>2</v>
      </c>
      <c r="H2559" s="34" t="s">
        <v>925</v>
      </c>
    </row>
    <row r="2560" spans="1:8" ht="33">
      <c r="A2560" s="160">
        <v>2</v>
      </c>
      <c r="B2560" s="160" t="s">
        <v>4871</v>
      </c>
      <c r="C2560" s="157" t="s">
        <v>927</v>
      </c>
      <c r="D2560" s="159">
        <v>0.7</v>
      </c>
      <c r="E2560" s="159">
        <v>260.08999999999997</v>
      </c>
      <c r="F2560" s="159">
        <v>182.06</v>
      </c>
      <c r="G2560" s="160" t="s">
        <v>5435</v>
      </c>
      <c r="H2560" s="34" t="s">
        <v>925</v>
      </c>
    </row>
    <row r="2561" spans="1:8" ht="33">
      <c r="A2561" s="160">
        <v>3</v>
      </c>
      <c r="B2561" s="160" t="s">
        <v>931</v>
      </c>
      <c r="C2561" s="157" t="s">
        <v>14</v>
      </c>
      <c r="D2561" s="159">
        <v>1</v>
      </c>
      <c r="E2561" s="159">
        <v>19.010000000000002</v>
      </c>
      <c r="F2561" s="159">
        <v>19.010000000000002</v>
      </c>
      <c r="G2561" s="160" t="s">
        <v>2</v>
      </c>
      <c r="H2561" s="34" t="s">
        <v>925</v>
      </c>
    </row>
    <row r="2562" spans="1:8" ht="33">
      <c r="A2562" s="160"/>
      <c r="B2562" s="160" t="s">
        <v>933</v>
      </c>
      <c r="C2562" s="157" t="s">
        <v>15</v>
      </c>
      <c r="D2562" s="159">
        <v>1</v>
      </c>
      <c r="E2562" s="159"/>
      <c r="F2562" s="159">
        <v>652.76</v>
      </c>
      <c r="G2562" s="160"/>
      <c r="H2562" s="34" t="s">
        <v>925</v>
      </c>
    </row>
    <row r="2563" spans="1:8" ht="16.5">
      <c r="A2563" s="160"/>
      <c r="B2563" s="160" t="s">
        <v>934</v>
      </c>
      <c r="C2563" s="157" t="s">
        <v>15</v>
      </c>
      <c r="D2563" s="159"/>
      <c r="E2563" s="159"/>
      <c r="F2563" s="159">
        <v>652.76</v>
      </c>
      <c r="G2563" s="160"/>
    </row>
    <row r="2564" spans="1:8" ht="33">
      <c r="A2564" s="160"/>
      <c r="B2564" s="160"/>
      <c r="C2564" s="157"/>
      <c r="D2564" s="159"/>
      <c r="E2564" s="159"/>
      <c r="F2564" s="159"/>
      <c r="G2564" s="160"/>
      <c r="H2564" s="34" t="s">
        <v>925</v>
      </c>
    </row>
    <row r="2565" spans="1:8" ht="33">
      <c r="A2565" s="160" t="s">
        <v>2555</v>
      </c>
      <c r="B2565" s="160" t="s">
        <v>2346</v>
      </c>
      <c r="C2565" s="157" t="s">
        <v>3</v>
      </c>
      <c r="D2565" s="159">
        <v>100</v>
      </c>
      <c r="E2565" s="159">
        <v>40.54</v>
      </c>
      <c r="F2565" s="159"/>
      <c r="G2565" s="160" t="s">
        <v>2</v>
      </c>
      <c r="H2565" s="34" t="s">
        <v>925</v>
      </c>
    </row>
    <row r="2566" spans="1:8" ht="33">
      <c r="A2566" s="160">
        <v>1</v>
      </c>
      <c r="B2566" s="160" t="s">
        <v>2348</v>
      </c>
      <c r="C2566" s="157" t="s">
        <v>18</v>
      </c>
      <c r="D2566" s="159">
        <v>2</v>
      </c>
      <c r="E2566" s="159">
        <v>555.36</v>
      </c>
      <c r="F2566" s="159">
        <v>1110.72</v>
      </c>
      <c r="G2566" s="160" t="s">
        <v>2</v>
      </c>
      <c r="H2566" s="34" t="s">
        <v>925</v>
      </c>
    </row>
    <row r="2567" spans="1:8" ht="33">
      <c r="A2567" s="160">
        <v>2</v>
      </c>
      <c r="B2567" s="160" t="s">
        <v>2350</v>
      </c>
      <c r="C2567" s="157" t="s">
        <v>14</v>
      </c>
      <c r="D2567" s="159">
        <v>1</v>
      </c>
      <c r="E2567" s="159">
        <v>46.28</v>
      </c>
      <c r="F2567" s="159">
        <v>46.28</v>
      </c>
      <c r="G2567" s="160" t="s">
        <v>2</v>
      </c>
      <c r="H2567" s="34" t="s">
        <v>925</v>
      </c>
    </row>
    <row r="2568" spans="1:8" ht="33">
      <c r="A2568" s="160">
        <v>3</v>
      </c>
      <c r="B2568" s="160" t="s">
        <v>2352</v>
      </c>
      <c r="C2568" s="157" t="s">
        <v>3</v>
      </c>
      <c r="D2568" s="159">
        <v>100</v>
      </c>
      <c r="E2568" s="159">
        <v>4.63</v>
      </c>
      <c r="F2568" s="159">
        <v>463</v>
      </c>
      <c r="G2568" s="160" t="s">
        <v>2</v>
      </c>
      <c r="H2568" s="34" t="s">
        <v>925</v>
      </c>
    </row>
    <row r="2569" spans="1:8" ht="33">
      <c r="A2569" s="160">
        <v>4</v>
      </c>
      <c r="B2569" s="160" t="s">
        <v>2354</v>
      </c>
      <c r="C2569" s="157" t="s">
        <v>3</v>
      </c>
      <c r="D2569" s="159">
        <v>100</v>
      </c>
      <c r="E2569" s="159">
        <v>2.78</v>
      </c>
      <c r="F2569" s="159">
        <v>278</v>
      </c>
      <c r="G2569" s="160" t="s">
        <v>2</v>
      </c>
      <c r="H2569" s="34" t="s">
        <v>925</v>
      </c>
    </row>
    <row r="2570" spans="1:8" ht="42.75">
      <c r="A2570" s="160">
        <v>5</v>
      </c>
      <c r="B2570" s="160" t="s">
        <v>2356</v>
      </c>
      <c r="C2570" s="157" t="s">
        <v>3</v>
      </c>
      <c r="D2570" s="159">
        <v>100</v>
      </c>
      <c r="E2570" s="159">
        <v>13.88</v>
      </c>
      <c r="F2570" s="159">
        <v>1388</v>
      </c>
      <c r="G2570" s="160" t="s">
        <v>2</v>
      </c>
      <c r="H2570" s="34" t="s">
        <v>925</v>
      </c>
    </row>
    <row r="2571" spans="1:8" ht="33">
      <c r="A2571" s="160">
        <v>6</v>
      </c>
      <c r="B2571" s="160" t="s">
        <v>2358</v>
      </c>
      <c r="C2571" s="157" t="s">
        <v>927</v>
      </c>
      <c r="D2571" s="159">
        <v>2.5</v>
      </c>
      <c r="E2571" s="159">
        <v>260.08999999999997</v>
      </c>
      <c r="F2571" s="159">
        <v>650.23</v>
      </c>
      <c r="G2571" s="160" t="s">
        <v>2</v>
      </c>
      <c r="H2571" s="34" t="s">
        <v>925</v>
      </c>
    </row>
    <row r="2572" spans="1:8" ht="33">
      <c r="A2572" s="160">
        <v>7</v>
      </c>
      <c r="B2572" s="160" t="s">
        <v>931</v>
      </c>
      <c r="C2572" s="157" t="s">
        <v>14</v>
      </c>
      <c r="D2572" s="159">
        <v>1</v>
      </c>
      <c r="E2572" s="159">
        <v>118.09</v>
      </c>
      <c r="F2572" s="159">
        <v>118.09</v>
      </c>
      <c r="G2572" s="160" t="s">
        <v>2</v>
      </c>
      <c r="H2572" s="34" t="s">
        <v>925</v>
      </c>
    </row>
    <row r="2573" spans="1:8" ht="33">
      <c r="A2573" s="160"/>
      <c r="B2573" s="160" t="s">
        <v>933</v>
      </c>
      <c r="C2573" s="157" t="s">
        <v>3</v>
      </c>
      <c r="D2573" s="159">
        <v>100</v>
      </c>
      <c r="E2573" s="159"/>
      <c r="F2573" s="159">
        <v>4054.32</v>
      </c>
      <c r="G2573" s="160"/>
      <c r="H2573" s="34" t="s">
        <v>925</v>
      </c>
    </row>
    <row r="2574" spans="1:8" ht="33">
      <c r="A2574" s="160"/>
      <c r="B2574" s="160" t="s">
        <v>934</v>
      </c>
      <c r="C2574" s="157" t="s">
        <v>3</v>
      </c>
      <c r="D2574" s="159"/>
      <c r="E2574" s="159"/>
      <c r="F2574" s="159">
        <v>40.54</v>
      </c>
      <c r="G2574" s="160"/>
      <c r="H2574" s="34" t="s">
        <v>925</v>
      </c>
    </row>
    <row r="2575" spans="1:8" ht="33">
      <c r="A2575" s="160"/>
      <c r="B2575" s="160"/>
      <c r="C2575" s="157"/>
      <c r="D2575" s="159"/>
      <c r="E2575" s="159"/>
      <c r="F2575" s="159"/>
      <c r="G2575" s="160"/>
      <c r="H2575" s="34" t="s">
        <v>925</v>
      </c>
    </row>
    <row r="2576" spans="1:8" ht="28.5">
      <c r="A2576" s="160" t="s">
        <v>2560</v>
      </c>
      <c r="B2576" s="160" t="s">
        <v>2360</v>
      </c>
      <c r="C2576" s="157" t="s">
        <v>3</v>
      </c>
      <c r="D2576" s="159">
        <v>1</v>
      </c>
      <c r="E2576" s="159">
        <v>231.51</v>
      </c>
      <c r="F2576" s="159"/>
      <c r="G2576" s="160" t="s">
        <v>2</v>
      </c>
    </row>
    <row r="2577" spans="1:8" ht="33">
      <c r="A2577" s="160">
        <v>1</v>
      </c>
      <c r="B2577" s="160" t="s">
        <v>2362</v>
      </c>
      <c r="C2577" s="157" t="s">
        <v>3</v>
      </c>
      <c r="D2577" s="159">
        <v>1</v>
      </c>
      <c r="E2577" s="159">
        <v>87.93</v>
      </c>
      <c r="F2577" s="159">
        <v>87.93</v>
      </c>
      <c r="G2577" s="160" t="s">
        <v>5465</v>
      </c>
      <c r="H2577" s="34" t="s">
        <v>925</v>
      </c>
    </row>
    <row r="2578" spans="1:8" ht="33">
      <c r="A2578" s="160">
        <v>2</v>
      </c>
      <c r="B2578" s="160" t="s">
        <v>2358</v>
      </c>
      <c r="C2578" s="157" t="s">
        <v>927</v>
      </c>
      <c r="D2578" s="159">
        <v>0.04</v>
      </c>
      <c r="E2578" s="159">
        <v>260.08999999999997</v>
      </c>
      <c r="F2578" s="159">
        <v>10.4</v>
      </c>
      <c r="G2578" s="160" t="s">
        <v>2</v>
      </c>
      <c r="H2578" s="34" t="s">
        <v>925</v>
      </c>
    </row>
    <row r="2579" spans="1:8" ht="33">
      <c r="A2579" s="160">
        <v>3</v>
      </c>
      <c r="B2579" s="160" t="s">
        <v>2365</v>
      </c>
      <c r="C2579" s="157" t="s">
        <v>15</v>
      </c>
      <c r="D2579" s="159">
        <v>0.05</v>
      </c>
      <c r="E2579" s="159">
        <v>962.66</v>
      </c>
      <c r="F2579" s="159">
        <v>48.13</v>
      </c>
      <c r="G2579" s="160" t="s">
        <v>2</v>
      </c>
      <c r="H2579" s="34" t="s">
        <v>925</v>
      </c>
    </row>
    <row r="2580" spans="1:8" ht="33">
      <c r="A2580" s="160">
        <v>4</v>
      </c>
      <c r="B2580" s="160" t="s">
        <v>2367</v>
      </c>
      <c r="C2580" s="157" t="s">
        <v>18</v>
      </c>
      <c r="D2580" s="159">
        <v>1</v>
      </c>
      <c r="E2580" s="159">
        <v>17.59</v>
      </c>
      <c r="F2580" s="159">
        <v>17.59</v>
      </c>
      <c r="G2580" s="160" t="s">
        <v>2</v>
      </c>
      <c r="H2580" s="34" t="s">
        <v>925</v>
      </c>
    </row>
    <row r="2581" spans="1:8" ht="33">
      <c r="A2581" s="160">
        <v>5</v>
      </c>
      <c r="B2581" s="160" t="s">
        <v>4990</v>
      </c>
      <c r="C2581" s="157" t="s">
        <v>927</v>
      </c>
      <c r="D2581" s="159">
        <v>0.08</v>
      </c>
      <c r="E2581" s="159">
        <v>379.5</v>
      </c>
      <c r="F2581" s="159">
        <v>30.36</v>
      </c>
      <c r="G2581" s="160" t="s">
        <v>5466</v>
      </c>
      <c r="H2581" s="34" t="s">
        <v>925</v>
      </c>
    </row>
    <row r="2582" spans="1:8" ht="71.25">
      <c r="A2582" s="160">
        <v>6</v>
      </c>
      <c r="B2582" s="160" t="s">
        <v>4992</v>
      </c>
      <c r="C2582" s="157" t="s">
        <v>927</v>
      </c>
      <c r="D2582" s="159">
        <v>0.08</v>
      </c>
      <c r="E2582" s="159">
        <v>379.5</v>
      </c>
      <c r="F2582" s="159">
        <v>30.36</v>
      </c>
      <c r="G2582" s="160" t="s">
        <v>5467</v>
      </c>
      <c r="H2582" s="34" t="s">
        <v>925</v>
      </c>
    </row>
    <row r="2583" spans="1:8" ht="33">
      <c r="A2583" s="160">
        <v>7</v>
      </c>
      <c r="B2583" s="160" t="s">
        <v>931</v>
      </c>
      <c r="C2583" s="157" t="s">
        <v>14</v>
      </c>
      <c r="D2583" s="159">
        <v>1</v>
      </c>
      <c r="E2583" s="159">
        <v>6.74</v>
      </c>
      <c r="F2583" s="159">
        <v>6.74</v>
      </c>
      <c r="G2583" s="160" t="s">
        <v>2</v>
      </c>
      <c r="H2583" s="34" t="s">
        <v>925</v>
      </c>
    </row>
    <row r="2584" spans="1:8" ht="33">
      <c r="A2584" s="160"/>
      <c r="B2584" s="160" t="s">
        <v>933</v>
      </c>
      <c r="C2584" s="157" t="s">
        <v>3</v>
      </c>
      <c r="D2584" s="159">
        <v>1</v>
      </c>
      <c r="E2584" s="159"/>
      <c r="F2584" s="159">
        <v>231.51000000000005</v>
      </c>
      <c r="G2584" s="160"/>
      <c r="H2584" s="34" t="s">
        <v>925</v>
      </c>
    </row>
    <row r="2585" spans="1:8" ht="33">
      <c r="A2585" s="160"/>
      <c r="B2585" s="160" t="s">
        <v>934</v>
      </c>
      <c r="C2585" s="157" t="s">
        <v>3</v>
      </c>
      <c r="D2585" s="159"/>
      <c r="E2585" s="159"/>
      <c r="F2585" s="159">
        <v>231.51</v>
      </c>
      <c r="G2585" s="160"/>
      <c r="H2585" s="34" t="s">
        <v>925</v>
      </c>
    </row>
    <row r="2586" spans="1:8" ht="33">
      <c r="A2586" s="160"/>
      <c r="B2586" s="160"/>
      <c r="C2586" s="157"/>
      <c r="D2586" s="159"/>
      <c r="E2586" s="159"/>
      <c r="F2586" s="159"/>
      <c r="G2586" s="160"/>
      <c r="H2586" s="34" t="s">
        <v>925</v>
      </c>
    </row>
    <row r="2587" spans="1:8" ht="33">
      <c r="A2587" s="160" t="s">
        <v>2569</v>
      </c>
      <c r="B2587" s="160" t="s">
        <v>2372</v>
      </c>
      <c r="C2587" s="157" t="s">
        <v>3</v>
      </c>
      <c r="D2587" s="159">
        <v>1</v>
      </c>
      <c r="E2587" s="159">
        <v>635.80999999999995</v>
      </c>
      <c r="F2587" s="159"/>
      <c r="G2587" s="160" t="s">
        <v>2</v>
      </c>
      <c r="H2587" s="34" t="s">
        <v>925</v>
      </c>
    </row>
    <row r="2588" spans="1:8" ht="33">
      <c r="A2588" s="160">
        <v>1</v>
      </c>
      <c r="B2588" s="160" t="s">
        <v>2374</v>
      </c>
      <c r="C2588" s="157" t="s">
        <v>3</v>
      </c>
      <c r="D2588" s="159">
        <v>1</v>
      </c>
      <c r="E2588" s="159">
        <v>407.26</v>
      </c>
      <c r="F2588" s="159">
        <v>407.26</v>
      </c>
      <c r="G2588" s="160" t="s">
        <v>5468</v>
      </c>
      <c r="H2588" s="34" t="s">
        <v>925</v>
      </c>
    </row>
    <row r="2589" spans="1:8" ht="33">
      <c r="A2589" s="160">
        <v>2</v>
      </c>
      <c r="B2589" s="160" t="s">
        <v>1637</v>
      </c>
      <c r="C2589" s="157" t="s">
        <v>0</v>
      </c>
      <c r="D2589" s="159">
        <v>0.05</v>
      </c>
      <c r="E2589" s="159">
        <v>3304.6</v>
      </c>
      <c r="F2589" s="159">
        <v>165.23</v>
      </c>
      <c r="G2589" s="160" t="s">
        <v>1873</v>
      </c>
      <c r="H2589" s="34" t="s">
        <v>925</v>
      </c>
    </row>
    <row r="2590" spans="1:8" ht="33">
      <c r="A2590" s="160">
        <v>3</v>
      </c>
      <c r="B2590" s="160" t="s">
        <v>2346</v>
      </c>
      <c r="C2590" s="157" t="s">
        <v>3</v>
      </c>
      <c r="D2590" s="159">
        <v>0.3</v>
      </c>
      <c r="E2590" s="159">
        <v>40.54</v>
      </c>
      <c r="F2590" s="159">
        <v>12.16</v>
      </c>
      <c r="G2590" s="160" t="s">
        <v>2555</v>
      </c>
      <c r="H2590" s="34" t="s">
        <v>925</v>
      </c>
    </row>
    <row r="2591" spans="1:8" ht="33">
      <c r="A2591" s="160">
        <v>4</v>
      </c>
      <c r="B2591" s="160" t="s">
        <v>2376</v>
      </c>
      <c r="C2591" s="157" t="s">
        <v>15</v>
      </c>
      <c r="D2591" s="159">
        <v>0.05</v>
      </c>
      <c r="E2591" s="159">
        <v>652.77</v>
      </c>
      <c r="F2591" s="159">
        <v>32.64</v>
      </c>
      <c r="G2591" s="160" t="s">
        <v>2</v>
      </c>
      <c r="H2591" s="34" t="s">
        <v>925</v>
      </c>
    </row>
    <row r="2592" spans="1:8" ht="33">
      <c r="A2592" s="160">
        <v>5</v>
      </c>
      <c r="B2592" s="160" t="s">
        <v>931</v>
      </c>
      <c r="C2592" s="157" t="s">
        <v>14</v>
      </c>
      <c r="D2592" s="159">
        <v>1</v>
      </c>
      <c r="E2592" s="159">
        <v>18.52</v>
      </c>
      <c r="F2592" s="159">
        <v>18.52</v>
      </c>
      <c r="G2592" s="160" t="s">
        <v>2</v>
      </c>
      <c r="H2592" s="34" t="s">
        <v>925</v>
      </c>
    </row>
    <row r="2593" spans="1:8" ht="16.5">
      <c r="A2593" s="160"/>
      <c r="B2593" s="160" t="s">
        <v>933</v>
      </c>
      <c r="C2593" s="157" t="s">
        <v>3</v>
      </c>
      <c r="D2593" s="159">
        <v>1</v>
      </c>
      <c r="E2593" s="159"/>
      <c r="F2593" s="159">
        <v>635.80999999999995</v>
      </c>
      <c r="G2593" s="160"/>
    </row>
    <row r="2594" spans="1:8" ht="33">
      <c r="A2594" s="160"/>
      <c r="B2594" s="160" t="s">
        <v>934</v>
      </c>
      <c r="C2594" s="157" t="s">
        <v>3</v>
      </c>
      <c r="D2594" s="159"/>
      <c r="E2594" s="159"/>
      <c r="F2594" s="159">
        <v>635.80999999999995</v>
      </c>
      <c r="G2594" s="160"/>
      <c r="H2594" s="34" t="s">
        <v>925</v>
      </c>
    </row>
    <row r="2595" spans="1:8" ht="33">
      <c r="A2595" s="160"/>
      <c r="B2595" s="160"/>
      <c r="C2595" s="157"/>
      <c r="D2595" s="159"/>
      <c r="E2595" s="159"/>
      <c r="F2595" s="159"/>
      <c r="G2595" s="160"/>
      <c r="H2595" s="34" t="s">
        <v>925</v>
      </c>
    </row>
    <row r="2596" spans="1:8" ht="33">
      <c r="A2596" s="160" t="s">
        <v>2576</v>
      </c>
      <c r="B2596" s="160" t="s">
        <v>2379</v>
      </c>
      <c r="C2596" s="157" t="s">
        <v>3</v>
      </c>
      <c r="D2596" s="159">
        <v>100</v>
      </c>
      <c r="E2596" s="159">
        <v>20.84</v>
      </c>
      <c r="F2596" s="159"/>
      <c r="G2596" s="160" t="s">
        <v>2</v>
      </c>
      <c r="H2596" s="34" t="s">
        <v>925</v>
      </c>
    </row>
    <row r="2597" spans="1:8" ht="33">
      <c r="A2597" s="160">
        <v>1</v>
      </c>
      <c r="B2597" s="160" t="s">
        <v>997</v>
      </c>
      <c r="C2597" s="157" t="s">
        <v>927</v>
      </c>
      <c r="D2597" s="159">
        <v>1</v>
      </c>
      <c r="E2597" s="159">
        <v>1073.7</v>
      </c>
      <c r="F2597" s="159">
        <v>1073.7</v>
      </c>
      <c r="G2597" s="160" t="s">
        <v>2</v>
      </c>
      <c r="H2597" s="34" t="s">
        <v>925</v>
      </c>
    </row>
    <row r="2598" spans="1:8" ht="33">
      <c r="A2598" s="160">
        <v>2</v>
      </c>
      <c r="B2598" s="160" t="s">
        <v>1086</v>
      </c>
      <c r="C2598" s="157" t="s">
        <v>927</v>
      </c>
      <c r="D2598" s="159">
        <v>1</v>
      </c>
      <c r="E2598" s="159">
        <v>371.17</v>
      </c>
      <c r="F2598" s="159">
        <v>371.17</v>
      </c>
      <c r="G2598" s="160" t="s">
        <v>2</v>
      </c>
      <c r="H2598" s="34" t="s">
        <v>925</v>
      </c>
    </row>
    <row r="2599" spans="1:8" ht="33">
      <c r="A2599" s="160">
        <v>3</v>
      </c>
      <c r="B2599" s="160" t="s">
        <v>2407</v>
      </c>
      <c r="C2599" s="157" t="s">
        <v>0</v>
      </c>
      <c r="D2599" s="159">
        <v>0.15</v>
      </c>
      <c r="E2599" s="159">
        <v>1851.2</v>
      </c>
      <c r="F2599" s="159">
        <v>277.68</v>
      </c>
      <c r="G2599" s="160" t="s">
        <v>2</v>
      </c>
      <c r="H2599" s="34" t="s">
        <v>925</v>
      </c>
    </row>
    <row r="2600" spans="1:8" ht="33">
      <c r="A2600" s="160">
        <v>4</v>
      </c>
      <c r="B2600" s="160" t="s">
        <v>2381</v>
      </c>
      <c r="C2600" s="157" t="s">
        <v>927</v>
      </c>
      <c r="D2600" s="159">
        <v>0.15</v>
      </c>
      <c r="E2600" s="159">
        <v>2005.13</v>
      </c>
      <c r="F2600" s="159">
        <v>300.77</v>
      </c>
      <c r="G2600" s="160" t="s">
        <v>2607</v>
      </c>
      <c r="H2600" s="34" t="s">
        <v>925</v>
      </c>
    </row>
    <row r="2601" spans="1:8" ht="33">
      <c r="A2601" s="160">
        <v>5</v>
      </c>
      <c r="B2601" s="160" t="s">
        <v>931</v>
      </c>
      <c r="C2601" s="157" t="s">
        <v>14</v>
      </c>
      <c r="D2601" s="159">
        <v>1</v>
      </c>
      <c r="E2601" s="159">
        <v>60.7</v>
      </c>
      <c r="F2601" s="159">
        <v>60.7</v>
      </c>
      <c r="G2601" s="160" t="s">
        <v>2</v>
      </c>
      <c r="H2601" s="34" t="s">
        <v>925</v>
      </c>
    </row>
    <row r="2602" spans="1:8" ht="33">
      <c r="A2602" s="160"/>
      <c r="B2602" s="160" t="s">
        <v>933</v>
      </c>
      <c r="C2602" s="157" t="s">
        <v>3</v>
      </c>
      <c r="D2602" s="159">
        <v>100</v>
      </c>
      <c r="E2602" s="159"/>
      <c r="F2602" s="159">
        <v>2084.02</v>
      </c>
      <c r="G2602" s="160"/>
      <c r="H2602" s="34" t="s">
        <v>925</v>
      </c>
    </row>
    <row r="2603" spans="1:8" ht="33">
      <c r="A2603" s="160"/>
      <c r="B2603" s="160" t="s">
        <v>934</v>
      </c>
      <c r="C2603" s="157" t="s">
        <v>3</v>
      </c>
      <c r="D2603" s="159"/>
      <c r="E2603" s="159"/>
      <c r="F2603" s="159">
        <v>20.84</v>
      </c>
      <c r="G2603" s="160"/>
      <c r="H2603" s="34" t="s">
        <v>925</v>
      </c>
    </row>
    <row r="2604" spans="1:8" ht="33">
      <c r="A2604" s="160"/>
      <c r="B2604" s="160"/>
      <c r="C2604" s="157"/>
      <c r="D2604" s="159"/>
      <c r="E2604" s="159"/>
      <c r="F2604" s="159"/>
      <c r="G2604" s="160"/>
      <c r="H2604" s="34" t="s">
        <v>925</v>
      </c>
    </row>
    <row r="2605" spans="1:8" ht="33">
      <c r="A2605" s="160" t="s">
        <v>2583</v>
      </c>
      <c r="B2605" s="160" t="s">
        <v>2383</v>
      </c>
      <c r="C2605" s="157" t="s">
        <v>3</v>
      </c>
      <c r="D2605" s="159">
        <v>100</v>
      </c>
      <c r="E2605" s="159">
        <v>10.76</v>
      </c>
      <c r="F2605" s="159"/>
      <c r="G2605" s="160" t="s">
        <v>2</v>
      </c>
      <c r="H2605" s="34" t="s">
        <v>925</v>
      </c>
    </row>
    <row r="2606" spans="1:8" ht="33">
      <c r="A2606" s="160">
        <v>1</v>
      </c>
      <c r="B2606" s="160" t="s">
        <v>2385</v>
      </c>
      <c r="C2606" s="157" t="s">
        <v>927</v>
      </c>
      <c r="D2606" s="159">
        <v>1.1499999999999999</v>
      </c>
      <c r="E2606" s="159">
        <v>647.91999999999996</v>
      </c>
      <c r="F2606" s="159">
        <v>745.11</v>
      </c>
      <c r="G2606" s="160" t="s">
        <v>2</v>
      </c>
      <c r="H2606" s="34" t="s">
        <v>925</v>
      </c>
    </row>
    <row r="2607" spans="1:8" ht="33">
      <c r="A2607" s="160">
        <v>2</v>
      </c>
      <c r="B2607" s="160" t="s">
        <v>2387</v>
      </c>
      <c r="C2607" s="157" t="s">
        <v>927</v>
      </c>
      <c r="D2607" s="159">
        <v>1.1499999999999999</v>
      </c>
      <c r="E2607" s="159">
        <v>260.08999999999997</v>
      </c>
      <c r="F2607" s="159">
        <v>299.10000000000002</v>
      </c>
      <c r="G2607" s="160" t="s">
        <v>2</v>
      </c>
      <c r="H2607" s="34" t="s">
        <v>925</v>
      </c>
    </row>
    <row r="2608" spans="1:8" ht="33">
      <c r="A2608" s="160">
        <v>3</v>
      </c>
      <c r="B2608" s="160" t="s">
        <v>931</v>
      </c>
      <c r="C2608" s="157" t="s">
        <v>14</v>
      </c>
      <c r="D2608" s="159">
        <v>1</v>
      </c>
      <c r="E2608" s="159">
        <v>31.33</v>
      </c>
      <c r="F2608" s="159">
        <v>31.33</v>
      </c>
      <c r="G2608" s="160" t="s">
        <v>2</v>
      </c>
      <c r="H2608" s="34" t="s">
        <v>925</v>
      </c>
    </row>
    <row r="2609" spans="1:8" ht="33">
      <c r="A2609" s="160"/>
      <c r="B2609" s="160" t="s">
        <v>933</v>
      </c>
      <c r="C2609" s="157" t="s">
        <v>3</v>
      </c>
      <c r="D2609" s="159">
        <v>100</v>
      </c>
      <c r="E2609" s="159"/>
      <c r="F2609" s="159">
        <v>1075.54</v>
      </c>
      <c r="G2609" s="160"/>
      <c r="H2609" s="34" t="s">
        <v>925</v>
      </c>
    </row>
    <row r="2610" spans="1:8" ht="16.5">
      <c r="A2610" s="160"/>
      <c r="B2610" s="160" t="s">
        <v>934</v>
      </c>
      <c r="C2610" s="157" t="s">
        <v>3</v>
      </c>
      <c r="D2610" s="159"/>
      <c r="E2610" s="159"/>
      <c r="F2610" s="159">
        <v>10.76</v>
      </c>
      <c r="G2610" s="160"/>
    </row>
    <row r="2611" spans="1:8" ht="33">
      <c r="A2611" s="160"/>
      <c r="B2611" s="160"/>
      <c r="C2611" s="157"/>
      <c r="D2611" s="159"/>
      <c r="E2611" s="159"/>
      <c r="F2611" s="159"/>
      <c r="G2611" s="160"/>
      <c r="H2611" s="34" t="s">
        <v>925</v>
      </c>
    </row>
    <row r="2612" spans="1:8" ht="33">
      <c r="A2612" s="160" t="s">
        <v>2586</v>
      </c>
      <c r="B2612" s="160" t="s">
        <v>2390</v>
      </c>
      <c r="C2612" s="157" t="s">
        <v>3</v>
      </c>
      <c r="D2612" s="159">
        <v>10</v>
      </c>
      <c r="E2612" s="159">
        <v>18.75</v>
      </c>
      <c r="F2612" s="159"/>
      <c r="G2612" s="160" t="s">
        <v>2</v>
      </c>
      <c r="H2612" s="34" t="s">
        <v>925</v>
      </c>
    </row>
    <row r="2613" spans="1:8" ht="33">
      <c r="A2613" s="160">
        <v>1</v>
      </c>
      <c r="B2613" s="160" t="s">
        <v>4871</v>
      </c>
      <c r="C2613" s="157" t="s">
        <v>927</v>
      </c>
      <c r="D2613" s="159">
        <v>0.7</v>
      </c>
      <c r="E2613" s="159">
        <v>260.08999999999997</v>
      </c>
      <c r="F2613" s="159">
        <v>182.06</v>
      </c>
      <c r="G2613" s="160" t="s">
        <v>2</v>
      </c>
      <c r="H2613" s="34" t="s">
        <v>925</v>
      </c>
    </row>
    <row r="2614" spans="1:8" ht="33">
      <c r="A2614" s="160">
        <v>2</v>
      </c>
      <c r="B2614" s="160" t="s">
        <v>931</v>
      </c>
      <c r="C2614" s="157" t="s">
        <v>14</v>
      </c>
      <c r="D2614" s="159">
        <v>1</v>
      </c>
      <c r="E2614" s="159">
        <v>5.46</v>
      </c>
      <c r="F2614" s="159">
        <v>5.46</v>
      </c>
      <c r="G2614" s="160" t="s">
        <v>2</v>
      </c>
      <c r="H2614" s="34" t="s">
        <v>925</v>
      </c>
    </row>
    <row r="2615" spans="1:8" ht="33">
      <c r="A2615" s="160"/>
      <c r="B2615" s="160" t="s">
        <v>933</v>
      </c>
      <c r="C2615" s="157" t="s">
        <v>3</v>
      </c>
      <c r="D2615" s="159">
        <v>10</v>
      </c>
      <c r="E2615" s="159"/>
      <c r="F2615" s="159">
        <v>187.52</v>
      </c>
      <c r="G2615" s="160"/>
      <c r="H2615" s="34" t="s">
        <v>925</v>
      </c>
    </row>
    <row r="2616" spans="1:8" ht="33">
      <c r="A2616" s="160"/>
      <c r="B2616" s="160" t="s">
        <v>934</v>
      </c>
      <c r="C2616" s="157" t="s">
        <v>3</v>
      </c>
      <c r="D2616" s="159"/>
      <c r="E2616" s="159"/>
      <c r="F2616" s="159">
        <v>18.75</v>
      </c>
      <c r="G2616" s="160"/>
      <c r="H2616" s="34" t="s">
        <v>925</v>
      </c>
    </row>
    <row r="2617" spans="1:8" ht="33">
      <c r="A2617" s="160"/>
      <c r="B2617" s="160"/>
      <c r="C2617" s="157"/>
      <c r="D2617" s="159"/>
      <c r="E2617" s="159"/>
      <c r="F2617" s="159"/>
      <c r="G2617" s="160"/>
      <c r="H2617" s="34" t="s">
        <v>925</v>
      </c>
    </row>
    <row r="2618" spans="1:8" ht="33">
      <c r="A2618" s="160" t="s">
        <v>2589</v>
      </c>
      <c r="B2618" s="160" t="s">
        <v>2393</v>
      </c>
      <c r="C2618" s="157" t="s">
        <v>2394</v>
      </c>
      <c r="D2618" s="159">
        <v>1</v>
      </c>
      <c r="E2618" s="159">
        <v>2304.79</v>
      </c>
      <c r="F2618" s="159"/>
      <c r="G2618" s="160" t="s">
        <v>2</v>
      </c>
      <c r="H2618" s="34" t="s">
        <v>925</v>
      </c>
    </row>
    <row r="2619" spans="1:8" ht="33">
      <c r="A2619" s="160">
        <v>1</v>
      </c>
      <c r="B2619" s="160" t="s">
        <v>1084</v>
      </c>
      <c r="C2619" s="157" t="s">
        <v>927</v>
      </c>
      <c r="D2619" s="159">
        <v>1.5</v>
      </c>
      <c r="E2619" s="159">
        <v>638.66999999999996</v>
      </c>
      <c r="F2619" s="159">
        <v>958.01</v>
      </c>
      <c r="G2619" s="160" t="s">
        <v>2</v>
      </c>
      <c r="H2619" s="34" t="s">
        <v>925</v>
      </c>
    </row>
    <row r="2620" spans="1:8" ht="33">
      <c r="A2620" s="160">
        <v>2</v>
      </c>
      <c r="B2620" s="160" t="s">
        <v>1086</v>
      </c>
      <c r="C2620" s="157" t="s">
        <v>927</v>
      </c>
      <c r="D2620" s="159">
        <v>1.5</v>
      </c>
      <c r="E2620" s="159">
        <v>371.17</v>
      </c>
      <c r="F2620" s="159">
        <v>556.76</v>
      </c>
      <c r="G2620" s="160" t="s">
        <v>2</v>
      </c>
      <c r="H2620" s="34" t="s">
        <v>925</v>
      </c>
    </row>
    <row r="2621" spans="1:8" ht="33">
      <c r="A2621" s="160">
        <v>3</v>
      </c>
      <c r="B2621" s="160" t="s">
        <v>4871</v>
      </c>
      <c r="C2621" s="157" t="s">
        <v>927</v>
      </c>
      <c r="D2621" s="159">
        <v>1</v>
      </c>
      <c r="E2621" s="159">
        <v>260.08999999999997</v>
      </c>
      <c r="F2621" s="159">
        <v>260.08999999999997</v>
      </c>
      <c r="G2621" s="160" t="s">
        <v>5435</v>
      </c>
      <c r="H2621" s="34" t="s">
        <v>925</v>
      </c>
    </row>
    <row r="2622" spans="1:8" ht="33">
      <c r="A2622" s="160">
        <v>4</v>
      </c>
      <c r="B2622" s="160" t="s">
        <v>2396</v>
      </c>
      <c r="C2622" s="157" t="s">
        <v>14</v>
      </c>
      <c r="D2622" s="159">
        <v>1</v>
      </c>
      <c r="E2622" s="159">
        <v>462.8</v>
      </c>
      <c r="F2622" s="159">
        <v>462.8</v>
      </c>
      <c r="G2622" s="160" t="s">
        <v>2</v>
      </c>
      <c r="H2622" s="34" t="s">
        <v>925</v>
      </c>
    </row>
    <row r="2623" spans="1:8" ht="33">
      <c r="A2623" s="160">
        <v>5</v>
      </c>
      <c r="B2623" s="160" t="s">
        <v>931</v>
      </c>
      <c r="C2623" s="157" t="s">
        <v>14</v>
      </c>
      <c r="D2623" s="159">
        <v>1</v>
      </c>
      <c r="E2623" s="159">
        <v>67.13</v>
      </c>
      <c r="F2623" s="159">
        <v>67.13</v>
      </c>
      <c r="G2623" s="160" t="s">
        <v>2</v>
      </c>
      <c r="H2623" s="34" t="s">
        <v>925</v>
      </c>
    </row>
    <row r="2624" spans="1:8" ht="33">
      <c r="A2624" s="160"/>
      <c r="B2624" s="160" t="s">
        <v>933</v>
      </c>
      <c r="C2624" s="157" t="s">
        <v>2394</v>
      </c>
      <c r="D2624" s="159">
        <v>1</v>
      </c>
      <c r="E2624" s="159"/>
      <c r="F2624" s="159">
        <v>2304.79</v>
      </c>
      <c r="G2624" s="160"/>
      <c r="H2624" s="34" t="s">
        <v>925</v>
      </c>
    </row>
    <row r="2625" spans="1:8" ht="33">
      <c r="A2625" s="160"/>
      <c r="B2625" s="160" t="s">
        <v>934</v>
      </c>
      <c r="C2625" s="157" t="s">
        <v>2394</v>
      </c>
      <c r="D2625" s="159"/>
      <c r="E2625" s="159"/>
      <c r="F2625" s="159">
        <v>2304.79</v>
      </c>
      <c r="G2625" s="160"/>
      <c r="H2625" s="34" t="s">
        <v>925</v>
      </c>
    </row>
    <row r="2626" spans="1:8" ht="33">
      <c r="A2626" s="160"/>
      <c r="B2626" s="160"/>
      <c r="C2626" s="157"/>
      <c r="D2626" s="159"/>
      <c r="E2626" s="159"/>
      <c r="F2626" s="159"/>
      <c r="G2626" s="160"/>
      <c r="H2626" s="34" t="s">
        <v>925</v>
      </c>
    </row>
    <row r="2627" spans="1:8" ht="28.5">
      <c r="A2627" s="160" t="s">
        <v>2592</v>
      </c>
      <c r="B2627" s="160" t="s">
        <v>2399</v>
      </c>
      <c r="C2627" s="157" t="s">
        <v>2400</v>
      </c>
      <c r="D2627" s="159">
        <v>1</v>
      </c>
      <c r="E2627" s="159">
        <v>4232.16</v>
      </c>
      <c r="F2627" s="159"/>
      <c r="G2627" s="160" t="s">
        <v>4389</v>
      </c>
    </row>
    <row r="2628" spans="1:8" ht="33">
      <c r="A2628" s="160">
        <v>1</v>
      </c>
      <c r="B2628" s="160" t="s">
        <v>2402</v>
      </c>
      <c r="C2628" s="157" t="s">
        <v>927</v>
      </c>
      <c r="D2628" s="159">
        <v>1</v>
      </c>
      <c r="E2628" s="159">
        <v>379.5</v>
      </c>
      <c r="F2628" s="159">
        <v>379.5</v>
      </c>
      <c r="G2628" s="160" t="s">
        <v>2</v>
      </c>
      <c r="H2628" s="34" t="s">
        <v>925</v>
      </c>
    </row>
    <row r="2629" spans="1:8" ht="33">
      <c r="A2629" s="160">
        <v>2</v>
      </c>
      <c r="B2629" s="160" t="s">
        <v>1774</v>
      </c>
      <c r="C2629" s="157" t="s">
        <v>927</v>
      </c>
      <c r="D2629" s="159">
        <v>1.1000000000000001</v>
      </c>
      <c r="E2629" s="159">
        <v>1314.35</v>
      </c>
      <c r="F2629" s="159">
        <v>1445.79</v>
      </c>
      <c r="G2629" s="160" t="s">
        <v>2</v>
      </c>
      <c r="H2629" s="34" t="s">
        <v>925</v>
      </c>
    </row>
    <row r="2630" spans="1:8" ht="33">
      <c r="A2630" s="160">
        <v>3</v>
      </c>
      <c r="B2630" s="160" t="s">
        <v>4964</v>
      </c>
      <c r="C2630" s="157" t="s">
        <v>927</v>
      </c>
      <c r="D2630" s="159">
        <v>1.1000000000000001</v>
      </c>
      <c r="E2630" s="159">
        <v>371.17</v>
      </c>
      <c r="F2630" s="159">
        <v>408.29</v>
      </c>
      <c r="G2630" s="160" t="s">
        <v>5454</v>
      </c>
      <c r="H2630" s="34" t="s">
        <v>925</v>
      </c>
    </row>
    <row r="2631" spans="1:8" ht="33">
      <c r="A2631" s="160">
        <v>4</v>
      </c>
      <c r="B2631" s="160" t="s">
        <v>997</v>
      </c>
      <c r="C2631" s="157" t="s">
        <v>927</v>
      </c>
      <c r="D2631" s="159">
        <v>1.03</v>
      </c>
      <c r="E2631" s="159">
        <v>1073.7</v>
      </c>
      <c r="F2631" s="159">
        <v>1105.9100000000001</v>
      </c>
      <c r="G2631" s="160" t="s">
        <v>2</v>
      </c>
      <c r="H2631" s="34" t="s">
        <v>925</v>
      </c>
    </row>
    <row r="2632" spans="1:8" ht="33">
      <c r="A2632" s="160">
        <v>5</v>
      </c>
      <c r="B2632" s="160" t="s">
        <v>1086</v>
      </c>
      <c r="C2632" s="157" t="s">
        <v>927</v>
      </c>
      <c r="D2632" s="159">
        <v>1.03</v>
      </c>
      <c r="E2632" s="159">
        <v>371.17</v>
      </c>
      <c r="F2632" s="159">
        <v>382.31</v>
      </c>
      <c r="G2632" s="160" t="s">
        <v>2</v>
      </c>
      <c r="H2632" s="34" t="s">
        <v>925</v>
      </c>
    </row>
    <row r="2633" spans="1:8" ht="33">
      <c r="A2633" s="160">
        <v>6</v>
      </c>
      <c r="B2633" s="160" t="s">
        <v>2369</v>
      </c>
      <c r="C2633" s="157" t="s">
        <v>927</v>
      </c>
      <c r="D2633" s="159">
        <v>1.02</v>
      </c>
      <c r="E2633" s="159">
        <v>379.5</v>
      </c>
      <c r="F2633" s="159">
        <v>387.09</v>
      </c>
      <c r="G2633" s="160" t="s">
        <v>2</v>
      </c>
      <c r="H2633" s="34" t="s">
        <v>925</v>
      </c>
    </row>
    <row r="2634" spans="1:8" ht="33">
      <c r="A2634" s="160">
        <v>7</v>
      </c>
      <c r="B2634" s="160" t="s">
        <v>931</v>
      </c>
      <c r="C2634" s="157" t="s">
        <v>14</v>
      </c>
      <c r="D2634" s="159">
        <v>1</v>
      </c>
      <c r="E2634" s="159">
        <v>123.27</v>
      </c>
      <c r="F2634" s="159">
        <v>123.27</v>
      </c>
      <c r="G2634" s="160" t="s">
        <v>2</v>
      </c>
      <c r="H2634" s="34" t="s">
        <v>925</v>
      </c>
    </row>
    <row r="2635" spans="1:8" ht="33">
      <c r="A2635" s="160"/>
      <c r="B2635" s="160" t="s">
        <v>933</v>
      </c>
      <c r="C2635" s="157" t="s">
        <v>2400</v>
      </c>
      <c r="D2635" s="159">
        <v>1</v>
      </c>
      <c r="E2635" s="159"/>
      <c r="F2635" s="159">
        <v>4232.16</v>
      </c>
      <c r="G2635" s="160"/>
      <c r="H2635" s="34" t="s">
        <v>925</v>
      </c>
    </row>
    <row r="2636" spans="1:8" ht="33">
      <c r="A2636" s="160"/>
      <c r="B2636" s="160" t="s">
        <v>934</v>
      </c>
      <c r="C2636" s="157" t="s">
        <v>2400</v>
      </c>
      <c r="D2636" s="159"/>
      <c r="E2636" s="159"/>
      <c r="F2636" s="159">
        <v>4232.16</v>
      </c>
      <c r="G2636" s="160"/>
      <c r="H2636" s="34" t="s">
        <v>925</v>
      </c>
    </row>
    <row r="2637" spans="1:8" ht="33">
      <c r="A2637" s="160"/>
      <c r="B2637" s="160"/>
      <c r="C2637" s="157"/>
      <c r="D2637" s="159"/>
      <c r="E2637" s="159"/>
      <c r="F2637" s="159"/>
      <c r="G2637" s="160"/>
      <c r="H2637" s="34" t="s">
        <v>925</v>
      </c>
    </row>
    <row r="2638" spans="1:8" ht="33">
      <c r="A2638" s="160" t="s">
        <v>2595</v>
      </c>
      <c r="B2638" s="160" t="s">
        <v>2405</v>
      </c>
      <c r="C2638" s="157" t="s">
        <v>3</v>
      </c>
      <c r="D2638" s="159">
        <v>100</v>
      </c>
      <c r="E2638" s="159">
        <v>32.15</v>
      </c>
      <c r="F2638" s="159"/>
      <c r="G2638" s="160" t="s">
        <v>2</v>
      </c>
      <c r="H2638" s="34" t="s">
        <v>925</v>
      </c>
    </row>
    <row r="2639" spans="1:8" ht="33">
      <c r="A2639" s="160">
        <v>1</v>
      </c>
      <c r="B2639" s="160" t="s">
        <v>1084</v>
      </c>
      <c r="C2639" s="157" t="s">
        <v>927</v>
      </c>
      <c r="D2639" s="159">
        <v>1</v>
      </c>
      <c r="E2639" s="159">
        <v>638.66999999999996</v>
      </c>
      <c r="F2639" s="159">
        <v>638.66999999999996</v>
      </c>
      <c r="G2639" s="160" t="s">
        <v>2</v>
      </c>
      <c r="H2639" s="34" t="s">
        <v>925</v>
      </c>
    </row>
    <row r="2640" spans="1:8" ht="33">
      <c r="A2640" s="160">
        <v>2</v>
      </c>
      <c r="B2640" s="160" t="s">
        <v>1086</v>
      </c>
      <c r="C2640" s="157" t="s">
        <v>927</v>
      </c>
      <c r="D2640" s="159">
        <v>1</v>
      </c>
      <c r="E2640" s="159">
        <v>371.17</v>
      </c>
      <c r="F2640" s="159">
        <v>371.17</v>
      </c>
      <c r="G2640" s="160" t="s">
        <v>2</v>
      </c>
      <c r="H2640" s="34" t="s">
        <v>925</v>
      </c>
    </row>
    <row r="2641" spans="1:8" ht="33">
      <c r="A2641" s="160">
        <v>3</v>
      </c>
      <c r="B2641" s="160" t="s">
        <v>4871</v>
      </c>
      <c r="C2641" s="157" t="s">
        <v>927</v>
      </c>
      <c r="D2641" s="159">
        <v>1</v>
      </c>
      <c r="E2641" s="159">
        <v>260.08999999999997</v>
      </c>
      <c r="F2641" s="159">
        <v>260.08999999999997</v>
      </c>
      <c r="G2641" s="160" t="s">
        <v>5435</v>
      </c>
      <c r="H2641" s="34" t="s">
        <v>925</v>
      </c>
    </row>
    <row r="2642" spans="1:8" ht="33">
      <c r="A2642" s="160">
        <v>4</v>
      </c>
      <c r="B2642" s="160" t="s">
        <v>2396</v>
      </c>
      <c r="C2642" s="157" t="s">
        <v>14</v>
      </c>
      <c r="D2642" s="159">
        <v>1</v>
      </c>
      <c r="E2642" s="159">
        <v>462.8</v>
      </c>
      <c r="F2642" s="159">
        <v>462.8</v>
      </c>
      <c r="G2642" s="160" t="s">
        <v>2</v>
      </c>
      <c r="H2642" s="34" t="s">
        <v>925</v>
      </c>
    </row>
    <row r="2643" spans="1:8" ht="33">
      <c r="A2643" s="160">
        <v>5</v>
      </c>
      <c r="B2643" s="160" t="s">
        <v>2407</v>
      </c>
      <c r="C2643" s="157" t="s">
        <v>14</v>
      </c>
      <c r="D2643" s="159">
        <v>1</v>
      </c>
      <c r="E2643" s="159">
        <v>1388.4</v>
      </c>
      <c r="F2643" s="159">
        <v>1388.4</v>
      </c>
      <c r="G2643" s="160" t="s">
        <v>2</v>
      </c>
      <c r="H2643" s="34" t="s">
        <v>925</v>
      </c>
    </row>
    <row r="2644" spans="1:8" ht="16.5">
      <c r="A2644" s="160">
        <v>6</v>
      </c>
      <c r="B2644" s="160" t="s">
        <v>931</v>
      </c>
      <c r="C2644" s="157" t="s">
        <v>14</v>
      </c>
      <c r="D2644" s="159">
        <v>1</v>
      </c>
      <c r="E2644" s="159">
        <v>93.63</v>
      </c>
      <c r="F2644" s="159">
        <v>93.63</v>
      </c>
      <c r="G2644" s="160" t="s">
        <v>2</v>
      </c>
    </row>
    <row r="2645" spans="1:8" ht="33">
      <c r="A2645" s="160"/>
      <c r="B2645" s="160" t="s">
        <v>933</v>
      </c>
      <c r="C2645" s="157" t="s">
        <v>3</v>
      </c>
      <c r="D2645" s="159">
        <v>100</v>
      </c>
      <c r="E2645" s="159"/>
      <c r="F2645" s="159">
        <v>3214.76</v>
      </c>
      <c r="G2645" s="160"/>
      <c r="H2645" s="34" t="s">
        <v>925</v>
      </c>
    </row>
    <row r="2646" spans="1:8" ht="33">
      <c r="A2646" s="160"/>
      <c r="B2646" s="160" t="s">
        <v>934</v>
      </c>
      <c r="C2646" s="157" t="s">
        <v>3</v>
      </c>
      <c r="D2646" s="159"/>
      <c r="E2646" s="159"/>
      <c r="F2646" s="159">
        <v>32.15</v>
      </c>
      <c r="G2646" s="160"/>
      <c r="H2646" s="34" t="s">
        <v>925</v>
      </c>
    </row>
    <row r="2647" spans="1:8" ht="33">
      <c r="A2647" s="160"/>
      <c r="B2647" s="160"/>
      <c r="C2647" s="157"/>
      <c r="D2647" s="159"/>
      <c r="E2647" s="159"/>
      <c r="F2647" s="159"/>
      <c r="G2647" s="160"/>
      <c r="H2647" s="34" t="s">
        <v>925</v>
      </c>
    </row>
    <row r="2648" spans="1:8" ht="33">
      <c r="A2648" s="160" t="s">
        <v>2598</v>
      </c>
      <c r="B2648" s="160" t="s">
        <v>2410</v>
      </c>
      <c r="C2648" s="157" t="s">
        <v>0</v>
      </c>
      <c r="D2648" s="159">
        <v>100</v>
      </c>
      <c r="E2648" s="159">
        <v>2120.79</v>
      </c>
      <c r="F2648" s="159"/>
      <c r="G2648" s="160" t="s">
        <v>2</v>
      </c>
      <c r="H2648" s="34" t="s">
        <v>925</v>
      </c>
    </row>
    <row r="2649" spans="1:8" ht="33">
      <c r="A2649" s="160">
        <v>1</v>
      </c>
      <c r="B2649" s="160" t="s">
        <v>1084</v>
      </c>
      <c r="C2649" s="157" t="s">
        <v>927</v>
      </c>
      <c r="D2649" s="159">
        <v>16</v>
      </c>
      <c r="E2649" s="159">
        <v>638.66999999999996</v>
      </c>
      <c r="F2649" s="159">
        <v>10218.719999999999</v>
      </c>
      <c r="G2649" s="160" t="s">
        <v>2</v>
      </c>
      <c r="H2649" s="34" t="s">
        <v>925</v>
      </c>
    </row>
    <row r="2650" spans="1:8" ht="33">
      <c r="A2650" s="160">
        <v>2</v>
      </c>
      <c r="B2650" s="160" t="s">
        <v>1086</v>
      </c>
      <c r="C2650" s="157" t="s">
        <v>927</v>
      </c>
      <c r="D2650" s="159">
        <v>16</v>
      </c>
      <c r="E2650" s="159">
        <v>371.17</v>
      </c>
      <c r="F2650" s="159">
        <v>5938.72</v>
      </c>
      <c r="G2650" s="160" t="s">
        <v>2</v>
      </c>
      <c r="H2650" s="34" t="s">
        <v>925</v>
      </c>
    </row>
    <row r="2651" spans="1:8" ht="33">
      <c r="A2651" s="160">
        <v>3</v>
      </c>
      <c r="B2651" s="160" t="s">
        <v>4871</v>
      </c>
      <c r="C2651" s="157" t="s">
        <v>927</v>
      </c>
      <c r="D2651" s="159">
        <v>16</v>
      </c>
      <c r="E2651" s="159">
        <v>260.08999999999997</v>
      </c>
      <c r="F2651" s="159">
        <v>4161.4399999999996</v>
      </c>
      <c r="G2651" s="160" t="s">
        <v>5435</v>
      </c>
      <c r="H2651" s="34" t="s">
        <v>925</v>
      </c>
    </row>
    <row r="2652" spans="1:8" ht="33">
      <c r="A2652" s="160">
        <v>4</v>
      </c>
      <c r="B2652" s="160" t="s">
        <v>2396</v>
      </c>
      <c r="C2652" s="157" t="s">
        <v>14</v>
      </c>
      <c r="D2652" s="159">
        <v>1</v>
      </c>
      <c r="E2652" s="159">
        <v>462.8</v>
      </c>
      <c r="F2652" s="159">
        <v>462.8</v>
      </c>
      <c r="G2652" s="160" t="s">
        <v>2</v>
      </c>
      <c r="H2652" s="34" t="s">
        <v>925</v>
      </c>
    </row>
    <row r="2653" spans="1:8" ht="33">
      <c r="A2653" s="160">
        <v>5</v>
      </c>
      <c r="B2653" s="160" t="s">
        <v>2407</v>
      </c>
      <c r="C2653" s="157" t="s">
        <v>0</v>
      </c>
      <c r="D2653" s="159">
        <v>100</v>
      </c>
      <c r="E2653" s="159">
        <v>1851.2</v>
      </c>
      <c r="F2653" s="159">
        <v>185120</v>
      </c>
      <c r="G2653" s="160" t="s">
        <v>2</v>
      </c>
      <c r="H2653" s="34" t="s">
        <v>925</v>
      </c>
    </row>
    <row r="2654" spans="1:8" ht="33">
      <c r="A2654" s="160">
        <v>6</v>
      </c>
      <c r="B2654" s="160" t="s">
        <v>931</v>
      </c>
      <c r="C2654" s="157" t="s">
        <v>14</v>
      </c>
      <c r="D2654" s="159">
        <v>1</v>
      </c>
      <c r="E2654" s="159">
        <v>6177.05</v>
      </c>
      <c r="F2654" s="159">
        <v>6177.05</v>
      </c>
      <c r="G2654" s="160" t="s">
        <v>2</v>
      </c>
      <c r="H2654" s="34" t="s">
        <v>925</v>
      </c>
    </row>
    <row r="2655" spans="1:8" ht="33">
      <c r="A2655" s="160"/>
      <c r="B2655" s="160" t="s">
        <v>933</v>
      </c>
      <c r="C2655" s="157" t="s">
        <v>0</v>
      </c>
      <c r="D2655" s="159">
        <v>100</v>
      </c>
      <c r="E2655" s="159"/>
      <c r="F2655" s="159">
        <v>212078.72999999998</v>
      </c>
      <c r="G2655" s="160"/>
      <c r="H2655" s="34" t="s">
        <v>925</v>
      </c>
    </row>
    <row r="2656" spans="1:8" ht="33">
      <c r="A2656" s="160"/>
      <c r="B2656" s="160" t="s">
        <v>934</v>
      </c>
      <c r="C2656" s="157" t="s">
        <v>0</v>
      </c>
      <c r="D2656" s="159"/>
      <c r="E2656" s="159"/>
      <c r="F2656" s="159">
        <v>2120.79</v>
      </c>
      <c r="G2656" s="160"/>
      <c r="H2656" s="34" t="s">
        <v>925</v>
      </c>
    </row>
    <row r="2657" spans="1:8" ht="33">
      <c r="A2657" s="160"/>
      <c r="B2657" s="160"/>
      <c r="C2657" s="157"/>
      <c r="D2657" s="159"/>
      <c r="E2657" s="159"/>
      <c r="F2657" s="159"/>
      <c r="G2657" s="160"/>
      <c r="H2657" s="34" t="s">
        <v>925</v>
      </c>
    </row>
    <row r="2658" spans="1:8" ht="33">
      <c r="A2658" s="160" t="s">
        <v>2601</v>
      </c>
      <c r="B2658" s="160" t="s">
        <v>4390</v>
      </c>
      <c r="C2658" s="157" t="s">
        <v>927</v>
      </c>
      <c r="D2658" s="159">
        <v>8</v>
      </c>
      <c r="E2658" s="159">
        <v>191.71</v>
      </c>
      <c r="F2658" s="159"/>
      <c r="G2658" s="160" t="s">
        <v>4391</v>
      </c>
      <c r="H2658" s="34" t="s">
        <v>925</v>
      </c>
    </row>
    <row r="2659" spans="1:8" ht="42.75">
      <c r="A2659" s="160">
        <v>1</v>
      </c>
      <c r="B2659" s="160" t="s">
        <v>4997</v>
      </c>
      <c r="C2659" s="157" t="s">
        <v>927</v>
      </c>
      <c r="D2659" s="159">
        <v>8</v>
      </c>
      <c r="E2659" s="159">
        <v>58.31</v>
      </c>
      <c r="F2659" s="159">
        <v>466.48</v>
      </c>
      <c r="G2659" s="160" t="s">
        <v>5469</v>
      </c>
      <c r="H2659" s="34" t="s">
        <v>925</v>
      </c>
    </row>
    <row r="2660" spans="1:8" ht="33">
      <c r="A2660" s="160">
        <v>2</v>
      </c>
      <c r="B2660" s="160" t="s">
        <v>4999</v>
      </c>
      <c r="C2660" s="157" t="s">
        <v>14</v>
      </c>
      <c r="D2660" s="159">
        <v>1</v>
      </c>
      <c r="E2660" s="159">
        <v>647.96</v>
      </c>
      <c r="F2660" s="159">
        <v>647.96</v>
      </c>
      <c r="G2660" s="160" t="s">
        <v>5470</v>
      </c>
      <c r="H2660" s="34" t="s">
        <v>925</v>
      </c>
    </row>
    <row r="2661" spans="1:8" ht="16.5">
      <c r="A2661" s="160">
        <v>3</v>
      </c>
      <c r="B2661" s="160" t="s">
        <v>4871</v>
      </c>
      <c r="C2661" s="157" t="s">
        <v>927</v>
      </c>
      <c r="D2661" s="159">
        <v>1.44</v>
      </c>
      <c r="E2661" s="159">
        <v>260.08999999999997</v>
      </c>
      <c r="F2661" s="159">
        <v>374.53</v>
      </c>
      <c r="G2661" s="160" t="s">
        <v>2</v>
      </c>
    </row>
    <row r="2662" spans="1:8" ht="33">
      <c r="A2662" s="160">
        <v>4</v>
      </c>
      <c r="B2662" s="160" t="s">
        <v>931</v>
      </c>
      <c r="C2662" s="157" t="s">
        <v>14</v>
      </c>
      <c r="D2662" s="159">
        <v>1</v>
      </c>
      <c r="E2662" s="159">
        <v>44.67</v>
      </c>
      <c r="F2662" s="159">
        <v>44.67</v>
      </c>
      <c r="G2662" s="160" t="s">
        <v>2</v>
      </c>
      <c r="H2662" s="34" t="s">
        <v>925</v>
      </c>
    </row>
    <row r="2663" spans="1:8" ht="33">
      <c r="A2663" s="160"/>
      <c r="B2663" s="160" t="s">
        <v>933</v>
      </c>
      <c r="C2663" s="157" t="s">
        <v>927</v>
      </c>
      <c r="D2663" s="159">
        <v>8</v>
      </c>
      <c r="E2663" s="159"/>
      <c r="F2663" s="159">
        <v>1533.64</v>
      </c>
      <c r="G2663" s="160"/>
      <c r="H2663" s="34" t="s">
        <v>925</v>
      </c>
    </row>
    <row r="2664" spans="1:8" ht="33">
      <c r="A2664" s="160"/>
      <c r="B2664" s="160" t="s">
        <v>934</v>
      </c>
      <c r="C2664" s="157" t="s">
        <v>927</v>
      </c>
      <c r="D2664" s="159"/>
      <c r="E2664" s="159"/>
      <c r="F2664" s="159">
        <v>191.71</v>
      </c>
      <c r="G2664" s="160"/>
      <c r="H2664" s="34" t="s">
        <v>925</v>
      </c>
    </row>
    <row r="2665" spans="1:8" ht="33">
      <c r="A2665" s="160"/>
      <c r="B2665" s="160"/>
      <c r="C2665" s="157"/>
      <c r="D2665" s="159"/>
      <c r="E2665" s="159"/>
      <c r="F2665" s="159"/>
      <c r="G2665" s="160"/>
      <c r="H2665" s="34" t="s">
        <v>925</v>
      </c>
    </row>
    <row r="2666" spans="1:8" ht="33">
      <c r="A2666" s="160" t="s">
        <v>2604</v>
      </c>
      <c r="B2666" s="160" t="s">
        <v>4392</v>
      </c>
      <c r="C2666" s="157" t="s">
        <v>927</v>
      </c>
      <c r="D2666" s="159">
        <v>8</v>
      </c>
      <c r="E2666" s="159">
        <v>150.44</v>
      </c>
      <c r="F2666" s="159"/>
      <c r="G2666" s="160" t="s">
        <v>4393</v>
      </c>
      <c r="H2666" s="34" t="s">
        <v>925</v>
      </c>
    </row>
    <row r="2667" spans="1:8" ht="42.75">
      <c r="A2667" s="160">
        <v>1</v>
      </c>
      <c r="B2667" s="160" t="s">
        <v>5002</v>
      </c>
      <c r="C2667" s="157" t="s">
        <v>927</v>
      </c>
      <c r="D2667" s="159">
        <v>8</v>
      </c>
      <c r="E2667" s="159">
        <v>50.91</v>
      </c>
      <c r="F2667" s="159">
        <v>407.28</v>
      </c>
      <c r="G2667" s="160" t="s">
        <v>5471</v>
      </c>
      <c r="H2667" s="34" t="s">
        <v>925</v>
      </c>
    </row>
    <row r="2668" spans="1:8" ht="33">
      <c r="A2668" s="160">
        <v>2</v>
      </c>
      <c r="B2668" s="160" t="s">
        <v>4999</v>
      </c>
      <c r="C2668" s="157" t="s">
        <v>14</v>
      </c>
      <c r="D2668" s="159">
        <v>1</v>
      </c>
      <c r="E2668" s="159">
        <v>573.91</v>
      </c>
      <c r="F2668" s="159">
        <v>573.91</v>
      </c>
      <c r="G2668" s="160" t="s">
        <v>5470</v>
      </c>
      <c r="H2668" s="34" t="s">
        <v>925</v>
      </c>
    </row>
    <row r="2669" spans="1:8" ht="33">
      <c r="A2669" s="160">
        <v>3</v>
      </c>
      <c r="B2669" s="160" t="s">
        <v>4871</v>
      </c>
      <c r="C2669" s="157" t="s">
        <v>927</v>
      </c>
      <c r="D2669" s="159">
        <v>0.72</v>
      </c>
      <c r="E2669" s="159">
        <v>260.08999999999997</v>
      </c>
      <c r="F2669" s="159">
        <v>187.26</v>
      </c>
      <c r="G2669" s="160" t="s">
        <v>2</v>
      </c>
      <c r="H2669" s="34" t="s">
        <v>925</v>
      </c>
    </row>
    <row r="2670" spans="1:8" ht="33">
      <c r="A2670" s="160">
        <v>4</v>
      </c>
      <c r="B2670" s="160" t="s">
        <v>931</v>
      </c>
      <c r="C2670" s="157" t="s">
        <v>14</v>
      </c>
      <c r="D2670" s="159">
        <v>1</v>
      </c>
      <c r="E2670" s="159">
        <v>35.049999999999997</v>
      </c>
      <c r="F2670" s="159">
        <v>35.049999999999997</v>
      </c>
      <c r="G2670" s="160" t="s">
        <v>2</v>
      </c>
      <c r="H2670" s="34" t="s">
        <v>925</v>
      </c>
    </row>
    <row r="2671" spans="1:8" ht="33">
      <c r="A2671" s="160"/>
      <c r="B2671" s="160" t="s">
        <v>933</v>
      </c>
      <c r="C2671" s="157" t="s">
        <v>927</v>
      </c>
      <c r="D2671" s="159">
        <v>8</v>
      </c>
      <c r="E2671" s="159"/>
      <c r="F2671" s="159">
        <v>1203.4999999999998</v>
      </c>
      <c r="G2671" s="160"/>
      <c r="H2671" s="34" t="s">
        <v>925</v>
      </c>
    </row>
    <row r="2672" spans="1:8" ht="33">
      <c r="A2672" s="160"/>
      <c r="B2672" s="160" t="s">
        <v>934</v>
      </c>
      <c r="C2672" s="157" t="s">
        <v>927</v>
      </c>
      <c r="D2672" s="159"/>
      <c r="E2672" s="159"/>
      <c r="F2672" s="159">
        <v>150.44</v>
      </c>
      <c r="G2672" s="160"/>
      <c r="H2672" s="34" t="s">
        <v>925</v>
      </c>
    </row>
    <row r="2673" spans="1:8" ht="33">
      <c r="A2673" s="160"/>
      <c r="B2673" s="160"/>
      <c r="C2673" s="157"/>
      <c r="D2673" s="159"/>
      <c r="E2673" s="159"/>
      <c r="F2673" s="159"/>
      <c r="G2673" s="160"/>
      <c r="H2673" s="34" t="s">
        <v>925</v>
      </c>
    </row>
    <row r="2674" spans="1:8" ht="33">
      <c r="A2674" s="160" t="s">
        <v>2607</v>
      </c>
      <c r="B2674" s="160" t="s">
        <v>2381</v>
      </c>
      <c r="C2674" s="157" t="s">
        <v>927</v>
      </c>
      <c r="D2674" s="159">
        <v>1</v>
      </c>
      <c r="E2674" s="159">
        <v>2005.13</v>
      </c>
      <c r="F2674" s="159"/>
      <c r="G2674" s="160" t="s">
        <v>2</v>
      </c>
      <c r="H2674" s="34" t="s">
        <v>925</v>
      </c>
    </row>
    <row r="2675" spans="1:8" ht="33">
      <c r="A2675" s="160">
        <v>1</v>
      </c>
      <c r="B2675" s="160" t="s">
        <v>2419</v>
      </c>
      <c r="C2675" s="157" t="s">
        <v>927</v>
      </c>
      <c r="D2675" s="159">
        <v>1</v>
      </c>
      <c r="E2675" s="159">
        <v>1263.45</v>
      </c>
      <c r="F2675" s="159">
        <v>1263.45</v>
      </c>
      <c r="G2675" s="160" t="s">
        <v>2</v>
      </c>
      <c r="H2675" s="34" t="s">
        <v>925</v>
      </c>
    </row>
    <row r="2676" spans="1:8" ht="33">
      <c r="A2676" s="160">
        <v>2</v>
      </c>
      <c r="B2676" s="160" t="s">
        <v>4964</v>
      </c>
      <c r="C2676" s="157" t="s">
        <v>927</v>
      </c>
      <c r="D2676" s="159">
        <v>1</v>
      </c>
      <c r="E2676" s="159">
        <v>371.17</v>
      </c>
      <c r="F2676" s="159">
        <v>371.17</v>
      </c>
      <c r="G2676" s="160" t="s">
        <v>5454</v>
      </c>
      <c r="H2676" s="34" t="s">
        <v>925</v>
      </c>
    </row>
    <row r="2677" spans="1:8" ht="33">
      <c r="A2677" s="160">
        <v>3</v>
      </c>
      <c r="B2677" s="160" t="s">
        <v>4871</v>
      </c>
      <c r="C2677" s="157" t="s">
        <v>927</v>
      </c>
      <c r="D2677" s="159">
        <v>1.2</v>
      </c>
      <c r="E2677" s="159">
        <v>260.08999999999997</v>
      </c>
      <c r="F2677" s="159">
        <v>312.11</v>
      </c>
      <c r="G2677" s="160" t="s">
        <v>5435</v>
      </c>
      <c r="H2677" s="34" t="s">
        <v>925</v>
      </c>
    </row>
    <row r="2678" spans="1:8" ht="16.5">
      <c r="A2678" s="160">
        <v>4</v>
      </c>
      <c r="B2678" s="160" t="s">
        <v>931</v>
      </c>
      <c r="C2678" s="157" t="s">
        <v>14</v>
      </c>
      <c r="D2678" s="159">
        <v>1</v>
      </c>
      <c r="E2678" s="159">
        <v>58.4</v>
      </c>
      <c r="F2678" s="159">
        <v>58.4</v>
      </c>
      <c r="G2678" s="160" t="s">
        <v>2</v>
      </c>
    </row>
    <row r="2679" spans="1:8" ht="33">
      <c r="A2679" s="160"/>
      <c r="B2679" s="160" t="s">
        <v>933</v>
      </c>
      <c r="C2679" s="157" t="s">
        <v>927</v>
      </c>
      <c r="D2679" s="159">
        <v>1</v>
      </c>
      <c r="E2679" s="159"/>
      <c r="F2679" s="159">
        <v>2005.13</v>
      </c>
      <c r="G2679" s="160"/>
      <c r="H2679" s="34" t="s">
        <v>925</v>
      </c>
    </row>
    <row r="2680" spans="1:8" ht="33">
      <c r="A2680" s="160"/>
      <c r="B2680" s="160" t="s">
        <v>934</v>
      </c>
      <c r="C2680" s="157" t="s">
        <v>927</v>
      </c>
      <c r="D2680" s="159"/>
      <c r="E2680" s="159"/>
      <c r="F2680" s="159">
        <v>2005.13</v>
      </c>
      <c r="G2680" s="160"/>
      <c r="H2680" s="34" t="s">
        <v>925</v>
      </c>
    </row>
    <row r="2681" spans="1:8" ht="33">
      <c r="A2681" s="160"/>
      <c r="B2681" s="160"/>
      <c r="C2681" s="157"/>
      <c r="D2681" s="159"/>
      <c r="E2681" s="159"/>
      <c r="F2681" s="159"/>
      <c r="G2681" s="160"/>
      <c r="H2681" s="34" t="s">
        <v>925</v>
      </c>
    </row>
    <row r="2682" spans="1:8" ht="33">
      <c r="A2682" s="160" t="s">
        <v>2616</v>
      </c>
      <c r="B2682" s="160" t="s">
        <v>2422</v>
      </c>
      <c r="C2682" s="157" t="s">
        <v>927</v>
      </c>
      <c r="D2682" s="159">
        <v>1</v>
      </c>
      <c r="E2682" s="159">
        <v>3644.26</v>
      </c>
      <c r="F2682" s="159"/>
      <c r="G2682" s="160" t="s">
        <v>2</v>
      </c>
      <c r="H2682" s="34" t="s">
        <v>925</v>
      </c>
    </row>
    <row r="2683" spans="1:8" ht="33">
      <c r="A2683" s="160">
        <v>1</v>
      </c>
      <c r="B2683" s="160" t="s">
        <v>2424</v>
      </c>
      <c r="C2683" s="157" t="s">
        <v>927</v>
      </c>
      <c r="D2683" s="159">
        <v>1</v>
      </c>
      <c r="E2683" s="159">
        <v>2776.81</v>
      </c>
      <c r="F2683" s="159">
        <v>2776.81</v>
      </c>
      <c r="G2683" s="160" t="s">
        <v>2</v>
      </c>
      <c r="H2683" s="34" t="s">
        <v>925</v>
      </c>
    </row>
    <row r="2684" spans="1:8" ht="33">
      <c r="A2684" s="160">
        <v>2</v>
      </c>
      <c r="B2684" s="160" t="s">
        <v>4964</v>
      </c>
      <c r="C2684" s="157" t="s">
        <v>927</v>
      </c>
      <c r="D2684" s="159">
        <v>1</v>
      </c>
      <c r="E2684" s="159">
        <v>371.17</v>
      </c>
      <c r="F2684" s="159">
        <v>371.17</v>
      </c>
      <c r="G2684" s="160" t="s">
        <v>5454</v>
      </c>
      <c r="H2684" s="34" t="s">
        <v>925</v>
      </c>
    </row>
    <row r="2685" spans="1:8" ht="33">
      <c r="A2685" s="160">
        <v>3</v>
      </c>
      <c r="B2685" s="160" t="s">
        <v>4871</v>
      </c>
      <c r="C2685" s="157" t="s">
        <v>927</v>
      </c>
      <c r="D2685" s="159">
        <v>1.5</v>
      </c>
      <c r="E2685" s="159">
        <v>260.08999999999997</v>
      </c>
      <c r="F2685" s="159">
        <v>390.14</v>
      </c>
      <c r="G2685" s="160" t="s">
        <v>5435</v>
      </c>
      <c r="H2685" s="34" t="s">
        <v>925</v>
      </c>
    </row>
    <row r="2686" spans="1:8" ht="33">
      <c r="A2686" s="160">
        <v>4</v>
      </c>
      <c r="B2686" s="160" t="s">
        <v>931</v>
      </c>
      <c r="C2686" s="157" t="s">
        <v>14</v>
      </c>
      <c r="D2686" s="159">
        <v>1</v>
      </c>
      <c r="E2686" s="159">
        <v>106.14</v>
      </c>
      <c r="F2686" s="159">
        <v>106.14</v>
      </c>
      <c r="G2686" s="160" t="s">
        <v>2</v>
      </c>
      <c r="H2686" s="34" t="s">
        <v>925</v>
      </c>
    </row>
    <row r="2687" spans="1:8" ht="33">
      <c r="A2687" s="160"/>
      <c r="B2687" s="160" t="s">
        <v>933</v>
      </c>
      <c r="C2687" s="157" t="s">
        <v>927</v>
      </c>
      <c r="D2687" s="159">
        <v>1</v>
      </c>
      <c r="E2687" s="159"/>
      <c r="F2687" s="159">
        <v>3644.2599999999998</v>
      </c>
      <c r="G2687" s="160"/>
      <c r="H2687" s="34" t="s">
        <v>925</v>
      </c>
    </row>
    <row r="2688" spans="1:8" ht="33">
      <c r="A2688" s="160"/>
      <c r="B2688" s="160" t="s">
        <v>934</v>
      </c>
      <c r="C2688" s="157" t="s">
        <v>927</v>
      </c>
      <c r="D2688" s="159"/>
      <c r="E2688" s="159"/>
      <c r="F2688" s="159">
        <v>3644.26</v>
      </c>
      <c r="G2688" s="160"/>
      <c r="H2688" s="34" t="s">
        <v>925</v>
      </c>
    </row>
    <row r="2689" spans="1:8" ht="33">
      <c r="A2689" s="160"/>
      <c r="B2689" s="160"/>
      <c r="C2689" s="157"/>
      <c r="D2689" s="159"/>
      <c r="E2689" s="159"/>
      <c r="F2689" s="159"/>
      <c r="G2689" s="160"/>
      <c r="H2689" s="34" t="s">
        <v>925</v>
      </c>
    </row>
    <row r="2690" spans="1:8" ht="33">
      <c r="A2690" s="160" t="s">
        <v>2625</v>
      </c>
      <c r="B2690" s="160" t="s">
        <v>514</v>
      </c>
      <c r="C2690" s="157" t="s">
        <v>927</v>
      </c>
      <c r="D2690" s="159">
        <v>1</v>
      </c>
      <c r="E2690" s="159">
        <v>862.13</v>
      </c>
      <c r="F2690" s="159"/>
      <c r="G2690" s="160" t="s">
        <v>4394</v>
      </c>
      <c r="H2690" s="34" t="s">
        <v>925</v>
      </c>
    </row>
    <row r="2691" spans="1:8" ht="42.75">
      <c r="A2691" s="160">
        <v>1</v>
      </c>
      <c r="B2691" s="160" t="s">
        <v>2428</v>
      </c>
      <c r="C2691" s="157" t="s">
        <v>927</v>
      </c>
      <c r="D2691" s="159">
        <v>1</v>
      </c>
      <c r="E2691" s="159">
        <v>231.4</v>
      </c>
      <c r="F2691" s="159">
        <v>231.4</v>
      </c>
      <c r="G2691" s="160" t="s">
        <v>2</v>
      </c>
      <c r="H2691" s="34" t="s">
        <v>925</v>
      </c>
    </row>
    <row r="2692" spans="1:8" ht="33">
      <c r="A2692" s="160">
        <v>2</v>
      </c>
      <c r="B2692" s="160" t="s">
        <v>1767</v>
      </c>
      <c r="C2692" s="157" t="s">
        <v>14</v>
      </c>
      <c r="D2692" s="159">
        <v>1</v>
      </c>
      <c r="E2692" s="159">
        <v>231.4</v>
      </c>
      <c r="F2692" s="159">
        <v>231.4</v>
      </c>
      <c r="G2692" s="160" t="s">
        <v>2</v>
      </c>
      <c r="H2692" s="34" t="s">
        <v>925</v>
      </c>
    </row>
    <row r="2693" spans="1:8" ht="33">
      <c r="A2693" s="160">
        <v>3</v>
      </c>
      <c r="B2693" s="160" t="s">
        <v>4871</v>
      </c>
      <c r="C2693" s="157" t="s">
        <v>927</v>
      </c>
      <c r="D2693" s="159">
        <v>0.3</v>
      </c>
      <c r="E2693" s="159">
        <v>260.08999999999997</v>
      </c>
      <c r="F2693" s="159">
        <v>78.03</v>
      </c>
      <c r="G2693" s="160" t="s">
        <v>5435</v>
      </c>
      <c r="H2693" s="34" t="s">
        <v>925</v>
      </c>
    </row>
    <row r="2694" spans="1:8" ht="33">
      <c r="A2694" s="160">
        <v>4</v>
      </c>
      <c r="B2694" s="160" t="s">
        <v>2430</v>
      </c>
      <c r="C2694" s="157" t="s">
        <v>14</v>
      </c>
      <c r="D2694" s="159">
        <v>1</v>
      </c>
      <c r="E2694" s="159">
        <v>296.19</v>
      </c>
      <c r="F2694" s="159">
        <v>296.19</v>
      </c>
      <c r="G2694" s="160" t="s">
        <v>2</v>
      </c>
      <c r="H2694" s="34" t="s">
        <v>925</v>
      </c>
    </row>
    <row r="2695" spans="1:8" ht="16.5">
      <c r="A2695" s="160">
        <v>5</v>
      </c>
      <c r="B2695" s="160" t="s">
        <v>931</v>
      </c>
      <c r="C2695" s="157" t="s">
        <v>14</v>
      </c>
      <c r="D2695" s="159">
        <v>1</v>
      </c>
      <c r="E2695" s="159">
        <v>25.11</v>
      </c>
      <c r="F2695" s="159">
        <v>25.11</v>
      </c>
      <c r="G2695" s="160" t="s">
        <v>2</v>
      </c>
    </row>
    <row r="2696" spans="1:8" ht="33">
      <c r="A2696" s="160"/>
      <c r="B2696" s="160" t="s">
        <v>933</v>
      </c>
      <c r="C2696" s="157" t="s">
        <v>927</v>
      </c>
      <c r="D2696" s="159">
        <v>1</v>
      </c>
      <c r="E2696" s="159"/>
      <c r="F2696" s="159">
        <v>862.13</v>
      </c>
      <c r="G2696" s="160"/>
      <c r="H2696" s="34" t="s">
        <v>925</v>
      </c>
    </row>
    <row r="2697" spans="1:8" ht="33">
      <c r="A2697" s="160"/>
      <c r="B2697" s="160" t="s">
        <v>934</v>
      </c>
      <c r="C2697" s="157" t="s">
        <v>927</v>
      </c>
      <c r="D2697" s="159"/>
      <c r="E2697" s="159"/>
      <c r="F2697" s="159">
        <v>862.13</v>
      </c>
      <c r="G2697" s="160"/>
      <c r="H2697" s="34" t="s">
        <v>925</v>
      </c>
    </row>
    <row r="2698" spans="1:8" ht="33">
      <c r="A2698" s="160"/>
      <c r="B2698" s="160"/>
      <c r="C2698" s="157"/>
      <c r="D2698" s="159"/>
      <c r="E2698" s="159"/>
      <c r="F2698" s="159"/>
      <c r="G2698" s="160"/>
      <c r="H2698" s="34" t="s">
        <v>925</v>
      </c>
    </row>
    <row r="2699" spans="1:8" ht="33">
      <c r="A2699" s="160" t="s">
        <v>2630</v>
      </c>
      <c r="B2699" s="160" t="s">
        <v>2433</v>
      </c>
      <c r="C2699" s="157" t="s">
        <v>927</v>
      </c>
      <c r="D2699" s="159">
        <v>1</v>
      </c>
      <c r="E2699" s="159">
        <v>843.07</v>
      </c>
      <c r="F2699" s="159"/>
      <c r="G2699" s="160" t="s">
        <v>4394</v>
      </c>
      <c r="H2699" s="34" t="s">
        <v>925</v>
      </c>
    </row>
    <row r="2700" spans="1:8" ht="33">
      <c r="A2700" s="160">
        <v>1</v>
      </c>
      <c r="B2700" s="160" t="s">
        <v>2435</v>
      </c>
      <c r="C2700" s="157" t="s">
        <v>927</v>
      </c>
      <c r="D2700" s="159">
        <v>1</v>
      </c>
      <c r="E2700" s="159">
        <v>212.89</v>
      </c>
      <c r="F2700" s="159">
        <v>212.89</v>
      </c>
      <c r="G2700" s="160" t="s">
        <v>2</v>
      </c>
      <c r="H2700" s="34" t="s">
        <v>925</v>
      </c>
    </row>
    <row r="2701" spans="1:8" ht="33">
      <c r="A2701" s="160">
        <v>2</v>
      </c>
      <c r="B2701" s="160" t="s">
        <v>4871</v>
      </c>
      <c r="C2701" s="157" t="s">
        <v>927</v>
      </c>
      <c r="D2701" s="159">
        <v>0.3</v>
      </c>
      <c r="E2701" s="159">
        <v>260.08999999999997</v>
      </c>
      <c r="F2701" s="159">
        <v>78.03</v>
      </c>
      <c r="G2701" s="160" t="s">
        <v>5435</v>
      </c>
      <c r="H2701" s="34" t="s">
        <v>925</v>
      </c>
    </row>
    <row r="2702" spans="1:8" ht="33">
      <c r="A2702" s="160">
        <v>3</v>
      </c>
      <c r="B2702" s="160" t="s">
        <v>2430</v>
      </c>
      <c r="C2702" s="157" t="s">
        <v>14</v>
      </c>
      <c r="D2702" s="159">
        <v>1</v>
      </c>
      <c r="E2702" s="159">
        <v>296.19</v>
      </c>
      <c r="F2702" s="159">
        <v>296.19</v>
      </c>
      <c r="G2702" s="160" t="s">
        <v>2</v>
      </c>
      <c r="H2702" s="34" t="s">
        <v>925</v>
      </c>
    </row>
    <row r="2703" spans="1:8" ht="33">
      <c r="A2703" s="160">
        <v>4</v>
      </c>
      <c r="B2703" s="160" t="s">
        <v>1767</v>
      </c>
      <c r="C2703" s="157" t="s">
        <v>14</v>
      </c>
      <c r="D2703" s="159">
        <v>1</v>
      </c>
      <c r="E2703" s="159">
        <v>231.4</v>
      </c>
      <c r="F2703" s="159">
        <v>231.4</v>
      </c>
      <c r="G2703" s="160" t="s">
        <v>2</v>
      </c>
      <c r="H2703" s="34" t="s">
        <v>925</v>
      </c>
    </row>
    <row r="2704" spans="1:8" ht="33">
      <c r="A2704" s="160">
        <v>5</v>
      </c>
      <c r="B2704" s="160" t="s">
        <v>931</v>
      </c>
      <c r="C2704" s="157" t="s">
        <v>14</v>
      </c>
      <c r="D2704" s="159">
        <v>1</v>
      </c>
      <c r="E2704" s="159">
        <v>24.56</v>
      </c>
      <c r="F2704" s="159">
        <v>24.56</v>
      </c>
      <c r="G2704" s="160" t="s">
        <v>2</v>
      </c>
      <c r="H2704" s="34" t="s">
        <v>925</v>
      </c>
    </row>
    <row r="2705" spans="1:8" ht="33">
      <c r="A2705" s="160"/>
      <c r="B2705" s="160" t="s">
        <v>933</v>
      </c>
      <c r="C2705" s="157" t="s">
        <v>927</v>
      </c>
      <c r="D2705" s="159">
        <v>1</v>
      </c>
      <c r="E2705" s="159"/>
      <c r="F2705" s="159">
        <v>843.06999999999982</v>
      </c>
      <c r="G2705" s="160"/>
      <c r="H2705" s="34" t="s">
        <v>925</v>
      </c>
    </row>
    <row r="2706" spans="1:8" ht="33">
      <c r="A2706" s="160"/>
      <c r="B2706" s="160" t="s">
        <v>934</v>
      </c>
      <c r="C2706" s="157" t="s">
        <v>927</v>
      </c>
      <c r="D2706" s="159"/>
      <c r="E2706" s="159"/>
      <c r="F2706" s="159">
        <v>843.07</v>
      </c>
      <c r="G2706" s="160"/>
      <c r="H2706" s="34" t="s">
        <v>925</v>
      </c>
    </row>
    <row r="2707" spans="1:8" ht="33">
      <c r="A2707" s="160"/>
      <c r="B2707" s="160"/>
      <c r="C2707" s="157"/>
      <c r="D2707" s="159"/>
      <c r="E2707" s="159"/>
      <c r="F2707" s="159"/>
      <c r="G2707" s="160"/>
      <c r="H2707" s="34" t="s">
        <v>925</v>
      </c>
    </row>
    <row r="2708" spans="1:8" ht="33">
      <c r="A2708" s="160" t="s">
        <v>2641</v>
      </c>
      <c r="B2708" s="160" t="s">
        <v>2438</v>
      </c>
      <c r="C2708" s="157" t="s">
        <v>927</v>
      </c>
      <c r="D2708" s="159">
        <v>1</v>
      </c>
      <c r="E2708" s="159">
        <v>747.73</v>
      </c>
      <c r="F2708" s="159"/>
      <c r="G2708" s="160" t="s">
        <v>4394</v>
      </c>
      <c r="H2708" s="34" t="s">
        <v>925</v>
      </c>
    </row>
    <row r="2709" spans="1:8" ht="33">
      <c r="A2709" s="160">
        <v>1</v>
      </c>
      <c r="B2709" s="160" t="s">
        <v>2440</v>
      </c>
      <c r="C2709" s="157" t="s">
        <v>927</v>
      </c>
      <c r="D2709" s="159">
        <v>1</v>
      </c>
      <c r="E2709" s="159">
        <v>120.33</v>
      </c>
      <c r="F2709" s="159">
        <v>120.33</v>
      </c>
      <c r="G2709" s="160" t="s">
        <v>2</v>
      </c>
      <c r="H2709" s="34" t="s">
        <v>925</v>
      </c>
    </row>
    <row r="2710" spans="1:8" ht="33">
      <c r="A2710" s="160">
        <v>2</v>
      </c>
      <c r="B2710" s="160" t="s">
        <v>4871</v>
      </c>
      <c r="C2710" s="157" t="s">
        <v>927</v>
      </c>
      <c r="D2710" s="159">
        <v>0.3</v>
      </c>
      <c r="E2710" s="159">
        <v>260.08999999999997</v>
      </c>
      <c r="F2710" s="159">
        <v>78.03</v>
      </c>
      <c r="G2710" s="160" t="s">
        <v>5435</v>
      </c>
      <c r="H2710" s="34" t="s">
        <v>925</v>
      </c>
    </row>
    <row r="2711" spans="1:8" ht="33">
      <c r="A2711" s="160">
        <v>3</v>
      </c>
      <c r="B2711" s="160" t="s">
        <v>2430</v>
      </c>
      <c r="C2711" s="157" t="s">
        <v>14</v>
      </c>
      <c r="D2711" s="159">
        <v>1</v>
      </c>
      <c r="E2711" s="159">
        <v>296.19</v>
      </c>
      <c r="F2711" s="159">
        <v>296.19</v>
      </c>
      <c r="G2711" s="160" t="s">
        <v>2</v>
      </c>
      <c r="H2711" s="34" t="s">
        <v>925</v>
      </c>
    </row>
    <row r="2712" spans="1:8" ht="16.5">
      <c r="A2712" s="160">
        <v>4</v>
      </c>
      <c r="B2712" s="160" t="s">
        <v>1767</v>
      </c>
      <c r="C2712" s="157" t="s">
        <v>14</v>
      </c>
      <c r="D2712" s="159">
        <v>1</v>
      </c>
      <c r="E2712" s="159">
        <v>231.4</v>
      </c>
      <c r="F2712" s="159">
        <v>231.4</v>
      </c>
      <c r="G2712" s="160" t="s">
        <v>2</v>
      </c>
    </row>
    <row r="2713" spans="1:8" ht="33">
      <c r="A2713" s="160">
        <v>5</v>
      </c>
      <c r="B2713" s="160" t="s">
        <v>931</v>
      </c>
      <c r="C2713" s="157" t="s">
        <v>14</v>
      </c>
      <c r="D2713" s="159">
        <v>1</v>
      </c>
      <c r="E2713" s="159">
        <v>21.78</v>
      </c>
      <c r="F2713" s="159">
        <v>21.78</v>
      </c>
      <c r="G2713" s="160" t="s">
        <v>2</v>
      </c>
      <c r="H2713" s="34" t="s">
        <v>925</v>
      </c>
    </row>
    <row r="2714" spans="1:8" ht="33">
      <c r="A2714" s="160"/>
      <c r="B2714" s="160" t="s">
        <v>933</v>
      </c>
      <c r="C2714" s="157" t="s">
        <v>927</v>
      </c>
      <c r="D2714" s="159">
        <v>1</v>
      </c>
      <c r="E2714" s="159"/>
      <c r="F2714" s="159">
        <v>747.73</v>
      </c>
      <c r="G2714" s="160"/>
      <c r="H2714" s="34" t="s">
        <v>925</v>
      </c>
    </row>
    <row r="2715" spans="1:8" ht="33">
      <c r="A2715" s="160"/>
      <c r="B2715" s="160" t="s">
        <v>934</v>
      </c>
      <c r="C2715" s="157" t="s">
        <v>927</v>
      </c>
      <c r="D2715" s="159"/>
      <c r="E2715" s="159"/>
      <c r="F2715" s="159">
        <v>747.73</v>
      </c>
      <c r="G2715" s="160"/>
      <c r="H2715" s="34" t="s">
        <v>925</v>
      </c>
    </row>
    <row r="2716" spans="1:8" ht="33">
      <c r="A2716" s="160"/>
      <c r="B2716" s="160"/>
      <c r="C2716" s="157"/>
      <c r="D2716" s="159"/>
      <c r="E2716" s="159"/>
      <c r="F2716" s="159"/>
      <c r="G2716" s="160"/>
      <c r="H2716" s="34" t="s">
        <v>925</v>
      </c>
    </row>
    <row r="2717" spans="1:8" ht="33">
      <c r="A2717" s="160" t="s">
        <v>2652</v>
      </c>
      <c r="B2717" s="160" t="s">
        <v>2443</v>
      </c>
      <c r="C2717" s="157" t="s">
        <v>4395</v>
      </c>
      <c r="D2717" s="159">
        <v>1</v>
      </c>
      <c r="E2717" s="159">
        <v>29035.82</v>
      </c>
      <c r="F2717" s="159"/>
      <c r="G2717" s="160" t="s">
        <v>4396</v>
      </c>
      <c r="H2717" s="34" t="s">
        <v>925</v>
      </c>
    </row>
    <row r="2718" spans="1:8" ht="33">
      <c r="A2718" s="160">
        <v>1</v>
      </c>
      <c r="B2718" s="160" t="s">
        <v>2446</v>
      </c>
      <c r="C2718" s="157" t="s">
        <v>2447</v>
      </c>
      <c r="D2718" s="159">
        <v>1</v>
      </c>
      <c r="E2718" s="159">
        <v>23140.04</v>
      </c>
      <c r="F2718" s="159">
        <v>23140.04</v>
      </c>
      <c r="G2718" s="160" t="s">
        <v>2</v>
      </c>
      <c r="H2718" s="34" t="s">
        <v>925</v>
      </c>
    </row>
    <row r="2719" spans="1:8" ht="33">
      <c r="A2719" s="160">
        <v>2</v>
      </c>
      <c r="B2719" s="160" t="s">
        <v>2449</v>
      </c>
      <c r="C2719" s="157" t="s">
        <v>927</v>
      </c>
      <c r="D2719" s="159">
        <v>8</v>
      </c>
      <c r="E2719" s="159">
        <v>371.17</v>
      </c>
      <c r="F2719" s="159">
        <v>2969.36</v>
      </c>
      <c r="G2719" s="160" t="s">
        <v>2</v>
      </c>
      <c r="H2719" s="34" t="s">
        <v>925</v>
      </c>
    </row>
    <row r="2720" spans="1:8" ht="33">
      <c r="A2720" s="160">
        <v>3</v>
      </c>
      <c r="B2720" s="160" t="s">
        <v>4871</v>
      </c>
      <c r="C2720" s="157" t="s">
        <v>927</v>
      </c>
      <c r="D2720" s="159">
        <v>8</v>
      </c>
      <c r="E2720" s="159">
        <v>260.08999999999997</v>
      </c>
      <c r="F2720" s="159">
        <v>2080.7199999999998</v>
      </c>
      <c r="G2720" s="160" t="s">
        <v>5435</v>
      </c>
      <c r="H2720" s="34" t="s">
        <v>925</v>
      </c>
    </row>
    <row r="2721" spans="1:8" ht="33">
      <c r="A2721" s="160">
        <v>4</v>
      </c>
      <c r="B2721" s="160" t="s">
        <v>931</v>
      </c>
      <c r="C2721" s="157" t="s">
        <v>14</v>
      </c>
      <c r="D2721" s="159">
        <v>1</v>
      </c>
      <c r="E2721" s="159">
        <v>845.7</v>
      </c>
      <c r="F2721" s="159">
        <v>845.7</v>
      </c>
      <c r="G2721" s="160" t="s">
        <v>2</v>
      </c>
      <c r="H2721" s="34" t="s">
        <v>925</v>
      </c>
    </row>
    <row r="2722" spans="1:8" ht="33">
      <c r="A2722" s="160"/>
      <c r="B2722" s="160" t="s">
        <v>933</v>
      </c>
      <c r="C2722" s="157" t="s">
        <v>4395</v>
      </c>
      <c r="D2722" s="159">
        <v>1</v>
      </c>
      <c r="E2722" s="159"/>
      <c r="F2722" s="159">
        <v>29035.820000000003</v>
      </c>
      <c r="G2722" s="160"/>
      <c r="H2722" s="34" t="s">
        <v>925</v>
      </c>
    </row>
    <row r="2723" spans="1:8" ht="33">
      <c r="A2723" s="160"/>
      <c r="B2723" s="160" t="s">
        <v>934</v>
      </c>
      <c r="C2723" s="157" t="s">
        <v>4395</v>
      </c>
      <c r="D2723" s="159"/>
      <c r="E2723" s="159"/>
      <c r="F2723" s="159">
        <v>29035.82</v>
      </c>
      <c r="G2723" s="160"/>
      <c r="H2723" s="34" t="s">
        <v>925</v>
      </c>
    </row>
    <row r="2724" spans="1:8" ht="33">
      <c r="A2724" s="160"/>
      <c r="B2724" s="160"/>
      <c r="C2724" s="157"/>
      <c r="D2724" s="159"/>
      <c r="E2724" s="159"/>
      <c r="F2724" s="159"/>
      <c r="G2724" s="160"/>
      <c r="H2724" s="34" t="s">
        <v>925</v>
      </c>
    </row>
    <row r="2725" spans="1:8" ht="33">
      <c r="A2725" s="160" t="s">
        <v>2662</v>
      </c>
      <c r="B2725" s="160" t="s">
        <v>515</v>
      </c>
      <c r="C2725" s="157" t="s">
        <v>0</v>
      </c>
      <c r="D2725" s="159">
        <v>100</v>
      </c>
      <c r="E2725" s="159">
        <v>3112.58</v>
      </c>
      <c r="F2725" s="159"/>
      <c r="G2725" s="160" t="s">
        <v>2</v>
      </c>
      <c r="H2725" s="34" t="s">
        <v>925</v>
      </c>
    </row>
    <row r="2726" spans="1:8" ht="33">
      <c r="A2726" s="160">
        <v>1</v>
      </c>
      <c r="B2726" s="160" t="s">
        <v>1297</v>
      </c>
      <c r="C2726" s="157" t="s">
        <v>1121</v>
      </c>
      <c r="D2726" s="159">
        <v>111</v>
      </c>
      <c r="E2726" s="159">
        <v>661.81</v>
      </c>
      <c r="F2726" s="159">
        <v>73460.91</v>
      </c>
      <c r="G2726" s="160" t="s">
        <v>2</v>
      </c>
      <c r="H2726" s="34" t="s">
        <v>925</v>
      </c>
    </row>
    <row r="2727" spans="1:8" ht="33">
      <c r="A2727" s="160">
        <v>2</v>
      </c>
      <c r="B2727" s="160" t="s">
        <v>2453</v>
      </c>
      <c r="C2727" s="157" t="s">
        <v>1121</v>
      </c>
      <c r="D2727" s="159">
        <v>111</v>
      </c>
      <c r="E2727" s="159">
        <v>111.07</v>
      </c>
      <c r="F2727" s="159">
        <v>12328.77</v>
      </c>
      <c r="G2727" s="160" t="s">
        <v>2</v>
      </c>
      <c r="H2727" s="34" t="s">
        <v>925</v>
      </c>
    </row>
    <row r="2728" spans="1:8" ht="33">
      <c r="A2728" s="160">
        <v>3</v>
      </c>
      <c r="B2728" s="160" t="s">
        <v>2455</v>
      </c>
      <c r="C2728" s="157" t="s">
        <v>14</v>
      </c>
      <c r="D2728" s="159">
        <v>1</v>
      </c>
      <c r="E2728" s="159">
        <v>8330.42</v>
      </c>
      <c r="F2728" s="159">
        <v>8330.42</v>
      </c>
      <c r="G2728" s="160" t="s">
        <v>2</v>
      </c>
      <c r="H2728" s="34" t="s">
        <v>925</v>
      </c>
    </row>
    <row r="2729" spans="1:8" ht="16.5">
      <c r="A2729" s="160">
        <v>4</v>
      </c>
      <c r="B2729" s="160" t="s">
        <v>4871</v>
      </c>
      <c r="C2729" s="157" t="s">
        <v>927</v>
      </c>
      <c r="D2729" s="159">
        <v>800</v>
      </c>
      <c r="E2729" s="159">
        <v>260.08999999999997</v>
      </c>
      <c r="F2729" s="159">
        <v>208072</v>
      </c>
      <c r="G2729" s="160" t="s">
        <v>5435</v>
      </c>
    </row>
    <row r="2730" spans="1:8" ht="33">
      <c r="A2730" s="160">
        <v>5</v>
      </c>
      <c r="B2730" s="160" t="s">
        <v>931</v>
      </c>
      <c r="C2730" s="157" t="s">
        <v>14</v>
      </c>
      <c r="D2730" s="159">
        <v>1</v>
      </c>
      <c r="E2730" s="159">
        <v>9065.76</v>
      </c>
      <c r="F2730" s="159">
        <v>9065.76</v>
      </c>
      <c r="G2730" s="160" t="s">
        <v>2</v>
      </c>
      <c r="H2730" s="34" t="s">
        <v>925</v>
      </c>
    </row>
    <row r="2731" spans="1:8" ht="33">
      <c r="A2731" s="160"/>
      <c r="B2731" s="160" t="s">
        <v>933</v>
      </c>
      <c r="C2731" s="157" t="s">
        <v>0</v>
      </c>
      <c r="D2731" s="159">
        <v>100</v>
      </c>
      <c r="E2731" s="159"/>
      <c r="F2731" s="159">
        <v>311257.86</v>
      </c>
      <c r="G2731" s="160"/>
      <c r="H2731" s="34" t="s">
        <v>925</v>
      </c>
    </row>
    <row r="2732" spans="1:8" ht="33">
      <c r="A2732" s="160"/>
      <c r="B2732" s="160" t="s">
        <v>934</v>
      </c>
      <c r="C2732" s="157" t="s">
        <v>0</v>
      </c>
      <c r="D2732" s="159"/>
      <c r="E2732" s="159"/>
      <c r="F2732" s="159">
        <v>3112.58</v>
      </c>
      <c r="G2732" s="160"/>
      <c r="H2732" s="34" t="s">
        <v>925</v>
      </c>
    </row>
    <row r="2733" spans="1:8" ht="33">
      <c r="A2733" s="160"/>
      <c r="B2733" s="160"/>
      <c r="C2733" s="157"/>
      <c r="D2733" s="159"/>
      <c r="E2733" s="159"/>
      <c r="F2733" s="159"/>
      <c r="G2733" s="160"/>
      <c r="H2733" s="34" t="s">
        <v>925</v>
      </c>
    </row>
    <row r="2734" spans="1:8" ht="33">
      <c r="A2734" s="160" t="s">
        <v>2669</v>
      </c>
      <c r="B2734" s="160" t="s">
        <v>2458</v>
      </c>
      <c r="C2734" s="157" t="s">
        <v>2335</v>
      </c>
      <c r="D2734" s="159">
        <v>5</v>
      </c>
      <c r="E2734" s="159">
        <v>764.92</v>
      </c>
      <c r="F2734" s="159"/>
      <c r="G2734" s="160" t="s">
        <v>2</v>
      </c>
      <c r="H2734" s="34" t="s">
        <v>925</v>
      </c>
    </row>
    <row r="2735" spans="1:8" ht="33">
      <c r="A2735" s="160">
        <v>1</v>
      </c>
      <c r="B2735" s="160" t="s">
        <v>2460</v>
      </c>
      <c r="C2735" s="157" t="s">
        <v>927</v>
      </c>
      <c r="D2735" s="159">
        <v>8</v>
      </c>
      <c r="E2735" s="159">
        <v>371.17</v>
      </c>
      <c r="F2735" s="159">
        <v>2969.36</v>
      </c>
      <c r="G2735" s="160" t="s">
        <v>2</v>
      </c>
      <c r="H2735" s="34" t="s">
        <v>925</v>
      </c>
    </row>
    <row r="2736" spans="1:8" ht="33">
      <c r="A2736" s="160">
        <v>2</v>
      </c>
      <c r="B2736" s="160" t="s">
        <v>2462</v>
      </c>
      <c r="C2736" s="157" t="s">
        <v>927</v>
      </c>
      <c r="D2736" s="159">
        <v>4</v>
      </c>
      <c r="E2736" s="159">
        <v>166.61</v>
      </c>
      <c r="F2736" s="159">
        <v>666.44</v>
      </c>
      <c r="G2736" s="160" t="s">
        <v>2</v>
      </c>
      <c r="H2736" s="34" t="s">
        <v>925</v>
      </c>
    </row>
    <row r="2737" spans="1:8" ht="33">
      <c r="A2737" s="160">
        <v>3</v>
      </c>
      <c r="B2737" s="160" t="s">
        <v>2464</v>
      </c>
      <c r="C2737" s="157" t="s">
        <v>14</v>
      </c>
      <c r="D2737" s="159">
        <v>1</v>
      </c>
      <c r="E2737" s="159">
        <v>92.56</v>
      </c>
      <c r="F2737" s="159">
        <v>92.56</v>
      </c>
      <c r="G2737" s="160" t="s">
        <v>2</v>
      </c>
      <c r="H2737" s="34" t="s">
        <v>925</v>
      </c>
    </row>
    <row r="2738" spans="1:8" ht="33">
      <c r="A2738" s="160">
        <v>4</v>
      </c>
      <c r="B2738" s="160" t="s">
        <v>931</v>
      </c>
      <c r="C2738" s="157" t="s">
        <v>14</v>
      </c>
      <c r="D2738" s="159">
        <v>1</v>
      </c>
      <c r="E2738" s="159">
        <v>96.24</v>
      </c>
      <c r="F2738" s="159">
        <v>96.24</v>
      </c>
      <c r="G2738" s="160" t="s">
        <v>2</v>
      </c>
      <c r="H2738" s="34" t="s">
        <v>925</v>
      </c>
    </row>
    <row r="2739" spans="1:8" ht="33">
      <c r="A2739" s="160"/>
      <c r="B2739" s="160" t="s">
        <v>933</v>
      </c>
      <c r="C2739" s="157" t="s">
        <v>2335</v>
      </c>
      <c r="D2739" s="159">
        <v>5</v>
      </c>
      <c r="E2739" s="159"/>
      <c r="F2739" s="159">
        <v>3824.6</v>
      </c>
      <c r="G2739" s="160"/>
      <c r="H2739" s="34" t="s">
        <v>925</v>
      </c>
    </row>
    <row r="2740" spans="1:8" ht="33">
      <c r="A2740" s="160"/>
      <c r="B2740" s="160" t="s">
        <v>934</v>
      </c>
      <c r="C2740" s="157" t="s">
        <v>2335</v>
      </c>
      <c r="D2740" s="159"/>
      <c r="E2740" s="159"/>
      <c r="F2740" s="159">
        <v>764.92</v>
      </c>
      <c r="G2740" s="160"/>
      <c r="H2740" s="34" t="s">
        <v>925</v>
      </c>
    </row>
    <row r="2741" spans="1:8" ht="33">
      <c r="A2741" s="160"/>
      <c r="B2741" s="160"/>
      <c r="C2741" s="157"/>
      <c r="D2741" s="159"/>
      <c r="E2741" s="159"/>
      <c r="F2741" s="159"/>
      <c r="G2741" s="160"/>
      <c r="H2741" s="34" t="s">
        <v>925</v>
      </c>
    </row>
    <row r="2742" spans="1:8" ht="33">
      <c r="A2742" s="160" t="s">
        <v>2677</v>
      </c>
      <c r="B2742" s="160" t="s">
        <v>2468</v>
      </c>
      <c r="C2742" s="157" t="s">
        <v>0</v>
      </c>
      <c r="D2742" s="159">
        <v>1</v>
      </c>
      <c r="E2742" s="159">
        <v>46087.839999999997</v>
      </c>
      <c r="F2742" s="159"/>
      <c r="G2742" s="160" t="s">
        <v>4379</v>
      </c>
      <c r="H2742" s="34" t="s">
        <v>925</v>
      </c>
    </row>
    <row r="2743" spans="1:8" ht="33">
      <c r="A2743" s="160">
        <v>1</v>
      </c>
      <c r="B2743" s="160" t="s">
        <v>2470</v>
      </c>
      <c r="C2743" s="157" t="s">
        <v>18</v>
      </c>
      <c r="D2743" s="159">
        <v>2400</v>
      </c>
      <c r="E2743" s="159">
        <v>18.510000000000002</v>
      </c>
      <c r="F2743" s="159">
        <v>44424</v>
      </c>
      <c r="G2743" s="160" t="s">
        <v>2</v>
      </c>
      <c r="H2743" s="34" t="s">
        <v>925</v>
      </c>
    </row>
    <row r="2744" spans="1:8" ht="33">
      <c r="A2744" s="160">
        <v>2</v>
      </c>
      <c r="B2744" s="160" t="s">
        <v>2472</v>
      </c>
      <c r="C2744" s="157" t="s">
        <v>15</v>
      </c>
      <c r="D2744" s="159">
        <v>1</v>
      </c>
      <c r="E2744" s="159">
        <v>321.48</v>
      </c>
      <c r="F2744" s="159">
        <v>321.48</v>
      </c>
      <c r="G2744" s="160" t="s">
        <v>2</v>
      </c>
      <c r="H2744" s="34" t="s">
        <v>925</v>
      </c>
    </row>
    <row r="2745" spans="1:8" ht="33">
      <c r="A2745" s="160">
        <v>3</v>
      </c>
      <c r="B2745" s="160" t="s">
        <v>931</v>
      </c>
      <c r="C2745" s="157" t="s">
        <v>14</v>
      </c>
      <c r="D2745" s="159">
        <v>1</v>
      </c>
      <c r="E2745" s="159">
        <v>1342.36</v>
      </c>
      <c r="F2745" s="159">
        <v>1342.36</v>
      </c>
      <c r="G2745" s="160" t="s">
        <v>2</v>
      </c>
      <c r="H2745" s="34" t="s">
        <v>925</v>
      </c>
    </row>
    <row r="2746" spans="1:8" ht="16.5">
      <c r="A2746" s="160"/>
      <c r="B2746" s="160" t="s">
        <v>933</v>
      </c>
      <c r="C2746" s="157" t="s">
        <v>0</v>
      </c>
      <c r="D2746" s="159">
        <v>1</v>
      </c>
      <c r="E2746" s="159"/>
      <c r="F2746" s="159">
        <v>46087.840000000004</v>
      </c>
      <c r="G2746" s="160"/>
    </row>
    <row r="2747" spans="1:8" ht="33">
      <c r="A2747" s="160"/>
      <c r="B2747" s="160" t="s">
        <v>934</v>
      </c>
      <c r="C2747" s="157" t="s">
        <v>0</v>
      </c>
      <c r="D2747" s="159"/>
      <c r="E2747" s="159"/>
      <c r="F2747" s="159">
        <v>46087.839999999997</v>
      </c>
      <c r="G2747" s="160"/>
      <c r="H2747" s="34" t="s">
        <v>925</v>
      </c>
    </row>
    <row r="2748" spans="1:8" ht="33">
      <c r="A2748" s="160"/>
      <c r="B2748" s="160"/>
      <c r="C2748" s="157"/>
      <c r="D2748" s="159"/>
      <c r="E2748" s="159"/>
      <c r="F2748" s="159"/>
      <c r="G2748" s="160"/>
      <c r="H2748" s="34" t="s">
        <v>925</v>
      </c>
    </row>
    <row r="2749" spans="1:8" ht="33">
      <c r="A2749" s="160" t="s">
        <v>2683</v>
      </c>
      <c r="B2749" s="160" t="s">
        <v>2475</v>
      </c>
      <c r="C2749" s="157" t="s">
        <v>2238</v>
      </c>
      <c r="D2749" s="159">
        <v>1</v>
      </c>
      <c r="E2749" s="159">
        <v>54027.85</v>
      </c>
      <c r="F2749" s="159"/>
      <c r="G2749" s="160" t="s">
        <v>2</v>
      </c>
      <c r="H2749" s="34" t="s">
        <v>925</v>
      </c>
    </row>
    <row r="2750" spans="1:8" ht="33">
      <c r="A2750" s="160">
        <v>1</v>
      </c>
      <c r="B2750" s="160" t="s">
        <v>4874</v>
      </c>
      <c r="C2750" s="157" t="s">
        <v>927</v>
      </c>
      <c r="D2750" s="159">
        <v>28</v>
      </c>
      <c r="E2750" s="159">
        <v>520.19000000000005</v>
      </c>
      <c r="F2750" s="159">
        <v>14565.32</v>
      </c>
      <c r="G2750" s="160" t="s">
        <v>5436</v>
      </c>
      <c r="H2750" s="34" t="s">
        <v>925</v>
      </c>
    </row>
    <row r="2751" spans="1:8" ht="33">
      <c r="A2751" s="160">
        <v>2</v>
      </c>
      <c r="B2751" s="160" t="s">
        <v>929</v>
      </c>
      <c r="C2751" s="157" t="s">
        <v>927</v>
      </c>
      <c r="D2751" s="159">
        <v>9.6</v>
      </c>
      <c r="E2751" s="159">
        <v>1388.4</v>
      </c>
      <c r="F2751" s="159">
        <v>13328.64</v>
      </c>
      <c r="G2751" s="160" t="s">
        <v>2</v>
      </c>
      <c r="H2751" s="34" t="s">
        <v>925</v>
      </c>
    </row>
    <row r="2752" spans="1:8" ht="33">
      <c r="A2752" s="160">
        <v>3</v>
      </c>
      <c r="B2752" s="160" t="s">
        <v>4046</v>
      </c>
      <c r="C2752" s="157" t="s">
        <v>927</v>
      </c>
      <c r="D2752" s="159">
        <v>9.6</v>
      </c>
      <c r="E2752" s="159">
        <v>742.33</v>
      </c>
      <c r="F2752" s="159">
        <v>7126.37</v>
      </c>
      <c r="G2752" s="160" t="s">
        <v>2</v>
      </c>
      <c r="H2752" s="34" t="s">
        <v>925</v>
      </c>
    </row>
    <row r="2753" spans="1:8" ht="33">
      <c r="A2753" s="160">
        <v>4</v>
      </c>
      <c r="B2753" s="160" t="s">
        <v>4047</v>
      </c>
      <c r="C2753" s="157" t="s">
        <v>927</v>
      </c>
      <c r="D2753" s="159">
        <v>9.6</v>
      </c>
      <c r="E2753" s="159">
        <v>742.33</v>
      </c>
      <c r="F2753" s="159">
        <v>7126.37</v>
      </c>
      <c r="G2753" s="160" t="s">
        <v>2</v>
      </c>
      <c r="H2753" s="34" t="s">
        <v>925</v>
      </c>
    </row>
    <row r="2754" spans="1:8" ht="33">
      <c r="A2754" s="160">
        <v>5</v>
      </c>
      <c r="B2754" s="160" t="s">
        <v>997</v>
      </c>
      <c r="C2754" s="157" t="s">
        <v>927</v>
      </c>
      <c r="D2754" s="159">
        <v>9.6</v>
      </c>
      <c r="E2754" s="159">
        <v>1073.7</v>
      </c>
      <c r="F2754" s="159">
        <v>10307.52</v>
      </c>
      <c r="G2754" s="160" t="s">
        <v>2</v>
      </c>
      <c r="H2754" s="34" t="s">
        <v>925</v>
      </c>
    </row>
    <row r="2755" spans="1:8" ht="16.5">
      <c r="A2755" s="160">
        <v>6</v>
      </c>
      <c r="B2755" s="160" t="s">
        <v>931</v>
      </c>
      <c r="C2755" s="157" t="s">
        <v>14</v>
      </c>
      <c r="D2755" s="159">
        <v>1</v>
      </c>
      <c r="E2755" s="159">
        <v>1573.63</v>
      </c>
      <c r="F2755" s="159">
        <v>1573.63</v>
      </c>
      <c r="G2755" s="160" t="s">
        <v>2</v>
      </c>
    </row>
    <row r="2756" spans="1:8" ht="33">
      <c r="A2756" s="160"/>
      <c r="B2756" s="160" t="s">
        <v>933</v>
      </c>
      <c r="C2756" s="157" t="s">
        <v>2238</v>
      </c>
      <c r="D2756" s="159">
        <v>1</v>
      </c>
      <c r="E2756" s="159"/>
      <c r="F2756" s="159">
        <v>54027.85</v>
      </c>
      <c r="G2756" s="160"/>
      <c r="H2756" s="34" t="s">
        <v>925</v>
      </c>
    </row>
    <row r="2757" spans="1:8" ht="33">
      <c r="A2757" s="160"/>
      <c r="B2757" s="160" t="s">
        <v>934</v>
      </c>
      <c r="C2757" s="157" t="s">
        <v>2238</v>
      </c>
      <c r="D2757" s="159"/>
      <c r="E2757" s="159"/>
      <c r="F2757" s="159">
        <v>54027.85</v>
      </c>
      <c r="G2757" s="160"/>
      <c r="H2757" s="34" t="s">
        <v>925</v>
      </c>
    </row>
    <row r="2758" spans="1:8" ht="33">
      <c r="A2758" s="160"/>
      <c r="B2758" s="160"/>
      <c r="C2758" s="157"/>
      <c r="D2758" s="159"/>
      <c r="E2758" s="159"/>
      <c r="F2758" s="159"/>
      <c r="G2758" s="160"/>
      <c r="H2758" s="34" t="s">
        <v>925</v>
      </c>
    </row>
    <row r="2759" spans="1:8" ht="33">
      <c r="A2759" s="160" t="s">
        <v>2692</v>
      </c>
      <c r="B2759" s="160" t="s">
        <v>2480</v>
      </c>
      <c r="C2759" s="157" t="s">
        <v>2238</v>
      </c>
      <c r="D2759" s="159">
        <v>1</v>
      </c>
      <c r="E2759" s="159">
        <v>70213.78</v>
      </c>
      <c r="F2759" s="159"/>
      <c r="G2759" s="160" t="s">
        <v>2</v>
      </c>
      <c r="H2759" s="34" t="s">
        <v>925</v>
      </c>
    </row>
    <row r="2760" spans="1:8" ht="33">
      <c r="A2760" s="160">
        <v>1</v>
      </c>
      <c r="B2760" s="160" t="s">
        <v>4874</v>
      </c>
      <c r="C2760" s="157" t="s">
        <v>927</v>
      </c>
      <c r="D2760" s="159">
        <v>40</v>
      </c>
      <c r="E2760" s="159">
        <v>520.19000000000005</v>
      </c>
      <c r="F2760" s="159">
        <v>20807.599999999999</v>
      </c>
      <c r="G2760" s="160" t="s">
        <v>5436</v>
      </c>
      <c r="H2760" s="34" t="s">
        <v>925</v>
      </c>
    </row>
    <row r="2761" spans="1:8" ht="33">
      <c r="A2761" s="160">
        <v>2</v>
      </c>
      <c r="B2761" s="160" t="s">
        <v>929</v>
      </c>
      <c r="C2761" s="157" t="s">
        <v>927</v>
      </c>
      <c r="D2761" s="159">
        <v>12</v>
      </c>
      <c r="E2761" s="159">
        <v>1388.4</v>
      </c>
      <c r="F2761" s="159">
        <v>16660.8</v>
      </c>
      <c r="G2761" s="160" t="s">
        <v>2</v>
      </c>
      <c r="H2761" s="34" t="s">
        <v>925</v>
      </c>
    </row>
    <row r="2762" spans="1:8" ht="16.5">
      <c r="A2762" s="160">
        <v>3</v>
      </c>
      <c r="B2762" s="160" t="s">
        <v>4046</v>
      </c>
      <c r="C2762" s="157" t="s">
        <v>927</v>
      </c>
      <c r="D2762" s="159">
        <v>12</v>
      </c>
      <c r="E2762" s="159">
        <v>742.33</v>
      </c>
      <c r="F2762" s="159">
        <v>8907.9599999999991</v>
      </c>
      <c r="G2762" s="160" t="s">
        <v>2</v>
      </c>
    </row>
    <row r="2763" spans="1:8" ht="33">
      <c r="A2763" s="160">
        <v>4</v>
      </c>
      <c r="B2763" s="160" t="s">
        <v>4047</v>
      </c>
      <c r="C2763" s="157" t="s">
        <v>927</v>
      </c>
      <c r="D2763" s="159">
        <v>12</v>
      </c>
      <c r="E2763" s="159">
        <v>742.33</v>
      </c>
      <c r="F2763" s="159">
        <v>8907.9599999999991</v>
      </c>
      <c r="G2763" s="160" t="s">
        <v>2</v>
      </c>
      <c r="H2763" s="34" t="s">
        <v>925</v>
      </c>
    </row>
    <row r="2764" spans="1:8" ht="33">
      <c r="A2764" s="160">
        <v>5</v>
      </c>
      <c r="B2764" s="160" t="s">
        <v>997</v>
      </c>
      <c r="C2764" s="157" t="s">
        <v>927</v>
      </c>
      <c r="D2764" s="159">
        <v>12</v>
      </c>
      <c r="E2764" s="159">
        <v>1073.7</v>
      </c>
      <c r="F2764" s="159">
        <v>12884.4</v>
      </c>
      <c r="G2764" s="160" t="s">
        <v>2</v>
      </c>
      <c r="H2764" s="34" t="s">
        <v>925</v>
      </c>
    </row>
    <row r="2765" spans="1:8" ht="33">
      <c r="A2765" s="160">
        <v>6</v>
      </c>
      <c r="B2765" s="160" t="s">
        <v>931</v>
      </c>
      <c r="C2765" s="157" t="s">
        <v>14</v>
      </c>
      <c r="D2765" s="159">
        <v>1</v>
      </c>
      <c r="E2765" s="159">
        <v>2045.06</v>
      </c>
      <c r="F2765" s="159">
        <v>2045.06</v>
      </c>
      <c r="G2765" s="160" t="s">
        <v>2</v>
      </c>
      <c r="H2765" s="34" t="s">
        <v>925</v>
      </c>
    </row>
    <row r="2766" spans="1:8" ht="33">
      <c r="A2766" s="160"/>
      <c r="B2766" s="160" t="s">
        <v>933</v>
      </c>
      <c r="C2766" s="157" t="s">
        <v>2238</v>
      </c>
      <c r="D2766" s="159">
        <v>1</v>
      </c>
      <c r="E2766" s="159"/>
      <c r="F2766" s="159">
        <v>70213.779999999984</v>
      </c>
      <c r="G2766" s="160"/>
      <c r="H2766" s="34" t="s">
        <v>925</v>
      </c>
    </row>
    <row r="2767" spans="1:8" ht="33">
      <c r="A2767" s="160"/>
      <c r="B2767" s="160" t="s">
        <v>934</v>
      </c>
      <c r="C2767" s="157" t="s">
        <v>2238</v>
      </c>
      <c r="D2767" s="159"/>
      <c r="E2767" s="159"/>
      <c r="F2767" s="159">
        <v>70213.78</v>
      </c>
      <c r="G2767" s="160"/>
      <c r="H2767" s="34" t="s">
        <v>925</v>
      </c>
    </row>
    <row r="2768" spans="1:8" ht="33">
      <c r="A2768" s="160"/>
      <c r="B2768" s="160"/>
      <c r="C2768" s="157"/>
      <c r="D2768" s="159"/>
      <c r="E2768" s="159"/>
      <c r="F2768" s="159"/>
      <c r="G2768" s="160"/>
      <c r="H2768" s="34" t="s">
        <v>925</v>
      </c>
    </row>
    <row r="2769" spans="1:8" ht="33">
      <c r="A2769" s="160" t="s">
        <v>2701</v>
      </c>
      <c r="B2769" s="160" t="s">
        <v>2483</v>
      </c>
      <c r="C2769" s="157" t="s">
        <v>2238</v>
      </c>
      <c r="D2769" s="159">
        <v>1</v>
      </c>
      <c r="E2769" s="159">
        <v>39186.49</v>
      </c>
      <c r="F2769" s="159"/>
      <c r="G2769" s="160" t="s">
        <v>2</v>
      </c>
      <c r="H2769" s="34" t="s">
        <v>925</v>
      </c>
    </row>
    <row r="2770" spans="1:8" ht="16.5">
      <c r="A2770" s="160">
        <v>1</v>
      </c>
      <c r="B2770" s="160" t="s">
        <v>4871</v>
      </c>
      <c r="C2770" s="157" t="s">
        <v>927</v>
      </c>
      <c r="D2770" s="159">
        <v>28</v>
      </c>
      <c r="E2770" s="159">
        <v>260.08999999999997</v>
      </c>
      <c r="F2770" s="159">
        <v>7282.52</v>
      </c>
      <c r="G2770" s="160" t="s">
        <v>5435</v>
      </c>
    </row>
    <row r="2771" spans="1:8" ht="33">
      <c r="A2771" s="160">
        <v>2</v>
      </c>
      <c r="B2771" s="160" t="s">
        <v>4869</v>
      </c>
      <c r="C2771" s="157" t="s">
        <v>927</v>
      </c>
      <c r="D2771" s="159">
        <v>9.6</v>
      </c>
      <c r="E2771" s="159">
        <v>371.17</v>
      </c>
      <c r="F2771" s="159">
        <v>3563.23</v>
      </c>
      <c r="G2771" s="160" t="s">
        <v>5434</v>
      </c>
      <c r="H2771" s="34" t="s">
        <v>925</v>
      </c>
    </row>
    <row r="2772" spans="1:8" ht="33">
      <c r="A2772" s="160">
        <v>3</v>
      </c>
      <c r="B2772" s="160" t="s">
        <v>1086</v>
      </c>
      <c r="C2772" s="157" t="s">
        <v>927</v>
      </c>
      <c r="D2772" s="159">
        <v>9.6</v>
      </c>
      <c r="E2772" s="159">
        <v>371.17</v>
      </c>
      <c r="F2772" s="159">
        <v>3563.23</v>
      </c>
      <c r="G2772" s="160" t="s">
        <v>2</v>
      </c>
      <c r="H2772" s="34" t="s">
        <v>925</v>
      </c>
    </row>
    <row r="2773" spans="1:8" ht="33">
      <c r="A2773" s="160">
        <v>4</v>
      </c>
      <c r="B2773" s="160" t="s">
        <v>929</v>
      </c>
      <c r="C2773" s="157" t="s">
        <v>927</v>
      </c>
      <c r="D2773" s="159">
        <v>9.6</v>
      </c>
      <c r="E2773" s="159">
        <v>1388.4</v>
      </c>
      <c r="F2773" s="159">
        <v>13328.64</v>
      </c>
      <c r="G2773" s="160" t="s">
        <v>2</v>
      </c>
      <c r="H2773" s="34" t="s">
        <v>925</v>
      </c>
    </row>
    <row r="2774" spans="1:8" ht="33">
      <c r="A2774" s="160">
        <v>5</v>
      </c>
      <c r="B2774" s="160" t="s">
        <v>997</v>
      </c>
      <c r="C2774" s="157" t="s">
        <v>927</v>
      </c>
      <c r="D2774" s="159">
        <v>9.6</v>
      </c>
      <c r="E2774" s="159">
        <v>1073.7</v>
      </c>
      <c r="F2774" s="159">
        <v>10307.52</v>
      </c>
      <c r="G2774" s="160" t="s">
        <v>2</v>
      </c>
      <c r="H2774" s="34" t="s">
        <v>925</v>
      </c>
    </row>
    <row r="2775" spans="1:8" ht="33">
      <c r="A2775" s="160">
        <v>6</v>
      </c>
      <c r="B2775" s="160" t="s">
        <v>931</v>
      </c>
      <c r="C2775" s="157" t="s">
        <v>14</v>
      </c>
      <c r="D2775" s="159">
        <v>1</v>
      </c>
      <c r="E2775" s="159">
        <v>1141.3499999999999</v>
      </c>
      <c r="F2775" s="159">
        <v>1141.3499999999999</v>
      </c>
      <c r="G2775" s="160" t="s">
        <v>2</v>
      </c>
      <c r="H2775" s="34" t="s">
        <v>925</v>
      </c>
    </row>
    <row r="2776" spans="1:8" ht="33">
      <c r="A2776" s="160"/>
      <c r="B2776" s="160" t="s">
        <v>933</v>
      </c>
      <c r="C2776" s="157" t="s">
        <v>2238</v>
      </c>
      <c r="D2776" s="159">
        <v>1</v>
      </c>
      <c r="E2776" s="159"/>
      <c r="F2776" s="159">
        <v>39186.49</v>
      </c>
      <c r="G2776" s="160"/>
      <c r="H2776" s="34" t="s">
        <v>925</v>
      </c>
    </row>
    <row r="2777" spans="1:8" ht="33">
      <c r="A2777" s="160"/>
      <c r="B2777" s="160" t="s">
        <v>934</v>
      </c>
      <c r="C2777" s="157" t="s">
        <v>2238</v>
      </c>
      <c r="D2777" s="159"/>
      <c r="E2777" s="159"/>
      <c r="F2777" s="159">
        <v>39186.49</v>
      </c>
      <c r="G2777" s="160"/>
      <c r="H2777" s="34" t="s">
        <v>925</v>
      </c>
    </row>
    <row r="2778" spans="1:8" ht="33">
      <c r="A2778" s="160"/>
      <c r="B2778" s="160"/>
      <c r="C2778" s="157"/>
      <c r="D2778" s="159"/>
      <c r="E2778" s="159"/>
      <c r="F2778" s="159"/>
      <c r="G2778" s="160"/>
      <c r="H2778" s="34" t="s">
        <v>925</v>
      </c>
    </row>
    <row r="2779" spans="1:8" ht="28.5">
      <c r="A2779" s="160" t="s">
        <v>2706</v>
      </c>
      <c r="B2779" s="160" t="s">
        <v>2486</v>
      </c>
      <c r="C2779" s="157" t="s">
        <v>2238</v>
      </c>
      <c r="D2779" s="159">
        <v>1</v>
      </c>
      <c r="E2779" s="159">
        <v>50322.59</v>
      </c>
      <c r="F2779" s="159"/>
      <c r="G2779" s="160" t="s">
        <v>2</v>
      </c>
    </row>
    <row r="2780" spans="1:8" ht="33">
      <c r="A2780" s="160">
        <v>1</v>
      </c>
      <c r="B2780" s="160" t="s">
        <v>929</v>
      </c>
      <c r="C2780" s="157" t="s">
        <v>927</v>
      </c>
      <c r="D2780" s="159">
        <v>12</v>
      </c>
      <c r="E2780" s="159">
        <v>1388.4</v>
      </c>
      <c r="F2780" s="159">
        <v>16660.8</v>
      </c>
      <c r="G2780" s="160" t="s">
        <v>2</v>
      </c>
      <c r="H2780" s="34" t="s">
        <v>925</v>
      </c>
    </row>
    <row r="2781" spans="1:8" ht="33">
      <c r="A2781" s="160">
        <v>2</v>
      </c>
      <c r="B2781" s="160" t="s">
        <v>4871</v>
      </c>
      <c r="C2781" s="157" t="s">
        <v>927</v>
      </c>
      <c r="D2781" s="159">
        <v>40</v>
      </c>
      <c r="E2781" s="159">
        <v>260.08999999999997</v>
      </c>
      <c r="F2781" s="159">
        <v>10403.6</v>
      </c>
      <c r="G2781" s="160" t="s">
        <v>5435</v>
      </c>
      <c r="H2781" s="34" t="s">
        <v>925</v>
      </c>
    </row>
    <row r="2782" spans="1:8" ht="33">
      <c r="A2782" s="160">
        <v>3</v>
      </c>
      <c r="B2782" s="160" t="s">
        <v>1086</v>
      </c>
      <c r="C2782" s="157" t="s">
        <v>927</v>
      </c>
      <c r="D2782" s="159">
        <v>12</v>
      </c>
      <c r="E2782" s="159">
        <v>371.17</v>
      </c>
      <c r="F2782" s="159">
        <v>4454.04</v>
      </c>
      <c r="G2782" s="160" t="s">
        <v>2</v>
      </c>
      <c r="H2782" s="34" t="s">
        <v>925</v>
      </c>
    </row>
    <row r="2783" spans="1:8" ht="33">
      <c r="A2783" s="160">
        <v>4</v>
      </c>
      <c r="B2783" s="160" t="s">
        <v>4869</v>
      </c>
      <c r="C2783" s="157" t="s">
        <v>927</v>
      </c>
      <c r="D2783" s="159">
        <v>12</v>
      </c>
      <c r="E2783" s="159">
        <v>371.17</v>
      </c>
      <c r="F2783" s="159">
        <v>4454.04</v>
      </c>
      <c r="G2783" s="160" t="s">
        <v>5434</v>
      </c>
      <c r="H2783" s="34" t="s">
        <v>925</v>
      </c>
    </row>
    <row r="2784" spans="1:8" ht="33">
      <c r="A2784" s="160">
        <v>5</v>
      </c>
      <c r="B2784" s="160" t="s">
        <v>997</v>
      </c>
      <c r="C2784" s="157" t="s">
        <v>927</v>
      </c>
      <c r="D2784" s="159">
        <v>12</v>
      </c>
      <c r="E2784" s="159">
        <v>1073.7</v>
      </c>
      <c r="F2784" s="159">
        <v>12884.4</v>
      </c>
      <c r="G2784" s="160" t="s">
        <v>2</v>
      </c>
      <c r="H2784" s="34" t="s">
        <v>925</v>
      </c>
    </row>
    <row r="2785" spans="1:8" ht="33">
      <c r="A2785" s="160">
        <v>6</v>
      </c>
      <c r="B2785" s="160" t="s">
        <v>931</v>
      </c>
      <c r="C2785" s="157" t="s">
        <v>14</v>
      </c>
      <c r="D2785" s="159">
        <v>1</v>
      </c>
      <c r="E2785" s="159">
        <v>1465.71</v>
      </c>
      <c r="F2785" s="159">
        <v>1465.71</v>
      </c>
      <c r="G2785" s="160" t="s">
        <v>2</v>
      </c>
      <c r="H2785" s="34" t="s">
        <v>925</v>
      </c>
    </row>
    <row r="2786" spans="1:8" ht="33">
      <c r="A2786" s="160"/>
      <c r="B2786" s="160" t="s">
        <v>933</v>
      </c>
      <c r="C2786" s="157" t="s">
        <v>2238</v>
      </c>
      <c r="D2786" s="159">
        <v>1</v>
      </c>
      <c r="E2786" s="159"/>
      <c r="F2786" s="159">
        <v>50322.590000000004</v>
      </c>
      <c r="G2786" s="160"/>
      <c r="H2786" s="34" t="s">
        <v>925</v>
      </c>
    </row>
    <row r="2787" spans="1:8" ht="33">
      <c r="A2787" s="160"/>
      <c r="B2787" s="160" t="s">
        <v>934</v>
      </c>
      <c r="C2787" s="157" t="s">
        <v>2238</v>
      </c>
      <c r="D2787" s="159"/>
      <c r="E2787" s="159"/>
      <c r="F2787" s="159">
        <v>50322.59</v>
      </c>
      <c r="G2787" s="160"/>
      <c r="H2787" s="34" t="s">
        <v>925</v>
      </c>
    </row>
    <row r="2788" spans="1:8" ht="16.5">
      <c r="A2788" s="160"/>
      <c r="B2788" s="160"/>
      <c r="C2788" s="157"/>
      <c r="D2788" s="159"/>
      <c r="E2788" s="159"/>
      <c r="F2788" s="159"/>
      <c r="G2788" s="160"/>
    </row>
    <row r="2789" spans="1:8" ht="33">
      <c r="A2789" s="160" t="s">
        <v>2711</v>
      </c>
      <c r="B2789" s="160" t="s">
        <v>2489</v>
      </c>
      <c r="C2789" s="157" t="s">
        <v>2490</v>
      </c>
      <c r="D2789" s="159">
        <v>1</v>
      </c>
      <c r="E2789" s="159">
        <v>2891.58</v>
      </c>
      <c r="F2789" s="159"/>
      <c r="G2789" s="160" t="s">
        <v>2</v>
      </c>
      <c r="H2789" s="34" t="s">
        <v>925</v>
      </c>
    </row>
    <row r="2790" spans="1:8" ht="33">
      <c r="A2790" s="160">
        <v>1</v>
      </c>
      <c r="B2790" s="160" t="s">
        <v>2492</v>
      </c>
      <c r="C2790" s="157" t="s">
        <v>14</v>
      </c>
      <c r="D2790" s="159">
        <v>1</v>
      </c>
      <c r="E2790" s="159">
        <v>1851.2</v>
      </c>
      <c r="F2790" s="159">
        <v>1851.2</v>
      </c>
      <c r="G2790" s="160" t="s">
        <v>2</v>
      </c>
      <c r="H2790" s="34" t="s">
        <v>925</v>
      </c>
    </row>
    <row r="2791" spans="1:8" ht="33">
      <c r="A2791" s="160">
        <v>2</v>
      </c>
      <c r="B2791" s="160" t="s">
        <v>2494</v>
      </c>
      <c r="C2791" s="157" t="s">
        <v>14</v>
      </c>
      <c r="D2791" s="159">
        <v>1</v>
      </c>
      <c r="E2791" s="159">
        <v>1040.3800000000001</v>
      </c>
      <c r="F2791" s="159">
        <v>1040.3800000000001</v>
      </c>
      <c r="G2791" s="160" t="s">
        <v>2</v>
      </c>
      <c r="H2791" s="34" t="s">
        <v>925</v>
      </c>
    </row>
    <row r="2792" spans="1:8" ht="33">
      <c r="A2792" s="160"/>
      <c r="B2792" s="160" t="s">
        <v>933</v>
      </c>
      <c r="C2792" s="157" t="s">
        <v>2490</v>
      </c>
      <c r="D2792" s="159">
        <v>1</v>
      </c>
      <c r="E2792" s="159"/>
      <c r="F2792" s="159">
        <v>2891.58</v>
      </c>
      <c r="G2792" s="160"/>
      <c r="H2792" s="34" t="s">
        <v>925</v>
      </c>
    </row>
    <row r="2793" spans="1:8" ht="33">
      <c r="A2793" s="160"/>
      <c r="B2793" s="160" t="s">
        <v>934</v>
      </c>
      <c r="C2793" s="157" t="s">
        <v>2490</v>
      </c>
      <c r="D2793" s="159"/>
      <c r="E2793" s="159"/>
      <c r="F2793" s="159">
        <v>2891.58</v>
      </c>
      <c r="G2793" s="160"/>
      <c r="H2793" s="34" t="s">
        <v>925</v>
      </c>
    </row>
    <row r="2794" spans="1:8" ht="33">
      <c r="A2794" s="160"/>
      <c r="B2794" s="160"/>
      <c r="C2794" s="157"/>
      <c r="D2794" s="159"/>
      <c r="E2794" s="159"/>
      <c r="F2794" s="159"/>
      <c r="G2794" s="160"/>
      <c r="H2794" s="34" t="s">
        <v>925</v>
      </c>
    </row>
    <row r="2795" spans="1:8" ht="33">
      <c r="A2795" s="160" t="s">
        <v>2724</v>
      </c>
      <c r="B2795" s="160" t="s">
        <v>2497</v>
      </c>
      <c r="C2795" s="157" t="s">
        <v>2490</v>
      </c>
      <c r="D2795" s="159">
        <v>1</v>
      </c>
      <c r="E2795" s="159">
        <v>723.82</v>
      </c>
      <c r="F2795" s="159"/>
      <c r="G2795" s="160" t="s">
        <v>2</v>
      </c>
      <c r="H2795" s="34" t="s">
        <v>925</v>
      </c>
    </row>
    <row r="2796" spans="1:8" ht="33">
      <c r="A2796" s="160">
        <v>1</v>
      </c>
      <c r="B2796" s="160" t="s">
        <v>2499</v>
      </c>
      <c r="C2796" s="157" t="s">
        <v>14</v>
      </c>
      <c r="D2796" s="159">
        <v>1</v>
      </c>
      <c r="E2796" s="159">
        <v>185.12</v>
      </c>
      <c r="F2796" s="159">
        <v>185.12</v>
      </c>
      <c r="G2796" s="160" t="s">
        <v>2</v>
      </c>
      <c r="H2796" s="34" t="s">
        <v>925</v>
      </c>
    </row>
    <row r="2797" spans="1:8" ht="16.5">
      <c r="A2797" s="160">
        <v>2</v>
      </c>
      <c r="B2797" s="160" t="s">
        <v>2501</v>
      </c>
      <c r="C2797" s="157" t="s">
        <v>14</v>
      </c>
      <c r="D2797" s="159">
        <v>1</v>
      </c>
      <c r="E2797" s="159">
        <v>520.19000000000005</v>
      </c>
      <c r="F2797" s="159">
        <v>520.19000000000005</v>
      </c>
      <c r="G2797" s="160" t="s">
        <v>2</v>
      </c>
    </row>
    <row r="2798" spans="1:8" ht="33">
      <c r="A2798" s="160">
        <v>3</v>
      </c>
      <c r="B2798" s="160" t="s">
        <v>2503</v>
      </c>
      <c r="C2798" s="157" t="s">
        <v>14</v>
      </c>
      <c r="D2798" s="159">
        <v>1</v>
      </c>
      <c r="E2798" s="159">
        <v>18.510000000000002</v>
      </c>
      <c r="F2798" s="159">
        <v>18.510000000000002</v>
      </c>
      <c r="G2798" s="160" t="s">
        <v>2</v>
      </c>
      <c r="H2798" s="34" t="s">
        <v>925</v>
      </c>
    </row>
    <row r="2799" spans="1:8" ht="33">
      <c r="A2799" s="160"/>
      <c r="B2799" s="160" t="s">
        <v>933</v>
      </c>
      <c r="C2799" s="157" t="s">
        <v>2490</v>
      </c>
      <c r="D2799" s="159">
        <v>1</v>
      </c>
      <c r="E2799" s="159"/>
      <c r="F2799" s="159">
        <v>723.82</v>
      </c>
      <c r="G2799" s="160"/>
      <c r="H2799" s="34" t="s">
        <v>925</v>
      </c>
    </row>
    <row r="2800" spans="1:8" ht="33">
      <c r="A2800" s="160"/>
      <c r="B2800" s="160" t="s">
        <v>934</v>
      </c>
      <c r="C2800" s="157" t="s">
        <v>2490</v>
      </c>
      <c r="D2800" s="159"/>
      <c r="E2800" s="159"/>
      <c r="F2800" s="159">
        <v>723.82</v>
      </c>
      <c r="G2800" s="160"/>
      <c r="H2800" s="34" t="s">
        <v>925</v>
      </c>
    </row>
    <row r="2801" spans="1:8" ht="33">
      <c r="A2801" s="160"/>
      <c r="B2801" s="160"/>
      <c r="C2801" s="157"/>
      <c r="D2801" s="159"/>
      <c r="E2801" s="159"/>
      <c r="F2801" s="159"/>
      <c r="G2801" s="160"/>
      <c r="H2801" s="34" t="s">
        <v>925</v>
      </c>
    </row>
    <row r="2802" spans="1:8" ht="33">
      <c r="A2802" s="160" t="s">
        <v>2731</v>
      </c>
      <c r="B2802" s="160" t="s">
        <v>2506</v>
      </c>
      <c r="C2802" s="157" t="s">
        <v>2490</v>
      </c>
      <c r="D2802" s="159">
        <v>1</v>
      </c>
      <c r="E2802" s="159">
        <v>3931.95</v>
      </c>
      <c r="F2802" s="159"/>
      <c r="G2802" s="160" t="s">
        <v>2</v>
      </c>
      <c r="H2802" s="34" t="s">
        <v>925</v>
      </c>
    </row>
    <row r="2803" spans="1:8" ht="33">
      <c r="A2803" s="160">
        <v>1</v>
      </c>
      <c r="B2803" s="160" t="s">
        <v>2492</v>
      </c>
      <c r="C2803" s="157" t="s">
        <v>14</v>
      </c>
      <c r="D2803" s="159">
        <v>1</v>
      </c>
      <c r="E2803" s="159">
        <v>1851.2</v>
      </c>
      <c r="F2803" s="159">
        <v>1851.2</v>
      </c>
      <c r="G2803" s="160" t="s">
        <v>2</v>
      </c>
      <c r="H2803" s="34" t="s">
        <v>925</v>
      </c>
    </row>
    <row r="2804" spans="1:8" ht="33">
      <c r="A2804" s="160">
        <v>2</v>
      </c>
      <c r="B2804" s="160" t="s">
        <v>2494</v>
      </c>
      <c r="C2804" s="157" t="s">
        <v>14</v>
      </c>
      <c r="D2804" s="159">
        <v>1</v>
      </c>
      <c r="E2804" s="159">
        <v>2080.75</v>
      </c>
      <c r="F2804" s="159">
        <v>2080.75</v>
      </c>
      <c r="G2804" s="160" t="s">
        <v>2</v>
      </c>
      <c r="H2804" s="34" t="s">
        <v>925</v>
      </c>
    </row>
    <row r="2805" spans="1:8" ht="16.5">
      <c r="A2805" s="160"/>
      <c r="B2805" s="160" t="s">
        <v>933</v>
      </c>
      <c r="C2805" s="157" t="s">
        <v>2490</v>
      </c>
      <c r="D2805" s="159">
        <v>1</v>
      </c>
      <c r="E2805" s="159"/>
      <c r="F2805" s="159">
        <v>3931.95</v>
      </c>
      <c r="G2805" s="160"/>
    </row>
    <row r="2806" spans="1:8" ht="33">
      <c r="A2806" s="160"/>
      <c r="B2806" s="160" t="s">
        <v>934</v>
      </c>
      <c r="C2806" s="157" t="s">
        <v>2490</v>
      </c>
      <c r="D2806" s="159"/>
      <c r="E2806" s="159"/>
      <c r="F2806" s="159">
        <v>3931.95</v>
      </c>
      <c r="G2806" s="160"/>
      <c r="H2806" s="34" t="s">
        <v>925</v>
      </c>
    </row>
    <row r="2807" spans="1:8" ht="33">
      <c r="A2807" s="160"/>
      <c r="B2807" s="160"/>
      <c r="C2807" s="157"/>
      <c r="D2807" s="159"/>
      <c r="E2807" s="159"/>
      <c r="F2807" s="159"/>
      <c r="G2807" s="160"/>
      <c r="H2807" s="34" t="s">
        <v>925</v>
      </c>
    </row>
    <row r="2808" spans="1:8" ht="33">
      <c r="A2808" s="160" t="s">
        <v>2736</v>
      </c>
      <c r="B2808" s="160" t="s">
        <v>2509</v>
      </c>
      <c r="C2808" s="157" t="s">
        <v>2490</v>
      </c>
      <c r="D2808" s="159">
        <v>1</v>
      </c>
      <c r="E2808" s="159">
        <v>1256.97</v>
      </c>
      <c r="F2808" s="159"/>
      <c r="G2808" s="160" t="s">
        <v>2</v>
      </c>
      <c r="H2808" s="34" t="s">
        <v>925</v>
      </c>
    </row>
    <row r="2809" spans="1:8" ht="33">
      <c r="A2809" s="160">
        <v>1</v>
      </c>
      <c r="B2809" s="160" t="s">
        <v>2499</v>
      </c>
      <c r="C2809" s="157" t="s">
        <v>14</v>
      </c>
      <c r="D2809" s="159">
        <v>1</v>
      </c>
      <c r="E2809" s="159">
        <v>185.12</v>
      </c>
      <c r="F2809" s="159">
        <v>185.12</v>
      </c>
      <c r="G2809" s="160" t="s">
        <v>2</v>
      </c>
      <c r="H2809" s="34" t="s">
        <v>925</v>
      </c>
    </row>
    <row r="2810" spans="1:8" ht="33">
      <c r="A2810" s="160">
        <v>2</v>
      </c>
      <c r="B2810" s="160" t="s">
        <v>2501</v>
      </c>
      <c r="C2810" s="157" t="s">
        <v>14</v>
      </c>
      <c r="D2810" s="159">
        <v>1</v>
      </c>
      <c r="E2810" s="159">
        <v>1040.3800000000001</v>
      </c>
      <c r="F2810" s="159">
        <v>1040.3800000000001</v>
      </c>
      <c r="G2810" s="160" t="s">
        <v>2</v>
      </c>
      <c r="H2810" s="34" t="s">
        <v>925</v>
      </c>
    </row>
    <row r="2811" spans="1:8" ht="33">
      <c r="A2811" s="160">
        <v>3</v>
      </c>
      <c r="B2811" s="160" t="s">
        <v>2503</v>
      </c>
      <c r="C2811" s="157" t="s">
        <v>14</v>
      </c>
      <c r="D2811" s="159">
        <v>1</v>
      </c>
      <c r="E2811" s="159">
        <v>31.47</v>
      </c>
      <c r="F2811" s="159">
        <v>31.47</v>
      </c>
      <c r="G2811" s="160" t="s">
        <v>2</v>
      </c>
      <c r="H2811" s="34" t="s">
        <v>925</v>
      </c>
    </row>
    <row r="2812" spans="1:8" ht="16.5">
      <c r="A2812" s="160"/>
      <c r="B2812" s="160" t="s">
        <v>933</v>
      </c>
      <c r="C2812" s="157" t="s">
        <v>2490</v>
      </c>
      <c r="D2812" s="159">
        <v>1</v>
      </c>
      <c r="E2812" s="159"/>
      <c r="F2812" s="159">
        <v>1256.97</v>
      </c>
      <c r="G2812" s="160"/>
    </row>
    <row r="2813" spans="1:8" ht="33">
      <c r="A2813" s="160"/>
      <c r="B2813" s="160" t="s">
        <v>934</v>
      </c>
      <c r="C2813" s="157" t="s">
        <v>2490</v>
      </c>
      <c r="D2813" s="159"/>
      <c r="E2813" s="159"/>
      <c r="F2813" s="159">
        <v>1256.97</v>
      </c>
      <c r="G2813" s="160"/>
      <c r="H2813" s="34" t="s">
        <v>925</v>
      </c>
    </row>
    <row r="2814" spans="1:8" ht="33">
      <c r="A2814" s="160"/>
      <c r="B2814" s="160"/>
      <c r="C2814" s="157"/>
      <c r="D2814" s="159"/>
      <c r="E2814" s="159"/>
      <c r="F2814" s="159"/>
      <c r="G2814" s="160"/>
      <c r="H2814" s="34" t="s">
        <v>925</v>
      </c>
    </row>
    <row r="2815" spans="1:8" ht="33">
      <c r="A2815" s="160" t="s">
        <v>2749</v>
      </c>
      <c r="B2815" s="160" t="s">
        <v>2512</v>
      </c>
      <c r="C2815" s="157" t="s">
        <v>2238</v>
      </c>
      <c r="D2815" s="159">
        <v>1</v>
      </c>
      <c r="E2815" s="159">
        <v>20928.28</v>
      </c>
      <c r="F2815" s="159"/>
      <c r="G2815" s="160" t="s">
        <v>2</v>
      </c>
      <c r="H2815" s="34" t="s">
        <v>925</v>
      </c>
    </row>
    <row r="2816" spans="1:8" ht="33">
      <c r="A2816" s="160">
        <v>1</v>
      </c>
      <c r="B2816" s="160" t="s">
        <v>4869</v>
      </c>
      <c r="C2816" s="157" t="s">
        <v>927</v>
      </c>
      <c r="D2816" s="159">
        <v>8</v>
      </c>
      <c r="E2816" s="159">
        <v>371.17</v>
      </c>
      <c r="F2816" s="159">
        <v>2969.36</v>
      </c>
      <c r="G2816" s="160" t="s">
        <v>5434</v>
      </c>
      <c r="H2816" s="34" t="s">
        <v>925</v>
      </c>
    </row>
    <row r="2817" spans="1:8" ht="33">
      <c r="A2817" s="160">
        <v>2</v>
      </c>
      <c r="B2817" s="160" t="s">
        <v>4871</v>
      </c>
      <c r="C2817" s="157" t="s">
        <v>927</v>
      </c>
      <c r="D2817" s="159">
        <v>24</v>
      </c>
      <c r="E2817" s="159">
        <v>260.08999999999997</v>
      </c>
      <c r="F2817" s="159">
        <v>6242.16</v>
      </c>
      <c r="G2817" s="160" t="s">
        <v>5435</v>
      </c>
      <c r="H2817" s="34" t="s">
        <v>925</v>
      </c>
    </row>
    <row r="2818" spans="1:8" ht="33">
      <c r="A2818" s="160">
        <v>3</v>
      </c>
      <c r="B2818" s="160" t="s">
        <v>929</v>
      </c>
      <c r="C2818" s="157" t="s">
        <v>927</v>
      </c>
      <c r="D2818" s="159">
        <v>8</v>
      </c>
      <c r="E2818" s="159">
        <v>1388.4</v>
      </c>
      <c r="F2818" s="159">
        <v>11107.2</v>
      </c>
      <c r="G2818" s="160" t="s">
        <v>2</v>
      </c>
      <c r="H2818" s="34" t="s">
        <v>925</v>
      </c>
    </row>
    <row r="2819" spans="1:8" ht="16.5">
      <c r="A2819" s="160">
        <v>4</v>
      </c>
      <c r="B2819" s="160" t="s">
        <v>931</v>
      </c>
      <c r="C2819" s="157" t="s">
        <v>14</v>
      </c>
      <c r="D2819" s="159">
        <v>1</v>
      </c>
      <c r="E2819" s="159">
        <v>609.55999999999995</v>
      </c>
      <c r="F2819" s="159">
        <v>609.55999999999995</v>
      </c>
      <c r="G2819" s="160" t="s">
        <v>2</v>
      </c>
    </row>
    <row r="2820" spans="1:8" ht="33">
      <c r="A2820" s="160"/>
      <c r="B2820" s="160" t="s">
        <v>933</v>
      </c>
      <c r="C2820" s="157" t="s">
        <v>2238</v>
      </c>
      <c r="D2820" s="159">
        <v>1</v>
      </c>
      <c r="E2820" s="159"/>
      <c r="F2820" s="159">
        <v>20928.280000000002</v>
      </c>
      <c r="G2820" s="160"/>
      <c r="H2820" s="34" t="s">
        <v>925</v>
      </c>
    </row>
    <row r="2821" spans="1:8" ht="33">
      <c r="A2821" s="160"/>
      <c r="B2821" s="160" t="s">
        <v>934</v>
      </c>
      <c r="C2821" s="157" t="s">
        <v>2238</v>
      </c>
      <c r="D2821" s="159"/>
      <c r="E2821" s="159"/>
      <c r="F2821" s="159">
        <v>20928.28</v>
      </c>
      <c r="G2821" s="160"/>
      <c r="H2821" s="34" t="s">
        <v>925</v>
      </c>
    </row>
    <row r="2822" spans="1:8" ht="33">
      <c r="A2822" s="160"/>
      <c r="B2822" s="160"/>
      <c r="C2822" s="157"/>
      <c r="D2822" s="159"/>
      <c r="E2822" s="159"/>
      <c r="F2822" s="159"/>
      <c r="G2822" s="160"/>
      <c r="H2822" s="34" t="s">
        <v>925</v>
      </c>
    </row>
    <row r="2823" spans="1:8" ht="33">
      <c r="A2823" s="160" t="s">
        <v>2754</v>
      </c>
      <c r="B2823" s="160" t="s">
        <v>2515</v>
      </c>
      <c r="C2823" s="157" t="s">
        <v>2238</v>
      </c>
      <c r="D2823" s="159">
        <v>1</v>
      </c>
      <c r="E2823" s="159">
        <v>30416.31</v>
      </c>
      <c r="F2823" s="159"/>
      <c r="G2823" s="160" t="s">
        <v>2</v>
      </c>
      <c r="H2823" s="34" t="s">
        <v>925</v>
      </c>
    </row>
    <row r="2824" spans="1:8" ht="33">
      <c r="A2824" s="160">
        <v>1</v>
      </c>
      <c r="B2824" s="160" t="s">
        <v>929</v>
      </c>
      <c r="C2824" s="157" t="s">
        <v>927</v>
      </c>
      <c r="D2824" s="159">
        <v>8</v>
      </c>
      <c r="E2824" s="159">
        <v>1388.4</v>
      </c>
      <c r="F2824" s="159">
        <v>11107.2</v>
      </c>
      <c r="G2824" s="160" t="s">
        <v>2</v>
      </c>
      <c r="H2824" s="34" t="s">
        <v>925</v>
      </c>
    </row>
    <row r="2825" spans="1:8" ht="33">
      <c r="A2825" s="160">
        <v>2</v>
      </c>
      <c r="B2825" s="160" t="s">
        <v>4046</v>
      </c>
      <c r="C2825" s="157" t="s">
        <v>927</v>
      </c>
      <c r="D2825" s="159">
        <v>8</v>
      </c>
      <c r="E2825" s="159">
        <v>742.33</v>
      </c>
      <c r="F2825" s="159">
        <v>5938.64</v>
      </c>
      <c r="G2825" s="160" t="s">
        <v>2</v>
      </c>
      <c r="H2825" s="34" t="s">
        <v>925</v>
      </c>
    </row>
    <row r="2826" spans="1:8" ht="33">
      <c r="A2826" s="160">
        <v>3</v>
      </c>
      <c r="B2826" s="160" t="s">
        <v>4874</v>
      </c>
      <c r="C2826" s="157" t="s">
        <v>927</v>
      </c>
      <c r="D2826" s="159">
        <v>24</v>
      </c>
      <c r="E2826" s="159">
        <v>520.19000000000005</v>
      </c>
      <c r="F2826" s="159">
        <v>12484.56</v>
      </c>
      <c r="G2826" s="160" t="s">
        <v>5436</v>
      </c>
      <c r="H2826" s="34" t="s">
        <v>925</v>
      </c>
    </row>
    <row r="2827" spans="1:8" ht="16.5">
      <c r="A2827" s="160">
        <v>4</v>
      </c>
      <c r="B2827" s="160" t="s">
        <v>931</v>
      </c>
      <c r="C2827" s="157" t="s">
        <v>14</v>
      </c>
      <c r="D2827" s="159">
        <v>1</v>
      </c>
      <c r="E2827" s="159">
        <v>885.91</v>
      </c>
      <c r="F2827" s="159">
        <v>885.91</v>
      </c>
      <c r="G2827" s="160" t="s">
        <v>2</v>
      </c>
    </row>
    <row r="2828" spans="1:8" ht="33">
      <c r="A2828" s="160"/>
      <c r="B2828" s="160" t="s">
        <v>933</v>
      </c>
      <c r="C2828" s="157" t="s">
        <v>2238</v>
      </c>
      <c r="D2828" s="159">
        <v>1</v>
      </c>
      <c r="E2828" s="159"/>
      <c r="F2828" s="159">
        <v>30416.31</v>
      </c>
      <c r="G2828" s="160"/>
      <c r="H2828" s="34" t="s">
        <v>925</v>
      </c>
    </row>
    <row r="2829" spans="1:8" ht="33">
      <c r="A2829" s="160"/>
      <c r="B2829" s="160" t="s">
        <v>934</v>
      </c>
      <c r="C2829" s="157" t="s">
        <v>2238</v>
      </c>
      <c r="D2829" s="159"/>
      <c r="E2829" s="159"/>
      <c r="F2829" s="159">
        <v>30416.31</v>
      </c>
      <c r="G2829" s="160"/>
      <c r="H2829" s="34" t="s">
        <v>925</v>
      </c>
    </row>
    <row r="2830" spans="1:8" ht="33">
      <c r="A2830" s="160"/>
      <c r="B2830" s="160"/>
      <c r="C2830" s="157"/>
      <c r="D2830" s="159"/>
      <c r="E2830" s="159"/>
      <c r="F2830" s="159"/>
      <c r="G2830" s="160"/>
      <c r="H2830" s="34" t="s">
        <v>925</v>
      </c>
    </row>
    <row r="2831" spans="1:8" ht="42.75">
      <c r="A2831" s="160" t="s">
        <v>2763</v>
      </c>
      <c r="B2831" s="160" t="s">
        <v>2518</v>
      </c>
      <c r="C2831" s="157" t="s">
        <v>2238</v>
      </c>
      <c r="D2831" s="159">
        <v>1</v>
      </c>
      <c r="E2831" s="159">
        <v>10052.31</v>
      </c>
      <c r="F2831" s="159"/>
      <c r="G2831" s="160" t="s">
        <v>2</v>
      </c>
      <c r="H2831" s="34" t="s">
        <v>925</v>
      </c>
    </row>
    <row r="2832" spans="1:8" ht="33">
      <c r="A2832" s="160">
        <v>1</v>
      </c>
      <c r="B2832" s="160" t="s">
        <v>2520</v>
      </c>
      <c r="C2832" s="157" t="s">
        <v>927</v>
      </c>
      <c r="D2832" s="159">
        <v>4</v>
      </c>
      <c r="E2832" s="159">
        <v>662.73</v>
      </c>
      <c r="F2832" s="159">
        <v>2650.92</v>
      </c>
      <c r="G2832" s="160" t="s">
        <v>2</v>
      </c>
      <c r="H2832" s="34" t="s">
        <v>925</v>
      </c>
    </row>
    <row r="2833" spans="1:8" ht="33">
      <c r="A2833" s="160">
        <v>2</v>
      </c>
      <c r="B2833" s="160" t="s">
        <v>2522</v>
      </c>
      <c r="C2833" s="157" t="s">
        <v>927</v>
      </c>
      <c r="D2833" s="159">
        <v>4</v>
      </c>
      <c r="E2833" s="159">
        <v>514.63</v>
      </c>
      <c r="F2833" s="159">
        <v>2058.52</v>
      </c>
      <c r="G2833" s="160" t="s">
        <v>2</v>
      </c>
      <c r="H2833" s="34" t="s">
        <v>925</v>
      </c>
    </row>
    <row r="2834" spans="1:8" ht="33">
      <c r="A2834" s="160">
        <v>3</v>
      </c>
      <c r="B2834" s="160" t="s">
        <v>4885</v>
      </c>
      <c r="C2834" s="157" t="s">
        <v>927</v>
      </c>
      <c r="D2834" s="159">
        <v>4</v>
      </c>
      <c r="E2834" s="159">
        <v>371.17</v>
      </c>
      <c r="F2834" s="159">
        <v>1484.68</v>
      </c>
      <c r="G2834" s="160" t="s">
        <v>5439</v>
      </c>
      <c r="H2834" s="34" t="s">
        <v>925</v>
      </c>
    </row>
    <row r="2835" spans="1:8" ht="16.5">
      <c r="A2835" s="160">
        <v>4</v>
      </c>
      <c r="B2835" s="160" t="s">
        <v>2524</v>
      </c>
      <c r="C2835" s="157" t="s">
        <v>927</v>
      </c>
      <c r="D2835" s="159">
        <v>4</v>
      </c>
      <c r="E2835" s="159">
        <v>371.17</v>
      </c>
      <c r="F2835" s="159">
        <v>1484.68</v>
      </c>
      <c r="G2835" s="160" t="s">
        <v>2</v>
      </c>
    </row>
    <row r="2836" spans="1:8" ht="33">
      <c r="A2836" s="160">
        <v>5</v>
      </c>
      <c r="B2836" s="160" t="s">
        <v>4871</v>
      </c>
      <c r="C2836" s="157" t="s">
        <v>927</v>
      </c>
      <c r="D2836" s="159">
        <v>8</v>
      </c>
      <c r="E2836" s="159">
        <v>260.08999999999997</v>
      </c>
      <c r="F2836" s="159">
        <v>2080.7199999999998</v>
      </c>
      <c r="G2836" s="160" t="s">
        <v>5435</v>
      </c>
      <c r="H2836" s="34" t="s">
        <v>925</v>
      </c>
    </row>
    <row r="2837" spans="1:8" ht="33">
      <c r="A2837" s="160">
        <v>6</v>
      </c>
      <c r="B2837" s="160" t="s">
        <v>931</v>
      </c>
      <c r="C2837" s="157" t="s">
        <v>14</v>
      </c>
      <c r="D2837" s="159">
        <v>1</v>
      </c>
      <c r="E2837" s="159">
        <v>292.79000000000002</v>
      </c>
      <c r="F2837" s="159">
        <v>292.79000000000002</v>
      </c>
      <c r="G2837" s="160" t="s">
        <v>2</v>
      </c>
      <c r="H2837" s="34" t="s">
        <v>925</v>
      </c>
    </row>
    <row r="2838" spans="1:8" ht="33">
      <c r="A2838" s="160"/>
      <c r="B2838" s="160" t="s">
        <v>933</v>
      </c>
      <c r="C2838" s="157" t="s">
        <v>2238</v>
      </c>
      <c r="D2838" s="159">
        <v>1</v>
      </c>
      <c r="E2838" s="159"/>
      <c r="F2838" s="159">
        <v>10052.310000000001</v>
      </c>
      <c r="G2838" s="160"/>
      <c r="H2838" s="34" t="s">
        <v>925</v>
      </c>
    </row>
    <row r="2839" spans="1:8" ht="33">
      <c r="A2839" s="160"/>
      <c r="B2839" s="160" t="s">
        <v>934</v>
      </c>
      <c r="C2839" s="157" t="s">
        <v>2238</v>
      </c>
      <c r="D2839" s="159"/>
      <c r="E2839" s="159"/>
      <c r="F2839" s="159">
        <v>10052.31</v>
      </c>
      <c r="G2839" s="160"/>
      <c r="H2839" s="34" t="s">
        <v>925</v>
      </c>
    </row>
    <row r="2840" spans="1:8" ht="33">
      <c r="A2840" s="160"/>
      <c r="B2840" s="160"/>
      <c r="C2840" s="157"/>
      <c r="D2840" s="159"/>
      <c r="E2840" s="159"/>
      <c r="F2840" s="159"/>
      <c r="G2840" s="160"/>
      <c r="H2840" s="34" t="s">
        <v>925</v>
      </c>
    </row>
    <row r="2841" spans="1:8" ht="42.75">
      <c r="A2841" s="160" t="s">
        <v>2777</v>
      </c>
      <c r="B2841" s="160" t="s">
        <v>2527</v>
      </c>
      <c r="C2841" s="157" t="s">
        <v>2238</v>
      </c>
      <c r="D2841" s="159">
        <v>1</v>
      </c>
      <c r="E2841" s="159">
        <v>19033.04</v>
      </c>
      <c r="F2841" s="159"/>
      <c r="G2841" s="160" t="s">
        <v>2</v>
      </c>
      <c r="H2841" s="34" t="s">
        <v>925</v>
      </c>
    </row>
    <row r="2842" spans="1:8" ht="33">
      <c r="A2842" s="160">
        <v>1</v>
      </c>
      <c r="B2842" s="160" t="s">
        <v>2520</v>
      </c>
      <c r="C2842" s="157" t="s">
        <v>927</v>
      </c>
      <c r="D2842" s="159">
        <v>8</v>
      </c>
      <c r="E2842" s="159">
        <v>662.73</v>
      </c>
      <c r="F2842" s="159">
        <v>5301.84</v>
      </c>
      <c r="G2842" s="160" t="s">
        <v>2</v>
      </c>
      <c r="H2842" s="34" t="s">
        <v>925</v>
      </c>
    </row>
    <row r="2843" spans="1:8" ht="16.5">
      <c r="A2843" s="160">
        <v>2</v>
      </c>
      <c r="B2843" s="160" t="s">
        <v>2524</v>
      </c>
      <c r="C2843" s="157" t="s">
        <v>927</v>
      </c>
      <c r="D2843" s="159">
        <v>8</v>
      </c>
      <c r="E2843" s="159">
        <v>371.17</v>
      </c>
      <c r="F2843" s="159">
        <v>2969.36</v>
      </c>
      <c r="G2843" s="160" t="s">
        <v>2</v>
      </c>
    </row>
    <row r="2844" spans="1:8" ht="33">
      <c r="A2844" s="160">
        <v>3</v>
      </c>
      <c r="B2844" s="160" t="s">
        <v>2522</v>
      </c>
      <c r="C2844" s="157" t="s">
        <v>927</v>
      </c>
      <c r="D2844" s="159">
        <v>8</v>
      </c>
      <c r="E2844" s="159">
        <v>514.63</v>
      </c>
      <c r="F2844" s="159">
        <v>4117.04</v>
      </c>
      <c r="G2844" s="160" t="s">
        <v>2</v>
      </c>
      <c r="H2844" s="34" t="s">
        <v>925</v>
      </c>
    </row>
    <row r="2845" spans="1:8" ht="33">
      <c r="A2845" s="160">
        <v>4</v>
      </c>
      <c r="B2845" s="160" t="s">
        <v>4885</v>
      </c>
      <c r="C2845" s="157" t="s">
        <v>927</v>
      </c>
      <c r="D2845" s="159">
        <v>8</v>
      </c>
      <c r="E2845" s="159">
        <v>371.17</v>
      </c>
      <c r="F2845" s="159">
        <v>2969.36</v>
      </c>
      <c r="G2845" s="160" t="s">
        <v>5439</v>
      </c>
      <c r="H2845" s="34" t="s">
        <v>925</v>
      </c>
    </row>
    <row r="2846" spans="1:8" ht="33">
      <c r="A2846" s="160">
        <v>5</v>
      </c>
      <c r="B2846" s="160" t="s">
        <v>4871</v>
      </c>
      <c r="C2846" s="157" t="s">
        <v>927</v>
      </c>
      <c r="D2846" s="159">
        <v>12</v>
      </c>
      <c r="E2846" s="159">
        <v>260.08999999999997</v>
      </c>
      <c r="F2846" s="159">
        <v>3121.08</v>
      </c>
      <c r="G2846" s="160" t="s">
        <v>5435</v>
      </c>
      <c r="H2846" s="34" t="s">
        <v>925</v>
      </c>
    </row>
    <row r="2847" spans="1:8" ht="33">
      <c r="A2847" s="160">
        <v>6</v>
      </c>
      <c r="B2847" s="160" t="s">
        <v>931</v>
      </c>
      <c r="C2847" s="157" t="s">
        <v>14</v>
      </c>
      <c r="D2847" s="159">
        <v>1</v>
      </c>
      <c r="E2847" s="159">
        <v>554.36</v>
      </c>
      <c r="F2847" s="159">
        <v>554.36</v>
      </c>
      <c r="G2847" s="160" t="s">
        <v>2</v>
      </c>
      <c r="H2847" s="34" t="s">
        <v>925</v>
      </c>
    </row>
    <row r="2848" spans="1:8" ht="33">
      <c r="A2848" s="160"/>
      <c r="B2848" s="160" t="s">
        <v>933</v>
      </c>
      <c r="C2848" s="157" t="s">
        <v>2238</v>
      </c>
      <c r="D2848" s="159">
        <v>1</v>
      </c>
      <c r="E2848" s="159"/>
      <c r="F2848" s="159">
        <v>19033.04</v>
      </c>
      <c r="G2848" s="160"/>
      <c r="H2848" s="34" t="s">
        <v>925</v>
      </c>
    </row>
    <row r="2849" spans="1:8" ht="33">
      <c r="A2849" s="160"/>
      <c r="B2849" s="160" t="s">
        <v>934</v>
      </c>
      <c r="C2849" s="157" t="s">
        <v>2238</v>
      </c>
      <c r="D2849" s="159"/>
      <c r="E2849" s="159"/>
      <c r="F2849" s="159">
        <v>19033.04</v>
      </c>
      <c r="G2849" s="160"/>
      <c r="H2849" s="34" t="s">
        <v>925</v>
      </c>
    </row>
    <row r="2850" spans="1:8" ht="33">
      <c r="A2850" s="160"/>
      <c r="B2850" s="160"/>
      <c r="C2850" s="157"/>
      <c r="D2850" s="159"/>
      <c r="E2850" s="159"/>
      <c r="F2850" s="159"/>
      <c r="G2850" s="160"/>
      <c r="H2850" s="34" t="s">
        <v>925</v>
      </c>
    </row>
    <row r="2851" spans="1:8" ht="42.75">
      <c r="A2851" s="160" t="s">
        <v>2780</v>
      </c>
      <c r="B2851" s="160" t="s">
        <v>2530</v>
      </c>
      <c r="C2851" s="157" t="s">
        <v>2238</v>
      </c>
      <c r="D2851" s="159">
        <v>1</v>
      </c>
      <c r="E2851" s="159">
        <v>15253.89</v>
      </c>
      <c r="F2851" s="159"/>
      <c r="G2851" s="160" t="s">
        <v>2</v>
      </c>
    </row>
    <row r="2852" spans="1:8" ht="33">
      <c r="A2852" s="160">
        <v>1</v>
      </c>
      <c r="B2852" s="160" t="s">
        <v>2520</v>
      </c>
      <c r="C2852" s="157" t="s">
        <v>927</v>
      </c>
      <c r="D2852" s="159">
        <v>4</v>
      </c>
      <c r="E2852" s="159">
        <v>662.73</v>
      </c>
      <c r="F2852" s="159">
        <v>2650.92</v>
      </c>
      <c r="G2852" s="160" t="s">
        <v>2</v>
      </c>
      <c r="H2852" s="34" t="s">
        <v>925</v>
      </c>
    </row>
    <row r="2853" spans="1:8" ht="33">
      <c r="A2853" s="160">
        <v>2</v>
      </c>
      <c r="B2853" s="160" t="s">
        <v>2532</v>
      </c>
      <c r="C2853" s="157" t="s">
        <v>927</v>
      </c>
      <c r="D2853" s="159">
        <v>4</v>
      </c>
      <c r="E2853" s="159">
        <v>742.33</v>
      </c>
      <c r="F2853" s="159">
        <v>2969.32</v>
      </c>
      <c r="G2853" s="160" t="s">
        <v>2</v>
      </c>
      <c r="H2853" s="34" t="s">
        <v>925</v>
      </c>
    </row>
    <row r="2854" spans="1:8" ht="33">
      <c r="A2854" s="160">
        <v>3</v>
      </c>
      <c r="B2854" s="160" t="s">
        <v>2522</v>
      </c>
      <c r="C2854" s="157" t="s">
        <v>927</v>
      </c>
      <c r="D2854" s="159">
        <v>4</v>
      </c>
      <c r="E2854" s="159">
        <v>514.63</v>
      </c>
      <c r="F2854" s="159">
        <v>2058.52</v>
      </c>
      <c r="G2854" s="160" t="s">
        <v>2</v>
      </c>
      <c r="H2854" s="34" t="s">
        <v>925</v>
      </c>
    </row>
    <row r="2855" spans="1:8" ht="33">
      <c r="A2855" s="160">
        <v>4</v>
      </c>
      <c r="B2855" s="160" t="s">
        <v>2534</v>
      </c>
      <c r="C2855" s="157" t="s">
        <v>927</v>
      </c>
      <c r="D2855" s="159">
        <v>4</v>
      </c>
      <c r="E2855" s="159">
        <v>742.33</v>
      </c>
      <c r="F2855" s="159">
        <v>2969.32</v>
      </c>
      <c r="G2855" s="160" t="s">
        <v>2</v>
      </c>
      <c r="H2855" s="34" t="s">
        <v>925</v>
      </c>
    </row>
    <row r="2856" spans="1:8" ht="33">
      <c r="A2856" s="160">
        <v>5</v>
      </c>
      <c r="B2856" s="160" t="s">
        <v>4874</v>
      </c>
      <c r="C2856" s="157" t="s">
        <v>927</v>
      </c>
      <c r="D2856" s="159">
        <v>8</v>
      </c>
      <c r="E2856" s="159">
        <v>520.19000000000005</v>
      </c>
      <c r="F2856" s="159">
        <v>4161.5200000000004</v>
      </c>
      <c r="G2856" s="160" t="s">
        <v>5436</v>
      </c>
      <c r="H2856" s="34" t="s">
        <v>925</v>
      </c>
    </row>
    <row r="2857" spans="1:8" ht="33">
      <c r="A2857" s="160">
        <v>6</v>
      </c>
      <c r="B2857" s="160" t="s">
        <v>931</v>
      </c>
      <c r="C2857" s="157" t="s">
        <v>14</v>
      </c>
      <c r="D2857" s="159">
        <v>1</v>
      </c>
      <c r="E2857" s="159">
        <v>444.29</v>
      </c>
      <c r="F2857" s="159">
        <v>444.29</v>
      </c>
      <c r="G2857" s="160" t="s">
        <v>2</v>
      </c>
      <c r="H2857" s="34" t="s">
        <v>925</v>
      </c>
    </row>
    <row r="2858" spans="1:8" ht="33">
      <c r="A2858" s="160"/>
      <c r="B2858" s="160" t="s">
        <v>933</v>
      </c>
      <c r="C2858" s="157" t="s">
        <v>2238</v>
      </c>
      <c r="D2858" s="159">
        <v>1</v>
      </c>
      <c r="E2858" s="159"/>
      <c r="F2858" s="159">
        <v>15253.890000000001</v>
      </c>
      <c r="G2858" s="160"/>
      <c r="H2858" s="34" t="s">
        <v>925</v>
      </c>
    </row>
    <row r="2859" spans="1:8" ht="33">
      <c r="A2859" s="160"/>
      <c r="B2859" s="160" t="s">
        <v>934</v>
      </c>
      <c r="C2859" s="157" t="s">
        <v>2238</v>
      </c>
      <c r="D2859" s="159"/>
      <c r="E2859" s="159"/>
      <c r="F2859" s="159">
        <v>15253.89</v>
      </c>
      <c r="G2859" s="160"/>
      <c r="H2859" s="34" t="s">
        <v>925</v>
      </c>
    </row>
    <row r="2860" spans="1:8" ht="33">
      <c r="A2860" s="160"/>
      <c r="B2860" s="160"/>
      <c r="C2860" s="157"/>
      <c r="D2860" s="159"/>
      <c r="E2860" s="159"/>
      <c r="F2860" s="159"/>
      <c r="G2860" s="160"/>
      <c r="H2860" s="34" t="s">
        <v>925</v>
      </c>
    </row>
    <row r="2861" spans="1:8" ht="42.75">
      <c r="A2861" s="160" t="s">
        <v>2784</v>
      </c>
      <c r="B2861" s="160" t="s">
        <v>2537</v>
      </c>
      <c r="C2861" s="157" t="s">
        <v>2238</v>
      </c>
      <c r="D2861" s="159">
        <v>1</v>
      </c>
      <c r="E2861" s="159">
        <v>28364.59</v>
      </c>
      <c r="F2861" s="159"/>
      <c r="G2861" s="160" t="s">
        <v>2</v>
      </c>
    </row>
    <row r="2862" spans="1:8" ht="33">
      <c r="A2862" s="160">
        <v>1</v>
      </c>
      <c r="B2862" s="160" t="s">
        <v>2520</v>
      </c>
      <c r="C2862" s="157" t="s">
        <v>927</v>
      </c>
      <c r="D2862" s="159">
        <v>8</v>
      </c>
      <c r="E2862" s="159">
        <v>662.73</v>
      </c>
      <c r="F2862" s="159">
        <v>5301.84</v>
      </c>
      <c r="G2862" s="160" t="s">
        <v>2</v>
      </c>
      <c r="H2862" s="34" t="s">
        <v>925</v>
      </c>
    </row>
    <row r="2863" spans="1:8" ht="33">
      <c r="A2863" s="160">
        <v>2</v>
      </c>
      <c r="B2863" s="160" t="s">
        <v>2532</v>
      </c>
      <c r="C2863" s="157" t="s">
        <v>927</v>
      </c>
      <c r="D2863" s="159">
        <v>8</v>
      </c>
      <c r="E2863" s="159">
        <v>742.33</v>
      </c>
      <c r="F2863" s="159">
        <v>5938.64</v>
      </c>
      <c r="G2863" s="160" t="s">
        <v>2</v>
      </c>
      <c r="H2863" s="34" t="s">
        <v>925</v>
      </c>
    </row>
    <row r="2864" spans="1:8" ht="33">
      <c r="A2864" s="160">
        <v>3</v>
      </c>
      <c r="B2864" s="160" t="s">
        <v>2522</v>
      </c>
      <c r="C2864" s="157" t="s">
        <v>927</v>
      </c>
      <c r="D2864" s="159">
        <v>8</v>
      </c>
      <c r="E2864" s="159">
        <v>514.63</v>
      </c>
      <c r="F2864" s="159">
        <v>4117.04</v>
      </c>
      <c r="G2864" s="160" t="s">
        <v>2</v>
      </c>
      <c r="H2864" s="34" t="s">
        <v>925</v>
      </c>
    </row>
    <row r="2865" spans="1:8" ht="33">
      <c r="A2865" s="160">
        <v>4</v>
      </c>
      <c r="B2865" s="160" t="s">
        <v>2534</v>
      </c>
      <c r="C2865" s="157" t="s">
        <v>927</v>
      </c>
      <c r="D2865" s="159">
        <v>8</v>
      </c>
      <c r="E2865" s="159">
        <v>742.33</v>
      </c>
      <c r="F2865" s="159">
        <v>5938.64</v>
      </c>
      <c r="G2865" s="160" t="s">
        <v>2</v>
      </c>
      <c r="H2865" s="34" t="s">
        <v>925</v>
      </c>
    </row>
    <row r="2866" spans="1:8" ht="33">
      <c r="A2866" s="160">
        <v>5</v>
      </c>
      <c r="B2866" s="160" t="s">
        <v>4874</v>
      </c>
      <c r="C2866" s="157" t="s">
        <v>927</v>
      </c>
      <c r="D2866" s="159">
        <v>12</v>
      </c>
      <c r="E2866" s="159">
        <v>520.19000000000005</v>
      </c>
      <c r="F2866" s="159">
        <v>6242.28</v>
      </c>
      <c r="G2866" s="160" t="s">
        <v>5436</v>
      </c>
      <c r="H2866" s="34" t="s">
        <v>925</v>
      </c>
    </row>
    <row r="2867" spans="1:8" ht="33">
      <c r="A2867" s="160">
        <v>6</v>
      </c>
      <c r="B2867" s="160" t="s">
        <v>931</v>
      </c>
      <c r="C2867" s="157" t="s">
        <v>14</v>
      </c>
      <c r="D2867" s="159">
        <v>1</v>
      </c>
      <c r="E2867" s="159">
        <v>826.15</v>
      </c>
      <c r="F2867" s="159">
        <v>826.15</v>
      </c>
      <c r="G2867" s="160" t="s">
        <v>2</v>
      </c>
      <c r="H2867" s="34" t="s">
        <v>925</v>
      </c>
    </row>
    <row r="2868" spans="1:8" ht="33">
      <c r="A2868" s="160"/>
      <c r="B2868" s="160" t="s">
        <v>933</v>
      </c>
      <c r="C2868" s="157" t="s">
        <v>2238</v>
      </c>
      <c r="D2868" s="159">
        <v>1</v>
      </c>
      <c r="E2868" s="159"/>
      <c r="F2868" s="159">
        <v>28364.59</v>
      </c>
      <c r="G2868" s="160"/>
      <c r="H2868" s="34" t="s">
        <v>925</v>
      </c>
    </row>
    <row r="2869" spans="1:8" ht="16.5">
      <c r="A2869" s="160"/>
      <c r="B2869" s="160" t="s">
        <v>934</v>
      </c>
      <c r="C2869" s="157" t="s">
        <v>2238</v>
      </c>
      <c r="D2869" s="159"/>
      <c r="E2869" s="159"/>
      <c r="F2869" s="159">
        <v>28364.59</v>
      </c>
      <c r="G2869" s="160"/>
    </row>
    <row r="2870" spans="1:8" ht="33">
      <c r="A2870" s="160"/>
      <c r="B2870" s="160"/>
      <c r="C2870" s="157"/>
      <c r="D2870" s="159"/>
      <c r="E2870" s="159"/>
      <c r="F2870" s="159"/>
      <c r="G2870" s="160"/>
      <c r="H2870" s="34" t="s">
        <v>925</v>
      </c>
    </row>
    <row r="2871" spans="1:8" ht="42.75">
      <c r="A2871" s="160" t="s">
        <v>4057</v>
      </c>
      <c r="B2871" s="160" t="s">
        <v>2540</v>
      </c>
      <c r="C2871" s="157" t="s">
        <v>0</v>
      </c>
      <c r="D2871" s="159">
        <v>1</v>
      </c>
      <c r="E2871" s="159">
        <v>6738.38</v>
      </c>
      <c r="F2871" s="159"/>
      <c r="G2871" s="160" t="s">
        <v>2</v>
      </c>
      <c r="H2871" s="34" t="s">
        <v>925</v>
      </c>
    </row>
    <row r="2872" spans="1:8" ht="42.75">
      <c r="A2872" s="160">
        <v>1</v>
      </c>
      <c r="B2872" s="160" t="s">
        <v>1164</v>
      </c>
      <c r="C2872" s="157" t="s">
        <v>0</v>
      </c>
      <c r="D2872" s="159">
        <v>1</v>
      </c>
      <c r="E2872" s="159">
        <v>6544</v>
      </c>
      <c r="F2872" s="159">
        <v>6544</v>
      </c>
      <c r="G2872" s="160" t="s">
        <v>2</v>
      </c>
      <c r="H2872" s="34" t="s">
        <v>925</v>
      </c>
    </row>
    <row r="2873" spans="1:8" ht="33">
      <c r="A2873" s="160">
        <v>2</v>
      </c>
      <c r="B2873" s="160" t="s">
        <v>1159</v>
      </c>
      <c r="C2873" s="157" t="s">
        <v>0</v>
      </c>
      <c r="D2873" s="159">
        <v>1</v>
      </c>
      <c r="E2873" s="159">
        <v>24.07</v>
      </c>
      <c r="F2873" s="159">
        <v>24.07</v>
      </c>
      <c r="G2873" s="160" t="s">
        <v>2</v>
      </c>
      <c r="H2873" s="34" t="s">
        <v>925</v>
      </c>
    </row>
    <row r="2874" spans="1:8" ht="33">
      <c r="A2874" s="160">
        <v>3</v>
      </c>
      <c r="B2874" s="160" t="s">
        <v>931</v>
      </c>
      <c r="C2874" s="157" t="s">
        <v>14</v>
      </c>
      <c r="D2874" s="159">
        <v>1</v>
      </c>
      <c r="E2874" s="159">
        <v>170.31</v>
      </c>
      <c r="F2874" s="159">
        <v>170.31</v>
      </c>
      <c r="G2874" s="160" t="s">
        <v>2</v>
      </c>
      <c r="H2874" s="34" t="s">
        <v>925</v>
      </c>
    </row>
    <row r="2875" spans="1:8" ht="33">
      <c r="A2875" s="160"/>
      <c r="B2875" s="160" t="s">
        <v>933</v>
      </c>
      <c r="C2875" s="157" t="s">
        <v>0</v>
      </c>
      <c r="D2875" s="159">
        <v>1</v>
      </c>
      <c r="E2875" s="159"/>
      <c r="F2875" s="159">
        <v>6738.38</v>
      </c>
      <c r="G2875" s="160"/>
      <c r="H2875" s="34" t="s">
        <v>925</v>
      </c>
    </row>
    <row r="2876" spans="1:8" ht="16.5">
      <c r="A2876" s="160"/>
      <c r="B2876" s="160" t="s">
        <v>934</v>
      </c>
      <c r="C2876" s="157" t="s">
        <v>0</v>
      </c>
      <c r="D2876" s="159"/>
      <c r="E2876" s="159"/>
      <c r="F2876" s="159">
        <v>6738.38</v>
      </c>
      <c r="G2876" s="160"/>
    </row>
    <row r="2877" spans="1:8" ht="33">
      <c r="A2877" s="160"/>
      <c r="B2877" s="160"/>
      <c r="C2877" s="157"/>
      <c r="D2877" s="159"/>
      <c r="E2877" s="159"/>
      <c r="F2877" s="159"/>
      <c r="G2877" s="160"/>
      <c r="H2877" s="34" t="s">
        <v>925</v>
      </c>
    </row>
    <row r="2878" spans="1:8" ht="42.75">
      <c r="A2878" s="160" t="s">
        <v>4058</v>
      </c>
      <c r="B2878" s="160" t="s">
        <v>2544</v>
      </c>
      <c r="C2878" s="157" t="s">
        <v>0</v>
      </c>
      <c r="D2878" s="159">
        <v>1</v>
      </c>
      <c r="E2878" s="159">
        <v>6796.69</v>
      </c>
      <c r="F2878" s="159"/>
      <c r="G2878" s="160" t="s">
        <v>2</v>
      </c>
      <c r="H2878" s="34" t="s">
        <v>925</v>
      </c>
    </row>
    <row r="2879" spans="1:8" ht="42.75">
      <c r="A2879" s="160">
        <v>1</v>
      </c>
      <c r="B2879" s="160" t="s">
        <v>1156</v>
      </c>
      <c r="C2879" s="157" t="s">
        <v>0</v>
      </c>
      <c r="D2879" s="159">
        <v>1</v>
      </c>
      <c r="E2879" s="159">
        <v>6599.54</v>
      </c>
      <c r="F2879" s="159">
        <v>6599.54</v>
      </c>
      <c r="G2879" s="160" t="s">
        <v>2</v>
      </c>
      <c r="H2879" s="34" t="s">
        <v>925</v>
      </c>
    </row>
    <row r="2880" spans="1:8" ht="33">
      <c r="A2880" s="160">
        <v>2</v>
      </c>
      <c r="B2880" s="160" t="s">
        <v>1159</v>
      </c>
      <c r="C2880" s="157" t="s">
        <v>0</v>
      </c>
      <c r="D2880" s="159">
        <v>1</v>
      </c>
      <c r="E2880" s="159">
        <v>24.07</v>
      </c>
      <c r="F2880" s="159">
        <v>24.07</v>
      </c>
      <c r="G2880" s="160" t="s">
        <v>2</v>
      </c>
      <c r="H2880" s="34" t="s">
        <v>925</v>
      </c>
    </row>
    <row r="2881" spans="1:8" ht="33">
      <c r="A2881" s="160">
        <v>3</v>
      </c>
      <c r="B2881" s="160" t="s">
        <v>931</v>
      </c>
      <c r="C2881" s="157" t="s">
        <v>14</v>
      </c>
      <c r="D2881" s="159">
        <v>1</v>
      </c>
      <c r="E2881" s="159">
        <v>173.08</v>
      </c>
      <c r="F2881" s="159">
        <v>173.08</v>
      </c>
      <c r="G2881" s="160" t="s">
        <v>2</v>
      </c>
      <c r="H2881" s="34" t="s">
        <v>925</v>
      </c>
    </row>
    <row r="2882" spans="1:8" ht="33">
      <c r="A2882" s="160"/>
      <c r="B2882" s="160" t="s">
        <v>933</v>
      </c>
      <c r="C2882" s="157" t="s">
        <v>0</v>
      </c>
      <c r="D2882" s="159">
        <v>1</v>
      </c>
      <c r="E2882" s="159"/>
      <c r="F2882" s="159">
        <v>6796.69</v>
      </c>
      <c r="G2882" s="160"/>
      <c r="H2882" s="34" t="s">
        <v>925</v>
      </c>
    </row>
    <row r="2883" spans="1:8" ht="33">
      <c r="A2883" s="160"/>
      <c r="B2883" s="160" t="s">
        <v>934</v>
      </c>
      <c r="C2883" s="157" t="s">
        <v>0</v>
      </c>
      <c r="D2883" s="159"/>
      <c r="E2883" s="159"/>
      <c r="F2883" s="159">
        <v>6796.69</v>
      </c>
      <c r="G2883" s="160"/>
      <c r="H2883" s="34" t="s">
        <v>925</v>
      </c>
    </row>
    <row r="2884" spans="1:8" ht="33">
      <c r="A2884" s="160"/>
      <c r="B2884" s="160"/>
      <c r="C2884" s="157"/>
      <c r="D2884" s="159"/>
      <c r="E2884" s="159"/>
      <c r="F2884" s="159"/>
      <c r="G2884" s="160"/>
      <c r="H2884" s="34" t="s">
        <v>925</v>
      </c>
    </row>
    <row r="2885" spans="1:8" ht="42.75">
      <c r="A2885" s="160" t="s">
        <v>4059</v>
      </c>
      <c r="B2885" s="160" t="s">
        <v>2547</v>
      </c>
      <c r="C2885" s="157" t="s">
        <v>0</v>
      </c>
      <c r="D2885" s="159">
        <v>1</v>
      </c>
      <c r="E2885" s="159">
        <v>5897.55</v>
      </c>
      <c r="F2885" s="159"/>
      <c r="G2885" s="160" t="s">
        <v>2</v>
      </c>
      <c r="H2885" s="34" t="s">
        <v>925</v>
      </c>
    </row>
    <row r="2886" spans="1:8" ht="42.75">
      <c r="A2886" s="160">
        <v>1</v>
      </c>
      <c r="B2886" s="160" t="s">
        <v>1197</v>
      </c>
      <c r="C2886" s="157" t="s">
        <v>0</v>
      </c>
      <c r="D2886" s="159">
        <v>1</v>
      </c>
      <c r="E2886" s="159">
        <v>5701.71</v>
      </c>
      <c r="F2886" s="159">
        <v>5701.71</v>
      </c>
      <c r="G2886" s="160" t="s">
        <v>2</v>
      </c>
      <c r="H2886" s="34" t="s">
        <v>925</v>
      </c>
    </row>
    <row r="2887" spans="1:8" ht="28.5">
      <c r="A2887" s="160">
        <v>2</v>
      </c>
      <c r="B2887" s="160" t="s">
        <v>1159</v>
      </c>
      <c r="C2887" s="157" t="s">
        <v>0</v>
      </c>
      <c r="D2887" s="159">
        <v>1</v>
      </c>
      <c r="E2887" s="159">
        <v>24.07</v>
      </c>
      <c r="F2887" s="159">
        <v>24.07</v>
      </c>
      <c r="G2887" s="160" t="s">
        <v>2</v>
      </c>
    </row>
    <row r="2888" spans="1:8" ht="33">
      <c r="A2888" s="160">
        <v>3</v>
      </c>
      <c r="B2888" s="160" t="s">
        <v>931</v>
      </c>
      <c r="C2888" s="157" t="s">
        <v>14</v>
      </c>
      <c r="D2888" s="159">
        <v>1</v>
      </c>
      <c r="E2888" s="159">
        <v>171.77</v>
      </c>
      <c r="F2888" s="159">
        <v>171.77</v>
      </c>
      <c r="G2888" s="160" t="s">
        <v>2</v>
      </c>
      <c r="H2888" s="34" t="s">
        <v>925</v>
      </c>
    </row>
    <row r="2889" spans="1:8" ht="33">
      <c r="A2889" s="160"/>
      <c r="B2889" s="160" t="s">
        <v>933</v>
      </c>
      <c r="C2889" s="157" t="s">
        <v>0</v>
      </c>
      <c r="D2889" s="159">
        <v>1</v>
      </c>
      <c r="E2889" s="159"/>
      <c r="F2889" s="159">
        <v>5897.55</v>
      </c>
      <c r="G2889" s="160"/>
      <c r="H2889" s="34" t="s">
        <v>925</v>
      </c>
    </row>
    <row r="2890" spans="1:8" ht="33">
      <c r="A2890" s="160"/>
      <c r="B2890" s="160" t="s">
        <v>934</v>
      </c>
      <c r="C2890" s="157" t="s">
        <v>0</v>
      </c>
      <c r="D2890" s="159"/>
      <c r="E2890" s="159"/>
      <c r="F2890" s="159">
        <v>5897.55</v>
      </c>
      <c r="G2890" s="160"/>
      <c r="H2890" s="34" t="s">
        <v>925</v>
      </c>
    </row>
    <row r="2891" spans="1:8" ht="33">
      <c r="A2891" s="160"/>
      <c r="B2891" s="160"/>
      <c r="C2891" s="157"/>
      <c r="D2891" s="159"/>
      <c r="E2891" s="159"/>
      <c r="F2891" s="159"/>
      <c r="G2891" s="160"/>
      <c r="H2891" s="34" t="s">
        <v>925</v>
      </c>
    </row>
    <row r="2892" spans="1:8" ht="42.75">
      <c r="A2892" s="160" t="s">
        <v>4060</v>
      </c>
      <c r="B2892" s="160" t="s">
        <v>2550</v>
      </c>
      <c r="C2892" s="157" t="s">
        <v>0</v>
      </c>
      <c r="D2892" s="159">
        <v>1</v>
      </c>
      <c r="E2892" s="159">
        <v>6240.76</v>
      </c>
      <c r="F2892" s="159"/>
      <c r="G2892" s="160" t="s">
        <v>2</v>
      </c>
      <c r="H2892" s="34" t="s">
        <v>925</v>
      </c>
    </row>
    <row r="2893" spans="1:8" ht="42.75">
      <c r="A2893" s="160">
        <v>1</v>
      </c>
      <c r="B2893" s="160" t="s">
        <v>1189</v>
      </c>
      <c r="C2893" s="157" t="s">
        <v>0</v>
      </c>
      <c r="D2893" s="159">
        <v>1</v>
      </c>
      <c r="E2893" s="159">
        <v>6034.92</v>
      </c>
      <c r="F2893" s="159">
        <v>6034.92</v>
      </c>
      <c r="G2893" s="160" t="s">
        <v>2</v>
      </c>
      <c r="H2893" s="34" t="s">
        <v>925</v>
      </c>
    </row>
    <row r="2894" spans="1:8" ht="33">
      <c r="A2894" s="160">
        <v>2</v>
      </c>
      <c r="B2894" s="160" t="s">
        <v>1159</v>
      </c>
      <c r="C2894" s="157" t="s">
        <v>0</v>
      </c>
      <c r="D2894" s="159">
        <v>1</v>
      </c>
      <c r="E2894" s="159">
        <v>24.07</v>
      </c>
      <c r="F2894" s="159">
        <v>24.07</v>
      </c>
      <c r="G2894" s="160" t="s">
        <v>2</v>
      </c>
      <c r="H2894" s="34" t="s">
        <v>925</v>
      </c>
    </row>
    <row r="2895" spans="1:8" ht="33">
      <c r="A2895" s="160">
        <v>3</v>
      </c>
      <c r="B2895" s="160" t="s">
        <v>931</v>
      </c>
      <c r="C2895" s="157" t="s">
        <v>14</v>
      </c>
      <c r="D2895" s="159">
        <v>1</v>
      </c>
      <c r="E2895" s="159">
        <v>181.77</v>
      </c>
      <c r="F2895" s="159">
        <v>181.77</v>
      </c>
      <c r="G2895" s="160" t="s">
        <v>2</v>
      </c>
      <c r="H2895" s="34" t="s">
        <v>925</v>
      </c>
    </row>
    <row r="2896" spans="1:8" ht="33">
      <c r="A2896" s="160"/>
      <c r="B2896" s="160" t="s">
        <v>933</v>
      </c>
      <c r="C2896" s="157" t="s">
        <v>0</v>
      </c>
      <c r="D2896" s="159">
        <v>1</v>
      </c>
      <c r="E2896" s="159"/>
      <c r="F2896" s="159">
        <v>6240.76</v>
      </c>
      <c r="G2896" s="160"/>
      <c r="H2896" s="34" t="s">
        <v>925</v>
      </c>
    </row>
    <row r="2897" spans="1:8" ht="33">
      <c r="A2897" s="160"/>
      <c r="B2897" s="160" t="s">
        <v>934</v>
      </c>
      <c r="C2897" s="157" t="s">
        <v>0</v>
      </c>
      <c r="D2897" s="159"/>
      <c r="E2897" s="159"/>
      <c r="F2897" s="159">
        <v>6240.76</v>
      </c>
      <c r="G2897" s="160"/>
      <c r="H2897" s="34" t="s">
        <v>925</v>
      </c>
    </row>
    <row r="2898" spans="1:8" ht="16.5">
      <c r="A2898" s="160"/>
      <c r="B2898" s="160"/>
      <c r="C2898" s="157"/>
      <c r="D2898" s="159"/>
      <c r="E2898" s="159"/>
      <c r="F2898" s="159"/>
      <c r="G2898" s="160"/>
    </row>
    <row r="2899" spans="1:8" ht="57">
      <c r="A2899" s="160" t="s">
        <v>4061</v>
      </c>
      <c r="B2899" s="160" t="s">
        <v>2553</v>
      </c>
      <c r="C2899" s="157" t="s">
        <v>0</v>
      </c>
      <c r="D2899" s="159">
        <v>1</v>
      </c>
      <c r="E2899" s="159">
        <v>6603.04</v>
      </c>
      <c r="F2899" s="159"/>
      <c r="G2899" s="160" t="s">
        <v>2</v>
      </c>
      <c r="H2899" s="34" t="s">
        <v>925</v>
      </c>
    </row>
    <row r="2900" spans="1:8" ht="42.75">
      <c r="A2900" s="160">
        <v>1</v>
      </c>
      <c r="B2900" s="160" t="s">
        <v>1176</v>
      </c>
      <c r="C2900" s="157" t="s">
        <v>0</v>
      </c>
      <c r="D2900" s="159">
        <v>1</v>
      </c>
      <c r="E2900" s="159">
        <v>6386.65</v>
      </c>
      <c r="F2900" s="159">
        <v>6386.65</v>
      </c>
      <c r="G2900" s="160" t="s">
        <v>2</v>
      </c>
      <c r="H2900" s="34" t="s">
        <v>925</v>
      </c>
    </row>
    <row r="2901" spans="1:8" ht="33">
      <c r="A2901" s="160">
        <v>2</v>
      </c>
      <c r="B2901" s="160" t="s">
        <v>1159</v>
      </c>
      <c r="C2901" s="157" t="s">
        <v>0</v>
      </c>
      <c r="D2901" s="159">
        <v>1</v>
      </c>
      <c r="E2901" s="159">
        <v>24.07</v>
      </c>
      <c r="F2901" s="159">
        <v>24.07</v>
      </c>
      <c r="G2901" s="160" t="s">
        <v>2</v>
      </c>
      <c r="H2901" s="34" t="s">
        <v>925</v>
      </c>
    </row>
    <row r="2902" spans="1:8" ht="33">
      <c r="A2902" s="160">
        <v>3</v>
      </c>
      <c r="B2902" s="160" t="s">
        <v>931</v>
      </c>
      <c r="C2902" s="157" t="s">
        <v>14</v>
      </c>
      <c r="D2902" s="159">
        <v>1</v>
      </c>
      <c r="E2902" s="159">
        <v>192.32</v>
      </c>
      <c r="F2902" s="159">
        <v>192.32</v>
      </c>
      <c r="G2902" s="160" t="s">
        <v>2</v>
      </c>
      <c r="H2902" s="34" t="s">
        <v>925</v>
      </c>
    </row>
    <row r="2903" spans="1:8" ht="33">
      <c r="A2903" s="160"/>
      <c r="B2903" s="160" t="s">
        <v>933</v>
      </c>
      <c r="C2903" s="157" t="s">
        <v>0</v>
      </c>
      <c r="D2903" s="159">
        <v>1</v>
      </c>
      <c r="E2903" s="159"/>
      <c r="F2903" s="159">
        <v>6603.0399999999991</v>
      </c>
      <c r="G2903" s="160"/>
      <c r="H2903" s="34" t="s">
        <v>925</v>
      </c>
    </row>
    <row r="2904" spans="1:8" ht="33">
      <c r="A2904" s="160"/>
      <c r="B2904" s="160" t="s">
        <v>934</v>
      </c>
      <c r="C2904" s="157" t="s">
        <v>0</v>
      </c>
      <c r="D2904" s="159"/>
      <c r="E2904" s="159"/>
      <c r="F2904" s="159">
        <v>6603.04</v>
      </c>
      <c r="G2904" s="160"/>
      <c r="H2904" s="34" t="s">
        <v>925</v>
      </c>
    </row>
    <row r="2905" spans="1:8" ht="33">
      <c r="A2905" s="160"/>
      <c r="B2905" s="160"/>
      <c r="C2905" s="157"/>
      <c r="D2905" s="159"/>
      <c r="E2905" s="159"/>
      <c r="F2905" s="159"/>
      <c r="G2905" s="160"/>
      <c r="H2905" s="34" t="s">
        <v>925</v>
      </c>
    </row>
    <row r="2906" spans="1:8" ht="42.75">
      <c r="A2906" s="160" t="s">
        <v>4062</v>
      </c>
      <c r="B2906" s="160" t="s">
        <v>2556</v>
      </c>
      <c r="C2906" s="157" t="s">
        <v>2238</v>
      </c>
      <c r="D2906" s="159">
        <v>1</v>
      </c>
      <c r="E2906" s="159">
        <v>15387.31</v>
      </c>
      <c r="F2906" s="159"/>
      <c r="G2906" s="160" t="s">
        <v>2</v>
      </c>
      <c r="H2906" s="34" t="s">
        <v>925</v>
      </c>
    </row>
    <row r="2907" spans="1:8" ht="16.5">
      <c r="A2907" s="160">
        <v>1</v>
      </c>
      <c r="B2907" s="160" t="s">
        <v>1217</v>
      </c>
      <c r="C2907" s="157" t="s">
        <v>927</v>
      </c>
      <c r="D2907" s="159">
        <v>4</v>
      </c>
      <c r="E2907" s="159">
        <v>944.11</v>
      </c>
      <c r="F2907" s="159">
        <v>3776.44</v>
      </c>
      <c r="G2907" s="160" t="s">
        <v>2</v>
      </c>
    </row>
    <row r="2908" spans="1:8" ht="33">
      <c r="A2908" s="160">
        <v>2</v>
      </c>
      <c r="B2908" s="160" t="s">
        <v>2558</v>
      </c>
      <c r="C2908" s="157" t="s">
        <v>927</v>
      </c>
      <c r="D2908" s="159">
        <v>4</v>
      </c>
      <c r="E2908" s="159">
        <v>371.17</v>
      </c>
      <c r="F2908" s="159">
        <v>1484.68</v>
      </c>
      <c r="G2908" s="160" t="s">
        <v>2</v>
      </c>
      <c r="H2908" s="34" t="s">
        <v>925</v>
      </c>
    </row>
    <row r="2909" spans="1:8" ht="33">
      <c r="A2909" s="160">
        <v>3</v>
      </c>
      <c r="B2909" s="160" t="s">
        <v>1219</v>
      </c>
      <c r="C2909" s="157" t="s">
        <v>1220</v>
      </c>
      <c r="D2909" s="159">
        <v>6</v>
      </c>
      <c r="E2909" s="159">
        <v>111.07</v>
      </c>
      <c r="F2909" s="159">
        <v>666.42</v>
      </c>
      <c r="G2909" s="160" t="s">
        <v>2</v>
      </c>
      <c r="H2909" s="34" t="s">
        <v>925</v>
      </c>
    </row>
    <row r="2910" spans="1:8" ht="33">
      <c r="A2910" s="160">
        <v>4</v>
      </c>
      <c r="B2910" s="160" t="s">
        <v>1222</v>
      </c>
      <c r="C2910" s="157" t="s">
        <v>927</v>
      </c>
      <c r="D2910" s="159">
        <v>4</v>
      </c>
      <c r="E2910" s="159">
        <v>601.64</v>
      </c>
      <c r="F2910" s="159">
        <v>2406.56</v>
      </c>
      <c r="G2910" s="160" t="s">
        <v>2</v>
      </c>
      <c r="H2910" s="34" t="s">
        <v>925</v>
      </c>
    </row>
    <row r="2911" spans="1:8" ht="33">
      <c r="A2911" s="160">
        <v>5</v>
      </c>
      <c r="B2911" s="160" t="s">
        <v>1224</v>
      </c>
      <c r="C2911" s="157" t="s">
        <v>927</v>
      </c>
      <c r="D2911" s="159">
        <v>4</v>
      </c>
      <c r="E2911" s="159">
        <v>499.82</v>
      </c>
      <c r="F2911" s="159">
        <v>1999.28</v>
      </c>
      <c r="G2911" s="160" t="s">
        <v>2</v>
      </c>
      <c r="H2911" s="34" t="s">
        <v>925</v>
      </c>
    </row>
    <row r="2912" spans="1:8" ht="33">
      <c r="A2912" s="160">
        <v>6</v>
      </c>
      <c r="B2912" s="160" t="s">
        <v>1226</v>
      </c>
      <c r="C2912" s="157" t="s">
        <v>927</v>
      </c>
      <c r="D2912" s="159">
        <v>4</v>
      </c>
      <c r="E2912" s="159">
        <v>371.17</v>
      </c>
      <c r="F2912" s="159">
        <v>1484.68</v>
      </c>
      <c r="G2912" s="160" t="s">
        <v>2</v>
      </c>
      <c r="H2912" s="34" t="s">
        <v>925</v>
      </c>
    </row>
    <row r="2913" spans="1:8" ht="33">
      <c r="A2913" s="160">
        <v>7</v>
      </c>
      <c r="B2913" s="160" t="s">
        <v>4871</v>
      </c>
      <c r="C2913" s="157" t="s">
        <v>927</v>
      </c>
      <c r="D2913" s="159">
        <v>8</v>
      </c>
      <c r="E2913" s="159">
        <v>260.08999999999997</v>
      </c>
      <c r="F2913" s="159">
        <v>2080.7199999999998</v>
      </c>
      <c r="G2913" s="160" t="s">
        <v>5435</v>
      </c>
      <c r="H2913" s="34" t="s">
        <v>925</v>
      </c>
    </row>
    <row r="2914" spans="1:8" ht="33">
      <c r="A2914" s="160">
        <v>8</v>
      </c>
      <c r="B2914" s="160" t="s">
        <v>1228</v>
      </c>
      <c r="C2914" s="157" t="s">
        <v>927</v>
      </c>
      <c r="D2914" s="159">
        <v>4</v>
      </c>
      <c r="E2914" s="159">
        <v>260.08999999999997</v>
      </c>
      <c r="F2914" s="159">
        <v>1040.3599999999999</v>
      </c>
      <c r="G2914" s="160" t="s">
        <v>2</v>
      </c>
      <c r="H2914" s="34" t="s">
        <v>925</v>
      </c>
    </row>
    <row r="2915" spans="1:8" ht="33">
      <c r="A2915" s="160">
        <v>9</v>
      </c>
      <c r="B2915" s="160" t="s">
        <v>931</v>
      </c>
      <c r="C2915" s="157" t="s">
        <v>14</v>
      </c>
      <c r="D2915" s="159">
        <v>1</v>
      </c>
      <c r="E2915" s="159">
        <v>448.17</v>
      </c>
      <c r="F2915" s="159">
        <v>448.17</v>
      </c>
      <c r="G2915" s="160" t="s">
        <v>2</v>
      </c>
      <c r="H2915" s="34" t="s">
        <v>925</v>
      </c>
    </row>
    <row r="2916" spans="1:8" ht="33">
      <c r="A2916" s="160"/>
      <c r="B2916" s="160" t="s">
        <v>933</v>
      </c>
      <c r="C2916" s="157" t="s">
        <v>2238</v>
      </c>
      <c r="D2916" s="159">
        <v>1</v>
      </c>
      <c r="E2916" s="159"/>
      <c r="F2916" s="159">
        <v>15387.310000000001</v>
      </c>
      <c r="G2916" s="160"/>
      <c r="H2916" s="34" t="s">
        <v>925</v>
      </c>
    </row>
    <row r="2917" spans="1:8" ht="33">
      <c r="A2917" s="160"/>
      <c r="B2917" s="160" t="s">
        <v>934</v>
      </c>
      <c r="C2917" s="157" t="s">
        <v>2238</v>
      </c>
      <c r="D2917" s="159"/>
      <c r="E2917" s="159"/>
      <c r="F2917" s="159">
        <v>15387.31</v>
      </c>
      <c r="G2917" s="160"/>
      <c r="H2917" s="34" t="s">
        <v>925</v>
      </c>
    </row>
    <row r="2918" spans="1:8" ht="33">
      <c r="A2918" s="160"/>
      <c r="B2918" s="160"/>
      <c r="C2918" s="157"/>
      <c r="D2918" s="159"/>
      <c r="E2918" s="159"/>
      <c r="F2918" s="159"/>
      <c r="G2918" s="160"/>
      <c r="H2918" s="34" t="s">
        <v>925</v>
      </c>
    </row>
    <row r="2919" spans="1:8" ht="42.75">
      <c r="A2919" s="160" t="s">
        <v>4063</v>
      </c>
      <c r="B2919" s="160" t="s">
        <v>2561</v>
      </c>
      <c r="C2919" s="157" t="s">
        <v>2238</v>
      </c>
      <c r="D2919" s="159">
        <v>1</v>
      </c>
      <c r="E2919" s="159">
        <v>21660.51</v>
      </c>
      <c r="F2919" s="159"/>
      <c r="G2919" s="160" t="s">
        <v>2</v>
      </c>
      <c r="H2919" s="34" t="s">
        <v>925</v>
      </c>
    </row>
    <row r="2920" spans="1:8" ht="33">
      <c r="A2920" s="160">
        <v>1</v>
      </c>
      <c r="B2920" s="160" t="s">
        <v>2563</v>
      </c>
      <c r="C2920" s="157" t="s">
        <v>927</v>
      </c>
      <c r="D2920" s="159">
        <v>4</v>
      </c>
      <c r="E2920" s="159">
        <v>742.33</v>
      </c>
      <c r="F2920" s="159">
        <v>2969.32</v>
      </c>
      <c r="G2920" s="160" t="s">
        <v>4379</v>
      </c>
      <c r="H2920" s="34" t="s">
        <v>925</v>
      </c>
    </row>
    <row r="2921" spans="1:8" ht="16.5">
      <c r="A2921" s="160">
        <v>2</v>
      </c>
      <c r="B2921" s="160" t="s">
        <v>1224</v>
      </c>
      <c r="C2921" s="157" t="s">
        <v>927</v>
      </c>
      <c r="D2921" s="159">
        <v>4</v>
      </c>
      <c r="E2921" s="159">
        <v>499.82</v>
      </c>
      <c r="F2921" s="159">
        <v>1999.28</v>
      </c>
      <c r="G2921" s="160" t="s">
        <v>2</v>
      </c>
    </row>
    <row r="2922" spans="1:8" ht="33">
      <c r="A2922" s="160">
        <v>3</v>
      </c>
      <c r="B2922" s="160" t="s">
        <v>1217</v>
      </c>
      <c r="C2922" s="157" t="s">
        <v>927</v>
      </c>
      <c r="D2922" s="159">
        <v>4</v>
      </c>
      <c r="E2922" s="159">
        <v>944.11</v>
      </c>
      <c r="F2922" s="159">
        <v>3776.44</v>
      </c>
      <c r="G2922" s="160" t="s">
        <v>2</v>
      </c>
      <c r="H2922" s="34" t="s">
        <v>925</v>
      </c>
    </row>
    <row r="2923" spans="1:8" ht="33">
      <c r="A2923" s="160">
        <v>4</v>
      </c>
      <c r="B2923" s="160" t="s">
        <v>1219</v>
      </c>
      <c r="C2923" s="157" t="s">
        <v>1220</v>
      </c>
      <c r="D2923" s="159">
        <v>6</v>
      </c>
      <c r="E2923" s="159">
        <v>111.07</v>
      </c>
      <c r="F2923" s="159">
        <v>666.42</v>
      </c>
      <c r="G2923" s="160" t="s">
        <v>2</v>
      </c>
      <c r="H2923" s="34" t="s">
        <v>925</v>
      </c>
    </row>
    <row r="2924" spans="1:8" ht="33">
      <c r="A2924" s="160">
        <v>5</v>
      </c>
      <c r="B2924" s="160" t="s">
        <v>1222</v>
      </c>
      <c r="C2924" s="157" t="s">
        <v>927</v>
      </c>
      <c r="D2924" s="159">
        <v>4</v>
      </c>
      <c r="E2924" s="159">
        <v>601.64</v>
      </c>
      <c r="F2924" s="159">
        <v>2406.56</v>
      </c>
      <c r="G2924" s="160" t="s">
        <v>2</v>
      </c>
      <c r="H2924" s="34" t="s">
        <v>925</v>
      </c>
    </row>
    <row r="2925" spans="1:8" ht="33">
      <c r="A2925" s="160">
        <v>6</v>
      </c>
      <c r="B2925" s="160" t="s">
        <v>2565</v>
      </c>
      <c r="C2925" s="157" t="s">
        <v>927</v>
      </c>
      <c r="D2925" s="159">
        <v>4</v>
      </c>
      <c r="E2925" s="159">
        <v>742.33</v>
      </c>
      <c r="F2925" s="159">
        <v>2969.32</v>
      </c>
      <c r="G2925" s="160" t="s">
        <v>2</v>
      </c>
      <c r="H2925" s="34" t="s">
        <v>925</v>
      </c>
    </row>
    <row r="2926" spans="1:8" ht="33">
      <c r="A2926" s="160">
        <v>7</v>
      </c>
      <c r="B2926" s="160" t="s">
        <v>4874</v>
      </c>
      <c r="C2926" s="157" t="s">
        <v>927</v>
      </c>
      <c r="D2926" s="159">
        <v>8</v>
      </c>
      <c r="E2926" s="159">
        <v>520.19000000000005</v>
      </c>
      <c r="F2926" s="159">
        <v>4161.5200000000004</v>
      </c>
      <c r="G2926" s="160" t="s">
        <v>5436</v>
      </c>
      <c r="H2926" s="34" t="s">
        <v>925</v>
      </c>
    </row>
    <row r="2927" spans="1:8" ht="33">
      <c r="A2927" s="160">
        <v>8</v>
      </c>
      <c r="B2927" s="160" t="s">
        <v>2567</v>
      </c>
      <c r="C2927" s="157" t="s">
        <v>927</v>
      </c>
      <c r="D2927" s="159">
        <v>4</v>
      </c>
      <c r="E2927" s="159">
        <v>520.19000000000005</v>
      </c>
      <c r="F2927" s="159">
        <v>2080.7600000000002</v>
      </c>
      <c r="G2927" s="160" t="s">
        <v>2</v>
      </c>
      <c r="H2927" s="34" t="s">
        <v>925</v>
      </c>
    </row>
    <row r="2928" spans="1:8" ht="33">
      <c r="A2928" s="160">
        <v>9</v>
      </c>
      <c r="B2928" s="160" t="s">
        <v>931</v>
      </c>
      <c r="C2928" s="157" t="s">
        <v>14</v>
      </c>
      <c r="D2928" s="159">
        <v>1</v>
      </c>
      <c r="E2928" s="159">
        <v>630.89</v>
      </c>
      <c r="F2928" s="159">
        <v>630.89</v>
      </c>
      <c r="G2928" s="160" t="s">
        <v>2</v>
      </c>
      <c r="H2928" s="34" t="s">
        <v>925</v>
      </c>
    </row>
    <row r="2929" spans="1:8" ht="33">
      <c r="A2929" s="160"/>
      <c r="B2929" s="160" t="s">
        <v>933</v>
      </c>
      <c r="C2929" s="157" t="s">
        <v>2238</v>
      </c>
      <c r="D2929" s="159">
        <v>1</v>
      </c>
      <c r="E2929" s="159"/>
      <c r="F2929" s="159">
        <v>21660.510000000002</v>
      </c>
      <c r="G2929" s="160"/>
      <c r="H2929" s="34" t="s">
        <v>925</v>
      </c>
    </row>
    <row r="2930" spans="1:8" ht="33">
      <c r="A2930" s="160"/>
      <c r="B2930" s="160" t="s">
        <v>934</v>
      </c>
      <c r="C2930" s="157" t="s">
        <v>2238</v>
      </c>
      <c r="D2930" s="159"/>
      <c r="E2930" s="159"/>
      <c r="F2930" s="159">
        <v>21660.51</v>
      </c>
      <c r="G2930" s="160"/>
      <c r="H2930" s="34" t="s">
        <v>925</v>
      </c>
    </row>
    <row r="2931" spans="1:8" ht="33">
      <c r="A2931" s="160"/>
      <c r="B2931" s="160"/>
      <c r="C2931" s="157"/>
      <c r="D2931" s="159"/>
      <c r="E2931" s="159"/>
      <c r="F2931" s="159"/>
      <c r="G2931" s="160"/>
      <c r="H2931" s="34" t="s">
        <v>925</v>
      </c>
    </row>
    <row r="2932" spans="1:8" ht="33">
      <c r="A2932" s="160" t="s">
        <v>5004</v>
      </c>
      <c r="B2932" s="160" t="s">
        <v>2570</v>
      </c>
      <c r="C2932" s="157" t="s">
        <v>17</v>
      </c>
      <c r="D2932" s="159">
        <v>10</v>
      </c>
      <c r="E2932" s="159">
        <v>6082.92</v>
      </c>
      <c r="F2932" s="159"/>
      <c r="G2932" s="160" t="s">
        <v>2</v>
      </c>
      <c r="H2932" s="34" t="s">
        <v>925</v>
      </c>
    </row>
    <row r="2933" spans="1:8" ht="33">
      <c r="A2933" s="160">
        <v>1</v>
      </c>
      <c r="B2933" s="160" t="s">
        <v>985</v>
      </c>
      <c r="C2933" s="157" t="s">
        <v>1</v>
      </c>
      <c r="D2933" s="159">
        <v>4</v>
      </c>
      <c r="E2933" s="159">
        <v>600.08000000000004</v>
      </c>
      <c r="F2933" s="159">
        <v>2400.3200000000002</v>
      </c>
      <c r="G2933" s="160" t="s">
        <v>980</v>
      </c>
      <c r="H2933" s="34" t="s">
        <v>925</v>
      </c>
    </row>
    <row r="2934" spans="1:8" ht="33">
      <c r="A2934" s="160">
        <v>2</v>
      </c>
      <c r="B2934" s="160" t="s">
        <v>950</v>
      </c>
      <c r="C2934" s="157" t="s">
        <v>1</v>
      </c>
      <c r="D2934" s="159">
        <v>6</v>
      </c>
      <c r="E2934" s="159">
        <v>45.31</v>
      </c>
      <c r="F2934" s="159">
        <v>271.86</v>
      </c>
      <c r="G2934" s="160" t="s">
        <v>970</v>
      </c>
      <c r="H2934" s="34" t="s">
        <v>925</v>
      </c>
    </row>
    <row r="2935" spans="1:8" ht="28.5">
      <c r="A2935" s="160">
        <v>3</v>
      </c>
      <c r="B2935" s="160" t="s">
        <v>26</v>
      </c>
      <c r="C2935" s="157" t="s">
        <v>1</v>
      </c>
      <c r="D2935" s="159">
        <v>10</v>
      </c>
      <c r="E2935" s="159">
        <v>663.18</v>
      </c>
      <c r="F2935" s="159">
        <v>6631.8</v>
      </c>
      <c r="G2935" s="160" t="s">
        <v>1117</v>
      </c>
    </row>
    <row r="2936" spans="1:8" ht="57">
      <c r="A2936" s="160">
        <v>4</v>
      </c>
      <c r="B2936" s="160" t="s">
        <v>4519</v>
      </c>
      <c r="C2936" s="157" t="s">
        <v>0</v>
      </c>
      <c r="D2936" s="159">
        <v>7</v>
      </c>
      <c r="E2936" s="159">
        <v>1625.82</v>
      </c>
      <c r="F2936" s="159">
        <v>11380.74</v>
      </c>
      <c r="G2936" s="160" t="s">
        <v>5472</v>
      </c>
      <c r="H2936" s="34" t="s">
        <v>925</v>
      </c>
    </row>
    <row r="2937" spans="1:8" ht="42.75">
      <c r="A2937" s="160">
        <v>5</v>
      </c>
      <c r="B2937" s="160" t="s">
        <v>3640</v>
      </c>
      <c r="C2937" s="157" t="s">
        <v>0</v>
      </c>
      <c r="D2937" s="159">
        <v>1.5</v>
      </c>
      <c r="E2937" s="159">
        <v>7585.76</v>
      </c>
      <c r="F2937" s="159">
        <v>11378.64</v>
      </c>
      <c r="G2937" s="160" t="s">
        <v>1202</v>
      </c>
      <c r="H2937" s="34" t="s">
        <v>925</v>
      </c>
    </row>
    <row r="2938" spans="1:8" ht="33">
      <c r="A2938" s="160">
        <v>6</v>
      </c>
      <c r="B2938" s="160" t="s">
        <v>3639</v>
      </c>
      <c r="C2938" s="157" t="s">
        <v>0</v>
      </c>
      <c r="D2938" s="159">
        <v>0.51</v>
      </c>
      <c r="E2938" s="159">
        <v>7642.97</v>
      </c>
      <c r="F2938" s="159">
        <v>3897.91</v>
      </c>
      <c r="G2938" s="160" t="s">
        <v>1191</v>
      </c>
      <c r="H2938" s="34" t="s">
        <v>925</v>
      </c>
    </row>
    <row r="2939" spans="1:8" ht="33">
      <c r="A2939" s="160">
        <v>7</v>
      </c>
      <c r="B2939" s="160" t="s">
        <v>1149</v>
      </c>
      <c r="C2939" s="157" t="s">
        <v>3</v>
      </c>
      <c r="D2939" s="159">
        <v>10</v>
      </c>
      <c r="E2939" s="159">
        <v>16.329999999999998</v>
      </c>
      <c r="F2939" s="159">
        <v>163.30000000000001</v>
      </c>
      <c r="G2939" s="160" t="s">
        <v>1178</v>
      </c>
      <c r="H2939" s="34" t="s">
        <v>925</v>
      </c>
    </row>
    <row r="2940" spans="1:8" ht="33">
      <c r="A2940" s="160">
        <v>8</v>
      </c>
      <c r="B2940" s="160" t="s">
        <v>1140</v>
      </c>
      <c r="C2940" s="157" t="s">
        <v>3</v>
      </c>
      <c r="D2940" s="159">
        <v>10</v>
      </c>
      <c r="E2940" s="159">
        <v>41.08</v>
      </c>
      <c r="F2940" s="159">
        <v>410.8</v>
      </c>
      <c r="G2940" s="160" t="s">
        <v>1173</v>
      </c>
      <c r="H2940" s="34" t="s">
        <v>925</v>
      </c>
    </row>
    <row r="2941" spans="1:8" ht="28.5">
      <c r="A2941" s="160">
        <v>9</v>
      </c>
      <c r="B2941" s="160" t="s">
        <v>1250</v>
      </c>
      <c r="C2941" s="157" t="s">
        <v>17</v>
      </c>
      <c r="D2941" s="159">
        <v>20</v>
      </c>
      <c r="E2941" s="159">
        <v>71.48</v>
      </c>
      <c r="F2941" s="159">
        <v>1429.6</v>
      </c>
      <c r="G2941" s="160" t="s">
        <v>1325</v>
      </c>
    </row>
    <row r="2942" spans="1:8" ht="33">
      <c r="A2942" s="160">
        <v>10</v>
      </c>
      <c r="B2942" s="160" t="s">
        <v>2572</v>
      </c>
      <c r="C2942" s="157" t="s">
        <v>14</v>
      </c>
      <c r="D2942" s="159">
        <v>1</v>
      </c>
      <c r="E2942" s="159">
        <v>1203.28</v>
      </c>
      <c r="F2942" s="159">
        <v>1203.28</v>
      </c>
      <c r="G2942" s="160" t="s">
        <v>2</v>
      </c>
      <c r="H2942" s="34" t="s">
        <v>925</v>
      </c>
    </row>
    <row r="2943" spans="1:8" ht="33">
      <c r="A2943" s="160">
        <v>11</v>
      </c>
      <c r="B2943" s="160" t="s">
        <v>2574</v>
      </c>
      <c r="C2943" s="157" t="s">
        <v>14</v>
      </c>
      <c r="D2943" s="159">
        <v>1</v>
      </c>
      <c r="E2943" s="159">
        <v>1851.2</v>
      </c>
      <c r="F2943" s="159">
        <v>1851.2</v>
      </c>
      <c r="G2943" s="160" t="s">
        <v>2</v>
      </c>
      <c r="H2943" s="34" t="s">
        <v>925</v>
      </c>
    </row>
    <row r="2944" spans="1:8" ht="42.75">
      <c r="A2944" s="160">
        <v>12</v>
      </c>
      <c r="B2944" s="160" t="s">
        <v>2287</v>
      </c>
      <c r="C2944" s="157" t="s">
        <v>14</v>
      </c>
      <c r="D2944" s="159">
        <v>1</v>
      </c>
      <c r="E2944" s="159">
        <v>18049.23</v>
      </c>
      <c r="F2944" s="159">
        <v>18049.23</v>
      </c>
      <c r="G2944" s="160" t="s">
        <v>5461</v>
      </c>
      <c r="H2944" s="34" t="s">
        <v>925</v>
      </c>
    </row>
    <row r="2945" spans="1:8" ht="33">
      <c r="A2945" s="160">
        <v>13</v>
      </c>
      <c r="B2945" s="160" t="s">
        <v>931</v>
      </c>
      <c r="C2945" s="157" t="s">
        <v>14</v>
      </c>
      <c r="D2945" s="159">
        <v>1</v>
      </c>
      <c r="E2945" s="159">
        <v>1760.48</v>
      </c>
      <c r="F2945" s="159">
        <v>1760.48</v>
      </c>
      <c r="G2945" s="160" t="s">
        <v>2</v>
      </c>
      <c r="H2945" s="34" t="s">
        <v>925</v>
      </c>
    </row>
    <row r="2946" spans="1:8" ht="33">
      <c r="A2946" s="160"/>
      <c r="B2946" s="160" t="s">
        <v>933</v>
      </c>
      <c r="C2946" s="157" t="s">
        <v>17</v>
      </c>
      <c r="D2946" s="159">
        <v>10</v>
      </c>
      <c r="E2946" s="159"/>
      <c r="F2946" s="159">
        <v>60829.160000000011</v>
      </c>
      <c r="G2946" s="160"/>
      <c r="H2946" s="34" t="s">
        <v>925</v>
      </c>
    </row>
    <row r="2947" spans="1:8" ht="33">
      <c r="A2947" s="160"/>
      <c r="B2947" s="160" t="s">
        <v>934</v>
      </c>
      <c r="C2947" s="157" t="s">
        <v>17</v>
      </c>
      <c r="D2947" s="159"/>
      <c r="E2947" s="159"/>
      <c r="F2947" s="159">
        <v>6082.92</v>
      </c>
      <c r="G2947" s="160"/>
      <c r="H2947" s="34" t="s">
        <v>925</v>
      </c>
    </row>
    <row r="2948" spans="1:8" ht="16.5">
      <c r="A2948" s="160"/>
      <c r="B2948" s="160"/>
      <c r="C2948" s="157"/>
      <c r="D2948" s="159"/>
      <c r="E2948" s="159"/>
      <c r="F2948" s="159"/>
      <c r="G2948" s="160"/>
    </row>
    <row r="2949" spans="1:8" ht="12.75" customHeight="1">
      <c r="A2949" s="160" t="s">
        <v>5011</v>
      </c>
      <c r="B2949" s="160" t="s">
        <v>2577</v>
      </c>
      <c r="C2949" s="157" t="s">
        <v>17</v>
      </c>
      <c r="D2949" s="159">
        <v>10</v>
      </c>
      <c r="E2949" s="159">
        <v>6636.47</v>
      </c>
      <c r="F2949" s="159"/>
      <c r="G2949" s="160" t="s">
        <v>2</v>
      </c>
    </row>
    <row r="2950" spans="1:8" ht="12.75" customHeight="1">
      <c r="A2950" s="160">
        <v>1</v>
      </c>
      <c r="B2950" s="160" t="s">
        <v>2579</v>
      </c>
      <c r="C2950" s="157" t="s">
        <v>1</v>
      </c>
      <c r="D2950" s="159">
        <v>6</v>
      </c>
      <c r="E2950" s="159">
        <v>63.21</v>
      </c>
      <c r="F2950" s="159">
        <v>379.26</v>
      </c>
      <c r="G2950" s="160" t="s">
        <v>974</v>
      </c>
    </row>
    <row r="2951" spans="1:8" ht="12.75" customHeight="1">
      <c r="A2951" s="160">
        <v>2</v>
      </c>
      <c r="B2951" s="160" t="s">
        <v>2214</v>
      </c>
      <c r="C2951" s="157" t="s">
        <v>1</v>
      </c>
      <c r="D2951" s="159">
        <v>4</v>
      </c>
      <c r="E2951" s="159">
        <v>1382.35</v>
      </c>
      <c r="F2951" s="159">
        <v>5529.4</v>
      </c>
      <c r="G2951" s="160" t="s">
        <v>982</v>
      </c>
    </row>
    <row r="2952" spans="1:8" ht="12.75" customHeight="1">
      <c r="A2952" s="160">
        <v>3</v>
      </c>
      <c r="B2952" s="160" t="s">
        <v>2216</v>
      </c>
      <c r="C2952" s="157" t="s">
        <v>1</v>
      </c>
      <c r="D2952" s="159">
        <v>10</v>
      </c>
      <c r="E2952" s="159">
        <v>784.56</v>
      </c>
      <c r="F2952" s="159">
        <v>7845.6</v>
      </c>
      <c r="G2952" s="160" t="s">
        <v>2</v>
      </c>
    </row>
    <row r="2953" spans="1:8" ht="12.75" customHeight="1">
      <c r="A2953" s="160">
        <v>4</v>
      </c>
      <c r="B2953" s="160" t="s">
        <v>4519</v>
      </c>
      <c r="C2953" s="157" t="s">
        <v>0</v>
      </c>
      <c r="D2953" s="159">
        <v>7</v>
      </c>
      <c r="E2953" s="159">
        <v>1625.82</v>
      </c>
      <c r="F2953" s="159">
        <v>11380.74</v>
      </c>
      <c r="G2953" s="160" t="s">
        <v>5472</v>
      </c>
    </row>
    <row r="2954" spans="1:8" ht="12.75" customHeight="1">
      <c r="A2954" s="160">
        <v>5</v>
      </c>
      <c r="B2954" s="160" t="s">
        <v>4048</v>
      </c>
      <c r="C2954" s="157" t="s">
        <v>0</v>
      </c>
      <c r="D2954" s="159">
        <v>1.5</v>
      </c>
      <c r="E2954" s="159">
        <v>8045.56</v>
      </c>
      <c r="F2954" s="159">
        <v>12068.34</v>
      </c>
      <c r="G2954" s="160" t="s">
        <v>1214</v>
      </c>
    </row>
    <row r="2955" spans="1:8" ht="12.75" customHeight="1">
      <c r="A2955" s="160">
        <v>6</v>
      </c>
      <c r="B2955" s="160" t="s">
        <v>4049</v>
      </c>
      <c r="C2955" s="157" t="s">
        <v>0</v>
      </c>
      <c r="D2955" s="159">
        <v>0.51</v>
      </c>
      <c r="E2955" s="159">
        <v>8102.76</v>
      </c>
      <c r="F2955" s="159">
        <v>4132.41</v>
      </c>
      <c r="G2955" s="160" t="s">
        <v>5473</v>
      </c>
    </row>
    <row r="2956" spans="1:8" ht="12.75" customHeight="1">
      <c r="A2956" s="160">
        <v>7</v>
      </c>
      <c r="B2956" s="160" t="s">
        <v>1149</v>
      </c>
      <c r="C2956" s="157" t="s">
        <v>3</v>
      </c>
      <c r="D2956" s="159">
        <v>10</v>
      </c>
      <c r="E2956" s="159">
        <v>16.329999999999998</v>
      </c>
      <c r="F2956" s="159">
        <v>163.30000000000001</v>
      </c>
      <c r="G2956" s="160" t="s">
        <v>1178</v>
      </c>
    </row>
    <row r="2957" spans="1:8" ht="12.75" customHeight="1">
      <c r="A2957" s="160">
        <v>8</v>
      </c>
      <c r="B2957" s="160" t="s">
        <v>1140</v>
      </c>
      <c r="C2957" s="157" t="s">
        <v>3</v>
      </c>
      <c r="D2957" s="159">
        <v>10</v>
      </c>
      <c r="E2957" s="159">
        <v>41.08</v>
      </c>
      <c r="F2957" s="159">
        <v>410.8</v>
      </c>
      <c r="G2957" s="160" t="s">
        <v>1173</v>
      </c>
    </row>
    <row r="2958" spans="1:8" ht="12.75" customHeight="1">
      <c r="A2958" s="160">
        <v>9</v>
      </c>
      <c r="B2958" s="160" t="s">
        <v>1250</v>
      </c>
      <c r="C2958" s="157" t="s">
        <v>17</v>
      </c>
      <c r="D2958" s="159">
        <v>20</v>
      </c>
      <c r="E2958" s="159">
        <v>71.48</v>
      </c>
      <c r="F2958" s="159">
        <v>1429.6</v>
      </c>
      <c r="G2958" s="160" t="s">
        <v>1325</v>
      </c>
    </row>
    <row r="2959" spans="1:8" ht="12.75" customHeight="1">
      <c r="A2959" s="160">
        <v>10</v>
      </c>
      <c r="B2959" s="160" t="s">
        <v>2572</v>
      </c>
      <c r="C2959" s="157" t="s">
        <v>14</v>
      </c>
      <c r="D2959" s="159">
        <v>1</v>
      </c>
      <c r="E2959" s="159">
        <v>1203.28</v>
      </c>
      <c r="F2959" s="159">
        <v>1203.28</v>
      </c>
      <c r="G2959" s="160" t="s">
        <v>2</v>
      </c>
    </row>
    <row r="2960" spans="1:8" ht="12.75" customHeight="1">
      <c r="A2960" s="160">
        <v>11</v>
      </c>
      <c r="B2960" s="160" t="s">
        <v>2574</v>
      </c>
      <c r="C2960" s="157" t="s">
        <v>14</v>
      </c>
      <c r="D2960" s="159">
        <v>1</v>
      </c>
      <c r="E2960" s="159">
        <v>1851.2</v>
      </c>
      <c r="F2960" s="159">
        <v>1851.2</v>
      </c>
      <c r="G2960" s="160" t="s">
        <v>2</v>
      </c>
    </row>
    <row r="2961" spans="1:7" ht="12.75" customHeight="1">
      <c r="A2961" s="160">
        <v>12</v>
      </c>
      <c r="B2961" s="160" t="s">
        <v>2287</v>
      </c>
      <c r="C2961" s="157" t="s">
        <v>14</v>
      </c>
      <c r="D2961" s="159">
        <v>1</v>
      </c>
      <c r="E2961" s="159">
        <v>18049.23</v>
      </c>
      <c r="F2961" s="159">
        <v>18049.23</v>
      </c>
      <c r="G2961" s="160" t="s">
        <v>5461</v>
      </c>
    </row>
    <row r="2962" spans="1:7" ht="12.75" customHeight="1">
      <c r="A2962" s="160">
        <v>13</v>
      </c>
      <c r="B2962" s="160" t="s">
        <v>931</v>
      </c>
      <c r="C2962" s="157" t="s">
        <v>14</v>
      </c>
      <c r="D2962" s="159">
        <v>1</v>
      </c>
      <c r="E2962" s="159">
        <v>1921.56</v>
      </c>
      <c r="F2962" s="159">
        <v>1921.56</v>
      </c>
      <c r="G2962" s="160" t="s">
        <v>2</v>
      </c>
    </row>
    <row r="2963" spans="1:7" ht="12.75" customHeight="1">
      <c r="A2963" s="160"/>
      <c r="B2963" s="160" t="s">
        <v>933</v>
      </c>
      <c r="C2963" s="157" t="s">
        <v>17</v>
      </c>
      <c r="D2963" s="159">
        <v>10</v>
      </c>
      <c r="E2963" s="159"/>
      <c r="F2963" s="159">
        <v>66364.72</v>
      </c>
      <c r="G2963" s="160"/>
    </row>
    <row r="2964" spans="1:7" ht="12.75" customHeight="1">
      <c r="A2964" s="160"/>
      <c r="B2964" s="160" t="s">
        <v>934</v>
      </c>
      <c r="C2964" s="157" t="s">
        <v>17</v>
      </c>
      <c r="D2964" s="159"/>
      <c r="E2964" s="159"/>
      <c r="F2964" s="159">
        <v>6636.47</v>
      </c>
      <c r="G2964" s="160"/>
    </row>
    <row r="2965" spans="1:7" ht="12.75" customHeight="1">
      <c r="A2965" s="160"/>
      <c r="B2965" s="160"/>
      <c r="C2965" s="157"/>
      <c r="D2965" s="159"/>
      <c r="E2965" s="159"/>
      <c r="F2965" s="159"/>
      <c r="G2965" s="160"/>
    </row>
    <row r="2966" spans="1:7" ht="12.75" customHeight="1">
      <c r="A2966" s="160" t="s">
        <v>5015</v>
      </c>
      <c r="B2966" s="160" t="s">
        <v>2584</v>
      </c>
      <c r="C2966" s="157" t="s">
        <v>17</v>
      </c>
      <c r="D2966" s="159">
        <v>10</v>
      </c>
      <c r="E2966" s="159">
        <v>7565.81</v>
      </c>
      <c r="F2966" s="159"/>
      <c r="G2966" s="160" t="s">
        <v>2</v>
      </c>
    </row>
    <row r="2967" spans="1:7" ht="12.75" customHeight="1">
      <c r="A2967" s="160">
        <v>1</v>
      </c>
      <c r="B2967" s="160" t="s">
        <v>950</v>
      </c>
      <c r="C2967" s="157" t="s">
        <v>1</v>
      </c>
      <c r="D2967" s="159">
        <v>9</v>
      </c>
      <c r="E2967" s="159">
        <v>45.31</v>
      </c>
      <c r="F2967" s="159">
        <v>407.79</v>
      </c>
      <c r="G2967" s="160" t="s">
        <v>970</v>
      </c>
    </row>
    <row r="2968" spans="1:7" ht="12.75" customHeight="1">
      <c r="A2968" s="160">
        <v>2</v>
      </c>
      <c r="B2968" s="160" t="s">
        <v>985</v>
      </c>
      <c r="C2968" s="157" t="s">
        <v>1</v>
      </c>
      <c r="D2968" s="159">
        <v>6</v>
      </c>
      <c r="E2968" s="159">
        <v>600.08000000000004</v>
      </c>
      <c r="F2968" s="159">
        <v>3600.48</v>
      </c>
      <c r="G2968" s="160" t="s">
        <v>980</v>
      </c>
    </row>
    <row r="2969" spans="1:7" ht="12.75" customHeight="1">
      <c r="A2969" s="160">
        <v>3</v>
      </c>
      <c r="B2969" s="160" t="s">
        <v>26</v>
      </c>
      <c r="C2969" s="157" t="s">
        <v>1</v>
      </c>
      <c r="D2969" s="159">
        <v>15</v>
      </c>
      <c r="E2969" s="159">
        <v>663.18</v>
      </c>
      <c r="F2969" s="159">
        <v>9947.7000000000007</v>
      </c>
      <c r="G2969" s="160" t="s">
        <v>1117</v>
      </c>
    </row>
    <row r="2970" spans="1:7" ht="12.75" customHeight="1">
      <c r="A2970" s="160">
        <v>4</v>
      </c>
      <c r="B2970" s="160" t="s">
        <v>4519</v>
      </c>
      <c r="C2970" s="157" t="s">
        <v>0</v>
      </c>
      <c r="D2970" s="159">
        <v>13</v>
      </c>
      <c r="E2970" s="159">
        <v>1625.82</v>
      </c>
      <c r="F2970" s="159">
        <v>21135.66</v>
      </c>
      <c r="G2970" s="160" t="s">
        <v>5472</v>
      </c>
    </row>
    <row r="2971" spans="1:7" ht="12.75" customHeight="1">
      <c r="A2971" s="160">
        <v>5</v>
      </c>
      <c r="B2971" s="160" t="s">
        <v>3640</v>
      </c>
      <c r="C2971" s="157" t="s">
        <v>0</v>
      </c>
      <c r="D2971" s="159">
        <v>1.5</v>
      </c>
      <c r="E2971" s="159">
        <v>7585.76</v>
      </c>
      <c r="F2971" s="159">
        <v>11378.64</v>
      </c>
      <c r="G2971" s="160" t="s">
        <v>1202</v>
      </c>
    </row>
    <row r="2972" spans="1:7" ht="12.75" customHeight="1">
      <c r="A2972" s="160">
        <v>6</v>
      </c>
      <c r="B2972" s="160" t="s">
        <v>3639</v>
      </c>
      <c r="C2972" s="157" t="s">
        <v>0</v>
      </c>
      <c r="D2972" s="159">
        <v>0.51</v>
      </c>
      <c r="E2972" s="159">
        <v>7642.97</v>
      </c>
      <c r="F2972" s="159">
        <v>3897.91</v>
      </c>
      <c r="G2972" s="160" t="s">
        <v>1191</v>
      </c>
    </row>
    <row r="2973" spans="1:7" ht="12.75" customHeight="1">
      <c r="A2973" s="160">
        <v>7</v>
      </c>
      <c r="B2973" s="160" t="s">
        <v>1149</v>
      </c>
      <c r="C2973" s="157" t="s">
        <v>3</v>
      </c>
      <c r="D2973" s="159">
        <v>10</v>
      </c>
      <c r="E2973" s="159">
        <v>16.329999999999998</v>
      </c>
      <c r="F2973" s="159">
        <v>163.30000000000001</v>
      </c>
      <c r="G2973" s="160" t="s">
        <v>1178</v>
      </c>
    </row>
    <row r="2974" spans="1:7" ht="12.75" customHeight="1">
      <c r="A2974" s="160">
        <v>8</v>
      </c>
      <c r="B2974" s="160" t="s">
        <v>1140</v>
      </c>
      <c r="C2974" s="157" t="s">
        <v>3</v>
      </c>
      <c r="D2974" s="159">
        <v>10</v>
      </c>
      <c r="E2974" s="159">
        <v>41.08</v>
      </c>
      <c r="F2974" s="159">
        <v>410.8</v>
      </c>
      <c r="G2974" s="160" t="s">
        <v>1173</v>
      </c>
    </row>
    <row r="2975" spans="1:7" ht="12.75" customHeight="1">
      <c r="A2975" s="160">
        <v>9</v>
      </c>
      <c r="B2975" s="160" t="s">
        <v>1250</v>
      </c>
      <c r="C2975" s="157" t="s">
        <v>17</v>
      </c>
      <c r="D2975" s="159">
        <v>20</v>
      </c>
      <c r="E2975" s="159">
        <v>71.48</v>
      </c>
      <c r="F2975" s="159">
        <v>1429.6</v>
      </c>
      <c r="G2975" s="160" t="s">
        <v>1325</v>
      </c>
    </row>
    <row r="2976" spans="1:7" ht="12.75" customHeight="1">
      <c r="A2976" s="160">
        <v>10</v>
      </c>
      <c r="B2976" s="160" t="s">
        <v>2572</v>
      </c>
      <c r="C2976" s="157" t="s">
        <v>14</v>
      </c>
      <c r="D2976" s="159">
        <v>1</v>
      </c>
      <c r="E2976" s="159">
        <v>1203.28</v>
      </c>
      <c r="F2976" s="159">
        <v>1203.28</v>
      </c>
      <c r="G2976" s="160" t="s">
        <v>2</v>
      </c>
    </row>
    <row r="2977" spans="1:7" ht="12.75" customHeight="1">
      <c r="A2977" s="160">
        <v>11</v>
      </c>
      <c r="B2977" s="160" t="s">
        <v>2574</v>
      </c>
      <c r="C2977" s="157" t="s">
        <v>14</v>
      </c>
      <c r="D2977" s="159">
        <v>1</v>
      </c>
      <c r="E2977" s="159">
        <v>1851.2</v>
      </c>
      <c r="F2977" s="159">
        <v>1851.2</v>
      </c>
      <c r="G2977" s="160" t="s">
        <v>2</v>
      </c>
    </row>
    <row r="2978" spans="1:7" ht="12.75" customHeight="1">
      <c r="A2978" s="160">
        <v>12</v>
      </c>
      <c r="B2978" s="160" t="s">
        <v>2287</v>
      </c>
      <c r="C2978" s="157" t="s">
        <v>14</v>
      </c>
      <c r="D2978" s="159">
        <v>1</v>
      </c>
      <c r="E2978" s="159">
        <v>18049.23</v>
      </c>
      <c r="F2978" s="159">
        <v>18049.23</v>
      </c>
      <c r="G2978" s="160" t="s">
        <v>5461</v>
      </c>
    </row>
    <row r="2979" spans="1:7" ht="12.75" customHeight="1">
      <c r="A2979" s="160">
        <v>13</v>
      </c>
      <c r="B2979" s="160" t="s">
        <v>931</v>
      </c>
      <c r="C2979" s="157" t="s">
        <v>14</v>
      </c>
      <c r="D2979" s="159">
        <v>1</v>
      </c>
      <c r="E2979" s="159">
        <v>2182.5500000000002</v>
      </c>
      <c r="F2979" s="159">
        <v>2182.5500000000002</v>
      </c>
      <c r="G2979" s="160" t="s">
        <v>2</v>
      </c>
    </row>
    <row r="2980" spans="1:7" ht="12.75" customHeight="1">
      <c r="A2980" s="160"/>
      <c r="B2980" s="160" t="s">
        <v>933</v>
      </c>
      <c r="C2980" s="157" t="s">
        <v>17</v>
      </c>
      <c r="D2980" s="159">
        <v>10</v>
      </c>
      <c r="E2980" s="159"/>
      <c r="F2980" s="159">
        <v>75658.140000000014</v>
      </c>
      <c r="G2980" s="160"/>
    </row>
    <row r="2981" spans="1:7" ht="12.75" customHeight="1">
      <c r="A2981" s="160"/>
      <c r="B2981" s="160" t="s">
        <v>934</v>
      </c>
      <c r="C2981" s="157" t="s">
        <v>17</v>
      </c>
      <c r="D2981" s="159"/>
      <c r="E2981" s="159"/>
      <c r="F2981" s="159">
        <v>7565.81</v>
      </c>
      <c r="G2981" s="160"/>
    </row>
    <row r="2982" spans="1:7" ht="12.75" customHeight="1">
      <c r="A2982" s="160"/>
      <c r="B2982" s="160"/>
      <c r="C2982" s="157"/>
      <c r="D2982" s="159"/>
      <c r="E2982" s="159"/>
      <c r="F2982" s="159"/>
      <c r="G2982" s="160"/>
    </row>
    <row r="2983" spans="1:7" ht="12.75" customHeight="1">
      <c r="A2983" s="160" t="s">
        <v>5016</v>
      </c>
      <c r="B2983" s="160" t="s">
        <v>2587</v>
      </c>
      <c r="C2983" s="157" t="s">
        <v>17</v>
      </c>
      <c r="D2983" s="159">
        <v>10</v>
      </c>
      <c r="E2983" s="159">
        <v>8348.57</v>
      </c>
      <c r="F2983" s="159"/>
      <c r="G2983" s="160" t="s">
        <v>2</v>
      </c>
    </row>
    <row r="2984" spans="1:7" ht="12.75" customHeight="1">
      <c r="A2984" s="160">
        <v>1</v>
      </c>
      <c r="B2984" s="160" t="s">
        <v>2579</v>
      </c>
      <c r="C2984" s="157" t="s">
        <v>1</v>
      </c>
      <c r="D2984" s="159">
        <v>9</v>
      </c>
      <c r="E2984" s="159">
        <v>63.21</v>
      </c>
      <c r="F2984" s="159">
        <v>568.89</v>
      </c>
      <c r="G2984" s="160" t="s">
        <v>974</v>
      </c>
    </row>
    <row r="2985" spans="1:7" ht="12.75" customHeight="1">
      <c r="A2985" s="160">
        <v>2</v>
      </c>
      <c r="B2985" s="160" t="s">
        <v>2214</v>
      </c>
      <c r="C2985" s="157" t="s">
        <v>1</v>
      </c>
      <c r="D2985" s="159">
        <v>6</v>
      </c>
      <c r="E2985" s="159">
        <v>1382.35</v>
      </c>
      <c r="F2985" s="159">
        <v>8294.1</v>
      </c>
      <c r="G2985" s="160" t="s">
        <v>982</v>
      </c>
    </row>
    <row r="2986" spans="1:7" ht="12.75" customHeight="1">
      <c r="A2986" s="160">
        <v>3</v>
      </c>
      <c r="B2986" s="160" t="s">
        <v>2216</v>
      </c>
      <c r="C2986" s="157" t="s">
        <v>1</v>
      </c>
      <c r="D2986" s="159">
        <v>15</v>
      </c>
      <c r="E2986" s="159">
        <v>784.56</v>
      </c>
      <c r="F2986" s="159">
        <v>11768.4</v>
      </c>
      <c r="G2986" s="160" t="s">
        <v>2</v>
      </c>
    </row>
    <row r="2987" spans="1:7" ht="12.75" customHeight="1">
      <c r="A2987" s="160">
        <v>4</v>
      </c>
      <c r="B2987" s="160" t="s">
        <v>4519</v>
      </c>
      <c r="C2987" s="157" t="s">
        <v>0</v>
      </c>
      <c r="D2987" s="159">
        <v>13</v>
      </c>
      <c r="E2987" s="159">
        <v>1625.82</v>
      </c>
      <c r="F2987" s="159">
        <v>21135.66</v>
      </c>
      <c r="G2987" s="160" t="s">
        <v>5472</v>
      </c>
    </row>
    <row r="2988" spans="1:7" ht="12.75" customHeight="1">
      <c r="A2988" s="160">
        <v>5</v>
      </c>
      <c r="B2988" s="160" t="s">
        <v>4049</v>
      </c>
      <c r="C2988" s="157" t="s">
        <v>0</v>
      </c>
      <c r="D2988" s="159">
        <v>0.51</v>
      </c>
      <c r="E2988" s="159">
        <v>8102.76</v>
      </c>
      <c r="F2988" s="159">
        <v>4132.41</v>
      </c>
      <c r="G2988" s="160" t="s">
        <v>5473</v>
      </c>
    </row>
    <row r="2989" spans="1:7" ht="12.75" customHeight="1">
      <c r="A2989" s="160">
        <v>6</v>
      </c>
      <c r="B2989" s="160" t="s">
        <v>4048</v>
      </c>
      <c r="C2989" s="157" t="s">
        <v>0</v>
      </c>
      <c r="D2989" s="159">
        <v>1.5</v>
      </c>
      <c r="E2989" s="159">
        <v>8045.56</v>
      </c>
      <c r="F2989" s="159">
        <v>12068.34</v>
      </c>
      <c r="G2989" s="160" t="s">
        <v>1214</v>
      </c>
    </row>
    <row r="2990" spans="1:7" ht="12.75" customHeight="1">
      <c r="A2990" s="160">
        <v>7</v>
      </c>
      <c r="B2990" s="160" t="s">
        <v>1149</v>
      </c>
      <c r="C2990" s="157" t="s">
        <v>3</v>
      </c>
      <c r="D2990" s="159">
        <v>10</v>
      </c>
      <c r="E2990" s="159">
        <v>16.329999999999998</v>
      </c>
      <c r="F2990" s="159">
        <v>163.30000000000001</v>
      </c>
      <c r="G2990" s="160" t="s">
        <v>1178</v>
      </c>
    </row>
    <row r="2991" spans="1:7" ht="12.75" customHeight="1">
      <c r="A2991" s="160">
        <v>8</v>
      </c>
      <c r="B2991" s="160" t="s">
        <v>1140</v>
      </c>
      <c r="C2991" s="157" t="s">
        <v>3</v>
      </c>
      <c r="D2991" s="159">
        <v>10</v>
      </c>
      <c r="E2991" s="159">
        <v>41.08</v>
      </c>
      <c r="F2991" s="159">
        <v>410.8</v>
      </c>
      <c r="G2991" s="160" t="s">
        <v>1173</v>
      </c>
    </row>
    <row r="2992" spans="1:7" ht="12.75" customHeight="1">
      <c r="A2992" s="160">
        <v>9</v>
      </c>
      <c r="B2992" s="160" t="s">
        <v>1250</v>
      </c>
      <c r="C2992" s="157" t="s">
        <v>17</v>
      </c>
      <c r="D2992" s="159">
        <v>20</v>
      </c>
      <c r="E2992" s="159">
        <v>71.48</v>
      </c>
      <c r="F2992" s="159">
        <v>1429.6</v>
      </c>
      <c r="G2992" s="160" t="s">
        <v>1325</v>
      </c>
    </row>
    <row r="2993" spans="1:7" ht="12.75" customHeight="1">
      <c r="A2993" s="160">
        <v>10</v>
      </c>
      <c r="B2993" s="160" t="s">
        <v>2572</v>
      </c>
      <c r="C2993" s="157" t="s">
        <v>14</v>
      </c>
      <c r="D2993" s="159">
        <v>1</v>
      </c>
      <c r="E2993" s="159">
        <v>1203.28</v>
      </c>
      <c r="F2993" s="159">
        <v>1203.28</v>
      </c>
      <c r="G2993" s="160" t="s">
        <v>2</v>
      </c>
    </row>
    <row r="2994" spans="1:7" ht="12.75" customHeight="1">
      <c r="A2994" s="160">
        <v>11</v>
      </c>
      <c r="B2994" s="160" t="s">
        <v>2574</v>
      </c>
      <c r="C2994" s="157" t="s">
        <v>14</v>
      </c>
      <c r="D2994" s="159">
        <v>1</v>
      </c>
      <c r="E2994" s="159">
        <v>1851.2</v>
      </c>
      <c r="F2994" s="159">
        <v>1851.2</v>
      </c>
      <c r="G2994" s="160" t="s">
        <v>2</v>
      </c>
    </row>
    <row r="2995" spans="1:7" ht="12.75" customHeight="1">
      <c r="A2995" s="160">
        <v>12</v>
      </c>
      <c r="B2995" s="160" t="s">
        <v>2287</v>
      </c>
      <c r="C2995" s="157" t="s">
        <v>14</v>
      </c>
      <c r="D2995" s="159">
        <v>1</v>
      </c>
      <c r="E2995" s="159">
        <v>18049.23</v>
      </c>
      <c r="F2995" s="159">
        <v>18049.23</v>
      </c>
      <c r="G2995" s="160" t="s">
        <v>5461</v>
      </c>
    </row>
    <row r="2996" spans="1:7" ht="12.75" customHeight="1">
      <c r="A2996" s="160">
        <v>13</v>
      </c>
      <c r="B2996" s="160" t="s">
        <v>931</v>
      </c>
      <c r="C2996" s="157" t="s">
        <v>14</v>
      </c>
      <c r="D2996" s="159">
        <v>1</v>
      </c>
      <c r="E2996" s="159">
        <v>2410.5100000000002</v>
      </c>
      <c r="F2996" s="159">
        <v>2410.5100000000002</v>
      </c>
      <c r="G2996" s="160" t="s">
        <v>2</v>
      </c>
    </row>
    <row r="2997" spans="1:7" ht="12.75" customHeight="1">
      <c r="A2997" s="160"/>
      <c r="B2997" s="160" t="s">
        <v>933</v>
      </c>
      <c r="C2997" s="157" t="s">
        <v>17</v>
      </c>
      <c r="D2997" s="159">
        <v>10</v>
      </c>
      <c r="E2997" s="159"/>
      <c r="F2997" s="159">
        <v>83485.72</v>
      </c>
      <c r="G2997" s="160"/>
    </row>
    <row r="2998" spans="1:7" ht="12.75" customHeight="1">
      <c r="A2998" s="160"/>
      <c r="B2998" s="160" t="s">
        <v>934</v>
      </c>
      <c r="C2998" s="157" t="s">
        <v>17</v>
      </c>
      <c r="D2998" s="159"/>
      <c r="E2998" s="159"/>
      <c r="F2998" s="159">
        <v>8348.57</v>
      </c>
      <c r="G2998" s="160"/>
    </row>
    <row r="2999" spans="1:7" ht="12.75" customHeight="1">
      <c r="A2999" s="160"/>
      <c r="B2999" s="160"/>
      <c r="C2999" s="157"/>
      <c r="D2999" s="159"/>
      <c r="E2999" s="159"/>
      <c r="F2999" s="159"/>
      <c r="G2999" s="160"/>
    </row>
    <row r="3000" spans="1:7" ht="12.75" customHeight="1">
      <c r="A3000" s="160" t="s">
        <v>5017</v>
      </c>
      <c r="B3000" s="160" t="s">
        <v>2590</v>
      </c>
      <c r="C3000" s="157" t="s">
        <v>17</v>
      </c>
      <c r="D3000" s="159">
        <v>10</v>
      </c>
      <c r="E3000" s="159">
        <v>8881.42</v>
      </c>
      <c r="F3000" s="159"/>
      <c r="G3000" s="160" t="s">
        <v>2</v>
      </c>
    </row>
    <row r="3001" spans="1:7" ht="12.75" customHeight="1">
      <c r="A3001" s="160">
        <v>1</v>
      </c>
      <c r="B3001" s="160" t="s">
        <v>950</v>
      </c>
      <c r="C3001" s="157" t="s">
        <v>1</v>
      </c>
      <c r="D3001" s="159">
        <v>12</v>
      </c>
      <c r="E3001" s="159">
        <v>45.31</v>
      </c>
      <c r="F3001" s="159">
        <v>543.72</v>
      </c>
      <c r="G3001" s="160" t="s">
        <v>970</v>
      </c>
    </row>
    <row r="3002" spans="1:7" ht="12.75" customHeight="1">
      <c r="A3002" s="160">
        <v>2</v>
      </c>
      <c r="B3002" s="160" t="s">
        <v>985</v>
      </c>
      <c r="C3002" s="157" t="s">
        <v>1</v>
      </c>
      <c r="D3002" s="159">
        <v>8</v>
      </c>
      <c r="E3002" s="159">
        <v>600.08000000000004</v>
      </c>
      <c r="F3002" s="159">
        <v>4800.6400000000003</v>
      </c>
      <c r="G3002" s="160" t="s">
        <v>980</v>
      </c>
    </row>
    <row r="3003" spans="1:7" ht="12.75" customHeight="1">
      <c r="A3003" s="160">
        <v>3</v>
      </c>
      <c r="B3003" s="160" t="s">
        <v>26</v>
      </c>
      <c r="C3003" s="157" t="s">
        <v>1</v>
      </c>
      <c r="D3003" s="159">
        <v>20</v>
      </c>
      <c r="E3003" s="159">
        <v>663.18</v>
      </c>
      <c r="F3003" s="159">
        <v>13263.6</v>
      </c>
      <c r="G3003" s="160" t="s">
        <v>1117</v>
      </c>
    </row>
    <row r="3004" spans="1:7" ht="12.75" customHeight="1">
      <c r="A3004" s="160">
        <v>4</v>
      </c>
      <c r="B3004" s="160" t="s">
        <v>4519</v>
      </c>
      <c r="C3004" s="157" t="s">
        <v>0</v>
      </c>
      <c r="D3004" s="159">
        <v>18</v>
      </c>
      <c r="E3004" s="159">
        <v>1625.82</v>
      </c>
      <c r="F3004" s="159">
        <v>29264.76</v>
      </c>
      <c r="G3004" s="160" t="s">
        <v>5472</v>
      </c>
    </row>
    <row r="3005" spans="1:7" ht="12.75" customHeight="1">
      <c r="A3005" s="160">
        <v>5</v>
      </c>
      <c r="B3005" s="160" t="s">
        <v>3639</v>
      </c>
      <c r="C3005" s="157" t="s">
        <v>0</v>
      </c>
      <c r="D3005" s="159">
        <v>0.51</v>
      </c>
      <c r="E3005" s="159">
        <v>7642.97</v>
      </c>
      <c r="F3005" s="159">
        <v>3897.91</v>
      </c>
      <c r="G3005" s="160" t="s">
        <v>1191</v>
      </c>
    </row>
    <row r="3006" spans="1:7" ht="12.75" customHeight="1">
      <c r="A3006" s="160">
        <v>6</v>
      </c>
      <c r="B3006" s="160" t="s">
        <v>3640</v>
      </c>
      <c r="C3006" s="157" t="s">
        <v>0</v>
      </c>
      <c r="D3006" s="159">
        <v>1.5</v>
      </c>
      <c r="E3006" s="159">
        <v>7585.76</v>
      </c>
      <c r="F3006" s="159">
        <v>11378.64</v>
      </c>
      <c r="G3006" s="160" t="s">
        <v>1202</v>
      </c>
    </row>
    <row r="3007" spans="1:7" ht="12.75" customHeight="1">
      <c r="A3007" s="160">
        <v>7</v>
      </c>
      <c r="B3007" s="160" t="s">
        <v>1149</v>
      </c>
      <c r="C3007" s="157" t="s">
        <v>3</v>
      </c>
      <c r="D3007" s="159">
        <v>10</v>
      </c>
      <c r="E3007" s="159">
        <v>16.329999999999998</v>
      </c>
      <c r="F3007" s="159">
        <v>163.30000000000001</v>
      </c>
      <c r="G3007" s="160" t="s">
        <v>1178</v>
      </c>
    </row>
    <row r="3008" spans="1:7" ht="12.75" customHeight="1">
      <c r="A3008" s="160">
        <v>8</v>
      </c>
      <c r="B3008" s="160" t="s">
        <v>1140</v>
      </c>
      <c r="C3008" s="157" t="s">
        <v>3</v>
      </c>
      <c r="D3008" s="159">
        <v>10</v>
      </c>
      <c r="E3008" s="159">
        <v>41.08</v>
      </c>
      <c r="F3008" s="159">
        <v>410.8</v>
      </c>
      <c r="G3008" s="160" t="s">
        <v>1173</v>
      </c>
    </row>
    <row r="3009" spans="1:7" ht="12.75" customHeight="1">
      <c r="A3009" s="160">
        <v>9</v>
      </c>
      <c r="B3009" s="160" t="s">
        <v>1250</v>
      </c>
      <c r="C3009" s="157" t="s">
        <v>17</v>
      </c>
      <c r="D3009" s="159">
        <v>20</v>
      </c>
      <c r="E3009" s="159">
        <v>71.48</v>
      </c>
      <c r="F3009" s="159">
        <v>1429.6</v>
      </c>
      <c r="G3009" s="160" t="s">
        <v>1325</v>
      </c>
    </row>
    <row r="3010" spans="1:7" ht="12.75" customHeight="1">
      <c r="A3010" s="160">
        <v>10</v>
      </c>
      <c r="B3010" s="160" t="s">
        <v>2572</v>
      </c>
      <c r="C3010" s="157" t="s">
        <v>14</v>
      </c>
      <c r="D3010" s="159">
        <v>1</v>
      </c>
      <c r="E3010" s="159">
        <v>1203.28</v>
      </c>
      <c r="F3010" s="159">
        <v>1203.28</v>
      </c>
      <c r="G3010" s="160" t="s">
        <v>2</v>
      </c>
    </row>
    <row r="3011" spans="1:7" ht="12.75" customHeight="1">
      <c r="A3011" s="160">
        <v>11</v>
      </c>
      <c r="B3011" s="160" t="s">
        <v>2574</v>
      </c>
      <c r="C3011" s="157" t="s">
        <v>14</v>
      </c>
      <c r="D3011" s="159">
        <v>1</v>
      </c>
      <c r="E3011" s="159">
        <v>1851.2</v>
      </c>
      <c r="F3011" s="159">
        <v>1851.2</v>
      </c>
      <c r="G3011" s="160" t="s">
        <v>2</v>
      </c>
    </row>
    <row r="3012" spans="1:7" ht="12.75" customHeight="1">
      <c r="A3012" s="160">
        <v>12</v>
      </c>
      <c r="B3012" s="160" t="s">
        <v>2287</v>
      </c>
      <c r="C3012" s="157" t="s">
        <v>14</v>
      </c>
      <c r="D3012" s="159">
        <v>1</v>
      </c>
      <c r="E3012" s="159">
        <v>18049.23</v>
      </c>
      <c r="F3012" s="159">
        <v>18049.23</v>
      </c>
      <c r="G3012" s="160" t="s">
        <v>5461</v>
      </c>
    </row>
    <row r="3013" spans="1:7" ht="12.75" customHeight="1">
      <c r="A3013" s="160">
        <v>13</v>
      </c>
      <c r="B3013" s="160" t="s">
        <v>931</v>
      </c>
      <c r="C3013" s="157" t="s">
        <v>14</v>
      </c>
      <c r="D3013" s="159">
        <v>1</v>
      </c>
      <c r="E3013" s="159">
        <v>2557.54</v>
      </c>
      <c r="F3013" s="159">
        <v>2557.54</v>
      </c>
      <c r="G3013" s="160" t="s">
        <v>2</v>
      </c>
    </row>
    <row r="3014" spans="1:7" ht="12.75" customHeight="1">
      <c r="A3014" s="160"/>
      <c r="B3014" s="160" t="s">
        <v>933</v>
      </c>
      <c r="C3014" s="157" t="s">
        <v>17</v>
      </c>
      <c r="D3014" s="159">
        <v>10</v>
      </c>
      <c r="E3014" s="159"/>
      <c r="F3014" s="159">
        <v>88814.22</v>
      </c>
      <c r="G3014" s="160"/>
    </row>
    <row r="3015" spans="1:7" ht="12.75" customHeight="1">
      <c r="A3015" s="160"/>
      <c r="B3015" s="160" t="s">
        <v>934</v>
      </c>
      <c r="C3015" s="157" t="s">
        <v>17</v>
      </c>
      <c r="D3015" s="159"/>
      <c r="E3015" s="159"/>
      <c r="F3015" s="159">
        <v>8881.42</v>
      </c>
      <c r="G3015" s="160"/>
    </row>
    <row r="3016" spans="1:7" ht="12.75" customHeight="1">
      <c r="A3016" s="160"/>
      <c r="B3016" s="160"/>
      <c r="C3016" s="157"/>
      <c r="D3016" s="159"/>
      <c r="E3016" s="159"/>
      <c r="F3016" s="159"/>
      <c r="G3016" s="160"/>
    </row>
    <row r="3017" spans="1:7" ht="12.75" customHeight="1">
      <c r="A3017" s="160" t="s">
        <v>5018</v>
      </c>
      <c r="B3017" s="160" t="s">
        <v>2593</v>
      </c>
      <c r="C3017" s="157" t="s">
        <v>17</v>
      </c>
      <c r="D3017" s="159">
        <v>10</v>
      </c>
      <c r="E3017" s="159">
        <v>9893.3700000000008</v>
      </c>
      <c r="F3017" s="159"/>
      <c r="G3017" s="160" t="s">
        <v>2</v>
      </c>
    </row>
    <row r="3018" spans="1:7" ht="12.75" customHeight="1">
      <c r="A3018" s="160">
        <v>1</v>
      </c>
      <c r="B3018" s="160" t="s">
        <v>2579</v>
      </c>
      <c r="C3018" s="157" t="s">
        <v>1</v>
      </c>
      <c r="D3018" s="159">
        <v>12</v>
      </c>
      <c r="E3018" s="159">
        <v>63.21</v>
      </c>
      <c r="F3018" s="159">
        <v>758.52</v>
      </c>
      <c r="G3018" s="160" t="s">
        <v>974</v>
      </c>
    </row>
    <row r="3019" spans="1:7" ht="12.75" customHeight="1">
      <c r="A3019" s="160">
        <v>2</v>
      </c>
      <c r="B3019" s="160" t="s">
        <v>2214</v>
      </c>
      <c r="C3019" s="157" t="s">
        <v>1</v>
      </c>
      <c r="D3019" s="159">
        <v>8</v>
      </c>
      <c r="E3019" s="159">
        <v>1382.35</v>
      </c>
      <c r="F3019" s="159">
        <v>11058.8</v>
      </c>
      <c r="G3019" s="160" t="s">
        <v>982</v>
      </c>
    </row>
    <row r="3020" spans="1:7" ht="12.75" customHeight="1">
      <c r="A3020" s="160">
        <v>3</v>
      </c>
      <c r="B3020" s="160" t="s">
        <v>2216</v>
      </c>
      <c r="C3020" s="157" t="s">
        <v>1</v>
      </c>
      <c r="D3020" s="159">
        <v>20</v>
      </c>
      <c r="E3020" s="159">
        <v>784.56</v>
      </c>
      <c r="F3020" s="159">
        <v>15691.2</v>
      </c>
      <c r="G3020" s="160" t="s">
        <v>2</v>
      </c>
    </row>
    <row r="3021" spans="1:7" ht="12.75" customHeight="1">
      <c r="A3021" s="160">
        <v>4</v>
      </c>
      <c r="B3021" s="160" t="s">
        <v>4519</v>
      </c>
      <c r="C3021" s="157" t="s">
        <v>0</v>
      </c>
      <c r="D3021" s="159">
        <v>18</v>
      </c>
      <c r="E3021" s="159">
        <v>1625.82</v>
      </c>
      <c r="F3021" s="159">
        <v>29264.76</v>
      </c>
      <c r="G3021" s="160" t="s">
        <v>5472</v>
      </c>
    </row>
    <row r="3022" spans="1:7" ht="12.75" customHeight="1">
      <c r="A3022" s="160">
        <v>5</v>
      </c>
      <c r="B3022" s="160" t="s">
        <v>4049</v>
      </c>
      <c r="C3022" s="157" t="s">
        <v>0</v>
      </c>
      <c r="D3022" s="159">
        <v>0.51</v>
      </c>
      <c r="E3022" s="159">
        <v>8102.76</v>
      </c>
      <c r="F3022" s="159">
        <v>4132.41</v>
      </c>
      <c r="G3022" s="160" t="s">
        <v>5473</v>
      </c>
    </row>
    <row r="3023" spans="1:7" ht="12.75" customHeight="1">
      <c r="A3023" s="160">
        <v>6</v>
      </c>
      <c r="B3023" s="160" t="s">
        <v>4048</v>
      </c>
      <c r="C3023" s="157" t="s">
        <v>0</v>
      </c>
      <c r="D3023" s="159">
        <v>1.5</v>
      </c>
      <c r="E3023" s="159">
        <v>8045.56</v>
      </c>
      <c r="F3023" s="159">
        <v>12068.34</v>
      </c>
      <c r="G3023" s="160" t="s">
        <v>1214</v>
      </c>
    </row>
    <row r="3024" spans="1:7" ht="12.75" customHeight="1">
      <c r="A3024" s="160">
        <v>7</v>
      </c>
      <c r="B3024" s="160" t="s">
        <v>1149</v>
      </c>
      <c r="C3024" s="157" t="s">
        <v>3</v>
      </c>
      <c r="D3024" s="159">
        <v>10</v>
      </c>
      <c r="E3024" s="159">
        <v>16.329999999999998</v>
      </c>
      <c r="F3024" s="159">
        <v>163.30000000000001</v>
      </c>
      <c r="G3024" s="160" t="s">
        <v>1178</v>
      </c>
    </row>
    <row r="3025" spans="1:7" ht="12.75" customHeight="1">
      <c r="A3025" s="160">
        <v>8</v>
      </c>
      <c r="B3025" s="160" t="s">
        <v>1140</v>
      </c>
      <c r="C3025" s="157" t="s">
        <v>3</v>
      </c>
      <c r="D3025" s="159">
        <v>10</v>
      </c>
      <c r="E3025" s="159">
        <v>41.08</v>
      </c>
      <c r="F3025" s="159">
        <v>410.8</v>
      </c>
      <c r="G3025" s="160" t="s">
        <v>1173</v>
      </c>
    </row>
    <row r="3026" spans="1:7" ht="12.75" customHeight="1">
      <c r="A3026" s="160">
        <v>9</v>
      </c>
      <c r="B3026" s="160" t="s">
        <v>1250</v>
      </c>
      <c r="C3026" s="157" t="s">
        <v>17</v>
      </c>
      <c r="D3026" s="159">
        <v>20</v>
      </c>
      <c r="E3026" s="159">
        <v>71.48</v>
      </c>
      <c r="F3026" s="159">
        <v>1429.6</v>
      </c>
      <c r="G3026" s="160" t="s">
        <v>1325</v>
      </c>
    </row>
    <row r="3027" spans="1:7" ht="12.75" customHeight="1">
      <c r="A3027" s="160">
        <v>10</v>
      </c>
      <c r="B3027" s="160" t="s">
        <v>2572</v>
      </c>
      <c r="C3027" s="157" t="s">
        <v>14</v>
      </c>
      <c r="D3027" s="159">
        <v>1</v>
      </c>
      <c r="E3027" s="159">
        <v>1203.28</v>
      </c>
      <c r="F3027" s="159">
        <v>1203.28</v>
      </c>
      <c r="G3027" s="160" t="s">
        <v>2</v>
      </c>
    </row>
    <row r="3028" spans="1:7" ht="12.75" customHeight="1">
      <c r="A3028" s="160">
        <v>11</v>
      </c>
      <c r="B3028" s="160" t="s">
        <v>2574</v>
      </c>
      <c r="C3028" s="157" t="s">
        <v>14</v>
      </c>
      <c r="D3028" s="159">
        <v>1</v>
      </c>
      <c r="E3028" s="159">
        <v>1851.2</v>
      </c>
      <c r="F3028" s="159">
        <v>1851.2</v>
      </c>
      <c r="G3028" s="160" t="s">
        <v>2</v>
      </c>
    </row>
    <row r="3029" spans="1:7" ht="12.75" customHeight="1">
      <c r="A3029" s="160">
        <v>12</v>
      </c>
      <c r="B3029" s="160" t="s">
        <v>2287</v>
      </c>
      <c r="C3029" s="157" t="s">
        <v>14</v>
      </c>
      <c r="D3029" s="159">
        <v>1</v>
      </c>
      <c r="E3029" s="159">
        <v>18049.23</v>
      </c>
      <c r="F3029" s="159">
        <v>18049.23</v>
      </c>
      <c r="G3029" s="160" t="s">
        <v>5461</v>
      </c>
    </row>
    <row r="3030" spans="1:7" ht="12.75" customHeight="1">
      <c r="A3030" s="160">
        <v>13</v>
      </c>
      <c r="B3030" s="160" t="s">
        <v>931</v>
      </c>
      <c r="C3030" s="157" t="s">
        <v>14</v>
      </c>
      <c r="D3030" s="159">
        <v>1</v>
      </c>
      <c r="E3030" s="159">
        <v>2852.28</v>
      </c>
      <c r="F3030" s="159">
        <v>2852.28</v>
      </c>
      <c r="G3030" s="160" t="s">
        <v>2</v>
      </c>
    </row>
    <row r="3031" spans="1:7" ht="12.75" customHeight="1">
      <c r="A3031" s="160"/>
      <c r="B3031" s="160" t="s">
        <v>933</v>
      </c>
      <c r="C3031" s="157" t="s">
        <v>17</v>
      </c>
      <c r="D3031" s="159">
        <v>10</v>
      </c>
      <c r="E3031" s="159"/>
      <c r="F3031" s="159">
        <v>98933.72</v>
      </c>
      <c r="G3031" s="160"/>
    </row>
    <row r="3032" spans="1:7" ht="12.75" customHeight="1">
      <c r="A3032" s="160"/>
      <c r="B3032" s="160" t="s">
        <v>934</v>
      </c>
      <c r="C3032" s="157" t="s">
        <v>17</v>
      </c>
      <c r="D3032" s="159"/>
      <c r="E3032" s="159"/>
      <c r="F3032" s="159">
        <v>9893.3700000000008</v>
      </c>
      <c r="G3032" s="160"/>
    </row>
    <row r="3033" spans="1:7" ht="12.75" customHeight="1">
      <c r="A3033" s="160"/>
      <c r="B3033" s="160"/>
      <c r="C3033" s="157"/>
      <c r="D3033" s="159"/>
      <c r="E3033" s="159"/>
      <c r="F3033" s="159"/>
      <c r="G3033" s="160"/>
    </row>
    <row r="3034" spans="1:7" ht="12.75" customHeight="1">
      <c r="A3034" s="160" t="s">
        <v>5019</v>
      </c>
      <c r="B3034" s="160" t="s">
        <v>2596</v>
      </c>
      <c r="C3034" s="157" t="s">
        <v>17</v>
      </c>
      <c r="D3034" s="159">
        <v>10</v>
      </c>
      <c r="E3034" s="159">
        <v>14107.11</v>
      </c>
      <c r="F3034" s="159"/>
      <c r="G3034" s="160" t="s">
        <v>2</v>
      </c>
    </row>
    <row r="3035" spans="1:7" ht="12.75" customHeight="1">
      <c r="A3035" s="160">
        <v>1</v>
      </c>
      <c r="B3035" s="160" t="s">
        <v>950</v>
      </c>
      <c r="C3035" s="157" t="s">
        <v>1</v>
      </c>
      <c r="D3035" s="159">
        <v>24</v>
      </c>
      <c r="E3035" s="159">
        <v>45.31</v>
      </c>
      <c r="F3035" s="159">
        <v>1087.44</v>
      </c>
      <c r="G3035" s="160" t="s">
        <v>970</v>
      </c>
    </row>
    <row r="3036" spans="1:7" ht="12.75" customHeight="1">
      <c r="A3036" s="160">
        <v>2</v>
      </c>
      <c r="B3036" s="160" t="s">
        <v>985</v>
      </c>
      <c r="C3036" s="157" t="s">
        <v>1</v>
      </c>
      <c r="D3036" s="159">
        <v>16</v>
      </c>
      <c r="E3036" s="159">
        <v>600.08000000000004</v>
      </c>
      <c r="F3036" s="159">
        <v>9601.2800000000007</v>
      </c>
      <c r="G3036" s="160" t="s">
        <v>980</v>
      </c>
    </row>
    <row r="3037" spans="1:7" ht="12.75" customHeight="1">
      <c r="A3037" s="160">
        <v>3</v>
      </c>
      <c r="B3037" s="160" t="s">
        <v>26</v>
      </c>
      <c r="C3037" s="157" t="s">
        <v>1</v>
      </c>
      <c r="D3037" s="159">
        <v>40</v>
      </c>
      <c r="E3037" s="159">
        <v>663.18</v>
      </c>
      <c r="F3037" s="159">
        <v>26527.200000000001</v>
      </c>
      <c r="G3037" s="160" t="s">
        <v>1117</v>
      </c>
    </row>
    <row r="3038" spans="1:7" ht="12.75" customHeight="1">
      <c r="A3038" s="160">
        <v>4</v>
      </c>
      <c r="B3038" s="160" t="s">
        <v>4519</v>
      </c>
      <c r="C3038" s="157" t="s">
        <v>0</v>
      </c>
      <c r="D3038" s="159">
        <v>32</v>
      </c>
      <c r="E3038" s="159">
        <v>1625.82</v>
      </c>
      <c r="F3038" s="159">
        <v>52026.239999999998</v>
      </c>
      <c r="G3038" s="160" t="s">
        <v>5472</v>
      </c>
    </row>
    <row r="3039" spans="1:7" ht="12.75" customHeight="1">
      <c r="A3039" s="160">
        <v>5</v>
      </c>
      <c r="B3039" s="160" t="s">
        <v>3639</v>
      </c>
      <c r="C3039" s="157" t="s">
        <v>0</v>
      </c>
      <c r="D3039" s="159">
        <v>0.8</v>
      </c>
      <c r="E3039" s="159">
        <v>7642.97</v>
      </c>
      <c r="F3039" s="159">
        <v>6114.38</v>
      </c>
      <c r="G3039" s="160" t="s">
        <v>1191</v>
      </c>
    </row>
    <row r="3040" spans="1:7" ht="12.75" customHeight="1">
      <c r="A3040" s="160">
        <v>6</v>
      </c>
      <c r="B3040" s="160" t="s">
        <v>3640</v>
      </c>
      <c r="C3040" s="157" t="s">
        <v>0</v>
      </c>
      <c r="D3040" s="159">
        <v>2.4</v>
      </c>
      <c r="E3040" s="159">
        <v>7585.76</v>
      </c>
      <c r="F3040" s="159">
        <v>18205.82</v>
      </c>
      <c r="G3040" s="160" t="s">
        <v>1202</v>
      </c>
    </row>
    <row r="3041" spans="1:7" ht="12.75" customHeight="1">
      <c r="A3041" s="160">
        <v>7</v>
      </c>
      <c r="B3041" s="160" t="s">
        <v>1149</v>
      </c>
      <c r="C3041" s="157" t="s">
        <v>3</v>
      </c>
      <c r="D3041" s="159">
        <v>16</v>
      </c>
      <c r="E3041" s="159">
        <v>16.329999999999998</v>
      </c>
      <c r="F3041" s="159">
        <v>261.27999999999997</v>
      </c>
      <c r="G3041" s="160" t="s">
        <v>1178</v>
      </c>
    </row>
    <row r="3042" spans="1:7" ht="12.75" customHeight="1">
      <c r="A3042" s="160">
        <v>8</v>
      </c>
      <c r="B3042" s="160" t="s">
        <v>1140</v>
      </c>
      <c r="C3042" s="157" t="s">
        <v>3</v>
      </c>
      <c r="D3042" s="159">
        <v>16</v>
      </c>
      <c r="E3042" s="159">
        <v>41.08</v>
      </c>
      <c r="F3042" s="159">
        <v>657.28</v>
      </c>
      <c r="G3042" s="160" t="s">
        <v>1173</v>
      </c>
    </row>
    <row r="3043" spans="1:7" ht="12.75" customHeight="1">
      <c r="A3043" s="160">
        <v>9</v>
      </c>
      <c r="B3043" s="160" t="s">
        <v>1250</v>
      </c>
      <c r="C3043" s="157" t="s">
        <v>17</v>
      </c>
      <c r="D3043" s="159">
        <v>20</v>
      </c>
      <c r="E3043" s="159">
        <v>71.48</v>
      </c>
      <c r="F3043" s="159">
        <v>1429.6</v>
      </c>
      <c r="G3043" s="160" t="s">
        <v>1325</v>
      </c>
    </row>
    <row r="3044" spans="1:7" ht="12.75" customHeight="1">
      <c r="A3044" s="160">
        <v>10</v>
      </c>
      <c r="B3044" s="160" t="s">
        <v>2572</v>
      </c>
      <c r="C3044" s="157" t="s">
        <v>14</v>
      </c>
      <c r="D3044" s="159">
        <v>1</v>
      </c>
      <c r="E3044" s="159">
        <v>1203.28</v>
      </c>
      <c r="F3044" s="159">
        <v>1203.28</v>
      </c>
      <c r="G3044" s="160" t="s">
        <v>2</v>
      </c>
    </row>
    <row r="3045" spans="1:7" ht="12.75" customHeight="1">
      <c r="A3045" s="160">
        <v>11</v>
      </c>
      <c r="B3045" s="160" t="s">
        <v>2574</v>
      </c>
      <c r="C3045" s="157" t="s">
        <v>14</v>
      </c>
      <c r="D3045" s="159">
        <v>1</v>
      </c>
      <c r="E3045" s="159">
        <v>1851.2</v>
      </c>
      <c r="F3045" s="159">
        <v>1851.2</v>
      </c>
      <c r="G3045" s="160" t="s">
        <v>2</v>
      </c>
    </row>
    <row r="3046" spans="1:7" ht="12.75" customHeight="1">
      <c r="A3046" s="160">
        <v>12</v>
      </c>
      <c r="B3046" s="160" t="s">
        <v>2287</v>
      </c>
      <c r="C3046" s="157" t="s">
        <v>14</v>
      </c>
      <c r="D3046" s="159">
        <v>1</v>
      </c>
      <c r="E3046" s="159">
        <v>18049.23</v>
      </c>
      <c r="F3046" s="159">
        <v>18049.23</v>
      </c>
      <c r="G3046" s="160" t="s">
        <v>5461</v>
      </c>
    </row>
    <row r="3047" spans="1:7" ht="12.75" customHeight="1">
      <c r="A3047" s="160">
        <v>13</v>
      </c>
      <c r="B3047" s="160" t="s">
        <v>931</v>
      </c>
      <c r="C3047" s="157" t="s">
        <v>14</v>
      </c>
      <c r="D3047" s="159">
        <v>1</v>
      </c>
      <c r="E3047" s="159">
        <v>4056.82</v>
      </c>
      <c r="F3047" s="159">
        <v>4056.82</v>
      </c>
      <c r="G3047" s="160" t="s">
        <v>2</v>
      </c>
    </row>
    <row r="3048" spans="1:7" ht="12.75" customHeight="1">
      <c r="A3048" s="160"/>
      <c r="B3048" s="160" t="s">
        <v>933</v>
      </c>
      <c r="C3048" s="157" t="s">
        <v>17</v>
      </c>
      <c r="D3048" s="159">
        <v>10</v>
      </c>
      <c r="E3048" s="159"/>
      <c r="F3048" s="159">
        <v>141071.05000000002</v>
      </c>
      <c r="G3048" s="160"/>
    </row>
    <row r="3049" spans="1:7" ht="12.75" customHeight="1">
      <c r="A3049" s="160"/>
      <c r="B3049" s="160" t="s">
        <v>934</v>
      </c>
      <c r="C3049" s="157" t="s">
        <v>17</v>
      </c>
      <c r="D3049" s="159"/>
      <c r="E3049" s="159"/>
      <c r="F3049" s="159">
        <v>14107.11</v>
      </c>
      <c r="G3049" s="160"/>
    </row>
    <row r="3050" spans="1:7" ht="12.75" customHeight="1">
      <c r="A3050" s="160"/>
      <c r="B3050" s="160"/>
      <c r="C3050" s="157"/>
      <c r="D3050" s="159"/>
      <c r="E3050" s="159"/>
      <c r="F3050" s="159"/>
      <c r="G3050" s="160"/>
    </row>
    <row r="3051" spans="1:7" ht="12.75" customHeight="1">
      <c r="A3051" s="160" t="s">
        <v>5020</v>
      </c>
      <c r="B3051" s="160" t="s">
        <v>2599</v>
      </c>
      <c r="C3051" s="157" t="s">
        <v>17</v>
      </c>
      <c r="D3051" s="159">
        <v>10</v>
      </c>
      <c r="E3051" s="159">
        <v>16092.15</v>
      </c>
      <c r="F3051" s="159"/>
      <c r="G3051" s="160" t="s">
        <v>2</v>
      </c>
    </row>
    <row r="3052" spans="1:7" ht="12.75" customHeight="1">
      <c r="A3052" s="160">
        <v>1</v>
      </c>
      <c r="B3052" s="160" t="s">
        <v>2579</v>
      </c>
      <c r="C3052" s="157" t="s">
        <v>1</v>
      </c>
      <c r="D3052" s="159">
        <v>24</v>
      </c>
      <c r="E3052" s="159">
        <v>63.21</v>
      </c>
      <c r="F3052" s="159">
        <v>1517.04</v>
      </c>
      <c r="G3052" s="160" t="s">
        <v>974</v>
      </c>
    </row>
    <row r="3053" spans="1:7" ht="12.75" customHeight="1">
      <c r="A3053" s="160">
        <v>2</v>
      </c>
      <c r="B3053" s="160" t="s">
        <v>2214</v>
      </c>
      <c r="C3053" s="157" t="s">
        <v>1</v>
      </c>
      <c r="D3053" s="159">
        <v>16</v>
      </c>
      <c r="E3053" s="159">
        <v>1382.35</v>
      </c>
      <c r="F3053" s="159">
        <v>22117.599999999999</v>
      </c>
      <c r="G3053" s="160" t="s">
        <v>982</v>
      </c>
    </row>
    <row r="3054" spans="1:7" ht="12.75" customHeight="1">
      <c r="A3054" s="160">
        <v>3</v>
      </c>
      <c r="B3054" s="160" t="s">
        <v>4519</v>
      </c>
      <c r="C3054" s="157" t="s">
        <v>0</v>
      </c>
      <c r="D3054" s="159">
        <v>32</v>
      </c>
      <c r="E3054" s="159">
        <v>1625.82</v>
      </c>
      <c r="F3054" s="159">
        <v>52026.239999999998</v>
      </c>
      <c r="G3054" s="160" t="s">
        <v>5472</v>
      </c>
    </row>
    <row r="3055" spans="1:7" ht="12.75" customHeight="1">
      <c r="A3055" s="160">
        <v>4</v>
      </c>
      <c r="B3055" s="160" t="s">
        <v>2216</v>
      </c>
      <c r="C3055" s="157" t="s">
        <v>1</v>
      </c>
      <c r="D3055" s="159">
        <v>40</v>
      </c>
      <c r="E3055" s="159">
        <v>784.56</v>
      </c>
      <c r="F3055" s="159">
        <v>31382.400000000001</v>
      </c>
      <c r="G3055" s="160" t="s">
        <v>2</v>
      </c>
    </row>
    <row r="3056" spans="1:7" ht="12.75" customHeight="1">
      <c r="A3056" s="160">
        <v>5</v>
      </c>
      <c r="B3056" s="160" t="s">
        <v>4049</v>
      </c>
      <c r="C3056" s="157" t="s">
        <v>0</v>
      </c>
      <c r="D3056" s="159">
        <v>0.8</v>
      </c>
      <c r="E3056" s="159">
        <v>8102.76</v>
      </c>
      <c r="F3056" s="159">
        <v>6482.21</v>
      </c>
      <c r="G3056" s="160" t="s">
        <v>5473</v>
      </c>
    </row>
    <row r="3057" spans="1:7" ht="12.75" customHeight="1">
      <c r="A3057" s="160">
        <v>6</v>
      </c>
      <c r="B3057" s="160" t="s">
        <v>4048</v>
      </c>
      <c r="C3057" s="157" t="s">
        <v>0</v>
      </c>
      <c r="D3057" s="159">
        <v>2.4</v>
      </c>
      <c r="E3057" s="159">
        <v>8045.56</v>
      </c>
      <c r="F3057" s="159">
        <v>19309.34</v>
      </c>
      <c r="G3057" s="160" t="s">
        <v>1214</v>
      </c>
    </row>
    <row r="3058" spans="1:7" ht="12.75" customHeight="1">
      <c r="A3058" s="160">
        <v>7</v>
      </c>
      <c r="B3058" s="160" t="s">
        <v>1149</v>
      </c>
      <c r="C3058" s="157" t="s">
        <v>3</v>
      </c>
      <c r="D3058" s="159">
        <v>16</v>
      </c>
      <c r="E3058" s="159">
        <v>16.329999999999998</v>
      </c>
      <c r="F3058" s="159">
        <v>261.27999999999997</v>
      </c>
      <c r="G3058" s="160" t="s">
        <v>1178</v>
      </c>
    </row>
    <row r="3059" spans="1:7" ht="12.75" customHeight="1">
      <c r="A3059" s="160">
        <v>8</v>
      </c>
      <c r="B3059" s="160" t="s">
        <v>1140</v>
      </c>
      <c r="C3059" s="157" t="s">
        <v>3</v>
      </c>
      <c r="D3059" s="159">
        <v>16</v>
      </c>
      <c r="E3059" s="159">
        <v>41.08</v>
      </c>
      <c r="F3059" s="159">
        <v>657.28</v>
      </c>
      <c r="G3059" s="160" t="s">
        <v>1173</v>
      </c>
    </row>
    <row r="3060" spans="1:7" ht="12.75" customHeight="1">
      <c r="A3060" s="160">
        <v>9</v>
      </c>
      <c r="B3060" s="160" t="s">
        <v>1250</v>
      </c>
      <c r="C3060" s="157" t="s">
        <v>17</v>
      </c>
      <c r="D3060" s="159">
        <v>20</v>
      </c>
      <c r="E3060" s="159">
        <v>71.48</v>
      </c>
      <c r="F3060" s="159">
        <v>1429.6</v>
      </c>
      <c r="G3060" s="160" t="s">
        <v>1325</v>
      </c>
    </row>
    <row r="3061" spans="1:7" ht="12.75" customHeight="1">
      <c r="A3061" s="160">
        <v>10</v>
      </c>
      <c r="B3061" s="160" t="s">
        <v>2572</v>
      </c>
      <c r="C3061" s="157" t="s">
        <v>14</v>
      </c>
      <c r="D3061" s="159">
        <v>1</v>
      </c>
      <c r="E3061" s="159">
        <v>1203.28</v>
      </c>
      <c r="F3061" s="159">
        <v>1203.28</v>
      </c>
      <c r="G3061" s="160" t="s">
        <v>2</v>
      </c>
    </row>
    <row r="3062" spans="1:7" ht="12.75" customHeight="1">
      <c r="A3062" s="160">
        <v>11</v>
      </c>
      <c r="B3062" s="160" t="s">
        <v>2574</v>
      </c>
      <c r="C3062" s="157" t="s">
        <v>14</v>
      </c>
      <c r="D3062" s="159">
        <v>1</v>
      </c>
      <c r="E3062" s="159">
        <v>1851.2</v>
      </c>
      <c r="F3062" s="159">
        <v>1851.2</v>
      </c>
      <c r="G3062" s="160" t="s">
        <v>2</v>
      </c>
    </row>
    <row r="3063" spans="1:7" ht="12.75" customHeight="1">
      <c r="A3063" s="160">
        <v>12</v>
      </c>
      <c r="B3063" s="160" t="s">
        <v>2287</v>
      </c>
      <c r="C3063" s="157" t="s">
        <v>14</v>
      </c>
      <c r="D3063" s="159">
        <v>1</v>
      </c>
      <c r="E3063" s="159">
        <v>18049.23</v>
      </c>
      <c r="F3063" s="159">
        <v>18049.23</v>
      </c>
      <c r="G3063" s="160" t="s">
        <v>5461</v>
      </c>
    </row>
    <row r="3064" spans="1:7" ht="12.75" customHeight="1">
      <c r="A3064" s="160">
        <v>13</v>
      </c>
      <c r="B3064" s="160" t="s">
        <v>931</v>
      </c>
      <c r="C3064" s="157" t="s">
        <v>14</v>
      </c>
      <c r="D3064" s="159">
        <v>1</v>
      </c>
      <c r="E3064" s="159">
        <v>4634.83</v>
      </c>
      <c r="F3064" s="159">
        <v>4634.83</v>
      </c>
      <c r="G3064" s="160" t="s">
        <v>2</v>
      </c>
    </row>
    <row r="3065" spans="1:7" ht="12.75" customHeight="1">
      <c r="A3065" s="160"/>
      <c r="B3065" s="160" t="s">
        <v>933</v>
      </c>
      <c r="C3065" s="157" t="s">
        <v>17</v>
      </c>
      <c r="D3065" s="159">
        <v>10</v>
      </c>
      <c r="E3065" s="159"/>
      <c r="F3065" s="159">
        <v>160921.53000000003</v>
      </c>
      <c r="G3065" s="160"/>
    </row>
    <row r="3066" spans="1:7" ht="12.75" customHeight="1">
      <c r="A3066" s="160"/>
      <c r="B3066" s="160" t="s">
        <v>934</v>
      </c>
      <c r="C3066" s="157" t="s">
        <v>17</v>
      </c>
      <c r="D3066" s="159"/>
      <c r="E3066" s="159"/>
      <c r="F3066" s="159">
        <v>16092.15</v>
      </c>
      <c r="G3066" s="160"/>
    </row>
    <row r="3067" spans="1:7" ht="12.75" customHeight="1">
      <c r="A3067" s="160"/>
      <c r="B3067" s="160"/>
      <c r="C3067" s="157"/>
      <c r="D3067" s="159"/>
      <c r="E3067" s="159"/>
      <c r="F3067" s="159"/>
      <c r="G3067" s="160"/>
    </row>
    <row r="3068" spans="1:7" ht="12.75" customHeight="1">
      <c r="A3068" s="160" t="s">
        <v>5021</v>
      </c>
      <c r="B3068" s="160" t="s">
        <v>2602</v>
      </c>
      <c r="C3068" s="157" t="s">
        <v>17</v>
      </c>
      <c r="D3068" s="159">
        <v>10</v>
      </c>
      <c r="E3068" s="159">
        <v>15944.42</v>
      </c>
      <c r="F3068" s="159"/>
      <c r="G3068" s="160" t="s">
        <v>2</v>
      </c>
    </row>
    <row r="3069" spans="1:7" ht="12.75" customHeight="1">
      <c r="A3069" s="160">
        <v>1</v>
      </c>
      <c r="B3069" s="160" t="s">
        <v>950</v>
      </c>
      <c r="C3069" s="157" t="s">
        <v>1</v>
      </c>
      <c r="D3069" s="159">
        <v>28.8</v>
      </c>
      <c r="E3069" s="159">
        <v>45.31</v>
      </c>
      <c r="F3069" s="159">
        <v>1304.93</v>
      </c>
      <c r="G3069" s="160" t="s">
        <v>970</v>
      </c>
    </row>
    <row r="3070" spans="1:7" ht="12.75" customHeight="1">
      <c r="A3070" s="160">
        <v>2</v>
      </c>
      <c r="B3070" s="160" t="s">
        <v>985</v>
      </c>
      <c r="C3070" s="157" t="s">
        <v>1</v>
      </c>
      <c r="D3070" s="159">
        <v>19.2</v>
      </c>
      <c r="E3070" s="159">
        <v>600.08000000000004</v>
      </c>
      <c r="F3070" s="159">
        <v>11521.54</v>
      </c>
      <c r="G3070" s="160" t="s">
        <v>980</v>
      </c>
    </row>
    <row r="3071" spans="1:7" ht="12.75" customHeight="1">
      <c r="A3071" s="160">
        <v>3</v>
      </c>
      <c r="B3071" s="160" t="s">
        <v>26</v>
      </c>
      <c r="C3071" s="157" t="s">
        <v>1</v>
      </c>
      <c r="D3071" s="159">
        <v>48</v>
      </c>
      <c r="E3071" s="159">
        <v>663.18</v>
      </c>
      <c r="F3071" s="159">
        <v>31832.639999999999</v>
      </c>
      <c r="G3071" s="160" t="s">
        <v>1117</v>
      </c>
    </row>
    <row r="3072" spans="1:7" ht="12.75" customHeight="1">
      <c r="A3072" s="160">
        <v>4</v>
      </c>
      <c r="B3072" s="160" t="s">
        <v>4519</v>
      </c>
      <c r="C3072" s="157" t="s">
        <v>0</v>
      </c>
      <c r="D3072" s="159">
        <v>38.4</v>
      </c>
      <c r="E3072" s="159">
        <v>1625.82</v>
      </c>
      <c r="F3072" s="159">
        <v>62431.49</v>
      </c>
      <c r="G3072" s="160" t="s">
        <v>5472</v>
      </c>
    </row>
    <row r="3073" spans="1:7" ht="12.75" customHeight="1">
      <c r="A3073" s="160">
        <v>5</v>
      </c>
      <c r="B3073" s="160" t="s">
        <v>3639</v>
      </c>
      <c r="C3073" s="157" t="s">
        <v>0</v>
      </c>
      <c r="D3073" s="159">
        <v>0.8</v>
      </c>
      <c r="E3073" s="159">
        <v>7642.97</v>
      </c>
      <c r="F3073" s="159">
        <v>6114.38</v>
      </c>
      <c r="G3073" s="160" t="s">
        <v>1191</v>
      </c>
    </row>
    <row r="3074" spans="1:7" ht="12.75" customHeight="1">
      <c r="A3074" s="160">
        <v>6</v>
      </c>
      <c r="B3074" s="160" t="s">
        <v>3640</v>
      </c>
      <c r="C3074" s="157" t="s">
        <v>0</v>
      </c>
      <c r="D3074" s="159">
        <v>2.4</v>
      </c>
      <c r="E3074" s="159">
        <v>7585.76</v>
      </c>
      <c r="F3074" s="159">
        <v>18205.82</v>
      </c>
      <c r="G3074" s="160" t="s">
        <v>1202</v>
      </c>
    </row>
    <row r="3075" spans="1:7" ht="12.75" customHeight="1">
      <c r="A3075" s="160">
        <v>7</v>
      </c>
      <c r="B3075" s="160" t="s">
        <v>1149</v>
      </c>
      <c r="C3075" s="157" t="s">
        <v>3</v>
      </c>
      <c r="D3075" s="159">
        <v>16</v>
      </c>
      <c r="E3075" s="159">
        <v>16.329999999999998</v>
      </c>
      <c r="F3075" s="159">
        <v>261.27999999999997</v>
      </c>
      <c r="G3075" s="160" t="s">
        <v>1178</v>
      </c>
    </row>
    <row r="3076" spans="1:7" ht="12.75" customHeight="1">
      <c r="A3076" s="160">
        <v>8</v>
      </c>
      <c r="B3076" s="160" t="s">
        <v>1140</v>
      </c>
      <c r="C3076" s="157" t="s">
        <v>3</v>
      </c>
      <c r="D3076" s="159">
        <v>16</v>
      </c>
      <c r="E3076" s="159">
        <v>41.08</v>
      </c>
      <c r="F3076" s="159">
        <v>657.28</v>
      </c>
      <c r="G3076" s="160" t="s">
        <v>1173</v>
      </c>
    </row>
    <row r="3077" spans="1:7" ht="12.75" customHeight="1">
      <c r="A3077" s="160">
        <v>9</v>
      </c>
      <c r="B3077" s="160" t="s">
        <v>1250</v>
      </c>
      <c r="C3077" s="157" t="s">
        <v>17</v>
      </c>
      <c r="D3077" s="159">
        <v>20</v>
      </c>
      <c r="E3077" s="159">
        <v>71.48</v>
      </c>
      <c r="F3077" s="159">
        <v>1429.6</v>
      </c>
      <c r="G3077" s="160" t="s">
        <v>1325</v>
      </c>
    </row>
    <row r="3078" spans="1:7" ht="12.75" customHeight="1">
      <c r="A3078" s="160">
        <v>10</v>
      </c>
      <c r="B3078" s="160" t="s">
        <v>2572</v>
      </c>
      <c r="C3078" s="157" t="s">
        <v>14</v>
      </c>
      <c r="D3078" s="159">
        <v>1</v>
      </c>
      <c r="E3078" s="159">
        <v>1203.28</v>
      </c>
      <c r="F3078" s="159">
        <v>1203.28</v>
      </c>
      <c r="G3078" s="160" t="s">
        <v>2</v>
      </c>
    </row>
    <row r="3079" spans="1:7" ht="12.75" customHeight="1">
      <c r="A3079" s="160">
        <v>11</v>
      </c>
      <c r="B3079" s="160" t="s">
        <v>2574</v>
      </c>
      <c r="C3079" s="157" t="s">
        <v>14</v>
      </c>
      <c r="D3079" s="159">
        <v>1</v>
      </c>
      <c r="E3079" s="159">
        <v>1851.2</v>
      </c>
      <c r="F3079" s="159">
        <v>1851.2</v>
      </c>
      <c r="G3079" s="160" t="s">
        <v>2</v>
      </c>
    </row>
    <row r="3080" spans="1:7" ht="12.75" customHeight="1">
      <c r="A3080" s="160">
        <v>12</v>
      </c>
      <c r="B3080" s="160" t="s">
        <v>2287</v>
      </c>
      <c r="C3080" s="157" t="s">
        <v>14</v>
      </c>
      <c r="D3080" s="159">
        <v>1</v>
      </c>
      <c r="E3080" s="159">
        <v>18049.23</v>
      </c>
      <c r="F3080" s="159">
        <v>18049.23</v>
      </c>
      <c r="G3080" s="160" t="s">
        <v>5461</v>
      </c>
    </row>
    <row r="3081" spans="1:7" ht="12.75" customHeight="1">
      <c r="A3081" s="160">
        <v>13</v>
      </c>
      <c r="B3081" s="160" t="s">
        <v>931</v>
      </c>
      <c r="C3081" s="157" t="s">
        <v>14</v>
      </c>
      <c r="D3081" s="159">
        <v>1</v>
      </c>
      <c r="E3081" s="159">
        <v>4581.55</v>
      </c>
      <c r="F3081" s="159">
        <v>4581.55</v>
      </c>
      <c r="G3081" s="160" t="s">
        <v>2</v>
      </c>
    </row>
    <row r="3082" spans="1:7" ht="12.75" customHeight="1">
      <c r="A3082" s="160"/>
      <c r="B3082" s="160" t="s">
        <v>933</v>
      </c>
      <c r="C3082" s="157" t="s">
        <v>17</v>
      </c>
      <c r="D3082" s="159">
        <v>10</v>
      </c>
      <c r="E3082" s="159"/>
      <c r="F3082" s="159">
        <v>159444.22000000003</v>
      </c>
      <c r="G3082" s="160"/>
    </row>
    <row r="3083" spans="1:7" ht="12.75" customHeight="1">
      <c r="A3083" s="160"/>
      <c r="B3083" s="160" t="s">
        <v>934</v>
      </c>
      <c r="C3083" s="157" t="s">
        <v>17</v>
      </c>
      <c r="D3083" s="159"/>
      <c r="E3083" s="159"/>
      <c r="F3083" s="159">
        <v>15944.42</v>
      </c>
      <c r="G3083" s="160"/>
    </row>
    <row r="3084" spans="1:7" ht="12.75" customHeight="1">
      <c r="A3084" s="160"/>
      <c r="B3084" s="160"/>
      <c r="C3084" s="157"/>
      <c r="D3084" s="159"/>
      <c r="E3084" s="159"/>
      <c r="F3084" s="159"/>
      <c r="G3084" s="160"/>
    </row>
    <row r="3085" spans="1:7" ht="12.75" customHeight="1">
      <c r="A3085" s="160" t="s">
        <v>5022</v>
      </c>
      <c r="B3085" s="160" t="s">
        <v>2605</v>
      </c>
      <c r="C3085" s="157" t="s">
        <v>17</v>
      </c>
      <c r="D3085" s="159">
        <v>10</v>
      </c>
      <c r="E3085" s="159">
        <v>18296.16</v>
      </c>
      <c r="F3085" s="159"/>
      <c r="G3085" s="160" t="s">
        <v>2</v>
      </c>
    </row>
    <row r="3086" spans="1:7" ht="12.75" customHeight="1">
      <c r="A3086" s="160">
        <v>1</v>
      </c>
      <c r="B3086" s="160" t="s">
        <v>2579</v>
      </c>
      <c r="C3086" s="157" t="s">
        <v>1</v>
      </c>
      <c r="D3086" s="159">
        <v>28.8</v>
      </c>
      <c r="E3086" s="159">
        <v>63.21</v>
      </c>
      <c r="F3086" s="159">
        <v>1820.45</v>
      </c>
      <c r="G3086" s="160" t="s">
        <v>974</v>
      </c>
    </row>
    <row r="3087" spans="1:7" ht="12.75" customHeight="1">
      <c r="A3087" s="160">
        <v>2</v>
      </c>
      <c r="B3087" s="160" t="s">
        <v>2214</v>
      </c>
      <c r="C3087" s="157" t="s">
        <v>1</v>
      </c>
      <c r="D3087" s="159">
        <v>19.2</v>
      </c>
      <c r="E3087" s="159">
        <v>1382.35</v>
      </c>
      <c r="F3087" s="159">
        <v>26541.119999999999</v>
      </c>
      <c r="G3087" s="160" t="s">
        <v>982</v>
      </c>
    </row>
    <row r="3088" spans="1:7" ht="12.75" customHeight="1">
      <c r="A3088" s="160">
        <v>3</v>
      </c>
      <c r="B3088" s="160" t="s">
        <v>4519</v>
      </c>
      <c r="C3088" s="157" t="s">
        <v>0</v>
      </c>
      <c r="D3088" s="159">
        <v>38.4</v>
      </c>
      <c r="E3088" s="159">
        <v>1625.82</v>
      </c>
      <c r="F3088" s="159">
        <v>62431.49</v>
      </c>
      <c r="G3088" s="160" t="s">
        <v>5472</v>
      </c>
    </row>
    <row r="3089" spans="1:7" ht="12.75" customHeight="1">
      <c r="A3089" s="160">
        <v>4</v>
      </c>
      <c r="B3089" s="160" t="s">
        <v>2216</v>
      </c>
      <c r="C3089" s="157" t="s">
        <v>1</v>
      </c>
      <c r="D3089" s="159">
        <v>48</v>
      </c>
      <c r="E3089" s="159">
        <v>784.56</v>
      </c>
      <c r="F3089" s="159">
        <v>37658.879999999997</v>
      </c>
      <c r="G3089" s="160" t="s">
        <v>2</v>
      </c>
    </row>
    <row r="3090" spans="1:7" ht="12.75" customHeight="1">
      <c r="A3090" s="160">
        <v>5</v>
      </c>
      <c r="B3090" s="160" t="s">
        <v>4049</v>
      </c>
      <c r="C3090" s="157" t="s">
        <v>0</v>
      </c>
      <c r="D3090" s="159">
        <v>0.8</v>
      </c>
      <c r="E3090" s="159">
        <v>8102.76</v>
      </c>
      <c r="F3090" s="159">
        <v>6482.21</v>
      </c>
      <c r="G3090" s="160" t="s">
        <v>5473</v>
      </c>
    </row>
    <row r="3091" spans="1:7" ht="12.75" customHeight="1">
      <c r="A3091" s="160">
        <v>6</v>
      </c>
      <c r="B3091" s="160" t="s">
        <v>1149</v>
      </c>
      <c r="C3091" s="157" t="s">
        <v>3</v>
      </c>
      <c r="D3091" s="159">
        <v>16</v>
      </c>
      <c r="E3091" s="159">
        <v>16.329999999999998</v>
      </c>
      <c r="F3091" s="159">
        <v>261.27999999999997</v>
      </c>
      <c r="G3091" s="160" t="s">
        <v>1178</v>
      </c>
    </row>
    <row r="3092" spans="1:7" ht="12.75" customHeight="1">
      <c r="A3092" s="160">
        <v>7</v>
      </c>
      <c r="B3092" s="160" t="s">
        <v>1140</v>
      </c>
      <c r="C3092" s="157" t="s">
        <v>3</v>
      </c>
      <c r="D3092" s="159">
        <v>16</v>
      </c>
      <c r="E3092" s="159">
        <v>41.08</v>
      </c>
      <c r="F3092" s="159">
        <v>657.28</v>
      </c>
      <c r="G3092" s="160" t="s">
        <v>1173</v>
      </c>
    </row>
    <row r="3093" spans="1:7" ht="12.75" customHeight="1">
      <c r="A3093" s="160">
        <v>8</v>
      </c>
      <c r="B3093" s="160" t="s">
        <v>4048</v>
      </c>
      <c r="C3093" s="157" t="s">
        <v>0</v>
      </c>
      <c r="D3093" s="159">
        <v>2.4</v>
      </c>
      <c r="E3093" s="159">
        <v>8045.56</v>
      </c>
      <c r="F3093" s="159">
        <v>19309.34</v>
      </c>
      <c r="G3093" s="160" t="s">
        <v>1214</v>
      </c>
    </row>
    <row r="3094" spans="1:7" ht="12.75" customHeight="1">
      <c r="A3094" s="160">
        <v>9</v>
      </c>
      <c r="B3094" s="160" t="s">
        <v>1250</v>
      </c>
      <c r="C3094" s="157" t="s">
        <v>17</v>
      </c>
      <c r="D3094" s="159">
        <v>20</v>
      </c>
      <c r="E3094" s="159">
        <v>71.48</v>
      </c>
      <c r="F3094" s="159">
        <v>1429.6</v>
      </c>
      <c r="G3094" s="160" t="s">
        <v>1325</v>
      </c>
    </row>
    <row r="3095" spans="1:7" ht="12.75" customHeight="1">
      <c r="A3095" s="160">
        <v>10</v>
      </c>
      <c r="B3095" s="160" t="s">
        <v>2572</v>
      </c>
      <c r="C3095" s="157" t="s">
        <v>14</v>
      </c>
      <c r="D3095" s="159">
        <v>1</v>
      </c>
      <c r="E3095" s="159">
        <v>1203.28</v>
      </c>
      <c r="F3095" s="159">
        <v>1203.28</v>
      </c>
      <c r="G3095" s="160" t="s">
        <v>2</v>
      </c>
    </row>
    <row r="3096" spans="1:7" ht="12.75" customHeight="1">
      <c r="A3096" s="160">
        <v>11</v>
      </c>
      <c r="B3096" s="160" t="s">
        <v>2574</v>
      </c>
      <c r="C3096" s="157" t="s">
        <v>14</v>
      </c>
      <c r="D3096" s="159">
        <v>1</v>
      </c>
      <c r="E3096" s="159">
        <v>1851.2</v>
      </c>
      <c r="F3096" s="159">
        <v>1851.2</v>
      </c>
      <c r="G3096" s="160" t="s">
        <v>2</v>
      </c>
    </row>
    <row r="3097" spans="1:7" ht="12.75" customHeight="1">
      <c r="A3097" s="160">
        <v>12</v>
      </c>
      <c r="B3097" s="160" t="s">
        <v>2287</v>
      </c>
      <c r="C3097" s="157" t="s">
        <v>14</v>
      </c>
      <c r="D3097" s="159">
        <v>1</v>
      </c>
      <c r="E3097" s="159">
        <v>18049.23</v>
      </c>
      <c r="F3097" s="159">
        <v>18049.23</v>
      </c>
      <c r="G3097" s="160" t="s">
        <v>5461</v>
      </c>
    </row>
    <row r="3098" spans="1:7" ht="12.75" customHeight="1">
      <c r="A3098" s="160">
        <v>13</v>
      </c>
      <c r="B3098" s="160" t="s">
        <v>931</v>
      </c>
      <c r="C3098" s="157" t="s">
        <v>14</v>
      </c>
      <c r="D3098" s="159">
        <v>1</v>
      </c>
      <c r="E3098" s="159">
        <v>5266.27</v>
      </c>
      <c r="F3098" s="159">
        <v>5266.27</v>
      </c>
      <c r="G3098" s="160" t="s">
        <v>2</v>
      </c>
    </row>
    <row r="3099" spans="1:7" ht="12.75" customHeight="1">
      <c r="A3099" s="160"/>
      <c r="B3099" s="160" t="s">
        <v>933</v>
      </c>
      <c r="C3099" s="157" t="s">
        <v>17</v>
      </c>
      <c r="D3099" s="159">
        <v>10</v>
      </c>
      <c r="E3099" s="159"/>
      <c r="F3099" s="159">
        <v>182961.63</v>
      </c>
      <c r="G3099" s="160"/>
    </row>
    <row r="3100" spans="1:7" ht="12.75" customHeight="1">
      <c r="A3100" s="160"/>
      <c r="B3100" s="160" t="s">
        <v>934</v>
      </c>
      <c r="C3100" s="157" t="s">
        <v>17</v>
      </c>
      <c r="D3100" s="159"/>
      <c r="E3100" s="159"/>
      <c r="F3100" s="159">
        <v>18296.16</v>
      </c>
      <c r="G3100" s="160"/>
    </row>
    <row r="3101" spans="1:7" ht="12.75" customHeight="1">
      <c r="A3101" s="160"/>
      <c r="B3101" s="160"/>
      <c r="C3101" s="157"/>
      <c r="D3101" s="159"/>
      <c r="E3101" s="159"/>
      <c r="F3101" s="159"/>
      <c r="G3101" s="160"/>
    </row>
    <row r="3102" spans="1:7" ht="12.75" customHeight="1">
      <c r="A3102" s="160" t="s">
        <v>5023</v>
      </c>
      <c r="B3102" s="160" t="s">
        <v>2608</v>
      </c>
      <c r="C3102" s="157" t="s">
        <v>3</v>
      </c>
      <c r="D3102" s="159">
        <v>100</v>
      </c>
      <c r="E3102" s="159">
        <v>15.75</v>
      </c>
      <c r="F3102" s="159"/>
      <c r="G3102" s="160" t="s">
        <v>2</v>
      </c>
    </row>
    <row r="3103" spans="1:7" ht="12.75" customHeight="1">
      <c r="A3103" s="160">
        <v>1</v>
      </c>
      <c r="B3103" s="160" t="s">
        <v>2610</v>
      </c>
      <c r="C3103" s="157" t="s">
        <v>927</v>
      </c>
      <c r="D3103" s="159">
        <v>2</v>
      </c>
      <c r="E3103" s="159">
        <v>379.5</v>
      </c>
      <c r="F3103" s="159">
        <v>759</v>
      </c>
      <c r="G3103" s="160" t="s">
        <v>2</v>
      </c>
    </row>
    <row r="3104" spans="1:7" ht="12.75" customHeight="1">
      <c r="A3104" s="160">
        <v>2</v>
      </c>
      <c r="B3104" s="160" t="s">
        <v>4871</v>
      </c>
      <c r="C3104" s="157" t="s">
        <v>927</v>
      </c>
      <c r="D3104" s="159">
        <v>2</v>
      </c>
      <c r="E3104" s="159">
        <v>260.08999999999997</v>
      </c>
      <c r="F3104" s="159">
        <v>520.17999999999995</v>
      </c>
      <c r="G3104" s="160" t="s">
        <v>5435</v>
      </c>
    </row>
    <row r="3105" spans="1:7" ht="12.75" customHeight="1">
      <c r="A3105" s="160">
        <v>3</v>
      </c>
      <c r="B3105" s="160" t="s">
        <v>2612</v>
      </c>
      <c r="C3105" s="157" t="s">
        <v>14</v>
      </c>
      <c r="D3105" s="159">
        <v>1</v>
      </c>
      <c r="E3105" s="159">
        <v>111.07</v>
      </c>
      <c r="F3105" s="159">
        <v>111.07</v>
      </c>
      <c r="G3105" s="160" t="s">
        <v>2</v>
      </c>
    </row>
    <row r="3106" spans="1:7" ht="12.75" customHeight="1">
      <c r="A3106" s="160">
        <v>4</v>
      </c>
      <c r="B3106" s="160" t="s">
        <v>2614</v>
      </c>
      <c r="C3106" s="157" t="s">
        <v>14</v>
      </c>
      <c r="D3106" s="159">
        <v>1</v>
      </c>
      <c r="E3106" s="159">
        <v>138.84</v>
      </c>
      <c r="F3106" s="159">
        <v>138.84</v>
      </c>
      <c r="G3106" s="160" t="s">
        <v>2</v>
      </c>
    </row>
    <row r="3107" spans="1:7" ht="12.75" customHeight="1">
      <c r="A3107" s="160">
        <v>5</v>
      </c>
      <c r="B3107" s="160" t="s">
        <v>931</v>
      </c>
      <c r="C3107" s="157" t="s">
        <v>14</v>
      </c>
      <c r="D3107" s="159">
        <v>1</v>
      </c>
      <c r="E3107" s="159">
        <v>45.87</v>
      </c>
      <c r="F3107" s="159">
        <v>45.87</v>
      </c>
      <c r="G3107" s="160" t="s">
        <v>2</v>
      </c>
    </row>
    <row r="3108" spans="1:7" ht="12.75" customHeight="1">
      <c r="A3108" s="160"/>
      <c r="B3108" s="160" t="s">
        <v>933</v>
      </c>
      <c r="C3108" s="157" t="s">
        <v>3</v>
      </c>
      <c r="D3108" s="159">
        <v>100</v>
      </c>
      <c r="E3108" s="159"/>
      <c r="F3108" s="159">
        <v>1574.9599999999996</v>
      </c>
      <c r="G3108" s="160"/>
    </row>
    <row r="3109" spans="1:7" ht="12.75" customHeight="1">
      <c r="A3109" s="160"/>
      <c r="B3109" s="160" t="s">
        <v>934</v>
      </c>
      <c r="C3109" s="157" t="s">
        <v>3</v>
      </c>
      <c r="D3109" s="159"/>
      <c r="E3109" s="159"/>
      <c r="F3109" s="159">
        <v>15.75</v>
      </c>
      <c r="G3109" s="160"/>
    </row>
    <row r="3110" spans="1:7" ht="12.75" customHeight="1">
      <c r="A3110" s="160"/>
      <c r="B3110" s="160"/>
      <c r="C3110" s="157"/>
      <c r="D3110" s="159"/>
      <c r="E3110" s="159"/>
      <c r="F3110" s="159"/>
      <c r="G3110" s="160"/>
    </row>
    <row r="3111" spans="1:7" ht="12.75" customHeight="1">
      <c r="A3111" s="160" t="s">
        <v>5024</v>
      </c>
      <c r="B3111" s="160" t="s">
        <v>2617</v>
      </c>
      <c r="C3111" s="157" t="s">
        <v>2618</v>
      </c>
      <c r="D3111" s="159">
        <v>1</v>
      </c>
      <c r="E3111" s="159">
        <v>711.32</v>
      </c>
      <c r="F3111" s="159"/>
      <c r="G3111" s="160" t="s">
        <v>4399</v>
      </c>
    </row>
    <row r="3112" spans="1:7" ht="12.75" customHeight="1">
      <c r="A3112" s="160">
        <v>1</v>
      </c>
      <c r="B3112" s="160" t="s">
        <v>2620</v>
      </c>
      <c r="C3112" s="157" t="s">
        <v>2621</v>
      </c>
      <c r="D3112" s="159">
        <v>1</v>
      </c>
      <c r="E3112" s="159">
        <v>61.09</v>
      </c>
      <c r="F3112" s="159">
        <v>61.09</v>
      </c>
      <c r="G3112" s="160" t="s">
        <v>2</v>
      </c>
    </row>
    <row r="3113" spans="1:7" ht="12.75" customHeight="1">
      <c r="A3113" s="160">
        <v>2</v>
      </c>
      <c r="B3113" s="160" t="s">
        <v>5025</v>
      </c>
      <c r="C3113" s="157" t="s">
        <v>927</v>
      </c>
      <c r="D3113" s="159">
        <v>1</v>
      </c>
      <c r="E3113" s="159">
        <v>260.08999999999997</v>
      </c>
      <c r="F3113" s="159">
        <v>260.08999999999997</v>
      </c>
      <c r="G3113" s="160" t="s">
        <v>2</v>
      </c>
    </row>
    <row r="3114" spans="1:7" ht="12.75" customHeight="1">
      <c r="A3114" s="160">
        <v>3</v>
      </c>
      <c r="B3114" s="160" t="s">
        <v>5026</v>
      </c>
      <c r="C3114" s="157" t="s">
        <v>927</v>
      </c>
      <c r="D3114" s="159">
        <v>1.5</v>
      </c>
      <c r="E3114" s="159">
        <v>260.08999999999997</v>
      </c>
      <c r="F3114" s="159">
        <v>390.14</v>
      </c>
      <c r="G3114" s="160" t="s">
        <v>2</v>
      </c>
    </row>
    <row r="3115" spans="1:7" ht="12.75" customHeight="1">
      <c r="A3115" s="160"/>
      <c r="B3115" s="160" t="s">
        <v>933</v>
      </c>
      <c r="C3115" s="157" t="s">
        <v>2618</v>
      </c>
      <c r="D3115" s="159">
        <v>1</v>
      </c>
      <c r="E3115" s="159"/>
      <c r="F3115" s="159">
        <v>711.31999999999994</v>
      </c>
      <c r="G3115" s="160"/>
    </row>
    <row r="3116" spans="1:7" ht="12.75" customHeight="1">
      <c r="A3116" s="160"/>
      <c r="B3116" s="160" t="s">
        <v>934</v>
      </c>
      <c r="C3116" s="157" t="s">
        <v>2618</v>
      </c>
      <c r="D3116" s="159"/>
      <c r="E3116" s="159"/>
      <c r="F3116" s="159">
        <v>711.32</v>
      </c>
      <c r="G3116" s="160"/>
    </row>
    <row r="3117" spans="1:7" ht="12.75" customHeight="1">
      <c r="A3117" s="160"/>
      <c r="B3117" s="160"/>
      <c r="C3117" s="157"/>
      <c r="D3117" s="159"/>
      <c r="E3117" s="159"/>
      <c r="F3117" s="159"/>
      <c r="G3117" s="160"/>
    </row>
    <row r="3118" spans="1:7" ht="12.75" customHeight="1">
      <c r="A3118" s="160" t="s">
        <v>5027</v>
      </c>
      <c r="B3118" s="160" t="s">
        <v>2626</v>
      </c>
      <c r="C3118" s="157" t="s">
        <v>2618</v>
      </c>
      <c r="D3118" s="159">
        <v>1</v>
      </c>
      <c r="E3118" s="159">
        <v>748.34</v>
      </c>
      <c r="F3118" s="159"/>
      <c r="G3118" s="160" t="s">
        <v>4399</v>
      </c>
    </row>
    <row r="3119" spans="1:7" ht="12.75" customHeight="1">
      <c r="A3119" s="160">
        <v>1</v>
      </c>
      <c r="B3119" s="160" t="s">
        <v>2620</v>
      </c>
      <c r="C3119" s="157" t="s">
        <v>2621</v>
      </c>
      <c r="D3119" s="159">
        <v>1</v>
      </c>
      <c r="E3119" s="159">
        <v>61.09</v>
      </c>
      <c r="F3119" s="159">
        <v>61.09</v>
      </c>
      <c r="G3119" s="160" t="s">
        <v>2</v>
      </c>
    </row>
    <row r="3120" spans="1:7" ht="12.75" customHeight="1">
      <c r="A3120" s="160">
        <v>2</v>
      </c>
      <c r="B3120" s="160" t="s">
        <v>2628</v>
      </c>
      <c r="C3120" s="157" t="s">
        <v>2618</v>
      </c>
      <c r="D3120" s="159">
        <v>1</v>
      </c>
      <c r="E3120" s="159">
        <v>37.020000000000003</v>
      </c>
      <c r="F3120" s="159">
        <v>37.020000000000003</v>
      </c>
      <c r="G3120" s="160" t="s">
        <v>2</v>
      </c>
    </row>
    <row r="3121" spans="1:7" ht="12.75" customHeight="1">
      <c r="A3121" s="160">
        <v>3</v>
      </c>
      <c r="B3121" s="160" t="s">
        <v>5025</v>
      </c>
      <c r="C3121" s="157" t="s">
        <v>927</v>
      </c>
      <c r="D3121" s="159">
        <v>1</v>
      </c>
      <c r="E3121" s="159">
        <v>260.08999999999997</v>
      </c>
      <c r="F3121" s="159">
        <v>260.08999999999997</v>
      </c>
      <c r="G3121" s="160" t="s">
        <v>2</v>
      </c>
    </row>
    <row r="3122" spans="1:7" ht="12.75" customHeight="1">
      <c r="A3122" s="160">
        <v>4</v>
      </c>
      <c r="B3122" s="160" t="s">
        <v>5026</v>
      </c>
      <c r="C3122" s="157" t="s">
        <v>927</v>
      </c>
      <c r="D3122" s="159">
        <v>1.5</v>
      </c>
      <c r="E3122" s="159">
        <v>260.08999999999997</v>
      </c>
      <c r="F3122" s="159">
        <v>390.14</v>
      </c>
      <c r="G3122" s="160" t="s">
        <v>2</v>
      </c>
    </row>
    <row r="3123" spans="1:7" ht="12.75" customHeight="1">
      <c r="A3123" s="160"/>
      <c r="B3123" s="160" t="s">
        <v>933</v>
      </c>
      <c r="C3123" s="157" t="s">
        <v>2618</v>
      </c>
      <c r="D3123" s="159">
        <v>1</v>
      </c>
      <c r="E3123" s="159"/>
      <c r="F3123" s="159">
        <v>748.33999999999992</v>
      </c>
      <c r="G3123" s="160"/>
    </row>
    <row r="3124" spans="1:7" ht="12.75" customHeight="1">
      <c r="A3124" s="160"/>
      <c r="B3124" s="160" t="s">
        <v>934</v>
      </c>
      <c r="C3124" s="157" t="s">
        <v>2618</v>
      </c>
      <c r="D3124" s="159"/>
      <c r="E3124" s="159"/>
      <c r="F3124" s="159">
        <v>748.34</v>
      </c>
      <c r="G3124" s="160"/>
    </row>
    <row r="3125" spans="1:7" ht="12.75" customHeight="1">
      <c r="A3125" s="160"/>
      <c r="B3125" s="160"/>
      <c r="C3125" s="157"/>
      <c r="D3125" s="159"/>
      <c r="E3125" s="159"/>
      <c r="F3125" s="159"/>
      <c r="G3125" s="160"/>
    </row>
    <row r="3126" spans="1:7" ht="12.75" customHeight="1">
      <c r="A3126" s="160" t="s">
        <v>5028</v>
      </c>
      <c r="B3126" s="160" t="s">
        <v>2631</v>
      </c>
      <c r="C3126" s="157" t="s">
        <v>17</v>
      </c>
      <c r="D3126" s="159">
        <v>1.5</v>
      </c>
      <c r="E3126" s="159">
        <v>3389.77</v>
      </c>
      <c r="F3126" s="159"/>
      <c r="G3126" s="160" t="s">
        <v>4400</v>
      </c>
    </row>
    <row r="3127" spans="1:7" ht="12.75" customHeight="1">
      <c r="A3127" s="160">
        <v>1</v>
      </c>
      <c r="B3127" s="160" t="s">
        <v>2633</v>
      </c>
      <c r="C3127" s="157" t="s">
        <v>14</v>
      </c>
      <c r="D3127" s="159">
        <v>1</v>
      </c>
      <c r="E3127" s="159">
        <v>2742.52</v>
      </c>
      <c r="F3127" s="159">
        <v>2742.52</v>
      </c>
      <c r="G3127" s="160" t="s">
        <v>2</v>
      </c>
    </row>
    <row r="3128" spans="1:7" ht="12.75" customHeight="1">
      <c r="A3128" s="160">
        <v>2</v>
      </c>
      <c r="B3128" s="160" t="s">
        <v>2635</v>
      </c>
      <c r="C3128" s="157" t="s">
        <v>14</v>
      </c>
      <c r="D3128" s="159">
        <v>1</v>
      </c>
      <c r="E3128" s="159">
        <v>1246.5999999999999</v>
      </c>
      <c r="F3128" s="159">
        <v>1246.5999999999999</v>
      </c>
      <c r="G3128" s="160" t="s">
        <v>2</v>
      </c>
    </row>
    <row r="3129" spans="1:7" ht="12.75" customHeight="1">
      <c r="A3129" s="160">
        <v>3</v>
      </c>
      <c r="B3129" s="160" t="s">
        <v>2637</v>
      </c>
      <c r="C3129" s="157" t="s">
        <v>14</v>
      </c>
      <c r="D3129" s="159">
        <v>1</v>
      </c>
      <c r="E3129" s="159">
        <v>236.85</v>
      </c>
      <c r="F3129" s="159">
        <v>236.85</v>
      </c>
      <c r="G3129" s="160" t="s">
        <v>2</v>
      </c>
    </row>
    <row r="3130" spans="1:7" ht="12.75" customHeight="1">
      <c r="A3130" s="160">
        <v>4</v>
      </c>
      <c r="B3130" s="160" t="s">
        <v>2639</v>
      </c>
      <c r="C3130" s="157" t="s">
        <v>1818</v>
      </c>
      <c r="D3130" s="159">
        <v>1</v>
      </c>
      <c r="E3130" s="159">
        <v>710.58</v>
      </c>
      <c r="F3130" s="159">
        <v>710.58</v>
      </c>
      <c r="G3130" s="160" t="s">
        <v>2</v>
      </c>
    </row>
    <row r="3131" spans="1:7" ht="12.75" customHeight="1">
      <c r="A3131" s="160">
        <v>5</v>
      </c>
      <c r="B3131" s="160" t="s">
        <v>931</v>
      </c>
      <c r="C3131" s="157" t="s">
        <v>14</v>
      </c>
      <c r="D3131" s="159">
        <v>1</v>
      </c>
      <c r="E3131" s="159">
        <v>148.1</v>
      </c>
      <c r="F3131" s="159">
        <v>148.1</v>
      </c>
      <c r="G3131" s="160" t="s">
        <v>2</v>
      </c>
    </row>
    <row r="3132" spans="1:7" ht="12.75" customHeight="1">
      <c r="A3132" s="160"/>
      <c r="B3132" s="160" t="s">
        <v>933</v>
      </c>
      <c r="C3132" s="157" t="s">
        <v>17</v>
      </c>
      <c r="D3132" s="159">
        <v>1.5</v>
      </c>
      <c r="E3132" s="159"/>
      <c r="F3132" s="159">
        <v>5084.6500000000005</v>
      </c>
      <c r="G3132" s="160"/>
    </row>
    <row r="3133" spans="1:7" ht="12.75" customHeight="1">
      <c r="A3133" s="160"/>
      <c r="B3133" s="160" t="s">
        <v>934</v>
      </c>
      <c r="C3133" s="157" t="s">
        <v>17</v>
      </c>
      <c r="D3133" s="159"/>
      <c r="E3133" s="159"/>
      <c r="F3133" s="159">
        <v>3389.77</v>
      </c>
      <c r="G3133" s="160"/>
    </row>
    <row r="3134" spans="1:7" ht="12.75" customHeight="1">
      <c r="A3134" s="160"/>
      <c r="B3134" s="160"/>
      <c r="C3134" s="157"/>
      <c r="D3134" s="159"/>
      <c r="E3134" s="159"/>
      <c r="F3134" s="159"/>
      <c r="G3134" s="160"/>
    </row>
    <row r="3135" spans="1:7" ht="12.75" customHeight="1">
      <c r="A3135" s="160" t="s">
        <v>5029</v>
      </c>
      <c r="B3135" s="160" t="s">
        <v>2642</v>
      </c>
      <c r="C3135" s="157" t="s">
        <v>17</v>
      </c>
      <c r="D3135" s="159">
        <v>1</v>
      </c>
      <c r="E3135" s="159">
        <v>2386.38</v>
      </c>
      <c r="F3135" s="159"/>
      <c r="G3135" s="160" t="s">
        <v>4400</v>
      </c>
    </row>
    <row r="3136" spans="1:7" ht="12.75" customHeight="1">
      <c r="A3136" s="160">
        <v>1</v>
      </c>
      <c r="B3136" s="160" t="s">
        <v>2644</v>
      </c>
      <c r="C3136" s="157" t="s">
        <v>14</v>
      </c>
      <c r="D3136" s="159">
        <v>1</v>
      </c>
      <c r="E3136" s="159">
        <v>1287.1500000000001</v>
      </c>
      <c r="F3136" s="159">
        <v>1287.1500000000001</v>
      </c>
      <c r="G3136" s="160" t="s">
        <v>2</v>
      </c>
    </row>
    <row r="3137" spans="1:7" ht="12.75" customHeight="1">
      <c r="A3137" s="160">
        <v>2</v>
      </c>
      <c r="B3137" s="160" t="s">
        <v>2646</v>
      </c>
      <c r="C3137" s="157" t="s">
        <v>14</v>
      </c>
      <c r="D3137" s="159">
        <v>1</v>
      </c>
      <c r="E3137" s="159">
        <v>585.07000000000005</v>
      </c>
      <c r="F3137" s="159">
        <v>585.07000000000005</v>
      </c>
      <c r="G3137" s="160" t="s">
        <v>2</v>
      </c>
    </row>
    <row r="3138" spans="1:7" ht="12.75" customHeight="1">
      <c r="A3138" s="160">
        <v>3</v>
      </c>
      <c r="B3138" s="160" t="s">
        <v>2648</v>
      </c>
      <c r="C3138" s="157" t="s">
        <v>14</v>
      </c>
      <c r="D3138" s="159">
        <v>1</v>
      </c>
      <c r="E3138" s="159">
        <v>111.16</v>
      </c>
      <c r="F3138" s="159">
        <v>111.16</v>
      </c>
      <c r="G3138" s="160" t="s">
        <v>2</v>
      </c>
    </row>
    <row r="3139" spans="1:7" ht="12.75" customHeight="1">
      <c r="A3139" s="160">
        <v>4</v>
      </c>
      <c r="B3139" s="160" t="s">
        <v>2650</v>
      </c>
      <c r="C3139" s="157" t="s">
        <v>14</v>
      </c>
      <c r="D3139" s="159">
        <v>1</v>
      </c>
      <c r="E3139" s="159">
        <v>333.49</v>
      </c>
      <c r="F3139" s="159">
        <v>333.49</v>
      </c>
      <c r="G3139" s="160" t="s">
        <v>2</v>
      </c>
    </row>
    <row r="3140" spans="1:7" ht="12.75" customHeight="1">
      <c r="A3140" s="160">
        <v>5</v>
      </c>
      <c r="B3140" s="160" t="s">
        <v>931</v>
      </c>
      <c r="C3140" s="157" t="s">
        <v>14</v>
      </c>
      <c r="D3140" s="159">
        <v>1</v>
      </c>
      <c r="E3140" s="159">
        <v>69.510000000000005</v>
      </c>
      <c r="F3140" s="159">
        <v>69.510000000000005</v>
      </c>
      <c r="G3140" s="160" t="s">
        <v>2</v>
      </c>
    </row>
    <row r="3141" spans="1:7" ht="12.75" customHeight="1">
      <c r="A3141" s="160"/>
      <c r="B3141" s="160" t="s">
        <v>933</v>
      </c>
      <c r="C3141" s="157" t="s">
        <v>17</v>
      </c>
      <c r="D3141" s="159">
        <v>1</v>
      </c>
      <c r="E3141" s="159"/>
      <c r="F3141" s="159">
        <v>2386.3800000000006</v>
      </c>
      <c r="G3141" s="160"/>
    </row>
    <row r="3142" spans="1:7" ht="12.75" customHeight="1">
      <c r="A3142" s="160"/>
      <c r="B3142" s="160" t="s">
        <v>934</v>
      </c>
      <c r="C3142" s="157" t="s">
        <v>17</v>
      </c>
      <c r="D3142" s="159"/>
      <c r="E3142" s="159"/>
      <c r="F3142" s="159">
        <v>2386.38</v>
      </c>
      <c r="G3142" s="160"/>
    </row>
    <row r="3143" spans="1:7" ht="12.75" customHeight="1">
      <c r="A3143" s="160"/>
      <c r="B3143" s="160"/>
      <c r="C3143" s="157"/>
      <c r="D3143" s="159"/>
      <c r="E3143" s="159"/>
      <c r="F3143" s="159"/>
      <c r="G3143" s="160"/>
    </row>
    <row r="3144" spans="1:7" ht="12.75" customHeight="1">
      <c r="A3144" s="160" t="s">
        <v>5030</v>
      </c>
      <c r="B3144" s="160" t="s">
        <v>3657</v>
      </c>
      <c r="C3144" s="157" t="s">
        <v>3658</v>
      </c>
      <c r="D3144" s="159">
        <v>3</v>
      </c>
      <c r="E3144" s="159">
        <v>2439.69</v>
      </c>
      <c r="F3144" s="159"/>
      <c r="G3144" s="160" t="s">
        <v>2</v>
      </c>
    </row>
    <row r="3145" spans="1:7" ht="12.75" customHeight="1">
      <c r="A3145" s="160">
        <v>1</v>
      </c>
      <c r="B3145" s="160" t="s">
        <v>4050</v>
      </c>
      <c r="C3145" s="157" t="s">
        <v>3658</v>
      </c>
      <c r="D3145" s="159">
        <v>3</v>
      </c>
      <c r="E3145" s="159">
        <v>883.95</v>
      </c>
      <c r="F3145" s="159">
        <v>2651.85</v>
      </c>
      <c r="G3145" s="160" t="s">
        <v>2</v>
      </c>
    </row>
    <row r="3146" spans="1:7" ht="12.75" customHeight="1">
      <c r="A3146" s="160">
        <v>2</v>
      </c>
      <c r="B3146" s="160" t="s">
        <v>4051</v>
      </c>
      <c r="C3146" s="157" t="s">
        <v>927</v>
      </c>
      <c r="D3146" s="159">
        <v>12</v>
      </c>
      <c r="E3146" s="159">
        <v>371.17</v>
      </c>
      <c r="F3146" s="159">
        <v>4454.04</v>
      </c>
      <c r="G3146" s="160" t="s">
        <v>2</v>
      </c>
    </row>
    <row r="3147" spans="1:7" ht="12.75" customHeight="1">
      <c r="A3147" s="160">
        <v>3</v>
      </c>
      <c r="B3147" s="160" t="s">
        <v>931</v>
      </c>
      <c r="C3147" s="157" t="s">
        <v>14</v>
      </c>
      <c r="D3147" s="159">
        <v>1</v>
      </c>
      <c r="E3147" s="159">
        <v>213.18</v>
      </c>
      <c r="F3147" s="159">
        <v>213.18</v>
      </c>
      <c r="G3147" s="160" t="s">
        <v>2</v>
      </c>
    </row>
    <row r="3148" spans="1:7" ht="12.75" customHeight="1">
      <c r="A3148" s="160"/>
      <c r="B3148" s="160" t="s">
        <v>933</v>
      </c>
      <c r="C3148" s="157" t="s">
        <v>3658</v>
      </c>
      <c r="D3148" s="159">
        <v>3</v>
      </c>
      <c r="E3148" s="159"/>
      <c r="F3148" s="159">
        <v>7319.07</v>
      </c>
      <c r="G3148" s="160"/>
    </row>
    <row r="3149" spans="1:7" ht="12.75" customHeight="1">
      <c r="A3149" s="160"/>
      <c r="B3149" s="160" t="s">
        <v>934</v>
      </c>
      <c r="C3149" s="157" t="s">
        <v>3658</v>
      </c>
      <c r="D3149" s="159"/>
      <c r="E3149" s="159"/>
      <c r="F3149" s="159">
        <v>2439.69</v>
      </c>
      <c r="G3149" s="160"/>
    </row>
    <row r="3150" spans="1:7" ht="12.75" customHeight="1">
      <c r="A3150" s="160"/>
      <c r="B3150" s="160"/>
      <c r="C3150" s="157"/>
      <c r="D3150" s="159"/>
      <c r="E3150" s="159"/>
      <c r="F3150" s="159"/>
      <c r="G3150" s="160"/>
    </row>
    <row r="3151" spans="1:7" ht="12.75" customHeight="1">
      <c r="A3151" s="160" t="s">
        <v>5034</v>
      </c>
      <c r="B3151" s="160" t="s">
        <v>2653</v>
      </c>
      <c r="C3151" s="157" t="s">
        <v>17</v>
      </c>
      <c r="D3151" s="159">
        <v>40</v>
      </c>
      <c r="E3151" s="159">
        <v>271.88</v>
      </c>
      <c r="F3151" s="159"/>
      <c r="G3151" s="160" t="s">
        <v>2</v>
      </c>
    </row>
    <row r="3152" spans="1:7" ht="12.75" customHeight="1">
      <c r="A3152" s="160">
        <v>1</v>
      </c>
      <c r="B3152" s="160" t="s">
        <v>2654</v>
      </c>
      <c r="C3152" s="157" t="s">
        <v>17</v>
      </c>
      <c r="D3152" s="159">
        <v>4</v>
      </c>
      <c r="E3152" s="159">
        <v>1737.55</v>
      </c>
      <c r="F3152" s="159">
        <v>6950.2</v>
      </c>
      <c r="G3152" s="160" t="s">
        <v>2</v>
      </c>
    </row>
    <row r="3153" spans="1:7" ht="12.75" customHeight="1">
      <c r="A3153" s="160">
        <v>2</v>
      </c>
      <c r="B3153" s="160" t="s">
        <v>2656</v>
      </c>
      <c r="C3153" s="157" t="s">
        <v>17</v>
      </c>
      <c r="D3153" s="159">
        <v>2.15</v>
      </c>
      <c r="E3153" s="159">
        <v>179.8</v>
      </c>
      <c r="F3153" s="159">
        <v>386.57</v>
      </c>
      <c r="G3153" s="160" t="s">
        <v>2</v>
      </c>
    </row>
    <row r="3154" spans="1:7" ht="12.75" customHeight="1">
      <c r="A3154" s="160">
        <v>3</v>
      </c>
      <c r="B3154" s="160" t="s">
        <v>2658</v>
      </c>
      <c r="C3154" s="157" t="s">
        <v>17</v>
      </c>
      <c r="D3154" s="159">
        <v>8</v>
      </c>
      <c r="E3154" s="159">
        <v>60.26</v>
      </c>
      <c r="F3154" s="159">
        <v>482.08</v>
      </c>
      <c r="G3154" s="160" t="s">
        <v>2</v>
      </c>
    </row>
    <row r="3155" spans="1:7" ht="12.75" customHeight="1">
      <c r="A3155" s="160">
        <v>4</v>
      </c>
      <c r="B3155" s="160" t="s">
        <v>2660</v>
      </c>
      <c r="C3155" s="157" t="s">
        <v>14</v>
      </c>
      <c r="D3155" s="159">
        <v>1</v>
      </c>
      <c r="E3155" s="159">
        <v>2739.78</v>
      </c>
      <c r="F3155" s="159">
        <v>2739.78</v>
      </c>
      <c r="G3155" s="160" t="s">
        <v>2</v>
      </c>
    </row>
    <row r="3156" spans="1:7" ht="12.75" customHeight="1">
      <c r="A3156" s="160">
        <v>5</v>
      </c>
      <c r="B3156" s="160" t="s">
        <v>931</v>
      </c>
      <c r="C3156" s="157" t="s">
        <v>14</v>
      </c>
      <c r="D3156" s="159">
        <v>1</v>
      </c>
      <c r="E3156" s="159">
        <v>316.76</v>
      </c>
      <c r="F3156" s="159">
        <v>316.76</v>
      </c>
      <c r="G3156" s="160" t="s">
        <v>2</v>
      </c>
    </row>
    <row r="3157" spans="1:7" ht="12.75" customHeight="1">
      <c r="A3157" s="160"/>
      <c r="B3157" s="160" t="s">
        <v>933</v>
      </c>
      <c r="C3157" s="157" t="s">
        <v>17</v>
      </c>
      <c r="D3157" s="159">
        <v>40</v>
      </c>
      <c r="E3157" s="159"/>
      <c r="F3157" s="159">
        <v>10875.39</v>
      </c>
      <c r="G3157" s="160"/>
    </row>
    <row r="3158" spans="1:7" ht="12.75" customHeight="1">
      <c r="A3158" s="160"/>
      <c r="B3158" s="160" t="s">
        <v>934</v>
      </c>
      <c r="C3158" s="157" t="s">
        <v>17</v>
      </c>
      <c r="D3158" s="159"/>
      <c r="E3158" s="159"/>
      <c r="F3158" s="159">
        <v>271.88</v>
      </c>
      <c r="G3158" s="160"/>
    </row>
    <row r="3159" spans="1:7" ht="12.75" customHeight="1">
      <c r="A3159" s="160"/>
      <c r="B3159" s="160"/>
      <c r="C3159" s="157"/>
      <c r="D3159" s="159"/>
      <c r="E3159" s="159"/>
      <c r="F3159" s="159"/>
      <c r="G3159" s="160"/>
    </row>
    <row r="3160" spans="1:7" ht="12.75" customHeight="1">
      <c r="A3160" s="160" t="s">
        <v>5036</v>
      </c>
      <c r="B3160" s="160" t="s">
        <v>2663</v>
      </c>
      <c r="C3160" s="157" t="s">
        <v>17</v>
      </c>
      <c r="D3160" s="159">
        <v>18</v>
      </c>
      <c r="E3160" s="159">
        <v>236.35</v>
      </c>
      <c r="F3160" s="159"/>
      <c r="G3160" s="160" t="s">
        <v>4403</v>
      </c>
    </row>
    <row r="3161" spans="1:7" ht="12.75" customHeight="1">
      <c r="A3161" s="160">
        <v>1</v>
      </c>
      <c r="B3161" s="160" t="s">
        <v>2049</v>
      </c>
      <c r="C3161" s="157" t="s">
        <v>18</v>
      </c>
      <c r="D3161" s="159">
        <v>98</v>
      </c>
      <c r="E3161" s="159">
        <v>29.62</v>
      </c>
      <c r="F3161" s="159">
        <v>2902.76</v>
      </c>
      <c r="G3161" s="160" t="s">
        <v>2</v>
      </c>
    </row>
    <row r="3162" spans="1:7" ht="12.75" customHeight="1">
      <c r="A3162" s="160">
        <v>2</v>
      </c>
      <c r="B3162" s="160" t="s">
        <v>2660</v>
      </c>
      <c r="C3162" s="157" t="s">
        <v>2665</v>
      </c>
      <c r="D3162" s="159">
        <v>98</v>
      </c>
      <c r="E3162" s="159">
        <v>11.11</v>
      </c>
      <c r="F3162" s="159">
        <v>1088.78</v>
      </c>
      <c r="G3162" s="160" t="s">
        <v>2</v>
      </c>
    </row>
    <row r="3163" spans="1:7" ht="12.75" customHeight="1">
      <c r="A3163" s="160">
        <v>3</v>
      </c>
      <c r="B3163" s="160" t="s">
        <v>2667</v>
      </c>
      <c r="C3163" s="157" t="s">
        <v>14</v>
      </c>
      <c r="D3163" s="159">
        <v>1</v>
      </c>
      <c r="E3163" s="159">
        <v>138.84</v>
      </c>
      <c r="F3163" s="159">
        <v>138.84</v>
      </c>
      <c r="G3163" s="160" t="s">
        <v>2</v>
      </c>
    </row>
    <row r="3164" spans="1:7" ht="12.75" customHeight="1">
      <c r="A3164" s="160">
        <v>4</v>
      </c>
      <c r="B3164" s="160" t="s">
        <v>931</v>
      </c>
      <c r="C3164" s="157" t="s">
        <v>14</v>
      </c>
      <c r="D3164" s="159">
        <v>1</v>
      </c>
      <c r="E3164" s="159">
        <v>123.91</v>
      </c>
      <c r="F3164" s="159">
        <v>123.91</v>
      </c>
      <c r="G3164" s="160" t="s">
        <v>2</v>
      </c>
    </row>
    <row r="3165" spans="1:7" ht="12.75" customHeight="1">
      <c r="A3165" s="160"/>
      <c r="B3165" s="160" t="s">
        <v>933</v>
      </c>
      <c r="C3165" s="157" t="s">
        <v>17</v>
      </c>
      <c r="D3165" s="159">
        <v>18</v>
      </c>
      <c r="E3165" s="159"/>
      <c r="F3165" s="159">
        <v>4254.29</v>
      </c>
      <c r="G3165" s="160"/>
    </row>
    <row r="3166" spans="1:7" ht="12.75" customHeight="1">
      <c r="A3166" s="160"/>
      <c r="B3166" s="160" t="s">
        <v>934</v>
      </c>
      <c r="C3166" s="157" t="s">
        <v>17</v>
      </c>
      <c r="D3166" s="159"/>
      <c r="E3166" s="159"/>
      <c r="F3166" s="159">
        <v>236.35</v>
      </c>
      <c r="G3166" s="160"/>
    </row>
    <row r="3167" spans="1:7" ht="12.75" customHeight="1">
      <c r="A3167" s="160"/>
      <c r="B3167" s="160"/>
      <c r="C3167" s="157"/>
      <c r="D3167" s="159"/>
      <c r="E3167" s="159"/>
      <c r="F3167" s="159"/>
      <c r="G3167" s="160"/>
    </row>
    <row r="3168" spans="1:7" ht="12.75" customHeight="1">
      <c r="A3168" s="160" t="s">
        <v>5037</v>
      </c>
      <c r="B3168" s="160" t="s">
        <v>2670</v>
      </c>
      <c r="C3168" s="157" t="s">
        <v>3</v>
      </c>
      <c r="D3168" s="159">
        <v>1</v>
      </c>
      <c r="E3168" s="159">
        <v>1104.48</v>
      </c>
      <c r="F3168" s="159"/>
      <c r="G3168" s="160" t="s">
        <v>2</v>
      </c>
    </row>
    <row r="3169" spans="1:7" ht="12.75" customHeight="1">
      <c r="A3169" s="160">
        <v>1</v>
      </c>
      <c r="B3169" s="160" t="s">
        <v>2672</v>
      </c>
      <c r="C3169" s="157" t="s">
        <v>3</v>
      </c>
      <c r="D3169" s="159">
        <v>1.1499999999999999</v>
      </c>
      <c r="E3169" s="159">
        <v>925.6</v>
      </c>
      <c r="F3169" s="159">
        <v>1064.44</v>
      </c>
      <c r="G3169" s="160" t="s">
        <v>2</v>
      </c>
    </row>
    <row r="3170" spans="1:7" ht="12.75" customHeight="1">
      <c r="A3170" s="160">
        <v>2</v>
      </c>
      <c r="B3170" s="160" t="s">
        <v>2674</v>
      </c>
      <c r="C3170" s="157" t="s">
        <v>2675</v>
      </c>
      <c r="D3170" s="159">
        <v>0.01</v>
      </c>
      <c r="E3170" s="159">
        <v>786.76</v>
      </c>
      <c r="F3170" s="159">
        <v>7.87</v>
      </c>
      <c r="G3170" s="160" t="s">
        <v>2</v>
      </c>
    </row>
    <row r="3171" spans="1:7" ht="12.75" customHeight="1">
      <c r="A3171" s="160">
        <v>3</v>
      </c>
      <c r="B3171" s="160" t="s">
        <v>931</v>
      </c>
      <c r="C3171" s="157" t="s">
        <v>14</v>
      </c>
      <c r="D3171" s="159">
        <v>1</v>
      </c>
      <c r="E3171" s="159">
        <v>32.17</v>
      </c>
      <c r="F3171" s="159">
        <v>32.17</v>
      </c>
      <c r="G3171" s="160" t="s">
        <v>2</v>
      </c>
    </row>
    <row r="3172" spans="1:7" ht="12.75" customHeight="1">
      <c r="A3172" s="160"/>
      <c r="B3172" s="160" t="s">
        <v>933</v>
      </c>
      <c r="C3172" s="157" t="s">
        <v>3</v>
      </c>
      <c r="D3172" s="159">
        <v>1</v>
      </c>
      <c r="E3172" s="159"/>
      <c r="F3172" s="159">
        <v>1104.48</v>
      </c>
      <c r="G3172" s="160"/>
    </row>
    <row r="3173" spans="1:7" ht="12.75" customHeight="1">
      <c r="A3173" s="160"/>
      <c r="B3173" s="160" t="s">
        <v>934</v>
      </c>
      <c r="C3173" s="157" t="s">
        <v>3</v>
      </c>
      <c r="D3173" s="159"/>
      <c r="E3173" s="159"/>
      <c r="F3173" s="159">
        <v>1104.48</v>
      </c>
      <c r="G3173" s="160"/>
    </row>
    <row r="3174" spans="1:7" ht="12.75" customHeight="1">
      <c r="A3174" s="160"/>
      <c r="B3174" s="160"/>
      <c r="C3174" s="157"/>
      <c r="D3174" s="159"/>
      <c r="E3174" s="159"/>
      <c r="F3174" s="159"/>
      <c r="G3174" s="160"/>
    </row>
    <row r="3175" spans="1:7" ht="12.75" customHeight="1">
      <c r="A3175" s="160" t="s">
        <v>5038</v>
      </c>
      <c r="B3175" s="160" t="s">
        <v>2678</v>
      </c>
      <c r="C3175" s="157" t="s">
        <v>2679</v>
      </c>
      <c r="D3175" s="159">
        <v>1</v>
      </c>
      <c r="E3175" s="159">
        <v>614.91999999999996</v>
      </c>
      <c r="F3175" s="159"/>
      <c r="G3175" s="160" t="s">
        <v>2</v>
      </c>
    </row>
    <row r="3176" spans="1:7" ht="12.75" customHeight="1">
      <c r="A3176" s="160">
        <v>1</v>
      </c>
      <c r="B3176" s="160" t="s">
        <v>4871</v>
      </c>
      <c r="C3176" s="157" t="s">
        <v>927</v>
      </c>
      <c r="D3176" s="159">
        <v>0.16</v>
      </c>
      <c r="E3176" s="159">
        <v>260.08999999999997</v>
      </c>
      <c r="F3176" s="159">
        <v>41.61</v>
      </c>
      <c r="G3176" s="160" t="s">
        <v>5435</v>
      </c>
    </row>
    <row r="3177" spans="1:7" ht="12.75" customHeight="1">
      <c r="A3177" s="160">
        <v>2</v>
      </c>
      <c r="B3177" s="160" t="s">
        <v>2681</v>
      </c>
      <c r="C3177" s="157" t="s">
        <v>2679</v>
      </c>
      <c r="D3177" s="159">
        <v>10</v>
      </c>
      <c r="E3177" s="159">
        <v>55.54</v>
      </c>
      <c r="F3177" s="159">
        <v>555.4</v>
      </c>
      <c r="G3177" s="160" t="s">
        <v>2</v>
      </c>
    </row>
    <row r="3178" spans="1:7" ht="12.75" customHeight="1">
      <c r="A3178" s="160">
        <v>3</v>
      </c>
      <c r="B3178" s="160" t="s">
        <v>931</v>
      </c>
      <c r="C3178" s="157" t="s">
        <v>14</v>
      </c>
      <c r="D3178" s="159">
        <v>1</v>
      </c>
      <c r="E3178" s="159">
        <v>17.91</v>
      </c>
      <c r="F3178" s="159">
        <v>17.91</v>
      </c>
      <c r="G3178" s="160" t="s">
        <v>2</v>
      </c>
    </row>
    <row r="3179" spans="1:7" ht="12.75" customHeight="1">
      <c r="A3179" s="160"/>
      <c r="B3179" s="160" t="s">
        <v>933</v>
      </c>
      <c r="C3179" s="157" t="s">
        <v>2679</v>
      </c>
      <c r="D3179" s="159">
        <v>1</v>
      </c>
      <c r="E3179" s="159"/>
      <c r="F3179" s="159">
        <v>614.91999999999996</v>
      </c>
      <c r="G3179" s="160"/>
    </row>
    <row r="3180" spans="1:7" ht="12.75" customHeight="1">
      <c r="A3180" s="160"/>
      <c r="B3180" s="160" t="s">
        <v>934</v>
      </c>
      <c r="C3180" s="157" t="s">
        <v>2679</v>
      </c>
      <c r="D3180" s="159"/>
      <c r="E3180" s="159"/>
      <c r="F3180" s="159">
        <v>614.91999999999996</v>
      </c>
      <c r="G3180" s="160"/>
    </row>
    <row r="3181" spans="1:7" ht="12.75" customHeight="1">
      <c r="A3181" s="160"/>
      <c r="B3181" s="160"/>
      <c r="C3181" s="157"/>
      <c r="D3181" s="159"/>
      <c r="E3181" s="159"/>
      <c r="F3181" s="159"/>
      <c r="G3181" s="160"/>
    </row>
    <row r="3182" spans="1:7" ht="12.75" customHeight="1">
      <c r="A3182" s="160" t="s">
        <v>5039</v>
      </c>
      <c r="B3182" s="160" t="s">
        <v>2684</v>
      </c>
      <c r="C3182" s="157" t="s">
        <v>3</v>
      </c>
      <c r="D3182" s="159">
        <v>1</v>
      </c>
      <c r="E3182" s="159">
        <v>2148.19</v>
      </c>
      <c r="F3182" s="159"/>
      <c r="G3182" s="160" t="s">
        <v>2</v>
      </c>
    </row>
    <row r="3183" spans="1:7" ht="12.75" customHeight="1">
      <c r="A3183" s="160">
        <v>1</v>
      </c>
      <c r="B3183" s="160" t="s">
        <v>2686</v>
      </c>
      <c r="C3183" s="157" t="s">
        <v>927</v>
      </c>
      <c r="D3183" s="159">
        <v>0.3</v>
      </c>
      <c r="E3183" s="159">
        <v>185.12</v>
      </c>
      <c r="F3183" s="159">
        <v>55.54</v>
      </c>
      <c r="G3183" s="160" t="s">
        <v>2</v>
      </c>
    </row>
    <row r="3184" spans="1:7" ht="12.75" customHeight="1">
      <c r="A3184" s="160">
        <v>2</v>
      </c>
      <c r="B3184" s="160" t="s">
        <v>2688</v>
      </c>
      <c r="C3184" s="157" t="s">
        <v>3</v>
      </c>
      <c r="D3184" s="159">
        <v>1.1499999999999999</v>
      </c>
      <c r="E3184" s="159">
        <v>1716.99</v>
      </c>
      <c r="F3184" s="159">
        <v>1974.54</v>
      </c>
      <c r="G3184" s="160" t="s">
        <v>2</v>
      </c>
    </row>
    <row r="3185" spans="1:7" ht="12.75" customHeight="1">
      <c r="A3185" s="160">
        <v>3</v>
      </c>
      <c r="B3185" s="160" t="s">
        <v>2690</v>
      </c>
      <c r="C3185" s="157" t="s">
        <v>927</v>
      </c>
      <c r="D3185" s="159">
        <v>0.3</v>
      </c>
      <c r="E3185" s="159">
        <v>185.12</v>
      </c>
      <c r="F3185" s="159">
        <v>55.54</v>
      </c>
      <c r="G3185" s="160" t="s">
        <v>2</v>
      </c>
    </row>
    <row r="3186" spans="1:7" ht="12.75" customHeight="1">
      <c r="A3186" s="160">
        <v>4</v>
      </c>
      <c r="B3186" s="160" t="s">
        <v>931</v>
      </c>
      <c r="C3186" s="157" t="s">
        <v>14</v>
      </c>
      <c r="D3186" s="159">
        <v>1</v>
      </c>
      <c r="E3186" s="159">
        <v>62.57</v>
      </c>
      <c r="F3186" s="159">
        <v>62.57</v>
      </c>
      <c r="G3186" s="160" t="s">
        <v>2</v>
      </c>
    </row>
    <row r="3187" spans="1:7" ht="12.75" customHeight="1">
      <c r="A3187" s="160"/>
      <c r="B3187" s="160" t="s">
        <v>933</v>
      </c>
      <c r="C3187" s="157" t="s">
        <v>3</v>
      </c>
      <c r="D3187" s="159">
        <v>1</v>
      </c>
      <c r="E3187" s="159"/>
      <c r="F3187" s="159">
        <v>2148.19</v>
      </c>
      <c r="G3187" s="160"/>
    </row>
    <row r="3188" spans="1:7" ht="12.75" customHeight="1">
      <c r="A3188" s="160"/>
      <c r="B3188" s="160" t="s">
        <v>934</v>
      </c>
      <c r="C3188" s="157" t="s">
        <v>3</v>
      </c>
      <c r="D3188" s="159"/>
      <c r="E3188" s="159"/>
      <c r="F3188" s="159">
        <v>2148.19</v>
      </c>
      <c r="G3188" s="160"/>
    </row>
    <row r="3189" spans="1:7" ht="12.75" customHeight="1">
      <c r="A3189" s="160"/>
      <c r="B3189" s="160"/>
      <c r="C3189" s="157"/>
      <c r="D3189" s="159"/>
      <c r="E3189" s="159"/>
      <c r="F3189" s="159"/>
      <c r="G3189" s="160"/>
    </row>
    <row r="3190" spans="1:7" ht="12.75" customHeight="1">
      <c r="A3190" s="160" t="s">
        <v>5040</v>
      </c>
      <c r="B3190" s="160" t="s">
        <v>2693</v>
      </c>
      <c r="C3190" s="157" t="s">
        <v>2694</v>
      </c>
      <c r="D3190" s="159">
        <v>1</v>
      </c>
      <c r="E3190" s="159">
        <v>148.72999999999999</v>
      </c>
      <c r="F3190" s="159"/>
      <c r="G3190" s="160" t="s">
        <v>2</v>
      </c>
    </row>
    <row r="3191" spans="1:7" ht="12.75" customHeight="1">
      <c r="A3191" s="160">
        <v>1</v>
      </c>
      <c r="B3191" s="160" t="s">
        <v>5041</v>
      </c>
      <c r="C3191" s="157" t="s">
        <v>2665</v>
      </c>
      <c r="D3191" s="159">
        <v>0.3</v>
      </c>
      <c r="E3191" s="159">
        <v>41.65</v>
      </c>
      <c r="F3191" s="159">
        <v>12.5</v>
      </c>
      <c r="G3191" s="160" t="s">
        <v>2</v>
      </c>
    </row>
    <row r="3192" spans="1:7" ht="12.75" customHeight="1">
      <c r="A3192" s="160">
        <v>2</v>
      </c>
      <c r="B3192" s="160" t="s">
        <v>2697</v>
      </c>
      <c r="C3192" s="157" t="s">
        <v>1689</v>
      </c>
      <c r="D3192" s="159">
        <v>1</v>
      </c>
      <c r="E3192" s="159">
        <v>21.75</v>
      </c>
      <c r="F3192" s="159">
        <v>21.75</v>
      </c>
      <c r="G3192" s="160" t="s">
        <v>2</v>
      </c>
    </row>
    <row r="3193" spans="1:7" ht="12.75" customHeight="1">
      <c r="A3193" s="160">
        <v>3</v>
      </c>
      <c r="B3193" s="160" t="s">
        <v>2699</v>
      </c>
      <c r="C3193" s="157" t="s">
        <v>14</v>
      </c>
      <c r="D3193" s="159">
        <v>1</v>
      </c>
      <c r="E3193" s="159">
        <v>110.15</v>
      </c>
      <c r="F3193" s="159">
        <v>110.15</v>
      </c>
      <c r="G3193" s="160" t="s">
        <v>2</v>
      </c>
    </row>
    <row r="3194" spans="1:7" ht="12.75" customHeight="1">
      <c r="A3194" s="160">
        <v>4</v>
      </c>
      <c r="B3194" s="160" t="s">
        <v>931</v>
      </c>
      <c r="C3194" s="157" t="s">
        <v>14</v>
      </c>
      <c r="D3194" s="159">
        <v>1</v>
      </c>
      <c r="E3194" s="159">
        <v>4.33</v>
      </c>
      <c r="F3194" s="159">
        <v>4.33</v>
      </c>
      <c r="G3194" s="160" t="s">
        <v>2</v>
      </c>
    </row>
    <row r="3195" spans="1:7" ht="12.75" customHeight="1">
      <c r="A3195" s="160"/>
      <c r="B3195" s="160" t="s">
        <v>933</v>
      </c>
      <c r="C3195" s="157" t="s">
        <v>2694</v>
      </c>
      <c r="D3195" s="159">
        <v>1</v>
      </c>
      <c r="E3195" s="159"/>
      <c r="F3195" s="159">
        <v>148.73000000000002</v>
      </c>
      <c r="G3195" s="160"/>
    </row>
    <row r="3196" spans="1:7" ht="12.75" customHeight="1">
      <c r="A3196" s="160"/>
      <c r="B3196" s="160" t="s">
        <v>934</v>
      </c>
      <c r="C3196" s="157" t="s">
        <v>2694</v>
      </c>
      <c r="D3196" s="159"/>
      <c r="E3196" s="159"/>
      <c r="F3196" s="159">
        <v>148.72999999999999</v>
      </c>
      <c r="G3196" s="160"/>
    </row>
    <row r="3197" spans="1:7" ht="12.75" customHeight="1">
      <c r="A3197" s="160"/>
      <c r="B3197" s="160"/>
      <c r="C3197" s="157"/>
      <c r="D3197" s="159"/>
      <c r="E3197" s="159"/>
      <c r="F3197" s="159"/>
      <c r="G3197" s="160"/>
    </row>
    <row r="3198" spans="1:7" ht="12.75" customHeight="1">
      <c r="A3198" s="160" t="s">
        <v>5042</v>
      </c>
      <c r="B3198" s="160" t="s">
        <v>2702</v>
      </c>
      <c r="C3198" s="157" t="s">
        <v>17</v>
      </c>
      <c r="D3198" s="159">
        <v>1</v>
      </c>
      <c r="E3198" s="159">
        <v>287.02</v>
      </c>
      <c r="F3198" s="159"/>
      <c r="G3198" s="160" t="s">
        <v>2</v>
      </c>
    </row>
    <row r="3199" spans="1:7" ht="12.75" customHeight="1">
      <c r="A3199" s="160">
        <v>1</v>
      </c>
      <c r="B3199" s="160" t="s">
        <v>2699</v>
      </c>
      <c r="C3199" s="157" t="s">
        <v>14</v>
      </c>
      <c r="D3199" s="159">
        <v>1</v>
      </c>
      <c r="E3199" s="159">
        <v>110.15</v>
      </c>
      <c r="F3199" s="159">
        <v>110.15</v>
      </c>
      <c r="G3199" s="160" t="s">
        <v>2</v>
      </c>
    </row>
    <row r="3200" spans="1:7" ht="12.75" customHeight="1">
      <c r="A3200" s="160">
        <v>2</v>
      </c>
      <c r="B3200" s="160" t="s">
        <v>2704</v>
      </c>
      <c r="C3200" s="157" t="s">
        <v>17</v>
      </c>
      <c r="D3200" s="159">
        <v>1.05</v>
      </c>
      <c r="E3200" s="159">
        <v>148.1</v>
      </c>
      <c r="F3200" s="159">
        <v>155.51</v>
      </c>
      <c r="G3200" s="160" t="s">
        <v>2</v>
      </c>
    </row>
    <row r="3201" spans="1:7" ht="12.75" customHeight="1">
      <c r="A3201" s="160">
        <v>3</v>
      </c>
      <c r="B3201" s="160" t="s">
        <v>4871</v>
      </c>
      <c r="C3201" s="157" t="s">
        <v>927</v>
      </c>
      <c r="D3201" s="159">
        <v>0.05</v>
      </c>
      <c r="E3201" s="159">
        <v>260.08999999999997</v>
      </c>
      <c r="F3201" s="159">
        <v>13</v>
      </c>
      <c r="G3201" s="160" t="s">
        <v>5435</v>
      </c>
    </row>
    <row r="3202" spans="1:7" ht="12.75" customHeight="1">
      <c r="A3202" s="160">
        <v>4</v>
      </c>
      <c r="B3202" s="160" t="s">
        <v>931</v>
      </c>
      <c r="C3202" s="157" t="s">
        <v>14</v>
      </c>
      <c r="D3202" s="159">
        <v>1</v>
      </c>
      <c r="E3202" s="159">
        <v>8.36</v>
      </c>
      <c r="F3202" s="159">
        <v>8.36</v>
      </c>
      <c r="G3202" s="160" t="s">
        <v>2</v>
      </c>
    </row>
    <row r="3203" spans="1:7" ht="12.75" customHeight="1">
      <c r="A3203" s="160"/>
      <c r="B3203" s="160" t="s">
        <v>933</v>
      </c>
      <c r="C3203" s="157" t="s">
        <v>17</v>
      </c>
      <c r="D3203" s="159">
        <v>1</v>
      </c>
      <c r="E3203" s="159"/>
      <c r="F3203" s="159">
        <v>287.02</v>
      </c>
      <c r="G3203" s="160"/>
    </row>
    <row r="3204" spans="1:7" ht="12.75" customHeight="1">
      <c r="A3204" s="160"/>
      <c r="B3204" s="160" t="s">
        <v>934</v>
      </c>
      <c r="C3204" s="157" t="s">
        <v>17</v>
      </c>
      <c r="D3204" s="159"/>
      <c r="E3204" s="159"/>
      <c r="F3204" s="159">
        <v>287.02</v>
      </c>
      <c r="G3204" s="160"/>
    </row>
    <row r="3205" spans="1:7" ht="12.75" customHeight="1">
      <c r="A3205" s="160"/>
      <c r="B3205" s="160"/>
      <c r="C3205" s="157"/>
      <c r="D3205" s="159"/>
      <c r="E3205" s="159"/>
      <c r="F3205" s="159"/>
      <c r="G3205" s="160"/>
    </row>
    <row r="3206" spans="1:7" ht="12.75" customHeight="1">
      <c r="A3206" s="160" t="s">
        <v>5043</v>
      </c>
      <c r="B3206" s="160" t="s">
        <v>2707</v>
      </c>
      <c r="C3206" s="157" t="s">
        <v>17</v>
      </c>
      <c r="D3206" s="159">
        <v>10</v>
      </c>
      <c r="E3206" s="159">
        <v>288.62</v>
      </c>
      <c r="F3206" s="159"/>
      <c r="G3206" s="160" t="s">
        <v>2</v>
      </c>
    </row>
    <row r="3207" spans="1:7" ht="12.75" customHeight="1">
      <c r="A3207" s="160">
        <v>1</v>
      </c>
      <c r="B3207" s="160" t="s">
        <v>2699</v>
      </c>
      <c r="C3207" s="157" t="s">
        <v>14</v>
      </c>
      <c r="D3207" s="159">
        <v>1</v>
      </c>
      <c r="E3207" s="159">
        <v>110.15</v>
      </c>
      <c r="F3207" s="159">
        <v>110.15</v>
      </c>
      <c r="G3207" s="160" t="s">
        <v>2</v>
      </c>
    </row>
    <row r="3208" spans="1:7" ht="12.75" customHeight="1">
      <c r="A3208" s="160">
        <v>2</v>
      </c>
      <c r="B3208" s="160" t="s">
        <v>2709</v>
      </c>
      <c r="C3208" s="157" t="s">
        <v>17</v>
      </c>
      <c r="D3208" s="159">
        <v>10.5</v>
      </c>
      <c r="E3208" s="159">
        <v>242.51</v>
      </c>
      <c r="F3208" s="159">
        <v>2546.36</v>
      </c>
      <c r="G3208" s="160" t="s">
        <v>2</v>
      </c>
    </row>
    <row r="3209" spans="1:7" ht="12.75" customHeight="1">
      <c r="A3209" s="160">
        <v>3</v>
      </c>
      <c r="B3209" s="160" t="s">
        <v>4871</v>
      </c>
      <c r="C3209" s="157" t="s">
        <v>927</v>
      </c>
      <c r="D3209" s="159">
        <v>0.56000000000000005</v>
      </c>
      <c r="E3209" s="159">
        <v>260.08999999999997</v>
      </c>
      <c r="F3209" s="159">
        <v>145.65</v>
      </c>
      <c r="G3209" s="160" t="s">
        <v>5435</v>
      </c>
    </row>
    <row r="3210" spans="1:7" ht="12.75" customHeight="1">
      <c r="A3210" s="160">
        <v>4</v>
      </c>
      <c r="B3210" s="160" t="s">
        <v>931</v>
      </c>
      <c r="C3210" s="157" t="s">
        <v>14</v>
      </c>
      <c r="D3210" s="159">
        <v>1</v>
      </c>
      <c r="E3210" s="159">
        <v>84.06</v>
      </c>
      <c r="F3210" s="159">
        <v>84.06</v>
      </c>
      <c r="G3210" s="160" t="s">
        <v>2</v>
      </c>
    </row>
    <row r="3211" spans="1:7" ht="12.75" customHeight="1">
      <c r="A3211" s="160"/>
      <c r="B3211" s="160" t="s">
        <v>933</v>
      </c>
      <c r="C3211" s="157" t="s">
        <v>17</v>
      </c>
      <c r="D3211" s="159">
        <v>10</v>
      </c>
      <c r="E3211" s="159"/>
      <c r="F3211" s="159">
        <v>2886.2200000000003</v>
      </c>
      <c r="G3211" s="160"/>
    </row>
    <row r="3212" spans="1:7" ht="12.75" customHeight="1">
      <c r="A3212" s="160"/>
      <c r="B3212" s="160" t="s">
        <v>934</v>
      </c>
      <c r="C3212" s="157" t="s">
        <v>17</v>
      </c>
      <c r="D3212" s="159"/>
      <c r="E3212" s="159"/>
      <c r="F3212" s="159">
        <v>288.62</v>
      </c>
      <c r="G3212" s="160"/>
    </row>
    <row r="3213" spans="1:7" ht="12.75" customHeight="1">
      <c r="A3213" s="160"/>
      <c r="B3213" s="160"/>
      <c r="C3213" s="157"/>
      <c r="D3213" s="159"/>
      <c r="E3213" s="159"/>
      <c r="F3213" s="159"/>
      <c r="G3213" s="160"/>
    </row>
    <row r="3214" spans="1:7" ht="12.75" customHeight="1">
      <c r="A3214" s="160" t="s">
        <v>5044</v>
      </c>
      <c r="B3214" s="160" t="s">
        <v>2712</v>
      </c>
      <c r="C3214" s="157" t="s">
        <v>3</v>
      </c>
      <c r="D3214" s="159">
        <v>1</v>
      </c>
      <c r="E3214" s="159">
        <v>622.45000000000005</v>
      </c>
      <c r="F3214" s="159"/>
      <c r="G3214" s="160" t="s">
        <v>2</v>
      </c>
    </row>
    <row r="3215" spans="1:7" ht="12.75" customHeight="1">
      <c r="A3215" s="160">
        <v>1</v>
      </c>
      <c r="B3215" s="160" t="s">
        <v>2714</v>
      </c>
      <c r="C3215" s="157" t="s">
        <v>3</v>
      </c>
      <c r="D3215" s="159">
        <v>1</v>
      </c>
      <c r="E3215" s="159">
        <v>403.27</v>
      </c>
      <c r="F3215" s="159">
        <v>403.27</v>
      </c>
      <c r="G3215" s="160" t="s">
        <v>2</v>
      </c>
    </row>
    <row r="3216" spans="1:7" ht="12.75" customHeight="1">
      <c r="A3216" s="160">
        <v>2</v>
      </c>
      <c r="B3216" s="160" t="s">
        <v>2716</v>
      </c>
      <c r="C3216" s="157" t="s">
        <v>18</v>
      </c>
      <c r="D3216" s="159">
        <v>0.14000000000000001</v>
      </c>
      <c r="E3216" s="159">
        <v>18.72</v>
      </c>
      <c r="F3216" s="159">
        <v>2.62</v>
      </c>
      <c r="G3216" s="160" t="s">
        <v>2</v>
      </c>
    </row>
    <row r="3217" spans="1:7" ht="12.75" customHeight="1">
      <c r="A3217" s="160">
        <v>3</v>
      </c>
      <c r="B3217" s="160" t="s">
        <v>2718</v>
      </c>
      <c r="C3217" s="157" t="s">
        <v>927</v>
      </c>
      <c r="D3217" s="159">
        <v>0.08</v>
      </c>
      <c r="E3217" s="159">
        <v>371.17</v>
      </c>
      <c r="F3217" s="159">
        <v>29.69</v>
      </c>
      <c r="G3217" s="160" t="s">
        <v>2</v>
      </c>
    </row>
    <row r="3218" spans="1:7" ht="12.75" customHeight="1">
      <c r="A3218" s="160">
        <v>4</v>
      </c>
      <c r="B3218" s="160" t="s">
        <v>2720</v>
      </c>
      <c r="C3218" s="157" t="s">
        <v>14</v>
      </c>
      <c r="D3218" s="159">
        <v>1</v>
      </c>
      <c r="E3218" s="159">
        <v>72.2</v>
      </c>
      <c r="F3218" s="159">
        <v>72.2</v>
      </c>
      <c r="G3218" s="160" t="s">
        <v>2</v>
      </c>
    </row>
    <row r="3219" spans="1:7" ht="12.75" customHeight="1">
      <c r="A3219" s="160">
        <v>5</v>
      </c>
      <c r="B3219" s="160" t="s">
        <v>2722</v>
      </c>
      <c r="C3219" s="157" t="s">
        <v>3</v>
      </c>
      <c r="D3219" s="159">
        <v>1</v>
      </c>
      <c r="E3219" s="159">
        <v>96.54</v>
      </c>
      <c r="F3219" s="159">
        <v>96.54</v>
      </c>
      <c r="G3219" s="160" t="s">
        <v>2</v>
      </c>
    </row>
    <row r="3220" spans="1:7" ht="12.75" customHeight="1">
      <c r="A3220" s="160">
        <v>6</v>
      </c>
      <c r="B3220" s="160" t="s">
        <v>931</v>
      </c>
      <c r="C3220" s="157" t="s">
        <v>14</v>
      </c>
      <c r="D3220" s="159">
        <v>1</v>
      </c>
      <c r="E3220" s="159">
        <v>18.13</v>
      </c>
      <c r="F3220" s="159">
        <v>18.13</v>
      </c>
      <c r="G3220" s="160" t="s">
        <v>2</v>
      </c>
    </row>
    <row r="3221" spans="1:7" ht="12.75" customHeight="1">
      <c r="A3221" s="160"/>
      <c r="B3221" s="160" t="s">
        <v>933</v>
      </c>
      <c r="C3221" s="157" t="s">
        <v>3</v>
      </c>
      <c r="D3221" s="159">
        <v>1</v>
      </c>
      <c r="E3221" s="159"/>
      <c r="F3221" s="159">
        <v>622.44999999999993</v>
      </c>
      <c r="G3221" s="160"/>
    </row>
    <row r="3222" spans="1:7" ht="12.75" customHeight="1">
      <c r="A3222" s="160"/>
      <c r="B3222" s="160" t="s">
        <v>934</v>
      </c>
      <c r="C3222" s="157" t="s">
        <v>3</v>
      </c>
      <c r="D3222" s="159"/>
      <c r="E3222" s="159"/>
      <c r="F3222" s="159">
        <v>622.45000000000005</v>
      </c>
      <c r="G3222" s="160"/>
    </row>
    <row r="3223" spans="1:7" ht="12.75" customHeight="1">
      <c r="A3223" s="160"/>
      <c r="B3223" s="160"/>
      <c r="C3223" s="157"/>
      <c r="D3223" s="159"/>
      <c r="E3223" s="159"/>
      <c r="F3223" s="159"/>
      <c r="G3223" s="160"/>
    </row>
    <row r="3224" spans="1:7" ht="12.75" customHeight="1">
      <c r="A3224" s="160" t="s">
        <v>5045</v>
      </c>
      <c r="B3224" s="160" t="s">
        <v>3659</v>
      </c>
      <c r="C3224" s="157" t="s">
        <v>3</v>
      </c>
      <c r="D3224" s="159">
        <v>1</v>
      </c>
      <c r="E3224" s="159">
        <v>1585.54</v>
      </c>
      <c r="F3224" s="159"/>
      <c r="G3224" s="160" t="s">
        <v>2</v>
      </c>
    </row>
    <row r="3225" spans="1:7" ht="12.75" customHeight="1">
      <c r="A3225" s="160">
        <v>1</v>
      </c>
      <c r="B3225" s="160" t="s">
        <v>4053</v>
      </c>
      <c r="C3225" s="157" t="s">
        <v>3</v>
      </c>
      <c r="D3225" s="159">
        <v>1</v>
      </c>
      <c r="E3225" s="159">
        <v>1337.49</v>
      </c>
      <c r="F3225" s="159">
        <v>1337.49</v>
      </c>
      <c r="G3225" s="160" t="s">
        <v>2</v>
      </c>
    </row>
    <row r="3226" spans="1:7" ht="12.75" customHeight="1">
      <c r="A3226" s="160">
        <v>2</v>
      </c>
      <c r="B3226" s="160" t="s">
        <v>4055</v>
      </c>
      <c r="C3226" s="157" t="s">
        <v>18</v>
      </c>
      <c r="D3226" s="159">
        <v>0.14000000000000001</v>
      </c>
      <c r="E3226" s="159">
        <v>24.8</v>
      </c>
      <c r="F3226" s="159">
        <v>3.47</v>
      </c>
      <c r="G3226" s="160" t="s">
        <v>2</v>
      </c>
    </row>
    <row r="3227" spans="1:7" ht="12.75" customHeight="1">
      <c r="A3227" s="160">
        <v>3</v>
      </c>
      <c r="B3227" s="160" t="s">
        <v>2718</v>
      </c>
      <c r="C3227" s="157" t="s">
        <v>927</v>
      </c>
      <c r="D3227" s="159">
        <v>0.34</v>
      </c>
      <c r="E3227" s="159">
        <v>371.17</v>
      </c>
      <c r="F3227" s="159">
        <v>126.2</v>
      </c>
      <c r="G3227" s="160" t="s">
        <v>2</v>
      </c>
    </row>
    <row r="3228" spans="1:7" ht="12.75" customHeight="1">
      <c r="A3228" s="160">
        <v>4</v>
      </c>
      <c r="B3228" s="160" t="s">
        <v>2720</v>
      </c>
      <c r="C3228" s="157" t="s">
        <v>14</v>
      </c>
      <c r="D3228" s="159">
        <v>1</v>
      </c>
      <c r="E3228" s="159">
        <v>72.2</v>
      </c>
      <c r="F3228" s="159">
        <v>72.2</v>
      </c>
      <c r="G3228" s="160" t="s">
        <v>2</v>
      </c>
    </row>
    <row r="3229" spans="1:7" ht="12.75" customHeight="1">
      <c r="A3229" s="160">
        <v>5</v>
      </c>
      <c r="B3229" s="160" t="s">
        <v>931</v>
      </c>
      <c r="C3229" s="157" t="s">
        <v>14</v>
      </c>
      <c r="D3229" s="159">
        <v>1</v>
      </c>
      <c r="E3229" s="159">
        <v>46.18</v>
      </c>
      <c r="F3229" s="159">
        <v>46.18</v>
      </c>
      <c r="G3229" s="160" t="s">
        <v>2</v>
      </c>
    </row>
    <row r="3230" spans="1:7" ht="12.75" customHeight="1">
      <c r="A3230" s="160"/>
      <c r="B3230" s="160" t="s">
        <v>933</v>
      </c>
      <c r="C3230" s="157" t="s">
        <v>3</v>
      </c>
      <c r="D3230" s="159">
        <v>1</v>
      </c>
      <c r="E3230" s="159"/>
      <c r="F3230" s="159">
        <v>1585.5400000000002</v>
      </c>
      <c r="G3230" s="160"/>
    </row>
    <row r="3231" spans="1:7" ht="12.75" customHeight="1">
      <c r="A3231" s="160"/>
      <c r="B3231" s="160" t="s">
        <v>934</v>
      </c>
      <c r="C3231" s="157" t="s">
        <v>3</v>
      </c>
      <c r="D3231" s="159"/>
      <c r="E3231" s="159"/>
      <c r="F3231" s="159">
        <v>1585.54</v>
      </c>
      <c r="G3231" s="160"/>
    </row>
    <row r="3232" spans="1:7" ht="12.75" customHeight="1">
      <c r="A3232" s="160"/>
      <c r="B3232" s="160"/>
      <c r="C3232" s="157"/>
      <c r="D3232" s="159"/>
      <c r="E3232" s="159"/>
      <c r="F3232" s="159"/>
      <c r="G3232" s="160"/>
    </row>
    <row r="3233" spans="1:7" ht="12.75" customHeight="1">
      <c r="A3233" s="160" t="s">
        <v>5046</v>
      </c>
      <c r="B3233" s="160" t="s">
        <v>2725</v>
      </c>
      <c r="C3233" s="157" t="s">
        <v>2679</v>
      </c>
      <c r="D3233" s="159">
        <v>1</v>
      </c>
      <c r="E3233" s="159">
        <v>233.26</v>
      </c>
      <c r="F3233" s="159"/>
      <c r="G3233" s="160" t="s">
        <v>4379</v>
      </c>
    </row>
    <row r="3234" spans="1:7" ht="12.75" customHeight="1">
      <c r="A3234" s="160">
        <v>1</v>
      </c>
      <c r="B3234" s="160" t="s">
        <v>2727</v>
      </c>
      <c r="C3234" s="157" t="s">
        <v>14</v>
      </c>
      <c r="D3234" s="159">
        <v>1</v>
      </c>
      <c r="E3234" s="159">
        <v>46.28</v>
      </c>
      <c r="F3234" s="159">
        <v>46.28</v>
      </c>
      <c r="G3234" s="160" t="s">
        <v>4379</v>
      </c>
    </row>
    <row r="3235" spans="1:7" ht="12.75" customHeight="1">
      <c r="A3235" s="160">
        <v>2</v>
      </c>
      <c r="B3235" s="160" t="s">
        <v>2729</v>
      </c>
      <c r="C3235" s="157" t="s">
        <v>2679</v>
      </c>
      <c r="D3235" s="159">
        <v>1</v>
      </c>
      <c r="E3235" s="159">
        <v>161.97999999999999</v>
      </c>
      <c r="F3235" s="159">
        <v>161.97999999999999</v>
      </c>
      <c r="G3235" s="160" t="s">
        <v>4379</v>
      </c>
    </row>
    <row r="3236" spans="1:7" ht="12.75" customHeight="1">
      <c r="A3236" s="160">
        <v>3</v>
      </c>
      <c r="B3236" s="160" t="s">
        <v>4871</v>
      </c>
      <c r="C3236" s="157" t="s">
        <v>927</v>
      </c>
      <c r="D3236" s="159">
        <v>7.0000000000000007E-2</v>
      </c>
      <c r="E3236" s="159">
        <v>260.08999999999997</v>
      </c>
      <c r="F3236" s="159">
        <v>18.21</v>
      </c>
      <c r="G3236" s="160" t="s">
        <v>5435</v>
      </c>
    </row>
    <row r="3237" spans="1:7" ht="12.75" customHeight="1">
      <c r="A3237" s="160">
        <v>4</v>
      </c>
      <c r="B3237" s="160" t="s">
        <v>931</v>
      </c>
      <c r="C3237" s="157" t="s">
        <v>14</v>
      </c>
      <c r="D3237" s="159">
        <v>1</v>
      </c>
      <c r="E3237" s="159">
        <v>6.79</v>
      </c>
      <c r="F3237" s="159">
        <v>6.79</v>
      </c>
      <c r="G3237" s="160" t="s">
        <v>2</v>
      </c>
    </row>
    <row r="3238" spans="1:7" ht="12.75" customHeight="1">
      <c r="A3238" s="160"/>
      <c r="B3238" s="160" t="s">
        <v>933</v>
      </c>
      <c r="C3238" s="157" t="s">
        <v>2679</v>
      </c>
      <c r="D3238" s="159">
        <v>1</v>
      </c>
      <c r="E3238" s="159"/>
      <c r="F3238" s="159">
        <v>233.26</v>
      </c>
      <c r="G3238" s="160"/>
    </row>
    <row r="3239" spans="1:7" ht="12.75" customHeight="1">
      <c r="A3239" s="160"/>
      <c r="B3239" s="160" t="s">
        <v>934</v>
      </c>
      <c r="C3239" s="157" t="s">
        <v>2679</v>
      </c>
      <c r="D3239" s="159"/>
      <c r="E3239" s="159"/>
      <c r="F3239" s="159">
        <v>233.26</v>
      </c>
      <c r="G3239" s="160"/>
    </row>
    <row r="3240" spans="1:7" ht="12.75" customHeight="1">
      <c r="A3240" s="160"/>
      <c r="B3240" s="160"/>
      <c r="C3240" s="157"/>
      <c r="D3240" s="159"/>
      <c r="E3240" s="159"/>
      <c r="F3240" s="159"/>
      <c r="G3240" s="160"/>
    </row>
    <row r="3241" spans="1:7" ht="12.75" customHeight="1">
      <c r="A3241" s="160" t="s">
        <v>5047</v>
      </c>
      <c r="B3241" s="160" t="s">
        <v>2732</v>
      </c>
      <c r="C3241" s="157" t="s">
        <v>1818</v>
      </c>
      <c r="D3241" s="159">
        <v>1</v>
      </c>
      <c r="E3241" s="159">
        <v>784.13</v>
      </c>
      <c r="F3241" s="159"/>
      <c r="G3241" s="160" t="s">
        <v>4404</v>
      </c>
    </row>
    <row r="3242" spans="1:7" ht="12.75" customHeight="1">
      <c r="A3242" s="160">
        <v>1</v>
      </c>
      <c r="B3242" s="160" t="s">
        <v>2734</v>
      </c>
      <c r="C3242" s="157" t="s">
        <v>1497</v>
      </c>
      <c r="D3242" s="159">
        <v>1</v>
      </c>
      <c r="E3242" s="159">
        <v>740.48</v>
      </c>
      <c r="F3242" s="159">
        <v>740.48</v>
      </c>
      <c r="G3242" s="160" t="s">
        <v>4404</v>
      </c>
    </row>
    <row r="3243" spans="1:7" ht="12.75" customHeight="1">
      <c r="A3243" s="160">
        <v>2</v>
      </c>
      <c r="B3243" s="160" t="s">
        <v>4871</v>
      </c>
      <c r="C3243" s="157" t="s">
        <v>927</v>
      </c>
      <c r="D3243" s="159">
        <v>0.08</v>
      </c>
      <c r="E3243" s="159">
        <v>260.08999999999997</v>
      </c>
      <c r="F3243" s="159">
        <v>20.81</v>
      </c>
      <c r="G3243" s="160" t="s">
        <v>5435</v>
      </c>
    </row>
    <row r="3244" spans="1:7" ht="12.75" customHeight="1">
      <c r="A3244" s="160">
        <v>3</v>
      </c>
      <c r="B3244" s="160" t="s">
        <v>931</v>
      </c>
      <c r="C3244" s="157" t="s">
        <v>14</v>
      </c>
      <c r="D3244" s="159">
        <v>1</v>
      </c>
      <c r="E3244" s="159">
        <v>22.84</v>
      </c>
      <c r="F3244" s="159">
        <v>22.84</v>
      </c>
      <c r="G3244" s="160" t="s">
        <v>2</v>
      </c>
    </row>
    <row r="3245" spans="1:7" ht="12.75" customHeight="1">
      <c r="A3245" s="160"/>
      <c r="B3245" s="160" t="s">
        <v>933</v>
      </c>
      <c r="C3245" s="157" t="s">
        <v>1818</v>
      </c>
      <c r="D3245" s="159">
        <v>1</v>
      </c>
      <c r="E3245" s="159"/>
      <c r="F3245" s="159">
        <v>784.13</v>
      </c>
      <c r="G3245" s="160"/>
    </row>
    <row r="3246" spans="1:7" ht="12.75" customHeight="1">
      <c r="A3246" s="160"/>
      <c r="B3246" s="160" t="s">
        <v>934</v>
      </c>
      <c r="C3246" s="157" t="s">
        <v>1818</v>
      </c>
      <c r="D3246" s="159"/>
      <c r="E3246" s="159"/>
      <c r="F3246" s="159">
        <v>784.13</v>
      </c>
      <c r="G3246" s="160"/>
    </row>
    <row r="3247" spans="1:7" ht="12.75" customHeight="1">
      <c r="A3247" s="160"/>
      <c r="B3247" s="160"/>
      <c r="C3247" s="157"/>
      <c r="D3247" s="159"/>
      <c r="E3247" s="159"/>
      <c r="F3247" s="159"/>
      <c r="G3247" s="160"/>
    </row>
    <row r="3248" spans="1:7" ht="12.75" customHeight="1">
      <c r="A3248" s="160" t="s">
        <v>5048</v>
      </c>
      <c r="B3248" s="160" t="s">
        <v>2737</v>
      </c>
      <c r="C3248" s="157" t="s">
        <v>1818</v>
      </c>
      <c r="D3248" s="159">
        <v>1</v>
      </c>
      <c r="E3248" s="159">
        <v>1144.53</v>
      </c>
      <c r="F3248" s="159"/>
      <c r="G3248" s="160" t="s">
        <v>2</v>
      </c>
    </row>
    <row r="3249" spans="1:7" ht="12.75" customHeight="1">
      <c r="A3249" s="160">
        <v>1</v>
      </c>
      <c r="B3249" s="160" t="s">
        <v>2739</v>
      </c>
      <c r="C3249" s="157" t="s">
        <v>1497</v>
      </c>
      <c r="D3249" s="159">
        <v>1</v>
      </c>
      <c r="E3249" s="159">
        <v>568.32000000000005</v>
      </c>
      <c r="F3249" s="159">
        <v>568.32000000000005</v>
      </c>
      <c r="G3249" s="160" t="s">
        <v>2</v>
      </c>
    </row>
    <row r="3250" spans="1:7" ht="12.75" customHeight="1">
      <c r="A3250" s="160">
        <v>2</v>
      </c>
      <c r="B3250" s="160" t="s">
        <v>2741</v>
      </c>
      <c r="C3250" s="157" t="s">
        <v>1497</v>
      </c>
      <c r="D3250" s="159">
        <v>4</v>
      </c>
      <c r="E3250" s="159">
        <v>0.93</v>
      </c>
      <c r="F3250" s="159">
        <v>3.72</v>
      </c>
      <c r="G3250" s="160" t="s">
        <v>2</v>
      </c>
    </row>
    <row r="3251" spans="1:7" ht="12.75" customHeight="1">
      <c r="A3251" s="160">
        <v>3</v>
      </c>
      <c r="B3251" s="160" t="s">
        <v>2743</v>
      </c>
      <c r="C3251" s="157" t="s">
        <v>1497</v>
      </c>
      <c r="D3251" s="159">
        <v>2</v>
      </c>
      <c r="E3251" s="159">
        <v>18.510000000000002</v>
      </c>
      <c r="F3251" s="159">
        <v>37.020000000000003</v>
      </c>
      <c r="G3251" s="160" t="s">
        <v>2</v>
      </c>
    </row>
    <row r="3252" spans="1:7" ht="12.75" customHeight="1">
      <c r="A3252" s="160">
        <v>4</v>
      </c>
      <c r="B3252" s="160" t="s">
        <v>2745</v>
      </c>
      <c r="C3252" s="157" t="s">
        <v>1818</v>
      </c>
      <c r="D3252" s="159">
        <v>1</v>
      </c>
      <c r="E3252" s="159">
        <v>336.92</v>
      </c>
      <c r="F3252" s="159">
        <v>336.92</v>
      </c>
      <c r="G3252" s="160" t="s">
        <v>2</v>
      </c>
    </row>
    <row r="3253" spans="1:7" ht="12.75" customHeight="1">
      <c r="A3253" s="160">
        <v>5</v>
      </c>
      <c r="B3253" s="160" t="s">
        <v>2747</v>
      </c>
      <c r="C3253" s="157" t="s">
        <v>1497</v>
      </c>
      <c r="D3253" s="159">
        <v>4</v>
      </c>
      <c r="E3253" s="159">
        <v>36.1</v>
      </c>
      <c r="F3253" s="159">
        <v>144.4</v>
      </c>
      <c r="G3253" s="160" t="s">
        <v>2</v>
      </c>
    </row>
    <row r="3254" spans="1:7" ht="12.75" customHeight="1">
      <c r="A3254" s="160">
        <v>6</v>
      </c>
      <c r="B3254" s="160" t="s">
        <v>4871</v>
      </c>
      <c r="C3254" s="157" t="s">
        <v>927</v>
      </c>
      <c r="D3254" s="159">
        <v>0.08</v>
      </c>
      <c r="E3254" s="159">
        <v>260.08999999999997</v>
      </c>
      <c r="F3254" s="159">
        <v>20.81</v>
      </c>
      <c r="G3254" s="160" t="s">
        <v>5435</v>
      </c>
    </row>
    <row r="3255" spans="1:7" ht="12.75" customHeight="1">
      <c r="A3255" s="160">
        <v>7</v>
      </c>
      <c r="B3255" s="160" t="s">
        <v>931</v>
      </c>
      <c r="C3255" s="157" t="s">
        <v>14</v>
      </c>
      <c r="D3255" s="159">
        <v>1</v>
      </c>
      <c r="E3255" s="159">
        <v>33.340000000000003</v>
      </c>
      <c r="F3255" s="159">
        <v>33.340000000000003</v>
      </c>
      <c r="G3255" s="160" t="s">
        <v>2</v>
      </c>
    </row>
    <row r="3256" spans="1:7" ht="12.75" customHeight="1">
      <c r="A3256" s="160"/>
      <c r="B3256" s="160" t="s">
        <v>933</v>
      </c>
      <c r="C3256" s="157" t="s">
        <v>1818</v>
      </c>
      <c r="D3256" s="159">
        <v>1</v>
      </c>
      <c r="E3256" s="159"/>
      <c r="F3256" s="159">
        <v>1144.53</v>
      </c>
      <c r="G3256" s="160"/>
    </row>
    <row r="3257" spans="1:7" ht="12.75" customHeight="1">
      <c r="A3257" s="160"/>
      <c r="B3257" s="160" t="s">
        <v>934</v>
      </c>
      <c r="C3257" s="157" t="s">
        <v>1818</v>
      </c>
      <c r="D3257" s="159"/>
      <c r="E3257" s="159"/>
      <c r="F3257" s="159">
        <v>1144.53</v>
      </c>
      <c r="G3257" s="160"/>
    </row>
    <row r="3258" spans="1:7" ht="12.75" customHeight="1">
      <c r="A3258" s="160"/>
      <c r="B3258" s="160"/>
      <c r="C3258" s="157"/>
      <c r="D3258" s="159"/>
      <c r="E3258" s="159"/>
      <c r="F3258" s="159"/>
      <c r="G3258" s="160"/>
    </row>
    <row r="3259" spans="1:7" ht="12.75" customHeight="1">
      <c r="A3259" s="160" t="s">
        <v>5049</v>
      </c>
      <c r="B3259" s="160" t="s">
        <v>2750</v>
      </c>
      <c r="C3259" s="157" t="s">
        <v>1818</v>
      </c>
      <c r="D3259" s="159">
        <v>1</v>
      </c>
      <c r="E3259" s="159">
        <v>2275.2199999999998</v>
      </c>
      <c r="F3259" s="159"/>
      <c r="G3259" s="160" t="s">
        <v>2</v>
      </c>
    </row>
    <row r="3260" spans="1:7" ht="12.75" customHeight="1">
      <c r="A3260" s="160">
        <v>1</v>
      </c>
      <c r="B3260" s="160" t="s">
        <v>2752</v>
      </c>
      <c r="C3260" s="157" t="s">
        <v>1497</v>
      </c>
      <c r="D3260" s="159">
        <v>1</v>
      </c>
      <c r="E3260" s="159">
        <v>1666.08</v>
      </c>
      <c r="F3260" s="159">
        <v>1666.08</v>
      </c>
      <c r="G3260" s="160" t="s">
        <v>2</v>
      </c>
    </row>
    <row r="3261" spans="1:7" ht="12.75" customHeight="1">
      <c r="A3261" s="160">
        <v>2</v>
      </c>
      <c r="B3261" s="160" t="s">
        <v>2743</v>
      </c>
      <c r="C3261" s="157" t="s">
        <v>1497</v>
      </c>
      <c r="D3261" s="159">
        <v>2</v>
      </c>
      <c r="E3261" s="159">
        <v>18.510000000000002</v>
      </c>
      <c r="F3261" s="159">
        <v>37.020000000000003</v>
      </c>
      <c r="G3261" s="160" t="s">
        <v>2</v>
      </c>
    </row>
    <row r="3262" spans="1:7" ht="12.75" customHeight="1">
      <c r="A3262" s="160">
        <v>3</v>
      </c>
      <c r="B3262" s="160" t="s">
        <v>2745</v>
      </c>
      <c r="C3262" s="157" t="s">
        <v>1818</v>
      </c>
      <c r="D3262" s="159">
        <v>1</v>
      </c>
      <c r="E3262" s="159">
        <v>336.92</v>
      </c>
      <c r="F3262" s="159">
        <v>336.92</v>
      </c>
      <c r="G3262" s="160" t="s">
        <v>2</v>
      </c>
    </row>
    <row r="3263" spans="1:7" ht="12.75" customHeight="1">
      <c r="A3263" s="160">
        <v>4</v>
      </c>
      <c r="B3263" s="160" t="s">
        <v>2747</v>
      </c>
      <c r="C3263" s="157" t="s">
        <v>1497</v>
      </c>
      <c r="D3263" s="159">
        <v>4</v>
      </c>
      <c r="E3263" s="159">
        <v>36.1</v>
      </c>
      <c r="F3263" s="159">
        <v>144.4</v>
      </c>
      <c r="G3263" s="160" t="s">
        <v>2</v>
      </c>
    </row>
    <row r="3264" spans="1:7" ht="12.75" customHeight="1">
      <c r="A3264" s="160">
        <v>5</v>
      </c>
      <c r="B3264" s="160" t="s">
        <v>2741</v>
      </c>
      <c r="C3264" s="157" t="s">
        <v>1497</v>
      </c>
      <c r="D3264" s="159">
        <v>4</v>
      </c>
      <c r="E3264" s="159">
        <v>0.93</v>
      </c>
      <c r="F3264" s="159">
        <v>3.72</v>
      </c>
      <c r="G3264" s="160" t="s">
        <v>2</v>
      </c>
    </row>
    <row r="3265" spans="1:7" ht="12.75" customHeight="1">
      <c r="A3265" s="160">
        <v>6</v>
      </c>
      <c r="B3265" s="160" t="s">
        <v>4871</v>
      </c>
      <c r="C3265" s="157" t="s">
        <v>927</v>
      </c>
      <c r="D3265" s="159">
        <v>0.08</v>
      </c>
      <c r="E3265" s="159">
        <v>260.08999999999997</v>
      </c>
      <c r="F3265" s="159">
        <v>20.81</v>
      </c>
      <c r="G3265" s="160" t="s">
        <v>5435</v>
      </c>
    </row>
    <row r="3266" spans="1:7" ht="12.75" customHeight="1">
      <c r="A3266" s="160">
        <v>7</v>
      </c>
      <c r="B3266" s="160" t="s">
        <v>931</v>
      </c>
      <c r="C3266" s="157" t="s">
        <v>14</v>
      </c>
      <c r="D3266" s="159">
        <v>1</v>
      </c>
      <c r="E3266" s="159">
        <v>66.27</v>
      </c>
      <c r="F3266" s="159">
        <v>66.27</v>
      </c>
      <c r="G3266" s="160" t="s">
        <v>2</v>
      </c>
    </row>
    <row r="3267" spans="1:7" ht="12.75" customHeight="1">
      <c r="A3267" s="160"/>
      <c r="B3267" s="160" t="s">
        <v>933</v>
      </c>
      <c r="C3267" s="157" t="s">
        <v>1818</v>
      </c>
      <c r="D3267" s="159">
        <v>1</v>
      </c>
      <c r="E3267" s="159"/>
      <c r="F3267" s="159">
        <v>2275.2199999999998</v>
      </c>
      <c r="G3267" s="160"/>
    </row>
    <row r="3268" spans="1:7" ht="12.75" customHeight="1">
      <c r="A3268" s="160"/>
      <c r="B3268" s="160" t="s">
        <v>934</v>
      </c>
      <c r="C3268" s="157" t="s">
        <v>1818</v>
      </c>
      <c r="D3268" s="159"/>
      <c r="E3268" s="159"/>
      <c r="F3268" s="159">
        <v>2275.2199999999998</v>
      </c>
      <c r="G3268" s="160"/>
    </row>
    <row r="3269" spans="1:7" ht="12.75" customHeight="1">
      <c r="A3269" s="160"/>
      <c r="B3269" s="160"/>
      <c r="C3269" s="157"/>
      <c r="D3269" s="159"/>
      <c r="E3269" s="159"/>
      <c r="F3269" s="159"/>
      <c r="G3269" s="160"/>
    </row>
    <row r="3270" spans="1:7" ht="12.75" customHeight="1">
      <c r="A3270" s="160" t="s">
        <v>5050</v>
      </c>
      <c r="B3270" s="160" t="s">
        <v>2755</v>
      </c>
      <c r="C3270" s="157" t="s">
        <v>2679</v>
      </c>
      <c r="D3270" s="159">
        <v>1</v>
      </c>
      <c r="E3270" s="159">
        <v>305.85000000000002</v>
      </c>
      <c r="F3270" s="159"/>
      <c r="G3270" s="160" t="s">
        <v>4379</v>
      </c>
    </row>
    <row r="3271" spans="1:7" ht="12.75" customHeight="1">
      <c r="A3271" s="160">
        <v>1</v>
      </c>
      <c r="B3271" s="160" t="s">
        <v>2757</v>
      </c>
      <c r="C3271" s="157" t="s">
        <v>14</v>
      </c>
      <c r="D3271" s="159">
        <v>1</v>
      </c>
      <c r="E3271" s="159">
        <v>13.88</v>
      </c>
      <c r="F3271" s="159">
        <v>13.88</v>
      </c>
      <c r="G3271" s="160" t="s">
        <v>2</v>
      </c>
    </row>
    <row r="3272" spans="1:7" ht="12.75" customHeight="1">
      <c r="A3272" s="160">
        <v>2</v>
      </c>
      <c r="B3272" s="160" t="s">
        <v>2759</v>
      </c>
      <c r="C3272" s="157" t="s">
        <v>2679</v>
      </c>
      <c r="D3272" s="159">
        <v>1</v>
      </c>
      <c r="E3272" s="159">
        <v>231.4</v>
      </c>
      <c r="F3272" s="159">
        <v>231.4</v>
      </c>
      <c r="G3272" s="160" t="s">
        <v>4379</v>
      </c>
    </row>
    <row r="3273" spans="1:7" ht="12.75" customHeight="1">
      <c r="A3273" s="160">
        <v>3</v>
      </c>
      <c r="B3273" s="160" t="s">
        <v>2761</v>
      </c>
      <c r="C3273" s="157" t="s">
        <v>3</v>
      </c>
      <c r="D3273" s="159">
        <v>0.02</v>
      </c>
      <c r="E3273" s="159">
        <v>2063.17</v>
      </c>
      <c r="F3273" s="159">
        <v>41.26</v>
      </c>
      <c r="G3273" s="160" t="s">
        <v>4379</v>
      </c>
    </row>
    <row r="3274" spans="1:7" ht="12.75" customHeight="1">
      <c r="A3274" s="160">
        <v>4</v>
      </c>
      <c r="B3274" s="160" t="s">
        <v>4871</v>
      </c>
      <c r="C3274" s="157" t="s">
        <v>927</v>
      </c>
      <c r="D3274" s="159">
        <v>0.04</v>
      </c>
      <c r="E3274" s="159">
        <v>260.08999999999997</v>
      </c>
      <c r="F3274" s="159">
        <v>10.4</v>
      </c>
      <c r="G3274" s="160" t="s">
        <v>5435</v>
      </c>
    </row>
    <row r="3275" spans="1:7" ht="12.75" customHeight="1">
      <c r="A3275" s="160">
        <v>5</v>
      </c>
      <c r="B3275" s="160" t="s">
        <v>931</v>
      </c>
      <c r="C3275" s="157" t="s">
        <v>14</v>
      </c>
      <c r="D3275" s="159">
        <v>1</v>
      </c>
      <c r="E3275" s="159">
        <v>8.91</v>
      </c>
      <c r="F3275" s="159">
        <v>8.91</v>
      </c>
      <c r="G3275" s="160" t="s">
        <v>2</v>
      </c>
    </row>
    <row r="3276" spans="1:7" ht="12.75" customHeight="1">
      <c r="A3276" s="160"/>
      <c r="B3276" s="160" t="s">
        <v>933</v>
      </c>
      <c r="C3276" s="157" t="s">
        <v>2679</v>
      </c>
      <c r="D3276" s="159">
        <v>1</v>
      </c>
      <c r="E3276" s="159"/>
      <c r="F3276" s="159">
        <v>305.85000000000002</v>
      </c>
      <c r="G3276" s="160"/>
    </row>
    <row r="3277" spans="1:7" ht="12.75" customHeight="1">
      <c r="A3277" s="160"/>
      <c r="B3277" s="160" t="s">
        <v>934</v>
      </c>
      <c r="C3277" s="157" t="s">
        <v>2679</v>
      </c>
      <c r="D3277" s="159"/>
      <c r="E3277" s="159"/>
      <c r="F3277" s="159">
        <v>305.85000000000002</v>
      </c>
      <c r="G3277" s="160"/>
    </row>
    <row r="3278" spans="1:7" ht="12.75" customHeight="1">
      <c r="A3278" s="160"/>
      <c r="B3278" s="160"/>
      <c r="C3278" s="157"/>
      <c r="D3278" s="159"/>
      <c r="E3278" s="159"/>
      <c r="F3278" s="159"/>
      <c r="G3278" s="160"/>
    </row>
    <row r="3279" spans="1:7" ht="12.75" customHeight="1">
      <c r="A3279" s="160" t="s">
        <v>5051</v>
      </c>
      <c r="B3279" s="160" t="s">
        <v>913</v>
      </c>
      <c r="C3279" s="157" t="s">
        <v>3</v>
      </c>
      <c r="D3279" s="159">
        <v>10</v>
      </c>
      <c r="E3279" s="159">
        <v>851.5</v>
      </c>
      <c r="F3279" s="159"/>
      <c r="G3279" s="160" t="s">
        <v>2</v>
      </c>
    </row>
    <row r="3280" spans="1:7" ht="12.75" customHeight="1">
      <c r="A3280" s="160">
        <v>1</v>
      </c>
      <c r="B3280" s="160" t="s">
        <v>2765</v>
      </c>
      <c r="C3280" s="157" t="s">
        <v>18</v>
      </c>
      <c r="D3280" s="159">
        <v>43</v>
      </c>
      <c r="E3280" s="159">
        <v>98.35</v>
      </c>
      <c r="F3280" s="159">
        <v>4229.05</v>
      </c>
      <c r="G3280" s="160" t="s">
        <v>2</v>
      </c>
    </row>
    <row r="3281" spans="1:7" ht="12.75" customHeight="1">
      <c r="A3281" s="160">
        <v>2</v>
      </c>
      <c r="B3281" s="160" t="s">
        <v>2767</v>
      </c>
      <c r="C3281" s="157" t="s">
        <v>18</v>
      </c>
      <c r="D3281" s="159">
        <v>11</v>
      </c>
      <c r="E3281" s="159">
        <v>14.93</v>
      </c>
      <c r="F3281" s="159">
        <v>164.23</v>
      </c>
      <c r="G3281" s="160" t="s">
        <v>2</v>
      </c>
    </row>
    <row r="3282" spans="1:7" ht="12.75" customHeight="1">
      <c r="A3282" s="160">
        <v>3</v>
      </c>
      <c r="B3282" s="160" t="s">
        <v>2716</v>
      </c>
      <c r="C3282" s="157" t="s">
        <v>18</v>
      </c>
      <c r="D3282" s="159">
        <v>1.4</v>
      </c>
      <c r="E3282" s="159">
        <v>18.72</v>
      </c>
      <c r="F3282" s="159">
        <v>26.21</v>
      </c>
      <c r="G3282" s="160" t="s">
        <v>2</v>
      </c>
    </row>
    <row r="3283" spans="1:7" ht="12.75" customHeight="1">
      <c r="A3283" s="160">
        <v>4</v>
      </c>
      <c r="B3283" s="160" t="s">
        <v>2769</v>
      </c>
      <c r="C3283" s="157" t="s">
        <v>18</v>
      </c>
      <c r="D3283" s="159">
        <v>2</v>
      </c>
      <c r="E3283" s="159">
        <v>60.53</v>
      </c>
      <c r="F3283" s="159">
        <v>121.06</v>
      </c>
      <c r="G3283" s="160" t="s">
        <v>2</v>
      </c>
    </row>
    <row r="3284" spans="1:7" ht="12.75" customHeight="1">
      <c r="A3284" s="160">
        <v>5</v>
      </c>
      <c r="B3284" s="160" t="s">
        <v>2771</v>
      </c>
      <c r="C3284" s="157" t="s">
        <v>927</v>
      </c>
      <c r="D3284" s="159">
        <v>3.4</v>
      </c>
      <c r="E3284" s="159">
        <v>46.28</v>
      </c>
      <c r="F3284" s="159">
        <v>157.35</v>
      </c>
      <c r="G3284" s="160" t="s">
        <v>2</v>
      </c>
    </row>
    <row r="3285" spans="1:7" ht="12.75" customHeight="1">
      <c r="A3285" s="160">
        <v>6</v>
      </c>
      <c r="B3285" s="160" t="s">
        <v>2718</v>
      </c>
      <c r="C3285" s="157" t="s">
        <v>927</v>
      </c>
      <c r="D3285" s="159">
        <v>3.4</v>
      </c>
      <c r="E3285" s="159">
        <v>371.17</v>
      </c>
      <c r="F3285" s="159">
        <v>1261.98</v>
      </c>
      <c r="G3285" s="160" t="s">
        <v>2</v>
      </c>
    </row>
    <row r="3286" spans="1:7" ht="12.75" customHeight="1">
      <c r="A3286" s="160">
        <v>7</v>
      </c>
      <c r="B3286" s="160" t="s">
        <v>4871</v>
      </c>
      <c r="C3286" s="157" t="s">
        <v>927</v>
      </c>
      <c r="D3286" s="159">
        <v>3.4</v>
      </c>
      <c r="E3286" s="159">
        <v>260.08999999999997</v>
      </c>
      <c r="F3286" s="159">
        <v>884.31</v>
      </c>
      <c r="G3286" s="160" t="s">
        <v>5435</v>
      </c>
    </row>
    <row r="3287" spans="1:7" ht="12.75" customHeight="1">
      <c r="A3287" s="160">
        <v>8</v>
      </c>
      <c r="B3287" s="160" t="s">
        <v>2773</v>
      </c>
      <c r="C3287" s="157" t="s">
        <v>927</v>
      </c>
      <c r="D3287" s="159">
        <v>3.4</v>
      </c>
      <c r="E3287" s="159">
        <v>371.17</v>
      </c>
      <c r="F3287" s="159">
        <v>1261.98</v>
      </c>
      <c r="G3287" s="160" t="s">
        <v>2</v>
      </c>
    </row>
    <row r="3288" spans="1:7" ht="12.75" customHeight="1">
      <c r="A3288" s="160">
        <v>9</v>
      </c>
      <c r="B3288" s="160" t="s">
        <v>2775</v>
      </c>
      <c r="C3288" s="157" t="s">
        <v>14</v>
      </c>
      <c r="D3288" s="159">
        <v>1</v>
      </c>
      <c r="E3288" s="159">
        <v>160.78</v>
      </c>
      <c r="F3288" s="159">
        <v>160.78</v>
      </c>
      <c r="G3288" s="160" t="s">
        <v>2</v>
      </c>
    </row>
    <row r="3289" spans="1:7" ht="12.75" customHeight="1">
      <c r="A3289" s="160">
        <v>10</v>
      </c>
      <c r="B3289" s="160" t="s">
        <v>931</v>
      </c>
      <c r="C3289" s="157" t="s">
        <v>14</v>
      </c>
      <c r="D3289" s="159">
        <v>1</v>
      </c>
      <c r="E3289" s="159">
        <v>248.01</v>
      </c>
      <c r="F3289" s="159">
        <v>248.01</v>
      </c>
      <c r="G3289" s="160" t="s">
        <v>2</v>
      </c>
    </row>
    <row r="3290" spans="1:7" ht="12.75" customHeight="1">
      <c r="A3290" s="160"/>
      <c r="B3290" s="160" t="s">
        <v>933</v>
      </c>
      <c r="C3290" s="157" t="s">
        <v>3</v>
      </c>
      <c r="D3290" s="159">
        <v>10</v>
      </c>
      <c r="E3290" s="159"/>
      <c r="F3290" s="159">
        <v>8514.9600000000009</v>
      </c>
      <c r="G3290" s="160"/>
    </row>
    <row r="3291" spans="1:7" ht="12.75" customHeight="1">
      <c r="A3291" s="160"/>
      <c r="B3291" s="160" t="s">
        <v>934</v>
      </c>
      <c r="C3291" s="157" t="s">
        <v>3</v>
      </c>
      <c r="D3291" s="159"/>
      <c r="E3291" s="159"/>
      <c r="F3291" s="159">
        <v>851.5</v>
      </c>
      <c r="G3291" s="160"/>
    </row>
    <row r="3292" spans="1:7" ht="12.75" customHeight="1">
      <c r="A3292" s="160"/>
      <c r="B3292" s="160"/>
      <c r="C3292" s="157"/>
      <c r="D3292" s="159"/>
      <c r="E3292" s="159"/>
      <c r="F3292" s="159"/>
      <c r="G3292" s="160"/>
    </row>
    <row r="3293" spans="1:7" ht="12.75" customHeight="1">
      <c r="A3293" s="160" t="s">
        <v>5052</v>
      </c>
      <c r="B3293" s="160" t="s">
        <v>2778</v>
      </c>
      <c r="C3293" s="157" t="s">
        <v>3</v>
      </c>
      <c r="D3293" s="159">
        <v>10</v>
      </c>
      <c r="E3293" s="159">
        <v>604.72</v>
      </c>
      <c r="F3293" s="159"/>
      <c r="G3293" s="160" t="s">
        <v>2</v>
      </c>
    </row>
    <row r="3294" spans="1:7" ht="12.75" customHeight="1">
      <c r="A3294" s="160">
        <v>1</v>
      </c>
      <c r="B3294" s="160" t="s">
        <v>2765</v>
      </c>
      <c r="C3294" s="157" t="s">
        <v>18</v>
      </c>
      <c r="D3294" s="159">
        <v>43</v>
      </c>
      <c r="E3294" s="159">
        <v>98.35</v>
      </c>
      <c r="F3294" s="159">
        <v>4229.05</v>
      </c>
      <c r="G3294" s="160" t="s">
        <v>2</v>
      </c>
    </row>
    <row r="3295" spans="1:7" ht="12.75" customHeight="1">
      <c r="A3295" s="160">
        <v>2</v>
      </c>
      <c r="B3295" s="160" t="s">
        <v>2767</v>
      </c>
      <c r="C3295" s="157" t="s">
        <v>18</v>
      </c>
      <c r="D3295" s="159">
        <v>11</v>
      </c>
      <c r="E3295" s="159">
        <v>14.93</v>
      </c>
      <c r="F3295" s="159">
        <v>164.23</v>
      </c>
      <c r="G3295" s="160" t="s">
        <v>2</v>
      </c>
    </row>
    <row r="3296" spans="1:7" ht="12.75" customHeight="1">
      <c r="A3296" s="160">
        <v>3</v>
      </c>
      <c r="B3296" s="160" t="s">
        <v>2716</v>
      </c>
      <c r="C3296" s="157" t="s">
        <v>18</v>
      </c>
      <c r="D3296" s="159">
        <v>1.4</v>
      </c>
      <c r="E3296" s="159">
        <v>18.72</v>
      </c>
      <c r="F3296" s="159">
        <v>26.21</v>
      </c>
      <c r="G3296" s="160" t="s">
        <v>2</v>
      </c>
    </row>
    <row r="3297" spans="1:9" ht="12.75" customHeight="1">
      <c r="A3297" s="160">
        <v>4</v>
      </c>
      <c r="B3297" s="160" t="s">
        <v>2769</v>
      </c>
      <c r="C3297" s="157" t="s">
        <v>18</v>
      </c>
      <c r="D3297" s="159">
        <v>2</v>
      </c>
      <c r="E3297" s="159">
        <v>60.53</v>
      </c>
      <c r="F3297" s="159">
        <v>121.06</v>
      </c>
      <c r="G3297" s="160" t="s">
        <v>2</v>
      </c>
    </row>
    <row r="3298" spans="1:9" ht="12.75" customHeight="1">
      <c r="A3298" s="160">
        <v>5</v>
      </c>
      <c r="B3298" s="160" t="s">
        <v>2771</v>
      </c>
      <c r="C3298" s="157" t="s">
        <v>927</v>
      </c>
      <c r="D3298" s="159">
        <v>1.25</v>
      </c>
      <c r="E3298" s="159">
        <v>46.28</v>
      </c>
      <c r="F3298" s="159">
        <v>57.85</v>
      </c>
      <c r="G3298" s="160" t="s">
        <v>2</v>
      </c>
    </row>
    <row r="3299" spans="1:9" ht="12.75" customHeight="1">
      <c r="A3299" s="160">
        <v>6</v>
      </c>
      <c r="B3299" s="160" t="s">
        <v>2718</v>
      </c>
      <c r="C3299" s="157" t="s">
        <v>927</v>
      </c>
      <c r="D3299" s="159">
        <v>1.25</v>
      </c>
      <c r="E3299" s="159">
        <v>371.17</v>
      </c>
      <c r="F3299" s="159">
        <v>463.96</v>
      </c>
      <c r="G3299" s="160" t="s">
        <v>2</v>
      </c>
    </row>
    <row r="3300" spans="1:9" ht="12.75" customHeight="1">
      <c r="A3300" s="160">
        <v>7</v>
      </c>
      <c r="B3300" s="160" t="s">
        <v>4871</v>
      </c>
      <c r="C3300" s="157" t="s">
        <v>927</v>
      </c>
      <c r="D3300" s="159">
        <v>1.25</v>
      </c>
      <c r="E3300" s="159">
        <v>260.08999999999997</v>
      </c>
      <c r="F3300" s="159">
        <v>325.11</v>
      </c>
      <c r="G3300" s="160" t="s">
        <v>5435</v>
      </c>
    </row>
    <row r="3301" spans="1:9" ht="12.75" customHeight="1">
      <c r="A3301" s="160">
        <v>8</v>
      </c>
      <c r="B3301" s="160" t="s">
        <v>2773</v>
      </c>
      <c r="C3301" s="157" t="s">
        <v>927</v>
      </c>
      <c r="D3301" s="159">
        <v>1.25</v>
      </c>
      <c r="E3301" s="159">
        <v>371.17</v>
      </c>
      <c r="F3301" s="159">
        <v>463.96</v>
      </c>
      <c r="G3301" s="160" t="s">
        <v>2</v>
      </c>
    </row>
    <row r="3302" spans="1:9" ht="12.75" customHeight="1">
      <c r="A3302" s="160">
        <v>9</v>
      </c>
      <c r="B3302" s="160" t="s">
        <v>2775</v>
      </c>
      <c r="C3302" s="157" t="s">
        <v>14</v>
      </c>
      <c r="D3302" s="159">
        <v>1</v>
      </c>
      <c r="E3302" s="159">
        <v>19.62</v>
      </c>
      <c r="F3302" s="159">
        <v>19.62</v>
      </c>
      <c r="G3302" s="160" t="s">
        <v>2</v>
      </c>
    </row>
    <row r="3303" spans="1:9" ht="12.75" customHeight="1">
      <c r="A3303" s="160">
        <v>10</v>
      </c>
      <c r="B3303" s="160" t="s">
        <v>931</v>
      </c>
      <c r="C3303" s="157" t="s">
        <v>14</v>
      </c>
      <c r="D3303" s="159">
        <v>1</v>
      </c>
      <c r="E3303" s="159">
        <v>176.13</v>
      </c>
      <c r="F3303" s="159">
        <v>176.13</v>
      </c>
      <c r="G3303" s="160" t="s">
        <v>2</v>
      </c>
    </row>
    <row r="3304" spans="1:9" ht="12.75" customHeight="1">
      <c r="A3304" s="160"/>
      <c r="B3304" s="160" t="s">
        <v>933</v>
      </c>
      <c r="C3304" s="157" t="s">
        <v>3</v>
      </c>
      <c r="D3304" s="159">
        <v>10</v>
      </c>
      <c r="E3304" s="159"/>
      <c r="F3304" s="159">
        <v>6047.18</v>
      </c>
      <c r="G3304" s="160"/>
    </row>
    <row r="3305" spans="1:9" ht="12.75" customHeight="1">
      <c r="A3305" s="160"/>
      <c r="B3305" s="160" t="s">
        <v>934</v>
      </c>
      <c r="C3305" s="157" t="s">
        <v>3</v>
      </c>
      <c r="D3305" s="159"/>
      <c r="E3305" s="159"/>
      <c r="F3305" s="159">
        <v>604.72</v>
      </c>
      <c r="G3305" s="160"/>
    </row>
    <row r="3306" spans="1:9" ht="12.75" customHeight="1">
      <c r="A3306" s="160"/>
      <c r="B3306" s="160"/>
      <c r="C3306" s="157"/>
      <c r="D3306" s="159"/>
      <c r="E3306" s="159"/>
      <c r="F3306" s="159"/>
      <c r="G3306" s="160"/>
    </row>
    <row r="3307" spans="1:9" ht="12.75" customHeight="1">
      <c r="A3307" s="1289" t="s">
        <v>5053</v>
      </c>
      <c r="B3307" s="1289" t="s">
        <v>1761</v>
      </c>
      <c r="C3307" s="1288" t="s">
        <v>0</v>
      </c>
      <c r="D3307" s="1287">
        <v>1</v>
      </c>
      <c r="E3307" s="1287">
        <v>26160</v>
      </c>
      <c r="F3307" s="1287"/>
      <c r="G3307" s="1286" t="s">
        <v>2</v>
      </c>
      <c r="H3307" s="1285" t="s">
        <v>925</v>
      </c>
      <c r="I3307" s="1285"/>
    </row>
    <row r="3308" spans="1:9" ht="12.75" customHeight="1">
      <c r="A3308" s="1289">
        <v>1</v>
      </c>
      <c r="B3308" s="1289" t="s">
        <v>5550</v>
      </c>
      <c r="C3308" s="1288" t="s">
        <v>1295</v>
      </c>
      <c r="D3308" s="1287">
        <v>80</v>
      </c>
      <c r="E3308" s="1287">
        <v>287.93</v>
      </c>
      <c r="F3308" s="1287">
        <v>23034.400000000001</v>
      </c>
      <c r="G3308" s="1286" t="s">
        <v>2</v>
      </c>
      <c r="H3308" s="1285" t="s">
        <v>925</v>
      </c>
      <c r="I3308" s="1285"/>
    </row>
    <row r="3309" spans="1:9" ht="12.75" customHeight="1">
      <c r="A3309" s="1289">
        <v>2</v>
      </c>
      <c r="B3309" s="1289" t="s">
        <v>5549</v>
      </c>
      <c r="C3309" s="1288" t="s">
        <v>14</v>
      </c>
      <c r="D3309" s="1287">
        <v>1</v>
      </c>
      <c r="E3309" s="1287">
        <v>1324.48</v>
      </c>
      <c r="F3309" s="1287">
        <v>1324.48</v>
      </c>
      <c r="G3309" s="1286" t="s">
        <v>2</v>
      </c>
      <c r="H3309" s="1285" t="s">
        <v>925</v>
      </c>
      <c r="I3309" s="1285"/>
    </row>
    <row r="3310" spans="1:9" ht="12.75" customHeight="1">
      <c r="A3310" s="1289">
        <v>3</v>
      </c>
      <c r="B3310" s="1289" t="s">
        <v>4871</v>
      </c>
      <c r="C3310" s="1288" t="s">
        <v>927</v>
      </c>
      <c r="D3310" s="1287">
        <v>4</v>
      </c>
      <c r="E3310" s="1287">
        <v>260.08999999999997</v>
      </c>
      <c r="F3310" s="1287">
        <v>1040.3599999999999</v>
      </c>
      <c r="G3310" s="1286" t="s">
        <v>5435</v>
      </c>
      <c r="H3310" s="1285" t="s">
        <v>925</v>
      </c>
      <c r="I3310" s="1285"/>
    </row>
    <row r="3311" spans="1:9" ht="12.75" customHeight="1">
      <c r="A3311" s="1289">
        <v>4</v>
      </c>
      <c r="B3311" s="1289" t="s">
        <v>931</v>
      </c>
      <c r="C3311" s="1288" t="s">
        <v>14</v>
      </c>
      <c r="D3311" s="1287">
        <v>1</v>
      </c>
      <c r="E3311" s="1287">
        <v>760.76</v>
      </c>
      <c r="F3311" s="1287">
        <v>760.76</v>
      </c>
      <c r="G3311" s="1286" t="s">
        <v>2</v>
      </c>
      <c r="H3311" s="1285" t="s">
        <v>925</v>
      </c>
      <c r="I3311" s="1285"/>
    </row>
    <row r="3312" spans="1:9" ht="12.75" customHeight="1">
      <c r="A3312" s="1289"/>
      <c r="B3312" s="1289" t="s">
        <v>933</v>
      </c>
      <c r="C3312" s="1288" t="s">
        <v>0</v>
      </c>
      <c r="D3312" s="1287">
        <v>1</v>
      </c>
      <c r="E3312" s="1287"/>
      <c r="F3312" s="1287">
        <v>26160</v>
      </c>
      <c r="G3312" s="1286"/>
      <c r="H3312" s="1285" t="s">
        <v>925</v>
      </c>
      <c r="I3312" s="1285"/>
    </row>
    <row r="3313" spans="1:9" ht="12.75" customHeight="1">
      <c r="A3313" s="1289"/>
      <c r="B3313" s="1289" t="s">
        <v>934</v>
      </c>
      <c r="C3313" s="1288" t="s">
        <v>0</v>
      </c>
      <c r="D3313" s="1287"/>
      <c r="E3313" s="1287"/>
      <c r="F3313" s="1287">
        <v>26160</v>
      </c>
      <c r="G3313" s="1286"/>
      <c r="H3313" s="1285" t="s">
        <v>925</v>
      </c>
      <c r="I3313" s="1285"/>
    </row>
    <row r="3314" spans="1:9" ht="12.75" customHeight="1">
      <c r="A3314" s="1289"/>
      <c r="B3314" s="1289"/>
      <c r="C3314" s="1288"/>
      <c r="D3314" s="1287"/>
      <c r="E3314" s="1287"/>
      <c r="F3314" s="1287"/>
      <c r="G3314" s="1286"/>
      <c r="H3314" s="1285"/>
      <c r="I3314" s="1285"/>
    </row>
    <row r="3315" spans="1:9" ht="12.75" customHeight="1">
      <c r="A3315" s="1289" t="s">
        <v>5054</v>
      </c>
      <c r="B3315" s="1289" t="s">
        <v>5543</v>
      </c>
      <c r="C3315" s="1288" t="s">
        <v>17</v>
      </c>
      <c r="D3315" s="1287">
        <v>108</v>
      </c>
      <c r="E3315" s="1287">
        <v>1925</v>
      </c>
      <c r="F3315" s="1287"/>
      <c r="G3315" s="1286" t="s">
        <v>2</v>
      </c>
      <c r="H3315" s="1285" t="s">
        <v>925</v>
      </c>
      <c r="I3315" s="1285"/>
    </row>
    <row r="3316" spans="1:9" ht="12.75" customHeight="1">
      <c r="A3316" s="1289">
        <v>1</v>
      </c>
      <c r="B3316" s="1289" t="s">
        <v>3003</v>
      </c>
      <c r="C3316" s="1288" t="s">
        <v>927</v>
      </c>
      <c r="D3316" s="1287">
        <v>80</v>
      </c>
      <c r="E3316" s="1287">
        <v>410</v>
      </c>
      <c r="F3316" s="1287">
        <v>32800</v>
      </c>
      <c r="G3316" s="1286" t="s">
        <v>4364</v>
      </c>
      <c r="H3316" s="1285" t="s">
        <v>925</v>
      </c>
      <c r="I3316" s="1285"/>
    </row>
    <row r="3317" spans="1:9" ht="12.75" customHeight="1">
      <c r="A3317" s="1289">
        <v>2</v>
      </c>
      <c r="B3317" s="1289" t="s">
        <v>3001</v>
      </c>
      <c r="C3317" s="1288" t="s">
        <v>927</v>
      </c>
      <c r="D3317" s="1287">
        <v>120</v>
      </c>
      <c r="E3317" s="1287">
        <v>281</v>
      </c>
      <c r="F3317" s="1287">
        <v>33720</v>
      </c>
      <c r="G3317" s="1286" t="s">
        <v>4364</v>
      </c>
      <c r="H3317" s="1285" t="s">
        <v>925</v>
      </c>
      <c r="I3317" s="1285"/>
    </row>
    <row r="3318" spans="1:9" ht="12.75" customHeight="1">
      <c r="A3318" s="1289">
        <v>3</v>
      </c>
      <c r="B3318" s="1289" t="s">
        <v>5548</v>
      </c>
      <c r="C3318" s="1288" t="s">
        <v>2447</v>
      </c>
      <c r="D3318" s="1287">
        <v>5</v>
      </c>
      <c r="E3318" s="1287">
        <v>2868.75</v>
      </c>
      <c r="F3318" s="1287">
        <v>14343.75</v>
      </c>
      <c r="G3318" s="1286" t="s">
        <v>2</v>
      </c>
      <c r="H3318" s="1285" t="s">
        <v>925</v>
      </c>
      <c r="I3318" s="1285"/>
    </row>
    <row r="3319" spans="1:9" ht="12.75" customHeight="1">
      <c r="A3319" s="1289">
        <v>4</v>
      </c>
      <c r="B3319" s="1289" t="s">
        <v>1056</v>
      </c>
      <c r="C3319" s="1288" t="s">
        <v>927</v>
      </c>
      <c r="D3319" s="1287">
        <v>40</v>
      </c>
      <c r="E3319" s="1287">
        <v>714.56</v>
      </c>
      <c r="F3319" s="1287">
        <v>28582.400000000001</v>
      </c>
      <c r="G3319" s="1286" t="s">
        <v>2</v>
      </c>
      <c r="H3319" s="1285" t="s">
        <v>925</v>
      </c>
      <c r="I3319" s="1285"/>
    </row>
    <row r="3320" spans="1:9" ht="12.75" customHeight="1">
      <c r="A3320" s="1289">
        <v>5</v>
      </c>
      <c r="B3320" s="1289" t="s">
        <v>1078</v>
      </c>
      <c r="C3320" s="1288" t="s">
        <v>927</v>
      </c>
      <c r="D3320" s="1287">
        <v>40</v>
      </c>
      <c r="E3320" s="1287">
        <v>401</v>
      </c>
      <c r="F3320" s="1287">
        <v>16040</v>
      </c>
      <c r="G3320" s="1286" t="s">
        <v>4364</v>
      </c>
      <c r="H3320" s="1285" t="s">
        <v>925</v>
      </c>
      <c r="I3320" s="1285"/>
    </row>
    <row r="3321" spans="1:9" ht="12.75" customHeight="1">
      <c r="A3321" s="1289">
        <v>6</v>
      </c>
      <c r="B3321" s="1289" t="s">
        <v>5547</v>
      </c>
      <c r="C3321" s="1288" t="s">
        <v>2447</v>
      </c>
      <c r="D3321" s="1287">
        <v>2</v>
      </c>
      <c r="E3321" s="1287">
        <v>38250.050000000003</v>
      </c>
      <c r="F3321" s="1287">
        <v>76500.100000000006</v>
      </c>
      <c r="G3321" s="1286" t="s">
        <v>2</v>
      </c>
      <c r="H3321" s="1285" t="s">
        <v>925</v>
      </c>
      <c r="I3321" s="1285"/>
    </row>
    <row r="3322" spans="1:9" ht="12.75" customHeight="1">
      <c r="A3322" s="1289">
        <v>7</v>
      </c>
      <c r="B3322" s="1289" t="s">
        <v>931</v>
      </c>
      <c r="C3322" s="1288" t="s">
        <v>14</v>
      </c>
      <c r="D3322" s="1287">
        <v>1</v>
      </c>
      <c r="E3322" s="1287">
        <v>5913.75</v>
      </c>
      <c r="F3322" s="1287">
        <v>5913.75</v>
      </c>
      <c r="G3322" s="1286" t="s">
        <v>2</v>
      </c>
      <c r="H3322" s="1285" t="s">
        <v>925</v>
      </c>
      <c r="I3322" s="1285"/>
    </row>
    <row r="3323" spans="1:9" ht="12.75" customHeight="1">
      <c r="A3323" s="1289"/>
      <c r="B3323" s="1289" t="s">
        <v>933</v>
      </c>
      <c r="C3323" s="1288" t="s">
        <v>17</v>
      </c>
      <c r="D3323" s="1287">
        <v>108</v>
      </c>
      <c r="E3323" s="1287"/>
      <c r="F3323" s="1287">
        <v>207900</v>
      </c>
      <c r="G3323" s="1286"/>
      <c r="H3323" s="1285" t="s">
        <v>925</v>
      </c>
      <c r="I3323" s="1285"/>
    </row>
    <row r="3324" spans="1:9" ht="12.75" customHeight="1">
      <c r="A3324" s="1289"/>
      <c r="B3324" s="1289" t="s">
        <v>934</v>
      </c>
      <c r="C3324" s="1288" t="s">
        <v>17</v>
      </c>
      <c r="D3324" s="1287"/>
      <c r="E3324" s="1287"/>
      <c r="F3324" s="1287">
        <v>1925</v>
      </c>
      <c r="G3324" s="1286"/>
      <c r="H3324" s="1285" t="s">
        <v>925</v>
      </c>
      <c r="I3324" s="1285"/>
    </row>
    <row r="3325" spans="1:9" ht="12.75" customHeight="1">
      <c r="A3325" s="1289"/>
      <c r="B3325" s="1289"/>
      <c r="C3325" s="1288"/>
      <c r="D3325" s="1287"/>
      <c r="E3325" s="1287"/>
      <c r="F3325" s="1287"/>
      <c r="G3325" s="1286"/>
      <c r="H3325" s="1285"/>
      <c r="I3325" s="1285"/>
    </row>
    <row r="3326" spans="1:9" ht="12.75" customHeight="1">
      <c r="A3326" s="160" t="s">
        <v>5551</v>
      </c>
      <c r="B3326" s="160" t="s">
        <v>2781</v>
      </c>
      <c r="C3326" s="157" t="s">
        <v>2782</v>
      </c>
      <c r="D3326" s="159">
        <v>1000</v>
      </c>
      <c r="E3326" s="159">
        <v>50.69</v>
      </c>
      <c r="F3326" s="159"/>
      <c r="G3326" s="160" t="s">
        <v>2</v>
      </c>
    </row>
    <row r="3327" spans="1:9" ht="12.75" customHeight="1">
      <c r="A3327" s="160">
        <v>1</v>
      </c>
      <c r="B3327" s="160" t="s">
        <v>4871</v>
      </c>
      <c r="C3327" s="157" t="s">
        <v>927</v>
      </c>
      <c r="D3327" s="159">
        <v>189.2</v>
      </c>
      <c r="E3327" s="159">
        <v>260.08999999999997</v>
      </c>
      <c r="F3327" s="159">
        <v>49209.03</v>
      </c>
      <c r="G3327" s="160" t="s">
        <v>2</v>
      </c>
    </row>
    <row r="3328" spans="1:9" ht="12.75" customHeight="1">
      <c r="A3328" s="160">
        <v>2</v>
      </c>
      <c r="B3328" s="160" t="s">
        <v>931</v>
      </c>
      <c r="C3328" s="157" t="s">
        <v>14</v>
      </c>
      <c r="D3328" s="159">
        <v>1</v>
      </c>
      <c r="E3328" s="159">
        <v>1476.27</v>
      </c>
      <c r="F3328" s="159">
        <v>1476.27</v>
      </c>
      <c r="G3328" s="160" t="s">
        <v>2</v>
      </c>
    </row>
    <row r="3329" spans="1:7" ht="12.75" customHeight="1">
      <c r="A3329" s="160"/>
      <c r="B3329" s="160" t="s">
        <v>933</v>
      </c>
      <c r="C3329" s="157" t="s">
        <v>2782</v>
      </c>
      <c r="D3329" s="159">
        <v>1000</v>
      </c>
      <c r="E3329" s="159"/>
      <c r="F3329" s="159">
        <v>50685.299999999996</v>
      </c>
      <c r="G3329" s="160"/>
    </row>
    <row r="3330" spans="1:7" ht="12.75" customHeight="1">
      <c r="A3330" s="160"/>
      <c r="B3330" s="160" t="s">
        <v>934</v>
      </c>
      <c r="C3330" s="157" t="s">
        <v>2782</v>
      </c>
      <c r="D3330" s="159"/>
      <c r="E3330" s="159"/>
      <c r="F3330" s="159">
        <v>50.69</v>
      </c>
      <c r="G3330" s="160"/>
    </row>
    <row r="3331" spans="1:7" ht="12.75" customHeight="1">
      <c r="A3331" s="160"/>
      <c r="B3331" s="160"/>
      <c r="C3331" s="157"/>
      <c r="D3331" s="159"/>
      <c r="E3331" s="159"/>
      <c r="F3331" s="159"/>
      <c r="G3331" s="160"/>
    </row>
    <row r="3332" spans="1:7" ht="12.75" customHeight="1">
      <c r="A3332" s="160" t="s">
        <v>5552</v>
      </c>
      <c r="B3332" s="160" t="s">
        <v>2785</v>
      </c>
      <c r="C3332" s="157" t="s">
        <v>2786</v>
      </c>
      <c r="D3332" s="159">
        <v>12</v>
      </c>
      <c r="E3332" s="159">
        <v>12789.97</v>
      </c>
      <c r="F3332" s="159"/>
      <c r="G3332" s="160" t="s">
        <v>2</v>
      </c>
    </row>
    <row r="3333" spans="1:7" ht="12.75" customHeight="1">
      <c r="A3333" s="160">
        <v>1</v>
      </c>
      <c r="B3333" s="160" t="s">
        <v>1038</v>
      </c>
      <c r="C3333" s="157" t="s">
        <v>927</v>
      </c>
      <c r="D3333" s="159">
        <v>375</v>
      </c>
      <c r="E3333" s="159">
        <v>64.790000000000006</v>
      </c>
      <c r="F3333" s="159">
        <v>24296.25</v>
      </c>
      <c r="G3333" s="160" t="s">
        <v>2</v>
      </c>
    </row>
    <row r="3334" spans="1:7" ht="12.75" customHeight="1">
      <c r="A3334" s="160">
        <v>2</v>
      </c>
      <c r="B3334" s="160" t="s">
        <v>5055</v>
      </c>
      <c r="C3334" s="157" t="s">
        <v>927</v>
      </c>
      <c r="D3334" s="159">
        <v>336</v>
      </c>
      <c r="E3334" s="159">
        <v>371.17</v>
      </c>
      <c r="F3334" s="159">
        <v>124713.12</v>
      </c>
      <c r="G3334" s="160" t="s">
        <v>5474</v>
      </c>
    </row>
    <row r="3335" spans="1:7" ht="12.75" customHeight="1">
      <c r="A3335" s="160">
        <v>3</v>
      </c>
      <c r="B3335" s="160" t="s">
        <v>931</v>
      </c>
      <c r="C3335" s="157" t="s">
        <v>14</v>
      </c>
      <c r="D3335" s="159">
        <v>1</v>
      </c>
      <c r="E3335" s="159">
        <v>4470.28</v>
      </c>
      <c r="F3335" s="159">
        <v>4470.28</v>
      </c>
      <c r="G3335" s="160" t="s">
        <v>2</v>
      </c>
    </row>
    <row r="3336" spans="1:7" ht="12.75" customHeight="1">
      <c r="A3336" s="160"/>
      <c r="B3336" s="160" t="s">
        <v>933</v>
      </c>
      <c r="C3336" s="157" t="s">
        <v>2786</v>
      </c>
      <c r="D3336" s="159">
        <v>12</v>
      </c>
      <c r="E3336" s="159"/>
      <c r="F3336" s="159">
        <v>153479.65</v>
      </c>
      <c r="G3336" s="160"/>
    </row>
    <row r="3337" spans="1:7" ht="12.75" customHeight="1">
      <c r="A3337" s="160"/>
      <c r="B3337" s="160" t="s">
        <v>934</v>
      </c>
      <c r="C3337" s="157" t="s">
        <v>2786</v>
      </c>
      <c r="D3337" s="159"/>
      <c r="E3337" s="159"/>
      <c r="F3337" s="159">
        <v>12789.97</v>
      </c>
      <c r="G3337" s="160"/>
    </row>
    <row r="3338" spans="1:7" ht="12.75" customHeight="1">
      <c r="A3338" s="160"/>
      <c r="B3338" s="160"/>
      <c r="C3338" s="157"/>
      <c r="D3338" s="159"/>
      <c r="E3338" s="159"/>
      <c r="F3338" s="159"/>
      <c r="G3338" s="160"/>
    </row>
  </sheetData>
  <sheetProtection autoFilter="0"/>
  <mergeCells count="5">
    <mergeCell ref="A1:G1"/>
    <mergeCell ref="A2:G2"/>
    <mergeCell ref="A3:G3"/>
    <mergeCell ref="A4:G4"/>
    <mergeCell ref="A5:G5"/>
  </mergeCells>
  <phoneticPr fontId="3" type="noConversion"/>
  <printOptions horizontalCentered="1"/>
  <pageMargins left="0.47244094488188981" right="0.31496062992125984" top="0.47244094488188981" bottom="0.78740157480314965" header="0.51181102362204722" footer="0.51181102362204722"/>
  <pageSetup paperSize="9" orientation="portrait" r:id="rId1"/>
  <headerFooter alignWithMargins="0">
    <oddHeader>&amp;R&amp;"標楷體,標準"
第&amp;"Times New Roman,標準"&amp;P&amp;"標楷體,標準"頁,共&amp;"Times New Roman,標準"&amp;N&amp;"標楷體,標準"頁 &amp;"新細明體,標準"          &amp;L&amp;G</oddHeader>
    <oddFooter xml:space="preserve">&amp;C&amp;"標楷體,標準"編製：　　　　　　　　　　　　　　　校核： </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8">
    <tabColor theme="5" tint="0.39997558519241921"/>
  </sheetPr>
  <dimension ref="A1:M548"/>
  <sheetViews>
    <sheetView zoomScale="130" zoomScaleNormal="130" workbookViewId="0">
      <selection activeCell="A6" sqref="A1:I1048576"/>
    </sheetView>
  </sheetViews>
  <sheetFormatPr defaultRowHeight="16.5"/>
  <cols>
    <col min="1" max="1" width="5.25" style="162" customWidth="1"/>
    <col min="2" max="2" width="26.25" style="162" customWidth="1"/>
    <col min="3" max="3" width="5.5" style="162" customWidth="1"/>
    <col min="4" max="4" width="5.875" style="163" customWidth="1"/>
    <col min="5" max="5" width="10.875" style="162" customWidth="1"/>
    <col min="6" max="6" width="5.875" style="164" customWidth="1"/>
    <col min="7" max="7" width="15.25" style="165" customWidth="1"/>
    <col min="8" max="8" width="14.375" style="1267" customWidth="1"/>
    <col min="9" max="9" width="4.125" style="11" bestFit="1" customWidth="1"/>
    <col min="10" max="10" width="9" hidden="1" customWidth="1"/>
  </cols>
  <sheetData>
    <row r="1" spans="1:10" s="4" customFormat="1" ht="16.5" customHeight="1">
      <c r="A1" s="1654" t="s">
        <v>914</v>
      </c>
      <c r="B1" s="1654"/>
      <c r="C1" s="1654"/>
      <c r="D1" s="1654"/>
      <c r="E1" s="1654"/>
      <c r="F1" s="1654"/>
      <c r="G1" s="1654"/>
      <c r="H1" s="1267"/>
      <c r="I1" s="11"/>
      <c r="J1" s="4" t="str">
        <f>A1</f>
        <v>臺北市政府工務局水利工程處</v>
      </c>
    </row>
    <row r="2" spans="1:10" s="4" customFormat="1" ht="16.5" customHeight="1">
      <c r="A2" s="1654" t="s">
        <v>2989</v>
      </c>
      <c r="B2" s="1654"/>
      <c r="C2" s="1654"/>
      <c r="D2" s="1654"/>
      <c r="E2" s="1654"/>
      <c r="F2" s="1654"/>
      <c r="G2" s="1654"/>
      <c r="H2" s="1267"/>
      <c r="I2" s="11"/>
      <c r="J2" s="4" t="str">
        <f t="shared" ref="J2:J65" si="0">A2</f>
        <v>詳 細 價 目 表</v>
      </c>
    </row>
    <row r="3" spans="1:10" s="4" customFormat="1" ht="16.5" customHeight="1">
      <c r="A3" s="1655"/>
      <c r="B3" s="1655"/>
      <c r="C3" s="1655"/>
      <c r="D3" s="1655"/>
      <c r="E3" s="1655"/>
      <c r="F3" s="1655"/>
      <c r="G3" s="1655"/>
      <c r="H3" s="1267"/>
      <c r="I3" s="11"/>
      <c r="J3" s="4">
        <f t="shared" si="0"/>
        <v>0</v>
      </c>
    </row>
    <row r="4" spans="1:10" s="4" customFormat="1" ht="17.100000000000001" customHeight="1">
      <c r="A4" s="1656" t="s">
        <v>5491</v>
      </c>
      <c r="B4" s="1656"/>
      <c r="C4" s="1656"/>
      <c r="D4" s="1656"/>
      <c r="E4" s="1656"/>
      <c r="F4" s="1656"/>
      <c r="G4" s="1656"/>
      <c r="H4" s="963" t="s">
        <v>5526</v>
      </c>
      <c r="I4" s="11"/>
      <c r="J4" s="4" t="str">
        <f t="shared" si="0"/>
        <v>工程名稱：114年度續約-113年度雨水下水道預約維護工程(中山、松山區)</v>
      </c>
    </row>
    <row r="5" spans="1:10" s="5" customFormat="1" ht="18" customHeight="1">
      <c r="A5" s="1660" t="s">
        <v>916</v>
      </c>
      <c r="B5" s="1660"/>
      <c r="C5" s="1660"/>
      <c r="D5" s="1660"/>
      <c r="E5" s="1660"/>
      <c r="F5" s="1661" t="s">
        <v>5492</v>
      </c>
      <c r="G5" s="1661"/>
      <c r="H5" s="1268"/>
      <c r="I5" s="669"/>
      <c r="J5" s="5" t="str">
        <f t="shared" si="0"/>
        <v>施工地點：臺北市中山、松山區</v>
      </c>
    </row>
    <row r="6" spans="1:10" s="4" customFormat="1" ht="33">
      <c r="A6" s="151" t="s">
        <v>10</v>
      </c>
      <c r="B6" s="152" t="s">
        <v>917</v>
      </c>
      <c r="C6" s="152" t="s">
        <v>12</v>
      </c>
      <c r="D6" s="153" t="s">
        <v>11</v>
      </c>
      <c r="E6" s="154" t="s">
        <v>918</v>
      </c>
      <c r="F6" s="155" t="s">
        <v>919</v>
      </c>
      <c r="G6" s="152" t="s">
        <v>920</v>
      </c>
      <c r="H6" s="1267"/>
      <c r="I6" s="11"/>
      <c r="J6" s="4" t="str">
        <f t="shared" si="0"/>
        <v>項次</v>
      </c>
    </row>
    <row r="7" spans="1:10" s="4" customFormat="1">
      <c r="A7" s="1265" t="s">
        <v>2991</v>
      </c>
      <c r="B7" s="8" t="s">
        <v>2992</v>
      </c>
      <c r="C7" s="157" t="s">
        <v>14</v>
      </c>
      <c r="D7" s="158">
        <v>1</v>
      </c>
      <c r="E7" s="159"/>
      <c r="F7" s="158">
        <v>13700000</v>
      </c>
      <c r="G7" s="160" t="s">
        <v>2</v>
      </c>
      <c r="H7" s="1267"/>
      <c r="I7" s="11"/>
      <c r="J7" s="4" t="str">
        <f t="shared" si="0"/>
        <v>壹</v>
      </c>
    </row>
    <row r="8" spans="1:10" s="4" customFormat="1">
      <c r="A8" s="1265" t="s">
        <v>2993</v>
      </c>
      <c r="B8" s="8" t="s">
        <v>2994</v>
      </c>
      <c r="C8" s="157" t="s">
        <v>14</v>
      </c>
      <c r="D8" s="158">
        <v>1</v>
      </c>
      <c r="E8" s="159"/>
      <c r="F8" s="158">
        <v>10636778.039999999</v>
      </c>
      <c r="G8" s="160" t="s">
        <v>2995</v>
      </c>
      <c r="H8" s="1267" t="s">
        <v>2894</v>
      </c>
      <c r="I8" s="11"/>
      <c r="J8" s="4" t="str">
        <f t="shared" si="0"/>
        <v>　一</v>
      </c>
    </row>
    <row r="9" spans="1:10" s="4" customFormat="1" ht="28.5">
      <c r="A9" s="1265" t="s">
        <v>28</v>
      </c>
      <c r="B9" s="8" t="s">
        <v>2996</v>
      </c>
      <c r="C9" s="157" t="s">
        <v>927</v>
      </c>
      <c r="D9" s="158">
        <v>100</v>
      </c>
      <c r="E9" s="159">
        <v>401</v>
      </c>
      <c r="F9" s="158">
        <v>40100</v>
      </c>
      <c r="G9" s="160" t="s">
        <v>2997</v>
      </c>
      <c r="H9" s="1269" t="str">
        <f>G9</f>
        <v>L0000051000Q1
[人力工項不打折]</v>
      </c>
      <c r="I9" s="670">
        <v>1</v>
      </c>
      <c r="J9" s="4" t="str">
        <f t="shared" si="0"/>
        <v>1.1</v>
      </c>
    </row>
    <row r="10" spans="1:10" s="4" customFormat="1" ht="28.5">
      <c r="A10" s="1265" t="s">
        <v>29</v>
      </c>
      <c r="B10" s="8" t="s">
        <v>2998</v>
      </c>
      <c r="C10" s="157" t="s">
        <v>927</v>
      </c>
      <c r="D10" s="158">
        <v>100</v>
      </c>
      <c r="E10" s="159">
        <v>401</v>
      </c>
      <c r="F10" s="158">
        <v>40100</v>
      </c>
      <c r="G10" s="160" t="s">
        <v>2999</v>
      </c>
      <c r="H10" s="1269" t="str">
        <f t="shared" ref="H10:H73" si="1">G10</f>
        <v>L000005301021
[人力工項不打折]</v>
      </c>
      <c r="I10" s="670">
        <v>2</v>
      </c>
      <c r="J10" s="4" t="str">
        <f t="shared" si="0"/>
        <v>1.2</v>
      </c>
    </row>
    <row r="11" spans="1:10" s="4" customFormat="1" ht="28.5">
      <c r="A11" s="1265" t="s">
        <v>30</v>
      </c>
      <c r="B11" s="8" t="s">
        <v>1078</v>
      </c>
      <c r="C11" s="157" t="s">
        <v>927</v>
      </c>
      <c r="D11" s="158">
        <v>100</v>
      </c>
      <c r="E11" s="159">
        <v>401</v>
      </c>
      <c r="F11" s="158">
        <v>40100</v>
      </c>
      <c r="G11" s="160" t="s">
        <v>3000</v>
      </c>
      <c r="H11" s="1269" t="str">
        <f t="shared" si="1"/>
        <v>L000005300061
[人力工項不打折]</v>
      </c>
      <c r="I11" s="670">
        <v>3</v>
      </c>
      <c r="J11" s="4" t="str">
        <f t="shared" si="0"/>
        <v>1.3</v>
      </c>
    </row>
    <row r="12" spans="1:10" s="4" customFormat="1" ht="28.5">
      <c r="A12" s="1265" t="s">
        <v>31</v>
      </c>
      <c r="B12" s="8" t="s">
        <v>3001</v>
      </c>
      <c r="C12" s="157" t="s">
        <v>927</v>
      </c>
      <c r="D12" s="158">
        <v>100</v>
      </c>
      <c r="E12" s="159">
        <v>281</v>
      </c>
      <c r="F12" s="158">
        <v>28100</v>
      </c>
      <c r="G12" s="160" t="s">
        <v>3002</v>
      </c>
      <c r="H12" s="1269" t="str">
        <f t="shared" si="1"/>
        <v>L000006A00001
[人力工項不打折]</v>
      </c>
      <c r="I12" s="670">
        <v>4</v>
      </c>
      <c r="J12" s="4" t="str">
        <f t="shared" si="0"/>
        <v>1.4</v>
      </c>
    </row>
    <row r="13" spans="1:10" s="4" customFormat="1" ht="28.5">
      <c r="A13" s="1265" t="s">
        <v>32</v>
      </c>
      <c r="B13" s="8" t="s">
        <v>3003</v>
      </c>
      <c r="C13" s="157" t="s">
        <v>927</v>
      </c>
      <c r="D13" s="158">
        <v>100</v>
      </c>
      <c r="E13" s="159">
        <v>410</v>
      </c>
      <c r="F13" s="158">
        <v>41000</v>
      </c>
      <c r="G13" s="160" t="s">
        <v>3004</v>
      </c>
      <c r="H13" s="1269" t="str">
        <f t="shared" si="1"/>
        <v>L000005000301
[人力工項不打折]</v>
      </c>
      <c r="I13" s="670">
        <v>5</v>
      </c>
      <c r="J13" s="4" t="str">
        <f t="shared" si="0"/>
        <v>1.5</v>
      </c>
    </row>
    <row r="14" spans="1:10" s="4" customFormat="1" ht="28.5">
      <c r="A14" s="1265" t="s">
        <v>33</v>
      </c>
      <c r="B14" s="8" t="s">
        <v>4408</v>
      </c>
      <c r="C14" s="157" t="s">
        <v>927</v>
      </c>
      <c r="D14" s="158">
        <v>100</v>
      </c>
      <c r="E14" s="159">
        <v>820</v>
      </c>
      <c r="F14" s="158">
        <v>82000</v>
      </c>
      <c r="G14" s="160" t="s">
        <v>4409</v>
      </c>
      <c r="H14" s="1269" t="str">
        <f t="shared" si="1"/>
        <v>L000005020301
[人力工項不打折]</v>
      </c>
      <c r="I14" s="670">
        <v>6</v>
      </c>
      <c r="J14" s="4" t="str">
        <f t="shared" si="0"/>
        <v>1.6</v>
      </c>
    </row>
    <row r="15" spans="1:10" s="4" customFormat="1" ht="28.5">
      <c r="A15" s="1265" t="s">
        <v>34</v>
      </c>
      <c r="B15" s="8" t="s">
        <v>4410</v>
      </c>
      <c r="C15" s="157" t="s">
        <v>927</v>
      </c>
      <c r="D15" s="158">
        <v>100</v>
      </c>
      <c r="E15" s="159">
        <v>802</v>
      </c>
      <c r="F15" s="158">
        <v>80200</v>
      </c>
      <c r="G15" s="160" t="s">
        <v>4411</v>
      </c>
      <c r="H15" s="1269" t="str">
        <f t="shared" si="1"/>
        <v>L0000051020Q1
[人力工項不打折]</v>
      </c>
      <c r="I15" s="670">
        <v>7</v>
      </c>
      <c r="J15" s="4" t="str">
        <f t="shared" si="0"/>
        <v>1.7</v>
      </c>
    </row>
    <row r="16" spans="1:10" s="4" customFormat="1" ht="28.5">
      <c r="A16" s="1265" t="s">
        <v>35</v>
      </c>
      <c r="B16" s="8" t="s">
        <v>4412</v>
      </c>
      <c r="C16" s="157" t="s">
        <v>927</v>
      </c>
      <c r="D16" s="158">
        <v>100</v>
      </c>
      <c r="E16" s="159">
        <v>802</v>
      </c>
      <c r="F16" s="158">
        <v>80200</v>
      </c>
      <c r="G16" s="160" t="s">
        <v>4413</v>
      </c>
      <c r="H16" s="1269" t="str">
        <f t="shared" si="1"/>
        <v>L000005302061
[人力工項不打折]</v>
      </c>
      <c r="I16" s="670">
        <v>8</v>
      </c>
      <c r="J16" s="4" t="str">
        <f t="shared" si="0"/>
        <v>1.8</v>
      </c>
    </row>
    <row r="17" spans="1:10" s="4" customFormat="1" ht="28.5">
      <c r="A17" s="1265" t="s">
        <v>36</v>
      </c>
      <c r="B17" s="8" t="s">
        <v>4414</v>
      </c>
      <c r="C17" s="157" t="s">
        <v>927</v>
      </c>
      <c r="D17" s="158">
        <v>100</v>
      </c>
      <c r="E17" s="159">
        <v>562</v>
      </c>
      <c r="F17" s="158">
        <v>56200</v>
      </c>
      <c r="G17" s="160" t="s">
        <v>4415</v>
      </c>
      <c r="H17" s="1269" t="str">
        <f t="shared" si="1"/>
        <v>L000006A02001
[人力工項不打折]</v>
      </c>
      <c r="I17" s="670">
        <v>9</v>
      </c>
      <c r="J17" s="4" t="str">
        <f t="shared" si="0"/>
        <v>1.9</v>
      </c>
    </row>
    <row r="18" spans="1:10" s="4" customFormat="1" ht="28.5">
      <c r="A18" s="1265" t="s">
        <v>37</v>
      </c>
      <c r="B18" s="8" t="s">
        <v>3005</v>
      </c>
      <c r="C18" s="157" t="s">
        <v>927</v>
      </c>
      <c r="D18" s="158">
        <v>20</v>
      </c>
      <c r="E18" s="159">
        <v>1122.7</v>
      </c>
      <c r="F18" s="158">
        <v>22454</v>
      </c>
      <c r="G18" s="160" t="s">
        <v>3006</v>
      </c>
      <c r="H18" s="1269" t="str">
        <f t="shared" si="1"/>
        <v xml:space="preserve">E000002500BA1
</v>
      </c>
      <c r="I18" s="670">
        <v>10</v>
      </c>
      <c r="J18" s="4" t="str">
        <f t="shared" si="0"/>
        <v>1.10</v>
      </c>
    </row>
    <row r="19" spans="1:10" s="4" customFormat="1" ht="28.5">
      <c r="A19" s="1265" t="s">
        <v>38</v>
      </c>
      <c r="B19" s="8" t="s">
        <v>4065</v>
      </c>
      <c r="C19" s="157" t="s">
        <v>927</v>
      </c>
      <c r="D19" s="158">
        <v>20</v>
      </c>
      <c r="E19" s="159">
        <v>767.01</v>
      </c>
      <c r="F19" s="158">
        <v>15340.2</v>
      </c>
      <c r="G19" s="160" t="s">
        <v>1057</v>
      </c>
      <c r="H19" s="1269" t="str">
        <f t="shared" si="1"/>
        <v xml:space="preserve">E000002880001
</v>
      </c>
      <c r="I19" s="670">
        <v>11</v>
      </c>
      <c r="J19" s="4" t="str">
        <f t="shared" si="0"/>
        <v>1.11</v>
      </c>
    </row>
    <row r="20" spans="1:10" s="4" customFormat="1" ht="28.5">
      <c r="A20" s="1265" t="s">
        <v>39</v>
      </c>
      <c r="B20" s="8" t="s">
        <v>5475</v>
      </c>
      <c r="C20" s="157" t="s">
        <v>927</v>
      </c>
      <c r="D20" s="158">
        <v>20</v>
      </c>
      <c r="E20" s="159">
        <v>397.42</v>
      </c>
      <c r="F20" s="158">
        <v>7948.4</v>
      </c>
      <c r="G20" s="160" t="s">
        <v>1077</v>
      </c>
      <c r="H20" s="1269" t="str">
        <f t="shared" si="1"/>
        <v xml:space="preserve">E000003903001
</v>
      </c>
      <c r="I20" s="670">
        <v>12</v>
      </c>
      <c r="J20" s="4" t="str">
        <f t="shared" si="0"/>
        <v>1.12</v>
      </c>
    </row>
    <row r="21" spans="1:10" s="4" customFormat="1" ht="28.5">
      <c r="A21" s="1265" t="s">
        <v>40</v>
      </c>
      <c r="B21" s="8" t="s">
        <v>1084</v>
      </c>
      <c r="C21" s="157" t="s">
        <v>927</v>
      </c>
      <c r="D21" s="158">
        <v>20</v>
      </c>
      <c r="E21" s="159">
        <v>685.54</v>
      </c>
      <c r="F21" s="158">
        <v>13710.8</v>
      </c>
      <c r="G21" s="160" t="s">
        <v>1085</v>
      </c>
      <c r="H21" s="1269" t="str">
        <f t="shared" si="1"/>
        <v xml:space="preserve">E000003400001
</v>
      </c>
      <c r="I21" s="670">
        <v>13</v>
      </c>
      <c r="J21" s="4" t="str">
        <f t="shared" si="0"/>
        <v>1.13</v>
      </c>
    </row>
    <row r="22" spans="1:10" s="4" customFormat="1" ht="28.5">
      <c r="A22" s="1265" t="s">
        <v>41</v>
      </c>
      <c r="B22" s="8" t="s">
        <v>997</v>
      </c>
      <c r="C22" s="157" t="s">
        <v>927</v>
      </c>
      <c r="D22" s="158">
        <v>20</v>
      </c>
      <c r="E22" s="159">
        <v>1152.5</v>
      </c>
      <c r="F22" s="158">
        <v>23050</v>
      </c>
      <c r="G22" s="160" t="s">
        <v>998</v>
      </c>
      <c r="H22" s="1269" t="str">
        <f t="shared" si="1"/>
        <v xml:space="preserve">E000003415001
</v>
      </c>
      <c r="I22" s="670">
        <v>14</v>
      </c>
      <c r="J22" s="4" t="str">
        <f t="shared" si="0"/>
        <v>1.14</v>
      </c>
    </row>
    <row r="23" spans="1:10" s="4" customFormat="1" ht="28.5">
      <c r="A23" s="1265" t="s">
        <v>42</v>
      </c>
      <c r="B23" s="8" t="s">
        <v>1093</v>
      </c>
      <c r="C23" s="157" t="s">
        <v>927</v>
      </c>
      <c r="D23" s="158">
        <v>20</v>
      </c>
      <c r="E23" s="159">
        <v>1569.79</v>
      </c>
      <c r="F23" s="158">
        <v>31395.8</v>
      </c>
      <c r="G23" s="160" t="s">
        <v>1094</v>
      </c>
      <c r="H23" s="1269" t="str">
        <f t="shared" si="1"/>
        <v xml:space="preserve">E000003435001
</v>
      </c>
      <c r="I23" s="670">
        <v>15</v>
      </c>
      <c r="J23" s="4" t="str">
        <f t="shared" si="0"/>
        <v>1.15</v>
      </c>
    </row>
    <row r="24" spans="1:10" s="4" customFormat="1" ht="28.5">
      <c r="A24" s="1265" t="s">
        <v>43</v>
      </c>
      <c r="B24" s="8" t="s">
        <v>1774</v>
      </c>
      <c r="C24" s="157" t="s">
        <v>927</v>
      </c>
      <c r="D24" s="158">
        <v>20</v>
      </c>
      <c r="E24" s="159">
        <v>1410.82</v>
      </c>
      <c r="F24" s="158">
        <v>28216.400000000001</v>
      </c>
      <c r="G24" s="160" t="s">
        <v>1775</v>
      </c>
      <c r="H24" s="1269" t="str">
        <f t="shared" si="1"/>
        <v xml:space="preserve">E000003E10001
</v>
      </c>
      <c r="I24" s="670">
        <v>16</v>
      </c>
      <c r="J24" s="4" t="str">
        <f t="shared" si="0"/>
        <v>1.16</v>
      </c>
    </row>
    <row r="25" spans="1:10" s="4" customFormat="1" ht="28.5">
      <c r="A25" s="1265" t="s">
        <v>44</v>
      </c>
      <c r="B25" s="8" t="s">
        <v>5476</v>
      </c>
      <c r="C25" s="157" t="s">
        <v>927</v>
      </c>
      <c r="D25" s="158">
        <v>20</v>
      </c>
      <c r="E25" s="159">
        <v>1390.95</v>
      </c>
      <c r="F25" s="158">
        <v>27819</v>
      </c>
      <c r="G25" s="160" t="s">
        <v>1051</v>
      </c>
      <c r="H25" s="1269" t="str">
        <f t="shared" si="1"/>
        <v xml:space="preserve">E000004101201
</v>
      </c>
      <c r="I25" s="670">
        <v>17</v>
      </c>
      <c r="J25" s="4" t="str">
        <f t="shared" si="0"/>
        <v>1.17</v>
      </c>
    </row>
    <row r="26" spans="1:10" s="4" customFormat="1" ht="28.5">
      <c r="A26" s="1265" t="s">
        <v>45</v>
      </c>
      <c r="B26" s="8" t="s">
        <v>3634</v>
      </c>
      <c r="C26" s="157" t="s">
        <v>927</v>
      </c>
      <c r="D26" s="158">
        <v>20</v>
      </c>
      <c r="E26" s="159">
        <v>1490.31</v>
      </c>
      <c r="F26" s="158">
        <v>29806.2</v>
      </c>
      <c r="G26" s="160" t="s">
        <v>930</v>
      </c>
      <c r="H26" s="1269" t="str">
        <f t="shared" si="1"/>
        <v xml:space="preserve">E000004407001
</v>
      </c>
      <c r="I26" s="670">
        <v>18</v>
      </c>
      <c r="J26" s="4" t="str">
        <f t="shared" si="0"/>
        <v>1.18</v>
      </c>
    </row>
    <row r="27" spans="1:10" s="4" customFormat="1" ht="28.5">
      <c r="A27" s="1265" t="s">
        <v>46</v>
      </c>
      <c r="B27" s="8" t="s">
        <v>3007</v>
      </c>
      <c r="C27" s="157" t="s">
        <v>927</v>
      </c>
      <c r="D27" s="158">
        <v>20</v>
      </c>
      <c r="E27" s="159">
        <v>711.37</v>
      </c>
      <c r="F27" s="158">
        <v>14227.4</v>
      </c>
      <c r="G27" s="160" t="s">
        <v>3008</v>
      </c>
      <c r="H27" s="1269" t="str">
        <f t="shared" si="1"/>
        <v xml:space="preserve">E000002420001
</v>
      </c>
      <c r="I27" s="670">
        <v>19</v>
      </c>
      <c r="J27" s="4" t="str">
        <f t="shared" si="0"/>
        <v>1.19</v>
      </c>
    </row>
    <row r="28" spans="1:10" s="4" customFormat="1" ht="42.75">
      <c r="A28" s="1265" t="s">
        <v>47</v>
      </c>
      <c r="B28" s="8" t="s">
        <v>923</v>
      </c>
      <c r="C28" s="157" t="s">
        <v>0</v>
      </c>
      <c r="D28" s="158">
        <v>20</v>
      </c>
      <c r="E28" s="159">
        <v>1052.3499999999999</v>
      </c>
      <c r="F28" s="158">
        <v>21047</v>
      </c>
      <c r="G28" s="160" t="s">
        <v>3009</v>
      </c>
      <c r="H28" s="1269" t="str">
        <f t="shared" si="1"/>
        <v xml:space="preserve">0222010E23
分析表1_x000D_
</v>
      </c>
      <c r="I28" s="670">
        <v>20</v>
      </c>
      <c r="J28" s="4" t="str">
        <f t="shared" si="0"/>
        <v>1.20</v>
      </c>
    </row>
    <row r="29" spans="1:10" s="4" customFormat="1" ht="42.75">
      <c r="A29" s="1265" t="s">
        <v>48</v>
      </c>
      <c r="B29" s="8" t="s">
        <v>936</v>
      </c>
      <c r="C29" s="157" t="s">
        <v>0</v>
      </c>
      <c r="D29" s="158">
        <v>20</v>
      </c>
      <c r="E29" s="159">
        <v>681.82</v>
      </c>
      <c r="F29" s="158">
        <v>13636.4</v>
      </c>
      <c r="G29" s="160" t="s">
        <v>3010</v>
      </c>
      <c r="H29" s="1269" t="str">
        <f t="shared" si="1"/>
        <v xml:space="preserve">0222010423
分析表2_x000D_
</v>
      </c>
      <c r="I29" s="670">
        <v>21</v>
      </c>
      <c r="J29" s="4" t="str">
        <f t="shared" si="0"/>
        <v>1.21</v>
      </c>
    </row>
    <row r="30" spans="1:10" s="4" customFormat="1" ht="42.75">
      <c r="A30" s="1265" t="s">
        <v>49</v>
      </c>
      <c r="B30" s="8" t="s">
        <v>4416</v>
      </c>
      <c r="C30" s="157" t="s">
        <v>0</v>
      </c>
      <c r="D30" s="158">
        <v>20</v>
      </c>
      <c r="E30" s="159">
        <v>1720.2</v>
      </c>
      <c r="F30" s="158">
        <v>34404</v>
      </c>
      <c r="G30" s="160" t="s">
        <v>4417</v>
      </c>
      <c r="H30" s="1269" t="str">
        <f t="shared" si="1"/>
        <v xml:space="preserve">0222010N23
分析表3_x000D_
</v>
      </c>
      <c r="I30" s="670">
        <v>22</v>
      </c>
      <c r="J30" s="4" t="str">
        <f t="shared" si="0"/>
        <v>1.22</v>
      </c>
    </row>
    <row r="31" spans="1:10" s="4" customFormat="1" ht="42.75">
      <c r="A31" s="1265" t="s">
        <v>50</v>
      </c>
      <c r="B31" s="8" t="s">
        <v>953</v>
      </c>
      <c r="C31" s="157" t="s">
        <v>0</v>
      </c>
      <c r="D31" s="158">
        <v>20</v>
      </c>
      <c r="E31" s="159">
        <v>4370.8500000000004</v>
      </c>
      <c r="F31" s="158">
        <v>87417</v>
      </c>
      <c r="G31" s="160" t="s">
        <v>4418</v>
      </c>
      <c r="H31" s="1269" t="str">
        <f t="shared" si="1"/>
        <v xml:space="preserve">0222020433
分析表4_x000D_
</v>
      </c>
      <c r="I31" s="670">
        <v>23</v>
      </c>
      <c r="J31" s="4" t="str">
        <f t="shared" si="0"/>
        <v>1.23</v>
      </c>
    </row>
    <row r="32" spans="1:10" s="4" customFormat="1" ht="71.25">
      <c r="A32" s="1265" t="s">
        <v>51</v>
      </c>
      <c r="B32" s="8" t="s">
        <v>535</v>
      </c>
      <c r="C32" s="157" t="s">
        <v>0</v>
      </c>
      <c r="D32" s="158">
        <v>20</v>
      </c>
      <c r="E32" s="159">
        <v>5814.37</v>
      </c>
      <c r="F32" s="158">
        <v>116287.4</v>
      </c>
      <c r="G32" s="160" t="s">
        <v>4419</v>
      </c>
      <c r="H32" s="1269" t="str">
        <f t="shared" si="1"/>
        <v>0222020403
分析表5_x000D_
經機關核定每日施工期間未達7小時適用</v>
      </c>
      <c r="I32" s="670">
        <v>24</v>
      </c>
      <c r="J32" s="4" t="str">
        <f t="shared" si="0"/>
        <v>1.24</v>
      </c>
    </row>
    <row r="33" spans="1:10" s="4" customFormat="1" ht="42.75">
      <c r="A33" s="1265" t="s">
        <v>52</v>
      </c>
      <c r="B33" s="8" t="s">
        <v>453</v>
      </c>
      <c r="C33" s="157" t="s">
        <v>0</v>
      </c>
      <c r="D33" s="158">
        <v>20</v>
      </c>
      <c r="E33" s="159">
        <v>5636.09</v>
      </c>
      <c r="F33" s="158">
        <v>112721.8</v>
      </c>
      <c r="G33" s="160" t="s">
        <v>4420</v>
      </c>
      <c r="H33" s="1269" t="str">
        <f t="shared" si="1"/>
        <v xml:space="preserve">0222020E33
分析表6_x000D_
</v>
      </c>
      <c r="I33" s="670">
        <v>25</v>
      </c>
      <c r="J33" s="4" t="str">
        <f t="shared" si="0"/>
        <v>1.25</v>
      </c>
    </row>
    <row r="34" spans="1:10" s="4" customFormat="1" ht="71.25">
      <c r="A34" s="1265" t="s">
        <v>53</v>
      </c>
      <c r="B34" s="8" t="s">
        <v>564</v>
      </c>
      <c r="C34" s="157" t="s">
        <v>0</v>
      </c>
      <c r="D34" s="158">
        <v>10</v>
      </c>
      <c r="E34" s="159">
        <v>7496.57</v>
      </c>
      <c r="F34" s="158">
        <v>74965.7</v>
      </c>
      <c r="G34" s="160" t="s">
        <v>4421</v>
      </c>
      <c r="H34" s="1269" t="str">
        <f t="shared" si="1"/>
        <v>0222020E03
分析表7_x000D_
經機關核定每日施工期間未達7小時適用</v>
      </c>
      <c r="I34" s="670">
        <v>26</v>
      </c>
      <c r="J34" s="4" t="str">
        <f t="shared" si="0"/>
        <v>1.26</v>
      </c>
    </row>
    <row r="35" spans="1:10" s="4" customFormat="1" ht="42.75">
      <c r="A35" s="1265" t="s">
        <v>54</v>
      </c>
      <c r="B35" s="8" t="s">
        <v>2234</v>
      </c>
      <c r="C35" s="157" t="s">
        <v>0</v>
      </c>
      <c r="D35" s="158">
        <v>10</v>
      </c>
      <c r="E35" s="159">
        <v>12963.23</v>
      </c>
      <c r="F35" s="158">
        <v>129632.3</v>
      </c>
      <c r="G35" s="160" t="s">
        <v>4422</v>
      </c>
      <c r="H35" s="1269" t="str">
        <f t="shared" si="1"/>
        <v xml:space="preserve">02220212N3
分析表8_x000D_
</v>
      </c>
      <c r="I35" s="670">
        <v>27</v>
      </c>
      <c r="J35" s="4" t="str">
        <f t="shared" si="0"/>
        <v>1.27</v>
      </c>
    </row>
    <row r="36" spans="1:10" s="4" customFormat="1" ht="47.25">
      <c r="A36" s="1265" t="s">
        <v>55</v>
      </c>
      <c r="B36" s="8" t="s">
        <v>939</v>
      </c>
      <c r="C36" s="157" t="s">
        <v>1</v>
      </c>
      <c r="D36" s="158">
        <v>20</v>
      </c>
      <c r="E36" s="159">
        <v>1401.6</v>
      </c>
      <c r="F36" s="158">
        <v>28032</v>
      </c>
      <c r="G36" s="160" t="s">
        <v>4423</v>
      </c>
      <c r="H36" s="1269" t="str">
        <f t="shared" si="1"/>
        <v xml:space="preserve">023215F00A
分析表9_x000D_
</v>
      </c>
      <c r="I36" s="670">
        <v>28</v>
      </c>
      <c r="J36" s="4" t="str">
        <f t="shared" si="0"/>
        <v>1.28</v>
      </c>
    </row>
    <row r="37" spans="1:10" s="4" customFormat="1" ht="42.75">
      <c r="A37" s="1265" t="s">
        <v>56</v>
      </c>
      <c r="B37" s="8" t="s">
        <v>958</v>
      </c>
      <c r="C37" s="157" t="s">
        <v>1</v>
      </c>
      <c r="D37" s="158">
        <v>10</v>
      </c>
      <c r="E37" s="159">
        <v>3565.68</v>
      </c>
      <c r="F37" s="158">
        <v>35656.800000000003</v>
      </c>
      <c r="G37" s="160" t="s">
        <v>4424</v>
      </c>
      <c r="H37" s="1269" t="str">
        <f t="shared" si="1"/>
        <v xml:space="preserve">023214D00A
分析表10_x000D_
</v>
      </c>
      <c r="I37" s="670">
        <v>29</v>
      </c>
      <c r="J37" s="4" t="str">
        <f t="shared" si="0"/>
        <v>1.29</v>
      </c>
    </row>
    <row r="38" spans="1:10" s="4" customFormat="1" ht="47.25">
      <c r="A38" s="1265" t="s">
        <v>57</v>
      </c>
      <c r="B38" s="8" t="s">
        <v>5477</v>
      </c>
      <c r="C38" s="157" t="s">
        <v>1</v>
      </c>
      <c r="D38" s="158">
        <v>100</v>
      </c>
      <c r="E38" s="159">
        <v>48.63</v>
      </c>
      <c r="F38" s="158">
        <v>4863</v>
      </c>
      <c r="G38" s="160" t="s">
        <v>4425</v>
      </c>
      <c r="H38" s="1269" t="str">
        <f t="shared" si="1"/>
        <v xml:space="preserve">02321PWD05AB1
分析表11_x000D_
</v>
      </c>
      <c r="I38" s="670">
        <v>30</v>
      </c>
      <c r="J38" s="4" t="str">
        <f t="shared" si="0"/>
        <v>1.30</v>
      </c>
    </row>
    <row r="39" spans="1:10" s="4" customFormat="1" ht="71.25">
      <c r="A39" s="1265" t="s">
        <v>58</v>
      </c>
      <c r="B39" s="8" t="s">
        <v>4012</v>
      </c>
      <c r="C39" s="157" t="s">
        <v>1</v>
      </c>
      <c r="D39" s="158">
        <v>50</v>
      </c>
      <c r="E39" s="159">
        <v>64.78</v>
      </c>
      <c r="F39" s="158">
        <v>3239</v>
      </c>
      <c r="G39" s="160" t="s">
        <v>4426</v>
      </c>
      <c r="H39" s="1269" t="str">
        <f t="shared" si="1"/>
        <v>023210E00A
分析表12_x000D_
經機關核定每日施工期間未達7小時適用</v>
      </c>
      <c r="I39" s="670">
        <v>31</v>
      </c>
      <c r="J39" s="4" t="str">
        <f t="shared" si="0"/>
        <v>1.31</v>
      </c>
    </row>
    <row r="40" spans="1:10" s="4" customFormat="1" ht="47.25">
      <c r="A40" s="1265" t="s">
        <v>59</v>
      </c>
      <c r="B40" s="8" t="s">
        <v>5478</v>
      </c>
      <c r="C40" s="157" t="s">
        <v>1</v>
      </c>
      <c r="D40" s="158">
        <v>10</v>
      </c>
      <c r="E40" s="159">
        <v>67.849999999999994</v>
      </c>
      <c r="F40" s="158">
        <v>678.5</v>
      </c>
      <c r="G40" s="160" t="s">
        <v>4427</v>
      </c>
      <c r="H40" s="1269" t="str">
        <f t="shared" si="1"/>
        <v xml:space="preserve">0232105AN1
分析表13_x000D_
</v>
      </c>
      <c r="I40" s="670">
        <v>32</v>
      </c>
      <c r="J40" s="4" t="str">
        <f t="shared" si="0"/>
        <v>1.32</v>
      </c>
    </row>
    <row r="41" spans="1:10" s="4" customFormat="1" ht="42.75">
      <c r="A41" s="1265" t="s">
        <v>60</v>
      </c>
      <c r="B41" s="8" t="s">
        <v>964</v>
      </c>
      <c r="C41" s="157" t="s">
        <v>1</v>
      </c>
      <c r="D41" s="158">
        <v>10</v>
      </c>
      <c r="E41" s="159">
        <v>4945.96</v>
      </c>
      <c r="F41" s="158">
        <v>49459.6</v>
      </c>
      <c r="G41" s="160" t="s">
        <v>4428</v>
      </c>
      <c r="H41" s="1269" t="str">
        <f t="shared" si="1"/>
        <v xml:space="preserve">023215D00A
分析表14_x000D_
</v>
      </c>
      <c r="I41" s="670">
        <v>33</v>
      </c>
      <c r="J41" s="4" t="str">
        <f t="shared" si="0"/>
        <v>1.33</v>
      </c>
    </row>
    <row r="42" spans="1:10" s="4" customFormat="1" ht="47.25">
      <c r="A42" s="1265" t="s">
        <v>61</v>
      </c>
      <c r="B42" s="8" t="s">
        <v>961</v>
      </c>
      <c r="C42" s="157" t="s">
        <v>1</v>
      </c>
      <c r="D42" s="158">
        <v>10</v>
      </c>
      <c r="E42" s="159">
        <v>471.35</v>
      </c>
      <c r="F42" s="158">
        <v>4713.5</v>
      </c>
      <c r="G42" s="160" t="s">
        <v>4429</v>
      </c>
      <c r="H42" s="1269" t="str">
        <f t="shared" si="1"/>
        <v xml:space="preserve">023214F00A
分析表15_x000D_
</v>
      </c>
      <c r="I42" s="670">
        <v>34</v>
      </c>
      <c r="J42" s="4" t="str">
        <f t="shared" si="0"/>
        <v>1.34</v>
      </c>
    </row>
    <row r="43" spans="1:10" s="4" customFormat="1" ht="42.75">
      <c r="A43" s="1265" t="s">
        <v>62</v>
      </c>
      <c r="B43" s="8" t="s">
        <v>985</v>
      </c>
      <c r="C43" s="157" t="s">
        <v>1</v>
      </c>
      <c r="D43" s="158">
        <v>10</v>
      </c>
      <c r="E43" s="159">
        <v>644.12</v>
      </c>
      <c r="F43" s="158">
        <v>6441.2</v>
      </c>
      <c r="G43" s="160" t="s">
        <v>4430</v>
      </c>
      <c r="H43" s="1269" t="str">
        <f t="shared" si="1"/>
        <v xml:space="preserve">0231600Z6A
分析表16_x000D_
</v>
      </c>
      <c r="I43" s="670">
        <v>35</v>
      </c>
      <c r="J43" s="4" t="str">
        <f t="shared" si="0"/>
        <v>1.35</v>
      </c>
    </row>
    <row r="44" spans="1:10" s="4" customFormat="1" ht="42.75">
      <c r="A44" s="1265" t="s">
        <v>63</v>
      </c>
      <c r="B44" s="8" t="s">
        <v>2214</v>
      </c>
      <c r="C44" s="157" t="s">
        <v>1</v>
      </c>
      <c r="D44" s="158">
        <v>10</v>
      </c>
      <c r="E44" s="159">
        <v>1483.81</v>
      </c>
      <c r="F44" s="158">
        <v>14838.1</v>
      </c>
      <c r="G44" s="160" t="s">
        <v>4431</v>
      </c>
      <c r="H44" s="1269" t="str">
        <f t="shared" si="1"/>
        <v xml:space="preserve">023160NZ61
分析表17_x000D_
</v>
      </c>
      <c r="I44" s="670">
        <v>36</v>
      </c>
      <c r="J44" s="4" t="str">
        <f t="shared" si="0"/>
        <v>1.36</v>
      </c>
    </row>
    <row r="45" spans="1:10" s="4" customFormat="1" ht="71.25">
      <c r="A45" s="1265" t="s">
        <v>64</v>
      </c>
      <c r="B45" s="8" t="s">
        <v>566</v>
      </c>
      <c r="C45" s="157" t="s">
        <v>0</v>
      </c>
      <c r="D45" s="158">
        <v>10</v>
      </c>
      <c r="E45" s="159">
        <v>906.82</v>
      </c>
      <c r="F45" s="158">
        <v>9068.2000000000007</v>
      </c>
      <c r="G45" s="160" t="s">
        <v>4432</v>
      </c>
      <c r="H45" s="1269" t="str">
        <f t="shared" si="1"/>
        <v>0222010403
分析表18_x000D_
經機關核定每日施工期間未達7小時適用</v>
      </c>
      <c r="I45" s="670">
        <v>37</v>
      </c>
      <c r="J45" s="4" t="str">
        <f t="shared" si="0"/>
        <v>1.37</v>
      </c>
    </row>
    <row r="46" spans="1:10" s="4" customFormat="1" ht="71.25">
      <c r="A46" s="1265" t="s">
        <v>65</v>
      </c>
      <c r="B46" s="8" t="s">
        <v>568</v>
      </c>
      <c r="C46" s="157" t="s">
        <v>0</v>
      </c>
      <c r="D46" s="158">
        <v>10</v>
      </c>
      <c r="E46" s="159">
        <v>1399.63</v>
      </c>
      <c r="F46" s="158">
        <v>13996.3</v>
      </c>
      <c r="G46" s="160" t="s">
        <v>4433</v>
      </c>
      <c r="H46" s="1269" t="str">
        <f t="shared" si="1"/>
        <v>0222010E03
分析表19_x000D_
經機關核定每日施工期間未達7小時適用</v>
      </c>
      <c r="I46" s="670">
        <v>38</v>
      </c>
      <c r="J46" s="4" t="str">
        <f t="shared" si="0"/>
        <v>1.38</v>
      </c>
    </row>
    <row r="47" spans="1:10" s="4" customFormat="1" ht="71.25">
      <c r="A47" s="1265" t="s">
        <v>66</v>
      </c>
      <c r="B47" s="8" t="s">
        <v>536</v>
      </c>
      <c r="C47" s="157" t="s">
        <v>1</v>
      </c>
      <c r="D47" s="158">
        <v>10</v>
      </c>
      <c r="E47" s="159">
        <v>4741.79</v>
      </c>
      <c r="F47" s="158">
        <v>47417.9</v>
      </c>
      <c r="G47" s="160" t="s">
        <v>4434</v>
      </c>
      <c r="H47" s="1269" t="str">
        <f t="shared" si="1"/>
        <v>023214D10A
分析表20_x000D_
經機關核定每日施工期間未達7小時適用</v>
      </c>
      <c r="I47" s="670">
        <v>39</v>
      </c>
      <c r="J47" s="4" t="str">
        <f t="shared" si="0"/>
        <v>1.39</v>
      </c>
    </row>
    <row r="48" spans="1:10" s="4" customFormat="1" ht="71.25">
      <c r="A48" s="1265" t="s">
        <v>67</v>
      </c>
      <c r="B48" s="8" t="s">
        <v>3628</v>
      </c>
      <c r="C48" s="157" t="s">
        <v>1</v>
      </c>
      <c r="D48" s="158">
        <v>10</v>
      </c>
      <c r="E48" s="159">
        <v>626.9</v>
      </c>
      <c r="F48" s="158">
        <v>6269</v>
      </c>
      <c r="G48" s="160" t="s">
        <v>4435</v>
      </c>
      <c r="H48" s="1269" t="str">
        <f t="shared" si="1"/>
        <v>023214F01A
分析表21_x000D_
經機關核定每日施工期間未達7小時適用</v>
      </c>
      <c r="I48" s="670">
        <v>40</v>
      </c>
      <c r="J48" s="4" t="str">
        <f t="shared" si="0"/>
        <v>1.40</v>
      </c>
    </row>
    <row r="49" spans="1:10" s="4" customFormat="1" ht="71.25">
      <c r="A49" s="1265" t="s">
        <v>68</v>
      </c>
      <c r="B49" s="8" t="s">
        <v>571</v>
      </c>
      <c r="C49" s="157" t="s">
        <v>1</v>
      </c>
      <c r="D49" s="158">
        <v>10</v>
      </c>
      <c r="E49" s="159">
        <v>6579.27</v>
      </c>
      <c r="F49" s="158">
        <v>65792.7</v>
      </c>
      <c r="G49" s="160" t="s">
        <v>4436</v>
      </c>
      <c r="H49" s="1269" t="str">
        <f t="shared" si="1"/>
        <v>023215D10A
分析表22_x000D_
經機關核定每日施工期間未達7小時適用</v>
      </c>
      <c r="I49" s="670">
        <v>41</v>
      </c>
      <c r="J49" s="4" t="str">
        <f t="shared" si="0"/>
        <v>1.41</v>
      </c>
    </row>
    <row r="50" spans="1:10" s="4" customFormat="1" ht="71.25">
      <c r="A50" s="1265" t="s">
        <v>69</v>
      </c>
      <c r="B50" s="8" t="s">
        <v>3627</v>
      </c>
      <c r="C50" s="157" t="s">
        <v>1</v>
      </c>
      <c r="D50" s="158">
        <v>10</v>
      </c>
      <c r="E50" s="159">
        <v>1864.13</v>
      </c>
      <c r="F50" s="158">
        <v>18641.3</v>
      </c>
      <c r="G50" s="160" t="s">
        <v>4437</v>
      </c>
      <c r="H50" s="1269" t="str">
        <f t="shared" si="1"/>
        <v>023215F01A
分析表23_x000D_
經機關核定每日施工期間未達7小時適用</v>
      </c>
      <c r="I50" s="670">
        <v>42</v>
      </c>
      <c r="J50" s="4" t="str">
        <f t="shared" si="0"/>
        <v>1.42</v>
      </c>
    </row>
    <row r="51" spans="1:10" s="4" customFormat="1" ht="71.25">
      <c r="A51" s="1265" t="s">
        <v>70</v>
      </c>
      <c r="B51" s="8" t="s">
        <v>3626</v>
      </c>
      <c r="C51" s="157" t="s">
        <v>1</v>
      </c>
      <c r="D51" s="158">
        <v>10</v>
      </c>
      <c r="E51" s="159">
        <v>856.92</v>
      </c>
      <c r="F51" s="158">
        <v>8569.2000000000007</v>
      </c>
      <c r="G51" s="160" t="s">
        <v>4438</v>
      </c>
      <c r="H51" s="1269" t="str">
        <f t="shared" si="1"/>
        <v>0231601Z6A
分析表24_x000D_
經機關核定每日施工期間未達7小時適用</v>
      </c>
      <c r="I51" s="670">
        <v>43</v>
      </c>
      <c r="J51" s="4" t="str">
        <f t="shared" si="0"/>
        <v>1.43</v>
      </c>
    </row>
    <row r="52" spans="1:10" s="4" customFormat="1" ht="42.75">
      <c r="A52" s="1265" t="s">
        <v>71</v>
      </c>
      <c r="B52" s="8" t="s">
        <v>990</v>
      </c>
      <c r="C52" s="157" t="s">
        <v>17</v>
      </c>
      <c r="D52" s="158">
        <v>10</v>
      </c>
      <c r="E52" s="159">
        <v>89.32</v>
      </c>
      <c r="F52" s="158">
        <v>893.2</v>
      </c>
      <c r="G52" s="160" t="s">
        <v>4439</v>
      </c>
      <c r="H52" s="1269" t="str">
        <f t="shared" si="1"/>
        <v xml:space="preserve">022201E201
分析表25_x000D_
</v>
      </c>
      <c r="I52" s="670">
        <v>44</v>
      </c>
      <c r="J52" s="4" t="str">
        <f t="shared" si="0"/>
        <v>1.44</v>
      </c>
    </row>
    <row r="53" spans="1:10" s="4" customFormat="1" ht="71.25">
      <c r="A53" s="1265" t="s">
        <v>72</v>
      </c>
      <c r="B53" s="8" t="s">
        <v>537</v>
      </c>
      <c r="C53" s="157" t="s">
        <v>17</v>
      </c>
      <c r="D53" s="158">
        <v>10</v>
      </c>
      <c r="E53" s="159">
        <v>118.79</v>
      </c>
      <c r="F53" s="158">
        <v>1187.9000000000001</v>
      </c>
      <c r="G53" s="160" t="s">
        <v>4440</v>
      </c>
      <c r="H53" s="1269" t="str">
        <f t="shared" si="1"/>
        <v>0222010E01
分析表26_x000D_
經機關核定每日施工期間未達7小時適用</v>
      </c>
      <c r="I53" s="670">
        <v>45</v>
      </c>
      <c r="J53" s="4" t="str">
        <f t="shared" si="0"/>
        <v>1.45</v>
      </c>
    </row>
    <row r="54" spans="1:10" s="4" customFormat="1" ht="42.75">
      <c r="A54" s="1265" t="s">
        <v>73</v>
      </c>
      <c r="B54" s="8" t="s">
        <v>995</v>
      </c>
      <c r="C54" s="157" t="s">
        <v>0</v>
      </c>
      <c r="D54" s="158">
        <v>20</v>
      </c>
      <c r="E54" s="159">
        <v>590.57000000000005</v>
      </c>
      <c r="F54" s="158">
        <v>11811.4</v>
      </c>
      <c r="G54" s="160" t="s">
        <v>4441</v>
      </c>
      <c r="H54" s="1269" t="str">
        <f t="shared" si="1"/>
        <v xml:space="preserve">0296103003
分析表27_x000D_
</v>
      </c>
      <c r="I54" s="670">
        <v>46</v>
      </c>
      <c r="J54" s="4" t="str">
        <f t="shared" si="0"/>
        <v>1.46</v>
      </c>
    </row>
    <row r="55" spans="1:10" s="4" customFormat="1" ht="71.25">
      <c r="A55" s="1265" t="s">
        <v>74</v>
      </c>
      <c r="B55" s="8" t="s">
        <v>995</v>
      </c>
      <c r="C55" s="157" t="s">
        <v>0</v>
      </c>
      <c r="D55" s="158">
        <v>20</v>
      </c>
      <c r="E55" s="159">
        <v>785.46</v>
      </c>
      <c r="F55" s="158">
        <v>15709.2</v>
      </c>
      <c r="G55" s="160" t="s">
        <v>4442</v>
      </c>
      <c r="H55" s="1269" t="str">
        <f t="shared" si="1"/>
        <v>0296103023
分析表28_x000D_
經機關核定每日施工期間未達7小時適用</v>
      </c>
      <c r="I55" s="670">
        <v>47</v>
      </c>
      <c r="J55" s="4" t="str">
        <f t="shared" si="0"/>
        <v>1.47</v>
      </c>
    </row>
    <row r="56" spans="1:10" s="4" customFormat="1" ht="42.75">
      <c r="A56" s="1265" t="s">
        <v>75</v>
      </c>
      <c r="B56" s="8" t="s">
        <v>4443</v>
      </c>
      <c r="C56" s="157" t="s">
        <v>0</v>
      </c>
      <c r="D56" s="158">
        <v>20</v>
      </c>
      <c r="E56" s="159">
        <v>853.72</v>
      </c>
      <c r="F56" s="158">
        <v>17074.400000000001</v>
      </c>
      <c r="G56" s="160" t="s">
        <v>4444</v>
      </c>
      <c r="H56" s="1269" t="str">
        <f t="shared" si="1"/>
        <v xml:space="preserve">02961030N3
分析表29_x000D_
</v>
      </c>
      <c r="I56" s="670">
        <v>48</v>
      </c>
      <c r="J56" s="4" t="str">
        <f t="shared" si="0"/>
        <v>1.48</v>
      </c>
    </row>
    <row r="57" spans="1:10" s="4" customFormat="1" ht="42.75">
      <c r="A57" s="1265" t="s">
        <v>76</v>
      </c>
      <c r="B57" s="8" t="s">
        <v>1003</v>
      </c>
      <c r="C57" s="157" t="s">
        <v>1</v>
      </c>
      <c r="D57" s="158">
        <v>20</v>
      </c>
      <c r="E57" s="159">
        <v>98.13</v>
      </c>
      <c r="F57" s="158">
        <v>1962.6</v>
      </c>
      <c r="G57" s="160" t="s">
        <v>4445</v>
      </c>
      <c r="H57" s="1269" t="str">
        <f t="shared" si="1"/>
        <v xml:space="preserve">02325C0001
分析表30_x000D_
</v>
      </c>
      <c r="I57" s="670">
        <v>49</v>
      </c>
      <c r="J57" s="4" t="str">
        <f t="shared" si="0"/>
        <v>1.49</v>
      </c>
    </row>
    <row r="58" spans="1:10" s="4" customFormat="1" ht="42.75">
      <c r="A58" s="1265" t="s">
        <v>77</v>
      </c>
      <c r="B58" s="8" t="s">
        <v>1010</v>
      </c>
      <c r="C58" s="157" t="s">
        <v>1</v>
      </c>
      <c r="D58" s="158">
        <v>10</v>
      </c>
      <c r="E58" s="159">
        <v>598.66999999999996</v>
      </c>
      <c r="F58" s="158">
        <v>5986.7</v>
      </c>
      <c r="G58" s="160" t="s">
        <v>4446</v>
      </c>
      <c r="H58" s="1269" t="str">
        <f t="shared" si="1"/>
        <v xml:space="preserve">023250A00A
分析表31_x000D_
</v>
      </c>
      <c r="I58" s="670">
        <v>50</v>
      </c>
      <c r="J58" s="4" t="str">
        <f t="shared" si="0"/>
        <v>1.50</v>
      </c>
    </row>
    <row r="59" spans="1:10" s="4" customFormat="1" ht="42.75">
      <c r="A59" s="1265" t="s">
        <v>78</v>
      </c>
      <c r="B59" s="8" t="s">
        <v>1019</v>
      </c>
      <c r="C59" s="157" t="s">
        <v>1</v>
      </c>
      <c r="D59" s="158">
        <v>10</v>
      </c>
      <c r="E59" s="159">
        <v>138.11000000000001</v>
      </c>
      <c r="F59" s="158">
        <v>1381.1</v>
      </c>
      <c r="G59" s="160" t="s">
        <v>4447</v>
      </c>
      <c r="H59" s="1269" t="str">
        <f t="shared" si="1"/>
        <v xml:space="preserve">023250500A
分析表32_x000D_
</v>
      </c>
      <c r="I59" s="670">
        <v>51</v>
      </c>
      <c r="J59" s="4" t="str">
        <f t="shared" si="0"/>
        <v>1.51</v>
      </c>
    </row>
    <row r="60" spans="1:10" s="4" customFormat="1" ht="42.75">
      <c r="A60" s="1265" t="s">
        <v>79</v>
      </c>
      <c r="B60" s="8" t="s">
        <v>1033</v>
      </c>
      <c r="C60" s="157" t="s">
        <v>17</v>
      </c>
      <c r="D60" s="158">
        <v>10</v>
      </c>
      <c r="E60" s="159">
        <v>60.39</v>
      </c>
      <c r="F60" s="158">
        <v>603.9</v>
      </c>
      <c r="G60" s="160" t="s">
        <v>4448</v>
      </c>
      <c r="H60" s="1269" t="str">
        <f t="shared" si="1"/>
        <v xml:space="preserve">023250B001
分析表33_x000D_
</v>
      </c>
      <c r="I60" s="670">
        <v>52</v>
      </c>
      <c r="J60" s="4" t="str">
        <f t="shared" si="0"/>
        <v>1.52</v>
      </c>
    </row>
    <row r="61" spans="1:10" s="4" customFormat="1" ht="31.5">
      <c r="A61" s="1265" t="s">
        <v>80</v>
      </c>
      <c r="B61" s="8" t="s">
        <v>1014</v>
      </c>
      <c r="C61" s="157" t="s">
        <v>1</v>
      </c>
      <c r="D61" s="158">
        <v>20</v>
      </c>
      <c r="E61" s="159">
        <v>695.48</v>
      </c>
      <c r="F61" s="158">
        <v>13909.6</v>
      </c>
      <c r="G61" s="160" t="s">
        <v>1015</v>
      </c>
      <c r="H61" s="1269" t="str">
        <f t="shared" si="1"/>
        <v xml:space="preserve">023250D00A
</v>
      </c>
      <c r="I61" s="670">
        <v>53</v>
      </c>
      <c r="J61" s="4" t="str">
        <f t="shared" si="0"/>
        <v>1.53</v>
      </c>
    </row>
    <row r="62" spans="1:10" s="4" customFormat="1" ht="42.75">
      <c r="A62" s="1265" t="s">
        <v>81</v>
      </c>
      <c r="B62" s="8" t="s">
        <v>1036</v>
      </c>
      <c r="C62" s="157" t="s">
        <v>3</v>
      </c>
      <c r="D62" s="158">
        <v>50</v>
      </c>
      <c r="E62" s="159">
        <v>15.02</v>
      </c>
      <c r="F62" s="158">
        <v>751</v>
      </c>
      <c r="G62" s="160" t="s">
        <v>4449</v>
      </c>
      <c r="H62" s="1269" t="str">
        <f t="shared" si="1"/>
        <v xml:space="preserve">02234W0002
分析表34_x000D_
</v>
      </c>
      <c r="I62" s="670">
        <v>54</v>
      </c>
      <c r="J62" s="4" t="str">
        <f t="shared" si="0"/>
        <v>1.54</v>
      </c>
    </row>
    <row r="63" spans="1:10" s="4" customFormat="1" ht="42.75">
      <c r="A63" s="1265" t="s">
        <v>82</v>
      </c>
      <c r="B63" s="8" t="s">
        <v>454</v>
      </c>
      <c r="C63" s="157" t="s">
        <v>0</v>
      </c>
      <c r="D63" s="158">
        <v>50</v>
      </c>
      <c r="E63" s="159">
        <v>306.01</v>
      </c>
      <c r="F63" s="158">
        <v>15300.5</v>
      </c>
      <c r="G63" s="160" t="s">
        <v>4450</v>
      </c>
      <c r="H63" s="1269" t="str">
        <f t="shared" si="1"/>
        <v xml:space="preserve">02233A1003
分析表35_x000D_
</v>
      </c>
      <c r="I63" s="670">
        <v>55</v>
      </c>
      <c r="J63" s="4" t="str">
        <f t="shared" si="0"/>
        <v>1.55</v>
      </c>
    </row>
    <row r="64" spans="1:10" s="4" customFormat="1" ht="42.75">
      <c r="A64" s="1265" t="s">
        <v>83</v>
      </c>
      <c r="B64" s="8" t="s">
        <v>1048</v>
      </c>
      <c r="C64" s="157" t="s">
        <v>15</v>
      </c>
      <c r="D64" s="158">
        <v>50</v>
      </c>
      <c r="E64" s="159">
        <v>58.02</v>
      </c>
      <c r="F64" s="158">
        <v>2901</v>
      </c>
      <c r="G64" s="160" t="s">
        <v>4451</v>
      </c>
      <c r="H64" s="1269" t="str">
        <f t="shared" si="1"/>
        <v xml:space="preserve">023310000B
分析表36_x000D_
</v>
      </c>
      <c r="I64" s="670">
        <v>56</v>
      </c>
      <c r="J64" s="4" t="str">
        <f t="shared" si="0"/>
        <v>1.56</v>
      </c>
    </row>
    <row r="65" spans="1:10" s="4" customFormat="1" ht="42.75">
      <c r="A65" s="1265" t="s">
        <v>84</v>
      </c>
      <c r="B65" s="8" t="s">
        <v>1067</v>
      </c>
      <c r="C65" s="157" t="s">
        <v>15</v>
      </c>
      <c r="D65" s="158">
        <v>50</v>
      </c>
      <c r="E65" s="159">
        <v>324.8</v>
      </c>
      <c r="F65" s="158">
        <v>16240</v>
      </c>
      <c r="G65" s="160" t="s">
        <v>4452</v>
      </c>
      <c r="H65" s="1269" t="str">
        <f t="shared" si="1"/>
        <v xml:space="preserve">023174000A
分析表37_x000D_
</v>
      </c>
      <c r="I65" s="670">
        <v>57</v>
      </c>
      <c r="J65" s="4" t="str">
        <f t="shared" si="0"/>
        <v>1.57</v>
      </c>
    </row>
    <row r="66" spans="1:10" s="4" customFormat="1" ht="42.75">
      <c r="A66" s="1265" t="s">
        <v>85</v>
      </c>
      <c r="B66" s="8" t="s">
        <v>1072</v>
      </c>
      <c r="C66" s="157" t="s">
        <v>0</v>
      </c>
      <c r="D66" s="158">
        <v>50</v>
      </c>
      <c r="E66" s="159">
        <v>104.8</v>
      </c>
      <c r="F66" s="158">
        <v>5240</v>
      </c>
      <c r="G66" s="160" t="s">
        <v>4453</v>
      </c>
      <c r="H66" s="1269" t="str">
        <f t="shared" si="1"/>
        <v xml:space="preserve">02931BDD101
分析表38_x000D_
</v>
      </c>
      <c r="I66" s="670">
        <v>58</v>
      </c>
      <c r="J66" s="4" t="str">
        <f t="shared" ref="J66:J129" si="2">A66</f>
        <v>1.58</v>
      </c>
    </row>
    <row r="67" spans="1:10" s="4" customFormat="1" ht="57">
      <c r="A67" s="1265" t="s">
        <v>86</v>
      </c>
      <c r="B67" s="8" t="s">
        <v>543</v>
      </c>
      <c r="C67" s="157" t="s">
        <v>1</v>
      </c>
      <c r="D67" s="158">
        <v>20</v>
      </c>
      <c r="E67" s="159">
        <v>1188.32</v>
      </c>
      <c r="F67" s="158">
        <v>23766.400000000001</v>
      </c>
      <c r="G67" s="160" t="s">
        <v>4454</v>
      </c>
      <c r="H67" s="1269" t="str">
        <f t="shared" si="1"/>
        <v>02323400003
分析表39_x000D_
每日產出餘土量≤2M3使用</v>
      </c>
      <c r="I67" s="670">
        <v>59</v>
      </c>
      <c r="J67" s="4" t="str">
        <f t="shared" si="2"/>
        <v>1.59</v>
      </c>
    </row>
    <row r="68" spans="1:10" s="4" customFormat="1" ht="42.75">
      <c r="A68" s="1265" t="s">
        <v>87</v>
      </c>
      <c r="B68" s="8" t="s">
        <v>3971</v>
      </c>
      <c r="C68" s="157" t="s">
        <v>1</v>
      </c>
      <c r="D68" s="158">
        <v>20</v>
      </c>
      <c r="E68" s="159">
        <v>1064.9000000000001</v>
      </c>
      <c r="F68" s="158">
        <v>21298</v>
      </c>
      <c r="G68" s="160" t="s">
        <v>4455</v>
      </c>
      <c r="H68" s="1269" t="str">
        <f t="shared" si="1"/>
        <v xml:space="preserve">0232340003
分析表40_x000D_
</v>
      </c>
      <c r="I68" s="670">
        <v>60</v>
      </c>
      <c r="J68" s="4" t="str">
        <f t="shared" si="2"/>
        <v>1.60</v>
      </c>
    </row>
    <row r="69" spans="1:10" s="4" customFormat="1" ht="42.75">
      <c r="A69" s="1265" t="s">
        <v>88</v>
      </c>
      <c r="B69" s="8" t="s">
        <v>26</v>
      </c>
      <c r="C69" s="157" t="s">
        <v>1</v>
      </c>
      <c r="D69" s="158">
        <v>20</v>
      </c>
      <c r="E69" s="159">
        <v>711.86</v>
      </c>
      <c r="F69" s="158">
        <v>14237.2</v>
      </c>
      <c r="G69" s="160" t="s">
        <v>4456</v>
      </c>
      <c r="H69" s="1269" t="str">
        <f t="shared" si="1"/>
        <v xml:space="preserve">023234004A
分析表41_x000D_
</v>
      </c>
      <c r="I69" s="670">
        <v>61</v>
      </c>
      <c r="J69" s="4" t="str">
        <f t="shared" si="2"/>
        <v>1.61</v>
      </c>
    </row>
    <row r="70" spans="1:10" s="4" customFormat="1" ht="42.75">
      <c r="A70" s="1265" t="s">
        <v>89</v>
      </c>
      <c r="B70" s="8" t="s">
        <v>1091</v>
      </c>
      <c r="C70" s="157" t="s">
        <v>1</v>
      </c>
      <c r="D70" s="158">
        <v>20</v>
      </c>
      <c r="E70" s="159">
        <v>472.88</v>
      </c>
      <c r="F70" s="158">
        <v>9457.6</v>
      </c>
      <c r="G70" s="160" t="s">
        <v>4457</v>
      </c>
      <c r="H70" s="1269" t="str">
        <f t="shared" si="1"/>
        <v xml:space="preserve">023234006A
分析表42_x000D_
</v>
      </c>
      <c r="I70" s="670">
        <v>62</v>
      </c>
      <c r="J70" s="4" t="str">
        <f t="shared" si="2"/>
        <v>1.62</v>
      </c>
    </row>
    <row r="71" spans="1:10" s="4" customFormat="1" ht="42.75">
      <c r="A71" s="1265" t="s">
        <v>90</v>
      </c>
      <c r="B71" s="8" t="s">
        <v>1096</v>
      </c>
      <c r="C71" s="157" t="s">
        <v>1</v>
      </c>
      <c r="D71" s="158">
        <v>50</v>
      </c>
      <c r="E71" s="159">
        <v>507.19</v>
      </c>
      <c r="F71" s="158">
        <v>25359.5</v>
      </c>
      <c r="G71" s="160" t="s">
        <v>4458</v>
      </c>
      <c r="H71" s="1269" t="str">
        <f t="shared" si="1"/>
        <v>023232000A
分析表43_x000D_
無棄土費用</v>
      </c>
      <c r="I71" s="670">
        <v>63</v>
      </c>
      <c r="J71" s="4" t="str">
        <f t="shared" si="2"/>
        <v>1.63</v>
      </c>
    </row>
    <row r="72" spans="1:10" s="4" customFormat="1" ht="42.75">
      <c r="A72" s="1265" t="s">
        <v>91</v>
      </c>
      <c r="B72" s="8" t="s">
        <v>1099</v>
      </c>
      <c r="C72" s="157" t="s">
        <v>0</v>
      </c>
      <c r="D72" s="158">
        <v>10</v>
      </c>
      <c r="E72" s="159">
        <v>947.22</v>
      </c>
      <c r="F72" s="158">
        <v>9472.2000000000007</v>
      </c>
      <c r="G72" s="160" t="s">
        <v>4459</v>
      </c>
      <c r="H72" s="1269" t="str">
        <f t="shared" si="1"/>
        <v xml:space="preserve">02323PWD0A001
分析表44_x000D_
</v>
      </c>
      <c r="I72" s="670">
        <v>64</v>
      </c>
      <c r="J72" s="4" t="str">
        <f t="shared" si="2"/>
        <v>1.64</v>
      </c>
    </row>
    <row r="73" spans="1:10" s="4" customFormat="1" ht="42.75">
      <c r="A73" s="1265" t="s">
        <v>92</v>
      </c>
      <c r="B73" s="8" t="s">
        <v>1104</v>
      </c>
      <c r="C73" s="157" t="s">
        <v>0</v>
      </c>
      <c r="D73" s="158">
        <v>10</v>
      </c>
      <c r="E73" s="159">
        <v>1479.26</v>
      </c>
      <c r="F73" s="158">
        <v>14792.6</v>
      </c>
      <c r="G73" s="160" t="s">
        <v>4460</v>
      </c>
      <c r="H73" s="1269" t="str">
        <f t="shared" si="1"/>
        <v xml:space="preserve">02323H0003
分析表45_x000D_
</v>
      </c>
      <c r="I73" s="670">
        <v>65</v>
      </c>
      <c r="J73" s="4" t="str">
        <f t="shared" si="2"/>
        <v>1.65</v>
      </c>
    </row>
    <row r="74" spans="1:10" s="4" customFormat="1" ht="42.75">
      <c r="A74" s="1265" t="s">
        <v>93</v>
      </c>
      <c r="B74" s="8" t="s">
        <v>1111</v>
      </c>
      <c r="C74" s="157" t="s">
        <v>3</v>
      </c>
      <c r="D74" s="158">
        <v>50</v>
      </c>
      <c r="E74" s="159">
        <v>11.87</v>
      </c>
      <c r="F74" s="158">
        <v>593.5</v>
      </c>
      <c r="G74" s="160" t="s">
        <v>4461</v>
      </c>
      <c r="H74" s="1269" t="str">
        <f t="shared" ref="H74:H137" si="3">G74</f>
        <v xml:space="preserve">0233600002
分析表46_x000D_
</v>
      </c>
      <c r="I74" s="670">
        <v>66</v>
      </c>
      <c r="J74" s="4" t="str">
        <f t="shared" si="2"/>
        <v>1.66</v>
      </c>
    </row>
    <row r="75" spans="1:10" s="4" customFormat="1" ht="42.75">
      <c r="A75" s="1265" t="s">
        <v>94</v>
      </c>
      <c r="B75" s="8" t="s">
        <v>1118</v>
      </c>
      <c r="C75" s="157" t="s">
        <v>15</v>
      </c>
      <c r="D75" s="158">
        <v>50</v>
      </c>
      <c r="E75" s="159">
        <v>1290.1099999999999</v>
      </c>
      <c r="F75" s="158">
        <v>64505.5</v>
      </c>
      <c r="G75" s="160" t="s">
        <v>4462</v>
      </c>
      <c r="H75" s="1269" t="str">
        <f t="shared" si="3"/>
        <v xml:space="preserve">027261000B
分析表47_x000D_
</v>
      </c>
      <c r="I75" s="670">
        <v>67</v>
      </c>
      <c r="J75" s="4" t="str">
        <f t="shared" si="2"/>
        <v>1.67</v>
      </c>
    </row>
    <row r="76" spans="1:10" s="4" customFormat="1" ht="42.75">
      <c r="A76" s="1265" t="s">
        <v>95</v>
      </c>
      <c r="B76" s="8" t="s">
        <v>1130</v>
      </c>
      <c r="C76" s="157" t="s">
        <v>15</v>
      </c>
      <c r="D76" s="158">
        <v>10</v>
      </c>
      <c r="E76" s="159">
        <v>1457.75</v>
      </c>
      <c r="F76" s="158">
        <v>14577.5</v>
      </c>
      <c r="G76" s="160" t="s">
        <v>4463</v>
      </c>
      <c r="H76" s="1269" t="str">
        <f t="shared" si="3"/>
        <v xml:space="preserve">02319130BA
分析表48_x000D_
</v>
      </c>
      <c r="I76" s="670">
        <v>68</v>
      </c>
      <c r="J76" s="4" t="str">
        <f t="shared" si="2"/>
        <v>1.68</v>
      </c>
    </row>
    <row r="77" spans="1:10" s="4" customFormat="1" ht="42.75">
      <c r="A77" s="1265" t="s">
        <v>96</v>
      </c>
      <c r="B77" s="8" t="s">
        <v>1135</v>
      </c>
      <c r="C77" s="157" t="s">
        <v>15</v>
      </c>
      <c r="D77" s="158">
        <v>10</v>
      </c>
      <c r="E77" s="159">
        <v>1326.76</v>
      </c>
      <c r="F77" s="158">
        <v>13267.6</v>
      </c>
      <c r="G77" s="160" t="s">
        <v>4464</v>
      </c>
      <c r="H77" s="1269" t="str">
        <f t="shared" si="3"/>
        <v xml:space="preserve">02319140BA
分析表49_x000D_
</v>
      </c>
      <c r="I77" s="670">
        <v>69</v>
      </c>
      <c r="J77" s="4" t="str">
        <f t="shared" si="2"/>
        <v>1.69</v>
      </c>
    </row>
    <row r="78" spans="1:10" s="4" customFormat="1" ht="42.75">
      <c r="A78" s="1265" t="s">
        <v>97</v>
      </c>
      <c r="B78" s="8" t="s">
        <v>1140</v>
      </c>
      <c r="C78" s="157" t="s">
        <v>3</v>
      </c>
      <c r="D78" s="158">
        <v>50</v>
      </c>
      <c r="E78" s="159">
        <v>44.1</v>
      </c>
      <c r="F78" s="158">
        <v>2205</v>
      </c>
      <c r="G78" s="160" t="s">
        <v>4465</v>
      </c>
      <c r="H78" s="1269" t="str">
        <f t="shared" si="3"/>
        <v xml:space="preserve">0274512002
分析表50_x000D_
</v>
      </c>
      <c r="I78" s="670">
        <v>70</v>
      </c>
      <c r="J78" s="4" t="str">
        <f t="shared" si="2"/>
        <v>1.70</v>
      </c>
    </row>
    <row r="79" spans="1:10" s="4" customFormat="1" ht="42.75">
      <c r="A79" s="1265" t="s">
        <v>98</v>
      </c>
      <c r="B79" s="8" t="s">
        <v>1149</v>
      </c>
      <c r="C79" s="157" t="s">
        <v>3</v>
      </c>
      <c r="D79" s="158">
        <v>50</v>
      </c>
      <c r="E79" s="159">
        <v>17.53</v>
      </c>
      <c r="F79" s="158">
        <v>876.5</v>
      </c>
      <c r="G79" s="160" t="s">
        <v>4466</v>
      </c>
      <c r="H79" s="1269" t="str">
        <f t="shared" si="3"/>
        <v xml:space="preserve">0274711002
分析表51_x000D_
</v>
      </c>
      <c r="I79" s="670">
        <v>71</v>
      </c>
      <c r="J79" s="4" t="str">
        <f t="shared" si="2"/>
        <v>1.71</v>
      </c>
    </row>
    <row r="80" spans="1:10" s="4" customFormat="1" ht="42.75">
      <c r="A80" s="1265" t="s">
        <v>99</v>
      </c>
      <c r="B80" s="8" t="s">
        <v>4467</v>
      </c>
      <c r="C80" s="157" t="s">
        <v>3</v>
      </c>
      <c r="D80" s="158">
        <v>50</v>
      </c>
      <c r="E80" s="159">
        <v>20.54</v>
      </c>
      <c r="F80" s="158">
        <v>1027</v>
      </c>
      <c r="G80" s="160" t="s">
        <v>4468</v>
      </c>
      <c r="H80" s="1269" t="str">
        <f t="shared" si="3"/>
        <v xml:space="preserve">02747110N2
分析表52_x000D_
</v>
      </c>
      <c r="I80" s="670">
        <v>72</v>
      </c>
      <c r="J80" s="4" t="str">
        <f t="shared" si="2"/>
        <v>1.72</v>
      </c>
    </row>
    <row r="81" spans="1:10" s="4" customFormat="1" ht="42.75">
      <c r="A81" s="1265" t="s">
        <v>100</v>
      </c>
      <c r="B81" s="8" t="s">
        <v>1154</v>
      </c>
      <c r="C81" s="157" t="s">
        <v>0</v>
      </c>
      <c r="D81" s="158">
        <v>10</v>
      </c>
      <c r="E81" s="159">
        <v>7703.82</v>
      </c>
      <c r="F81" s="158">
        <v>77038.2</v>
      </c>
      <c r="G81" s="160" t="s">
        <v>4469</v>
      </c>
      <c r="H81" s="1269" t="str">
        <f t="shared" si="3"/>
        <v xml:space="preserve">0274205303
分析表53_x000D_
</v>
      </c>
      <c r="I81" s="670">
        <v>73</v>
      </c>
      <c r="J81" s="4" t="str">
        <f t="shared" si="2"/>
        <v>1.73</v>
      </c>
    </row>
    <row r="82" spans="1:10" s="4" customFormat="1" ht="47.25">
      <c r="A82" s="1265" t="s">
        <v>101</v>
      </c>
      <c r="B82" s="8" t="s">
        <v>3639</v>
      </c>
      <c r="C82" s="157" t="s">
        <v>0</v>
      </c>
      <c r="D82" s="158">
        <v>10</v>
      </c>
      <c r="E82" s="159">
        <v>8203.94</v>
      </c>
      <c r="F82" s="158">
        <v>82039.399999999994</v>
      </c>
      <c r="G82" s="160" t="s">
        <v>4470</v>
      </c>
      <c r="H82" s="1269" t="str">
        <f t="shared" si="3"/>
        <v xml:space="preserve">0274205B03
分析表54_x000D_
</v>
      </c>
      <c r="I82" s="670">
        <v>74</v>
      </c>
      <c r="J82" s="4" t="str">
        <f t="shared" si="2"/>
        <v>1.74</v>
      </c>
    </row>
    <row r="83" spans="1:10" s="4" customFormat="1" ht="47.25">
      <c r="A83" s="1265" t="s">
        <v>102</v>
      </c>
      <c r="B83" s="8" t="s">
        <v>4049</v>
      </c>
      <c r="C83" s="157" t="s">
        <v>0</v>
      </c>
      <c r="D83" s="158">
        <v>10</v>
      </c>
      <c r="E83" s="159">
        <v>8697.4699999999993</v>
      </c>
      <c r="F83" s="158">
        <v>86974.7</v>
      </c>
      <c r="G83" s="160" t="s">
        <v>4471</v>
      </c>
      <c r="H83" s="1269" t="str">
        <f t="shared" si="3"/>
        <v>0274205B53
分析表55_x000D_
零星工程用</v>
      </c>
      <c r="I83" s="670">
        <v>75</v>
      </c>
      <c r="J83" s="4" t="str">
        <f t="shared" si="2"/>
        <v>1.75</v>
      </c>
    </row>
    <row r="84" spans="1:10" s="4" customFormat="1" ht="42.75">
      <c r="A84" s="1265" t="s">
        <v>103</v>
      </c>
      <c r="B84" s="8" t="s">
        <v>1162</v>
      </c>
      <c r="C84" s="157" t="s">
        <v>0</v>
      </c>
      <c r="D84" s="158">
        <v>10</v>
      </c>
      <c r="E84" s="159">
        <v>7642.41</v>
      </c>
      <c r="F84" s="158">
        <v>76424.100000000006</v>
      </c>
      <c r="G84" s="160" t="s">
        <v>4472</v>
      </c>
      <c r="H84" s="1269" t="str">
        <f t="shared" si="3"/>
        <v xml:space="preserve">0274203303
分析表56_x000D_
</v>
      </c>
      <c r="I84" s="670">
        <v>76</v>
      </c>
      <c r="J84" s="4" t="str">
        <f t="shared" si="2"/>
        <v>1.76</v>
      </c>
    </row>
    <row r="85" spans="1:10" s="4" customFormat="1" ht="47.25">
      <c r="A85" s="1265" t="s">
        <v>104</v>
      </c>
      <c r="B85" s="8" t="s">
        <v>3640</v>
      </c>
      <c r="C85" s="157" t="s">
        <v>0</v>
      </c>
      <c r="D85" s="158">
        <v>10</v>
      </c>
      <c r="E85" s="159">
        <v>8142.53</v>
      </c>
      <c r="F85" s="158">
        <v>81425.3</v>
      </c>
      <c r="G85" s="160" t="s">
        <v>4473</v>
      </c>
      <c r="H85" s="1269" t="str">
        <f t="shared" si="3"/>
        <v xml:space="preserve">0274203B03
分析表57_x000D_
</v>
      </c>
      <c r="I85" s="670">
        <v>77</v>
      </c>
      <c r="J85" s="4" t="str">
        <f t="shared" si="2"/>
        <v>1.77</v>
      </c>
    </row>
    <row r="86" spans="1:10" s="4" customFormat="1" ht="47.25">
      <c r="A86" s="1265" t="s">
        <v>105</v>
      </c>
      <c r="B86" s="8" t="s">
        <v>4048</v>
      </c>
      <c r="C86" s="157" t="s">
        <v>0</v>
      </c>
      <c r="D86" s="158">
        <v>10</v>
      </c>
      <c r="E86" s="159">
        <v>8636.07</v>
      </c>
      <c r="F86" s="158">
        <v>86360.7</v>
      </c>
      <c r="G86" s="160" t="s">
        <v>4474</v>
      </c>
      <c r="H86" s="1269" t="str">
        <f t="shared" si="3"/>
        <v xml:space="preserve">0274203B53
分析表58_x000D_
</v>
      </c>
      <c r="I86" s="670">
        <v>78</v>
      </c>
      <c r="J86" s="4" t="str">
        <f t="shared" si="2"/>
        <v>1.78</v>
      </c>
    </row>
    <row r="87" spans="1:10" s="4" customFormat="1" ht="42.75">
      <c r="A87" s="1265" t="s">
        <v>106</v>
      </c>
      <c r="B87" s="8" t="s">
        <v>1174</v>
      </c>
      <c r="C87" s="157" t="s">
        <v>0</v>
      </c>
      <c r="D87" s="158">
        <v>10</v>
      </c>
      <c r="E87" s="159">
        <v>7468.45</v>
      </c>
      <c r="F87" s="158">
        <v>74684.5</v>
      </c>
      <c r="G87" s="160" t="s">
        <v>4475</v>
      </c>
      <c r="H87" s="1269" t="str">
        <f t="shared" si="3"/>
        <v xml:space="preserve">0279605303
分析表59_x000D_
</v>
      </c>
      <c r="I87" s="670">
        <v>79</v>
      </c>
      <c r="J87" s="4" t="str">
        <f t="shared" si="2"/>
        <v>1.79</v>
      </c>
    </row>
    <row r="88" spans="1:10" s="4" customFormat="1" ht="47.25">
      <c r="A88" s="1265" t="s">
        <v>107</v>
      </c>
      <c r="B88" s="8" t="s">
        <v>1179</v>
      </c>
      <c r="C88" s="157" t="s">
        <v>0</v>
      </c>
      <c r="D88" s="158">
        <v>10</v>
      </c>
      <c r="E88" s="159">
        <v>7968.56</v>
      </c>
      <c r="F88" s="158">
        <v>79685.600000000006</v>
      </c>
      <c r="G88" s="160" t="s">
        <v>4476</v>
      </c>
      <c r="H88" s="1269" t="str">
        <f t="shared" si="3"/>
        <v xml:space="preserve">0279605313
分析表60_x000D_
</v>
      </c>
      <c r="I88" s="670">
        <v>80</v>
      </c>
      <c r="J88" s="4" t="str">
        <f t="shared" si="2"/>
        <v>1.80</v>
      </c>
    </row>
    <row r="89" spans="1:10" s="4" customFormat="1" ht="47.25">
      <c r="A89" s="1265" t="s">
        <v>108</v>
      </c>
      <c r="B89" s="8" t="s">
        <v>4477</v>
      </c>
      <c r="C89" s="157" t="s">
        <v>0</v>
      </c>
      <c r="D89" s="158">
        <v>10</v>
      </c>
      <c r="E89" s="159">
        <v>8462.1</v>
      </c>
      <c r="F89" s="158">
        <v>84621</v>
      </c>
      <c r="G89" s="160" t="s">
        <v>4478</v>
      </c>
      <c r="H89" s="1269" t="str">
        <f t="shared" si="3"/>
        <v xml:space="preserve">02796053N3
分析表61_x000D_
</v>
      </c>
      <c r="I89" s="670">
        <v>81</v>
      </c>
      <c r="J89" s="4" t="str">
        <f t="shared" si="2"/>
        <v>1.81</v>
      </c>
    </row>
    <row r="90" spans="1:10" s="4" customFormat="1" ht="42.75">
      <c r="A90" s="1265" t="s">
        <v>109</v>
      </c>
      <c r="B90" s="8" t="s">
        <v>1182</v>
      </c>
      <c r="C90" s="157" t="s">
        <v>0</v>
      </c>
      <c r="D90" s="158">
        <v>10</v>
      </c>
      <c r="E90" s="159">
        <v>7980.12</v>
      </c>
      <c r="F90" s="158">
        <v>79801.2</v>
      </c>
      <c r="G90" s="160" t="s">
        <v>4479</v>
      </c>
      <c r="H90" s="1269" t="str">
        <f t="shared" si="3"/>
        <v xml:space="preserve">0279800003
分析表62_x000D_
</v>
      </c>
      <c r="I90" s="670">
        <v>82</v>
      </c>
      <c r="J90" s="4" t="str">
        <f t="shared" si="2"/>
        <v>1.82</v>
      </c>
    </row>
    <row r="91" spans="1:10" s="4" customFormat="1" ht="47.25">
      <c r="A91" s="1265" t="s">
        <v>110</v>
      </c>
      <c r="B91" s="8" t="s">
        <v>1187</v>
      </c>
      <c r="C91" s="157" t="s">
        <v>0</v>
      </c>
      <c r="D91" s="158">
        <v>10</v>
      </c>
      <c r="E91" s="159">
        <v>7079.58</v>
      </c>
      <c r="F91" s="158">
        <v>70795.8</v>
      </c>
      <c r="G91" s="160" t="s">
        <v>4480</v>
      </c>
      <c r="H91" s="1269" t="str">
        <f t="shared" si="3"/>
        <v xml:space="preserve">0296613003
分析表63_x000D_
</v>
      </c>
      <c r="I91" s="670">
        <v>83</v>
      </c>
      <c r="J91" s="4" t="str">
        <f t="shared" si="2"/>
        <v>1.83</v>
      </c>
    </row>
    <row r="92" spans="1:10" s="4" customFormat="1" ht="47.25">
      <c r="A92" s="1265" t="s">
        <v>111</v>
      </c>
      <c r="B92" s="8" t="s">
        <v>1192</v>
      </c>
      <c r="C92" s="157" t="s">
        <v>0</v>
      </c>
      <c r="D92" s="158">
        <v>10</v>
      </c>
      <c r="E92" s="159">
        <v>7579.7</v>
      </c>
      <c r="F92" s="158">
        <v>75797</v>
      </c>
      <c r="G92" s="160" t="s">
        <v>4481</v>
      </c>
      <c r="H92" s="1269" t="str">
        <f t="shared" si="3"/>
        <v xml:space="preserve">02966130B3
分析表64_x000D_
</v>
      </c>
      <c r="I92" s="670">
        <v>84</v>
      </c>
      <c r="J92" s="4" t="str">
        <f t="shared" si="2"/>
        <v>1.84</v>
      </c>
    </row>
    <row r="93" spans="1:10" s="4" customFormat="1" ht="47.25">
      <c r="A93" s="1265" t="s">
        <v>112</v>
      </c>
      <c r="B93" s="8" t="s">
        <v>4482</v>
      </c>
      <c r="C93" s="157" t="s">
        <v>0</v>
      </c>
      <c r="D93" s="158">
        <v>10</v>
      </c>
      <c r="E93" s="159">
        <v>8073.23</v>
      </c>
      <c r="F93" s="158">
        <v>80732.3</v>
      </c>
      <c r="G93" s="160" t="s">
        <v>4483</v>
      </c>
      <c r="H93" s="1269" t="str">
        <f t="shared" si="3"/>
        <v xml:space="preserve">0296613NB3
分析表65_x000D_
</v>
      </c>
      <c r="I93" s="670">
        <v>85</v>
      </c>
      <c r="J93" s="4" t="str">
        <f t="shared" si="2"/>
        <v>1.85</v>
      </c>
    </row>
    <row r="94" spans="1:10" s="4" customFormat="1" ht="47.25">
      <c r="A94" s="1265" t="s">
        <v>113</v>
      </c>
      <c r="B94" s="8" t="s">
        <v>1195</v>
      </c>
      <c r="C94" s="157" t="s">
        <v>0</v>
      </c>
      <c r="D94" s="158">
        <v>10</v>
      </c>
      <c r="E94" s="159">
        <v>6711.18</v>
      </c>
      <c r="F94" s="158">
        <v>67111.8</v>
      </c>
      <c r="G94" s="160" t="s">
        <v>4484</v>
      </c>
      <c r="H94" s="1269" t="str">
        <f t="shared" si="3"/>
        <v xml:space="preserve">0296615003
分析表66_x000D_
</v>
      </c>
      <c r="I94" s="670">
        <v>86</v>
      </c>
      <c r="J94" s="4" t="str">
        <f t="shared" si="2"/>
        <v>1.86</v>
      </c>
    </row>
    <row r="95" spans="1:10" s="4" customFormat="1" ht="47.25">
      <c r="A95" s="1265" t="s">
        <v>114</v>
      </c>
      <c r="B95" s="8" t="s">
        <v>1200</v>
      </c>
      <c r="C95" s="157" t="s">
        <v>0</v>
      </c>
      <c r="D95" s="158">
        <v>10</v>
      </c>
      <c r="E95" s="159">
        <v>7211.3</v>
      </c>
      <c r="F95" s="158">
        <v>72113</v>
      </c>
      <c r="G95" s="160" t="s">
        <v>4485</v>
      </c>
      <c r="H95" s="1269" t="str">
        <f t="shared" si="3"/>
        <v xml:space="preserve">02966150B3
分析表67_x000D_
</v>
      </c>
      <c r="I95" s="670">
        <v>87</v>
      </c>
      <c r="J95" s="4" t="str">
        <f t="shared" si="2"/>
        <v>1.87</v>
      </c>
    </row>
    <row r="96" spans="1:10" s="4" customFormat="1" ht="47.25">
      <c r="A96" s="1265" t="s">
        <v>115</v>
      </c>
      <c r="B96" s="8" t="s">
        <v>4486</v>
      </c>
      <c r="C96" s="157" t="s">
        <v>0</v>
      </c>
      <c r="D96" s="158">
        <v>10</v>
      </c>
      <c r="E96" s="159">
        <v>7704.83</v>
      </c>
      <c r="F96" s="158">
        <v>77048.3</v>
      </c>
      <c r="G96" s="160" t="s">
        <v>4487</v>
      </c>
      <c r="H96" s="1269" t="str">
        <f t="shared" si="3"/>
        <v xml:space="preserve">0296615NB3
分析表68_x000D_
</v>
      </c>
      <c r="I96" s="670">
        <v>88</v>
      </c>
      <c r="J96" s="4" t="str">
        <f t="shared" si="2"/>
        <v>1.88</v>
      </c>
    </row>
    <row r="97" spans="1:10" s="4" customFormat="1" ht="42.75">
      <c r="A97" s="1265" t="s">
        <v>116</v>
      </c>
      <c r="B97" s="8" t="s">
        <v>1203</v>
      </c>
      <c r="C97" s="157" t="s">
        <v>0</v>
      </c>
      <c r="D97" s="158">
        <v>1</v>
      </c>
      <c r="E97" s="159">
        <v>57072.22</v>
      </c>
      <c r="F97" s="158">
        <v>57072.22</v>
      </c>
      <c r="G97" s="160" t="s">
        <v>4488</v>
      </c>
      <c r="H97" s="1269" t="str">
        <f t="shared" si="3"/>
        <v xml:space="preserve">0295240003
分析表69_x000D_
</v>
      </c>
      <c r="I97" s="670">
        <v>89</v>
      </c>
      <c r="J97" s="4" t="str">
        <f t="shared" si="2"/>
        <v>1.89</v>
      </c>
    </row>
    <row r="98" spans="1:10" s="4" customFormat="1" ht="42.75">
      <c r="A98" s="1265" t="s">
        <v>117</v>
      </c>
      <c r="B98" s="8" t="s">
        <v>1215</v>
      </c>
      <c r="C98" s="157" t="s">
        <v>3</v>
      </c>
      <c r="D98" s="158">
        <v>100</v>
      </c>
      <c r="E98" s="159">
        <v>25.42</v>
      </c>
      <c r="F98" s="158">
        <v>2542</v>
      </c>
      <c r="G98" s="160" t="s">
        <v>4489</v>
      </c>
      <c r="H98" s="1269" t="str">
        <f t="shared" si="3"/>
        <v xml:space="preserve">0296140332
分析表70_x000D_
</v>
      </c>
      <c r="I98" s="670">
        <v>90</v>
      </c>
      <c r="J98" s="4" t="str">
        <f t="shared" si="2"/>
        <v>1.90</v>
      </c>
    </row>
    <row r="99" spans="1:10" s="4" customFormat="1" ht="47.25">
      <c r="A99" s="1265" t="s">
        <v>118</v>
      </c>
      <c r="B99" s="8" t="s">
        <v>4490</v>
      </c>
      <c r="C99" s="157" t="s">
        <v>3</v>
      </c>
      <c r="D99" s="158">
        <v>100</v>
      </c>
      <c r="E99" s="159">
        <v>40.68</v>
      </c>
      <c r="F99" s="158">
        <v>4068</v>
      </c>
      <c r="G99" s="160" t="s">
        <v>4491</v>
      </c>
      <c r="H99" s="1269" t="str">
        <f t="shared" si="3"/>
        <v xml:space="preserve">02961403N2
分析表71_x000D_
</v>
      </c>
      <c r="I99" s="670">
        <v>91</v>
      </c>
      <c r="J99" s="4" t="str">
        <f t="shared" si="2"/>
        <v>1.91</v>
      </c>
    </row>
    <row r="100" spans="1:10" s="4" customFormat="1" ht="42.75">
      <c r="A100" s="1265" t="s">
        <v>119</v>
      </c>
      <c r="B100" s="8" t="s">
        <v>1231</v>
      </c>
      <c r="C100" s="157" t="s">
        <v>3</v>
      </c>
      <c r="D100" s="158">
        <v>100</v>
      </c>
      <c r="E100" s="159">
        <v>16.57</v>
      </c>
      <c r="F100" s="158">
        <v>1657</v>
      </c>
      <c r="G100" s="160" t="s">
        <v>4492</v>
      </c>
      <c r="H100" s="1269" t="str">
        <f t="shared" si="3"/>
        <v xml:space="preserve">0296140432
分析表72_x000D_
</v>
      </c>
      <c r="I100" s="670">
        <v>92</v>
      </c>
      <c r="J100" s="4" t="str">
        <f t="shared" si="2"/>
        <v>1.92</v>
      </c>
    </row>
    <row r="101" spans="1:10" s="4" customFormat="1" ht="47.25">
      <c r="A101" s="1265" t="s">
        <v>120</v>
      </c>
      <c r="B101" s="8" t="s">
        <v>1236</v>
      </c>
      <c r="C101" s="157" t="s">
        <v>3</v>
      </c>
      <c r="D101" s="158">
        <v>100</v>
      </c>
      <c r="E101" s="159">
        <v>43.39</v>
      </c>
      <c r="F101" s="158">
        <v>4339</v>
      </c>
      <c r="G101" s="160" t="s">
        <v>4493</v>
      </c>
      <c r="H101" s="1269" t="str">
        <f t="shared" si="3"/>
        <v xml:space="preserve">0296190332
分析表73_x000D_
</v>
      </c>
      <c r="I101" s="670">
        <v>93</v>
      </c>
      <c r="J101" s="4" t="str">
        <f t="shared" si="2"/>
        <v>1.93</v>
      </c>
    </row>
    <row r="102" spans="1:10" s="4" customFormat="1" ht="47.25">
      <c r="A102" s="1265" t="s">
        <v>121</v>
      </c>
      <c r="B102" s="8" t="s">
        <v>4494</v>
      </c>
      <c r="C102" s="157" t="s">
        <v>3</v>
      </c>
      <c r="D102" s="158">
        <v>100</v>
      </c>
      <c r="E102" s="159">
        <v>68.819999999999993</v>
      </c>
      <c r="F102" s="158">
        <v>6882</v>
      </c>
      <c r="G102" s="160" t="s">
        <v>4495</v>
      </c>
      <c r="H102" s="1269" t="str">
        <f t="shared" si="3"/>
        <v xml:space="preserve">02961903N2
分析表74_x000D_
</v>
      </c>
      <c r="I102" s="670">
        <v>94</v>
      </c>
      <c r="J102" s="4" t="str">
        <f t="shared" si="2"/>
        <v>1.94</v>
      </c>
    </row>
    <row r="103" spans="1:10" s="4" customFormat="1" ht="47.25">
      <c r="A103" s="1265" t="s">
        <v>122</v>
      </c>
      <c r="B103" s="8" t="s">
        <v>1239</v>
      </c>
      <c r="C103" s="157" t="s">
        <v>3</v>
      </c>
      <c r="D103" s="158">
        <v>100</v>
      </c>
      <c r="E103" s="159">
        <v>28.56</v>
      </c>
      <c r="F103" s="158">
        <v>2856</v>
      </c>
      <c r="G103" s="160" t="s">
        <v>4496</v>
      </c>
      <c r="H103" s="1269" t="str">
        <f t="shared" si="3"/>
        <v xml:space="preserve">0296190432
分析表75_x000D_
</v>
      </c>
      <c r="I103" s="670">
        <v>95</v>
      </c>
      <c r="J103" s="4" t="str">
        <f t="shared" si="2"/>
        <v>1.95</v>
      </c>
    </row>
    <row r="104" spans="1:10" s="4" customFormat="1" ht="42.75">
      <c r="A104" s="1265" t="s">
        <v>123</v>
      </c>
      <c r="B104" s="8" t="s">
        <v>462</v>
      </c>
      <c r="C104" s="157" t="s">
        <v>17</v>
      </c>
      <c r="D104" s="158">
        <v>100</v>
      </c>
      <c r="E104" s="159">
        <v>65.77</v>
      </c>
      <c r="F104" s="158">
        <v>6577</v>
      </c>
      <c r="G104" s="160" t="s">
        <v>4497</v>
      </c>
      <c r="H104" s="1269" t="str">
        <f t="shared" si="3"/>
        <v xml:space="preserve">02220PWD00021
分析表76_x000D_
</v>
      </c>
      <c r="I104" s="670">
        <v>96</v>
      </c>
      <c r="J104" s="4" t="str">
        <f t="shared" si="2"/>
        <v>1.96</v>
      </c>
    </row>
    <row r="105" spans="1:10" s="4" customFormat="1" ht="42.75">
      <c r="A105" s="1265" t="s">
        <v>124</v>
      </c>
      <c r="B105" s="8" t="s">
        <v>1250</v>
      </c>
      <c r="C105" s="157" t="s">
        <v>17</v>
      </c>
      <c r="D105" s="158">
        <v>100</v>
      </c>
      <c r="E105" s="159">
        <v>76.73</v>
      </c>
      <c r="F105" s="158">
        <v>7673</v>
      </c>
      <c r="G105" s="160" t="s">
        <v>4498</v>
      </c>
      <c r="H105" s="1269" t="str">
        <f t="shared" si="3"/>
        <v xml:space="preserve">02220PWD00031
分析表77_x000D_
</v>
      </c>
      <c r="I105" s="670">
        <v>97</v>
      </c>
      <c r="J105" s="4" t="str">
        <f t="shared" si="2"/>
        <v>1.97</v>
      </c>
    </row>
    <row r="106" spans="1:10" s="4" customFormat="1" ht="42.75">
      <c r="A106" s="1265" t="s">
        <v>125</v>
      </c>
      <c r="B106" s="8" t="s">
        <v>1253</v>
      </c>
      <c r="C106" s="157" t="s">
        <v>17</v>
      </c>
      <c r="D106" s="158">
        <v>50</v>
      </c>
      <c r="E106" s="159">
        <v>139.19999999999999</v>
      </c>
      <c r="F106" s="158">
        <v>6960</v>
      </c>
      <c r="G106" s="160" t="s">
        <v>4499</v>
      </c>
      <c r="H106" s="1269" t="str">
        <f t="shared" si="3"/>
        <v xml:space="preserve">02220#0041
分析表78_x000D_
</v>
      </c>
      <c r="I106" s="670">
        <v>98</v>
      </c>
      <c r="J106" s="4" t="str">
        <f t="shared" si="2"/>
        <v>1.98</v>
      </c>
    </row>
    <row r="107" spans="1:10" s="4" customFormat="1" ht="42.75">
      <c r="A107" s="1265" t="s">
        <v>126</v>
      </c>
      <c r="B107" s="8" t="s">
        <v>464</v>
      </c>
      <c r="C107" s="157" t="s">
        <v>0</v>
      </c>
      <c r="D107" s="158">
        <v>20</v>
      </c>
      <c r="E107" s="159">
        <v>3319</v>
      </c>
      <c r="F107" s="158">
        <v>66380</v>
      </c>
      <c r="G107" s="160" t="s">
        <v>4500</v>
      </c>
      <c r="H107" s="1269" t="str">
        <f t="shared" si="3"/>
        <v xml:space="preserve">0331023003
分析表79_x000D_
</v>
      </c>
      <c r="I107" s="670">
        <v>99</v>
      </c>
      <c r="J107" s="4" t="str">
        <f t="shared" si="2"/>
        <v>1.99</v>
      </c>
    </row>
    <row r="108" spans="1:10" s="4" customFormat="1" ht="42.75">
      <c r="A108" s="1265" t="s">
        <v>127</v>
      </c>
      <c r="B108" s="8" t="s">
        <v>4501</v>
      </c>
      <c r="C108" s="157" t="s">
        <v>0</v>
      </c>
      <c r="D108" s="158">
        <v>20</v>
      </c>
      <c r="E108" s="159">
        <v>3631.55</v>
      </c>
      <c r="F108" s="158">
        <v>72631</v>
      </c>
      <c r="G108" s="160" t="s">
        <v>4502</v>
      </c>
      <c r="H108" s="1269" t="str">
        <f t="shared" si="3"/>
        <v xml:space="preserve">03310230N3
分析表80_x000D_
</v>
      </c>
      <c r="I108" s="670">
        <v>100</v>
      </c>
      <c r="J108" s="4" t="str">
        <f t="shared" si="2"/>
        <v>1.100</v>
      </c>
    </row>
    <row r="109" spans="1:10" s="4" customFormat="1" ht="42.75">
      <c r="A109" s="1265" t="s">
        <v>128</v>
      </c>
      <c r="B109" s="8" t="s">
        <v>1270</v>
      </c>
      <c r="C109" s="157" t="s">
        <v>0</v>
      </c>
      <c r="D109" s="158">
        <v>50</v>
      </c>
      <c r="E109" s="159">
        <v>3411.1</v>
      </c>
      <c r="F109" s="158">
        <v>170555</v>
      </c>
      <c r="G109" s="160" t="s">
        <v>4503</v>
      </c>
      <c r="H109" s="1269" t="str">
        <f t="shared" si="3"/>
        <v xml:space="preserve">0331024003
分析表81_x000D_
</v>
      </c>
      <c r="I109" s="670">
        <v>101</v>
      </c>
      <c r="J109" s="4" t="str">
        <f t="shared" si="2"/>
        <v>1.101</v>
      </c>
    </row>
    <row r="110" spans="1:10" s="4" customFormat="1" ht="71.25">
      <c r="A110" s="1265" t="s">
        <v>129</v>
      </c>
      <c r="B110" s="8" t="s">
        <v>1275</v>
      </c>
      <c r="C110" s="157" t="s">
        <v>0</v>
      </c>
      <c r="D110" s="158">
        <v>50</v>
      </c>
      <c r="E110" s="159">
        <v>3513.44</v>
      </c>
      <c r="F110" s="158">
        <v>175672</v>
      </c>
      <c r="G110" s="160" t="s">
        <v>4504</v>
      </c>
      <c r="H110" s="1269" t="str">
        <f t="shared" si="3"/>
        <v>0331025003
分析表82_x000D_
本項納入「水泥及其製品類」物價指數調整</v>
      </c>
      <c r="I110" s="670">
        <v>102</v>
      </c>
      <c r="J110" s="4" t="str">
        <f t="shared" si="2"/>
        <v>1.102</v>
      </c>
    </row>
    <row r="111" spans="1:10" s="4" customFormat="1" ht="71.25">
      <c r="A111" s="1265" t="s">
        <v>130</v>
      </c>
      <c r="B111" s="8" t="s">
        <v>4505</v>
      </c>
      <c r="C111" s="157" t="s">
        <v>0</v>
      </c>
      <c r="D111" s="158">
        <v>50</v>
      </c>
      <c r="E111" s="159">
        <v>3826</v>
      </c>
      <c r="F111" s="158">
        <v>191300</v>
      </c>
      <c r="G111" s="160" t="s">
        <v>4506</v>
      </c>
      <c r="H111" s="1269" t="str">
        <f t="shared" si="3"/>
        <v>03310250N3
分析表83_x000D_
本項納入「水泥及其製品類」物價指數調整</v>
      </c>
      <c r="I111" s="670">
        <v>103</v>
      </c>
      <c r="J111" s="4" t="str">
        <f t="shared" si="2"/>
        <v>1.103</v>
      </c>
    </row>
    <row r="112" spans="1:10" s="4" customFormat="1" ht="42.75">
      <c r="A112" s="1265" t="s">
        <v>131</v>
      </c>
      <c r="B112" s="8" t="s">
        <v>1280</v>
      </c>
      <c r="C112" s="157" t="s">
        <v>0</v>
      </c>
      <c r="D112" s="158">
        <v>50</v>
      </c>
      <c r="E112" s="159">
        <v>3682.24</v>
      </c>
      <c r="F112" s="158">
        <v>184112</v>
      </c>
      <c r="G112" s="160" t="s">
        <v>4507</v>
      </c>
      <c r="H112" s="1269" t="str">
        <f t="shared" si="3"/>
        <v xml:space="preserve">0331026003
分析表84_x000D_
</v>
      </c>
      <c r="I112" s="670">
        <v>104</v>
      </c>
      <c r="J112" s="4" t="str">
        <f t="shared" si="2"/>
        <v>1.104</v>
      </c>
    </row>
    <row r="113" spans="1:10" s="4" customFormat="1" ht="71.25">
      <c r="A113" s="1265" t="s">
        <v>132</v>
      </c>
      <c r="B113" s="8" t="s">
        <v>16</v>
      </c>
      <c r="C113" s="157" t="s">
        <v>0</v>
      </c>
      <c r="D113" s="158">
        <v>50</v>
      </c>
      <c r="E113" s="159">
        <v>3837.05</v>
      </c>
      <c r="F113" s="158">
        <v>191852.5</v>
      </c>
      <c r="G113" s="160" t="s">
        <v>4508</v>
      </c>
      <c r="H113" s="1269" t="str">
        <f t="shared" si="3"/>
        <v>0331027003
分析表85_x000D_
本項納入「水泥及其製品類」物價指數調整</v>
      </c>
      <c r="I113" s="670">
        <v>105</v>
      </c>
      <c r="J113" s="4" t="str">
        <f t="shared" si="2"/>
        <v>1.105</v>
      </c>
    </row>
    <row r="114" spans="1:10" s="4" customFormat="1" ht="71.25">
      <c r="A114" s="1265" t="s">
        <v>133</v>
      </c>
      <c r="B114" s="8" t="s">
        <v>4509</v>
      </c>
      <c r="C114" s="157" t="s">
        <v>0</v>
      </c>
      <c r="D114" s="158">
        <v>50</v>
      </c>
      <c r="E114" s="159">
        <v>4283.58</v>
      </c>
      <c r="F114" s="158">
        <v>214179</v>
      </c>
      <c r="G114" s="160" t="s">
        <v>4510</v>
      </c>
      <c r="H114" s="1269" t="str">
        <f t="shared" si="3"/>
        <v>03310270N3
分析表86_x000D_
本項納入「水泥及其製品類」物價指數調整</v>
      </c>
      <c r="I114" s="670">
        <v>106</v>
      </c>
      <c r="J114" s="4" t="str">
        <f t="shared" si="2"/>
        <v>1.106</v>
      </c>
    </row>
    <row r="115" spans="1:10" s="4" customFormat="1" ht="42.75">
      <c r="A115" s="1265" t="s">
        <v>134</v>
      </c>
      <c r="B115" s="8" t="s">
        <v>1287</v>
      </c>
      <c r="C115" s="157" t="s">
        <v>0</v>
      </c>
      <c r="D115" s="158">
        <v>10</v>
      </c>
      <c r="E115" s="159">
        <v>4105.46</v>
      </c>
      <c r="F115" s="158">
        <v>41054.6</v>
      </c>
      <c r="G115" s="160" t="s">
        <v>4511</v>
      </c>
      <c r="H115" s="1269" t="str">
        <f t="shared" si="3"/>
        <v xml:space="preserve">0331029003
分析表87_x000D_
</v>
      </c>
      <c r="I115" s="670">
        <v>107</v>
      </c>
      <c r="J115" s="4" t="str">
        <f t="shared" si="2"/>
        <v>1.107</v>
      </c>
    </row>
    <row r="116" spans="1:10" s="4" customFormat="1" ht="71.25">
      <c r="A116" s="1265" t="s">
        <v>135</v>
      </c>
      <c r="B116" s="8" t="s">
        <v>1292</v>
      </c>
      <c r="C116" s="157" t="s">
        <v>0</v>
      </c>
      <c r="D116" s="158">
        <v>10</v>
      </c>
      <c r="E116" s="159">
        <v>4367.29</v>
      </c>
      <c r="F116" s="158">
        <v>43672.9</v>
      </c>
      <c r="G116" s="160" t="s">
        <v>4512</v>
      </c>
      <c r="H116" s="1269" t="str">
        <f t="shared" si="3"/>
        <v>0331013003
分析表88_x000D_
本項零星工料包含鋼筋混凝土所需之墊塊費用</v>
      </c>
      <c r="I116" s="670">
        <v>108</v>
      </c>
      <c r="J116" s="4" t="str">
        <f t="shared" si="2"/>
        <v>1.108</v>
      </c>
    </row>
    <row r="117" spans="1:10" s="4" customFormat="1" ht="71.25">
      <c r="A117" s="1265" t="s">
        <v>136</v>
      </c>
      <c r="B117" s="8" t="s">
        <v>1306</v>
      </c>
      <c r="C117" s="157" t="s">
        <v>0</v>
      </c>
      <c r="D117" s="158">
        <v>10</v>
      </c>
      <c r="E117" s="159">
        <v>4523.42</v>
      </c>
      <c r="F117" s="158">
        <v>45234.2</v>
      </c>
      <c r="G117" s="160" t="s">
        <v>4513</v>
      </c>
      <c r="H117" s="1269" t="str">
        <f t="shared" si="3"/>
        <v>0331014003
分析表89_x000D_
本項零星工料包含鋼筋混凝土所需之墊塊費用</v>
      </c>
      <c r="I117" s="670">
        <v>109</v>
      </c>
      <c r="J117" s="4" t="str">
        <f t="shared" si="2"/>
        <v>1.109</v>
      </c>
    </row>
    <row r="118" spans="1:10" s="4" customFormat="1" ht="71.25">
      <c r="A118" s="1265" t="s">
        <v>137</v>
      </c>
      <c r="B118" s="8" t="s">
        <v>1309</v>
      </c>
      <c r="C118" s="157" t="s">
        <v>0</v>
      </c>
      <c r="D118" s="158">
        <v>10</v>
      </c>
      <c r="E118" s="159">
        <v>4687</v>
      </c>
      <c r="F118" s="158">
        <v>46870</v>
      </c>
      <c r="G118" s="160" t="s">
        <v>4514</v>
      </c>
      <c r="H118" s="1269" t="str">
        <f t="shared" si="3"/>
        <v>0331015003
分析表90_x000D_
本項零星工料包含鋼筋混凝土所需之墊塊費用</v>
      </c>
      <c r="I118" s="670">
        <v>110</v>
      </c>
      <c r="J118" s="4" t="str">
        <f t="shared" si="2"/>
        <v>1.110</v>
      </c>
    </row>
    <row r="119" spans="1:10" s="4" customFormat="1" ht="71.25">
      <c r="A119" s="1265" t="s">
        <v>138</v>
      </c>
      <c r="B119" s="8" t="s">
        <v>1312</v>
      </c>
      <c r="C119" s="157" t="s">
        <v>0</v>
      </c>
      <c r="D119" s="158">
        <v>10</v>
      </c>
      <c r="E119" s="159">
        <v>4765.13</v>
      </c>
      <c r="F119" s="158">
        <v>47651.3</v>
      </c>
      <c r="G119" s="160" t="s">
        <v>4515</v>
      </c>
      <c r="H119" s="1269" t="str">
        <f t="shared" si="3"/>
        <v>0331016003
分析表91_x000D_
本項零星工料包含鋼筋混凝土所需之墊塊費用</v>
      </c>
      <c r="I119" s="670">
        <v>111</v>
      </c>
      <c r="J119" s="4" t="str">
        <f t="shared" si="2"/>
        <v>1.111</v>
      </c>
    </row>
    <row r="120" spans="1:10" s="4" customFormat="1" ht="71.25">
      <c r="A120" s="1265" t="s">
        <v>139</v>
      </c>
      <c r="B120" s="8" t="s">
        <v>1315</v>
      </c>
      <c r="C120" s="157" t="s">
        <v>0</v>
      </c>
      <c r="D120" s="158">
        <v>10</v>
      </c>
      <c r="E120" s="159">
        <v>6832.15</v>
      </c>
      <c r="F120" s="158">
        <v>68321.5</v>
      </c>
      <c r="G120" s="160" t="s">
        <v>4516</v>
      </c>
      <c r="H120" s="1269" t="str">
        <f t="shared" si="3"/>
        <v>033100E0B3
分析表92_x000D_
本項零星工料包含鋼筋混凝土所需之墊塊費用</v>
      </c>
      <c r="I120" s="670">
        <v>112</v>
      </c>
      <c r="J120" s="4" t="str">
        <f t="shared" si="2"/>
        <v>1.112</v>
      </c>
    </row>
    <row r="121" spans="1:10" s="4" customFormat="1" ht="71.25">
      <c r="A121" s="1265" t="s">
        <v>140</v>
      </c>
      <c r="B121" s="8" t="s">
        <v>4517</v>
      </c>
      <c r="C121" s="157" t="s">
        <v>0</v>
      </c>
      <c r="D121" s="158">
        <v>10</v>
      </c>
      <c r="E121" s="159">
        <v>8531.7800000000007</v>
      </c>
      <c r="F121" s="158">
        <v>85317.8</v>
      </c>
      <c r="G121" s="160" t="s">
        <v>4518</v>
      </c>
      <c r="H121" s="1269" t="str">
        <f t="shared" si="3"/>
        <v>033100E0N3
分析表93_x000D_
本項零星工料包含鋼筋混凝土所需之墊塊費用</v>
      </c>
      <c r="I121" s="670">
        <v>113</v>
      </c>
      <c r="J121" s="4" t="str">
        <f t="shared" si="2"/>
        <v>1.113</v>
      </c>
    </row>
    <row r="122" spans="1:10" s="4" customFormat="1" ht="71.25">
      <c r="A122" s="1265" t="s">
        <v>141</v>
      </c>
      <c r="B122" s="8" t="s">
        <v>4519</v>
      </c>
      <c r="C122" s="157" t="s">
        <v>0</v>
      </c>
      <c r="D122" s="158">
        <v>10</v>
      </c>
      <c r="E122" s="159">
        <v>1745.15</v>
      </c>
      <c r="F122" s="158">
        <v>17451.5</v>
      </c>
      <c r="G122" s="160" t="s">
        <v>4520</v>
      </c>
      <c r="H122" s="1269" t="str">
        <f t="shared" si="3"/>
        <v>03377PWD00A03
分析表94_x000D_
原名稱「控制性低強度回填材料及澆置」</v>
      </c>
      <c r="I122" s="670">
        <v>114</v>
      </c>
      <c r="J122" s="4" t="str">
        <f t="shared" si="2"/>
        <v>1.114</v>
      </c>
    </row>
    <row r="123" spans="1:10" s="4" customFormat="1" ht="71.25">
      <c r="A123" s="1265" t="s">
        <v>142</v>
      </c>
      <c r="B123" s="8" t="s">
        <v>4521</v>
      </c>
      <c r="C123" s="157" t="s">
        <v>0</v>
      </c>
      <c r="D123" s="158">
        <v>10</v>
      </c>
      <c r="E123" s="159">
        <v>1996.7</v>
      </c>
      <c r="F123" s="158">
        <v>19967</v>
      </c>
      <c r="G123" s="160" t="s">
        <v>4522</v>
      </c>
      <c r="H123" s="1269" t="str">
        <f t="shared" si="3"/>
        <v>03377PWD00An3
分析表95_x000D_
原名稱「控制性低強度回填材料及澆置」</v>
      </c>
      <c r="I123" s="670">
        <v>115</v>
      </c>
      <c r="J123" s="4" t="str">
        <f t="shared" si="2"/>
        <v>1.115</v>
      </c>
    </row>
    <row r="124" spans="1:10" s="4" customFormat="1" ht="42.75">
      <c r="A124" s="1265" t="s">
        <v>143</v>
      </c>
      <c r="B124" s="8" t="s">
        <v>1320</v>
      </c>
      <c r="C124" s="157" t="s">
        <v>0</v>
      </c>
      <c r="D124" s="158">
        <v>5</v>
      </c>
      <c r="E124" s="159">
        <v>5062.71</v>
      </c>
      <c r="F124" s="158">
        <v>25313.55</v>
      </c>
      <c r="G124" s="160" t="s">
        <v>4523</v>
      </c>
      <c r="H124" s="1269" t="str">
        <f t="shared" si="3"/>
        <v xml:space="preserve">030521#231
分析表96_x000D_
</v>
      </c>
      <c r="I124" s="670">
        <v>116</v>
      </c>
      <c r="J124" s="4" t="str">
        <f t="shared" si="2"/>
        <v>1.116</v>
      </c>
    </row>
    <row r="125" spans="1:10" s="4" customFormat="1" ht="31.5">
      <c r="A125" s="1265" t="s">
        <v>144</v>
      </c>
      <c r="B125" s="8" t="s">
        <v>3086</v>
      </c>
      <c r="C125" s="157" t="s">
        <v>0</v>
      </c>
      <c r="D125" s="158">
        <v>15</v>
      </c>
      <c r="E125" s="159">
        <v>198.71</v>
      </c>
      <c r="F125" s="158">
        <v>2980.65</v>
      </c>
      <c r="G125" s="160" t="s">
        <v>3087</v>
      </c>
      <c r="H125" s="1269" t="str">
        <f t="shared" si="3"/>
        <v xml:space="preserve">03310000Z5
</v>
      </c>
      <c r="I125" s="670">
        <v>117</v>
      </c>
      <c r="J125" s="4" t="str">
        <f t="shared" si="2"/>
        <v>1.117</v>
      </c>
    </row>
    <row r="126" spans="1:10" s="4" customFormat="1" ht="42.75">
      <c r="A126" s="1265" t="s">
        <v>145</v>
      </c>
      <c r="B126" s="8" t="s">
        <v>1328</v>
      </c>
      <c r="C126" s="157" t="s">
        <v>3</v>
      </c>
      <c r="D126" s="158">
        <v>10</v>
      </c>
      <c r="E126" s="159">
        <v>264.25</v>
      </c>
      <c r="F126" s="158">
        <v>2642.5</v>
      </c>
      <c r="G126" s="160" t="s">
        <v>4524</v>
      </c>
      <c r="H126" s="1269" t="str">
        <f t="shared" si="3"/>
        <v xml:space="preserve">0336020002
分析表97_x000D_
</v>
      </c>
      <c r="I126" s="670">
        <v>118</v>
      </c>
      <c r="J126" s="4" t="str">
        <f t="shared" si="2"/>
        <v>1.118</v>
      </c>
    </row>
    <row r="127" spans="1:10" s="4" customFormat="1" ht="42.75">
      <c r="A127" s="1265" t="s">
        <v>146</v>
      </c>
      <c r="B127" s="8" t="s">
        <v>1333</v>
      </c>
      <c r="C127" s="157" t="s">
        <v>3</v>
      </c>
      <c r="D127" s="158">
        <v>10</v>
      </c>
      <c r="E127" s="159">
        <v>954.42</v>
      </c>
      <c r="F127" s="158">
        <v>9544.2000000000007</v>
      </c>
      <c r="G127" s="160" t="s">
        <v>4525</v>
      </c>
      <c r="H127" s="1269" t="str">
        <f t="shared" si="3"/>
        <v>0311021102
分析表98_x000D_
橋面</v>
      </c>
      <c r="I127" s="670">
        <v>119</v>
      </c>
      <c r="J127" s="4" t="str">
        <f t="shared" si="2"/>
        <v>1.119</v>
      </c>
    </row>
    <row r="128" spans="1:10" s="4" customFormat="1" ht="71.25">
      <c r="A128" s="1265" t="s">
        <v>147</v>
      </c>
      <c r="B128" s="8" t="s">
        <v>3625</v>
      </c>
      <c r="C128" s="157" t="s">
        <v>3</v>
      </c>
      <c r="D128" s="158">
        <v>10</v>
      </c>
      <c r="E128" s="159">
        <v>1193.82</v>
      </c>
      <c r="F128" s="158">
        <v>11938.2</v>
      </c>
      <c r="G128" s="160" t="s">
        <v>4526</v>
      </c>
      <c r="H128" s="1269" t="str">
        <f t="shared" si="3"/>
        <v>0311021112
分析表99_x000D_
經機關核定每日施工期間未達7小時適用</v>
      </c>
      <c r="I128" s="670">
        <v>120</v>
      </c>
      <c r="J128" s="4" t="str">
        <f t="shared" si="2"/>
        <v>1.120</v>
      </c>
    </row>
    <row r="129" spans="1:10" s="4" customFormat="1" ht="85.5">
      <c r="A129" s="1265" t="s">
        <v>148</v>
      </c>
      <c r="B129" s="8" t="s">
        <v>1347</v>
      </c>
      <c r="C129" s="157" t="s">
        <v>3</v>
      </c>
      <c r="D129" s="158">
        <v>10</v>
      </c>
      <c r="E129" s="159">
        <v>799.59</v>
      </c>
      <c r="F129" s="158">
        <v>7995.9</v>
      </c>
      <c r="G129" s="160" t="s">
        <v>4527</v>
      </c>
      <c r="H129" s="1269" t="str">
        <f t="shared" si="3"/>
        <v>0311021202
分析表100_x000D_
場鑄結構混凝土用模板，(乙種，擋土牆，橋台，車行箱涵等)</v>
      </c>
      <c r="I129" s="670">
        <v>121</v>
      </c>
      <c r="J129" s="4" t="str">
        <f t="shared" si="2"/>
        <v>1.121</v>
      </c>
    </row>
    <row r="130" spans="1:10" s="4" customFormat="1" ht="114">
      <c r="A130" s="1265" t="s">
        <v>149</v>
      </c>
      <c r="B130" s="8" t="s">
        <v>5493</v>
      </c>
      <c r="C130" s="157" t="s">
        <v>3</v>
      </c>
      <c r="D130" s="158">
        <v>10</v>
      </c>
      <c r="E130" s="159">
        <v>1004.94</v>
      </c>
      <c r="F130" s="158">
        <v>10049.4</v>
      </c>
      <c r="G130" s="160" t="s">
        <v>4528</v>
      </c>
      <c r="H130" s="1269" t="str">
        <f t="shared" si="3"/>
        <v>0311021212
分析表101_x000D_
場鑄結構混凝土用模板，(乙種，擋土牆，橋台，車行箱涵等)，經機關核定每日施工期間未達7小時適用</v>
      </c>
      <c r="I130" s="670">
        <v>122</v>
      </c>
      <c r="J130" s="4" t="str">
        <f t="shared" ref="J130:J193" si="4">A130</f>
        <v>1.122</v>
      </c>
    </row>
    <row r="131" spans="1:10" s="4" customFormat="1" ht="42.75">
      <c r="A131" s="1265" t="s">
        <v>150</v>
      </c>
      <c r="B131" s="8" t="s">
        <v>1352</v>
      </c>
      <c r="C131" s="157" t="s">
        <v>3</v>
      </c>
      <c r="D131" s="158">
        <v>10</v>
      </c>
      <c r="E131" s="159">
        <v>548.87</v>
      </c>
      <c r="F131" s="158">
        <v>5488.7</v>
      </c>
      <c r="G131" s="160" t="s">
        <v>4529</v>
      </c>
      <c r="H131" s="1269" t="str">
        <f t="shared" si="3"/>
        <v xml:space="preserve">0311021302
分析表102_x000D_
</v>
      </c>
      <c r="I131" s="670">
        <v>123</v>
      </c>
      <c r="J131" s="4" t="str">
        <f t="shared" si="4"/>
        <v>1.123</v>
      </c>
    </row>
    <row r="132" spans="1:10" s="4" customFormat="1" ht="71.25">
      <c r="A132" s="1265" t="s">
        <v>151</v>
      </c>
      <c r="B132" s="8" t="s">
        <v>3624</v>
      </c>
      <c r="C132" s="157" t="s">
        <v>3</v>
      </c>
      <c r="D132" s="158">
        <v>10</v>
      </c>
      <c r="E132" s="159">
        <v>686.52</v>
      </c>
      <c r="F132" s="158">
        <v>6865.2</v>
      </c>
      <c r="G132" s="160" t="s">
        <v>4530</v>
      </c>
      <c r="H132" s="1269" t="str">
        <f t="shared" si="3"/>
        <v>0311021312
分析表103_x000D_
經機關核定每日施工期間未達7小時適用</v>
      </c>
      <c r="I132" s="670">
        <v>124</v>
      </c>
      <c r="J132" s="4" t="str">
        <f t="shared" si="4"/>
        <v>1.124</v>
      </c>
    </row>
    <row r="133" spans="1:10" s="4" customFormat="1" ht="42.75">
      <c r="A133" s="1265" t="s">
        <v>152</v>
      </c>
      <c r="B133" s="8" t="s">
        <v>4531</v>
      </c>
      <c r="C133" s="157" t="s">
        <v>3</v>
      </c>
      <c r="D133" s="158">
        <v>10</v>
      </c>
      <c r="E133" s="159">
        <v>1091.1199999999999</v>
      </c>
      <c r="F133" s="158">
        <v>10911.2</v>
      </c>
      <c r="G133" s="160" t="s">
        <v>4532</v>
      </c>
      <c r="H133" s="1269" t="str">
        <f t="shared" si="3"/>
        <v xml:space="preserve">03110213N2
分析表104_x000D_
</v>
      </c>
      <c r="I133" s="670">
        <v>125</v>
      </c>
      <c r="J133" s="4" t="str">
        <f t="shared" si="4"/>
        <v>1.125</v>
      </c>
    </row>
    <row r="134" spans="1:10" s="4" customFormat="1" ht="57">
      <c r="A134" s="1265" t="s">
        <v>153</v>
      </c>
      <c r="B134" s="8" t="s">
        <v>1357</v>
      </c>
      <c r="C134" s="157" t="s">
        <v>3</v>
      </c>
      <c r="D134" s="158">
        <v>10</v>
      </c>
      <c r="E134" s="159">
        <v>653.63</v>
      </c>
      <c r="F134" s="158">
        <v>6536.3</v>
      </c>
      <c r="G134" s="160" t="s">
        <v>4533</v>
      </c>
      <c r="H134" s="1269" t="str">
        <f t="shared" si="3"/>
        <v>0311011202
分析表105_x000D_
擋土牆，橋台，車行箱涵等</v>
      </c>
      <c r="I134" s="670">
        <v>126</v>
      </c>
      <c r="J134" s="4" t="str">
        <f t="shared" si="4"/>
        <v>1.126</v>
      </c>
    </row>
    <row r="135" spans="1:10" s="4" customFormat="1" ht="99.75">
      <c r="A135" s="1265" t="s">
        <v>154</v>
      </c>
      <c r="B135" s="8" t="s">
        <v>5494</v>
      </c>
      <c r="C135" s="157" t="s">
        <v>3</v>
      </c>
      <c r="D135" s="158">
        <v>10</v>
      </c>
      <c r="E135" s="159">
        <v>821.92</v>
      </c>
      <c r="F135" s="158">
        <v>8219.2000000000007</v>
      </c>
      <c r="G135" s="160" t="s">
        <v>4534</v>
      </c>
      <c r="H135" s="1269" t="str">
        <f t="shared" si="3"/>
        <v>0311011212
分析表106_x000D_
擋土牆，橋台，車行箱涵等，經機關核定每日施工期間未達7小時適用適用</v>
      </c>
      <c r="I135" s="670">
        <v>127</v>
      </c>
      <c r="J135" s="4" t="str">
        <f t="shared" si="4"/>
        <v>1.127</v>
      </c>
    </row>
    <row r="136" spans="1:10" s="4" customFormat="1" ht="57">
      <c r="A136" s="1265" t="s">
        <v>155</v>
      </c>
      <c r="B136" s="8" t="s">
        <v>1360</v>
      </c>
      <c r="C136" s="157" t="s">
        <v>3</v>
      </c>
      <c r="D136" s="158">
        <v>10</v>
      </c>
      <c r="E136" s="159">
        <v>416.42</v>
      </c>
      <c r="F136" s="158">
        <v>4164.2</v>
      </c>
      <c r="G136" s="160" t="s">
        <v>4535</v>
      </c>
      <c r="H136" s="1269" t="str">
        <f t="shared" si="3"/>
        <v>0311011302
分析表107_x000D_
U型構，集水井，排水箱涵等</v>
      </c>
      <c r="I136" s="670">
        <v>128</v>
      </c>
      <c r="J136" s="4" t="str">
        <f t="shared" si="4"/>
        <v>1.128</v>
      </c>
    </row>
    <row r="137" spans="1:10" s="4" customFormat="1" ht="85.5">
      <c r="A137" s="1265" t="s">
        <v>156</v>
      </c>
      <c r="B137" s="8" t="s">
        <v>5495</v>
      </c>
      <c r="C137" s="157" t="s">
        <v>3</v>
      </c>
      <c r="D137" s="158">
        <v>10</v>
      </c>
      <c r="E137" s="159">
        <v>524.52</v>
      </c>
      <c r="F137" s="158">
        <v>5245.2</v>
      </c>
      <c r="G137" s="160" t="s">
        <v>4536</v>
      </c>
      <c r="H137" s="1269" t="str">
        <f t="shared" si="3"/>
        <v>0311011312
分析表108_x000D_
U型構，集水井，排水箱涵等，經機關核定每日施工期間未達7小時適用</v>
      </c>
      <c r="I137" s="670">
        <v>129</v>
      </c>
      <c r="J137" s="4" t="str">
        <f t="shared" si="4"/>
        <v>1.129</v>
      </c>
    </row>
    <row r="138" spans="1:10" s="4" customFormat="1" ht="57">
      <c r="A138" s="1265" t="s">
        <v>157</v>
      </c>
      <c r="B138" s="8" t="s">
        <v>4537</v>
      </c>
      <c r="C138" s="157" t="s">
        <v>3</v>
      </c>
      <c r="D138" s="158">
        <v>10</v>
      </c>
      <c r="E138" s="159">
        <v>841.49</v>
      </c>
      <c r="F138" s="158">
        <v>8414.9</v>
      </c>
      <c r="G138" s="160" t="s">
        <v>4538</v>
      </c>
      <c r="H138" s="1269" t="str">
        <f t="shared" ref="H138:H201" si="5">G138</f>
        <v>03110113N2
分析表109_x000D_
U型構，集水井，排水箱涵等</v>
      </c>
      <c r="I138" s="670">
        <v>130</v>
      </c>
      <c r="J138" s="4" t="str">
        <f t="shared" si="4"/>
        <v>1.130</v>
      </c>
    </row>
    <row r="139" spans="1:10" s="4" customFormat="1" ht="42.75">
      <c r="A139" s="1265" t="s">
        <v>158</v>
      </c>
      <c r="B139" s="8" t="s">
        <v>404</v>
      </c>
      <c r="C139" s="157" t="s">
        <v>17</v>
      </c>
      <c r="D139" s="158">
        <v>10</v>
      </c>
      <c r="E139" s="159">
        <v>637.04999999999995</v>
      </c>
      <c r="F139" s="158">
        <v>6370.5</v>
      </c>
      <c r="G139" s="160" t="s">
        <v>4539</v>
      </c>
      <c r="H139" s="1269" t="str">
        <f t="shared" si="5"/>
        <v xml:space="preserve">03110960a1
分析表110_x000D_
</v>
      </c>
      <c r="I139" s="670">
        <v>131</v>
      </c>
      <c r="J139" s="4" t="str">
        <f t="shared" si="4"/>
        <v>1.131</v>
      </c>
    </row>
    <row r="140" spans="1:10" s="4" customFormat="1" ht="42.75">
      <c r="A140" s="1265" t="s">
        <v>159</v>
      </c>
      <c r="B140" s="8" t="s">
        <v>1369</v>
      </c>
      <c r="C140" s="157" t="s">
        <v>3</v>
      </c>
      <c r="D140" s="158">
        <v>10</v>
      </c>
      <c r="E140" s="159">
        <v>380.07</v>
      </c>
      <c r="F140" s="158">
        <v>3800.7</v>
      </c>
      <c r="G140" s="160" t="s">
        <v>4540</v>
      </c>
      <c r="H140" s="1269" t="str">
        <f t="shared" si="5"/>
        <v xml:space="preserve">03110960a2
分析表111_x000D_
</v>
      </c>
      <c r="I140" s="670">
        <v>132</v>
      </c>
      <c r="J140" s="4" t="str">
        <f t="shared" si="4"/>
        <v>1.132</v>
      </c>
    </row>
    <row r="141" spans="1:10" s="4" customFormat="1" ht="42.75">
      <c r="A141" s="1265" t="s">
        <v>160</v>
      </c>
      <c r="B141" s="8" t="s">
        <v>1372</v>
      </c>
      <c r="C141" s="157" t="s">
        <v>17</v>
      </c>
      <c r="D141" s="158">
        <v>10</v>
      </c>
      <c r="E141" s="159">
        <v>775.08</v>
      </c>
      <c r="F141" s="158">
        <v>7750.8</v>
      </c>
      <c r="G141" s="160" t="s">
        <v>4541</v>
      </c>
      <c r="H141" s="1269" t="str">
        <f t="shared" si="5"/>
        <v xml:space="preserve">03110960b1
分析表112_x000D_
</v>
      </c>
      <c r="I141" s="670">
        <v>133</v>
      </c>
      <c r="J141" s="4" t="str">
        <f t="shared" si="4"/>
        <v>1.133</v>
      </c>
    </row>
    <row r="142" spans="1:10" s="4" customFormat="1" ht="42.75">
      <c r="A142" s="1265" t="s">
        <v>161</v>
      </c>
      <c r="B142" s="8" t="s">
        <v>1375</v>
      </c>
      <c r="C142" s="157" t="s">
        <v>3</v>
      </c>
      <c r="D142" s="158">
        <v>10</v>
      </c>
      <c r="E142" s="159">
        <v>459.31</v>
      </c>
      <c r="F142" s="158">
        <v>4593.1000000000004</v>
      </c>
      <c r="G142" s="160" t="s">
        <v>4542</v>
      </c>
      <c r="H142" s="1269" t="str">
        <f t="shared" si="5"/>
        <v xml:space="preserve">03110960b2
分析表113_x000D_
</v>
      </c>
      <c r="I142" s="670">
        <v>134</v>
      </c>
      <c r="J142" s="4" t="str">
        <f t="shared" si="4"/>
        <v>1.134</v>
      </c>
    </row>
    <row r="143" spans="1:10" s="4" customFormat="1" ht="42.75">
      <c r="A143" s="1265" t="s">
        <v>162</v>
      </c>
      <c r="B143" s="8" t="s">
        <v>1378</v>
      </c>
      <c r="C143" s="157" t="s">
        <v>17</v>
      </c>
      <c r="D143" s="158">
        <v>10</v>
      </c>
      <c r="E143" s="159">
        <v>900.33</v>
      </c>
      <c r="F143" s="158">
        <v>9003.2999999999993</v>
      </c>
      <c r="G143" s="160" t="s">
        <v>4543</v>
      </c>
      <c r="H143" s="1269" t="str">
        <f t="shared" si="5"/>
        <v xml:space="preserve">03110960c1
分析表114_x000D_
</v>
      </c>
      <c r="I143" s="670">
        <v>135</v>
      </c>
      <c r="J143" s="4" t="str">
        <f t="shared" si="4"/>
        <v>1.135</v>
      </c>
    </row>
    <row r="144" spans="1:10" s="4" customFormat="1" ht="42.75">
      <c r="A144" s="1265" t="s">
        <v>163</v>
      </c>
      <c r="B144" s="8" t="s">
        <v>1381</v>
      </c>
      <c r="C144" s="157" t="s">
        <v>3</v>
      </c>
      <c r="D144" s="158">
        <v>10</v>
      </c>
      <c r="E144" s="159">
        <v>534.51</v>
      </c>
      <c r="F144" s="158">
        <v>5345.1</v>
      </c>
      <c r="G144" s="160" t="s">
        <v>4544</v>
      </c>
      <c r="H144" s="1269" t="str">
        <f t="shared" si="5"/>
        <v xml:space="preserve">03110960c2
分析表115_x000D_
</v>
      </c>
      <c r="I144" s="670">
        <v>136</v>
      </c>
      <c r="J144" s="4" t="str">
        <f t="shared" si="4"/>
        <v>1.136</v>
      </c>
    </row>
    <row r="145" spans="1:10" s="4" customFormat="1" ht="71.25">
      <c r="A145" s="1265" t="s">
        <v>164</v>
      </c>
      <c r="B145" s="8" t="s">
        <v>3618</v>
      </c>
      <c r="C145" s="157" t="s">
        <v>17</v>
      </c>
      <c r="D145" s="158">
        <v>10</v>
      </c>
      <c r="E145" s="159">
        <v>805.34</v>
      </c>
      <c r="F145" s="158">
        <v>8053.4</v>
      </c>
      <c r="G145" s="160" t="s">
        <v>4545</v>
      </c>
      <c r="H145" s="1269" t="str">
        <f t="shared" si="5"/>
        <v>03110900a1
分析表116_x000D_
經機關核定每日施工期間未達7小時適用</v>
      </c>
      <c r="I145" s="670">
        <v>137</v>
      </c>
      <c r="J145" s="4" t="str">
        <f t="shared" si="4"/>
        <v>1.137</v>
      </c>
    </row>
    <row r="146" spans="1:10" s="4" customFormat="1" ht="71.25">
      <c r="A146" s="1265" t="s">
        <v>165</v>
      </c>
      <c r="B146" s="8" t="s">
        <v>3619</v>
      </c>
      <c r="C146" s="157" t="s">
        <v>3</v>
      </c>
      <c r="D146" s="158">
        <v>10</v>
      </c>
      <c r="E146" s="159">
        <v>473.41</v>
      </c>
      <c r="F146" s="158">
        <v>4734.1000000000004</v>
      </c>
      <c r="G146" s="160" t="s">
        <v>4546</v>
      </c>
      <c r="H146" s="1269" t="str">
        <f t="shared" si="5"/>
        <v>03110900a2
分析表117_x000D_
經機關核定每日施工期間未達7小時適用</v>
      </c>
      <c r="I146" s="670">
        <v>138</v>
      </c>
      <c r="J146" s="4" t="str">
        <f t="shared" si="4"/>
        <v>1.138</v>
      </c>
    </row>
    <row r="147" spans="1:10" s="4" customFormat="1" ht="71.25">
      <c r="A147" s="1265" t="s">
        <v>166</v>
      </c>
      <c r="B147" s="8" t="s">
        <v>5485</v>
      </c>
      <c r="C147" s="157" t="s">
        <v>17</v>
      </c>
      <c r="D147" s="158">
        <v>10</v>
      </c>
      <c r="E147" s="159">
        <v>988.8</v>
      </c>
      <c r="F147" s="158">
        <v>9888</v>
      </c>
      <c r="G147" s="160" t="s">
        <v>4547</v>
      </c>
      <c r="H147" s="1269" t="str">
        <f t="shared" si="5"/>
        <v>03110900b1
分析表118_x000D_
經機關核定每日施工期間未達7小時適用</v>
      </c>
      <c r="I147" s="670">
        <v>139</v>
      </c>
      <c r="J147" s="4" t="str">
        <f t="shared" si="4"/>
        <v>1.139</v>
      </c>
    </row>
    <row r="148" spans="1:10" s="4" customFormat="1" ht="71.25">
      <c r="A148" s="1265" t="s">
        <v>167</v>
      </c>
      <c r="B148" s="8" t="s">
        <v>3620</v>
      </c>
      <c r="C148" s="157" t="s">
        <v>3</v>
      </c>
      <c r="D148" s="158">
        <v>10</v>
      </c>
      <c r="E148" s="159">
        <v>575.37</v>
      </c>
      <c r="F148" s="158">
        <v>5753.7</v>
      </c>
      <c r="G148" s="160" t="s">
        <v>4548</v>
      </c>
      <c r="H148" s="1269" t="str">
        <f t="shared" si="5"/>
        <v>03110900b2
分析表119_x000D_
經機關核定每日施工期間未達7小時適用</v>
      </c>
      <c r="I148" s="670">
        <v>140</v>
      </c>
      <c r="J148" s="4" t="str">
        <f t="shared" si="4"/>
        <v>1.140</v>
      </c>
    </row>
    <row r="149" spans="1:10" s="4" customFormat="1" ht="71.25">
      <c r="A149" s="1265" t="s">
        <v>168</v>
      </c>
      <c r="B149" s="8" t="s">
        <v>3621</v>
      </c>
      <c r="C149" s="157" t="s">
        <v>17</v>
      </c>
      <c r="D149" s="158">
        <v>10</v>
      </c>
      <c r="E149" s="159">
        <v>1152.02</v>
      </c>
      <c r="F149" s="158">
        <v>11520.2</v>
      </c>
      <c r="G149" s="160" t="s">
        <v>4549</v>
      </c>
      <c r="H149" s="1269" t="str">
        <f t="shared" si="5"/>
        <v>03110900c1
分析表120_x000D_
經機關核定每日施工期間未達7小時適用</v>
      </c>
      <c r="I149" s="670">
        <v>141</v>
      </c>
      <c r="J149" s="4" t="str">
        <f t="shared" si="4"/>
        <v>1.141</v>
      </c>
    </row>
    <row r="150" spans="1:10" s="4" customFormat="1" ht="71.25">
      <c r="A150" s="1265" t="s">
        <v>169</v>
      </c>
      <c r="B150" s="8" t="s">
        <v>3622</v>
      </c>
      <c r="C150" s="157" t="s">
        <v>3</v>
      </c>
      <c r="D150" s="158">
        <v>10</v>
      </c>
      <c r="E150" s="159">
        <v>672.18</v>
      </c>
      <c r="F150" s="158">
        <v>6721.8</v>
      </c>
      <c r="G150" s="160" t="s">
        <v>4550</v>
      </c>
      <c r="H150" s="1269" t="str">
        <f t="shared" si="5"/>
        <v>03110900c2
分析表121_x000D_
經機關核定每日施工期間未達7小時適用</v>
      </c>
      <c r="I150" s="670">
        <v>142</v>
      </c>
      <c r="J150" s="4" t="str">
        <f t="shared" si="4"/>
        <v>1.142</v>
      </c>
    </row>
    <row r="151" spans="1:10" s="4" customFormat="1" ht="42.75">
      <c r="A151" s="1265" t="s">
        <v>170</v>
      </c>
      <c r="B151" s="8" t="s">
        <v>4551</v>
      </c>
      <c r="C151" s="157" t="s">
        <v>17</v>
      </c>
      <c r="D151" s="158">
        <v>10</v>
      </c>
      <c r="E151" s="159">
        <v>1298.93</v>
      </c>
      <c r="F151" s="158">
        <v>12989.3</v>
      </c>
      <c r="G151" s="160" t="s">
        <v>4552</v>
      </c>
      <c r="H151" s="1269" t="str">
        <f t="shared" si="5"/>
        <v xml:space="preserve">0311096Na1
分析表122_x000D_
</v>
      </c>
      <c r="I151" s="670">
        <v>143</v>
      </c>
      <c r="J151" s="4" t="str">
        <f t="shared" si="4"/>
        <v>1.143</v>
      </c>
    </row>
    <row r="152" spans="1:10" s="4" customFormat="1" ht="42.75">
      <c r="A152" s="1265" t="s">
        <v>171</v>
      </c>
      <c r="B152" s="8" t="s">
        <v>4553</v>
      </c>
      <c r="C152" s="157" t="s">
        <v>3</v>
      </c>
      <c r="D152" s="158">
        <v>10</v>
      </c>
      <c r="E152" s="159">
        <v>747.78</v>
      </c>
      <c r="F152" s="158">
        <v>7477.8</v>
      </c>
      <c r="G152" s="160" t="s">
        <v>4554</v>
      </c>
      <c r="H152" s="1269" t="str">
        <f t="shared" si="5"/>
        <v xml:space="preserve">0311096Na2
分析表123_x000D_
</v>
      </c>
      <c r="I152" s="670">
        <v>144</v>
      </c>
      <c r="J152" s="4" t="str">
        <f t="shared" si="4"/>
        <v>1.144</v>
      </c>
    </row>
    <row r="153" spans="1:10" s="4" customFormat="1" ht="42.75">
      <c r="A153" s="1265" t="s">
        <v>172</v>
      </c>
      <c r="B153" s="8" t="s">
        <v>4555</v>
      </c>
      <c r="C153" s="157" t="s">
        <v>17</v>
      </c>
      <c r="D153" s="158">
        <v>10</v>
      </c>
      <c r="E153" s="159">
        <v>1616.39</v>
      </c>
      <c r="F153" s="158">
        <v>16163.9</v>
      </c>
      <c r="G153" s="160" t="s">
        <v>4556</v>
      </c>
      <c r="H153" s="1269" t="str">
        <f t="shared" si="5"/>
        <v xml:space="preserve">0311096Nb1
分析表124_x000D_
</v>
      </c>
      <c r="I153" s="670">
        <v>145</v>
      </c>
      <c r="J153" s="4" t="str">
        <f t="shared" si="4"/>
        <v>1.145</v>
      </c>
    </row>
    <row r="154" spans="1:10" s="4" customFormat="1" ht="42.75">
      <c r="A154" s="1265" t="s">
        <v>173</v>
      </c>
      <c r="B154" s="8" t="s">
        <v>4557</v>
      </c>
      <c r="C154" s="157" t="s">
        <v>3</v>
      </c>
      <c r="D154" s="158">
        <v>10</v>
      </c>
      <c r="E154" s="159">
        <v>916.74</v>
      </c>
      <c r="F154" s="158">
        <v>9167.4</v>
      </c>
      <c r="G154" s="160" t="s">
        <v>4558</v>
      </c>
      <c r="H154" s="1269" t="str">
        <f t="shared" si="5"/>
        <v xml:space="preserve">0311096Nb2
分析表125_x000D_
</v>
      </c>
      <c r="I154" s="670">
        <v>146</v>
      </c>
      <c r="J154" s="4" t="str">
        <f t="shared" si="4"/>
        <v>1.146</v>
      </c>
    </row>
    <row r="155" spans="1:10" s="4" customFormat="1" ht="42.75">
      <c r="A155" s="1265" t="s">
        <v>174</v>
      </c>
      <c r="B155" s="8" t="s">
        <v>4559</v>
      </c>
      <c r="C155" s="157" t="s">
        <v>17</v>
      </c>
      <c r="D155" s="158">
        <v>10</v>
      </c>
      <c r="E155" s="159">
        <v>1891.18</v>
      </c>
      <c r="F155" s="158">
        <v>18911.8</v>
      </c>
      <c r="G155" s="160" t="s">
        <v>4560</v>
      </c>
      <c r="H155" s="1269" t="str">
        <f t="shared" si="5"/>
        <v xml:space="preserve">0311096NC1
分析表126_x000D_
</v>
      </c>
      <c r="I155" s="670">
        <v>147</v>
      </c>
      <c r="J155" s="4" t="str">
        <f t="shared" si="4"/>
        <v>1.147</v>
      </c>
    </row>
    <row r="156" spans="1:10" s="4" customFormat="1" ht="42.75">
      <c r="A156" s="1265" t="s">
        <v>175</v>
      </c>
      <c r="B156" s="8" t="s">
        <v>4561</v>
      </c>
      <c r="C156" s="157" t="s">
        <v>3</v>
      </c>
      <c r="D156" s="158">
        <v>10</v>
      </c>
      <c r="E156" s="159">
        <v>1076.3900000000001</v>
      </c>
      <c r="F156" s="158">
        <v>10763.9</v>
      </c>
      <c r="G156" s="160" t="s">
        <v>4562</v>
      </c>
      <c r="H156" s="1269" t="str">
        <f t="shared" si="5"/>
        <v xml:space="preserve">0311096NC2
分析表127_x000D_
</v>
      </c>
      <c r="I156" s="670">
        <v>148</v>
      </c>
      <c r="J156" s="4" t="str">
        <f t="shared" si="4"/>
        <v>1.148</v>
      </c>
    </row>
    <row r="157" spans="1:10" s="4" customFormat="1" ht="42.75">
      <c r="A157" s="1265" t="s">
        <v>176</v>
      </c>
      <c r="B157" s="8" t="s">
        <v>1472</v>
      </c>
      <c r="C157" s="157" t="s">
        <v>4563</v>
      </c>
      <c r="D157" s="158">
        <v>10</v>
      </c>
      <c r="E157" s="159">
        <v>265.05</v>
      </c>
      <c r="F157" s="158">
        <v>2650.5</v>
      </c>
      <c r="G157" s="160" t="s">
        <v>4564</v>
      </c>
      <c r="H157" s="1269" t="str">
        <f t="shared" si="5"/>
        <v xml:space="preserve">0311090012
分析表128_x000D_
</v>
      </c>
      <c r="I157" s="670">
        <v>149</v>
      </c>
      <c r="J157" s="4" t="str">
        <f t="shared" si="4"/>
        <v>1.149</v>
      </c>
    </row>
    <row r="158" spans="1:10" s="4" customFormat="1" ht="42.75">
      <c r="A158" s="1265" t="s">
        <v>177</v>
      </c>
      <c r="B158" s="8" t="s">
        <v>4565</v>
      </c>
      <c r="C158" s="157" t="s">
        <v>4563</v>
      </c>
      <c r="D158" s="158">
        <v>10</v>
      </c>
      <c r="E158" s="159">
        <v>483.22</v>
      </c>
      <c r="F158" s="158">
        <v>4832.2</v>
      </c>
      <c r="G158" s="160" t="s">
        <v>4566</v>
      </c>
      <c r="H158" s="1269" t="str">
        <f t="shared" si="5"/>
        <v xml:space="preserve">0311090n12
分析表129_x000D_
</v>
      </c>
      <c r="I158" s="670">
        <v>150</v>
      </c>
      <c r="J158" s="4" t="str">
        <f t="shared" si="4"/>
        <v>1.150</v>
      </c>
    </row>
    <row r="159" spans="1:10" s="4" customFormat="1" ht="57">
      <c r="A159" s="1265" t="s">
        <v>178</v>
      </c>
      <c r="B159" s="8" t="s">
        <v>513</v>
      </c>
      <c r="C159" s="157" t="s">
        <v>18</v>
      </c>
      <c r="D159" s="158">
        <v>500</v>
      </c>
      <c r="E159" s="159">
        <v>31.93</v>
      </c>
      <c r="F159" s="158">
        <v>15965</v>
      </c>
      <c r="G159" s="160" t="s">
        <v>4567</v>
      </c>
      <c r="H159" s="1269" t="str">
        <f t="shared" si="5"/>
        <v>0321040009
分析表130_x000D_
本項納入「鋼筋」物價指數調整</v>
      </c>
      <c r="I159" s="670">
        <v>151</v>
      </c>
      <c r="J159" s="4" t="str">
        <f t="shared" si="4"/>
        <v>1.151</v>
      </c>
    </row>
    <row r="160" spans="1:10" s="4" customFormat="1" ht="57">
      <c r="A160" s="1265" t="s">
        <v>179</v>
      </c>
      <c r="B160" s="8" t="s">
        <v>1417</v>
      </c>
      <c r="C160" s="157" t="s">
        <v>18</v>
      </c>
      <c r="D160" s="158">
        <v>500</v>
      </c>
      <c r="E160" s="159">
        <v>31.55</v>
      </c>
      <c r="F160" s="158">
        <v>15775</v>
      </c>
      <c r="G160" s="160" t="s">
        <v>4568</v>
      </c>
      <c r="H160" s="1269" t="str">
        <f t="shared" si="5"/>
        <v>0321030009
分析表131_x000D_
本項納入「鋼筋」物價指數調整</v>
      </c>
      <c r="I160" s="670">
        <v>152</v>
      </c>
      <c r="J160" s="4" t="str">
        <f t="shared" si="4"/>
        <v>1.152</v>
      </c>
    </row>
    <row r="161" spans="1:10" s="4" customFormat="1" ht="42.75">
      <c r="A161" s="1265" t="s">
        <v>180</v>
      </c>
      <c r="B161" s="8" t="s">
        <v>1420</v>
      </c>
      <c r="C161" s="157" t="s">
        <v>18</v>
      </c>
      <c r="D161" s="158">
        <v>500</v>
      </c>
      <c r="E161" s="159">
        <v>33.54</v>
      </c>
      <c r="F161" s="158">
        <v>16770</v>
      </c>
      <c r="G161" s="160" t="s">
        <v>4569</v>
      </c>
      <c r="H161" s="1269" t="str">
        <f t="shared" si="5"/>
        <v xml:space="preserve">0321050009
分析表132_x000D_
</v>
      </c>
      <c r="I161" s="670">
        <v>153</v>
      </c>
      <c r="J161" s="4" t="str">
        <f t="shared" si="4"/>
        <v>1.153</v>
      </c>
    </row>
    <row r="162" spans="1:10" s="4" customFormat="1" ht="42.75">
      <c r="A162" s="1265" t="s">
        <v>181</v>
      </c>
      <c r="B162" s="8" t="s">
        <v>1425</v>
      </c>
      <c r="C162" s="157" t="s">
        <v>18</v>
      </c>
      <c r="D162" s="158">
        <v>500</v>
      </c>
      <c r="E162" s="159">
        <v>33.74</v>
      </c>
      <c r="F162" s="158">
        <v>16870</v>
      </c>
      <c r="G162" s="160" t="s">
        <v>4570</v>
      </c>
      <c r="H162" s="1269" t="str">
        <f t="shared" si="5"/>
        <v xml:space="preserve">0321060009
分析表133_x000D_
</v>
      </c>
      <c r="I162" s="670">
        <v>154</v>
      </c>
      <c r="J162" s="4" t="str">
        <f t="shared" si="4"/>
        <v>1.154</v>
      </c>
    </row>
    <row r="163" spans="1:10" s="4" customFormat="1" ht="99.75">
      <c r="A163" s="1265" t="s">
        <v>182</v>
      </c>
      <c r="B163" s="8" t="s">
        <v>3629</v>
      </c>
      <c r="C163" s="157" t="s">
        <v>18</v>
      </c>
      <c r="D163" s="158">
        <v>500</v>
      </c>
      <c r="E163" s="159">
        <v>34.42</v>
      </c>
      <c r="F163" s="158">
        <v>17210</v>
      </c>
      <c r="G163" s="160" t="s">
        <v>4571</v>
      </c>
      <c r="H163" s="1269" t="str">
        <f t="shared" si="5"/>
        <v>0321031009
分析表134_x000D_
經機關核定每日施工期間未達7小時適用，本項納入「鋼筋」物價指數調整</v>
      </c>
      <c r="I163" s="670">
        <v>155</v>
      </c>
      <c r="J163" s="4" t="str">
        <f t="shared" si="4"/>
        <v>1.155</v>
      </c>
    </row>
    <row r="164" spans="1:10" s="4" customFormat="1" ht="99.75">
      <c r="A164" s="1265" t="s">
        <v>183</v>
      </c>
      <c r="B164" s="8" t="s">
        <v>2939</v>
      </c>
      <c r="C164" s="157" t="s">
        <v>18</v>
      </c>
      <c r="D164" s="158">
        <v>500</v>
      </c>
      <c r="E164" s="159">
        <v>34.81</v>
      </c>
      <c r="F164" s="158">
        <v>17405</v>
      </c>
      <c r="G164" s="160" t="s">
        <v>4572</v>
      </c>
      <c r="H164" s="1269" t="str">
        <f t="shared" si="5"/>
        <v>0321041009
分析表135_x000D_
經機關核定每日施工期間未達7小時適用，本項納入「鋼筋」物價指數調整</v>
      </c>
      <c r="I164" s="670">
        <v>156</v>
      </c>
      <c r="J164" s="4" t="str">
        <f t="shared" si="4"/>
        <v>1.156</v>
      </c>
    </row>
    <row r="165" spans="1:10" s="4" customFormat="1" ht="71.25">
      <c r="A165" s="1265" t="s">
        <v>184</v>
      </c>
      <c r="B165" s="8" t="s">
        <v>3630</v>
      </c>
      <c r="C165" s="157" t="s">
        <v>18</v>
      </c>
      <c r="D165" s="158">
        <v>500</v>
      </c>
      <c r="E165" s="159">
        <v>36.31</v>
      </c>
      <c r="F165" s="158">
        <v>18155</v>
      </c>
      <c r="G165" s="160" t="s">
        <v>4573</v>
      </c>
      <c r="H165" s="1269" t="str">
        <f t="shared" si="5"/>
        <v>0321051009
分析表136_x000D_
經機關核定每日施工期間未達7小時適用</v>
      </c>
      <c r="I165" s="670">
        <v>157</v>
      </c>
      <c r="J165" s="4" t="str">
        <f t="shared" si="4"/>
        <v>1.157</v>
      </c>
    </row>
    <row r="166" spans="1:10" s="4" customFormat="1" ht="71.25">
      <c r="A166" s="1265" t="s">
        <v>185</v>
      </c>
      <c r="B166" s="8" t="s">
        <v>2940</v>
      </c>
      <c r="C166" s="157" t="s">
        <v>18</v>
      </c>
      <c r="D166" s="158">
        <v>500</v>
      </c>
      <c r="E166" s="159">
        <v>36.51</v>
      </c>
      <c r="F166" s="158">
        <v>18255</v>
      </c>
      <c r="G166" s="160" t="s">
        <v>4574</v>
      </c>
      <c r="H166" s="1269" t="str">
        <f t="shared" si="5"/>
        <v>0321061009
分析表137_x000D_
經機關核定每日施工期間未達7小時適用</v>
      </c>
      <c r="I166" s="670">
        <v>158</v>
      </c>
      <c r="J166" s="4" t="str">
        <f t="shared" si="4"/>
        <v>1.158</v>
      </c>
    </row>
    <row r="167" spans="1:10" s="4" customFormat="1" ht="57">
      <c r="A167" s="1265" t="s">
        <v>186</v>
      </c>
      <c r="B167" s="8" t="s">
        <v>4575</v>
      </c>
      <c r="C167" s="157" t="s">
        <v>18</v>
      </c>
      <c r="D167" s="158">
        <v>500</v>
      </c>
      <c r="E167" s="159">
        <v>43.28</v>
      </c>
      <c r="F167" s="158">
        <v>21640</v>
      </c>
      <c r="G167" s="160" t="s">
        <v>4576</v>
      </c>
      <c r="H167" s="1269" t="str">
        <f t="shared" si="5"/>
        <v>03210400N9
分析表138_x000D_
本項納入「鋼筋」物價指數調整</v>
      </c>
      <c r="I167" s="670">
        <v>159</v>
      </c>
      <c r="J167" s="4" t="str">
        <f t="shared" si="4"/>
        <v>1.159</v>
      </c>
    </row>
    <row r="168" spans="1:10" s="4" customFormat="1" ht="42.75">
      <c r="A168" s="1265" t="s">
        <v>187</v>
      </c>
      <c r="B168" s="8" t="s">
        <v>4577</v>
      </c>
      <c r="C168" s="157" t="s">
        <v>18</v>
      </c>
      <c r="D168" s="158">
        <v>500</v>
      </c>
      <c r="E168" s="159">
        <v>44.65</v>
      </c>
      <c r="F168" s="158">
        <v>22325</v>
      </c>
      <c r="G168" s="160" t="s">
        <v>4578</v>
      </c>
      <c r="H168" s="1269" t="str">
        <f t="shared" si="5"/>
        <v xml:space="preserve">03210600N9
分析表139_x000D_
</v>
      </c>
      <c r="I168" s="670">
        <v>160</v>
      </c>
      <c r="J168" s="4" t="str">
        <f t="shared" si="4"/>
        <v>1.160</v>
      </c>
    </row>
    <row r="169" spans="1:10" s="4" customFormat="1" ht="42.75">
      <c r="A169" s="1265" t="s">
        <v>188</v>
      </c>
      <c r="B169" s="8" t="s">
        <v>1437</v>
      </c>
      <c r="C169" s="157" t="s">
        <v>18</v>
      </c>
      <c r="D169" s="158">
        <v>50</v>
      </c>
      <c r="E169" s="159">
        <v>35.340000000000003</v>
      </c>
      <c r="F169" s="158">
        <v>1767</v>
      </c>
      <c r="G169" s="160" t="s">
        <v>4579</v>
      </c>
      <c r="H169" s="1269" t="str">
        <f t="shared" si="5"/>
        <v xml:space="preserve">05500R1009
分析表140_x000D_
</v>
      </c>
      <c r="I169" s="670">
        <v>161</v>
      </c>
      <c r="J169" s="4" t="str">
        <f t="shared" si="4"/>
        <v>1.161</v>
      </c>
    </row>
    <row r="170" spans="1:10" s="4" customFormat="1" ht="28.5">
      <c r="A170" s="1265" t="s">
        <v>189</v>
      </c>
      <c r="B170" s="8" t="s">
        <v>1445</v>
      </c>
      <c r="C170" s="157" t="s">
        <v>18</v>
      </c>
      <c r="D170" s="158">
        <v>50</v>
      </c>
      <c r="E170" s="159">
        <v>21.86</v>
      </c>
      <c r="F170" s="158">
        <v>1093</v>
      </c>
      <c r="G170" s="160" t="s">
        <v>1446</v>
      </c>
      <c r="H170" s="1269" t="str">
        <f t="shared" si="5"/>
        <v xml:space="preserve">0550011009
</v>
      </c>
      <c r="I170" s="670">
        <v>162</v>
      </c>
      <c r="J170" s="4" t="str">
        <f t="shared" si="4"/>
        <v>1.162</v>
      </c>
    </row>
    <row r="171" spans="1:10" s="4" customFormat="1" ht="28.5">
      <c r="A171" s="1265" t="s">
        <v>190</v>
      </c>
      <c r="B171" s="8" t="s">
        <v>2049</v>
      </c>
      <c r="C171" s="157" t="s">
        <v>18</v>
      </c>
      <c r="D171" s="158">
        <v>200</v>
      </c>
      <c r="E171" s="159">
        <v>31.79</v>
      </c>
      <c r="F171" s="158">
        <v>6358</v>
      </c>
      <c r="G171" s="160" t="s">
        <v>2050</v>
      </c>
      <c r="H171" s="1269" t="str">
        <f t="shared" si="5"/>
        <v xml:space="preserve">M0550010009
</v>
      </c>
      <c r="I171" s="670">
        <v>163</v>
      </c>
      <c r="J171" s="4" t="str">
        <f t="shared" si="4"/>
        <v>1.163</v>
      </c>
    </row>
    <row r="172" spans="1:10" s="4" customFormat="1" ht="42.75">
      <c r="A172" s="1265" t="s">
        <v>191</v>
      </c>
      <c r="B172" s="8" t="s">
        <v>1448</v>
      </c>
      <c r="C172" s="157" t="s">
        <v>18</v>
      </c>
      <c r="D172" s="158">
        <v>10</v>
      </c>
      <c r="E172" s="159">
        <v>276.3</v>
      </c>
      <c r="F172" s="158">
        <v>2763</v>
      </c>
      <c r="G172" s="160" t="s">
        <v>4580</v>
      </c>
      <c r="H172" s="1269" t="str">
        <f t="shared" si="5"/>
        <v xml:space="preserve">05500Pc009
分析表141_x000D_
</v>
      </c>
      <c r="I172" s="670">
        <v>164</v>
      </c>
      <c r="J172" s="4" t="str">
        <f t="shared" si="4"/>
        <v>1.164</v>
      </c>
    </row>
    <row r="173" spans="1:10" s="4" customFormat="1" ht="42.75">
      <c r="A173" s="1265" t="s">
        <v>192</v>
      </c>
      <c r="B173" s="8" t="s">
        <v>1455</v>
      </c>
      <c r="C173" s="157" t="s">
        <v>18</v>
      </c>
      <c r="D173" s="158">
        <v>10</v>
      </c>
      <c r="E173" s="159">
        <v>317.24</v>
      </c>
      <c r="F173" s="158">
        <v>3172.4</v>
      </c>
      <c r="G173" s="160" t="s">
        <v>4581</v>
      </c>
      <c r="H173" s="1269" t="str">
        <f t="shared" si="5"/>
        <v xml:space="preserve">05500Pd009
分析表142_x000D_
</v>
      </c>
      <c r="I173" s="670">
        <v>165</v>
      </c>
      <c r="J173" s="4" t="str">
        <f t="shared" si="4"/>
        <v>1.165</v>
      </c>
    </row>
    <row r="174" spans="1:10" s="4" customFormat="1" ht="31.5">
      <c r="A174" s="1265" t="s">
        <v>193</v>
      </c>
      <c r="B174" s="8" t="s">
        <v>3122</v>
      </c>
      <c r="C174" s="157" t="s">
        <v>3</v>
      </c>
      <c r="D174" s="158">
        <v>20</v>
      </c>
      <c r="E174" s="159">
        <v>78.489999999999995</v>
      </c>
      <c r="F174" s="158">
        <v>1569.8</v>
      </c>
      <c r="G174" s="160" t="s">
        <v>3123</v>
      </c>
      <c r="H174" s="1269" t="str">
        <f t="shared" si="5"/>
        <v>06050100F1
#</v>
      </c>
      <c r="I174" s="670">
        <v>166</v>
      </c>
      <c r="J174" s="4" t="str">
        <f t="shared" si="4"/>
        <v>1.166</v>
      </c>
    </row>
    <row r="175" spans="1:10" s="4" customFormat="1" ht="31.5">
      <c r="A175" s="1265" t="s">
        <v>194</v>
      </c>
      <c r="B175" s="8" t="s">
        <v>3124</v>
      </c>
      <c r="C175" s="157" t="s">
        <v>3</v>
      </c>
      <c r="D175" s="158">
        <v>20</v>
      </c>
      <c r="E175" s="159">
        <v>87.43</v>
      </c>
      <c r="F175" s="158">
        <v>1748.6</v>
      </c>
      <c r="G175" s="160" t="s">
        <v>3125</v>
      </c>
      <c r="H175" s="1269" t="str">
        <f t="shared" si="5"/>
        <v xml:space="preserve">M0322004732
</v>
      </c>
      <c r="I175" s="670">
        <v>167</v>
      </c>
      <c r="J175" s="4" t="str">
        <f t="shared" si="4"/>
        <v>1.167</v>
      </c>
    </row>
    <row r="176" spans="1:10" s="4" customFormat="1" ht="42.75">
      <c r="A176" s="1265" t="s">
        <v>195</v>
      </c>
      <c r="B176" s="8" t="s">
        <v>1460</v>
      </c>
      <c r="C176" s="157" t="s">
        <v>3</v>
      </c>
      <c r="D176" s="158">
        <v>5</v>
      </c>
      <c r="E176" s="159">
        <v>863.21</v>
      </c>
      <c r="F176" s="158">
        <v>4316.05</v>
      </c>
      <c r="G176" s="160" t="s">
        <v>4582</v>
      </c>
      <c r="H176" s="1269" t="str">
        <f t="shared" si="5"/>
        <v xml:space="preserve">03110700h2
分析表143_x000D_
</v>
      </c>
      <c r="I176" s="670">
        <v>168</v>
      </c>
      <c r="J176" s="4" t="str">
        <f t="shared" si="4"/>
        <v>1.168</v>
      </c>
    </row>
    <row r="177" spans="1:10" s="4" customFormat="1" ht="42.75">
      <c r="A177" s="1265" t="s">
        <v>196</v>
      </c>
      <c r="B177" s="8" t="s">
        <v>1469</v>
      </c>
      <c r="C177" s="157" t="s">
        <v>3</v>
      </c>
      <c r="D177" s="158">
        <v>5</v>
      </c>
      <c r="E177" s="159">
        <v>1505.97</v>
      </c>
      <c r="F177" s="158">
        <v>7529.85</v>
      </c>
      <c r="G177" s="160" t="s">
        <v>4583</v>
      </c>
      <c r="H177" s="1269" t="str">
        <f t="shared" si="5"/>
        <v xml:space="preserve">03110700J2
分析表144_x000D_
</v>
      </c>
      <c r="I177" s="670">
        <v>169</v>
      </c>
      <c r="J177" s="4" t="str">
        <f t="shared" si="4"/>
        <v>1.169</v>
      </c>
    </row>
    <row r="178" spans="1:10" s="4" customFormat="1" ht="42.75">
      <c r="A178" s="1265" t="s">
        <v>197</v>
      </c>
      <c r="B178" s="8" t="s">
        <v>1472</v>
      </c>
      <c r="C178" s="157" t="s">
        <v>4563</v>
      </c>
      <c r="D178" s="158">
        <v>5</v>
      </c>
      <c r="E178" s="159">
        <v>265.05</v>
      </c>
      <c r="F178" s="158">
        <v>1325.25</v>
      </c>
      <c r="G178" s="160" t="s">
        <v>4564</v>
      </c>
      <c r="H178" s="1269" t="str">
        <f t="shared" si="5"/>
        <v xml:space="preserve">0311090012
分析表128_x000D_
</v>
      </c>
      <c r="I178" s="670">
        <v>170</v>
      </c>
      <c r="J178" s="4" t="str">
        <f t="shared" si="4"/>
        <v>1.170</v>
      </c>
    </row>
    <row r="179" spans="1:10" s="4" customFormat="1" ht="31.5">
      <c r="A179" s="1265" t="s">
        <v>198</v>
      </c>
      <c r="B179" s="8" t="s">
        <v>2817</v>
      </c>
      <c r="C179" s="157" t="s">
        <v>2335</v>
      </c>
      <c r="D179" s="158">
        <v>10</v>
      </c>
      <c r="E179" s="159">
        <v>39.74</v>
      </c>
      <c r="F179" s="158">
        <v>397.4</v>
      </c>
      <c r="G179" s="160" t="s">
        <v>3129</v>
      </c>
      <c r="H179" s="1269" t="str">
        <f t="shared" si="5"/>
        <v xml:space="preserve">032100E2GB
</v>
      </c>
      <c r="I179" s="670">
        <v>171</v>
      </c>
      <c r="J179" s="4" t="str">
        <f t="shared" si="4"/>
        <v>1.171</v>
      </c>
    </row>
    <row r="180" spans="1:10" s="4" customFormat="1" ht="31.5">
      <c r="A180" s="1265" t="s">
        <v>199</v>
      </c>
      <c r="B180" s="8" t="s">
        <v>3130</v>
      </c>
      <c r="C180" s="157" t="s">
        <v>2335</v>
      </c>
      <c r="D180" s="158">
        <v>10</v>
      </c>
      <c r="E180" s="159">
        <v>51.66</v>
      </c>
      <c r="F180" s="158">
        <v>516.6</v>
      </c>
      <c r="G180" s="160" t="s">
        <v>3131</v>
      </c>
      <c r="H180" s="1269" t="str">
        <f t="shared" si="5"/>
        <v xml:space="preserve">032100E3GB
</v>
      </c>
      <c r="I180" s="670">
        <v>172</v>
      </c>
      <c r="J180" s="4" t="str">
        <f t="shared" si="4"/>
        <v>1.172</v>
      </c>
    </row>
    <row r="181" spans="1:10" s="4" customFormat="1" ht="31.5">
      <c r="A181" s="1265" t="s">
        <v>200</v>
      </c>
      <c r="B181" s="8" t="s">
        <v>3132</v>
      </c>
      <c r="C181" s="157" t="s">
        <v>2335</v>
      </c>
      <c r="D181" s="158">
        <v>10</v>
      </c>
      <c r="E181" s="159">
        <v>94.39</v>
      </c>
      <c r="F181" s="158">
        <v>943.9</v>
      </c>
      <c r="G181" s="160" t="s">
        <v>3133</v>
      </c>
      <c r="H181" s="1269" t="str">
        <f t="shared" si="5"/>
        <v xml:space="preserve">032100E4GB
</v>
      </c>
      <c r="I181" s="670">
        <v>173</v>
      </c>
      <c r="J181" s="4" t="str">
        <f t="shared" si="4"/>
        <v>1.173</v>
      </c>
    </row>
    <row r="182" spans="1:10" s="4" customFormat="1" ht="31.5">
      <c r="A182" s="1265" t="s">
        <v>201</v>
      </c>
      <c r="B182" s="8" t="s">
        <v>3134</v>
      </c>
      <c r="C182" s="157" t="s">
        <v>2335</v>
      </c>
      <c r="D182" s="158">
        <v>10</v>
      </c>
      <c r="E182" s="159">
        <v>183.8</v>
      </c>
      <c r="F182" s="158">
        <v>1838</v>
      </c>
      <c r="G182" s="160" t="s">
        <v>3135</v>
      </c>
      <c r="H182" s="1269" t="str">
        <f t="shared" si="5"/>
        <v xml:space="preserve">032100E5GB
</v>
      </c>
      <c r="I182" s="670">
        <v>174</v>
      </c>
      <c r="J182" s="4" t="str">
        <f t="shared" si="4"/>
        <v>1.174</v>
      </c>
    </row>
    <row r="183" spans="1:10" s="4" customFormat="1" ht="31.5">
      <c r="A183" s="1265" t="s">
        <v>202</v>
      </c>
      <c r="B183" s="8" t="s">
        <v>3136</v>
      </c>
      <c r="C183" s="157" t="s">
        <v>2335</v>
      </c>
      <c r="D183" s="158">
        <v>10</v>
      </c>
      <c r="E183" s="159">
        <v>293.08999999999997</v>
      </c>
      <c r="F183" s="158">
        <v>2930.9</v>
      </c>
      <c r="G183" s="160" t="s">
        <v>3137</v>
      </c>
      <c r="H183" s="1269" t="str">
        <f t="shared" si="5"/>
        <v xml:space="preserve">032100E6GB
</v>
      </c>
      <c r="I183" s="670">
        <v>175</v>
      </c>
      <c r="J183" s="4" t="str">
        <f t="shared" si="4"/>
        <v>1.175</v>
      </c>
    </row>
    <row r="184" spans="1:10" s="4" customFormat="1" ht="31.5">
      <c r="A184" s="1265" t="s">
        <v>203</v>
      </c>
      <c r="B184" s="8" t="s">
        <v>3138</v>
      </c>
      <c r="C184" s="157" t="s">
        <v>2335</v>
      </c>
      <c r="D184" s="158">
        <v>10</v>
      </c>
      <c r="E184" s="159">
        <v>432.19</v>
      </c>
      <c r="F184" s="158">
        <v>4321.8999999999996</v>
      </c>
      <c r="G184" s="160" t="s">
        <v>3139</v>
      </c>
      <c r="H184" s="1269" t="str">
        <f t="shared" si="5"/>
        <v xml:space="preserve">032100E7GB
</v>
      </c>
      <c r="I184" s="670">
        <v>176</v>
      </c>
      <c r="J184" s="4" t="str">
        <f t="shared" si="4"/>
        <v>1.176</v>
      </c>
    </row>
    <row r="185" spans="1:10" s="4" customFormat="1" ht="71.25">
      <c r="A185" s="1265" t="s">
        <v>204</v>
      </c>
      <c r="B185" s="8" t="s">
        <v>1475</v>
      </c>
      <c r="C185" s="157" t="s">
        <v>17</v>
      </c>
      <c r="D185" s="158">
        <v>5</v>
      </c>
      <c r="E185" s="159">
        <v>1564.33</v>
      </c>
      <c r="F185" s="158">
        <v>7821.65</v>
      </c>
      <c r="G185" s="160" t="s">
        <v>4584</v>
      </c>
      <c r="H185" s="1269" t="str">
        <f t="shared" si="5"/>
        <v>02472PWD02301
分析表145_x000D_
本項零星工料包含鋼筋籠外側所需之間隔片費用</v>
      </c>
      <c r="I185" s="670">
        <v>177</v>
      </c>
      <c r="J185" s="4" t="str">
        <f t="shared" si="4"/>
        <v>1.177</v>
      </c>
    </row>
    <row r="186" spans="1:10" s="4" customFormat="1" ht="71.25">
      <c r="A186" s="1265" t="s">
        <v>205</v>
      </c>
      <c r="B186" s="8" t="s">
        <v>1484</v>
      </c>
      <c r="C186" s="157" t="s">
        <v>17</v>
      </c>
      <c r="D186" s="158">
        <v>5</v>
      </c>
      <c r="E186" s="159">
        <v>1918.27</v>
      </c>
      <c r="F186" s="158">
        <v>9591.35</v>
      </c>
      <c r="G186" s="160" t="s">
        <v>4585</v>
      </c>
      <c r="H186" s="1269" t="str">
        <f t="shared" si="5"/>
        <v>02472PWD03301
分析表146_x000D_
本項零星工料包含鋼筋籠外側所需之間隔片費用</v>
      </c>
      <c r="I186" s="670">
        <v>178</v>
      </c>
      <c r="J186" s="4" t="str">
        <f t="shared" si="4"/>
        <v>1.178</v>
      </c>
    </row>
    <row r="187" spans="1:10" s="4" customFormat="1" ht="71.25">
      <c r="A187" s="1265" t="s">
        <v>206</v>
      </c>
      <c r="B187" s="8" t="s">
        <v>1489</v>
      </c>
      <c r="C187" s="157" t="s">
        <v>17</v>
      </c>
      <c r="D187" s="158">
        <v>5</v>
      </c>
      <c r="E187" s="159">
        <v>2237.81</v>
      </c>
      <c r="F187" s="158">
        <v>11189.05</v>
      </c>
      <c r="G187" s="160" t="s">
        <v>4586</v>
      </c>
      <c r="H187" s="1269" t="str">
        <f t="shared" si="5"/>
        <v>02472PWD04301
分析表147_x000D_
本項零星工料包含鋼筋籠外側所需之間隔片費用</v>
      </c>
      <c r="I187" s="670">
        <v>179</v>
      </c>
      <c r="J187" s="4" t="str">
        <f t="shared" si="4"/>
        <v>1.179</v>
      </c>
    </row>
    <row r="188" spans="1:10" s="4" customFormat="1" ht="63">
      <c r="A188" s="1265" t="s">
        <v>207</v>
      </c>
      <c r="B188" s="8" t="s">
        <v>1494</v>
      </c>
      <c r="C188" s="157" t="s">
        <v>17</v>
      </c>
      <c r="D188" s="158">
        <v>10</v>
      </c>
      <c r="E188" s="159">
        <v>1516.94</v>
      </c>
      <c r="F188" s="158">
        <v>15169.4</v>
      </c>
      <c r="G188" s="160" t="s">
        <v>4587</v>
      </c>
      <c r="H188" s="1269" t="str">
        <f t="shared" si="5"/>
        <v xml:space="preserve">0225514811
分析表148_x000D_
</v>
      </c>
      <c r="I188" s="670">
        <v>180</v>
      </c>
      <c r="J188" s="4" t="str">
        <f t="shared" si="4"/>
        <v>1.180</v>
      </c>
    </row>
    <row r="189" spans="1:10" s="4" customFormat="1" ht="63">
      <c r="A189" s="1265" t="s">
        <v>208</v>
      </c>
      <c r="B189" s="8" t="s">
        <v>1508</v>
      </c>
      <c r="C189" s="157" t="s">
        <v>17</v>
      </c>
      <c r="D189" s="158">
        <v>10</v>
      </c>
      <c r="E189" s="159">
        <v>1215.92</v>
      </c>
      <c r="F189" s="158">
        <v>12159.2</v>
      </c>
      <c r="G189" s="160" t="s">
        <v>4588</v>
      </c>
      <c r="H189" s="1269" t="str">
        <f t="shared" si="5"/>
        <v xml:space="preserve">0225513611
分析表149_x000D_
</v>
      </c>
      <c r="I189" s="670">
        <v>181</v>
      </c>
      <c r="J189" s="4" t="str">
        <f t="shared" si="4"/>
        <v>1.181</v>
      </c>
    </row>
    <row r="190" spans="1:10" s="4" customFormat="1" ht="63">
      <c r="A190" s="1265" t="s">
        <v>209</v>
      </c>
      <c r="B190" s="8" t="s">
        <v>1513</v>
      </c>
      <c r="C190" s="157" t="s">
        <v>17</v>
      </c>
      <c r="D190" s="158">
        <v>20</v>
      </c>
      <c r="E190" s="159">
        <v>920.47</v>
      </c>
      <c r="F190" s="158">
        <v>18409.400000000001</v>
      </c>
      <c r="G190" s="160" t="s">
        <v>4589</v>
      </c>
      <c r="H190" s="1269" t="str">
        <f t="shared" si="5"/>
        <v xml:space="preserve">0225512711
分析表150_x000D_
</v>
      </c>
      <c r="I190" s="670">
        <v>182</v>
      </c>
      <c r="J190" s="4" t="str">
        <f t="shared" si="4"/>
        <v>1.182</v>
      </c>
    </row>
    <row r="191" spans="1:10" s="4" customFormat="1" ht="42.75">
      <c r="A191" s="1265" t="s">
        <v>210</v>
      </c>
      <c r="B191" s="8" t="s">
        <v>1518</v>
      </c>
      <c r="C191" s="157" t="s">
        <v>17</v>
      </c>
      <c r="D191" s="158">
        <v>5</v>
      </c>
      <c r="E191" s="159">
        <v>3070.04</v>
      </c>
      <c r="F191" s="158">
        <v>15350.2</v>
      </c>
      <c r="G191" s="160" t="s">
        <v>4590</v>
      </c>
      <c r="H191" s="1269" t="str">
        <f t="shared" si="5"/>
        <v xml:space="preserve">0225630001
分析表151_x000D_
</v>
      </c>
      <c r="I191" s="670">
        <v>183</v>
      </c>
      <c r="J191" s="4" t="str">
        <f t="shared" si="4"/>
        <v>1.183</v>
      </c>
    </row>
    <row r="192" spans="1:10" s="4" customFormat="1" ht="47.25">
      <c r="A192" s="1265" t="s">
        <v>211</v>
      </c>
      <c r="B192" s="8" t="s">
        <v>1525</v>
      </c>
      <c r="C192" s="157" t="s">
        <v>3</v>
      </c>
      <c r="D192" s="158">
        <v>2</v>
      </c>
      <c r="E192" s="159">
        <v>632.55999999999995</v>
      </c>
      <c r="F192" s="158">
        <v>1265.1199999999999</v>
      </c>
      <c r="G192" s="160" t="s">
        <v>4591</v>
      </c>
      <c r="H192" s="1269" t="str">
        <f t="shared" si="5"/>
        <v xml:space="preserve">0225620022
分析表152_x000D_
</v>
      </c>
      <c r="I192" s="670">
        <v>184</v>
      </c>
      <c r="J192" s="4" t="str">
        <f t="shared" si="4"/>
        <v>1.184</v>
      </c>
    </row>
    <row r="193" spans="1:10" s="4" customFormat="1" ht="47.25">
      <c r="A193" s="1265" t="s">
        <v>212</v>
      </c>
      <c r="B193" s="8" t="s">
        <v>1533</v>
      </c>
      <c r="C193" s="157" t="s">
        <v>17</v>
      </c>
      <c r="D193" s="158">
        <v>2</v>
      </c>
      <c r="E193" s="159">
        <v>2338.34</v>
      </c>
      <c r="F193" s="158">
        <v>4676.68</v>
      </c>
      <c r="G193" s="160" t="s">
        <v>4592</v>
      </c>
      <c r="H193" s="1269" t="str">
        <f t="shared" si="5"/>
        <v>0225540321
分析表153_x000D_
每M2.5片</v>
      </c>
      <c r="I193" s="670">
        <v>185</v>
      </c>
      <c r="J193" s="4" t="str">
        <f t="shared" si="4"/>
        <v>1.185</v>
      </c>
    </row>
    <row r="194" spans="1:10" s="4" customFormat="1" ht="47.25">
      <c r="A194" s="1265" t="s">
        <v>213</v>
      </c>
      <c r="B194" s="8" t="s">
        <v>1543</v>
      </c>
      <c r="C194" s="157" t="s">
        <v>17</v>
      </c>
      <c r="D194" s="158">
        <v>2</v>
      </c>
      <c r="E194" s="159">
        <v>2599.3000000000002</v>
      </c>
      <c r="F194" s="158">
        <v>5198.6000000000004</v>
      </c>
      <c r="G194" s="160" t="s">
        <v>4593</v>
      </c>
      <c r="H194" s="1269" t="str">
        <f t="shared" si="5"/>
        <v>0225540121
分析表154_x000D_
每M2.5片</v>
      </c>
      <c r="I194" s="670">
        <v>186</v>
      </c>
      <c r="J194" s="4" t="str">
        <f t="shared" ref="J194:J257" si="6">A194</f>
        <v>1.186</v>
      </c>
    </row>
    <row r="195" spans="1:10" s="4" customFormat="1" ht="47.25">
      <c r="A195" s="1265" t="s">
        <v>214</v>
      </c>
      <c r="B195" s="8" t="s">
        <v>1550</v>
      </c>
      <c r="C195" s="157" t="s">
        <v>17</v>
      </c>
      <c r="D195" s="158">
        <v>2</v>
      </c>
      <c r="E195" s="159">
        <v>2765.59</v>
      </c>
      <c r="F195" s="158">
        <v>5531.18</v>
      </c>
      <c r="G195" s="160" t="s">
        <v>4594</v>
      </c>
      <c r="H195" s="1269" t="str">
        <f t="shared" si="5"/>
        <v xml:space="preserve">0225540621
分析表155_x000D_
</v>
      </c>
      <c r="I195" s="670">
        <v>187</v>
      </c>
      <c r="J195" s="4" t="str">
        <f t="shared" si="6"/>
        <v>1.187</v>
      </c>
    </row>
    <row r="196" spans="1:10" s="4" customFormat="1" ht="47.25">
      <c r="A196" s="1265" t="s">
        <v>215</v>
      </c>
      <c r="B196" s="8" t="s">
        <v>1557</v>
      </c>
      <c r="C196" s="157" t="s">
        <v>17</v>
      </c>
      <c r="D196" s="158">
        <v>2</v>
      </c>
      <c r="E196" s="159">
        <v>3888.7</v>
      </c>
      <c r="F196" s="158">
        <v>7777.4</v>
      </c>
      <c r="G196" s="160" t="s">
        <v>4595</v>
      </c>
      <c r="H196" s="1269" t="str">
        <f t="shared" si="5"/>
        <v xml:space="preserve">0225540921
分析表156_x000D_
</v>
      </c>
      <c r="I196" s="670">
        <v>188</v>
      </c>
      <c r="J196" s="4" t="str">
        <f t="shared" si="6"/>
        <v>1.188</v>
      </c>
    </row>
    <row r="197" spans="1:10" s="4" customFormat="1" ht="47.25">
      <c r="A197" s="1265" t="s">
        <v>216</v>
      </c>
      <c r="B197" s="8" t="s">
        <v>1564</v>
      </c>
      <c r="C197" s="157" t="s">
        <v>17</v>
      </c>
      <c r="D197" s="158">
        <v>2</v>
      </c>
      <c r="E197" s="159">
        <v>5687.24</v>
      </c>
      <c r="F197" s="158">
        <v>11374.48</v>
      </c>
      <c r="G197" s="160" t="s">
        <v>4596</v>
      </c>
      <c r="H197" s="1269" t="str">
        <f t="shared" si="5"/>
        <v xml:space="preserve">0225540D21
分析表157_x000D_
</v>
      </c>
      <c r="I197" s="670">
        <v>189</v>
      </c>
      <c r="J197" s="4" t="str">
        <f t="shared" si="6"/>
        <v>1.189</v>
      </c>
    </row>
    <row r="198" spans="1:10" s="4" customFormat="1" ht="47.25">
      <c r="A198" s="1265" t="s">
        <v>217</v>
      </c>
      <c r="B198" s="8" t="s">
        <v>1571</v>
      </c>
      <c r="C198" s="157" t="s">
        <v>17</v>
      </c>
      <c r="D198" s="158">
        <v>2</v>
      </c>
      <c r="E198" s="159">
        <v>8915.9</v>
      </c>
      <c r="F198" s="158">
        <v>17831.8</v>
      </c>
      <c r="G198" s="160" t="s">
        <v>4597</v>
      </c>
      <c r="H198" s="1269" t="str">
        <f t="shared" si="5"/>
        <v xml:space="preserve">0225540G21
分析表158_x000D_
</v>
      </c>
      <c r="I198" s="670">
        <v>190</v>
      </c>
      <c r="J198" s="4" t="str">
        <f t="shared" si="6"/>
        <v>1.190</v>
      </c>
    </row>
    <row r="199" spans="1:10" s="4" customFormat="1" ht="42.75">
      <c r="A199" s="1265" t="s">
        <v>218</v>
      </c>
      <c r="B199" s="8" t="s">
        <v>1578</v>
      </c>
      <c r="C199" s="157" t="s">
        <v>17</v>
      </c>
      <c r="D199" s="158">
        <v>10</v>
      </c>
      <c r="E199" s="159">
        <v>168.85</v>
      </c>
      <c r="F199" s="158">
        <v>1688.5</v>
      </c>
      <c r="G199" s="160" t="s">
        <v>4598</v>
      </c>
      <c r="H199" s="1269" t="str">
        <f t="shared" si="5"/>
        <v>0225520001
分析表159_x000D_
租用</v>
      </c>
      <c r="I199" s="670">
        <v>191</v>
      </c>
      <c r="J199" s="4" t="str">
        <f t="shared" si="6"/>
        <v>1.191</v>
      </c>
    </row>
    <row r="200" spans="1:10" s="4" customFormat="1" ht="42.75">
      <c r="A200" s="1265" t="s">
        <v>219</v>
      </c>
      <c r="B200" s="8" t="s">
        <v>1585</v>
      </c>
      <c r="C200" s="157" t="s">
        <v>17</v>
      </c>
      <c r="D200" s="158">
        <v>10</v>
      </c>
      <c r="E200" s="159">
        <v>245.6</v>
      </c>
      <c r="F200" s="158">
        <v>2456</v>
      </c>
      <c r="G200" s="160" t="s">
        <v>4599</v>
      </c>
      <c r="H200" s="1269" t="str">
        <f t="shared" si="5"/>
        <v>0225530001
分析表160_x000D_
租用</v>
      </c>
      <c r="I200" s="670">
        <v>192</v>
      </c>
      <c r="J200" s="4" t="str">
        <f t="shared" si="6"/>
        <v>1.192</v>
      </c>
    </row>
    <row r="201" spans="1:10" s="4" customFormat="1" ht="42.75">
      <c r="A201" s="1265" t="s">
        <v>220</v>
      </c>
      <c r="B201" s="8" t="s">
        <v>1592</v>
      </c>
      <c r="C201" s="157" t="s">
        <v>17</v>
      </c>
      <c r="D201" s="158">
        <v>10</v>
      </c>
      <c r="E201" s="159">
        <v>869.85</v>
      </c>
      <c r="F201" s="158">
        <v>8698.5</v>
      </c>
      <c r="G201" s="160" t="s">
        <v>4600</v>
      </c>
      <c r="H201" s="1269" t="str">
        <f t="shared" si="5"/>
        <v xml:space="preserve">02255200V1
分析表161_x000D_
</v>
      </c>
      <c r="I201" s="670">
        <v>193</v>
      </c>
      <c r="J201" s="4" t="str">
        <f t="shared" si="6"/>
        <v>1.193</v>
      </c>
    </row>
    <row r="202" spans="1:10" s="4" customFormat="1" ht="42.75">
      <c r="A202" s="1265" t="s">
        <v>221</v>
      </c>
      <c r="B202" s="8" t="s">
        <v>1599</v>
      </c>
      <c r="C202" s="157" t="s">
        <v>17</v>
      </c>
      <c r="D202" s="158">
        <v>10</v>
      </c>
      <c r="E202" s="159">
        <v>1192.2</v>
      </c>
      <c r="F202" s="158">
        <v>11922</v>
      </c>
      <c r="G202" s="160" t="s">
        <v>4601</v>
      </c>
      <c r="H202" s="1269" t="str">
        <f t="shared" ref="H202:H265" si="7">G202</f>
        <v xml:space="preserve">02255300V1
分析表162_x000D_
</v>
      </c>
      <c r="I202" s="670">
        <v>194</v>
      </c>
      <c r="J202" s="4" t="str">
        <f t="shared" si="6"/>
        <v>1.194</v>
      </c>
    </row>
    <row r="203" spans="1:10" s="4" customFormat="1" ht="42.75">
      <c r="A203" s="1265" t="s">
        <v>222</v>
      </c>
      <c r="B203" s="8" t="s">
        <v>1606</v>
      </c>
      <c r="C203" s="157" t="s">
        <v>17</v>
      </c>
      <c r="D203" s="158">
        <v>10</v>
      </c>
      <c r="E203" s="159">
        <v>370.12</v>
      </c>
      <c r="F203" s="158">
        <v>3701.2</v>
      </c>
      <c r="G203" s="160" t="s">
        <v>4602</v>
      </c>
      <c r="H203" s="1269" t="str">
        <f t="shared" si="7"/>
        <v>0225540051
分析表163_x000D_
含運費</v>
      </c>
      <c r="I203" s="670">
        <v>195</v>
      </c>
      <c r="J203" s="4" t="str">
        <f t="shared" si="6"/>
        <v>1.195</v>
      </c>
    </row>
    <row r="204" spans="1:10" s="4" customFormat="1" ht="42.75">
      <c r="A204" s="1265" t="s">
        <v>223</v>
      </c>
      <c r="B204" s="8" t="s">
        <v>1613</v>
      </c>
      <c r="C204" s="157" t="s">
        <v>17</v>
      </c>
      <c r="D204" s="158">
        <v>10</v>
      </c>
      <c r="E204" s="159">
        <v>1321.82</v>
      </c>
      <c r="F204" s="158">
        <v>13218.2</v>
      </c>
      <c r="G204" s="160" t="s">
        <v>4603</v>
      </c>
      <c r="H204" s="1269" t="str">
        <f t="shared" si="7"/>
        <v xml:space="preserve">02255400U1
分析表164_x000D_
</v>
      </c>
      <c r="I204" s="670">
        <v>196</v>
      </c>
      <c r="J204" s="4" t="str">
        <f t="shared" si="6"/>
        <v>1.196</v>
      </c>
    </row>
    <row r="205" spans="1:10" s="4" customFormat="1" ht="42.75">
      <c r="A205" s="1265" t="s">
        <v>224</v>
      </c>
      <c r="B205" s="8" t="s">
        <v>1620</v>
      </c>
      <c r="C205" s="157" t="s">
        <v>17</v>
      </c>
      <c r="D205" s="158">
        <v>10</v>
      </c>
      <c r="E205" s="159">
        <v>163.74</v>
      </c>
      <c r="F205" s="158">
        <v>1637.4</v>
      </c>
      <c r="G205" s="160" t="s">
        <v>4604</v>
      </c>
      <c r="H205" s="1269" t="str">
        <f t="shared" si="7"/>
        <v xml:space="preserve">0225520E31
分析表165_x000D_
</v>
      </c>
      <c r="I205" s="670">
        <v>197</v>
      </c>
      <c r="J205" s="4" t="str">
        <f t="shared" si="6"/>
        <v>1.197</v>
      </c>
    </row>
    <row r="206" spans="1:10" s="4" customFormat="1" ht="42.75">
      <c r="A206" s="1265" t="s">
        <v>225</v>
      </c>
      <c r="B206" s="8" t="s">
        <v>1625</v>
      </c>
      <c r="C206" s="157" t="s">
        <v>17</v>
      </c>
      <c r="D206" s="158">
        <v>10</v>
      </c>
      <c r="E206" s="159">
        <v>235.37</v>
      </c>
      <c r="F206" s="158">
        <v>2353.6999999999998</v>
      </c>
      <c r="G206" s="160" t="s">
        <v>4605</v>
      </c>
      <c r="H206" s="1269" t="str">
        <f t="shared" si="7"/>
        <v xml:space="preserve">0225530E31
分析表166_x000D_
</v>
      </c>
      <c r="I206" s="670">
        <v>198</v>
      </c>
      <c r="J206" s="4" t="str">
        <f t="shared" si="6"/>
        <v>1.198</v>
      </c>
    </row>
    <row r="207" spans="1:10" s="4" customFormat="1" ht="42.75">
      <c r="A207" s="1265" t="s">
        <v>226</v>
      </c>
      <c r="B207" s="8" t="s">
        <v>1630</v>
      </c>
      <c r="C207" s="157" t="s">
        <v>17</v>
      </c>
      <c r="D207" s="158">
        <v>10</v>
      </c>
      <c r="E207" s="159">
        <v>334.29</v>
      </c>
      <c r="F207" s="158">
        <v>3342.9</v>
      </c>
      <c r="G207" s="160" t="s">
        <v>4606</v>
      </c>
      <c r="H207" s="1269" t="str">
        <f t="shared" si="7"/>
        <v xml:space="preserve">0225540E31
分析表167_x000D_
</v>
      </c>
      <c r="I207" s="670">
        <v>199</v>
      </c>
      <c r="J207" s="4" t="str">
        <f t="shared" si="6"/>
        <v>1.199</v>
      </c>
    </row>
    <row r="208" spans="1:10" s="4" customFormat="1" ht="42.75">
      <c r="A208" s="1265" t="s">
        <v>227</v>
      </c>
      <c r="B208" s="8" t="s">
        <v>1635</v>
      </c>
      <c r="C208" s="157" t="s">
        <v>3</v>
      </c>
      <c r="D208" s="158">
        <v>10</v>
      </c>
      <c r="E208" s="159">
        <v>337.65</v>
      </c>
      <c r="F208" s="158">
        <v>3376.5</v>
      </c>
      <c r="G208" s="160" t="s">
        <v>4607</v>
      </c>
      <c r="H208" s="1269" t="str">
        <f t="shared" si="7"/>
        <v xml:space="preserve">02386PWDA1302
分析表168_x000D_
</v>
      </c>
      <c r="I208" s="670">
        <v>200</v>
      </c>
      <c r="J208" s="4" t="str">
        <f t="shared" si="6"/>
        <v>1.200</v>
      </c>
    </row>
    <row r="209" spans="1:10" s="4" customFormat="1" ht="42.75">
      <c r="A209" s="1265" t="s">
        <v>228</v>
      </c>
      <c r="B209" s="8" t="s">
        <v>1641</v>
      </c>
      <c r="C209" s="157" t="s">
        <v>3</v>
      </c>
      <c r="D209" s="158">
        <v>10</v>
      </c>
      <c r="E209" s="159">
        <v>508.62</v>
      </c>
      <c r="F209" s="158">
        <v>5086.2</v>
      </c>
      <c r="G209" s="160" t="s">
        <v>4608</v>
      </c>
      <c r="H209" s="1269" t="str">
        <f t="shared" si="7"/>
        <v xml:space="preserve">0922010012
分析表169_x000D_
</v>
      </c>
      <c r="I209" s="670">
        <v>201</v>
      </c>
      <c r="J209" s="4" t="str">
        <f t="shared" si="6"/>
        <v>1.201</v>
      </c>
    </row>
    <row r="210" spans="1:10" s="4" customFormat="1" ht="42.75">
      <c r="A210" s="1265" t="s">
        <v>229</v>
      </c>
      <c r="B210" s="8" t="s">
        <v>1647</v>
      </c>
      <c r="C210" s="157" t="s">
        <v>3</v>
      </c>
      <c r="D210" s="158">
        <v>10</v>
      </c>
      <c r="E210" s="159">
        <v>480.44</v>
      </c>
      <c r="F210" s="158">
        <v>4804.3999999999996</v>
      </c>
      <c r="G210" s="160" t="s">
        <v>4609</v>
      </c>
      <c r="H210" s="1269" t="str">
        <f t="shared" si="7"/>
        <v xml:space="preserve">0922020012
分析表170_x000D_
</v>
      </c>
      <c r="I210" s="670">
        <v>202</v>
      </c>
      <c r="J210" s="4" t="str">
        <f t="shared" si="6"/>
        <v>1.202</v>
      </c>
    </row>
    <row r="211" spans="1:10" s="4" customFormat="1" ht="57">
      <c r="A211" s="1265" t="s">
        <v>230</v>
      </c>
      <c r="B211" s="8" t="s">
        <v>1651</v>
      </c>
      <c r="C211" s="157" t="s">
        <v>3</v>
      </c>
      <c r="D211" s="158">
        <v>10</v>
      </c>
      <c r="E211" s="159">
        <v>105.34</v>
      </c>
      <c r="F211" s="158">
        <v>1053.4000000000001</v>
      </c>
      <c r="G211" s="160" t="s">
        <v>4610</v>
      </c>
      <c r="H211" s="1269" t="str">
        <f t="shared" si="7"/>
        <v>0922030042
分析表171_x000D_
(適用施作面積200M2以上)</v>
      </c>
      <c r="I211" s="670">
        <v>203</v>
      </c>
      <c r="J211" s="4" t="str">
        <f t="shared" si="6"/>
        <v>1.203</v>
      </c>
    </row>
    <row r="212" spans="1:10" s="4" customFormat="1" ht="42.75">
      <c r="A212" s="1265" t="s">
        <v>231</v>
      </c>
      <c r="B212" s="8" t="s">
        <v>1643</v>
      </c>
      <c r="C212" s="157" t="s">
        <v>0</v>
      </c>
      <c r="D212" s="158">
        <v>5</v>
      </c>
      <c r="E212" s="159">
        <v>5106.05</v>
      </c>
      <c r="F212" s="158">
        <v>25530.25</v>
      </c>
      <c r="G212" s="160" t="s">
        <v>4611</v>
      </c>
      <c r="H212" s="1269" t="str">
        <f t="shared" si="7"/>
        <v xml:space="preserve">0406110003
分析表172_x000D_
</v>
      </c>
      <c r="I212" s="670">
        <v>204</v>
      </c>
      <c r="J212" s="4" t="str">
        <f t="shared" si="6"/>
        <v>1.204</v>
      </c>
    </row>
    <row r="213" spans="1:10" s="4" customFormat="1" ht="42.75">
      <c r="A213" s="1265" t="s">
        <v>232</v>
      </c>
      <c r="B213" s="8" t="s">
        <v>1649</v>
      </c>
      <c r="C213" s="157" t="s">
        <v>0</v>
      </c>
      <c r="D213" s="158">
        <v>5</v>
      </c>
      <c r="E213" s="159">
        <v>3737.85</v>
      </c>
      <c r="F213" s="158">
        <v>18689.25</v>
      </c>
      <c r="G213" s="160" t="s">
        <v>4612</v>
      </c>
      <c r="H213" s="1269" t="str">
        <f t="shared" si="7"/>
        <v xml:space="preserve">0406120003
分析表173_x000D_
</v>
      </c>
      <c r="I213" s="670">
        <v>205</v>
      </c>
      <c r="J213" s="4" t="str">
        <f t="shared" si="6"/>
        <v>1.205</v>
      </c>
    </row>
    <row r="214" spans="1:10" s="4" customFormat="1" ht="42.75">
      <c r="A214" s="1265" t="s">
        <v>233</v>
      </c>
      <c r="B214" s="8" t="s">
        <v>1637</v>
      </c>
      <c r="C214" s="157" t="s">
        <v>0</v>
      </c>
      <c r="D214" s="158">
        <v>5</v>
      </c>
      <c r="E214" s="159">
        <v>3547.09</v>
      </c>
      <c r="F214" s="158">
        <v>17735.45</v>
      </c>
      <c r="G214" s="160" t="s">
        <v>4613</v>
      </c>
      <c r="H214" s="1269" t="str">
        <f t="shared" si="7"/>
        <v xml:space="preserve">0406130003
分析表174_x000D_
</v>
      </c>
      <c r="I214" s="670">
        <v>206</v>
      </c>
      <c r="J214" s="4" t="str">
        <f t="shared" si="6"/>
        <v>1.206</v>
      </c>
    </row>
    <row r="215" spans="1:10" s="4" customFormat="1" ht="42.75">
      <c r="A215" s="1265" t="s">
        <v>234</v>
      </c>
      <c r="B215" s="8" t="s">
        <v>1666</v>
      </c>
      <c r="C215" s="157" t="s">
        <v>3</v>
      </c>
      <c r="D215" s="158">
        <v>10</v>
      </c>
      <c r="E215" s="159">
        <v>1215.8399999999999</v>
      </c>
      <c r="F215" s="158">
        <v>12158.4</v>
      </c>
      <c r="G215" s="160" t="s">
        <v>4614</v>
      </c>
      <c r="H215" s="1269" t="str">
        <f t="shared" si="7"/>
        <v xml:space="preserve">0238630302
分析表175_x000D_
</v>
      </c>
      <c r="I215" s="670">
        <v>207</v>
      </c>
      <c r="J215" s="4" t="str">
        <f t="shared" si="6"/>
        <v>1.207</v>
      </c>
    </row>
    <row r="216" spans="1:10" s="4" customFormat="1" ht="42.75">
      <c r="A216" s="1265" t="s">
        <v>235</v>
      </c>
      <c r="B216" s="8" t="s">
        <v>1675</v>
      </c>
      <c r="C216" s="157" t="s">
        <v>3</v>
      </c>
      <c r="D216" s="158">
        <v>10</v>
      </c>
      <c r="E216" s="159">
        <v>1398.66</v>
      </c>
      <c r="F216" s="158">
        <v>13986.6</v>
      </c>
      <c r="G216" s="160" t="s">
        <v>4615</v>
      </c>
      <c r="H216" s="1269" t="str">
        <f t="shared" si="7"/>
        <v xml:space="preserve">0238630402
分析表176_x000D_
</v>
      </c>
      <c r="I216" s="670">
        <v>208</v>
      </c>
      <c r="J216" s="4" t="str">
        <f t="shared" si="6"/>
        <v>1.208</v>
      </c>
    </row>
    <row r="217" spans="1:10" s="4" customFormat="1" ht="42.75">
      <c r="A217" s="1265" t="s">
        <v>236</v>
      </c>
      <c r="B217" s="8" t="s">
        <v>1680</v>
      </c>
      <c r="C217" s="157" t="s">
        <v>3</v>
      </c>
      <c r="D217" s="158">
        <v>10</v>
      </c>
      <c r="E217" s="159">
        <v>1563.59</v>
      </c>
      <c r="F217" s="158">
        <v>15635.9</v>
      </c>
      <c r="G217" s="160" t="s">
        <v>4616</v>
      </c>
      <c r="H217" s="1269" t="str">
        <f t="shared" si="7"/>
        <v xml:space="preserve">0238630502
分析表177_x000D_
</v>
      </c>
      <c r="I217" s="670">
        <v>209</v>
      </c>
      <c r="J217" s="4" t="str">
        <f t="shared" si="6"/>
        <v>1.209</v>
      </c>
    </row>
    <row r="218" spans="1:10" s="4" customFormat="1" ht="42.75">
      <c r="A218" s="1265" t="s">
        <v>237</v>
      </c>
      <c r="B218" s="8" t="s">
        <v>1685</v>
      </c>
      <c r="C218" s="157" t="s">
        <v>3</v>
      </c>
      <c r="D218" s="158">
        <v>10</v>
      </c>
      <c r="E218" s="159">
        <v>476.51</v>
      </c>
      <c r="F218" s="158">
        <v>4765.1000000000004</v>
      </c>
      <c r="G218" s="160" t="s">
        <v>4617</v>
      </c>
      <c r="H218" s="1269" t="str">
        <f t="shared" si="7"/>
        <v xml:space="preserve">0922030012
分析表178_x000D_
</v>
      </c>
      <c r="I218" s="670">
        <v>210</v>
      </c>
      <c r="J218" s="4" t="str">
        <f t="shared" si="6"/>
        <v>1.210</v>
      </c>
    </row>
    <row r="219" spans="1:10" s="4" customFormat="1" ht="42.75">
      <c r="A219" s="1265" t="s">
        <v>238</v>
      </c>
      <c r="B219" s="8" t="s">
        <v>1688</v>
      </c>
      <c r="C219" s="157" t="s">
        <v>1689</v>
      </c>
      <c r="D219" s="158">
        <v>1</v>
      </c>
      <c r="E219" s="159">
        <v>8040.4</v>
      </c>
      <c r="F219" s="158">
        <v>8040.4</v>
      </c>
      <c r="G219" s="160" t="s">
        <v>4618</v>
      </c>
      <c r="H219" s="1269" t="str">
        <f t="shared" si="7"/>
        <v xml:space="preserve">02374CD008
分析表179_x000D_
</v>
      </c>
      <c r="I219" s="670">
        <v>211</v>
      </c>
      <c r="J219" s="4" t="str">
        <f t="shared" si="6"/>
        <v>1.211</v>
      </c>
    </row>
    <row r="220" spans="1:10" s="4" customFormat="1" ht="42.75">
      <c r="A220" s="1265" t="s">
        <v>239</v>
      </c>
      <c r="B220" s="8" t="s">
        <v>1700</v>
      </c>
      <c r="C220" s="157" t="s">
        <v>17</v>
      </c>
      <c r="D220" s="158">
        <v>10</v>
      </c>
      <c r="E220" s="159">
        <v>1612.01</v>
      </c>
      <c r="F220" s="158">
        <v>16120.1</v>
      </c>
      <c r="G220" s="160" t="s">
        <v>4619</v>
      </c>
      <c r="H220" s="1269" t="str">
        <f t="shared" si="7"/>
        <v xml:space="preserve">0234420701
分析表180_x000D_
</v>
      </c>
      <c r="I220" s="670">
        <v>212</v>
      </c>
      <c r="J220" s="4" t="str">
        <f t="shared" si="6"/>
        <v>1.212</v>
      </c>
    </row>
    <row r="221" spans="1:10" s="4" customFormat="1" ht="42.75">
      <c r="A221" s="1265" t="s">
        <v>240</v>
      </c>
      <c r="B221" s="8" t="s">
        <v>1697</v>
      </c>
      <c r="C221" s="157" t="s">
        <v>15</v>
      </c>
      <c r="D221" s="158">
        <v>10</v>
      </c>
      <c r="E221" s="159">
        <v>1421.82</v>
      </c>
      <c r="F221" s="158">
        <v>14218.2</v>
      </c>
      <c r="G221" s="160" t="s">
        <v>4620</v>
      </c>
      <c r="H221" s="1269" t="str">
        <f t="shared" si="7"/>
        <v xml:space="preserve">02381A010A
分析表181_x000D_
</v>
      </c>
      <c r="I221" s="670">
        <v>213</v>
      </c>
      <c r="J221" s="4" t="str">
        <f t="shared" si="6"/>
        <v>1.213</v>
      </c>
    </row>
    <row r="222" spans="1:10" s="4" customFormat="1" ht="42.75">
      <c r="A222" s="1265" t="s">
        <v>241</v>
      </c>
      <c r="B222" s="8" t="s">
        <v>1711</v>
      </c>
      <c r="C222" s="157" t="s">
        <v>3</v>
      </c>
      <c r="D222" s="158">
        <v>10</v>
      </c>
      <c r="E222" s="159">
        <v>1643.96</v>
      </c>
      <c r="F222" s="158">
        <v>16439.599999999999</v>
      </c>
      <c r="G222" s="160" t="s">
        <v>4621</v>
      </c>
      <c r="H222" s="1269" t="str">
        <f t="shared" si="7"/>
        <v xml:space="preserve">0337225002
分析表182_x000D_
</v>
      </c>
      <c r="I222" s="670">
        <v>214</v>
      </c>
      <c r="J222" s="4" t="str">
        <f t="shared" si="6"/>
        <v>1.214</v>
      </c>
    </row>
    <row r="223" spans="1:10" s="4" customFormat="1" ht="42.75">
      <c r="A223" s="1265" t="s">
        <v>242</v>
      </c>
      <c r="B223" s="8" t="s">
        <v>1713</v>
      </c>
      <c r="C223" s="157" t="s">
        <v>0</v>
      </c>
      <c r="D223" s="158">
        <v>10</v>
      </c>
      <c r="E223" s="159">
        <v>2451.42</v>
      </c>
      <c r="F223" s="158">
        <v>24514.2</v>
      </c>
      <c r="G223" s="160" t="s">
        <v>4622</v>
      </c>
      <c r="H223" s="1269" t="str">
        <f t="shared" si="7"/>
        <v xml:space="preserve">0337201003
分析表183_x000D_
</v>
      </c>
      <c r="I223" s="670">
        <v>215</v>
      </c>
      <c r="J223" s="4" t="str">
        <f t="shared" si="6"/>
        <v>1.215</v>
      </c>
    </row>
    <row r="224" spans="1:10" s="4" customFormat="1" ht="42.75">
      <c r="A224" s="1265" t="s">
        <v>243</v>
      </c>
      <c r="B224" s="8" t="s">
        <v>1714</v>
      </c>
      <c r="C224" s="157" t="s">
        <v>3</v>
      </c>
      <c r="D224" s="158">
        <v>10</v>
      </c>
      <c r="E224" s="159">
        <v>416.21</v>
      </c>
      <c r="F224" s="158">
        <v>4162.1000000000004</v>
      </c>
      <c r="G224" s="160" t="s">
        <v>4623</v>
      </c>
      <c r="H224" s="1269" t="str">
        <f t="shared" si="7"/>
        <v xml:space="preserve">033722V022
分析表184_x000D_
</v>
      </c>
      <c r="I224" s="670">
        <v>216</v>
      </c>
      <c r="J224" s="4" t="str">
        <f t="shared" si="6"/>
        <v>1.216</v>
      </c>
    </row>
    <row r="225" spans="1:10" s="4" customFormat="1" ht="47.25">
      <c r="A225" s="1265" t="s">
        <v>244</v>
      </c>
      <c r="B225" s="8" t="s">
        <v>1719</v>
      </c>
      <c r="C225" s="157" t="s">
        <v>1497</v>
      </c>
      <c r="D225" s="158">
        <v>20</v>
      </c>
      <c r="E225" s="159">
        <v>55.34</v>
      </c>
      <c r="F225" s="158">
        <v>1106.8</v>
      </c>
      <c r="G225" s="160" t="s">
        <v>4624</v>
      </c>
      <c r="H225" s="1269" t="str">
        <f t="shared" si="7"/>
        <v xml:space="preserve">03372PWDB0SAE
分析表185_x000D_
</v>
      </c>
      <c r="I225" s="670">
        <v>217</v>
      </c>
      <c r="J225" s="4" t="str">
        <f t="shared" si="6"/>
        <v>1.217</v>
      </c>
    </row>
    <row r="226" spans="1:10" s="4" customFormat="1" ht="28.5">
      <c r="A226" s="1265" t="s">
        <v>245</v>
      </c>
      <c r="B226" s="8" t="s">
        <v>3181</v>
      </c>
      <c r="C226" s="157" t="s">
        <v>18</v>
      </c>
      <c r="D226" s="158">
        <v>10</v>
      </c>
      <c r="E226" s="159">
        <v>278.19</v>
      </c>
      <c r="F226" s="158">
        <v>2781.9</v>
      </c>
      <c r="G226" s="160" t="s">
        <v>3182</v>
      </c>
      <c r="H226" s="1269" t="str">
        <f t="shared" si="7"/>
        <v>0393010009
#</v>
      </c>
      <c r="I226" s="670">
        <v>218</v>
      </c>
      <c r="J226" s="4" t="str">
        <f t="shared" si="6"/>
        <v>1.218</v>
      </c>
    </row>
    <row r="227" spans="1:10" s="4" customFormat="1" ht="42.75">
      <c r="A227" s="1265" t="s">
        <v>246</v>
      </c>
      <c r="B227" s="8" t="s">
        <v>1751</v>
      </c>
      <c r="C227" s="157" t="s">
        <v>3</v>
      </c>
      <c r="D227" s="158">
        <v>10</v>
      </c>
      <c r="E227" s="159">
        <v>5580.08</v>
      </c>
      <c r="F227" s="158">
        <v>55800.800000000003</v>
      </c>
      <c r="G227" s="160" t="s">
        <v>4625</v>
      </c>
      <c r="H227" s="1269" t="str">
        <f t="shared" si="7"/>
        <v xml:space="preserve">0335021002
分析表186_x000D_
</v>
      </c>
      <c r="I227" s="670">
        <v>219</v>
      </c>
      <c r="J227" s="4" t="str">
        <f t="shared" si="6"/>
        <v>1.219</v>
      </c>
    </row>
    <row r="228" spans="1:10" s="4" customFormat="1" ht="31.5">
      <c r="A228" s="1265" t="s">
        <v>247</v>
      </c>
      <c r="B228" s="8" t="s">
        <v>3183</v>
      </c>
      <c r="C228" s="157" t="s">
        <v>17</v>
      </c>
      <c r="D228" s="158">
        <v>2</v>
      </c>
      <c r="E228" s="159">
        <v>3962.23</v>
      </c>
      <c r="F228" s="158">
        <v>7924.46</v>
      </c>
      <c r="G228" s="160" t="s">
        <v>3184</v>
      </c>
      <c r="H228" s="1269" t="str">
        <f t="shared" si="7"/>
        <v>026100C001
#</v>
      </c>
      <c r="I228" s="670">
        <v>220</v>
      </c>
      <c r="J228" s="4" t="str">
        <f t="shared" si="6"/>
        <v>1.220</v>
      </c>
    </row>
    <row r="229" spans="1:10" s="4" customFormat="1" ht="31.5">
      <c r="A229" s="1265" t="s">
        <v>248</v>
      </c>
      <c r="B229" s="8" t="s">
        <v>3186</v>
      </c>
      <c r="C229" s="157" t="s">
        <v>2238</v>
      </c>
      <c r="D229" s="158">
        <v>1</v>
      </c>
      <c r="E229" s="159">
        <v>6506.68</v>
      </c>
      <c r="F229" s="158">
        <v>6506.68</v>
      </c>
      <c r="G229" s="160" t="s">
        <v>3187</v>
      </c>
      <c r="H229" s="1269" t="str">
        <f t="shared" si="7"/>
        <v xml:space="preserve">026108803H
</v>
      </c>
      <c r="I229" s="670">
        <v>221</v>
      </c>
      <c r="J229" s="4" t="str">
        <f t="shared" si="6"/>
        <v>1.221</v>
      </c>
    </row>
    <row r="230" spans="1:10" s="4" customFormat="1" ht="31.5">
      <c r="A230" s="1265" t="s">
        <v>249</v>
      </c>
      <c r="B230" s="8" t="s">
        <v>3188</v>
      </c>
      <c r="C230" s="157" t="s">
        <v>17</v>
      </c>
      <c r="D230" s="158">
        <v>1</v>
      </c>
      <c r="E230" s="159">
        <v>5773.45</v>
      </c>
      <c r="F230" s="158">
        <v>5773.45</v>
      </c>
      <c r="G230" s="160" t="s">
        <v>3189</v>
      </c>
      <c r="H230" s="1269" t="str">
        <f t="shared" si="7"/>
        <v>026100D001
#</v>
      </c>
      <c r="I230" s="670">
        <v>222</v>
      </c>
      <c r="J230" s="4" t="str">
        <f t="shared" si="6"/>
        <v>1.222</v>
      </c>
    </row>
    <row r="231" spans="1:10" s="4" customFormat="1" ht="31.5">
      <c r="A231" s="1265" t="s">
        <v>250</v>
      </c>
      <c r="B231" s="8" t="s">
        <v>3190</v>
      </c>
      <c r="C231" s="157" t="s">
        <v>2238</v>
      </c>
      <c r="D231" s="158">
        <v>1</v>
      </c>
      <c r="E231" s="159">
        <v>10546.41</v>
      </c>
      <c r="F231" s="158">
        <v>10546.41</v>
      </c>
      <c r="G231" s="160" t="s">
        <v>3191</v>
      </c>
      <c r="H231" s="1269" t="str">
        <f t="shared" si="7"/>
        <v xml:space="preserve">026108903H
</v>
      </c>
      <c r="I231" s="670">
        <v>223</v>
      </c>
      <c r="J231" s="4" t="str">
        <f t="shared" si="6"/>
        <v>1.223</v>
      </c>
    </row>
    <row r="232" spans="1:10" s="4" customFormat="1" ht="31.5">
      <c r="A232" s="1265" t="s">
        <v>251</v>
      </c>
      <c r="B232" s="8" t="s">
        <v>3192</v>
      </c>
      <c r="C232" s="157" t="s">
        <v>17</v>
      </c>
      <c r="D232" s="158">
        <v>1</v>
      </c>
      <c r="E232" s="159">
        <v>10037.719999999999</v>
      </c>
      <c r="F232" s="158">
        <v>10037.719999999999</v>
      </c>
      <c r="G232" s="160" t="s">
        <v>3193</v>
      </c>
      <c r="H232" s="1269" t="str">
        <f t="shared" si="7"/>
        <v>026100F001
#</v>
      </c>
      <c r="I232" s="670">
        <v>224</v>
      </c>
      <c r="J232" s="4" t="str">
        <f t="shared" si="6"/>
        <v>1.224</v>
      </c>
    </row>
    <row r="233" spans="1:10" s="4" customFormat="1" ht="31.5">
      <c r="A233" s="1265" t="s">
        <v>252</v>
      </c>
      <c r="B233" s="8" t="s">
        <v>3194</v>
      </c>
      <c r="C233" s="157" t="s">
        <v>2238</v>
      </c>
      <c r="D233" s="158">
        <v>1</v>
      </c>
      <c r="E233" s="159">
        <v>12316.89</v>
      </c>
      <c r="F233" s="158">
        <v>12316.89</v>
      </c>
      <c r="G233" s="160" t="s">
        <v>3195</v>
      </c>
      <c r="H233" s="1269" t="str">
        <f t="shared" si="7"/>
        <v xml:space="preserve">026108B03H
</v>
      </c>
      <c r="I233" s="670">
        <v>225</v>
      </c>
      <c r="J233" s="4" t="str">
        <f t="shared" si="6"/>
        <v>1.225</v>
      </c>
    </row>
    <row r="234" spans="1:10" s="4" customFormat="1" ht="47.25">
      <c r="A234" s="1265" t="s">
        <v>253</v>
      </c>
      <c r="B234" s="8" t="s">
        <v>3196</v>
      </c>
      <c r="C234" s="157" t="s">
        <v>17</v>
      </c>
      <c r="D234" s="158">
        <v>1</v>
      </c>
      <c r="E234" s="159">
        <v>14942.81</v>
      </c>
      <c r="F234" s="158">
        <v>14942.81</v>
      </c>
      <c r="G234" s="160" t="s">
        <v>3197</v>
      </c>
      <c r="H234" s="1269" t="str">
        <f t="shared" si="7"/>
        <v>026100H001
#</v>
      </c>
      <c r="I234" s="670">
        <v>226</v>
      </c>
      <c r="J234" s="4" t="str">
        <f t="shared" si="6"/>
        <v>1.226</v>
      </c>
    </row>
    <row r="235" spans="1:10" s="4" customFormat="1" ht="31.5">
      <c r="A235" s="1265" t="s">
        <v>254</v>
      </c>
      <c r="B235" s="8" t="s">
        <v>3198</v>
      </c>
      <c r="C235" s="157" t="s">
        <v>2238</v>
      </c>
      <c r="D235" s="158">
        <v>1</v>
      </c>
      <c r="E235" s="159">
        <v>16840.47</v>
      </c>
      <c r="F235" s="158">
        <v>16840.47</v>
      </c>
      <c r="G235" s="160" t="s">
        <v>3199</v>
      </c>
      <c r="H235" s="1269" t="str">
        <f t="shared" si="7"/>
        <v xml:space="preserve">026108D03H
</v>
      </c>
      <c r="I235" s="670">
        <v>227</v>
      </c>
      <c r="J235" s="4" t="str">
        <f t="shared" si="6"/>
        <v>1.227</v>
      </c>
    </row>
    <row r="236" spans="1:10" s="4" customFormat="1" ht="47.25">
      <c r="A236" s="1265" t="s">
        <v>255</v>
      </c>
      <c r="B236" s="8" t="s">
        <v>3200</v>
      </c>
      <c r="C236" s="157" t="s">
        <v>17</v>
      </c>
      <c r="D236" s="158">
        <v>1</v>
      </c>
      <c r="E236" s="159">
        <v>21323.32</v>
      </c>
      <c r="F236" s="158">
        <v>21323.32</v>
      </c>
      <c r="G236" s="160" t="s">
        <v>3201</v>
      </c>
      <c r="H236" s="1269" t="str">
        <f t="shared" si="7"/>
        <v>026100L001
#</v>
      </c>
      <c r="I236" s="670">
        <v>228</v>
      </c>
      <c r="J236" s="4" t="str">
        <f t="shared" si="6"/>
        <v>1.228</v>
      </c>
    </row>
    <row r="237" spans="1:10" s="4" customFormat="1" ht="31.5">
      <c r="A237" s="1265" t="s">
        <v>256</v>
      </c>
      <c r="B237" s="8" t="s">
        <v>3202</v>
      </c>
      <c r="C237" s="157" t="s">
        <v>2238</v>
      </c>
      <c r="D237" s="158">
        <v>2</v>
      </c>
      <c r="E237" s="159">
        <v>23549.84</v>
      </c>
      <c r="F237" s="158">
        <v>47099.68</v>
      </c>
      <c r="G237" s="160" t="s">
        <v>3203</v>
      </c>
      <c r="H237" s="1269" t="str">
        <f t="shared" si="7"/>
        <v xml:space="preserve">026108F03H
</v>
      </c>
      <c r="I237" s="670">
        <v>229</v>
      </c>
      <c r="J237" s="4" t="str">
        <f t="shared" si="6"/>
        <v>1.229</v>
      </c>
    </row>
    <row r="238" spans="1:10" s="4" customFormat="1" ht="47.25">
      <c r="A238" s="1265" t="s">
        <v>257</v>
      </c>
      <c r="B238" s="8" t="s">
        <v>1770</v>
      </c>
      <c r="C238" s="157" t="s">
        <v>17</v>
      </c>
      <c r="D238" s="158">
        <v>2</v>
      </c>
      <c r="E238" s="159">
        <v>3676.81</v>
      </c>
      <c r="F238" s="158">
        <v>7353.62</v>
      </c>
      <c r="G238" s="160" t="s">
        <v>4626</v>
      </c>
      <c r="H238" s="1269" t="str">
        <f t="shared" si="7"/>
        <v xml:space="preserve">026102D321
分析表187_x000D_
</v>
      </c>
      <c r="I238" s="670">
        <v>230</v>
      </c>
      <c r="J238" s="4" t="str">
        <f t="shared" si="6"/>
        <v>1.230</v>
      </c>
    </row>
    <row r="239" spans="1:10" s="4" customFormat="1" ht="47.25">
      <c r="A239" s="1265" t="s">
        <v>258</v>
      </c>
      <c r="B239" s="8" t="s">
        <v>1777</v>
      </c>
      <c r="C239" s="157" t="s">
        <v>17</v>
      </c>
      <c r="D239" s="158">
        <v>2</v>
      </c>
      <c r="E239" s="159">
        <v>4786.3500000000004</v>
      </c>
      <c r="F239" s="158">
        <v>9572.7000000000007</v>
      </c>
      <c r="G239" s="160" t="s">
        <v>4627</v>
      </c>
      <c r="H239" s="1269" t="str">
        <f t="shared" si="7"/>
        <v xml:space="preserve">026102F321
分析表188_x000D_
</v>
      </c>
      <c r="I239" s="670">
        <v>231</v>
      </c>
      <c r="J239" s="4" t="str">
        <f t="shared" si="6"/>
        <v>1.231</v>
      </c>
    </row>
    <row r="240" spans="1:10" s="4" customFormat="1" ht="47.25">
      <c r="A240" s="1265" t="s">
        <v>259</v>
      </c>
      <c r="B240" s="8" t="s">
        <v>1782</v>
      </c>
      <c r="C240" s="157" t="s">
        <v>17</v>
      </c>
      <c r="D240" s="158">
        <v>2</v>
      </c>
      <c r="E240" s="159">
        <v>6631.86</v>
      </c>
      <c r="F240" s="158">
        <v>13263.72</v>
      </c>
      <c r="G240" s="160" t="s">
        <v>4628</v>
      </c>
      <c r="H240" s="1269" t="str">
        <f t="shared" si="7"/>
        <v xml:space="preserve">026102H321
分析表189_x000D_
</v>
      </c>
      <c r="I240" s="670">
        <v>232</v>
      </c>
      <c r="J240" s="4" t="str">
        <f t="shared" si="6"/>
        <v>1.232</v>
      </c>
    </row>
    <row r="241" spans="1:10" s="4" customFormat="1" ht="47.25">
      <c r="A241" s="1265" t="s">
        <v>260</v>
      </c>
      <c r="B241" s="8" t="s">
        <v>1787</v>
      </c>
      <c r="C241" s="157" t="s">
        <v>17</v>
      </c>
      <c r="D241" s="158">
        <v>2</v>
      </c>
      <c r="E241" s="159">
        <v>8642.57</v>
      </c>
      <c r="F241" s="158">
        <v>17285.14</v>
      </c>
      <c r="G241" s="160" t="s">
        <v>4629</v>
      </c>
      <c r="H241" s="1269" t="str">
        <f t="shared" si="7"/>
        <v xml:space="preserve">026102L321
分析表190_x000D_
</v>
      </c>
      <c r="I241" s="670">
        <v>233</v>
      </c>
      <c r="J241" s="4" t="str">
        <f t="shared" si="6"/>
        <v>1.233</v>
      </c>
    </row>
    <row r="242" spans="1:10" s="4" customFormat="1" ht="47.25">
      <c r="A242" s="1265" t="s">
        <v>261</v>
      </c>
      <c r="B242" s="8" t="s">
        <v>1792</v>
      </c>
      <c r="C242" s="157" t="s">
        <v>17</v>
      </c>
      <c r="D242" s="158">
        <v>2</v>
      </c>
      <c r="E242" s="159">
        <v>10707.15</v>
      </c>
      <c r="F242" s="158">
        <v>21414.3</v>
      </c>
      <c r="G242" s="160" t="s">
        <v>4630</v>
      </c>
      <c r="H242" s="1269" t="str">
        <f t="shared" si="7"/>
        <v xml:space="preserve">026102M321
分析表191_x000D_
</v>
      </c>
      <c r="I242" s="670">
        <v>234</v>
      </c>
      <c r="J242" s="4" t="str">
        <f t="shared" si="6"/>
        <v>1.234</v>
      </c>
    </row>
    <row r="243" spans="1:10" s="4" customFormat="1" ht="47.25">
      <c r="A243" s="1265" t="s">
        <v>262</v>
      </c>
      <c r="B243" s="8" t="s">
        <v>1797</v>
      </c>
      <c r="C243" s="157" t="s">
        <v>17</v>
      </c>
      <c r="D243" s="158">
        <v>2</v>
      </c>
      <c r="E243" s="159">
        <v>12894.13</v>
      </c>
      <c r="F243" s="158">
        <v>25788.26</v>
      </c>
      <c r="G243" s="160" t="s">
        <v>4631</v>
      </c>
      <c r="H243" s="1269" t="str">
        <f t="shared" si="7"/>
        <v xml:space="preserve">026102N321
分析表192_x000D_
</v>
      </c>
      <c r="I243" s="670">
        <v>235</v>
      </c>
      <c r="J243" s="4" t="str">
        <f t="shared" si="6"/>
        <v>1.235</v>
      </c>
    </row>
    <row r="244" spans="1:10" s="4" customFormat="1" ht="47.25">
      <c r="A244" s="1265" t="s">
        <v>263</v>
      </c>
      <c r="B244" s="8" t="s">
        <v>1802</v>
      </c>
      <c r="C244" s="157" t="s">
        <v>17</v>
      </c>
      <c r="D244" s="158">
        <v>2</v>
      </c>
      <c r="E244" s="159">
        <v>16283.96</v>
      </c>
      <c r="F244" s="158">
        <v>32567.919999999998</v>
      </c>
      <c r="G244" s="160" t="s">
        <v>4632</v>
      </c>
      <c r="H244" s="1269" t="str">
        <f t="shared" si="7"/>
        <v xml:space="preserve">026102P321
分析表193_x000D_
</v>
      </c>
      <c r="I244" s="670">
        <v>236</v>
      </c>
      <c r="J244" s="4" t="str">
        <f t="shared" si="6"/>
        <v>1.236</v>
      </c>
    </row>
    <row r="245" spans="1:10" s="4" customFormat="1" ht="47.25">
      <c r="A245" s="1265" t="s">
        <v>264</v>
      </c>
      <c r="B245" s="8" t="s">
        <v>1807</v>
      </c>
      <c r="C245" s="157" t="s">
        <v>17</v>
      </c>
      <c r="D245" s="158">
        <v>2</v>
      </c>
      <c r="E245" s="159">
        <v>20172.669999999998</v>
      </c>
      <c r="F245" s="158">
        <v>40345.339999999997</v>
      </c>
      <c r="G245" s="160" t="s">
        <v>4633</v>
      </c>
      <c r="H245" s="1269" t="str">
        <f t="shared" si="7"/>
        <v xml:space="preserve">026102Q321
分析表194_x000D_
</v>
      </c>
      <c r="I245" s="670">
        <v>237</v>
      </c>
      <c r="J245" s="4" t="str">
        <f t="shared" si="6"/>
        <v>1.237</v>
      </c>
    </row>
    <row r="246" spans="1:10" s="4" customFormat="1" ht="47.25">
      <c r="A246" s="1265" t="s">
        <v>265</v>
      </c>
      <c r="B246" s="8" t="s">
        <v>1812</v>
      </c>
      <c r="C246" s="157" t="s">
        <v>17</v>
      </c>
      <c r="D246" s="158">
        <v>2</v>
      </c>
      <c r="E246" s="159">
        <v>24205.97</v>
      </c>
      <c r="F246" s="158">
        <v>48411.94</v>
      </c>
      <c r="G246" s="160" t="s">
        <v>4634</v>
      </c>
      <c r="H246" s="1269" t="str">
        <f t="shared" si="7"/>
        <v xml:space="preserve">026102R321
分析表195_x000D_
</v>
      </c>
      <c r="I246" s="670">
        <v>238</v>
      </c>
      <c r="J246" s="4" t="str">
        <f t="shared" si="6"/>
        <v>1.238</v>
      </c>
    </row>
    <row r="247" spans="1:10" s="4" customFormat="1" ht="42.75">
      <c r="A247" s="1265" t="s">
        <v>266</v>
      </c>
      <c r="B247" s="8" t="s">
        <v>1817</v>
      </c>
      <c r="C247" s="157" t="s">
        <v>1818</v>
      </c>
      <c r="D247" s="158">
        <v>2</v>
      </c>
      <c r="E247" s="159">
        <v>1167.6400000000001</v>
      </c>
      <c r="F247" s="158">
        <v>2335.2800000000002</v>
      </c>
      <c r="G247" s="160" t="s">
        <v>4635</v>
      </c>
      <c r="H247" s="1269" t="str">
        <f t="shared" si="7"/>
        <v xml:space="preserve">026100B90H
分析表196_x000D_
</v>
      </c>
      <c r="I247" s="670">
        <v>239</v>
      </c>
      <c r="J247" s="4" t="str">
        <f t="shared" si="6"/>
        <v>1.239</v>
      </c>
    </row>
    <row r="248" spans="1:10" s="4" customFormat="1" ht="42.75">
      <c r="A248" s="1265" t="s">
        <v>267</v>
      </c>
      <c r="B248" s="8" t="s">
        <v>1825</v>
      </c>
      <c r="C248" s="157" t="s">
        <v>1818</v>
      </c>
      <c r="D248" s="158">
        <v>2</v>
      </c>
      <c r="E248" s="159">
        <v>1303.74</v>
      </c>
      <c r="F248" s="158">
        <v>2607.48</v>
      </c>
      <c r="G248" s="160" t="s">
        <v>4636</v>
      </c>
      <c r="H248" s="1269" t="str">
        <f t="shared" si="7"/>
        <v xml:space="preserve">026100BB0H
分析表197_x000D_
</v>
      </c>
      <c r="I248" s="670">
        <v>240</v>
      </c>
      <c r="J248" s="4" t="str">
        <f t="shared" si="6"/>
        <v>1.240</v>
      </c>
    </row>
    <row r="249" spans="1:10" s="4" customFormat="1" ht="42.75">
      <c r="A249" s="1265" t="s">
        <v>268</v>
      </c>
      <c r="B249" s="8" t="s">
        <v>1832</v>
      </c>
      <c r="C249" s="157" t="s">
        <v>1818</v>
      </c>
      <c r="D249" s="158">
        <v>2</v>
      </c>
      <c r="E249" s="159">
        <v>1587.2</v>
      </c>
      <c r="F249" s="158">
        <v>3174.4</v>
      </c>
      <c r="G249" s="160" t="s">
        <v>4637</v>
      </c>
      <c r="H249" s="1269" t="str">
        <f t="shared" si="7"/>
        <v xml:space="preserve">026100BD0H
分析表198_x000D_
</v>
      </c>
      <c r="I249" s="670">
        <v>241</v>
      </c>
      <c r="J249" s="4" t="str">
        <f t="shared" si="6"/>
        <v>1.241</v>
      </c>
    </row>
    <row r="250" spans="1:10" s="4" customFormat="1" ht="42.75">
      <c r="A250" s="1265" t="s">
        <v>269</v>
      </c>
      <c r="B250" s="8" t="s">
        <v>1839</v>
      </c>
      <c r="C250" s="157" t="s">
        <v>1818</v>
      </c>
      <c r="D250" s="158">
        <v>2</v>
      </c>
      <c r="E250" s="159">
        <v>1628.14</v>
      </c>
      <c r="F250" s="158">
        <v>3256.28</v>
      </c>
      <c r="G250" s="160" t="s">
        <v>4638</v>
      </c>
      <c r="H250" s="1269" t="str">
        <f t="shared" si="7"/>
        <v xml:space="preserve">026100BF0H
分析表199_x000D_
</v>
      </c>
      <c r="I250" s="670">
        <v>242</v>
      </c>
      <c r="J250" s="4" t="str">
        <f t="shared" si="6"/>
        <v>1.242</v>
      </c>
    </row>
    <row r="251" spans="1:10" s="4" customFormat="1" ht="42.75">
      <c r="A251" s="1265" t="s">
        <v>270</v>
      </c>
      <c r="B251" s="8" t="s">
        <v>1846</v>
      </c>
      <c r="C251" s="157" t="s">
        <v>1818</v>
      </c>
      <c r="D251" s="158">
        <v>2</v>
      </c>
      <c r="E251" s="159">
        <v>1831.78</v>
      </c>
      <c r="F251" s="158">
        <v>3663.56</v>
      </c>
      <c r="G251" s="160" t="s">
        <v>4639</v>
      </c>
      <c r="H251" s="1269" t="str">
        <f t="shared" si="7"/>
        <v xml:space="preserve">026100BG0H
分析表200_x000D_
</v>
      </c>
      <c r="I251" s="670">
        <v>243</v>
      </c>
      <c r="J251" s="4" t="str">
        <f t="shared" si="6"/>
        <v>1.243</v>
      </c>
    </row>
    <row r="252" spans="1:10" s="4" customFormat="1" ht="42.75">
      <c r="A252" s="1265" t="s">
        <v>271</v>
      </c>
      <c r="B252" s="8" t="s">
        <v>1853</v>
      </c>
      <c r="C252" s="157" t="s">
        <v>1818</v>
      </c>
      <c r="D252" s="158">
        <v>2</v>
      </c>
      <c r="E252" s="159">
        <v>2118.33</v>
      </c>
      <c r="F252" s="158">
        <v>4236.66</v>
      </c>
      <c r="G252" s="160" t="s">
        <v>4640</v>
      </c>
      <c r="H252" s="1269" t="str">
        <f t="shared" si="7"/>
        <v xml:space="preserve">026100BH0H
分析表201_x000D_
</v>
      </c>
      <c r="I252" s="670">
        <v>244</v>
      </c>
      <c r="J252" s="4" t="str">
        <f t="shared" si="6"/>
        <v>1.244</v>
      </c>
    </row>
    <row r="253" spans="1:10" s="4" customFormat="1" ht="42.75">
      <c r="A253" s="1265" t="s">
        <v>272</v>
      </c>
      <c r="B253" s="8" t="s">
        <v>1860</v>
      </c>
      <c r="C253" s="157" t="s">
        <v>1818</v>
      </c>
      <c r="D253" s="158">
        <v>2</v>
      </c>
      <c r="E253" s="159">
        <v>2273.88</v>
      </c>
      <c r="F253" s="158">
        <v>4547.76</v>
      </c>
      <c r="G253" s="160" t="s">
        <v>4641</v>
      </c>
      <c r="H253" s="1269" t="str">
        <f t="shared" si="7"/>
        <v xml:space="preserve">026100BJ0H
分析表202_x000D_
</v>
      </c>
      <c r="I253" s="670">
        <v>245</v>
      </c>
      <c r="J253" s="4" t="str">
        <f t="shared" si="6"/>
        <v>1.245</v>
      </c>
    </row>
    <row r="254" spans="1:10" s="4" customFormat="1" ht="42.75">
      <c r="A254" s="1265" t="s">
        <v>273</v>
      </c>
      <c r="B254" s="8" t="s">
        <v>1867</v>
      </c>
      <c r="C254" s="157" t="s">
        <v>1818</v>
      </c>
      <c r="D254" s="158">
        <v>2</v>
      </c>
      <c r="E254" s="159">
        <v>2409.9699999999998</v>
      </c>
      <c r="F254" s="158">
        <v>4819.9399999999996</v>
      </c>
      <c r="G254" s="160" t="s">
        <v>4642</v>
      </c>
      <c r="H254" s="1269" t="str">
        <f t="shared" si="7"/>
        <v xml:space="preserve">026100BL0H
分析表203_x000D_
</v>
      </c>
      <c r="I254" s="670">
        <v>246</v>
      </c>
      <c r="J254" s="4" t="str">
        <f t="shared" si="6"/>
        <v>1.246</v>
      </c>
    </row>
    <row r="255" spans="1:10" s="4" customFormat="1" ht="47.25">
      <c r="A255" s="1265" t="s">
        <v>274</v>
      </c>
      <c r="B255" s="8" t="s">
        <v>5479</v>
      </c>
      <c r="C255" s="157" t="s">
        <v>17</v>
      </c>
      <c r="D255" s="158">
        <v>10</v>
      </c>
      <c r="E255" s="159">
        <v>150.74</v>
      </c>
      <c r="F255" s="158">
        <v>1507.4</v>
      </c>
      <c r="G255" s="160" t="s">
        <v>3222</v>
      </c>
      <c r="H255" s="1269" t="str">
        <f t="shared" si="7"/>
        <v xml:space="preserve">02610PWD0A331
</v>
      </c>
      <c r="I255" s="670">
        <v>247</v>
      </c>
      <c r="J255" s="4" t="str">
        <f t="shared" si="6"/>
        <v>1.247</v>
      </c>
    </row>
    <row r="256" spans="1:10" s="4" customFormat="1" ht="47.25">
      <c r="A256" s="1265" t="s">
        <v>275</v>
      </c>
      <c r="B256" s="8" t="s">
        <v>5480</v>
      </c>
      <c r="C256" s="157" t="s">
        <v>17</v>
      </c>
      <c r="D256" s="158">
        <v>10</v>
      </c>
      <c r="E256" s="159">
        <v>187.48</v>
      </c>
      <c r="F256" s="158">
        <v>1874.8</v>
      </c>
      <c r="G256" s="160" t="s">
        <v>3224</v>
      </c>
      <c r="H256" s="1269" t="str">
        <f t="shared" si="7"/>
        <v xml:space="preserve">02610PWD0A441
</v>
      </c>
      <c r="I256" s="670">
        <v>248</v>
      </c>
      <c r="J256" s="4" t="str">
        <f t="shared" si="6"/>
        <v>1.248</v>
      </c>
    </row>
    <row r="257" spans="1:10" s="4" customFormat="1" ht="47.25">
      <c r="A257" s="1265" t="s">
        <v>276</v>
      </c>
      <c r="B257" s="8" t="s">
        <v>5481</v>
      </c>
      <c r="C257" s="157" t="s">
        <v>17</v>
      </c>
      <c r="D257" s="158">
        <v>10</v>
      </c>
      <c r="E257" s="159">
        <v>233.32</v>
      </c>
      <c r="F257" s="158">
        <v>2333.1999999999998</v>
      </c>
      <c r="G257" s="160" t="s">
        <v>3226</v>
      </c>
      <c r="H257" s="1269" t="str">
        <f t="shared" si="7"/>
        <v xml:space="preserve">02610PWD0A551
</v>
      </c>
      <c r="I257" s="670">
        <v>249</v>
      </c>
      <c r="J257" s="4" t="str">
        <f t="shared" si="6"/>
        <v>1.249</v>
      </c>
    </row>
    <row r="258" spans="1:10" s="4" customFormat="1" ht="42.75">
      <c r="A258" s="1265" t="s">
        <v>277</v>
      </c>
      <c r="B258" s="8" t="s">
        <v>1874</v>
      </c>
      <c r="C258" s="157" t="s">
        <v>1875</v>
      </c>
      <c r="D258" s="158">
        <v>1</v>
      </c>
      <c r="E258" s="159">
        <v>857.57</v>
      </c>
      <c r="F258" s="158">
        <v>857.57</v>
      </c>
      <c r="G258" s="160" t="s">
        <v>4643</v>
      </c>
      <c r="H258" s="1269" t="str">
        <f t="shared" si="7"/>
        <v xml:space="preserve">034006100A
分析表204_x000D_
</v>
      </c>
      <c r="I258" s="670">
        <v>250</v>
      </c>
      <c r="J258" s="4" t="str">
        <f t="shared" ref="J258:J321" si="8">A258</f>
        <v>1.250</v>
      </c>
    </row>
    <row r="259" spans="1:10" s="4" customFormat="1" ht="42.75">
      <c r="A259" s="1265" t="s">
        <v>278</v>
      </c>
      <c r="B259" s="8" t="s">
        <v>1882</v>
      </c>
      <c r="C259" s="157" t="s">
        <v>1875</v>
      </c>
      <c r="D259" s="158">
        <v>1</v>
      </c>
      <c r="E259" s="159">
        <v>941.47</v>
      </c>
      <c r="F259" s="158">
        <v>941.47</v>
      </c>
      <c r="G259" s="160" t="s">
        <v>4644</v>
      </c>
      <c r="H259" s="1269" t="str">
        <f t="shared" si="7"/>
        <v xml:space="preserve">034006300A
分析表205_x000D_
</v>
      </c>
      <c r="I259" s="670">
        <v>251</v>
      </c>
      <c r="J259" s="4" t="str">
        <f t="shared" si="8"/>
        <v>1.251</v>
      </c>
    </row>
    <row r="260" spans="1:10" s="4" customFormat="1" ht="42.75">
      <c r="A260" s="1265" t="s">
        <v>279</v>
      </c>
      <c r="B260" s="8" t="s">
        <v>1889</v>
      </c>
      <c r="C260" s="157" t="s">
        <v>1875</v>
      </c>
      <c r="D260" s="158">
        <v>1</v>
      </c>
      <c r="E260" s="159">
        <v>1057.1199999999999</v>
      </c>
      <c r="F260" s="158">
        <v>1057.1199999999999</v>
      </c>
      <c r="G260" s="160" t="s">
        <v>4645</v>
      </c>
      <c r="H260" s="1269" t="str">
        <f t="shared" si="7"/>
        <v xml:space="preserve">034006500A
分析表206_x000D_
</v>
      </c>
      <c r="I260" s="670">
        <v>252</v>
      </c>
      <c r="J260" s="4" t="str">
        <f t="shared" si="8"/>
        <v>1.252</v>
      </c>
    </row>
    <row r="261" spans="1:10" s="4" customFormat="1" ht="42.75">
      <c r="A261" s="1265" t="s">
        <v>280</v>
      </c>
      <c r="B261" s="8" t="s">
        <v>1896</v>
      </c>
      <c r="C261" s="157" t="s">
        <v>1875</v>
      </c>
      <c r="D261" s="158">
        <v>1</v>
      </c>
      <c r="E261" s="159">
        <v>1141.02</v>
      </c>
      <c r="F261" s="158">
        <v>1141.02</v>
      </c>
      <c r="G261" s="160" t="s">
        <v>4646</v>
      </c>
      <c r="H261" s="1269" t="str">
        <f t="shared" si="7"/>
        <v xml:space="preserve">034006700A
分析表207_x000D_
</v>
      </c>
      <c r="I261" s="670">
        <v>253</v>
      </c>
      <c r="J261" s="4" t="str">
        <f t="shared" si="8"/>
        <v>1.253</v>
      </c>
    </row>
    <row r="262" spans="1:10" s="4" customFormat="1" ht="42.75">
      <c r="A262" s="1265" t="s">
        <v>281</v>
      </c>
      <c r="B262" s="8" t="s">
        <v>1903</v>
      </c>
      <c r="C262" s="157" t="s">
        <v>1875</v>
      </c>
      <c r="D262" s="158">
        <v>1</v>
      </c>
      <c r="E262" s="159">
        <v>2056.92</v>
      </c>
      <c r="F262" s="158">
        <v>2056.92</v>
      </c>
      <c r="G262" s="160" t="s">
        <v>4647</v>
      </c>
      <c r="H262" s="1269" t="str">
        <f t="shared" si="7"/>
        <v xml:space="preserve">034006800A
分析表208_x000D_
</v>
      </c>
      <c r="I262" s="670">
        <v>254</v>
      </c>
      <c r="J262" s="4" t="str">
        <f t="shared" si="8"/>
        <v>1.254</v>
      </c>
    </row>
    <row r="263" spans="1:10" s="4" customFormat="1" ht="42.75">
      <c r="A263" s="1265" t="s">
        <v>282</v>
      </c>
      <c r="B263" s="8" t="s">
        <v>1910</v>
      </c>
      <c r="C263" s="157" t="s">
        <v>1875</v>
      </c>
      <c r="D263" s="158">
        <v>1</v>
      </c>
      <c r="E263" s="159">
        <v>3863.13</v>
      </c>
      <c r="F263" s="158">
        <v>3863.13</v>
      </c>
      <c r="G263" s="160" t="s">
        <v>4648</v>
      </c>
      <c r="H263" s="1269" t="str">
        <f t="shared" si="7"/>
        <v xml:space="preserve">034007200A
分析表209_x000D_
</v>
      </c>
      <c r="I263" s="670">
        <v>255</v>
      </c>
      <c r="J263" s="4" t="str">
        <f t="shared" si="8"/>
        <v>1.255</v>
      </c>
    </row>
    <row r="264" spans="1:10" s="4" customFormat="1" ht="42.75">
      <c r="A264" s="1265" t="s">
        <v>283</v>
      </c>
      <c r="B264" s="8" t="s">
        <v>1917</v>
      </c>
      <c r="C264" s="157" t="s">
        <v>1875</v>
      </c>
      <c r="D264" s="158">
        <v>1</v>
      </c>
      <c r="E264" s="159">
        <v>4487.3599999999997</v>
      </c>
      <c r="F264" s="158">
        <v>4487.3599999999997</v>
      </c>
      <c r="G264" s="160" t="s">
        <v>4649</v>
      </c>
      <c r="H264" s="1269" t="str">
        <f t="shared" si="7"/>
        <v xml:space="preserve">034007400A
分析表210_x000D_
</v>
      </c>
      <c r="I264" s="670">
        <v>256</v>
      </c>
      <c r="J264" s="4" t="str">
        <f t="shared" si="8"/>
        <v>1.256</v>
      </c>
    </row>
    <row r="265" spans="1:10" s="4" customFormat="1" ht="42.75">
      <c r="A265" s="1265" t="s">
        <v>284</v>
      </c>
      <c r="B265" s="8" t="s">
        <v>1924</v>
      </c>
      <c r="C265" s="157" t="s">
        <v>1875</v>
      </c>
      <c r="D265" s="158">
        <v>1</v>
      </c>
      <c r="E265" s="159">
        <v>5705.14</v>
      </c>
      <c r="F265" s="158">
        <v>5705.14</v>
      </c>
      <c r="G265" s="160" t="s">
        <v>4650</v>
      </c>
      <c r="H265" s="1269" t="str">
        <f t="shared" si="7"/>
        <v xml:space="preserve">034007600A
分析表211_x000D_
</v>
      </c>
      <c r="I265" s="670">
        <v>257</v>
      </c>
      <c r="J265" s="4" t="str">
        <f t="shared" si="8"/>
        <v>1.257</v>
      </c>
    </row>
    <row r="266" spans="1:10" s="4" customFormat="1" ht="42.75">
      <c r="A266" s="1265" t="s">
        <v>285</v>
      </c>
      <c r="B266" s="8" t="s">
        <v>1931</v>
      </c>
      <c r="C266" s="157" t="s">
        <v>1875</v>
      </c>
      <c r="D266" s="158">
        <v>1</v>
      </c>
      <c r="E266" s="159">
        <v>5091.1400000000003</v>
      </c>
      <c r="F266" s="158">
        <v>5091.1400000000003</v>
      </c>
      <c r="G266" s="160" t="s">
        <v>4651</v>
      </c>
      <c r="H266" s="1269" t="str">
        <f t="shared" ref="H266:H329" si="9">G266</f>
        <v xml:space="preserve">034007800A
分析表212_x000D_
</v>
      </c>
      <c r="I266" s="670">
        <v>258</v>
      </c>
      <c r="J266" s="4" t="str">
        <f t="shared" si="8"/>
        <v>1.258</v>
      </c>
    </row>
    <row r="267" spans="1:10" s="4" customFormat="1" ht="47.25">
      <c r="A267" s="1265" t="s">
        <v>286</v>
      </c>
      <c r="B267" s="8" t="s">
        <v>1938</v>
      </c>
      <c r="C267" s="157" t="s">
        <v>1875</v>
      </c>
      <c r="D267" s="158">
        <v>1</v>
      </c>
      <c r="E267" s="159">
        <v>2236.0100000000002</v>
      </c>
      <c r="F267" s="158">
        <v>2236.0100000000002</v>
      </c>
      <c r="G267" s="160" t="s">
        <v>4652</v>
      </c>
      <c r="H267" s="1269" t="str">
        <f t="shared" si="9"/>
        <v xml:space="preserve">034003112A
分析表213_x000D_
</v>
      </c>
      <c r="I267" s="670">
        <v>259</v>
      </c>
      <c r="J267" s="4" t="str">
        <f t="shared" si="8"/>
        <v>1.259</v>
      </c>
    </row>
    <row r="268" spans="1:10" s="4" customFormat="1" ht="47.25">
      <c r="A268" s="1265" t="s">
        <v>287</v>
      </c>
      <c r="B268" s="8" t="s">
        <v>1945</v>
      </c>
      <c r="C268" s="157" t="s">
        <v>1875</v>
      </c>
      <c r="D268" s="158">
        <v>1</v>
      </c>
      <c r="E268" s="159">
        <v>2461.14</v>
      </c>
      <c r="F268" s="158">
        <v>2461.14</v>
      </c>
      <c r="G268" s="160" t="s">
        <v>4653</v>
      </c>
      <c r="H268" s="1269" t="str">
        <f t="shared" si="9"/>
        <v xml:space="preserve">034003212A
分析表214_x000D_
</v>
      </c>
      <c r="I268" s="670">
        <v>260</v>
      </c>
      <c r="J268" s="4" t="str">
        <f t="shared" si="8"/>
        <v>1.260</v>
      </c>
    </row>
    <row r="269" spans="1:10" s="4" customFormat="1" ht="47.25">
      <c r="A269" s="1265" t="s">
        <v>288</v>
      </c>
      <c r="B269" s="8" t="s">
        <v>1952</v>
      </c>
      <c r="C269" s="157" t="s">
        <v>1875</v>
      </c>
      <c r="D269" s="158">
        <v>1</v>
      </c>
      <c r="E269" s="159">
        <v>2481.61</v>
      </c>
      <c r="F269" s="158">
        <v>2481.61</v>
      </c>
      <c r="G269" s="160" t="s">
        <v>4654</v>
      </c>
      <c r="H269" s="1269" t="str">
        <f t="shared" si="9"/>
        <v xml:space="preserve">034003312A
分析表215_x000D_
</v>
      </c>
      <c r="I269" s="670">
        <v>261</v>
      </c>
      <c r="J269" s="4" t="str">
        <f t="shared" si="8"/>
        <v>1.261</v>
      </c>
    </row>
    <row r="270" spans="1:10" s="4" customFormat="1" ht="47.25">
      <c r="A270" s="1265" t="s">
        <v>289</v>
      </c>
      <c r="B270" s="8" t="s">
        <v>1959</v>
      </c>
      <c r="C270" s="157" t="s">
        <v>1875</v>
      </c>
      <c r="D270" s="158">
        <v>1</v>
      </c>
      <c r="E270" s="159">
        <v>2358.81</v>
      </c>
      <c r="F270" s="158">
        <v>2358.81</v>
      </c>
      <c r="G270" s="160" t="s">
        <v>4655</v>
      </c>
      <c r="H270" s="1269" t="str">
        <f t="shared" si="9"/>
        <v xml:space="preserve">034003122A
分析表216_x000D_
</v>
      </c>
      <c r="I270" s="670">
        <v>262</v>
      </c>
      <c r="J270" s="4" t="str">
        <f t="shared" si="8"/>
        <v>1.262</v>
      </c>
    </row>
    <row r="271" spans="1:10" s="4" customFormat="1" ht="47.25">
      <c r="A271" s="1265" t="s">
        <v>290</v>
      </c>
      <c r="B271" s="8" t="s">
        <v>1966</v>
      </c>
      <c r="C271" s="157" t="s">
        <v>1875</v>
      </c>
      <c r="D271" s="158">
        <v>1</v>
      </c>
      <c r="E271" s="159">
        <v>2522.5500000000002</v>
      </c>
      <c r="F271" s="158">
        <v>2522.5500000000002</v>
      </c>
      <c r="G271" s="160" t="s">
        <v>4656</v>
      </c>
      <c r="H271" s="1269" t="str">
        <f t="shared" si="9"/>
        <v xml:space="preserve">034003222A
分析表217_x000D_
</v>
      </c>
      <c r="I271" s="670">
        <v>263</v>
      </c>
      <c r="J271" s="4" t="str">
        <f t="shared" si="8"/>
        <v>1.263</v>
      </c>
    </row>
    <row r="272" spans="1:10" s="4" customFormat="1" ht="47.25">
      <c r="A272" s="1265" t="s">
        <v>291</v>
      </c>
      <c r="B272" s="8" t="s">
        <v>1973</v>
      </c>
      <c r="C272" s="157" t="s">
        <v>1875</v>
      </c>
      <c r="D272" s="158">
        <v>1</v>
      </c>
      <c r="E272" s="159">
        <v>2645.35</v>
      </c>
      <c r="F272" s="158">
        <v>2645.35</v>
      </c>
      <c r="G272" s="160" t="s">
        <v>4657</v>
      </c>
      <c r="H272" s="1269" t="str">
        <f t="shared" si="9"/>
        <v xml:space="preserve">034003322A
分析表218_x000D_
</v>
      </c>
      <c r="I272" s="670">
        <v>264</v>
      </c>
      <c r="J272" s="4" t="str">
        <f t="shared" si="8"/>
        <v>1.264</v>
      </c>
    </row>
    <row r="273" spans="1:10" s="4" customFormat="1" ht="47.25">
      <c r="A273" s="1265" t="s">
        <v>292</v>
      </c>
      <c r="B273" s="8" t="s">
        <v>1980</v>
      </c>
      <c r="C273" s="157" t="s">
        <v>1875</v>
      </c>
      <c r="D273" s="158">
        <v>1</v>
      </c>
      <c r="E273" s="159">
        <v>4599.93</v>
      </c>
      <c r="F273" s="158">
        <v>4599.93</v>
      </c>
      <c r="G273" s="160" t="s">
        <v>4658</v>
      </c>
      <c r="H273" s="1269" t="str">
        <f t="shared" si="9"/>
        <v xml:space="preserve">034004112A
分析表219_x000D_
</v>
      </c>
      <c r="I273" s="670">
        <v>265</v>
      </c>
      <c r="J273" s="4" t="str">
        <f t="shared" si="8"/>
        <v>1.265</v>
      </c>
    </row>
    <row r="274" spans="1:10" s="4" customFormat="1" ht="47.25">
      <c r="A274" s="1265" t="s">
        <v>293</v>
      </c>
      <c r="B274" s="8" t="s">
        <v>1987</v>
      </c>
      <c r="C274" s="157" t="s">
        <v>1875</v>
      </c>
      <c r="D274" s="158">
        <v>1</v>
      </c>
      <c r="E274" s="159">
        <v>5101.3599999999997</v>
      </c>
      <c r="F274" s="158">
        <v>5101.3599999999997</v>
      </c>
      <c r="G274" s="160" t="s">
        <v>4659</v>
      </c>
      <c r="H274" s="1269" t="str">
        <f t="shared" si="9"/>
        <v xml:space="preserve">034004212A
分析表220_x000D_
</v>
      </c>
      <c r="I274" s="670">
        <v>266</v>
      </c>
      <c r="J274" s="4" t="str">
        <f t="shared" si="8"/>
        <v>1.266</v>
      </c>
    </row>
    <row r="275" spans="1:10" s="4" customFormat="1" ht="47.25">
      <c r="A275" s="1265" t="s">
        <v>294</v>
      </c>
      <c r="B275" s="8" t="s">
        <v>1994</v>
      </c>
      <c r="C275" s="157" t="s">
        <v>1875</v>
      </c>
      <c r="D275" s="158">
        <v>1</v>
      </c>
      <c r="E275" s="159">
        <v>5705.15</v>
      </c>
      <c r="F275" s="158">
        <v>5705.15</v>
      </c>
      <c r="G275" s="160" t="s">
        <v>4660</v>
      </c>
      <c r="H275" s="1269" t="str">
        <f t="shared" si="9"/>
        <v xml:space="preserve">034004312A
分析表221_x000D_
</v>
      </c>
      <c r="I275" s="670">
        <v>267</v>
      </c>
      <c r="J275" s="4" t="str">
        <f t="shared" si="8"/>
        <v>1.267</v>
      </c>
    </row>
    <row r="276" spans="1:10" s="4" customFormat="1" ht="47.25">
      <c r="A276" s="1265" t="s">
        <v>295</v>
      </c>
      <c r="B276" s="8" t="s">
        <v>2001</v>
      </c>
      <c r="C276" s="157" t="s">
        <v>1875</v>
      </c>
      <c r="D276" s="158">
        <v>1</v>
      </c>
      <c r="E276" s="159">
        <v>4651.1000000000004</v>
      </c>
      <c r="F276" s="158">
        <v>4651.1000000000004</v>
      </c>
      <c r="G276" s="160" t="s">
        <v>4661</v>
      </c>
      <c r="H276" s="1269" t="str">
        <f t="shared" si="9"/>
        <v xml:space="preserve">034004122A
分析表222_x000D_
</v>
      </c>
      <c r="I276" s="670">
        <v>268</v>
      </c>
      <c r="J276" s="4" t="str">
        <f t="shared" si="8"/>
        <v>1.268</v>
      </c>
    </row>
    <row r="277" spans="1:10" s="4" customFormat="1" ht="47.25">
      <c r="A277" s="1265" t="s">
        <v>296</v>
      </c>
      <c r="B277" s="8" t="s">
        <v>2008</v>
      </c>
      <c r="C277" s="157" t="s">
        <v>1875</v>
      </c>
      <c r="D277" s="158">
        <v>1</v>
      </c>
      <c r="E277" s="159">
        <v>5224.17</v>
      </c>
      <c r="F277" s="158">
        <v>5224.17</v>
      </c>
      <c r="G277" s="160" t="s">
        <v>4662</v>
      </c>
      <c r="H277" s="1269" t="str">
        <f t="shared" si="9"/>
        <v xml:space="preserve">034004222A
分析表223_x000D_
</v>
      </c>
      <c r="I277" s="670">
        <v>269</v>
      </c>
      <c r="J277" s="4" t="str">
        <f t="shared" si="8"/>
        <v>1.269</v>
      </c>
    </row>
    <row r="278" spans="1:10" s="4" customFormat="1" ht="47.25">
      <c r="A278" s="1265" t="s">
        <v>297</v>
      </c>
      <c r="B278" s="8" t="s">
        <v>2015</v>
      </c>
      <c r="C278" s="157" t="s">
        <v>1875</v>
      </c>
      <c r="D278" s="158">
        <v>1</v>
      </c>
      <c r="E278" s="159">
        <v>6042.85</v>
      </c>
      <c r="F278" s="158">
        <v>6042.85</v>
      </c>
      <c r="G278" s="160" t="s">
        <v>4663</v>
      </c>
      <c r="H278" s="1269" t="str">
        <f t="shared" si="9"/>
        <v xml:space="preserve">034004322A
分析表224_x000D_
</v>
      </c>
      <c r="I278" s="670">
        <v>270</v>
      </c>
      <c r="J278" s="4" t="str">
        <f t="shared" si="8"/>
        <v>1.270</v>
      </c>
    </row>
    <row r="279" spans="1:10" s="4" customFormat="1" ht="47.25">
      <c r="A279" s="1265" t="s">
        <v>298</v>
      </c>
      <c r="B279" s="8" t="s">
        <v>4664</v>
      </c>
      <c r="C279" s="157" t="s">
        <v>1689</v>
      </c>
      <c r="D279" s="158">
        <v>1</v>
      </c>
      <c r="E279" s="159">
        <v>6606.72</v>
      </c>
      <c r="F279" s="158">
        <v>6606.72</v>
      </c>
      <c r="G279" s="160" t="s">
        <v>4665</v>
      </c>
      <c r="H279" s="1269" t="str">
        <f t="shared" si="9"/>
        <v xml:space="preserve">055307B008
分析表225_x000D_
</v>
      </c>
      <c r="I279" s="670">
        <v>271</v>
      </c>
      <c r="J279" s="4" t="str">
        <f t="shared" si="8"/>
        <v>1.271</v>
      </c>
    </row>
    <row r="280" spans="1:10" s="4" customFormat="1" ht="47.25">
      <c r="A280" s="1265" t="s">
        <v>299</v>
      </c>
      <c r="B280" s="8" t="s">
        <v>4666</v>
      </c>
      <c r="C280" s="157" t="s">
        <v>1689</v>
      </c>
      <c r="D280" s="158">
        <v>1</v>
      </c>
      <c r="E280" s="159">
        <v>7785.61</v>
      </c>
      <c r="F280" s="158">
        <v>7785.61</v>
      </c>
      <c r="G280" s="160" t="s">
        <v>4667</v>
      </c>
      <c r="H280" s="1269" t="str">
        <f t="shared" si="9"/>
        <v xml:space="preserve">055307c008
分析表226_x000D_
</v>
      </c>
      <c r="I280" s="670">
        <v>272</v>
      </c>
      <c r="J280" s="4" t="str">
        <f t="shared" si="8"/>
        <v>1.272</v>
      </c>
    </row>
    <row r="281" spans="1:10" s="4" customFormat="1" ht="47.25">
      <c r="A281" s="1265" t="s">
        <v>300</v>
      </c>
      <c r="B281" s="8" t="s">
        <v>4668</v>
      </c>
      <c r="C281" s="157" t="s">
        <v>1689</v>
      </c>
      <c r="D281" s="158">
        <v>1</v>
      </c>
      <c r="E281" s="159">
        <v>8964.5</v>
      </c>
      <c r="F281" s="158">
        <v>8964.5</v>
      </c>
      <c r="G281" s="160" t="s">
        <v>4669</v>
      </c>
      <c r="H281" s="1269" t="str">
        <f t="shared" si="9"/>
        <v xml:space="preserve">055307D008
分析表227_x000D_
</v>
      </c>
      <c r="I281" s="670">
        <v>273</v>
      </c>
      <c r="J281" s="4" t="str">
        <f t="shared" si="8"/>
        <v>1.273</v>
      </c>
    </row>
    <row r="282" spans="1:10" s="4" customFormat="1" ht="42.75">
      <c r="A282" s="1265" t="s">
        <v>301</v>
      </c>
      <c r="B282" s="8" t="s">
        <v>2022</v>
      </c>
      <c r="C282" s="157" t="s">
        <v>1689</v>
      </c>
      <c r="D282" s="158">
        <v>1</v>
      </c>
      <c r="E282" s="159">
        <v>2256.02</v>
      </c>
      <c r="F282" s="158">
        <v>2256.02</v>
      </c>
      <c r="G282" s="160" t="s">
        <v>4670</v>
      </c>
      <c r="H282" s="1269" t="str">
        <f t="shared" si="9"/>
        <v xml:space="preserve">0553082008
分析表228_x000D_
</v>
      </c>
      <c r="I282" s="670">
        <v>274</v>
      </c>
      <c r="J282" s="4" t="str">
        <f t="shared" si="8"/>
        <v>1.274</v>
      </c>
    </row>
    <row r="283" spans="1:10" s="4" customFormat="1" ht="42.75">
      <c r="A283" s="1265" t="s">
        <v>302</v>
      </c>
      <c r="B283" s="8" t="s">
        <v>2029</v>
      </c>
      <c r="C283" s="157" t="s">
        <v>1689</v>
      </c>
      <c r="D283" s="158">
        <v>1</v>
      </c>
      <c r="E283" s="159">
        <v>2843.63</v>
      </c>
      <c r="F283" s="158">
        <v>2843.63</v>
      </c>
      <c r="G283" s="160" t="s">
        <v>4671</v>
      </c>
      <c r="H283" s="1269" t="str">
        <f t="shared" si="9"/>
        <v xml:space="preserve">0553083008
分析表229_x000D_
</v>
      </c>
      <c r="I283" s="670">
        <v>275</v>
      </c>
      <c r="J283" s="4" t="str">
        <f t="shared" si="8"/>
        <v>1.275</v>
      </c>
    </row>
    <row r="284" spans="1:10" s="4" customFormat="1" ht="42.75">
      <c r="A284" s="1265" t="s">
        <v>303</v>
      </c>
      <c r="B284" s="8" t="s">
        <v>2032</v>
      </c>
      <c r="C284" s="157" t="s">
        <v>1689</v>
      </c>
      <c r="D284" s="158">
        <v>1</v>
      </c>
      <c r="E284" s="159">
        <v>3110.97</v>
      </c>
      <c r="F284" s="158">
        <v>3110.97</v>
      </c>
      <c r="G284" s="160" t="s">
        <v>4672</v>
      </c>
      <c r="H284" s="1269" t="str">
        <f t="shared" si="9"/>
        <v xml:space="preserve">0553072008
分析表230_x000D_
</v>
      </c>
      <c r="I284" s="670">
        <v>276</v>
      </c>
      <c r="J284" s="4" t="str">
        <f t="shared" si="8"/>
        <v>1.276</v>
      </c>
    </row>
    <row r="285" spans="1:10" s="4" customFormat="1" ht="42.75">
      <c r="A285" s="1265" t="s">
        <v>304</v>
      </c>
      <c r="B285" s="8" t="s">
        <v>2037</v>
      </c>
      <c r="C285" s="157" t="s">
        <v>1689</v>
      </c>
      <c r="D285" s="158">
        <v>1</v>
      </c>
      <c r="E285" s="159">
        <v>3581.71</v>
      </c>
      <c r="F285" s="158">
        <v>3581.71</v>
      </c>
      <c r="G285" s="160" t="s">
        <v>4673</v>
      </c>
      <c r="H285" s="1269" t="str">
        <f t="shared" si="9"/>
        <v xml:space="preserve">0553073008
分析表231_x000D_
</v>
      </c>
      <c r="I285" s="670">
        <v>277</v>
      </c>
      <c r="J285" s="4" t="str">
        <f t="shared" si="8"/>
        <v>1.277</v>
      </c>
    </row>
    <row r="286" spans="1:10" s="4" customFormat="1" ht="42.75">
      <c r="A286" s="1265" t="s">
        <v>305</v>
      </c>
      <c r="B286" s="8" t="s">
        <v>2042</v>
      </c>
      <c r="C286" s="157" t="s">
        <v>1689</v>
      </c>
      <c r="D286" s="158">
        <v>1</v>
      </c>
      <c r="E286" s="159">
        <v>3919.42</v>
      </c>
      <c r="F286" s="158">
        <v>3919.42</v>
      </c>
      <c r="G286" s="160" t="s">
        <v>4674</v>
      </c>
      <c r="H286" s="1269" t="str">
        <f t="shared" si="9"/>
        <v xml:space="preserve">0553074008
分析表232_x000D_
</v>
      </c>
      <c r="I286" s="670">
        <v>278</v>
      </c>
      <c r="J286" s="4" t="str">
        <f t="shared" si="8"/>
        <v>1.278</v>
      </c>
    </row>
    <row r="287" spans="1:10" s="4" customFormat="1" ht="42.75">
      <c r="A287" s="1265" t="s">
        <v>306</v>
      </c>
      <c r="B287" s="8" t="s">
        <v>2047</v>
      </c>
      <c r="C287" s="157" t="s">
        <v>18</v>
      </c>
      <c r="D287" s="158">
        <v>100</v>
      </c>
      <c r="E287" s="159">
        <v>88.24</v>
      </c>
      <c r="F287" s="158">
        <v>8824</v>
      </c>
      <c r="G287" s="160" t="s">
        <v>4675</v>
      </c>
      <c r="H287" s="1269" t="str">
        <f t="shared" si="9"/>
        <v xml:space="preserve">0553070009
分析表233_x000D_
</v>
      </c>
      <c r="I287" s="670">
        <v>279</v>
      </c>
      <c r="J287" s="4" t="str">
        <f t="shared" si="8"/>
        <v>1.279</v>
      </c>
    </row>
    <row r="288" spans="1:10" s="4" customFormat="1" ht="42.75">
      <c r="A288" s="1265" t="s">
        <v>307</v>
      </c>
      <c r="B288" s="8" t="s">
        <v>2054</v>
      </c>
      <c r="C288" s="157" t="s">
        <v>1689</v>
      </c>
      <c r="D288" s="158">
        <v>1</v>
      </c>
      <c r="E288" s="159">
        <v>3591.94</v>
      </c>
      <c r="F288" s="158">
        <v>3591.94</v>
      </c>
      <c r="G288" s="160" t="s">
        <v>4676</v>
      </c>
      <c r="H288" s="1269" t="str">
        <f t="shared" si="9"/>
        <v xml:space="preserve">0553062008
分析表234_x000D_
</v>
      </c>
      <c r="I288" s="670">
        <v>280</v>
      </c>
      <c r="J288" s="4" t="str">
        <f t="shared" si="8"/>
        <v>1.280</v>
      </c>
    </row>
    <row r="289" spans="1:10" s="4" customFormat="1" ht="42.75">
      <c r="A289" s="1265" t="s">
        <v>308</v>
      </c>
      <c r="B289" s="8" t="s">
        <v>2059</v>
      </c>
      <c r="C289" s="157" t="s">
        <v>1689</v>
      </c>
      <c r="D289" s="158">
        <v>1</v>
      </c>
      <c r="E289" s="159">
        <v>4103.6099999999997</v>
      </c>
      <c r="F289" s="158">
        <v>4103.6099999999997</v>
      </c>
      <c r="G289" s="160" t="s">
        <v>4677</v>
      </c>
      <c r="H289" s="1269" t="str">
        <f t="shared" si="9"/>
        <v xml:space="preserve">0553063008
分析表235_x000D_
</v>
      </c>
      <c r="I289" s="670">
        <v>281</v>
      </c>
      <c r="J289" s="4" t="str">
        <f t="shared" si="8"/>
        <v>1.281</v>
      </c>
    </row>
    <row r="290" spans="1:10" s="4" customFormat="1" ht="42.75">
      <c r="A290" s="1265" t="s">
        <v>309</v>
      </c>
      <c r="B290" s="8" t="s">
        <v>2064</v>
      </c>
      <c r="C290" s="157" t="s">
        <v>1689</v>
      </c>
      <c r="D290" s="158">
        <v>1</v>
      </c>
      <c r="E290" s="159">
        <v>4717.62</v>
      </c>
      <c r="F290" s="158">
        <v>4717.62</v>
      </c>
      <c r="G290" s="160" t="s">
        <v>4678</v>
      </c>
      <c r="H290" s="1269" t="str">
        <f t="shared" si="9"/>
        <v xml:space="preserve">0553064008
分析表236_x000D_
</v>
      </c>
      <c r="I290" s="670">
        <v>282</v>
      </c>
      <c r="J290" s="4" t="str">
        <f t="shared" si="8"/>
        <v>1.282</v>
      </c>
    </row>
    <row r="291" spans="1:10" s="4" customFormat="1" ht="47.25">
      <c r="A291" s="1265" t="s">
        <v>310</v>
      </c>
      <c r="B291" s="8" t="s">
        <v>2069</v>
      </c>
      <c r="C291" s="157" t="s">
        <v>1875</v>
      </c>
      <c r="D291" s="158">
        <v>1</v>
      </c>
      <c r="E291" s="159">
        <v>6713.14</v>
      </c>
      <c r="F291" s="158">
        <v>6713.14</v>
      </c>
      <c r="G291" s="160" t="s">
        <v>4679</v>
      </c>
      <c r="H291" s="1269" t="str">
        <f t="shared" si="9"/>
        <v xml:space="preserve">03400K102A
分析表237_x000D_
</v>
      </c>
      <c r="I291" s="670">
        <v>283</v>
      </c>
      <c r="J291" s="4" t="str">
        <f t="shared" si="8"/>
        <v>1.283</v>
      </c>
    </row>
    <row r="292" spans="1:10" s="4" customFormat="1" ht="47.25">
      <c r="A292" s="1265" t="s">
        <v>311</v>
      </c>
      <c r="B292" s="8" t="s">
        <v>2076</v>
      </c>
      <c r="C292" s="157" t="s">
        <v>1875</v>
      </c>
      <c r="D292" s="158">
        <v>1</v>
      </c>
      <c r="E292" s="159">
        <v>4165.01</v>
      </c>
      <c r="F292" s="158">
        <v>4165.01</v>
      </c>
      <c r="G292" s="160" t="s">
        <v>4680</v>
      </c>
      <c r="H292" s="1269" t="str">
        <f t="shared" si="9"/>
        <v xml:space="preserve">03400M102A
分析表238_x000D_
</v>
      </c>
      <c r="I292" s="670">
        <v>284</v>
      </c>
      <c r="J292" s="4" t="str">
        <f t="shared" si="8"/>
        <v>1.284</v>
      </c>
    </row>
    <row r="293" spans="1:10" s="4" customFormat="1" ht="42.75">
      <c r="A293" s="1265" t="s">
        <v>312</v>
      </c>
      <c r="B293" s="8" t="s">
        <v>2083</v>
      </c>
      <c r="C293" s="157" t="s">
        <v>1875</v>
      </c>
      <c r="D293" s="158">
        <v>1</v>
      </c>
      <c r="E293" s="159">
        <v>15994.87</v>
      </c>
      <c r="F293" s="158">
        <v>15994.87</v>
      </c>
      <c r="G293" s="160" t="s">
        <v>4681</v>
      </c>
      <c r="H293" s="1269" t="str">
        <f t="shared" si="9"/>
        <v xml:space="preserve">02631P110C
分析表239_x000D_
</v>
      </c>
      <c r="I293" s="670">
        <v>285</v>
      </c>
      <c r="J293" s="4" t="str">
        <f t="shared" si="8"/>
        <v>1.285</v>
      </c>
    </row>
    <row r="294" spans="1:10" s="4" customFormat="1" ht="42.75">
      <c r="A294" s="1265" t="s">
        <v>313</v>
      </c>
      <c r="B294" s="8" t="s">
        <v>2090</v>
      </c>
      <c r="C294" s="157" t="s">
        <v>1875</v>
      </c>
      <c r="D294" s="158">
        <v>1</v>
      </c>
      <c r="E294" s="159">
        <v>10734.88</v>
      </c>
      <c r="F294" s="158">
        <v>10734.88</v>
      </c>
      <c r="G294" s="160" t="s">
        <v>4682</v>
      </c>
      <c r="H294" s="1269" t="str">
        <f t="shared" si="9"/>
        <v xml:space="preserve">02631P212C
分析表240_x000D_
</v>
      </c>
      <c r="I294" s="670">
        <v>286</v>
      </c>
      <c r="J294" s="4" t="str">
        <f t="shared" si="8"/>
        <v>1.286</v>
      </c>
    </row>
    <row r="295" spans="1:10" s="4" customFormat="1" ht="42.75">
      <c r="A295" s="1265" t="s">
        <v>314</v>
      </c>
      <c r="B295" s="8" t="s">
        <v>2097</v>
      </c>
      <c r="C295" s="157" t="s">
        <v>1875</v>
      </c>
      <c r="D295" s="158">
        <v>1</v>
      </c>
      <c r="E295" s="159">
        <v>10059.469999999999</v>
      </c>
      <c r="F295" s="158">
        <v>10059.469999999999</v>
      </c>
      <c r="G295" s="160" t="s">
        <v>4683</v>
      </c>
      <c r="H295" s="1269" t="str">
        <f t="shared" si="9"/>
        <v xml:space="preserve">02631P211C
分析表241_x000D_
</v>
      </c>
      <c r="I295" s="670">
        <v>287</v>
      </c>
      <c r="J295" s="4" t="str">
        <f t="shared" si="8"/>
        <v>1.287</v>
      </c>
    </row>
    <row r="296" spans="1:10" s="4" customFormat="1" ht="47.25">
      <c r="A296" s="1265" t="s">
        <v>315</v>
      </c>
      <c r="B296" s="8" t="s">
        <v>2102</v>
      </c>
      <c r="C296" s="157" t="s">
        <v>1818</v>
      </c>
      <c r="D296" s="158">
        <v>1</v>
      </c>
      <c r="E296" s="159">
        <v>24182.720000000001</v>
      </c>
      <c r="F296" s="158">
        <v>24182.720000000001</v>
      </c>
      <c r="G296" s="160" t="s">
        <v>4684</v>
      </c>
      <c r="H296" s="1269" t="str">
        <f t="shared" si="9"/>
        <v xml:space="preserve">055626021C
分析表242_x000D_
</v>
      </c>
      <c r="I296" s="670">
        <v>288</v>
      </c>
      <c r="J296" s="4" t="str">
        <f t="shared" si="8"/>
        <v>1.288</v>
      </c>
    </row>
    <row r="297" spans="1:10" s="4" customFormat="1" ht="42.75">
      <c r="A297" s="1265" t="s">
        <v>316</v>
      </c>
      <c r="B297" s="8" t="s">
        <v>2112</v>
      </c>
      <c r="C297" s="157" t="s">
        <v>1818</v>
      </c>
      <c r="D297" s="158">
        <v>1</v>
      </c>
      <c r="E297" s="159">
        <v>23395.84</v>
      </c>
      <c r="F297" s="158">
        <v>23395.84</v>
      </c>
      <c r="G297" s="160" t="s">
        <v>4685</v>
      </c>
      <c r="H297" s="1269" t="str">
        <f t="shared" si="9"/>
        <v xml:space="preserve">055626011C
分析表243_x000D_
</v>
      </c>
      <c r="I297" s="670">
        <v>289</v>
      </c>
      <c r="J297" s="4" t="str">
        <f t="shared" si="8"/>
        <v>1.289</v>
      </c>
    </row>
    <row r="298" spans="1:10" s="4" customFormat="1" ht="42.75">
      <c r="A298" s="1265" t="s">
        <v>317</v>
      </c>
      <c r="B298" s="8" t="s">
        <v>2115</v>
      </c>
      <c r="C298" s="157" t="s">
        <v>1875</v>
      </c>
      <c r="D298" s="158">
        <v>1</v>
      </c>
      <c r="E298" s="159">
        <v>4629.6099999999997</v>
      </c>
      <c r="F298" s="158">
        <v>4629.6099999999997</v>
      </c>
      <c r="G298" s="160" t="s">
        <v>4686</v>
      </c>
      <c r="H298" s="1269" t="str">
        <f t="shared" si="9"/>
        <v xml:space="preserve">02631T210C
分析表244_x000D_
</v>
      </c>
      <c r="I298" s="670">
        <v>290</v>
      </c>
      <c r="J298" s="4" t="str">
        <f t="shared" si="8"/>
        <v>1.290</v>
      </c>
    </row>
    <row r="299" spans="1:10" s="4" customFormat="1" ht="42.75">
      <c r="A299" s="1265" t="s">
        <v>318</v>
      </c>
      <c r="B299" s="8" t="s">
        <v>2124</v>
      </c>
      <c r="C299" s="157" t="s">
        <v>1875</v>
      </c>
      <c r="D299" s="158">
        <v>1</v>
      </c>
      <c r="E299" s="159">
        <v>7560.47</v>
      </c>
      <c r="F299" s="158">
        <v>7560.47</v>
      </c>
      <c r="G299" s="160" t="s">
        <v>4687</v>
      </c>
      <c r="H299" s="1269" t="str">
        <f t="shared" si="9"/>
        <v xml:space="preserve">02631T220C
分析表245_x000D_
</v>
      </c>
      <c r="I299" s="670">
        <v>291</v>
      </c>
      <c r="J299" s="4" t="str">
        <f t="shared" si="8"/>
        <v>1.291</v>
      </c>
    </row>
    <row r="300" spans="1:10" s="4" customFormat="1" ht="42.75">
      <c r="A300" s="1265" t="s">
        <v>319</v>
      </c>
      <c r="B300" s="8" t="s">
        <v>2129</v>
      </c>
      <c r="C300" s="157" t="s">
        <v>1875</v>
      </c>
      <c r="D300" s="158">
        <v>1</v>
      </c>
      <c r="E300" s="159">
        <v>3810.94</v>
      </c>
      <c r="F300" s="158">
        <v>3810.94</v>
      </c>
      <c r="G300" s="160" t="s">
        <v>4688</v>
      </c>
      <c r="H300" s="1269" t="str">
        <f t="shared" si="9"/>
        <v xml:space="preserve">02631T110C
分析表246_x000D_
</v>
      </c>
      <c r="I300" s="670">
        <v>292</v>
      </c>
      <c r="J300" s="4" t="str">
        <f t="shared" si="8"/>
        <v>1.292</v>
      </c>
    </row>
    <row r="301" spans="1:10" s="4" customFormat="1" ht="42.75">
      <c r="A301" s="1265" t="s">
        <v>320</v>
      </c>
      <c r="B301" s="8" t="s">
        <v>2134</v>
      </c>
      <c r="C301" s="157" t="s">
        <v>1875</v>
      </c>
      <c r="D301" s="158">
        <v>1</v>
      </c>
      <c r="E301" s="159">
        <v>4639.84</v>
      </c>
      <c r="F301" s="158">
        <v>4639.84</v>
      </c>
      <c r="G301" s="160" t="s">
        <v>4689</v>
      </c>
      <c r="H301" s="1269" t="str">
        <f t="shared" si="9"/>
        <v xml:space="preserve">02631S000C
分析表247_x000D_
</v>
      </c>
      <c r="I301" s="670">
        <v>293</v>
      </c>
      <c r="J301" s="4" t="str">
        <f t="shared" si="8"/>
        <v>1.293</v>
      </c>
    </row>
    <row r="302" spans="1:10" s="4" customFormat="1" ht="42.75">
      <c r="A302" s="1265" t="s">
        <v>321</v>
      </c>
      <c r="B302" s="8" t="s">
        <v>2141</v>
      </c>
      <c r="C302" s="157" t="s">
        <v>3</v>
      </c>
      <c r="D302" s="158">
        <v>5</v>
      </c>
      <c r="E302" s="159">
        <v>1626.81</v>
      </c>
      <c r="F302" s="158">
        <v>8134.05</v>
      </c>
      <c r="G302" s="160" t="s">
        <v>4690</v>
      </c>
      <c r="H302" s="1269" t="str">
        <f t="shared" si="9"/>
        <v xml:space="preserve">0277850021
分析表248_x000D_
</v>
      </c>
      <c r="I302" s="670">
        <v>294</v>
      </c>
      <c r="J302" s="4" t="str">
        <f t="shared" si="8"/>
        <v>1.294</v>
      </c>
    </row>
    <row r="303" spans="1:10" s="4" customFormat="1" ht="42.75">
      <c r="A303" s="1265" t="s">
        <v>322</v>
      </c>
      <c r="B303" s="8" t="s">
        <v>3641</v>
      </c>
      <c r="C303" s="157" t="s">
        <v>1875</v>
      </c>
      <c r="D303" s="158">
        <v>5</v>
      </c>
      <c r="E303" s="159">
        <v>3417.96</v>
      </c>
      <c r="F303" s="158">
        <v>17089.8</v>
      </c>
      <c r="G303" s="160" t="s">
        <v>4691</v>
      </c>
      <c r="H303" s="1269" t="str">
        <f t="shared" si="9"/>
        <v xml:space="preserve">02631J0000C
分析表249_x000D_
</v>
      </c>
      <c r="I303" s="670">
        <v>295</v>
      </c>
      <c r="J303" s="4" t="str">
        <f t="shared" si="8"/>
        <v>1.295</v>
      </c>
    </row>
    <row r="304" spans="1:10" s="4" customFormat="1" ht="31.5">
      <c r="A304" s="1265" t="s">
        <v>323</v>
      </c>
      <c r="B304" s="8" t="s">
        <v>3271</v>
      </c>
      <c r="C304" s="157" t="s">
        <v>3</v>
      </c>
      <c r="D304" s="158">
        <v>2</v>
      </c>
      <c r="E304" s="159">
        <v>1490.31</v>
      </c>
      <c r="F304" s="158">
        <v>2980.62</v>
      </c>
      <c r="G304" s="160" t="s">
        <v>3272</v>
      </c>
      <c r="H304" s="1269" t="str">
        <f t="shared" si="9"/>
        <v>M0963710902
#</v>
      </c>
      <c r="I304" s="670">
        <v>296</v>
      </c>
      <c r="J304" s="4" t="str">
        <f t="shared" si="8"/>
        <v>1.296</v>
      </c>
    </row>
    <row r="305" spans="1:10" s="4" customFormat="1" ht="31.5">
      <c r="A305" s="1265" t="s">
        <v>324</v>
      </c>
      <c r="B305" s="8" t="s">
        <v>3273</v>
      </c>
      <c r="C305" s="157" t="s">
        <v>3</v>
      </c>
      <c r="D305" s="158">
        <v>5</v>
      </c>
      <c r="E305" s="159">
        <v>144.06</v>
      </c>
      <c r="F305" s="158">
        <v>720.3</v>
      </c>
      <c r="G305" s="160" t="s">
        <v>3274</v>
      </c>
      <c r="H305" s="1269" t="str">
        <f t="shared" si="9"/>
        <v xml:space="preserve">0234210212
</v>
      </c>
      <c r="I305" s="670">
        <v>297</v>
      </c>
      <c r="J305" s="4" t="str">
        <f t="shared" si="8"/>
        <v>1.297</v>
      </c>
    </row>
    <row r="306" spans="1:10" s="4" customFormat="1" ht="42.75">
      <c r="A306" s="1265" t="s">
        <v>325</v>
      </c>
      <c r="B306" s="8" t="s">
        <v>2146</v>
      </c>
      <c r="C306" s="157" t="s">
        <v>3</v>
      </c>
      <c r="D306" s="158">
        <v>3</v>
      </c>
      <c r="E306" s="159">
        <v>2479.56</v>
      </c>
      <c r="F306" s="158">
        <v>7438.68</v>
      </c>
      <c r="G306" s="160" t="s">
        <v>4692</v>
      </c>
      <c r="H306" s="1269" t="str">
        <f t="shared" si="9"/>
        <v>06100M0002
分析表250_x000D_
# T=4cm W=14cm</v>
      </c>
      <c r="I306" s="670">
        <v>298</v>
      </c>
      <c r="J306" s="4" t="str">
        <f t="shared" si="8"/>
        <v>1.298</v>
      </c>
    </row>
    <row r="307" spans="1:10" s="4" customFormat="1" ht="42.75">
      <c r="A307" s="1265" t="s">
        <v>326</v>
      </c>
      <c r="B307" s="8" t="s">
        <v>2158</v>
      </c>
      <c r="C307" s="157" t="s">
        <v>1497</v>
      </c>
      <c r="D307" s="158">
        <v>10</v>
      </c>
      <c r="E307" s="159">
        <v>270.16000000000003</v>
      </c>
      <c r="F307" s="158">
        <v>2701.6</v>
      </c>
      <c r="G307" s="160" t="s">
        <v>4693</v>
      </c>
      <c r="H307" s="1269" t="str">
        <f t="shared" si="9"/>
        <v>06100M000B
分析表251_x000D_
# T=4cm W=14cm</v>
      </c>
      <c r="I307" s="670">
        <v>299</v>
      </c>
      <c r="J307" s="4" t="str">
        <f t="shared" si="8"/>
        <v>1.299</v>
      </c>
    </row>
    <row r="308" spans="1:10" s="4" customFormat="1" ht="42.75">
      <c r="A308" s="1265" t="s">
        <v>327</v>
      </c>
      <c r="B308" s="8" t="s">
        <v>912</v>
      </c>
      <c r="C308" s="157" t="s">
        <v>3</v>
      </c>
      <c r="D308" s="158">
        <v>10</v>
      </c>
      <c r="E308" s="159">
        <v>698.94</v>
      </c>
      <c r="F308" s="158">
        <v>6989.4</v>
      </c>
      <c r="G308" s="160" t="s">
        <v>4694</v>
      </c>
      <c r="H308" s="1269" t="str">
        <f t="shared" si="9"/>
        <v>0991002002
分析表252_x000D_
#</v>
      </c>
      <c r="I308" s="670">
        <v>300</v>
      </c>
      <c r="J308" s="4" t="str">
        <f t="shared" si="8"/>
        <v>1.300</v>
      </c>
    </row>
    <row r="309" spans="1:10" ht="28.5">
      <c r="A309" s="1265" t="s">
        <v>328</v>
      </c>
      <c r="B309" s="8" t="s">
        <v>3278</v>
      </c>
      <c r="C309" s="157" t="s">
        <v>2149</v>
      </c>
      <c r="D309" s="158">
        <v>10</v>
      </c>
      <c r="E309" s="159">
        <v>248.38</v>
      </c>
      <c r="F309" s="158">
        <v>2483.8000000000002</v>
      </c>
      <c r="G309" s="160" t="s">
        <v>3279</v>
      </c>
      <c r="H309" s="1269" t="str">
        <f t="shared" si="9"/>
        <v xml:space="preserve">M06060B00SB
</v>
      </c>
      <c r="I309" s="670">
        <v>301</v>
      </c>
      <c r="J309" t="str">
        <f t="shared" si="8"/>
        <v>1.301</v>
      </c>
    </row>
    <row r="310" spans="1:10" ht="42.75">
      <c r="A310" s="1265" t="s">
        <v>329</v>
      </c>
      <c r="B310" s="8" t="s">
        <v>2169</v>
      </c>
      <c r="C310" s="157" t="s">
        <v>17</v>
      </c>
      <c r="D310" s="158">
        <v>10</v>
      </c>
      <c r="E310" s="159">
        <v>138.11000000000001</v>
      </c>
      <c r="F310" s="158">
        <v>1381.1</v>
      </c>
      <c r="G310" s="160" t="s">
        <v>4695</v>
      </c>
      <c r="H310" s="1269" t="str">
        <f t="shared" si="9"/>
        <v xml:space="preserve">0315030001
分析表253_x000D_
</v>
      </c>
      <c r="I310" s="670">
        <v>302</v>
      </c>
      <c r="J310" t="str">
        <f t="shared" si="8"/>
        <v>1.302</v>
      </c>
    </row>
    <row r="311" spans="1:10" ht="42.75">
      <c r="A311" s="1265" t="s">
        <v>330</v>
      </c>
      <c r="B311" s="8" t="s">
        <v>3642</v>
      </c>
      <c r="C311" s="157" t="s">
        <v>17</v>
      </c>
      <c r="D311" s="158">
        <v>10</v>
      </c>
      <c r="E311" s="159">
        <v>117.64</v>
      </c>
      <c r="F311" s="158">
        <v>1176.4000000000001</v>
      </c>
      <c r="G311" s="160" t="s">
        <v>4696</v>
      </c>
      <c r="H311" s="1269" t="str">
        <f t="shared" si="9"/>
        <v xml:space="preserve">031503E001
分析表254_x000D_
</v>
      </c>
      <c r="I311" s="670">
        <v>303</v>
      </c>
      <c r="J311" t="str">
        <f t="shared" si="8"/>
        <v>1.303</v>
      </c>
    </row>
    <row r="312" spans="1:10" ht="42.75">
      <c r="A312" s="1265" t="s">
        <v>331</v>
      </c>
      <c r="B312" s="8" t="s">
        <v>4697</v>
      </c>
      <c r="C312" s="157" t="s">
        <v>17</v>
      </c>
      <c r="D312" s="158">
        <v>10</v>
      </c>
      <c r="E312" s="159">
        <v>177.46</v>
      </c>
      <c r="F312" s="158">
        <v>1774.6</v>
      </c>
      <c r="G312" s="160" t="s">
        <v>4698</v>
      </c>
      <c r="H312" s="1269" t="str">
        <f t="shared" si="9"/>
        <v xml:space="preserve">031503E0N1
分析表255_x000D_
</v>
      </c>
      <c r="I312" s="670">
        <v>304</v>
      </c>
      <c r="J312" t="str">
        <f t="shared" si="8"/>
        <v>1.304</v>
      </c>
    </row>
    <row r="313" spans="1:10" ht="42.75">
      <c r="A313" s="1265" t="s">
        <v>332</v>
      </c>
      <c r="B313" s="8" t="s">
        <v>2180</v>
      </c>
      <c r="C313" s="157" t="s">
        <v>3</v>
      </c>
      <c r="D313" s="158">
        <v>10</v>
      </c>
      <c r="E313" s="159">
        <v>1259.93</v>
      </c>
      <c r="F313" s="158">
        <v>12599.3</v>
      </c>
      <c r="G313" s="160" t="s">
        <v>4699</v>
      </c>
      <c r="H313" s="1269" t="str">
        <f t="shared" si="9"/>
        <v xml:space="preserve">0978000002
分析表256_x000D_
</v>
      </c>
      <c r="I313" s="670">
        <v>305</v>
      </c>
      <c r="J313" t="str">
        <f t="shared" si="8"/>
        <v>1.305</v>
      </c>
    </row>
    <row r="314" spans="1:10" ht="42.75">
      <c r="A314" s="1265" t="s">
        <v>333</v>
      </c>
      <c r="B314" s="8" t="s">
        <v>2191</v>
      </c>
      <c r="C314" s="157" t="s">
        <v>3</v>
      </c>
      <c r="D314" s="158">
        <v>10</v>
      </c>
      <c r="E314" s="159">
        <v>1816.22</v>
      </c>
      <c r="F314" s="158">
        <v>18162.2</v>
      </c>
      <c r="G314" s="160" t="s">
        <v>4700</v>
      </c>
      <c r="H314" s="1269" t="str">
        <f t="shared" si="9"/>
        <v xml:space="preserve">0978100002
分析表257_x000D_
</v>
      </c>
      <c r="I314" s="670">
        <v>306</v>
      </c>
      <c r="J314" t="str">
        <f t="shared" si="8"/>
        <v>1.306</v>
      </c>
    </row>
    <row r="315" spans="1:10" ht="42.75">
      <c r="A315" s="1265" t="s">
        <v>334</v>
      </c>
      <c r="B315" s="8" t="s">
        <v>2195</v>
      </c>
      <c r="C315" s="157" t="s">
        <v>3</v>
      </c>
      <c r="D315" s="158">
        <v>10</v>
      </c>
      <c r="E315" s="159">
        <v>1494.08</v>
      </c>
      <c r="F315" s="158">
        <v>14940.8</v>
      </c>
      <c r="G315" s="160" t="s">
        <v>4701</v>
      </c>
      <c r="H315" s="1269" t="str">
        <f t="shared" si="9"/>
        <v xml:space="preserve">0978200002
分析表258_x000D_
</v>
      </c>
      <c r="I315" s="670">
        <v>307</v>
      </c>
      <c r="J315" t="str">
        <f t="shared" si="8"/>
        <v>1.307</v>
      </c>
    </row>
    <row r="316" spans="1:10" ht="42.75">
      <c r="A316" s="1265" t="s">
        <v>335</v>
      </c>
      <c r="B316" s="8" t="s">
        <v>2204</v>
      </c>
      <c r="C316" s="157" t="s">
        <v>1818</v>
      </c>
      <c r="D316" s="158">
        <v>1</v>
      </c>
      <c r="E316" s="159">
        <v>2733.17</v>
      </c>
      <c r="F316" s="158">
        <v>2733.17</v>
      </c>
      <c r="G316" s="160" t="s">
        <v>4702</v>
      </c>
      <c r="H316" s="1269" t="str">
        <f t="shared" si="9"/>
        <v xml:space="preserve">02631N201B
分析表259_x000D_
</v>
      </c>
      <c r="I316" s="670">
        <v>308</v>
      </c>
      <c r="J316" t="str">
        <f t="shared" si="8"/>
        <v>1.308</v>
      </c>
    </row>
    <row r="317" spans="1:10" ht="42.75">
      <c r="A317" s="1265" t="s">
        <v>336</v>
      </c>
      <c r="B317" s="8" t="s">
        <v>2212</v>
      </c>
      <c r="C317" s="157" t="s">
        <v>1818</v>
      </c>
      <c r="D317" s="158">
        <v>1</v>
      </c>
      <c r="E317" s="159">
        <v>2923</v>
      </c>
      <c r="F317" s="158">
        <v>2923</v>
      </c>
      <c r="G317" s="160" t="s">
        <v>4703</v>
      </c>
      <c r="H317" s="1269" t="str">
        <f t="shared" si="9"/>
        <v xml:space="preserve">02631N202B
分析表260_x000D_
</v>
      </c>
      <c r="I317" s="670">
        <v>309</v>
      </c>
      <c r="J317" t="str">
        <f t="shared" si="8"/>
        <v>1.309</v>
      </c>
    </row>
    <row r="318" spans="1:10" ht="42.75">
      <c r="A318" s="1265" t="s">
        <v>405</v>
      </c>
      <c r="B318" s="8" t="s">
        <v>2219</v>
      </c>
      <c r="C318" s="157" t="s">
        <v>1818</v>
      </c>
      <c r="D318" s="158">
        <v>1</v>
      </c>
      <c r="E318" s="159">
        <v>15013.3</v>
      </c>
      <c r="F318" s="158">
        <v>15013.3</v>
      </c>
      <c r="G318" s="160" t="s">
        <v>4704</v>
      </c>
      <c r="H318" s="1269" t="str">
        <f t="shared" si="9"/>
        <v xml:space="preserve">02631N101B
分析表261_x000D_
</v>
      </c>
      <c r="I318" s="670">
        <v>310</v>
      </c>
      <c r="J318" t="str">
        <f t="shared" si="8"/>
        <v>1.310</v>
      </c>
    </row>
    <row r="319" spans="1:10" ht="42.75">
      <c r="A319" s="1265" t="s">
        <v>406</v>
      </c>
      <c r="B319" s="8" t="s">
        <v>2226</v>
      </c>
      <c r="C319" s="157" t="s">
        <v>1818</v>
      </c>
      <c r="D319" s="158">
        <v>1</v>
      </c>
      <c r="E319" s="159">
        <v>15203.13</v>
      </c>
      <c r="F319" s="158">
        <v>15203.13</v>
      </c>
      <c r="G319" s="160" t="s">
        <v>4705</v>
      </c>
      <c r="H319" s="1269" t="str">
        <f t="shared" si="9"/>
        <v xml:space="preserve">02631N102B
分析表262_x000D_
</v>
      </c>
      <c r="I319" s="670">
        <v>311</v>
      </c>
      <c r="J319" t="str">
        <f t="shared" si="8"/>
        <v>1.311</v>
      </c>
    </row>
    <row r="320" spans="1:10" ht="47.25">
      <c r="A320" s="1265" t="s">
        <v>407</v>
      </c>
      <c r="B320" s="8" t="s">
        <v>2229</v>
      </c>
      <c r="C320" s="157" t="s">
        <v>1818</v>
      </c>
      <c r="D320" s="158">
        <v>1</v>
      </c>
      <c r="E320" s="159">
        <v>15990.24</v>
      </c>
      <c r="F320" s="158">
        <v>15990.24</v>
      </c>
      <c r="G320" s="160" t="s">
        <v>4706</v>
      </c>
      <c r="H320" s="1269" t="str">
        <f t="shared" si="9"/>
        <v xml:space="preserve">02631N301B
分析表263_x000D_
</v>
      </c>
      <c r="I320" s="670">
        <v>312</v>
      </c>
      <c r="J320" t="str">
        <f t="shared" si="8"/>
        <v>1.312</v>
      </c>
    </row>
    <row r="321" spans="1:10" ht="47.25">
      <c r="A321" s="1265" t="s">
        <v>408</v>
      </c>
      <c r="B321" s="8" t="s">
        <v>2232</v>
      </c>
      <c r="C321" s="157" t="s">
        <v>1818</v>
      </c>
      <c r="D321" s="158">
        <v>1</v>
      </c>
      <c r="E321" s="159">
        <v>17449.650000000001</v>
      </c>
      <c r="F321" s="158">
        <v>17449.650000000001</v>
      </c>
      <c r="G321" s="160" t="s">
        <v>4707</v>
      </c>
      <c r="H321" s="1269" t="str">
        <f t="shared" si="9"/>
        <v xml:space="preserve">02631N302B
分析表264_x000D_
</v>
      </c>
      <c r="I321" s="670">
        <v>313</v>
      </c>
      <c r="J321" t="str">
        <f t="shared" si="8"/>
        <v>1.313</v>
      </c>
    </row>
    <row r="322" spans="1:10" ht="42.75">
      <c r="A322" s="1265" t="s">
        <v>409</v>
      </c>
      <c r="B322" s="8" t="s">
        <v>2237</v>
      </c>
      <c r="C322" s="157" t="s">
        <v>2238</v>
      </c>
      <c r="D322" s="158">
        <v>20</v>
      </c>
      <c r="E322" s="159">
        <v>1157.4000000000001</v>
      </c>
      <c r="F322" s="158">
        <v>23148</v>
      </c>
      <c r="G322" s="160" t="s">
        <v>4708</v>
      </c>
      <c r="H322" s="1269" t="str">
        <f t="shared" si="9"/>
        <v xml:space="preserve">02610ZT002
分析表265_x000D_
</v>
      </c>
      <c r="I322" s="670">
        <v>314</v>
      </c>
      <c r="J322" t="str">
        <f t="shared" ref="J322:J385" si="10">A322</f>
        <v>1.314</v>
      </c>
    </row>
    <row r="323" spans="1:10" ht="42.75">
      <c r="A323" s="1265" t="s">
        <v>410</v>
      </c>
      <c r="B323" s="8" t="s">
        <v>2245</v>
      </c>
      <c r="C323" s="157" t="s">
        <v>17</v>
      </c>
      <c r="D323" s="158">
        <v>1</v>
      </c>
      <c r="E323" s="159">
        <v>2926.62</v>
      </c>
      <c r="F323" s="158">
        <v>2926.62</v>
      </c>
      <c r="G323" s="160" t="s">
        <v>4709</v>
      </c>
      <c r="H323" s="1269" t="str">
        <f t="shared" si="9"/>
        <v xml:space="preserve">028432A001
分析表266_x000D_
</v>
      </c>
      <c r="I323" s="670">
        <v>315</v>
      </c>
      <c r="J323" t="str">
        <f t="shared" si="10"/>
        <v>1.315</v>
      </c>
    </row>
    <row r="324" spans="1:10" ht="42.75">
      <c r="A324" s="1265" t="s">
        <v>411</v>
      </c>
      <c r="B324" s="8" t="s">
        <v>2256</v>
      </c>
      <c r="C324" s="157" t="s">
        <v>17</v>
      </c>
      <c r="D324" s="158">
        <v>1</v>
      </c>
      <c r="E324" s="159">
        <v>3766.75</v>
      </c>
      <c r="F324" s="158">
        <v>3766.75</v>
      </c>
      <c r="G324" s="160" t="s">
        <v>4710</v>
      </c>
      <c r="H324" s="1269" t="str">
        <f t="shared" si="9"/>
        <v xml:space="preserve">028432B001
分析表267_x000D_
</v>
      </c>
      <c r="I324" s="670">
        <v>316</v>
      </c>
      <c r="J324" t="str">
        <f t="shared" si="10"/>
        <v>1.316</v>
      </c>
    </row>
    <row r="325" spans="1:10" ht="42.75">
      <c r="A325" s="1265" t="s">
        <v>412</v>
      </c>
      <c r="B325" s="8" t="s">
        <v>2259</v>
      </c>
      <c r="C325" s="157" t="s">
        <v>17</v>
      </c>
      <c r="D325" s="158">
        <v>1</v>
      </c>
      <c r="E325" s="159">
        <v>2926.62</v>
      </c>
      <c r="F325" s="158">
        <v>2926.62</v>
      </c>
      <c r="G325" s="160" t="s">
        <v>4711</v>
      </c>
      <c r="H325" s="1269" t="str">
        <f t="shared" si="9"/>
        <v xml:space="preserve">028432C001
分析表268_x000D_
</v>
      </c>
      <c r="I325" s="670">
        <v>317</v>
      </c>
      <c r="J325" t="str">
        <f t="shared" si="10"/>
        <v>1.317</v>
      </c>
    </row>
    <row r="326" spans="1:10" ht="42.75">
      <c r="A326" s="1265" t="s">
        <v>413</v>
      </c>
      <c r="B326" s="8" t="s">
        <v>2262</v>
      </c>
      <c r="C326" s="157" t="s">
        <v>17</v>
      </c>
      <c r="D326" s="158">
        <v>1</v>
      </c>
      <c r="E326" s="159">
        <v>3271.33</v>
      </c>
      <c r="F326" s="158">
        <v>3271.33</v>
      </c>
      <c r="G326" s="160" t="s">
        <v>4712</v>
      </c>
      <c r="H326" s="1269" t="str">
        <f t="shared" si="9"/>
        <v xml:space="preserve">028432D001
分析表269_x000D_
</v>
      </c>
      <c r="I326" s="670">
        <v>318</v>
      </c>
      <c r="J326" t="str">
        <f t="shared" si="10"/>
        <v>1.318</v>
      </c>
    </row>
    <row r="327" spans="1:10" ht="47.25">
      <c r="A327" s="1265" t="s">
        <v>414</v>
      </c>
      <c r="B327" s="8" t="s">
        <v>3295</v>
      </c>
      <c r="C327" s="157" t="s">
        <v>17</v>
      </c>
      <c r="D327" s="158">
        <v>10</v>
      </c>
      <c r="E327" s="159">
        <v>34.770000000000003</v>
      </c>
      <c r="F327" s="158">
        <v>347.7</v>
      </c>
      <c r="G327" s="160" t="s">
        <v>3643</v>
      </c>
      <c r="H327" s="1269" t="str">
        <f t="shared" si="9"/>
        <v xml:space="preserve">161323006041
</v>
      </c>
      <c r="I327" s="670">
        <v>319</v>
      </c>
      <c r="J327" t="str">
        <f t="shared" si="10"/>
        <v>1.319</v>
      </c>
    </row>
    <row r="328" spans="1:10" ht="47.25">
      <c r="A328" s="1265" t="s">
        <v>415</v>
      </c>
      <c r="B328" s="8" t="s">
        <v>2937</v>
      </c>
      <c r="C328" s="157" t="s">
        <v>17</v>
      </c>
      <c r="D328" s="158">
        <v>10</v>
      </c>
      <c r="E328" s="159">
        <v>39.74</v>
      </c>
      <c r="F328" s="158">
        <v>397.4</v>
      </c>
      <c r="G328" s="160" t="s">
        <v>3644</v>
      </c>
      <c r="H328" s="1269" t="str">
        <f t="shared" si="9"/>
        <v xml:space="preserve">161323007041
</v>
      </c>
      <c r="I328" s="670">
        <v>320</v>
      </c>
      <c r="J328" t="str">
        <f t="shared" si="10"/>
        <v>1.320</v>
      </c>
    </row>
    <row r="329" spans="1:10" ht="47.25">
      <c r="A329" s="1265" t="s">
        <v>416</v>
      </c>
      <c r="B329" s="8" t="s">
        <v>3298</v>
      </c>
      <c r="C329" s="157" t="s">
        <v>17</v>
      </c>
      <c r="D329" s="158">
        <v>10</v>
      </c>
      <c r="E329" s="159">
        <v>44.71</v>
      </c>
      <c r="F329" s="158">
        <v>447.1</v>
      </c>
      <c r="G329" s="160" t="s">
        <v>3645</v>
      </c>
      <c r="H329" s="1269" t="str">
        <f t="shared" si="9"/>
        <v xml:space="preserve">161323009041
</v>
      </c>
      <c r="I329" s="670">
        <v>321</v>
      </c>
      <c r="J329" t="str">
        <f t="shared" si="10"/>
        <v>1.321</v>
      </c>
    </row>
    <row r="330" spans="1:10" ht="47.25">
      <c r="A330" s="1265" t="s">
        <v>417</v>
      </c>
      <c r="B330" s="8" t="s">
        <v>3300</v>
      </c>
      <c r="C330" s="157" t="s">
        <v>17</v>
      </c>
      <c r="D330" s="158">
        <v>10</v>
      </c>
      <c r="E330" s="159">
        <v>49.68</v>
      </c>
      <c r="F330" s="158">
        <v>496.8</v>
      </c>
      <c r="G330" s="160" t="s">
        <v>3646</v>
      </c>
      <c r="H330" s="1269" t="str">
        <f t="shared" ref="H330:H393" si="11">G330</f>
        <v xml:space="preserve">16132300A041
</v>
      </c>
      <c r="I330" s="670">
        <v>322</v>
      </c>
      <c r="J330" t="str">
        <f t="shared" si="10"/>
        <v>1.322</v>
      </c>
    </row>
    <row r="331" spans="1:10" ht="47.25">
      <c r="A331" s="1265" t="s">
        <v>418</v>
      </c>
      <c r="B331" s="8" t="s">
        <v>3302</v>
      </c>
      <c r="C331" s="157" t="s">
        <v>17</v>
      </c>
      <c r="D331" s="158">
        <v>10</v>
      </c>
      <c r="E331" s="159">
        <v>54.64</v>
      </c>
      <c r="F331" s="158">
        <v>546.4</v>
      </c>
      <c r="G331" s="160" t="s">
        <v>3647</v>
      </c>
      <c r="H331" s="1269" t="str">
        <f t="shared" si="11"/>
        <v xml:space="preserve">16132300B041
</v>
      </c>
      <c r="I331" s="670">
        <v>323</v>
      </c>
      <c r="J331" t="str">
        <f t="shared" si="10"/>
        <v>1.323</v>
      </c>
    </row>
    <row r="332" spans="1:10" ht="47.25">
      <c r="A332" s="1265" t="s">
        <v>419</v>
      </c>
      <c r="B332" s="8" t="s">
        <v>3304</v>
      </c>
      <c r="C332" s="157" t="s">
        <v>17</v>
      </c>
      <c r="D332" s="158">
        <v>10</v>
      </c>
      <c r="E332" s="159">
        <v>59.61</v>
      </c>
      <c r="F332" s="158">
        <v>596.1</v>
      </c>
      <c r="G332" s="160" t="s">
        <v>3648</v>
      </c>
      <c r="H332" s="1269" t="str">
        <f t="shared" si="11"/>
        <v xml:space="preserve">16132300C041
</v>
      </c>
      <c r="I332" s="670">
        <v>324</v>
      </c>
      <c r="J332" t="str">
        <f t="shared" si="10"/>
        <v>1.324</v>
      </c>
    </row>
    <row r="333" spans="1:10" ht="47.25">
      <c r="A333" s="1265" t="s">
        <v>420</v>
      </c>
      <c r="B333" s="8" t="s">
        <v>3306</v>
      </c>
      <c r="C333" s="157" t="s">
        <v>17</v>
      </c>
      <c r="D333" s="158">
        <v>10</v>
      </c>
      <c r="E333" s="159">
        <v>436.66</v>
      </c>
      <c r="F333" s="158">
        <v>4366.6000000000004</v>
      </c>
      <c r="G333" s="160" t="s">
        <v>3307</v>
      </c>
      <c r="H333" s="1269" t="str">
        <f t="shared" si="11"/>
        <v xml:space="preserve">151072DF0011
</v>
      </c>
      <c r="I333" s="670">
        <v>325</v>
      </c>
      <c r="J333" t="str">
        <f t="shared" si="10"/>
        <v>1.325</v>
      </c>
    </row>
    <row r="334" spans="1:10" ht="47.25">
      <c r="A334" s="1265" t="s">
        <v>421</v>
      </c>
      <c r="B334" s="8" t="s">
        <v>3308</v>
      </c>
      <c r="C334" s="157" t="s">
        <v>17</v>
      </c>
      <c r="D334" s="158">
        <v>10</v>
      </c>
      <c r="E334" s="159">
        <v>660.77</v>
      </c>
      <c r="F334" s="158">
        <v>6607.7</v>
      </c>
      <c r="G334" s="160" t="s">
        <v>3309</v>
      </c>
      <c r="H334" s="1269" t="str">
        <f t="shared" si="11"/>
        <v xml:space="preserve">151072EH0011
</v>
      </c>
      <c r="I334" s="670">
        <v>326</v>
      </c>
      <c r="J334" t="str">
        <f t="shared" si="10"/>
        <v>1.326</v>
      </c>
    </row>
    <row r="335" spans="1:10" ht="47.25">
      <c r="A335" s="1265" t="s">
        <v>422</v>
      </c>
      <c r="B335" s="8" t="s">
        <v>3310</v>
      </c>
      <c r="C335" s="157" t="s">
        <v>17</v>
      </c>
      <c r="D335" s="158">
        <v>10</v>
      </c>
      <c r="E335" s="159">
        <v>761.05</v>
      </c>
      <c r="F335" s="158">
        <v>7610.5</v>
      </c>
      <c r="G335" s="160" t="s">
        <v>3311</v>
      </c>
      <c r="H335" s="1269" t="str">
        <f t="shared" si="11"/>
        <v xml:space="preserve">151072FK0011
</v>
      </c>
      <c r="I335" s="670">
        <v>327</v>
      </c>
      <c r="J335" t="str">
        <f t="shared" si="10"/>
        <v>1.327</v>
      </c>
    </row>
    <row r="336" spans="1:10" ht="47.25">
      <c r="A336" s="1265" t="s">
        <v>423</v>
      </c>
      <c r="B336" s="8" t="s">
        <v>3312</v>
      </c>
      <c r="C336" s="157" t="s">
        <v>17</v>
      </c>
      <c r="D336" s="158">
        <v>10</v>
      </c>
      <c r="E336" s="159">
        <v>1208.1400000000001</v>
      </c>
      <c r="F336" s="158">
        <v>12081.4</v>
      </c>
      <c r="G336" s="160" t="s">
        <v>3313</v>
      </c>
      <c r="H336" s="1269" t="str">
        <f t="shared" si="11"/>
        <v xml:space="preserve">151072GN0011
</v>
      </c>
      <c r="I336" s="670">
        <v>328</v>
      </c>
      <c r="J336" t="str">
        <f t="shared" si="10"/>
        <v>1.328</v>
      </c>
    </row>
    <row r="337" spans="1:10" ht="47.25">
      <c r="A337" s="1265" t="s">
        <v>424</v>
      </c>
      <c r="B337" s="8" t="s">
        <v>3314</v>
      </c>
      <c r="C337" s="157" t="s">
        <v>17</v>
      </c>
      <c r="D337" s="158">
        <v>10</v>
      </c>
      <c r="E337" s="159">
        <v>1526.07</v>
      </c>
      <c r="F337" s="158">
        <v>15260.7</v>
      </c>
      <c r="G337" s="160" t="s">
        <v>3315</v>
      </c>
      <c r="H337" s="1269" t="str">
        <f t="shared" si="11"/>
        <v xml:space="preserve">151072JR0011
</v>
      </c>
      <c r="I337" s="670">
        <v>329</v>
      </c>
      <c r="J337" t="str">
        <f t="shared" si="10"/>
        <v>1.329</v>
      </c>
    </row>
    <row r="338" spans="1:10" ht="42.75">
      <c r="A338" s="1265" t="s">
        <v>425</v>
      </c>
      <c r="B338" s="8" t="s">
        <v>2265</v>
      </c>
      <c r="C338" s="157" t="s">
        <v>3</v>
      </c>
      <c r="D338" s="158">
        <v>10</v>
      </c>
      <c r="E338" s="159">
        <v>399.09</v>
      </c>
      <c r="F338" s="158">
        <v>3990.9</v>
      </c>
      <c r="G338" s="160" t="s">
        <v>4713</v>
      </c>
      <c r="H338" s="1269" t="str">
        <f t="shared" si="11"/>
        <v xml:space="preserve">0154011102
分析表270_x000D_
</v>
      </c>
      <c r="I338" s="670">
        <v>330</v>
      </c>
      <c r="J338" t="str">
        <f t="shared" si="10"/>
        <v>1.330</v>
      </c>
    </row>
    <row r="339" spans="1:10" ht="57">
      <c r="A339" s="1265" t="s">
        <v>426</v>
      </c>
      <c r="B339" s="8" t="s">
        <v>2274</v>
      </c>
      <c r="C339" s="157" t="s">
        <v>3</v>
      </c>
      <c r="D339" s="158">
        <v>10</v>
      </c>
      <c r="E339" s="159">
        <v>687.68</v>
      </c>
      <c r="F339" s="158">
        <v>6876.8</v>
      </c>
      <c r="G339" s="160" t="s">
        <v>4714</v>
      </c>
      <c r="H339" s="1269" t="str">
        <f t="shared" si="11"/>
        <v>0154011202
分析表271_x000D_
需符合中華民國國家標準4750</v>
      </c>
      <c r="I339" s="670">
        <v>331</v>
      </c>
      <c r="J339" t="str">
        <f t="shared" si="10"/>
        <v>1.331</v>
      </c>
    </row>
    <row r="340" spans="1:10" ht="47.25">
      <c r="A340" s="1265" t="s">
        <v>427</v>
      </c>
      <c r="B340" s="8" t="s">
        <v>2281</v>
      </c>
      <c r="C340" s="157" t="s">
        <v>3</v>
      </c>
      <c r="D340" s="158">
        <v>2</v>
      </c>
      <c r="E340" s="159">
        <v>4067.8</v>
      </c>
      <c r="F340" s="158">
        <v>8135.6</v>
      </c>
      <c r="G340" s="160" t="s">
        <v>4715</v>
      </c>
      <c r="H340" s="1269" t="str">
        <f t="shared" si="11"/>
        <v xml:space="preserve">0153210012
分析表272_x000D_
</v>
      </c>
      <c r="I340" s="670">
        <v>332</v>
      </c>
      <c r="J340" t="str">
        <f t="shared" si="10"/>
        <v>1.332</v>
      </c>
    </row>
    <row r="341" spans="1:10" ht="47.25">
      <c r="A341" s="1265" t="s">
        <v>428</v>
      </c>
      <c r="B341" s="8" t="s">
        <v>2292</v>
      </c>
      <c r="C341" s="157" t="s">
        <v>3</v>
      </c>
      <c r="D341" s="158">
        <v>10</v>
      </c>
      <c r="E341" s="159">
        <v>250.72</v>
      </c>
      <c r="F341" s="158">
        <v>2507.1999999999998</v>
      </c>
      <c r="G341" s="160" t="s">
        <v>4716</v>
      </c>
      <c r="H341" s="1269" t="str">
        <f t="shared" si="11"/>
        <v xml:space="preserve">01532AB002
分析表273_x000D_
</v>
      </c>
      <c r="I341" s="670">
        <v>333</v>
      </c>
      <c r="J341" t="str">
        <f t="shared" si="10"/>
        <v>1.333</v>
      </c>
    </row>
    <row r="342" spans="1:10" ht="42.75">
      <c r="A342" s="1265" t="s">
        <v>429</v>
      </c>
      <c r="B342" s="8" t="s">
        <v>3654</v>
      </c>
      <c r="C342" s="157" t="s">
        <v>1689</v>
      </c>
      <c r="D342" s="158">
        <v>10</v>
      </c>
      <c r="E342" s="159">
        <v>495.51</v>
      </c>
      <c r="F342" s="158">
        <v>4955.1000000000004</v>
      </c>
      <c r="G342" s="160" t="s">
        <v>4717</v>
      </c>
      <c r="H342" s="1269" t="str">
        <f t="shared" si="11"/>
        <v>01532C1012
分析表274_x000D_
通行寬度60cm</v>
      </c>
      <c r="I342" s="670">
        <v>334</v>
      </c>
      <c r="J342" t="str">
        <f t="shared" si="10"/>
        <v>1.334</v>
      </c>
    </row>
    <row r="343" spans="1:10" ht="42.75">
      <c r="A343" s="1265" t="s">
        <v>430</v>
      </c>
      <c r="B343" s="8" t="s">
        <v>3652</v>
      </c>
      <c r="C343" s="157" t="s">
        <v>1689</v>
      </c>
      <c r="D343" s="158">
        <v>10</v>
      </c>
      <c r="E343" s="159">
        <v>636.42999999999995</v>
      </c>
      <c r="F343" s="158">
        <v>6364.3</v>
      </c>
      <c r="G343" s="160" t="s">
        <v>4718</v>
      </c>
      <c r="H343" s="1269" t="str">
        <f t="shared" si="11"/>
        <v>01532C1102
分析表275_x000D_
通行寬度90cm</v>
      </c>
      <c r="I343" s="670">
        <v>335</v>
      </c>
      <c r="J343" t="str">
        <f t="shared" si="10"/>
        <v>1.335</v>
      </c>
    </row>
    <row r="344" spans="1:10" ht="42.75">
      <c r="A344" s="1265" t="s">
        <v>431</v>
      </c>
      <c r="B344" s="8" t="s">
        <v>3649</v>
      </c>
      <c r="C344" s="157" t="s">
        <v>3</v>
      </c>
      <c r="D344" s="158">
        <v>10</v>
      </c>
      <c r="E344" s="159">
        <v>781.62</v>
      </c>
      <c r="F344" s="158">
        <v>7816.2</v>
      </c>
      <c r="G344" s="160" t="s">
        <v>4719</v>
      </c>
      <c r="H344" s="1269" t="str">
        <f t="shared" si="11"/>
        <v xml:space="preserve">01532AD002
分析表276_x000D_
</v>
      </c>
      <c r="I344" s="670">
        <v>336</v>
      </c>
      <c r="J344" t="str">
        <f t="shared" si="10"/>
        <v>1.336</v>
      </c>
    </row>
    <row r="345" spans="1:10" ht="42.75">
      <c r="A345" s="1265" t="s">
        <v>432</v>
      </c>
      <c r="B345" s="8" t="s">
        <v>3650</v>
      </c>
      <c r="C345" s="157" t="s">
        <v>3</v>
      </c>
      <c r="D345" s="158">
        <v>10</v>
      </c>
      <c r="E345" s="159">
        <v>865.83</v>
      </c>
      <c r="F345" s="158">
        <v>8658.2999999999993</v>
      </c>
      <c r="G345" s="160" t="s">
        <v>4720</v>
      </c>
      <c r="H345" s="1269" t="str">
        <f t="shared" si="11"/>
        <v xml:space="preserve">01532AQ002
分析表277_x000D_
</v>
      </c>
      <c r="I345" s="670">
        <v>337</v>
      </c>
      <c r="J345" t="str">
        <f t="shared" si="10"/>
        <v>1.337</v>
      </c>
    </row>
    <row r="346" spans="1:10" ht="42.75">
      <c r="A346" s="1265" t="s">
        <v>433</v>
      </c>
      <c r="B346" s="8" t="s">
        <v>3651</v>
      </c>
      <c r="C346" s="157" t="s">
        <v>3</v>
      </c>
      <c r="D346" s="158">
        <v>10</v>
      </c>
      <c r="E346" s="159">
        <v>964.07</v>
      </c>
      <c r="F346" s="158">
        <v>9640.7000000000007</v>
      </c>
      <c r="G346" s="160" t="s">
        <v>4721</v>
      </c>
      <c r="H346" s="1269" t="str">
        <f t="shared" si="11"/>
        <v xml:space="preserve">01532AT002
分析表278_x000D_
</v>
      </c>
      <c r="I346" s="670">
        <v>338</v>
      </c>
      <c r="J346" t="str">
        <f t="shared" si="10"/>
        <v>1.338</v>
      </c>
    </row>
    <row r="347" spans="1:10" ht="42.75">
      <c r="A347" s="1265" t="s">
        <v>434</v>
      </c>
      <c r="B347" s="8" t="s">
        <v>2299</v>
      </c>
      <c r="C347" s="157" t="s">
        <v>1689</v>
      </c>
      <c r="D347" s="158">
        <v>1</v>
      </c>
      <c r="E347" s="159">
        <v>73169.119999999995</v>
      </c>
      <c r="F347" s="158">
        <v>73169.119999999995</v>
      </c>
      <c r="G347" s="160" t="s">
        <v>4722</v>
      </c>
      <c r="H347" s="1269" t="str">
        <f t="shared" si="11"/>
        <v xml:space="preserve">15110X150R08
分析表279_x000D_
</v>
      </c>
      <c r="I347" s="670">
        <v>339</v>
      </c>
      <c r="J347" t="str">
        <f t="shared" si="10"/>
        <v>1.339</v>
      </c>
    </row>
    <row r="348" spans="1:10" ht="42.75">
      <c r="A348" s="1265" t="s">
        <v>435</v>
      </c>
      <c r="B348" s="8" t="s">
        <v>2306</v>
      </c>
      <c r="C348" s="157" t="s">
        <v>1497</v>
      </c>
      <c r="D348" s="158">
        <v>20</v>
      </c>
      <c r="E348" s="159">
        <v>527.02</v>
      </c>
      <c r="F348" s="158">
        <v>10540.4</v>
      </c>
      <c r="G348" s="160" t="s">
        <v>4723</v>
      </c>
      <c r="H348" s="1269" t="str">
        <f t="shared" si="11"/>
        <v xml:space="preserve">05500h0R0A
分析表280_x000D_
</v>
      </c>
      <c r="I348" s="670">
        <v>340</v>
      </c>
      <c r="J348" t="str">
        <f t="shared" si="10"/>
        <v>1.340</v>
      </c>
    </row>
    <row r="349" spans="1:10" ht="42.75">
      <c r="A349" s="1265" t="s">
        <v>436</v>
      </c>
      <c r="B349" s="8" t="s">
        <v>2313</v>
      </c>
      <c r="C349" s="157" t="s">
        <v>1497</v>
      </c>
      <c r="D349" s="158">
        <v>20</v>
      </c>
      <c r="E349" s="159">
        <v>699.97</v>
      </c>
      <c r="F349" s="158">
        <v>13999.4</v>
      </c>
      <c r="G349" s="160" t="s">
        <v>4724</v>
      </c>
      <c r="H349" s="1269" t="str">
        <f t="shared" si="11"/>
        <v xml:space="preserve">05500f4R0A
分析表281_x000D_
</v>
      </c>
      <c r="I349" s="670">
        <v>341</v>
      </c>
      <c r="J349" t="str">
        <f t="shared" si="10"/>
        <v>1.341</v>
      </c>
    </row>
    <row r="350" spans="1:10" ht="47.25">
      <c r="A350" s="1265" t="s">
        <v>437</v>
      </c>
      <c r="B350" s="8" t="s">
        <v>2318</v>
      </c>
      <c r="C350" s="157" t="s">
        <v>1497</v>
      </c>
      <c r="D350" s="158">
        <v>10</v>
      </c>
      <c r="E350" s="159">
        <v>710.21</v>
      </c>
      <c r="F350" s="158">
        <v>7102.1</v>
      </c>
      <c r="G350" s="160" t="s">
        <v>4725</v>
      </c>
      <c r="H350" s="1269" t="str">
        <f t="shared" si="11"/>
        <v xml:space="preserve">05500FAA14
分析表282_x000D_
</v>
      </c>
      <c r="I350" s="670">
        <v>342</v>
      </c>
      <c r="J350" t="str">
        <f t="shared" si="10"/>
        <v>1.342</v>
      </c>
    </row>
    <row r="351" spans="1:10" ht="47.25">
      <c r="A351" s="1265" t="s">
        <v>438</v>
      </c>
      <c r="B351" s="8" t="s">
        <v>2327</v>
      </c>
      <c r="C351" s="157" t="s">
        <v>1497</v>
      </c>
      <c r="D351" s="158">
        <v>10</v>
      </c>
      <c r="E351" s="159">
        <v>488.11</v>
      </c>
      <c r="F351" s="158">
        <v>4881.1000000000004</v>
      </c>
      <c r="G351" s="160" t="s">
        <v>4726</v>
      </c>
      <c r="H351" s="1269" t="str">
        <f t="shared" si="11"/>
        <v>05500FAB14
分析表283_x000D_
每M3.3支踏步計</v>
      </c>
      <c r="I351" s="670">
        <v>343</v>
      </c>
      <c r="J351" t="str">
        <f t="shared" si="10"/>
        <v>1.343</v>
      </c>
    </row>
    <row r="352" spans="1:10" ht="47.25">
      <c r="A352" s="1265" t="s">
        <v>439</v>
      </c>
      <c r="B352" s="8" t="s">
        <v>2338</v>
      </c>
      <c r="C352" s="157" t="s">
        <v>2238</v>
      </c>
      <c r="D352" s="158">
        <v>10</v>
      </c>
      <c r="E352" s="159">
        <v>1299.6500000000001</v>
      </c>
      <c r="F352" s="158">
        <v>12996.5</v>
      </c>
      <c r="G352" s="160" t="s">
        <v>4727</v>
      </c>
      <c r="H352" s="1269" t="str">
        <f t="shared" si="11"/>
        <v xml:space="preserve">05500FAC18
分析表284_x000D_
</v>
      </c>
      <c r="I352" s="670">
        <v>344</v>
      </c>
      <c r="J352" t="str">
        <f t="shared" si="10"/>
        <v>1.344</v>
      </c>
    </row>
    <row r="353" spans="1:10" ht="57">
      <c r="A353" s="1265" t="s">
        <v>440</v>
      </c>
      <c r="B353" s="8" t="s">
        <v>2341</v>
      </c>
      <c r="C353" s="157" t="s">
        <v>15</v>
      </c>
      <c r="D353" s="158">
        <v>10</v>
      </c>
      <c r="E353" s="159">
        <v>700.69</v>
      </c>
      <c r="F353" s="158">
        <v>7006.9</v>
      </c>
      <c r="G353" s="160" t="s">
        <v>4728</v>
      </c>
      <c r="H353" s="1269" t="str">
        <f t="shared" si="11"/>
        <v>02900B100C
分析表285_x000D_
穴孔：D=20CM， H=20CM</v>
      </c>
      <c r="I353" s="670">
        <v>345</v>
      </c>
      <c r="J353" t="str">
        <f t="shared" si="10"/>
        <v>1.345</v>
      </c>
    </row>
    <row r="354" spans="1:10" ht="42.75">
      <c r="A354" s="1265" t="s">
        <v>441</v>
      </c>
      <c r="B354" s="8" t="s">
        <v>2346</v>
      </c>
      <c r="C354" s="157" t="s">
        <v>3</v>
      </c>
      <c r="D354" s="158">
        <v>20</v>
      </c>
      <c r="E354" s="159">
        <v>43.52</v>
      </c>
      <c r="F354" s="158">
        <v>870.4</v>
      </c>
      <c r="G354" s="160" t="s">
        <v>4729</v>
      </c>
      <c r="H354" s="1269" t="str">
        <f t="shared" si="11"/>
        <v xml:space="preserve">0292012C02
分析表286_x000D_
</v>
      </c>
      <c r="I354" s="670">
        <v>346</v>
      </c>
      <c r="J354" t="str">
        <f t="shared" si="10"/>
        <v>1.346</v>
      </c>
    </row>
    <row r="355" spans="1:10" ht="42.75">
      <c r="A355" s="1265" t="s">
        <v>442</v>
      </c>
      <c r="B355" s="8" t="s">
        <v>2360</v>
      </c>
      <c r="C355" s="157" t="s">
        <v>3</v>
      </c>
      <c r="D355" s="158">
        <v>10</v>
      </c>
      <c r="E355" s="159">
        <v>248.53</v>
      </c>
      <c r="F355" s="158">
        <v>2485.3000000000002</v>
      </c>
      <c r="G355" s="160" t="s">
        <v>4730</v>
      </c>
      <c r="H355" s="1269" t="str">
        <f t="shared" si="11"/>
        <v xml:space="preserve">0292000U02
分析表287_x000D_
</v>
      </c>
      <c r="I355" s="670">
        <v>347</v>
      </c>
      <c r="J355" t="str">
        <f t="shared" si="10"/>
        <v>1.347</v>
      </c>
    </row>
    <row r="356" spans="1:10" ht="42.75">
      <c r="A356" s="1265" t="s">
        <v>443</v>
      </c>
      <c r="B356" s="8" t="s">
        <v>2372</v>
      </c>
      <c r="C356" s="157" t="s">
        <v>3</v>
      </c>
      <c r="D356" s="158">
        <v>10</v>
      </c>
      <c r="E356" s="159">
        <v>682.48</v>
      </c>
      <c r="F356" s="158">
        <v>6824.8</v>
      </c>
      <c r="G356" s="160" t="s">
        <v>4731</v>
      </c>
      <c r="H356" s="1269" t="str">
        <f t="shared" si="11"/>
        <v xml:space="preserve">0422200002
分析表288_x000D_
</v>
      </c>
      <c r="I356" s="670">
        <v>348</v>
      </c>
      <c r="J356" t="str">
        <f t="shared" si="10"/>
        <v>1.348</v>
      </c>
    </row>
    <row r="357" spans="1:10" ht="31.5">
      <c r="A357" s="1265" t="s">
        <v>444</v>
      </c>
      <c r="B357" s="8" t="s">
        <v>3331</v>
      </c>
      <c r="C357" s="157" t="s">
        <v>2400</v>
      </c>
      <c r="D357" s="158">
        <v>50</v>
      </c>
      <c r="E357" s="159">
        <v>23.16</v>
      </c>
      <c r="F357" s="158">
        <v>1158</v>
      </c>
      <c r="G357" s="160" t="s">
        <v>3332</v>
      </c>
      <c r="H357" s="1269" t="str">
        <f t="shared" si="11"/>
        <v xml:space="preserve">02922000211
</v>
      </c>
      <c r="I357" s="670">
        <v>349</v>
      </c>
      <c r="J357" t="str">
        <f t="shared" si="10"/>
        <v>1.349</v>
      </c>
    </row>
    <row r="358" spans="1:10" ht="28.5">
      <c r="A358" s="1265" t="s">
        <v>445</v>
      </c>
      <c r="B358" s="8" t="s">
        <v>4732</v>
      </c>
      <c r="C358" s="157" t="s">
        <v>1497</v>
      </c>
      <c r="D358" s="158">
        <v>1</v>
      </c>
      <c r="E358" s="159">
        <v>290.11</v>
      </c>
      <c r="F358" s="158">
        <v>290.11</v>
      </c>
      <c r="G358" s="160" t="s">
        <v>4733</v>
      </c>
      <c r="H358" s="1269" t="str">
        <f t="shared" si="11"/>
        <v xml:space="preserve">M02900U105A0
</v>
      </c>
      <c r="I358" s="670">
        <v>350</v>
      </c>
      <c r="J358" t="str">
        <f t="shared" si="10"/>
        <v>1.350</v>
      </c>
    </row>
    <row r="359" spans="1:10" ht="42.75">
      <c r="A359" s="1265" t="s">
        <v>446</v>
      </c>
      <c r="B359" s="8" t="s">
        <v>2379</v>
      </c>
      <c r="C359" s="157" t="s">
        <v>3</v>
      </c>
      <c r="D359" s="158">
        <v>50</v>
      </c>
      <c r="E359" s="159">
        <v>22.37</v>
      </c>
      <c r="F359" s="158">
        <v>1118.5</v>
      </c>
      <c r="G359" s="160" t="s">
        <v>4734</v>
      </c>
      <c r="H359" s="1269" t="str">
        <f t="shared" si="11"/>
        <v xml:space="preserve">02233A0002
分析表289_x000D_
</v>
      </c>
      <c r="I359" s="670">
        <v>351</v>
      </c>
      <c r="J359" t="str">
        <f t="shared" si="10"/>
        <v>1.351</v>
      </c>
    </row>
    <row r="360" spans="1:10" ht="42.75">
      <c r="A360" s="1265" t="s">
        <v>447</v>
      </c>
      <c r="B360" s="8" t="s">
        <v>2383</v>
      </c>
      <c r="C360" s="157" t="s">
        <v>3</v>
      </c>
      <c r="D360" s="158">
        <v>100</v>
      </c>
      <c r="E360" s="159">
        <v>11.54</v>
      </c>
      <c r="F360" s="158">
        <v>1154</v>
      </c>
      <c r="G360" s="160" t="s">
        <v>4735</v>
      </c>
      <c r="H360" s="1269" t="str">
        <f t="shared" si="11"/>
        <v xml:space="preserve">0223102002
分析表290_x000D_
</v>
      </c>
      <c r="I360" s="670">
        <v>352</v>
      </c>
      <c r="J360" t="str">
        <f t="shared" si="10"/>
        <v>1.352</v>
      </c>
    </row>
    <row r="361" spans="1:10" ht="42.75">
      <c r="A361" s="1265" t="s">
        <v>448</v>
      </c>
      <c r="B361" s="8" t="s">
        <v>2390</v>
      </c>
      <c r="C361" s="157" t="s">
        <v>3</v>
      </c>
      <c r="D361" s="158">
        <v>100</v>
      </c>
      <c r="E361" s="159">
        <v>20.13</v>
      </c>
      <c r="F361" s="158">
        <v>2013</v>
      </c>
      <c r="G361" s="160" t="s">
        <v>4736</v>
      </c>
      <c r="H361" s="1269" t="str">
        <f t="shared" si="11"/>
        <v xml:space="preserve">0223109002
分析表291_x000D_
</v>
      </c>
      <c r="I361" s="670">
        <v>353</v>
      </c>
      <c r="J361" t="str">
        <f t="shared" si="10"/>
        <v>1.353</v>
      </c>
    </row>
    <row r="362" spans="1:10" s="7" customFormat="1" ht="42.75">
      <c r="A362" s="1265" t="s">
        <v>449</v>
      </c>
      <c r="B362" s="8" t="s">
        <v>2393</v>
      </c>
      <c r="C362" s="157" t="s">
        <v>2394</v>
      </c>
      <c r="D362" s="158">
        <v>10</v>
      </c>
      <c r="E362" s="159">
        <v>2473.94</v>
      </c>
      <c r="F362" s="158">
        <v>24739.4</v>
      </c>
      <c r="G362" s="160" t="s">
        <v>4737</v>
      </c>
      <c r="H362" s="1269" t="str">
        <f t="shared" si="11"/>
        <v xml:space="preserve">02234A0001
分析表292_x000D_
</v>
      </c>
      <c r="I362" s="670">
        <v>354</v>
      </c>
      <c r="J362" s="7" t="str">
        <f t="shared" si="10"/>
        <v>1.354</v>
      </c>
    </row>
    <row r="363" spans="1:10" s="7" customFormat="1" ht="57">
      <c r="A363" s="1265" t="s">
        <v>450</v>
      </c>
      <c r="B363" s="8" t="s">
        <v>2399</v>
      </c>
      <c r="C363" s="157" t="s">
        <v>2400</v>
      </c>
      <c r="D363" s="158">
        <v>10</v>
      </c>
      <c r="E363" s="159">
        <v>4542.75</v>
      </c>
      <c r="F363" s="158">
        <v>45427.5</v>
      </c>
      <c r="G363" s="160" t="s">
        <v>4738</v>
      </c>
      <c r="H363" s="1269" t="str">
        <f t="shared" si="11"/>
        <v>029351C32A
分析表293_x000D_
樹高8-10公尺，修剪前樹寬3-5公尺</v>
      </c>
      <c r="I363" s="670">
        <v>355</v>
      </c>
      <c r="J363" s="7" t="str">
        <f t="shared" si="10"/>
        <v>1.355</v>
      </c>
    </row>
    <row r="364" spans="1:10" s="7" customFormat="1" ht="42.75">
      <c r="A364" s="1265" t="s">
        <v>451</v>
      </c>
      <c r="B364" s="8" t="s">
        <v>2405</v>
      </c>
      <c r="C364" s="157" t="s">
        <v>3</v>
      </c>
      <c r="D364" s="158">
        <v>50</v>
      </c>
      <c r="E364" s="159">
        <v>34.51</v>
      </c>
      <c r="F364" s="158">
        <v>1725.5</v>
      </c>
      <c r="G364" s="160" t="s">
        <v>4739</v>
      </c>
      <c r="H364" s="1269" t="str">
        <f t="shared" si="11"/>
        <v xml:space="preserve">02234A0002
分析表294_x000D_
</v>
      </c>
      <c r="I364" s="670">
        <v>356</v>
      </c>
      <c r="J364" s="7" t="str">
        <f t="shared" si="10"/>
        <v>1.356</v>
      </c>
    </row>
    <row r="365" spans="1:10" s="9" customFormat="1" ht="42.75">
      <c r="A365" s="1265" t="s">
        <v>452</v>
      </c>
      <c r="B365" s="8" t="s">
        <v>2410</v>
      </c>
      <c r="C365" s="157" t="s">
        <v>0</v>
      </c>
      <c r="D365" s="158">
        <v>10</v>
      </c>
      <c r="E365" s="159">
        <v>2276.4499999999998</v>
      </c>
      <c r="F365" s="158">
        <v>22764.5</v>
      </c>
      <c r="G365" s="160" t="s">
        <v>4740</v>
      </c>
      <c r="H365" s="1269" t="str">
        <f t="shared" si="11"/>
        <v xml:space="preserve">02234A0003
分析表295_x000D_
</v>
      </c>
      <c r="I365" s="670">
        <v>357</v>
      </c>
      <c r="J365" s="9" t="str">
        <f t="shared" si="10"/>
        <v>1.357</v>
      </c>
    </row>
    <row r="366" spans="1:10" s="7" customFormat="1" ht="57">
      <c r="A366" s="1265" t="s">
        <v>455</v>
      </c>
      <c r="B366" s="8" t="s">
        <v>4390</v>
      </c>
      <c r="C366" s="157" t="s">
        <v>927</v>
      </c>
      <c r="D366" s="158">
        <v>10</v>
      </c>
      <c r="E366" s="159">
        <v>205.78</v>
      </c>
      <c r="F366" s="158">
        <v>2057.8000000000002</v>
      </c>
      <c r="G366" s="160" t="s">
        <v>4741</v>
      </c>
      <c r="H366" s="1269" t="str">
        <f t="shared" si="11"/>
        <v>02240B100D
分析表296_x000D_
原名稱：袪水，臨時排水，箱涵用</v>
      </c>
      <c r="I366" s="670">
        <v>358</v>
      </c>
      <c r="J366" s="7" t="str">
        <f t="shared" si="10"/>
        <v>1.358</v>
      </c>
    </row>
    <row r="367" spans="1:10" s="7" customFormat="1" ht="57">
      <c r="A367" s="1265" t="s">
        <v>456</v>
      </c>
      <c r="B367" s="8" t="s">
        <v>4392</v>
      </c>
      <c r="C367" s="157" t="s">
        <v>927</v>
      </c>
      <c r="D367" s="158">
        <v>20</v>
      </c>
      <c r="E367" s="159">
        <v>161.47</v>
      </c>
      <c r="F367" s="158">
        <v>3229.4</v>
      </c>
      <c r="G367" s="160" t="s">
        <v>4742</v>
      </c>
      <c r="H367" s="1269" t="str">
        <f t="shared" si="11"/>
        <v>02240B200D
分析表297_x000D_
原名稱：袪水，臨時排水，RCP用</v>
      </c>
      <c r="I367" s="670">
        <v>359</v>
      </c>
      <c r="J367" s="7" t="str">
        <f t="shared" si="10"/>
        <v>1.359</v>
      </c>
    </row>
    <row r="368" spans="1:10" s="9" customFormat="1" ht="42.75">
      <c r="A368" s="1265" t="s">
        <v>457</v>
      </c>
      <c r="B368" s="8" t="s">
        <v>2381</v>
      </c>
      <c r="C368" s="157" t="s">
        <v>927</v>
      </c>
      <c r="D368" s="158">
        <v>5</v>
      </c>
      <c r="E368" s="159">
        <v>2152.3000000000002</v>
      </c>
      <c r="F368" s="158">
        <v>10761.5</v>
      </c>
      <c r="G368" s="160" t="s">
        <v>4743</v>
      </c>
      <c r="H368" s="1269" t="str">
        <f t="shared" si="11"/>
        <v xml:space="preserve">01271AB101
分析表298_x000D_
</v>
      </c>
      <c r="I368" s="670">
        <v>360</v>
      </c>
      <c r="J368" s="9" t="str">
        <f t="shared" si="10"/>
        <v>1.360</v>
      </c>
    </row>
    <row r="369" spans="1:10" s="7" customFormat="1" ht="42.75">
      <c r="A369" s="1265" t="s">
        <v>466</v>
      </c>
      <c r="B369" s="8" t="s">
        <v>2422</v>
      </c>
      <c r="C369" s="157" t="s">
        <v>927</v>
      </c>
      <c r="D369" s="158">
        <v>5</v>
      </c>
      <c r="E369" s="159">
        <v>3911.72</v>
      </c>
      <c r="F369" s="158">
        <v>19558.599999999999</v>
      </c>
      <c r="G369" s="160" t="s">
        <v>4744</v>
      </c>
      <c r="H369" s="1269" t="str">
        <f t="shared" si="11"/>
        <v xml:space="preserve">01271AB201
分析表299_x000D_
</v>
      </c>
      <c r="I369" s="670">
        <v>361</v>
      </c>
      <c r="J369" s="7" t="str">
        <f t="shared" si="10"/>
        <v>1.361</v>
      </c>
    </row>
    <row r="370" spans="1:10" s="7" customFormat="1" ht="42.75">
      <c r="A370" s="1265" t="s">
        <v>467</v>
      </c>
      <c r="B370" s="8" t="s">
        <v>514</v>
      </c>
      <c r="C370" s="157" t="s">
        <v>927</v>
      </c>
      <c r="D370" s="158">
        <v>20</v>
      </c>
      <c r="E370" s="159">
        <v>925.39</v>
      </c>
      <c r="F370" s="158">
        <v>18507.8</v>
      </c>
      <c r="G370" s="160" t="s">
        <v>4745</v>
      </c>
      <c r="H370" s="1269" t="str">
        <f t="shared" si="11"/>
        <v>01510522BD
分析表300_x000D_
(含油料及運費)</v>
      </c>
      <c r="I370" s="670">
        <v>362</v>
      </c>
      <c r="J370" s="7" t="str">
        <f t="shared" si="10"/>
        <v>1.362</v>
      </c>
    </row>
    <row r="371" spans="1:10" s="7" customFormat="1" ht="42.75">
      <c r="A371" s="1265" t="s">
        <v>468</v>
      </c>
      <c r="B371" s="8" t="s">
        <v>2433</v>
      </c>
      <c r="C371" s="157" t="s">
        <v>927</v>
      </c>
      <c r="D371" s="158">
        <v>20</v>
      </c>
      <c r="E371" s="159">
        <v>904.93</v>
      </c>
      <c r="F371" s="158">
        <v>18098.599999999999</v>
      </c>
      <c r="G371" s="160" t="s">
        <v>4746</v>
      </c>
      <c r="H371" s="1269" t="str">
        <f t="shared" si="11"/>
        <v>01510533BD
分析表301_x000D_
(含油料及運費)</v>
      </c>
      <c r="I371" s="670">
        <v>363</v>
      </c>
      <c r="J371" s="7" t="str">
        <f t="shared" si="10"/>
        <v>1.363</v>
      </c>
    </row>
    <row r="372" spans="1:10" s="7" customFormat="1" ht="42.75">
      <c r="A372" s="1265" t="s">
        <v>469</v>
      </c>
      <c r="B372" s="8" t="s">
        <v>2438</v>
      </c>
      <c r="C372" s="157" t="s">
        <v>927</v>
      </c>
      <c r="D372" s="158">
        <v>20</v>
      </c>
      <c r="E372" s="159">
        <v>802.6</v>
      </c>
      <c r="F372" s="158">
        <v>16052</v>
      </c>
      <c r="G372" s="160" t="s">
        <v>4747</v>
      </c>
      <c r="H372" s="1269" t="str">
        <f t="shared" si="11"/>
        <v>01510532BD
分析表302_x000D_
(含油料及運費)</v>
      </c>
      <c r="I372" s="670">
        <v>364</v>
      </c>
      <c r="J372" s="7" t="str">
        <f t="shared" si="10"/>
        <v>1.364</v>
      </c>
    </row>
    <row r="373" spans="1:10" s="7" customFormat="1" ht="42.75">
      <c r="A373" s="1265" t="s">
        <v>470</v>
      </c>
      <c r="B373" s="8" t="s">
        <v>2443</v>
      </c>
      <c r="C373" s="157" t="s">
        <v>4395</v>
      </c>
      <c r="D373" s="158">
        <v>2</v>
      </c>
      <c r="E373" s="159">
        <v>31166.95</v>
      </c>
      <c r="F373" s="158">
        <v>62333.9</v>
      </c>
      <c r="G373" s="160" t="s">
        <v>4748</v>
      </c>
      <c r="H373" s="1269" t="str">
        <f t="shared" si="11"/>
        <v>01572D0007
分析表303_x000D_
廢方另計</v>
      </c>
      <c r="I373" s="670">
        <v>365</v>
      </c>
      <c r="J373" s="7" t="str">
        <f t="shared" si="10"/>
        <v>1.365</v>
      </c>
    </row>
    <row r="374" spans="1:10" s="7" customFormat="1" ht="42.75">
      <c r="A374" s="1265" t="s">
        <v>471</v>
      </c>
      <c r="B374" s="8" t="s">
        <v>515</v>
      </c>
      <c r="C374" s="157" t="s">
        <v>0</v>
      </c>
      <c r="D374" s="158">
        <v>3</v>
      </c>
      <c r="E374" s="159">
        <v>3341.03</v>
      </c>
      <c r="F374" s="158">
        <v>10023.09</v>
      </c>
      <c r="G374" s="160" t="s">
        <v>4749</v>
      </c>
      <c r="H374" s="1269" t="str">
        <f t="shared" si="11"/>
        <v xml:space="preserve">0226210003
分析表304_x000D_
</v>
      </c>
      <c r="I374" s="670">
        <v>366</v>
      </c>
      <c r="J374" s="7" t="str">
        <f t="shared" si="10"/>
        <v>1.366</v>
      </c>
    </row>
    <row r="375" spans="1:10" s="7" customFormat="1" ht="31.5">
      <c r="A375" s="1265" t="s">
        <v>472</v>
      </c>
      <c r="B375" s="8" t="s">
        <v>3349</v>
      </c>
      <c r="C375" s="157" t="s">
        <v>1497</v>
      </c>
      <c r="D375" s="158">
        <v>20</v>
      </c>
      <c r="E375" s="159">
        <v>49.68</v>
      </c>
      <c r="F375" s="158">
        <v>993.6</v>
      </c>
      <c r="G375" s="160" t="s">
        <v>3350</v>
      </c>
      <c r="H375" s="1269" t="str">
        <f t="shared" si="11"/>
        <v xml:space="preserve">050900GGCA
</v>
      </c>
      <c r="I375" s="670">
        <v>367</v>
      </c>
      <c r="J375" s="7" t="str">
        <f t="shared" si="10"/>
        <v>1.367</v>
      </c>
    </row>
    <row r="376" spans="1:10" s="7" customFormat="1" ht="31.5">
      <c r="A376" s="1265" t="s">
        <v>473</v>
      </c>
      <c r="B376" s="8" t="s">
        <v>2333</v>
      </c>
      <c r="C376" s="157" t="s">
        <v>1497</v>
      </c>
      <c r="D376" s="158">
        <v>20</v>
      </c>
      <c r="E376" s="159">
        <v>69.55</v>
      </c>
      <c r="F376" s="158">
        <v>1391</v>
      </c>
      <c r="G376" s="160" t="s">
        <v>2334</v>
      </c>
      <c r="H376" s="1269" t="str">
        <f t="shared" si="11"/>
        <v xml:space="preserve">050900MH0A
</v>
      </c>
      <c r="I376" s="670">
        <v>368</v>
      </c>
      <c r="J376" s="7" t="str">
        <f t="shared" si="10"/>
        <v>1.368</v>
      </c>
    </row>
    <row r="377" spans="1:10" s="7" customFormat="1" ht="47.25">
      <c r="A377" s="1265" t="s">
        <v>474</v>
      </c>
      <c r="B377" s="8" t="s">
        <v>3351</v>
      </c>
      <c r="C377" s="157" t="s">
        <v>1818</v>
      </c>
      <c r="D377" s="158">
        <v>2</v>
      </c>
      <c r="E377" s="159">
        <v>4371.57</v>
      </c>
      <c r="F377" s="158">
        <v>8743.14</v>
      </c>
      <c r="G377" s="160" t="s">
        <v>3352</v>
      </c>
      <c r="H377" s="1269" t="str">
        <f t="shared" si="11"/>
        <v xml:space="preserve">02220301BE
</v>
      </c>
      <c r="I377" s="670">
        <v>369</v>
      </c>
      <c r="J377" s="7" t="str">
        <f t="shared" si="10"/>
        <v>1.369</v>
      </c>
    </row>
    <row r="378" spans="1:10" s="7" customFormat="1" ht="31.5">
      <c r="A378" s="1265" t="s">
        <v>475</v>
      </c>
      <c r="B378" s="8" t="s">
        <v>3353</v>
      </c>
      <c r="C378" s="157" t="s">
        <v>1689</v>
      </c>
      <c r="D378" s="158">
        <v>1</v>
      </c>
      <c r="E378" s="159">
        <v>8080.45</v>
      </c>
      <c r="F378" s="158">
        <v>8080.45</v>
      </c>
      <c r="G378" s="160" t="s">
        <v>3354</v>
      </c>
      <c r="H378" s="1269" t="str">
        <f t="shared" si="11"/>
        <v>M0556210008
# 過溝鑄鐵蓋板</v>
      </c>
      <c r="I378" s="670">
        <v>370</v>
      </c>
      <c r="J378" s="7" t="str">
        <f t="shared" si="10"/>
        <v>1.370</v>
      </c>
    </row>
    <row r="379" spans="1:10" s="7" customFormat="1" ht="47.25">
      <c r="A379" s="1265" t="s">
        <v>476</v>
      </c>
      <c r="B379" s="8" t="s">
        <v>3355</v>
      </c>
      <c r="C379" s="157" t="s">
        <v>1497</v>
      </c>
      <c r="D379" s="158">
        <v>35</v>
      </c>
      <c r="E379" s="159">
        <v>58.62</v>
      </c>
      <c r="F379" s="158">
        <v>2051.6999999999998</v>
      </c>
      <c r="G379" s="160" t="s">
        <v>3356</v>
      </c>
      <c r="H379" s="1269" t="str">
        <f t="shared" si="11"/>
        <v>M050900M80A
#</v>
      </c>
      <c r="I379" s="670">
        <v>371</v>
      </c>
      <c r="J379" s="7" t="str">
        <f t="shared" si="10"/>
        <v>1.371</v>
      </c>
    </row>
    <row r="380" spans="1:10" s="7" customFormat="1" ht="31.5">
      <c r="A380" s="1265" t="s">
        <v>477</v>
      </c>
      <c r="B380" s="8" t="s">
        <v>3357</v>
      </c>
      <c r="C380" s="157" t="s">
        <v>17</v>
      </c>
      <c r="D380" s="158">
        <v>115</v>
      </c>
      <c r="E380" s="159">
        <v>7.95</v>
      </c>
      <c r="F380" s="158">
        <v>914.25</v>
      </c>
      <c r="G380" s="160" t="s">
        <v>3358</v>
      </c>
      <c r="H380" s="1269" t="str">
        <f t="shared" si="11"/>
        <v xml:space="preserve">0250611011
</v>
      </c>
      <c r="I380" s="670">
        <v>372</v>
      </c>
      <c r="J380" s="7" t="str">
        <f t="shared" si="10"/>
        <v>1.372</v>
      </c>
    </row>
    <row r="381" spans="1:10" s="7" customFormat="1" ht="31.5">
      <c r="A381" s="1265" t="s">
        <v>478</v>
      </c>
      <c r="B381" s="8" t="s">
        <v>3359</v>
      </c>
      <c r="C381" s="157" t="s">
        <v>2679</v>
      </c>
      <c r="D381" s="158">
        <v>1</v>
      </c>
      <c r="E381" s="159">
        <v>21857.84</v>
      </c>
      <c r="F381" s="158">
        <v>21857.84</v>
      </c>
      <c r="G381" s="160" t="s">
        <v>3360</v>
      </c>
      <c r="H381" s="1269" t="str">
        <f t="shared" si="11"/>
        <v xml:space="preserve">03400B0007
</v>
      </c>
      <c r="I381" s="670">
        <v>373</v>
      </c>
      <c r="J381" s="7" t="str">
        <f t="shared" si="10"/>
        <v>1.373</v>
      </c>
    </row>
    <row r="382" spans="1:10" s="7" customFormat="1" ht="31.5">
      <c r="A382" s="1265" t="s">
        <v>479</v>
      </c>
      <c r="B382" s="8" t="s">
        <v>3361</v>
      </c>
      <c r="C382" s="157" t="s">
        <v>2679</v>
      </c>
      <c r="D382" s="158">
        <v>1</v>
      </c>
      <c r="E382" s="159">
        <v>24838.45</v>
      </c>
      <c r="F382" s="158">
        <v>24838.45</v>
      </c>
      <c r="G382" s="160" t="s">
        <v>3362</v>
      </c>
      <c r="H382" s="1269" t="str">
        <f t="shared" si="11"/>
        <v xml:space="preserve">03400R0007
</v>
      </c>
      <c r="I382" s="670">
        <v>374</v>
      </c>
      <c r="J382" s="7" t="str">
        <f t="shared" si="10"/>
        <v>1.374</v>
      </c>
    </row>
    <row r="383" spans="1:10" s="7" customFormat="1" ht="28.5">
      <c r="A383" s="1265" t="s">
        <v>480</v>
      </c>
      <c r="B383" s="8" t="s">
        <v>3363</v>
      </c>
      <c r="C383" s="157" t="s">
        <v>1875</v>
      </c>
      <c r="D383" s="158">
        <v>10</v>
      </c>
      <c r="E383" s="159">
        <v>41.73</v>
      </c>
      <c r="F383" s="158">
        <v>417.3</v>
      </c>
      <c r="G383" s="160" t="s">
        <v>3364</v>
      </c>
      <c r="H383" s="1269" t="str">
        <f t="shared" si="11"/>
        <v xml:space="preserve">03400X000A
</v>
      </c>
      <c r="I383" s="670">
        <v>375</v>
      </c>
      <c r="J383" s="7" t="str">
        <f t="shared" si="10"/>
        <v>1.375</v>
      </c>
    </row>
    <row r="384" spans="1:10" s="7" customFormat="1" ht="28.5">
      <c r="A384" s="1265" t="s">
        <v>481</v>
      </c>
      <c r="B384" s="8" t="s">
        <v>3365</v>
      </c>
      <c r="C384" s="157" t="s">
        <v>1875</v>
      </c>
      <c r="D384" s="158">
        <v>10</v>
      </c>
      <c r="E384" s="159">
        <v>36.76</v>
      </c>
      <c r="F384" s="158">
        <v>367.6</v>
      </c>
      <c r="G384" s="160" t="s">
        <v>3366</v>
      </c>
      <c r="H384" s="1269" t="str">
        <f t="shared" si="11"/>
        <v xml:space="preserve">03400Y000A
</v>
      </c>
      <c r="I384" s="670">
        <v>376</v>
      </c>
      <c r="J384" s="7" t="str">
        <f t="shared" si="10"/>
        <v>1.376</v>
      </c>
    </row>
    <row r="385" spans="1:10" s="7" customFormat="1" ht="31.5">
      <c r="A385" s="1265" t="s">
        <v>482</v>
      </c>
      <c r="B385" s="8" t="s">
        <v>3367</v>
      </c>
      <c r="C385" s="157" t="s">
        <v>17</v>
      </c>
      <c r="D385" s="158">
        <v>10</v>
      </c>
      <c r="E385" s="159">
        <v>308.99</v>
      </c>
      <c r="F385" s="158">
        <v>3089.9</v>
      </c>
      <c r="G385" s="160" t="s">
        <v>3368</v>
      </c>
      <c r="H385" s="1269" t="str">
        <f t="shared" si="11"/>
        <v xml:space="preserve">151070000001
</v>
      </c>
      <c r="I385" s="670">
        <v>377</v>
      </c>
      <c r="J385" s="7" t="str">
        <f t="shared" si="10"/>
        <v>1.377</v>
      </c>
    </row>
    <row r="386" spans="1:10" s="7" customFormat="1" ht="42.75">
      <c r="A386" s="1265" t="s">
        <v>483</v>
      </c>
      <c r="B386" s="8" t="s">
        <v>2458</v>
      </c>
      <c r="C386" s="157" t="s">
        <v>2335</v>
      </c>
      <c r="D386" s="158">
        <v>5</v>
      </c>
      <c r="E386" s="159">
        <v>821.06</v>
      </c>
      <c r="F386" s="158">
        <v>4105.3</v>
      </c>
      <c r="G386" s="160" t="s">
        <v>4750</v>
      </c>
      <c r="H386" s="1269" t="str">
        <f t="shared" si="11"/>
        <v xml:space="preserve">022180A005
分析表305_x000D_
</v>
      </c>
      <c r="I386" s="670">
        <v>378</v>
      </c>
      <c r="J386" s="7" t="str">
        <f t="shared" ref="J386:J449" si="12">A386</f>
        <v>1.378</v>
      </c>
    </row>
    <row r="387" spans="1:10" s="7" customFormat="1" ht="31.5">
      <c r="A387" s="1265" t="s">
        <v>484</v>
      </c>
      <c r="B387" s="8" t="s">
        <v>2954</v>
      </c>
      <c r="C387" s="157" t="s">
        <v>2490</v>
      </c>
      <c r="D387" s="158">
        <v>5</v>
      </c>
      <c r="E387" s="159">
        <v>29806.15</v>
      </c>
      <c r="F387" s="158">
        <v>149030.75</v>
      </c>
      <c r="G387" s="160" t="s">
        <v>3370</v>
      </c>
      <c r="H387" s="1269" t="str">
        <f t="shared" si="11"/>
        <v xml:space="preserve">012714000A
</v>
      </c>
      <c r="I387" s="670">
        <v>379</v>
      </c>
      <c r="J387" s="7" t="str">
        <f t="shared" si="12"/>
        <v>1.379</v>
      </c>
    </row>
    <row r="388" spans="1:10" s="7" customFormat="1" ht="31.5">
      <c r="A388" s="1265" t="s">
        <v>485</v>
      </c>
      <c r="B388" s="8" t="s">
        <v>3371</v>
      </c>
      <c r="C388" s="157" t="s">
        <v>2490</v>
      </c>
      <c r="D388" s="158">
        <v>5</v>
      </c>
      <c r="E388" s="159">
        <v>7451.54</v>
      </c>
      <c r="F388" s="158">
        <v>37257.699999999997</v>
      </c>
      <c r="G388" s="160" t="s">
        <v>3372</v>
      </c>
      <c r="H388" s="1269" t="str">
        <f t="shared" si="11"/>
        <v xml:space="preserve">012714100A
</v>
      </c>
      <c r="I388" s="670">
        <v>380</v>
      </c>
      <c r="J388" s="7" t="str">
        <f t="shared" si="12"/>
        <v>1.380</v>
      </c>
    </row>
    <row r="389" spans="1:10" s="7" customFormat="1" ht="42.75">
      <c r="A389" s="1265" t="s">
        <v>486</v>
      </c>
      <c r="B389" s="8" t="s">
        <v>2468</v>
      </c>
      <c r="C389" s="157" t="s">
        <v>0</v>
      </c>
      <c r="D389" s="158">
        <v>1</v>
      </c>
      <c r="E389" s="159">
        <v>49474.07</v>
      </c>
      <c r="F389" s="158">
        <v>49474.07</v>
      </c>
      <c r="G389" s="160" t="s">
        <v>4751</v>
      </c>
      <c r="H389" s="1269" t="str">
        <f t="shared" si="11"/>
        <v>02742B0H03
分析表306_x000D_
#</v>
      </c>
      <c r="I389" s="670">
        <v>381</v>
      </c>
      <c r="J389" s="7" t="str">
        <f t="shared" si="12"/>
        <v>1.381</v>
      </c>
    </row>
    <row r="390" spans="1:10" s="7" customFormat="1" ht="42.75">
      <c r="A390" s="1265" t="s">
        <v>487</v>
      </c>
      <c r="B390" s="8" t="s">
        <v>2475</v>
      </c>
      <c r="C390" s="157" t="s">
        <v>2238</v>
      </c>
      <c r="D390" s="158">
        <v>5</v>
      </c>
      <c r="E390" s="159">
        <v>57993.41</v>
      </c>
      <c r="F390" s="158">
        <v>289967.05</v>
      </c>
      <c r="G390" s="160" t="s">
        <v>4752</v>
      </c>
      <c r="H390" s="1269" t="str">
        <f t="shared" si="11"/>
        <v xml:space="preserve">0151111021
分析表307_x000D_
</v>
      </c>
      <c r="I390" s="670">
        <v>382</v>
      </c>
      <c r="J390" s="7" t="str">
        <f t="shared" si="12"/>
        <v>1.382</v>
      </c>
    </row>
    <row r="391" spans="1:10" s="7" customFormat="1" ht="42.75">
      <c r="A391" s="1265" t="s">
        <v>488</v>
      </c>
      <c r="B391" s="8" t="s">
        <v>2480</v>
      </c>
      <c r="C391" s="157" t="s">
        <v>2238</v>
      </c>
      <c r="D391" s="158">
        <v>5</v>
      </c>
      <c r="E391" s="159">
        <v>75367.37</v>
      </c>
      <c r="F391" s="158">
        <v>376836.85</v>
      </c>
      <c r="G391" s="160" t="s">
        <v>4753</v>
      </c>
      <c r="H391" s="1269" t="str">
        <f t="shared" si="11"/>
        <v xml:space="preserve">0151112021
分析表308_x000D_
</v>
      </c>
      <c r="I391" s="670">
        <v>383</v>
      </c>
      <c r="J391" s="7" t="str">
        <f t="shared" si="12"/>
        <v>1.383</v>
      </c>
    </row>
    <row r="392" spans="1:10" s="7" customFormat="1" ht="42.75">
      <c r="A392" s="1265" t="s">
        <v>489</v>
      </c>
      <c r="B392" s="8" t="s">
        <v>2483</v>
      </c>
      <c r="C392" s="157" t="s">
        <v>2238</v>
      </c>
      <c r="D392" s="158">
        <v>5</v>
      </c>
      <c r="E392" s="159">
        <v>42062.63</v>
      </c>
      <c r="F392" s="158">
        <v>210313.15</v>
      </c>
      <c r="G392" s="160" t="s">
        <v>4754</v>
      </c>
      <c r="H392" s="1269" t="str">
        <f t="shared" si="11"/>
        <v xml:space="preserve">0151111221
分析表309_x000D_
</v>
      </c>
      <c r="I392" s="670">
        <v>384</v>
      </c>
      <c r="J392" s="7" t="str">
        <f t="shared" si="12"/>
        <v>1.384</v>
      </c>
    </row>
    <row r="393" spans="1:10" s="7" customFormat="1" ht="42.75">
      <c r="A393" s="1265" t="s">
        <v>490</v>
      </c>
      <c r="B393" s="8" t="s">
        <v>2486</v>
      </c>
      <c r="C393" s="157" t="s">
        <v>2238</v>
      </c>
      <c r="D393" s="158">
        <v>5</v>
      </c>
      <c r="E393" s="159">
        <v>54016.04</v>
      </c>
      <c r="F393" s="158">
        <v>270080.2</v>
      </c>
      <c r="G393" s="160" t="s">
        <v>4755</v>
      </c>
      <c r="H393" s="1269" t="str">
        <f t="shared" si="11"/>
        <v xml:space="preserve">0151112221
分析表310_x000D_
</v>
      </c>
      <c r="I393" s="670">
        <v>385</v>
      </c>
      <c r="J393" s="7" t="str">
        <f t="shared" si="12"/>
        <v>1.385</v>
      </c>
    </row>
    <row r="394" spans="1:10" s="7" customFormat="1" ht="31.5">
      <c r="A394" s="1265" t="s">
        <v>491</v>
      </c>
      <c r="B394" s="8" t="s">
        <v>4756</v>
      </c>
      <c r="C394" s="157" t="s">
        <v>2490</v>
      </c>
      <c r="D394" s="158">
        <v>5</v>
      </c>
      <c r="E394" s="159">
        <v>24838.45</v>
      </c>
      <c r="F394" s="158">
        <v>124192.25</v>
      </c>
      <c r="G394" s="160" t="s">
        <v>4757</v>
      </c>
      <c r="H394" s="1269" t="str">
        <f t="shared" ref="H394:H457" si="13">G394</f>
        <v xml:space="preserve">0151132204
</v>
      </c>
      <c r="I394" s="670">
        <v>386</v>
      </c>
      <c r="J394" s="7" t="str">
        <f t="shared" si="12"/>
        <v>1.386</v>
      </c>
    </row>
    <row r="395" spans="1:10" s="7" customFormat="1" ht="47.25">
      <c r="A395" s="1265" t="s">
        <v>492</v>
      </c>
      <c r="B395" s="8" t="s">
        <v>2938</v>
      </c>
      <c r="C395" s="157" t="s">
        <v>2490</v>
      </c>
      <c r="D395" s="158">
        <v>5</v>
      </c>
      <c r="E395" s="159">
        <v>7203.15</v>
      </c>
      <c r="F395" s="158">
        <v>36015.75</v>
      </c>
      <c r="G395" s="160" t="s">
        <v>3378</v>
      </c>
      <c r="H395" s="1269" t="str">
        <f t="shared" si="13"/>
        <v>01510CC11G
未達8小時適用</v>
      </c>
      <c r="I395" s="670">
        <v>387</v>
      </c>
      <c r="J395" s="7" t="str">
        <f t="shared" si="12"/>
        <v>1.387</v>
      </c>
    </row>
    <row r="396" spans="1:10" s="7" customFormat="1" ht="47.25">
      <c r="A396" s="1265" t="s">
        <v>493</v>
      </c>
      <c r="B396" s="8" t="s">
        <v>3379</v>
      </c>
      <c r="C396" s="157" t="s">
        <v>2490</v>
      </c>
      <c r="D396" s="158">
        <v>5</v>
      </c>
      <c r="E396" s="159">
        <v>10730.21</v>
      </c>
      <c r="F396" s="158">
        <v>53651.05</v>
      </c>
      <c r="G396" s="160" t="s">
        <v>3380</v>
      </c>
      <c r="H396" s="1269" t="str">
        <f t="shared" si="13"/>
        <v>01510CC12G
未達8小時適用</v>
      </c>
      <c r="I396" s="670">
        <v>388</v>
      </c>
      <c r="J396" s="7" t="str">
        <f t="shared" si="12"/>
        <v>1.388</v>
      </c>
    </row>
    <row r="397" spans="1:10" s="7" customFormat="1" ht="47.25">
      <c r="A397" s="1265" t="s">
        <v>494</v>
      </c>
      <c r="B397" s="8" t="s">
        <v>4758</v>
      </c>
      <c r="C397" s="157" t="s">
        <v>2490</v>
      </c>
      <c r="D397" s="158">
        <v>5</v>
      </c>
      <c r="E397" s="159">
        <v>14903.07</v>
      </c>
      <c r="F397" s="158">
        <v>74515.350000000006</v>
      </c>
      <c r="G397" s="160" t="s">
        <v>4759</v>
      </c>
      <c r="H397" s="1269" t="str">
        <f t="shared" si="13"/>
        <v>01510CC13G
未達8小時適用</v>
      </c>
      <c r="I397" s="670">
        <v>389</v>
      </c>
      <c r="J397" s="7" t="str">
        <f t="shared" si="12"/>
        <v>1.389</v>
      </c>
    </row>
    <row r="398" spans="1:10" s="7" customFormat="1" ht="42.75">
      <c r="A398" s="1265" t="s">
        <v>495</v>
      </c>
      <c r="B398" s="8" t="s">
        <v>2489</v>
      </c>
      <c r="C398" s="157" t="s">
        <v>2490</v>
      </c>
      <c r="D398" s="158">
        <v>5</v>
      </c>
      <c r="E398" s="159">
        <v>3103.82</v>
      </c>
      <c r="F398" s="158">
        <v>15519.1</v>
      </c>
      <c r="G398" s="160" t="s">
        <v>4760</v>
      </c>
      <c r="H398" s="1269" t="str">
        <f t="shared" si="13"/>
        <v xml:space="preserve">0221071026
分析表311_x000D_
</v>
      </c>
      <c r="I398" s="670">
        <v>390</v>
      </c>
      <c r="J398" s="7" t="str">
        <f t="shared" si="12"/>
        <v>1.390</v>
      </c>
    </row>
    <row r="399" spans="1:10" s="7" customFormat="1" ht="42.75">
      <c r="A399" s="1265" t="s">
        <v>496</v>
      </c>
      <c r="B399" s="8" t="s">
        <v>2497</v>
      </c>
      <c r="C399" s="157" t="s">
        <v>2490</v>
      </c>
      <c r="D399" s="158">
        <v>5</v>
      </c>
      <c r="E399" s="159">
        <v>776.95</v>
      </c>
      <c r="F399" s="158">
        <v>3884.75</v>
      </c>
      <c r="G399" s="160" t="s">
        <v>4761</v>
      </c>
      <c r="H399" s="1269" t="str">
        <f t="shared" si="13"/>
        <v xml:space="preserve">0221071123
分析表312_x000D_
</v>
      </c>
      <c r="I399" s="670">
        <v>391</v>
      </c>
      <c r="J399" s="7" t="str">
        <f t="shared" si="12"/>
        <v>1.391</v>
      </c>
    </row>
    <row r="400" spans="1:10" s="7" customFormat="1" ht="42.75">
      <c r="A400" s="1265" t="s">
        <v>497</v>
      </c>
      <c r="B400" s="8" t="s">
        <v>2506</v>
      </c>
      <c r="C400" s="157" t="s">
        <v>2490</v>
      </c>
      <c r="D400" s="158">
        <v>5</v>
      </c>
      <c r="E400" s="159">
        <v>4220.55</v>
      </c>
      <c r="F400" s="158">
        <v>21102.75</v>
      </c>
      <c r="G400" s="160" t="s">
        <v>4762</v>
      </c>
      <c r="H400" s="1269" t="str">
        <f t="shared" si="13"/>
        <v xml:space="preserve">0221072026
分析表313_x000D_
</v>
      </c>
      <c r="I400" s="670">
        <v>392</v>
      </c>
      <c r="J400" s="7" t="str">
        <f t="shared" si="12"/>
        <v>1.392</v>
      </c>
    </row>
    <row r="401" spans="1:13" s="7" customFormat="1" ht="42.75">
      <c r="A401" s="1265" t="s">
        <v>498</v>
      </c>
      <c r="B401" s="8" t="s">
        <v>2509</v>
      </c>
      <c r="C401" s="157" t="s">
        <v>2490</v>
      </c>
      <c r="D401" s="158">
        <v>5</v>
      </c>
      <c r="E401" s="159">
        <v>1349.22</v>
      </c>
      <c r="F401" s="158">
        <v>6746.1</v>
      </c>
      <c r="G401" s="160" t="s">
        <v>4763</v>
      </c>
      <c r="H401" s="1269" t="str">
        <f t="shared" si="13"/>
        <v xml:space="preserve">0221072123
分析表314_x000D_
</v>
      </c>
      <c r="I401" s="670">
        <v>393</v>
      </c>
      <c r="J401" s="7" t="str">
        <f t="shared" si="12"/>
        <v>1.393</v>
      </c>
    </row>
    <row r="402" spans="1:13" s="7" customFormat="1" ht="31.5">
      <c r="A402" s="1265" t="s">
        <v>499</v>
      </c>
      <c r="B402" s="8" t="s">
        <v>3385</v>
      </c>
      <c r="C402" s="157" t="s">
        <v>2238</v>
      </c>
      <c r="D402" s="158">
        <v>5</v>
      </c>
      <c r="E402" s="159">
        <v>250.37</v>
      </c>
      <c r="F402" s="158">
        <v>1251.8499999999999</v>
      </c>
      <c r="G402" s="160" t="s">
        <v>3386</v>
      </c>
      <c r="H402" s="1269" t="str">
        <f t="shared" si="13"/>
        <v xml:space="preserve">0221092102
</v>
      </c>
      <c r="I402" s="670">
        <v>394</v>
      </c>
      <c r="J402" s="7" t="str">
        <f t="shared" si="12"/>
        <v>1.394</v>
      </c>
    </row>
    <row r="403" spans="1:13" s="7" customFormat="1" ht="31.5">
      <c r="A403" s="1265" t="s">
        <v>521</v>
      </c>
      <c r="B403" s="8" t="s">
        <v>3387</v>
      </c>
      <c r="C403" s="157" t="s">
        <v>2238</v>
      </c>
      <c r="D403" s="158">
        <v>5</v>
      </c>
      <c r="E403" s="159">
        <v>120.71</v>
      </c>
      <c r="F403" s="158">
        <v>603.54999999999995</v>
      </c>
      <c r="G403" s="160" t="s">
        <v>3388</v>
      </c>
      <c r="H403" s="1269" t="str">
        <f t="shared" si="13"/>
        <v xml:space="preserve">0221092202
</v>
      </c>
      <c r="I403" s="670">
        <v>395</v>
      </c>
      <c r="J403" s="7" t="str">
        <f t="shared" si="12"/>
        <v>1.395</v>
      </c>
    </row>
    <row r="404" spans="1:13" s="7" customFormat="1" ht="42.75">
      <c r="A404" s="1265" t="s">
        <v>522</v>
      </c>
      <c r="B404" s="8" t="s">
        <v>2512</v>
      </c>
      <c r="C404" s="157" t="s">
        <v>2238</v>
      </c>
      <c r="D404" s="158">
        <v>2</v>
      </c>
      <c r="E404" s="159">
        <v>22464.38</v>
      </c>
      <c r="F404" s="158">
        <v>44928.76</v>
      </c>
      <c r="G404" s="160" t="s">
        <v>4764</v>
      </c>
      <c r="H404" s="1269" t="str">
        <f t="shared" si="13"/>
        <v xml:space="preserve">0151113021
分析表315_x000D_
</v>
      </c>
      <c r="I404" s="670">
        <v>396</v>
      </c>
      <c r="J404" s="7" t="str">
        <f t="shared" si="12"/>
        <v>1.396</v>
      </c>
    </row>
    <row r="405" spans="1:13" s="7" customFormat="1" ht="42.75">
      <c r="A405" s="1265" t="s">
        <v>523</v>
      </c>
      <c r="B405" s="8" t="s">
        <v>2515</v>
      </c>
      <c r="C405" s="157" t="s">
        <v>2238</v>
      </c>
      <c r="D405" s="158">
        <v>2</v>
      </c>
      <c r="E405" s="159">
        <v>32648.86</v>
      </c>
      <c r="F405" s="158">
        <v>65297.72</v>
      </c>
      <c r="G405" s="160" t="s">
        <v>4765</v>
      </c>
      <c r="H405" s="1269" t="str">
        <f t="shared" si="13"/>
        <v xml:space="preserve">0151113221
分析表316_x000D_
</v>
      </c>
      <c r="I405" s="670">
        <v>397</v>
      </c>
      <c r="J405" s="7" t="str">
        <f t="shared" si="12"/>
        <v>1.397</v>
      </c>
    </row>
    <row r="406" spans="1:13" s="7" customFormat="1" ht="47.25">
      <c r="A406" s="1265" t="s">
        <v>524</v>
      </c>
      <c r="B406" s="8" t="s">
        <v>2518</v>
      </c>
      <c r="C406" s="157" t="s">
        <v>2238</v>
      </c>
      <c r="D406" s="158">
        <v>2</v>
      </c>
      <c r="E406" s="159">
        <v>10790.12</v>
      </c>
      <c r="F406" s="158">
        <v>21580.240000000002</v>
      </c>
      <c r="G406" s="160" t="s">
        <v>4766</v>
      </c>
      <c r="H406" s="1269" t="str">
        <f t="shared" si="13"/>
        <v xml:space="preserve">02742000S3
分析表317_x000D_
</v>
      </c>
      <c r="I406" s="670">
        <v>398</v>
      </c>
      <c r="J406" s="7" t="str">
        <f t="shared" si="12"/>
        <v>1.398</v>
      </c>
    </row>
    <row r="407" spans="1:13" s="7" customFormat="1" ht="47.25">
      <c r="A407" s="1265" t="s">
        <v>525</v>
      </c>
      <c r="B407" s="8" t="s">
        <v>2527</v>
      </c>
      <c r="C407" s="157" t="s">
        <v>2238</v>
      </c>
      <c r="D407" s="158">
        <v>2</v>
      </c>
      <c r="E407" s="159">
        <v>20430.009999999998</v>
      </c>
      <c r="F407" s="158">
        <v>40860.019999999997</v>
      </c>
      <c r="G407" s="160" t="s">
        <v>4767</v>
      </c>
      <c r="H407" s="1269" t="str">
        <f t="shared" si="13"/>
        <v xml:space="preserve">0274200BS3
分析表318_x000D_
</v>
      </c>
      <c r="I407" s="670">
        <v>399</v>
      </c>
      <c r="J407" s="7" t="str">
        <f t="shared" si="12"/>
        <v>1.399</v>
      </c>
    </row>
    <row r="408" spans="1:13" s="7" customFormat="1" ht="47.25">
      <c r="A408" s="1265" t="s">
        <v>526</v>
      </c>
      <c r="B408" s="8" t="s">
        <v>2530</v>
      </c>
      <c r="C408" s="157" t="s">
        <v>2238</v>
      </c>
      <c r="D408" s="158">
        <v>2</v>
      </c>
      <c r="E408" s="159">
        <v>16373.54</v>
      </c>
      <c r="F408" s="158">
        <v>32747.08</v>
      </c>
      <c r="G408" s="160" t="s">
        <v>4768</v>
      </c>
      <c r="H408" s="1269" t="str">
        <f t="shared" si="13"/>
        <v xml:space="preserve">0274200NS3
分析表319_x000D_
</v>
      </c>
      <c r="I408" s="670">
        <v>400</v>
      </c>
      <c r="J408" s="7" t="str">
        <f t="shared" si="12"/>
        <v>1.400</v>
      </c>
    </row>
    <row r="409" spans="1:13" s="7" customFormat="1" ht="47.25">
      <c r="A409" s="1265" t="s">
        <v>527</v>
      </c>
      <c r="B409" s="8" t="s">
        <v>2537</v>
      </c>
      <c r="C409" s="157" t="s">
        <v>2238</v>
      </c>
      <c r="D409" s="158">
        <v>2</v>
      </c>
      <c r="E409" s="159">
        <v>30446.59</v>
      </c>
      <c r="F409" s="158">
        <v>60893.18</v>
      </c>
      <c r="G409" s="160" t="s">
        <v>4769</v>
      </c>
      <c r="H409" s="1269" t="str">
        <f t="shared" si="13"/>
        <v xml:space="preserve">027420BNS3
分析表320_x000D_
</v>
      </c>
      <c r="I409" s="670">
        <v>401</v>
      </c>
      <c r="J409" s="7" t="str">
        <f t="shared" si="12"/>
        <v>1.401</v>
      </c>
    </row>
    <row r="410" spans="1:13" s="7" customFormat="1" ht="63">
      <c r="A410" s="1265" t="s">
        <v>528</v>
      </c>
      <c r="B410" s="8" t="s">
        <v>2896</v>
      </c>
      <c r="C410" s="157" t="s">
        <v>0</v>
      </c>
      <c r="D410" s="158">
        <v>10</v>
      </c>
      <c r="E410" s="159">
        <v>7232.96</v>
      </c>
      <c r="F410" s="158">
        <v>72329.600000000006</v>
      </c>
      <c r="G410" s="160" t="s">
        <v>4770</v>
      </c>
      <c r="H410" s="1269" t="str">
        <f t="shared" si="13"/>
        <v xml:space="preserve">02742040B3
分析表321_x000D_
</v>
      </c>
      <c r="I410" s="670">
        <v>402</v>
      </c>
      <c r="J410" s="7" t="str">
        <f t="shared" si="12"/>
        <v>1.402</v>
      </c>
    </row>
    <row r="411" spans="1:13" s="7" customFormat="1" ht="63">
      <c r="A411" s="1265" t="s">
        <v>2881</v>
      </c>
      <c r="B411" s="8" t="s">
        <v>2971</v>
      </c>
      <c r="C411" s="157" t="s">
        <v>0</v>
      </c>
      <c r="D411" s="158">
        <v>10</v>
      </c>
      <c r="E411" s="159">
        <v>7295.55</v>
      </c>
      <c r="F411" s="158">
        <v>72955.5</v>
      </c>
      <c r="G411" s="160" t="s">
        <v>4771</v>
      </c>
      <c r="H411" s="1269" t="str">
        <f t="shared" si="13"/>
        <v xml:space="preserve">02742050B3
分析表322_x000D_
</v>
      </c>
      <c r="I411" s="670">
        <v>403</v>
      </c>
      <c r="J411" s="7" t="str">
        <f t="shared" si="12"/>
        <v>1.403</v>
      </c>
      <c r="K411"/>
      <c r="L411"/>
      <c r="M411"/>
    </row>
    <row r="412" spans="1:13" s="7" customFormat="1" ht="47.25">
      <c r="A412" s="1265" t="s">
        <v>2882</v>
      </c>
      <c r="B412" s="8" t="s">
        <v>2547</v>
      </c>
      <c r="C412" s="157" t="s">
        <v>0</v>
      </c>
      <c r="D412" s="158">
        <v>10</v>
      </c>
      <c r="E412" s="159">
        <v>6330.41</v>
      </c>
      <c r="F412" s="158">
        <v>63304.1</v>
      </c>
      <c r="G412" s="160" t="s">
        <v>4772</v>
      </c>
      <c r="H412" s="1269" t="str">
        <f t="shared" si="13"/>
        <v xml:space="preserve">02742D3003
分析表323_x000D_
</v>
      </c>
      <c r="I412" s="670">
        <v>404</v>
      </c>
      <c r="J412" s="7" t="str">
        <f t="shared" si="12"/>
        <v>1.404</v>
      </c>
      <c r="K412"/>
      <c r="L412"/>
      <c r="M412"/>
    </row>
    <row r="413" spans="1:13" s="7" customFormat="1" ht="47.25">
      <c r="A413" s="1265" t="s">
        <v>3662</v>
      </c>
      <c r="B413" s="8" t="s">
        <v>2550</v>
      </c>
      <c r="C413" s="157" t="s">
        <v>0</v>
      </c>
      <c r="D413" s="158">
        <v>10</v>
      </c>
      <c r="E413" s="159">
        <v>6698.81</v>
      </c>
      <c r="F413" s="158">
        <v>66988.100000000006</v>
      </c>
      <c r="G413" s="160" t="s">
        <v>4773</v>
      </c>
      <c r="H413" s="1269" t="str">
        <f t="shared" si="13"/>
        <v xml:space="preserve">02742D5003
分析表324_x000D_
</v>
      </c>
      <c r="I413" s="670">
        <v>405</v>
      </c>
      <c r="J413" s="7" t="str">
        <f t="shared" si="12"/>
        <v>1.405</v>
      </c>
      <c r="K413"/>
      <c r="L413"/>
      <c r="M413"/>
    </row>
    <row r="414" spans="1:13" s="7" customFormat="1" ht="63">
      <c r="A414" s="1265" t="s">
        <v>3663</v>
      </c>
      <c r="B414" s="8" t="s">
        <v>2553</v>
      </c>
      <c r="C414" s="157" t="s">
        <v>0</v>
      </c>
      <c r="D414" s="158">
        <v>10</v>
      </c>
      <c r="E414" s="159">
        <v>7087.68</v>
      </c>
      <c r="F414" s="158">
        <v>70876.800000000003</v>
      </c>
      <c r="G414" s="160" t="s">
        <v>4774</v>
      </c>
      <c r="H414" s="1269" t="str">
        <f t="shared" si="13"/>
        <v xml:space="preserve">0274293G03
分析表325_x000D_
</v>
      </c>
      <c r="I414" s="670">
        <v>406</v>
      </c>
      <c r="J414" s="7" t="str">
        <f t="shared" si="12"/>
        <v>1.406</v>
      </c>
      <c r="K414"/>
      <c r="M414"/>
    </row>
    <row r="415" spans="1:13" s="7" customFormat="1" ht="47.25">
      <c r="A415" s="1265" t="s">
        <v>3664</v>
      </c>
      <c r="B415" s="8" t="s">
        <v>2556</v>
      </c>
      <c r="C415" s="157" t="s">
        <v>2238</v>
      </c>
      <c r="D415" s="158">
        <v>2</v>
      </c>
      <c r="E415" s="159">
        <v>16516.71</v>
      </c>
      <c r="F415" s="158">
        <v>33033.42</v>
      </c>
      <c r="G415" s="160" t="s">
        <v>4775</v>
      </c>
      <c r="H415" s="1269" t="str">
        <f t="shared" si="13"/>
        <v xml:space="preserve">0296150001
分析表326_x000D_
</v>
      </c>
      <c r="I415" s="670">
        <v>407</v>
      </c>
      <c r="J415" s="7" t="str">
        <f t="shared" si="12"/>
        <v>1.407</v>
      </c>
      <c r="K415"/>
      <c r="L415"/>
      <c r="M415"/>
    </row>
    <row r="416" spans="1:13" s="7" customFormat="1" ht="63">
      <c r="A416" s="1265" t="s">
        <v>3665</v>
      </c>
      <c r="B416" s="8" t="s">
        <v>2561</v>
      </c>
      <c r="C416" s="157" t="s">
        <v>2238</v>
      </c>
      <c r="D416" s="158">
        <v>2</v>
      </c>
      <c r="E416" s="159">
        <v>23250.400000000001</v>
      </c>
      <c r="F416" s="158">
        <v>46500.800000000003</v>
      </c>
      <c r="G416" s="160" t="s">
        <v>4776</v>
      </c>
      <c r="H416" s="1269" t="str">
        <f t="shared" si="13"/>
        <v xml:space="preserve">0296150N01
分析表327_x000D_
</v>
      </c>
      <c r="I416" s="670">
        <v>408</v>
      </c>
      <c r="J416" s="7" t="str">
        <f t="shared" si="12"/>
        <v>1.408</v>
      </c>
      <c r="K416"/>
      <c r="L416"/>
      <c r="M416"/>
    </row>
    <row r="417" spans="1:13" s="7" customFormat="1" ht="42.75">
      <c r="A417" s="1265" t="s">
        <v>3666</v>
      </c>
      <c r="B417" s="8" t="s">
        <v>2570</v>
      </c>
      <c r="C417" s="157" t="s">
        <v>17</v>
      </c>
      <c r="D417" s="158">
        <v>5</v>
      </c>
      <c r="E417" s="159">
        <v>6529.39</v>
      </c>
      <c r="F417" s="158">
        <v>32646.95</v>
      </c>
      <c r="G417" s="160" t="s">
        <v>4777</v>
      </c>
      <c r="H417" s="1269" t="str">
        <f t="shared" si="13"/>
        <v xml:space="preserve">0250111111
分析表328_x000D_
</v>
      </c>
      <c r="I417" s="670">
        <v>409</v>
      </c>
      <c r="J417" s="7" t="str">
        <f t="shared" si="12"/>
        <v>1.409</v>
      </c>
      <c r="K417"/>
      <c r="L417"/>
      <c r="M417"/>
    </row>
    <row r="418" spans="1:13" s="7" customFormat="1" ht="42.75">
      <c r="A418" s="1265" t="s">
        <v>3667</v>
      </c>
      <c r="B418" s="8" t="s">
        <v>2577</v>
      </c>
      <c r="C418" s="157" t="s">
        <v>17</v>
      </c>
      <c r="D418" s="158">
        <v>5</v>
      </c>
      <c r="E418" s="159">
        <v>7123.58</v>
      </c>
      <c r="F418" s="158">
        <v>35617.9</v>
      </c>
      <c r="G418" s="160" t="s">
        <v>4778</v>
      </c>
      <c r="H418" s="1269" t="str">
        <f t="shared" si="13"/>
        <v xml:space="preserve">0250111121
分析表329_x000D_
</v>
      </c>
      <c r="I418" s="670">
        <v>410</v>
      </c>
      <c r="J418" s="7" t="str">
        <f t="shared" si="12"/>
        <v>1.410</v>
      </c>
      <c r="K418"/>
      <c r="L418"/>
      <c r="M418"/>
    </row>
    <row r="419" spans="1:13" s="7" customFormat="1" ht="42.75">
      <c r="A419" s="1265" t="s">
        <v>3668</v>
      </c>
      <c r="B419" s="8" t="s">
        <v>2584</v>
      </c>
      <c r="C419" s="157" t="s">
        <v>17</v>
      </c>
      <c r="D419" s="158">
        <v>5</v>
      </c>
      <c r="E419" s="159">
        <v>8121.14</v>
      </c>
      <c r="F419" s="158">
        <v>40605.699999999997</v>
      </c>
      <c r="G419" s="160" t="s">
        <v>4779</v>
      </c>
      <c r="H419" s="1269" t="str">
        <f t="shared" si="13"/>
        <v xml:space="preserve">0250111211
分析表330_x000D_
</v>
      </c>
      <c r="I419" s="670">
        <v>411</v>
      </c>
      <c r="J419" s="7" t="str">
        <f t="shared" si="12"/>
        <v>1.411</v>
      </c>
      <c r="K419"/>
      <c r="L419"/>
      <c r="M419"/>
    </row>
    <row r="420" spans="1:13" s="7" customFormat="1" ht="42.75">
      <c r="A420" s="1265" t="s">
        <v>3976</v>
      </c>
      <c r="B420" s="8" t="s">
        <v>2587</v>
      </c>
      <c r="C420" s="157" t="s">
        <v>17</v>
      </c>
      <c r="D420" s="158">
        <v>5</v>
      </c>
      <c r="E420" s="159">
        <v>8961.34</v>
      </c>
      <c r="F420" s="158">
        <v>44806.7</v>
      </c>
      <c r="G420" s="160" t="s">
        <v>4780</v>
      </c>
      <c r="H420" s="1269" t="str">
        <f t="shared" si="13"/>
        <v xml:space="preserve">0250111221
分析表331_x000D_
</v>
      </c>
      <c r="I420" s="670">
        <v>412</v>
      </c>
      <c r="J420" s="7" t="str">
        <f t="shared" si="12"/>
        <v>1.412</v>
      </c>
      <c r="K420"/>
      <c r="L420"/>
      <c r="M420"/>
    </row>
    <row r="421" spans="1:13" s="7" customFormat="1" ht="42.75">
      <c r="A421" s="1265" t="s">
        <v>3977</v>
      </c>
      <c r="B421" s="8" t="s">
        <v>2590</v>
      </c>
      <c r="C421" s="157" t="s">
        <v>17</v>
      </c>
      <c r="D421" s="158">
        <v>5</v>
      </c>
      <c r="E421" s="159">
        <v>9533.31</v>
      </c>
      <c r="F421" s="158">
        <v>47666.55</v>
      </c>
      <c r="G421" s="160" t="s">
        <v>4781</v>
      </c>
      <c r="H421" s="1269" t="str">
        <f t="shared" si="13"/>
        <v xml:space="preserve">0250111311
分析表332_x000D_
</v>
      </c>
      <c r="I421" s="670">
        <v>413</v>
      </c>
      <c r="J421" s="7" t="str">
        <f t="shared" si="12"/>
        <v>1.413</v>
      </c>
      <c r="K421"/>
      <c r="L421"/>
      <c r="M421"/>
    </row>
    <row r="422" spans="1:13" s="7" customFormat="1" ht="42.75">
      <c r="A422" s="1265" t="s">
        <v>3978</v>
      </c>
      <c r="B422" s="8" t="s">
        <v>2593</v>
      </c>
      <c r="C422" s="157" t="s">
        <v>17</v>
      </c>
      <c r="D422" s="158">
        <v>5</v>
      </c>
      <c r="E422" s="159">
        <v>10619.52</v>
      </c>
      <c r="F422" s="158">
        <v>53097.599999999999</v>
      </c>
      <c r="G422" s="160" t="s">
        <v>4782</v>
      </c>
      <c r="H422" s="1269" t="str">
        <f t="shared" si="13"/>
        <v xml:space="preserve">0250111321
分析表333_x000D_
</v>
      </c>
      <c r="I422" s="670">
        <v>414</v>
      </c>
      <c r="J422" s="7" t="str">
        <f t="shared" si="12"/>
        <v>1.414</v>
      </c>
      <c r="K422"/>
      <c r="L422"/>
      <c r="M422"/>
    </row>
    <row r="423" spans="1:13" ht="42.75">
      <c r="A423" s="1265" t="s">
        <v>4783</v>
      </c>
      <c r="B423" s="8" t="s">
        <v>2596</v>
      </c>
      <c r="C423" s="157" t="s">
        <v>17</v>
      </c>
      <c r="D423" s="158">
        <v>5</v>
      </c>
      <c r="E423" s="159">
        <v>15142.55</v>
      </c>
      <c r="F423" s="158">
        <v>75712.75</v>
      </c>
      <c r="G423" s="160" t="s">
        <v>4784</v>
      </c>
      <c r="H423" s="1269" t="str">
        <f t="shared" si="13"/>
        <v xml:space="preserve">0250112411
分析表334_x000D_
</v>
      </c>
      <c r="I423" s="670">
        <v>415</v>
      </c>
      <c r="J423" t="str">
        <f t="shared" si="12"/>
        <v>1.415</v>
      </c>
    </row>
    <row r="424" spans="1:13" ht="42.75">
      <c r="A424" s="1265" t="s">
        <v>4785</v>
      </c>
      <c r="B424" s="8" t="s">
        <v>2599</v>
      </c>
      <c r="C424" s="157" t="s">
        <v>17</v>
      </c>
      <c r="D424" s="158">
        <v>5</v>
      </c>
      <c r="E424" s="159">
        <v>17273.29</v>
      </c>
      <c r="F424" s="158">
        <v>86366.45</v>
      </c>
      <c r="G424" s="160" t="s">
        <v>4786</v>
      </c>
      <c r="H424" s="1269" t="str">
        <f t="shared" si="13"/>
        <v xml:space="preserve">0250112421
分析表335_x000D_
</v>
      </c>
      <c r="I424" s="670">
        <v>416</v>
      </c>
      <c r="J424" t="str">
        <f t="shared" si="12"/>
        <v>1.416</v>
      </c>
    </row>
    <row r="425" spans="1:13" ht="42.75">
      <c r="A425" s="1265" t="s">
        <v>4787</v>
      </c>
      <c r="B425" s="8" t="s">
        <v>2602</v>
      </c>
      <c r="C425" s="157" t="s">
        <v>17</v>
      </c>
      <c r="D425" s="158">
        <v>5</v>
      </c>
      <c r="E425" s="159">
        <v>17114.72</v>
      </c>
      <c r="F425" s="158">
        <v>85573.6</v>
      </c>
      <c r="G425" s="160" t="s">
        <v>4788</v>
      </c>
      <c r="H425" s="1269" t="str">
        <f t="shared" si="13"/>
        <v xml:space="preserve">0250112511
分析表336_x000D_
</v>
      </c>
      <c r="I425" s="670">
        <v>417</v>
      </c>
      <c r="J425" t="str">
        <f t="shared" si="12"/>
        <v>1.417</v>
      </c>
    </row>
    <row r="426" spans="1:13" ht="42.75">
      <c r="A426" s="1265" t="s">
        <v>4789</v>
      </c>
      <c r="B426" s="8" t="s">
        <v>2605</v>
      </c>
      <c r="C426" s="157" t="s">
        <v>17</v>
      </c>
      <c r="D426" s="158">
        <v>5</v>
      </c>
      <c r="E426" s="159">
        <v>19639.07</v>
      </c>
      <c r="F426" s="158">
        <v>98195.35</v>
      </c>
      <c r="G426" s="160" t="s">
        <v>4790</v>
      </c>
      <c r="H426" s="1269" t="str">
        <f t="shared" si="13"/>
        <v xml:space="preserve">0250112521
分析表337_x000D_
</v>
      </c>
      <c r="I426" s="670">
        <v>418</v>
      </c>
      <c r="J426" t="str">
        <f t="shared" si="12"/>
        <v>1.418</v>
      </c>
    </row>
    <row r="427" spans="1:13" ht="42.75">
      <c r="A427" s="1265" t="s">
        <v>4791</v>
      </c>
      <c r="B427" s="8" t="s">
        <v>2608</v>
      </c>
      <c r="C427" s="157" t="s">
        <v>3</v>
      </c>
      <c r="D427" s="158">
        <v>20</v>
      </c>
      <c r="E427" s="159">
        <v>16.91</v>
      </c>
      <c r="F427" s="158">
        <v>338.2</v>
      </c>
      <c r="G427" s="160" t="s">
        <v>4792</v>
      </c>
      <c r="H427" s="1269" t="str">
        <f t="shared" si="13"/>
        <v xml:space="preserve">0172521202
分析表338_x000D_
</v>
      </c>
      <c r="I427" s="670">
        <v>419</v>
      </c>
      <c r="J427" t="str">
        <f t="shared" si="12"/>
        <v>1.419</v>
      </c>
    </row>
    <row r="428" spans="1:13" ht="142.5">
      <c r="A428" s="1265" t="s">
        <v>4793</v>
      </c>
      <c r="B428" s="8" t="s">
        <v>2914</v>
      </c>
      <c r="C428" s="157" t="s">
        <v>2490</v>
      </c>
      <c r="D428" s="158">
        <v>2</v>
      </c>
      <c r="E428" s="159">
        <v>14903.07</v>
      </c>
      <c r="F428" s="158">
        <v>29806.14</v>
      </c>
      <c r="G428" s="160" t="s">
        <v>3413</v>
      </c>
      <c r="H428" s="1269" t="str">
        <f t="shared" si="13"/>
        <v>01725W0B5D
1.依雨水下水道設施完工資料測量工作規範辦理。
2.施作暗溝、埋管等工項(過路)，即進行測繪作業，其測繪內容則依規範辦理，單張通報單給付1次。</v>
      </c>
      <c r="I428" s="670">
        <v>420</v>
      </c>
      <c r="J428" t="str">
        <f t="shared" si="12"/>
        <v>1.420</v>
      </c>
    </row>
    <row r="429" spans="1:13" ht="71.25">
      <c r="A429" s="1265" t="s">
        <v>4794</v>
      </c>
      <c r="B429" s="8" t="s">
        <v>2617</v>
      </c>
      <c r="C429" s="157" t="s">
        <v>2618</v>
      </c>
      <c r="D429" s="158">
        <v>10</v>
      </c>
      <c r="E429" s="159">
        <v>763.52</v>
      </c>
      <c r="F429" s="158">
        <v>7635.2</v>
      </c>
      <c r="G429" s="160" t="s">
        <v>4795</v>
      </c>
      <c r="H429" s="1269" t="str">
        <f t="shared" si="13"/>
        <v>013210000B
分析表339_x000D_
含路證申請、回報及配合道路挖掘之相關作業費用</v>
      </c>
      <c r="I429" s="670">
        <v>421</v>
      </c>
      <c r="J429" t="str">
        <f t="shared" si="12"/>
        <v>1.421</v>
      </c>
    </row>
    <row r="430" spans="1:13" ht="71.25">
      <c r="A430" s="1265" t="s">
        <v>4796</v>
      </c>
      <c r="B430" s="8" t="s">
        <v>2626</v>
      </c>
      <c r="C430" s="157" t="s">
        <v>2618</v>
      </c>
      <c r="D430" s="158">
        <v>10</v>
      </c>
      <c r="E430" s="159">
        <v>803.26</v>
      </c>
      <c r="F430" s="158">
        <v>8032.6</v>
      </c>
      <c r="G430" s="160" t="s">
        <v>4797</v>
      </c>
      <c r="H430" s="1269" t="str">
        <f t="shared" si="13"/>
        <v>013210100b
分析表340_x000D_
含路證申請、回報及配合道路挖掘之相關作業費用</v>
      </c>
      <c r="I430" s="670">
        <v>422</v>
      </c>
      <c r="J430" t="str">
        <f t="shared" si="12"/>
        <v>1.422</v>
      </c>
    </row>
    <row r="431" spans="1:13" ht="42.75">
      <c r="A431" s="1265" t="s">
        <v>4798</v>
      </c>
      <c r="B431" s="8" t="s">
        <v>2631</v>
      </c>
      <c r="C431" s="157" t="s">
        <v>17</v>
      </c>
      <c r="D431" s="158">
        <v>1</v>
      </c>
      <c r="E431" s="159">
        <v>3638.57</v>
      </c>
      <c r="F431" s="158">
        <v>3638.57</v>
      </c>
      <c r="G431" s="160" t="s">
        <v>4799</v>
      </c>
      <c r="H431" s="1269" t="str">
        <f t="shared" si="13"/>
        <v>01564L4001
分析表341_x000D_
高度2.4m</v>
      </c>
      <c r="I431" s="670">
        <v>423</v>
      </c>
      <c r="J431" t="str">
        <f t="shared" si="12"/>
        <v>1.423</v>
      </c>
    </row>
    <row r="432" spans="1:13" ht="42.75">
      <c r="A432" s="1265" t="s">
        <v>4800</v>
      </c>
      <c r="B432" s="8" t="s">
        <v>2642</v>
      </c>
      <c r="C432" s="157" t="s">
        <v>17</v>
      </c>
      <c r="D432" s="158">
        <v>1</v>
      </c>
      <c r="E432" s="159">
        <v>2561.54</v>
      </c>
      <c r="F432" s="158">
        <v>2561.54</v>
      </c>
      <c r="G432" s="160" t="s">
        <v>4801</v>
      </c>
      <c r="H432" s="1269" t="str">
        <f t="shared" si="13"/>
        <v>01564C4001
分析表342_x000D_
高度2.4m</v>
      </c>
      <c r="I432" s="670">
        <v>424</v>
      </c>
      <c r="J432" t="str">
        <f t="shared" si="12"/>
        <v>1.424</v>
      </c>
    </row>
    <row r="433" spans="1:10" ht="47.25">
      <c r="A433" s="1265" t="s">
        <v>4802</v>
      </c>
      <c r="B433" s="8" t="s">
        <v>3418</v>
      </c>
      <c r="C433" s="157" t="s">
        <v>3</v>
      </c>
      <c r="D433" s="158">
        <v>10</v>
      </c>
      <c r="E433" s="159">
        <v>350.72</v>
      </c>
      <c r="F433" s="158">
        <v>3507.2</v>
      </c>
      <c r="G433" s="160" t="s">
        <v>3419</v>
      </c>
      <c r="H433" s="1269" t="str">
        <f t="shared" si="13"/>
        <v>015640B002
需經審查後設置</v>
      </c>
      <c r="I433" s="670">
        <v>425</v>
      </c>
      <c r="J433" t="str">
        <f t="shared" si="12"/>
        <v>1.425</v>
      </c>
    </row>
    <row r="434" spans="1:10" ht="71.25">
      <c r="A434" s="1265" t="s">
        <v>4803</v>
      </c>
      <c r="B434" s="8" t="s">
        <v>3420</v>
      </c>
      <c r="C434" s="157" t="s">
        <v>2490</v>
      </c>
      <c r="D434" s="158">
        <v>2</v>
      </c>
      <c r="E434" s="159">
        <v>4967.6899999999996</v>
      </c>
      <c r="F434" s="158">
        <v>9935.3799999999992</v>
      </c>
      <c r="G434" s="160" t="s">
        <v>3421</v>
      </c>
      <c r="H434" s="1269" t="str">
        <f t="shared" si="13"/>
        <v>01510B000G
# 使用10次,適用於從事缺氧危險之作業(例箱涵或密閉環境中作業)</v>
      </c>
      <c r="I434" s="670">
        <v>426</v>
      </c>
      <c r="J434" t="str">
        <f t="shared" si="12"/>
        <v>1.426</v>
      </c>
    </row>
    <row r="435" spans="1:10" ht="31.5">
      <c r="A435" s="1265" t="s">
        <v>4804</v>
      </c>
      <c r="B435" s="8" t="s">
        <v>3655</v>
      </c>
      <c r="C435" s="157" t="s">
        <v>3</v>
      </c>
      <c r="D435" s="158">
        <v>20</v>
      </c>
      <c r="E435" s="159">
        <v>59.49</v>
      </c>
      <c r="F435" s="158">
        <v>1189.8</v>
      </c>
      <c r="G435" s="160" t="s">
        <v>3656</v>
      </c>
      <c r="H435" s="1269" t="str">
        <f t="shared" si="13"/>
        <v xml:space="preserve">0280133302
</v>
      </c>
      <c r="I435" s="670">
        <v>427</v>
      </c>
      <c r="J435" t="str">
        <f t="shared" si="12"/>
        <v>1.427</v>
      </c>
    </row>
    <row r="436" spans="1:10" ht="42.75">
      <c r="A436" s="1265" t="s">
        <v>4805</v>
      </c>
      <c r="B436" s="8" t="s">
        <v>3657</v>
      </c>
      <c r="C436" s="157" t="s">
        <v>3658</v>
      </c>
      <c r="D436" s="158">
        <v>2</v>
      </c>
      <c r="E436" s="159">
        <v>2618.7399999999998</v>
      </c>
      <c r="F436" s="158">
        <v>5237.4799999999996</v>
      </c>
      <c r="G436" s="160" t="s">
        <v>4806</v>
      </c>
      <c r="H436" s="1269" t="str">
        <f t="shared" si="13"/>
        <v xml:space="preserve">015103100C
分析表343_x000D_
</v>
      </c>
      <c r="I436" s="670">
        <v>428</v>
      </c>
      <c r="J436" t="str">
        <f t="shared" si="12"/>
        <v>1.428</v>
      </c>
    </row>
    <row r="437" spans="1:10" ht="31.5">
      <c r="A437" s="1265" t="s">
        <v>4807</v>
      </c>
      <c r="B437" s="8" t="s">
        <v>2860</v>
      </c>
      <c r="C437" s="157" t="s">
        <v>927</v>
      </c>
      <c r="D437" s="158">
        <v>20</v>
      </c>
      <c r="E437" s="159">
        <v>280</v>
      </c>
      <c r="F437" s="158">
        <v>5600</v>
      </c>
      <c r="G437" s="160" t="s">
        <v>3422</v>
      </c>
      <c r="H437" s="1269" t="str">
        <f t="shared" si="13"/>
        <v>L015566G01001
[人力工項不打折]</v>
      </c>
      <c r="I437" s="670">
        <v>429</v>
      </c>
      <c r="J437" t="str">
        <f t="shared" si="12"/>
        <v>1.429</v>
      </c>
    </row>
    <row r="438" spans="1:10" ht="31.5">
      <c r="A438" s="1265" t="s">
        <v>4808</v>
      </c>
      <c r="B438" s="8" t="s">
        <v>3423</v>
      </c>
      <c r="C438" s="157" t="s">
        <v>927</v>
      </c>
      <c r="D438" s="158">
        <v>20</v>
      </c>
      <c r="E438" s="159">
        <v>350</v>
      </c>
      <c r="F438" s="158">
        <v>7000</v>
      </c>
      <c r="G438" s="160" t="s">
        <v>3424</v>
      </c>
      <c r="H438" s="1269" t="str">
        <f t="shared" si="13"/>
        <v>L015566G02001
[人力工項不打折]</v>
      </c>
      <c r="I438" s="670">
        <v>430</v>
      </c>
      <c r="J438" t="str">
        <f t="shared" si="12"/>
        <v>1.430</v>
      </c>
    </row>
    <row r="439" spans="1:10" ht="31.5">
      <c r="A439" s="1265" t="s">
        <v>4809</v>
      </c>
      <c r="B439" s="8" t="s">
        <v>3425</v>
      </c>
      <c r="C439" s="157" t="s">
        <v>2490</v>
      </c>
      <c r="D439" s="158">
        <v>1</v>
      </c>
      <c r="E439" s="159">
        <v>49676.91</v>
      </c>
      <c r="F439" s="158">
        <v>49676.91</v>
      </c>
      <c r="G439" s="160" t="s">
        <v>3426</v>
      </c>
      <c r="H439" s="1269" t="str">
        <f t="shared" si="13"/>
        <v xml:space="preserve">01556D300F
</v>
      </c>
      <c r="I439" s="670">
        <v>431</v>
      </c>
      <c r="J439" t="str">
        <f t="shared" si="12"/>
        <v>1.431</v>
      </c>
    </row>
    <row r="440" spans="1:10" ht="42.75">
      <c r="A440" s="1265" t="s">
        <v>4810</v>
      </c>
      <c r="B440" s="8" t="s">
        <v>2653</v>
      </c>
      <c r="C440" s="157" t="s">
        <v>17</v>
      </c>
      <c r="D440" s="158">
        <v>100</v>
      </c>
      <c r="E440" s="159">
        <v>291.83999999999997</v>
      </c>
      <c r="F440" s="158">
        <v>29184</v>
      </c>
      <c r="G440" s="160" t="s">
        <v>4811</v>
      </c>
      <c r="H440" s="1269" t="str">
        <f t="shared" si="13"/>
        <v xml:space="preserve">01556H1001
分析表344_x000D_
</v>
      </c>
      <c r="I440" s="670">
        <v>432</v>
      </c>
      <c r="J440" t="str">
        <f t="shared" si="12"/>
        <v>1.432</v>
      </c>
    </row>
    <row r="441" spans="1:10" ht="42.75">
      <c r="A441" s="1265" t="s">
        <v>4812</v>
      </c>
      <c r="B441" s="8" t="s">
        <v>2663</v>
      </c>
      <c r="C441" s="157" t="s">
        <v>17</v>
      </c>
      <c r="D441" s="158">
        <v>50</v>
      </c>
      <c r="E441" s="159">
        <v>253.64</v>
      </c>
      <c r="F441" s="158">
        <v>12682</v>
      </c>
      <c r="G441" s="160" t="s">
        <v>4813</v>
      </c>
      <c r="H441" s="1269" t="str">
        <f t="shared" si="13"/>
        <v>01556C00A1
分析表345_x000D_
使用10次</v>
      </c>
      <c r="I441" s="670">
        <v>433</v>
      </c>
      <c r="J441" t="str">
        <f t="shared" si="12"/>
        <v>1.433</v>
      </c>
    </row>
    <row r="442" spans="1:10" ht="42.75">
      <c r="A442" s="1265" t="s">
        <v>4814</v>
      </c>
      <c r="B442" s="8" t="s">
        <v>2670</v>
      </c>
      <c r="C442" s="157" t="s">
        <v>3</v>
      </c>
      <c r="D442" s="158">
        <v>1</v>
      </c>
      <c r="E442" s="159">
        <v>1185.55</v>
      </c>
      <c r="F442" s="158">
        <v>1185.55</v>
      </c>
      <c r="G442" s="160" t="s">
        <v>4815</v>
      </c>
      <c r="H442" s="1269" t="str">
        <f t="shared" si="13"/>
        <v xml:space="preserve">0289190002
分析表346_x000D_
</v>
      </c>
      <c r="I442" s="670">
        <v>434</v>
      </c>
      <c r="J442" t="str">
        <f t="shared" si="12"/>
        <v>1.434</v>
      </c>
    </row>
    <row r="443" spans="1:10" ht="42.75">
      <c r="A443" s="1265" t="s">
        <v>4816</v>
      </c>
      <c r="B443" s="8" t="s">
        <v>2678</v>
      </c>
      <c r="C443" s="157" t="s">
        <v>2679</v>
      </c>
      <c r="D443" s="158">
        <v>1</v>
      </c>
      <c r="E443" s="159">
        <v>659.99</v>
      </c>
      <c r="F443" s="158">
        <v>659.99</v>
      </c>
      <c r="G443" s="160" t="s">
        <v>4817</v>
      </c>
      <c r="H443" s="1269" t="str">
        <f t="shared" si="13"/>
        <v xml:space="preserve">02891A5007
分析表347_x000D_
</v>
      </c>
      <c r="I443" s="670">
        <v>435</v>
      </c>
      <c r="J443" t="str">
        <f t="shared" si="12"/>
        <v>1.435</v>
      </c>
    </row>
    <row r="444" spans="1:10" ht="42.75">
      <c r="A444" s="1265" t="s">
        <v>4818</v>
      </c>
      <c r="B444" s="8" t="s">
        <v>2684</v>
      </c>
      <c r="C444" s="157" t="s">
        <v>3</v>
      </c>
      <c r="D444" s="158">
        <v>1</v>
      </c>
      <c r="E444" s="159">
        <v>2305.84</v>
      </c>
      <c r="F444" s="158">
        <v>2305.84</v>
      </c>
      <c r="G444" s="160" t="s">
        <v>4819</v>
      </c>
      <c r="H444" s="1269" t="str">
        <f t="shared" si="13"/>
        <v xml:space="preserve">0289100202
分析表348_x000D_
</v>
      </c>
      <c r="I444" s="670">
        <v>436</v>
      </c>
      <c r="J444" t="str">
        <f t="shared" si="12"/>
        <v>1.436</v>
      </c>
    </row>
    <row r="445" spans="1:10" ht="42.75">
      <c r="A445" s="1265" t="s">
        <v>4820</v>
      </c>
      <c r="B445" s="8" t="s">
        <v>2693</v>
      </c>
      <c r="C445" s="157" t="s">
        <v>2694</v>
      </c>
      <c r="D445" s="158">
        <v>1</v>
      </c>
      <c r="E445" s="159">
        <v>159.63999999999999</v>
      </c>
      <c r="F445" s="158">
        <v>159.63999999999999</v>
      </c>
      <c r="G445" s="160" t="s">
        <v>4821</v>
      </c>
      <c r="H445" s="1269" t="str">
        <f t="shared" si="13"/>
        <v xml:space="preserve">05500p4008
分析表349_x000D_
</v>
      </c>
      <c r="I445" s="670">
        <v>437</v>
      </c>
      <c r="J445" t="str">
        <f t="shared" si="12"/>
        <v>1.437</v>
      </c>
    </row>
    <row r="446" spans="1:10" ht="42.75">
      <c r="A446" s="1265" t="s">
        <v>4822</v>
      </c>
      <c r="B446" s="8" t="s">
        <v>2702</v>
      </c>
      <c r="C446" s="157" t="s">
        <v>17</v>
      </c>
      <c r="D446" s="158">
        <v>1</v>
      </c>
      <c r="E446" s="159">
        <v>308.08</v>
      </c>
      <c r="F446" s="158">
        <v>308.08</v>
      </c>
      <c r="G446" s="160" t="s">
        <v>4823</v>
      </c>
      <c r="H446" s="1269" t="str">
        <f t="shared" si="13"/>
        <v xml:space="preserve">05500S4601
分析表350_x000D_
</v>
      </c>
      <c r="I446" s="670">
        <v>438</v>
      </c>
      <c r="J446" t="str">
        <f t="shared" si="12"/>
        <v>1.438</v>
      </c>
    </row>
    <row r="447" spans="1:10" ht="42.75">
      <c r="A447" s="1265" t="s">
        <v>4824</v>
      </c>
      <c r="B447" s="8" t="s">
        <v>2707</v>
      </c>
      <c r="C447" s="157" t="s">
        <v>17</v>
      </c>
      <c r="D447" s="158">
        <v>1</v>
      </c>
      <c r="E447" s="159">
        <v>309.81</v>
      </c>
      <c r="F447" s="158">
        <v>309.81</v>
      </c>
      <c r="G447" s="160" t="s">
        <v>4825</v>
      </c>
      <c r="H447" s="1269" t="str">
        <f t="shared" si="13"/>
        <v xml:space="preserve">028915WE13
分析表351_x000D_
</v>
      </c>
      <c r="I447" s="670">
        <v>439</v>
      </c>
      <c r="J447" t="str">
        <f t="shared" si="12"/>
        <v>1.439</v>
      </c>
    </row>
    <row r="448" spans="1:10" ht="42.75">
      <c r="A448" s="1265" t="s">
        <v>4826</v>
      </c>
      <c r="B448" s="8" t="s">
        <v>2712</v>
      </c>
      <c r="C448" s="157" t="s">
        <v>3</v>
      </c>
      <c r="D448" s="158">
        <v>5</v>
      </c>
      <c r="E448" s="159">
        <v>668.13</v>
      </c>
      <c r="F448" s="158">
        <v>3340.65</v>
      </c>
      <c r="G448" s="160" t="s">
        <v>4827</v>
      </c>
      <c r="H448" s="1269" t="str">
        <f t="shared" si="13"/>
        <v xml:space="preserve">0289821205
分析表352_x000D_
</v>
      </c>
      <c r="I448" s="670">
        <v>440</v>
      </c>
      <c r="J448" t="str">
        <f t="shared" si="12"/>
        <v>1.440</v>
      </c>
    </row>
    <row r="449" spans="1:10" ht="42.75">
      <c r="A449" s="1265" t="s">
        <v>4828</v>
      </c>
      <c r="B449" s="8" t="s">
        <v>3659</v>
      </c>
      <c r="C449" s="157" t="s">
        <v>3</v>
      </c>
      <c r="D449" s="158">
        <v>5</v>
      </c>
      <c r="E449" s="159">
        <v>1701.92</v>
      </c>
      <c r="F449" s="158">
        <v>8509.6</v>
      </c>
      <c r="G449" s="160" t="s">
        <v>4829</v>
      </c>
      <c r="H449" s="1269" t="str">
        <f t="shared" si="13"/>
        <v xml:space="preserve">02898C2204
分析表353_x000D_
</v>
      </c>
      <c r="I449" s="670">
        <v>441</v>
      </c>
      <c r="J449" t="str">
        <f t="shared" si="12"/>
        <v>1.441</v>
      </c>
    </row>
    <row r="450" spans="1:10" ht="28.5">
      <c r="A450" s="1265" t="s">
        <v>4830</v>
      </c>
      <c r="B450" s="8" t="s">
        <v>3660</v>
      </c>
      <c r="C450" s="157" t="s">
        <v>3</v>
      </c>
      <c r="D450" s="158">
        <v>1</v>
      </c>
      <c r="E450" s="159">
        <v>364.3</v>
      </c>
      <c r="F450" s="158">
        <v>364.3</v>
      </c>
      <c r="G450" s="160" t="s">
        <v>3661</v>
      </c>
      <c r="H450" s="1269" t="str">
        <f t="shared" si="13"/>
        <v xml:space="preserve">02898D0002
</v>
      </c>
      <c r="I450" s="670">
        <v>442</v>
      </c>
      <c r="J450" t="str">
        <f t="shared" ref="J450:J505" si="14">A450</f>
        <v>1.442</v>
      </c>
    </row>
    <row r="451" spans="1:10" ht="42.75">
      <c r="A451" s="1265" t="s">
        <v>4831</v>
      </c>
      <c r="B451" s="8" t="s">
        <v>2725</v>
      </c>
      <c r="C451" s="157" t="s">
        <v>2679</v>
      </c>
      <c r="D451" s="158">
        <v>1</v>
      </c>
      <c r="E451" s="159">
        <v>250.38</v>
      </c>
      <c r="F451" s="158">
        <v>250.38</v>
      </c>
      <c r="G451" s="160" t="s">
        <v>4832</v>
      </c>
      <c r="H451" s="1269" t="str">
        <f t="shared" si="13"/>
        <v>0289250007
分析表354_x000D_
#</v>
      </c>
      <c r="I451" s="670">
        <v>443</v>
      </c>
      <c r="J451" t="str">
        <f t="shared" si="14"/>
        <v>1.443</v>
      </c>
    </row>
    <row r="452" spans="1:10" ht="57">
      <c r="A452" s="1265" t="s">
        <v>4833</v>
      </c>
      <c r="B452" s="8" t="s">
        <v>2732</v>
      </c>
      <c r="C452" s="157" t="s">
        <v>1818</v>
      </c>
      <c r="D452" s="158">
        <v>1</v>
      </c>
      <c r="E452" s="159">
        <v>841.67</v>
      </c>
      <c r="F452" s="158">
        <v>841.67</v>
      </c>
      <c r="G452" s="160" t="s">
        <v>4834</v>
      </c>
      <c r="H452" s="1269" t="str">
        <f t="shared" si="13"/>
        <v>02899#B001
分析表355_x000D_
D=8cm ±5%，H=75cm ±5%</v>
      </c>
      <c r="I452" s="670">
        <v>444</v>
      </c>
      <c r="J452" t="str">
        <f t="shared" si="14"/>
        <v>1.444</v>
      </c>
    </row>
    <row r="453" spans="1:10" ht="42.75">
      <c r="A453" s="1265" t="s">
        <v>4835</v>
      </c>
      <c r="B453" s="8" t="s">
        <v>2737</v>
      </c>
      <c r="C453" s="157" t="s">
        <v>1818</v>
      </c>
      <c r="D453" s="158">
        <v>1</v>
      </c>
      <c r="E453" s="159">
        <v>1228.49</v>
      </c>
      <c r="F453" s="158">
        <v>1228.49</v>
      </c>
      <c r="G453" s="160" t="s">
        <v>4836</v>
      </c>
      <c r="H453" s="1269" t="str">
        <f t="shared" si="13"/>
        <v xml:space="preserve">01556M100A
分析表356_x000D_
</v>
      </c>
      <c r="I453" s="670">
        <v>445</v>
      </c>
      <c r="J453" t="str">
        <f t="shared" si="14"/>
        <v>1.445</v>
      </c>
    </row>
    <row r="454" spans="1:10" ht="42.75">
      <c r="A454" s="1265" t="s">
        <v>4837</v>
      </c>
      <c r="B454" s="8" t="s">
        <v>2750</v>
      </c>
      <c r="C454" s="157" t="s">
        <v>1818</v>
      </c>
      <c r="D454" s="158">
        <v>1</v>
      </c>
      <c r="E454" s="159">
        <v>2442.1799999999998</v>
      </c>
      <c r="F454" s="158">
        <v>2442.1799999999998</v>
      </c>
      <c r="G454" s="160" t="s">
        <v>4838</v>
      </c>
      <c r="H454" s="1269" t="str">
        <f t="shared" si="13"/>
        <v xml:space="preserve">01556M200A
分析表357_x000D_
</v>
      </c>
      <c r="I454" s="670">
        <v>446</v>
      </c>
      <c r="J454" t="str">
        <f t="shared" si="14"/>
        <v>1.446</v>
      </c>
    </row>
    <row r="455" spans="1:10" ht="42.75">
      <c r="A455" s="1265" t="s">
        <v>4839</v>
      </c>
      <c r="B455" s="8" t="s">
        <v>2755</v>
      </c>
      <c r="C455" s="157" t="s">
        <v>2679</v>
      </c>
      <c r="D455" s="158">
        <v>10</v>
      </c>
      <c r="E455" s="159">
        <v>328.3</v>
      </c>
      <c r="F455" s="158">
        <v>3283</v>
      </c>
      <c r="G455" s="160" t="s">
        <v>4840</v>
      </c>
      <c r="H455" s="1269" t="str">
        <f t="shared" si="13"/>
        <v>0289205007
分析表358_x000D_
#</v>
      </c>
      <c r="I455" s="670">
        <v>447</v>
      </c>
      <c r="J455" t="str">
        <f t="shared" si="14"/>
        <v>1.447</v>
      </c>
    </row>
    <row r="456" spans="1:10" ht="47.25">
      <c r="A456" s="1265" t="s">
        <v>4841</v>
      </c>
      <c r="B456" s="8" t="s">
        <v>913</v>
      </c>
      <c r="C456" s="157" t="s">
        <v>3</v>
      </c>
      <c r="D456" s="158">
        <v>10</v>
      </c>
      <c r="E456" s="159">
        <v>913.96</v>
      </c>
      <c r="F456" s="158">
        <v>9139.6</v>
      </c>
      <c r="G456" s="160" t="s">
        <v>4842</v>
      </c>
      <c r="H456" s="1269" t="str">
        <f t="shared" si="13"/>
        <v xml:space="preserve">0289821302
分析表359_x000D_
</v>
      </c>
      <c r="I456" s="670">
        <v>448</v>
      </c>
      <c r="J456" t="str">
        <f t="shared" si="14"/>
        <v>1.448</v>
      </c>
    </row>
    <row r="457" spans="1:10" ht="47.25">
      <c r="A457" s="1265" t="s">
        <v>4843</v>
      </c>
      <c r="B457" s="8" t="s">
        <v>2778</v>
      </c>
      <c r="C457" s="157" t="s">
        <v>3</v>
      </c>
      <c r="D457" s="158">
        <v>10</v>
      </c>
      <c r="E457" s="159">
        <v>649.07000000000005</v>
      </c>
      <c r="F457" s="158">
        <v>6490.7</v>
      </c>
      <c r="G457" s="160" t="s">
        <v>4844</v>
      </c>
      <c r="H457" s="1269" t="str">
        <f t="shared" si="13"/>
        <v xml:space="preserve">0289821312
分析表360_x000D_
</v>
      </c>
      <c r="I457" s="670">
        <v>449</v>
      </c>
      <c r="J457" t="str">
        <f t="shared" si="14"/>
        <v>1.449</v>
      </c>
    </row>
    <row r="458" spans="1:10" ht="28.5">
      <c r="A458" s="1265" t="s">
        <v>4845</v>
      </c>
      <c r="B458" s="8" t="s">
        <v>3443</v>
      </c>
      <c r="C458" s="157" t="s">
        <v>3444</v>
      </c>
      <c r="D458" s="158">
        <v>2</v>
      </c>
      <c r="E458" s="159">
        <v>1987.08</v>
      </c>
      <c r="F458" s="158">
        <v>3974.16</v>
      </c>
      <c r="G458" s="160" t="s">
        <v>3445</v>
      </c>
      <c r="H458" s="1269" t="str">
        <f t="shared" ref="H458:H521" si="15">G458</f>
        <v xml:space="preserve">E000009A00002
</v>
      </c>
      <c r="I458" s="670">
        <v>450</v>
      </c>
      <c r="J458" t="str">
        <f t="shared" si="14"/>
        <v>1.450</v>
      </c>
    </row>
    <row r="459" spans="1:10" ht="28.5">
      <c r="A459" s="1265" t="s">
        <v>4846</v>
      </c>
      <c r="B459" s="8" t="s">
        <v>3446</v>
      </c>
      <c r="C459" s="157" t="s">
        <v>2447</v>
      </c>
      <c r="D459" s="158">
        <v>1</v>
      </c>
      <c r="E459" s="159">
        <v>14903.07</v>
      </c>
      <c r="F459" s="158">
        <v>14903.07</v>
      </c>
      <c r="G459" s="160" t="s">
        <v>3447</v>
      </c>
      <c r="H459" s="1269" t="str">
        <f t="shared" si="15"/>
        <v xml:space="preserve">E000009A00022
</v>
      </c>
      <c r="I459" s="670">
        <v>451</v>
      </c>
      <c r="J459" t="str">
        <f t="shared" si="14"/>
        <v>1.451</v>
      </c>
    </row>
    <row r="460" spans="1:10" ht="28.5">
      <c r="A460" s="1265" t="s">
        <v>4847</v>
      </c>
      <c r="B460" s="8" t="s">
        <v>2462</v>
      </c>
      <c r="C460" s="157" t="s">
        <v>927</v>
      </c>
      <c r="D460" s="158">
        <v>10</v>
      </c>
      <c r="E460" s="159">
        <v>178.84</v>
      </c>
      <c r="F460" s="158">
        <v>1788.4</v>
      </c>
      <c r="G460" s="160" t="s">
        <v>2463</v>
      </c>
      <c r="H460" s="1269" t="str">
        <f t="shared" si="15"/>
        <v xml:space="preserve">E0000010N0001
</v>
      </c>
      <c r="I460" s="670">
        <v>452</v>
      </c>
      <c r="J460" t="str">
        <f t="shared" si="14"/>
        <v>1.452</v>
      </c>
    </row>
    <row r="461" spans="1:10" ht="28.5">
      <c r="A461" s="1265" t="s">
        <v>3448</v>
      </c>
      <c r="B461" s="8" t="s">
        <v>3449</v>
      </c>
      <c r="C461" s="157" t="s">
        <v>14</v>
      </c>
      <c r="D461" s="158">
        <v>1</v>
      </c>
      <c r="E461" s="159"/>
      <c r="F461" s="158">
        <v>216748.35</v>
      </c>
      <c r="G461" s="160" t="s">
        <v>3450</v>
      </c>
      <c r="H461" s="1269" t="str">
        <f t="shared" si="15"/>
        <v>依實際檢驗項目支付</v>
      </c>
      <c r="I461" s="670">
        <v>453</v>
      </c>
      <c r="J461" t="str">
        <f t="shared" si="14"/>
        <v>　二</v>
      </c>
    </row>
    <row r="462" spans="1:10" ht="84.6" customHeight="1">
      <c r="A462" s="1265" t="s">
        <v>337</v>
      </c>
      <c r="B462" s="8" t="s">
        <v>3451</v>
      </c>
      <c r="C462" s="157" t="s">
        <v>1689</v>
      </c>
      <c r="D462" s="158">
        <v>5</v>
      </c>
      <c r="E462" s="159">
        <v>1937.4</v>
      </c>
      <c r="F462" s="158">
        <v>9687</v>
      </c>
      <c r="G462" s="160" t="s">
        <v>3452</v>
      </c>
      <c r="H462" s="1269" t="str">
        <f t="shared" si="15"/>
        <v xml:space="preserve">01450D10A8
</v>
      </c>
      <c r="I462" s="670">
        <v>454</v>
      </c>
      <c r="J462" t="str">
        <f t="shared" si="14"/>
        <v>2.1</v>
      </c>
    </row>
    <row r="463" spans="1:10" ht="63">
      <c r="A463" s="1265" t="s">
        <v>338</v>
      </c>
      <c r="B463" s="8" t="s">
        <v>3453</v>
      </c>
      <c r="C463" s="157" t="s">
        <v>2679</v>
      </c>
      <c r="D463" s="158">
        <v>10</v>
      </c>
      <c r="E463" s="159">
        <v>298.06</v>
      </c>
      <c r="F463" s="158">
        <v>2980.6</v>
      </c>
      <c r="G463" s="160" t="s">
        <v>3454</v>
      </c>
      <c r="H463" s="1269" t="str">
        <f t="shared" si="15"/>
        <v xml:space="preserve">01450B11U7
</v>
      </c>
      <c r="I463" s="670">
        <v>455</v>
      </c>
      <c r="J463" t="str">
        <f t="shared" si="14"/>
        <v>2.2</v>
      </c>
    </row>
    <row r="464" spans="1:10" ht="63">
      <c r="A464" s="1265" t="s">
        <v>339</v>
      </c>
      <c r="B464" s="8" t="s">
        <v>3455</v>
      </c>
      <c r="C464" s="157" t="s">
        <v>1689</v>
      </c>
      <c r="D464" s="158">
        <v>5</v>
      </c>
      <c r="E464" s="159">
        <v>1490.31</v>
      </c>
      <c r="F464" s="158">
        <v>7451.55</v>
      </c>
      <c r="G464" s="160" t="s">
        <v>3456</v>
      </c>
      <c r="H464" s="1269" t="str">
        <f t="shared" si="15"/>
        <v xml:space="preserve">01450D1CY8
</v>
      </c>
      <c r="I464" s="670">
        <v>456</v>
      </c>
      <c r="J464" t="str">
        <f t="shared" si="14"/>
        <v>2.3</v>
      </c>
    </row>
    <row r="465" spans="1:10" ht="63">
      <c r="A465" s="1265" t="s">
        <v>340</v>
      </c>
      <c r="B465" s="8" t="s">
        <v>3457</v>
      </c>
      <c r="C465" s="157" t="s">
        <v>1689</v>
      </c>
      <c r="D465" s="158">
        <v>5</v>
      </c>
      <c r="E465" s="159">
        <v>1490.31</v>
      </c>
      <c r="F465" s="158">
        <v>7451.55</v>
      </c>
      <c r="G465" s="160" t="s">
        <v>3458</v>
      </c>
      <c r="H465" s="1269" t="str">
        <f t="shared" si="15"/>
        <v xml:space="preserve">01450D1CZ8
</v>
      </c>
      <c r="I465" s="670">
        <v>457</v>
      </c>
      <c r="J465" t="str">
        <f t="shared" si="14"/>
        <v>2.4</v>
      </c>
    </row>
    <row r="466" spans="1:10" ht="63">
      <c r="A466" s="1265" t="s">
        <v>341</v>
      </c>
      <c r="B466" s="8" t="s">
        <v>3459</v>
      </c>
      <c r="C466" s="157" t="s">
        <v>1689</v>
      </c>
      <c r="D466" s="158">
        <v>2</v>
      </c>
      <c r="E466" s="159">
        <v>2980.61</v>
      </c>
      <c r="F466" s="158">
        <v>5961.22</v>
      </c>
      <c r="G466" s="160" t="s">
        <v>3460</v>
      </c>
      <c r="H466" s="1269" t="str">
        <f t="shared" si="15"/>
        <v xml:space="preserve">01450D1D38
</v>
      </c>
      <c r="I466" s="670">
        <v>458</v>
      </c>
      <c r="J466" t="str">
        <f t="shared" si="14"/>
        <v>2.5</v>
      </c>
    </row>
    <row r="467" spans="1:10" ht="63">
      <c r="A467" s="1265" t="s">
        <v>342</v>
      </c>
      <c r="B467" s="8" t="s">
        <v>3461</v>
      </c>
      <c r="C467" s="157" t="s">
        <v>1689</v>
      </c>
      <c r="D467" s="158">
        <v>1</v>
      </c>
      <c r="E467" s="159">
        <v>5961.23</v>
      </c>
      <c r="F467" s="158">
        <v>5961.23</v>
      </c>
      <c r="G467" s="160" t="s">
        <v>3462</v>
      </c>
      <c r="H467" s="1269" t="str">
        <f t="shared" si="15"/>
        <v xml:space="preserve">01450D1008
</v>
      </c>
      <c r="I467" s="670">
        <v>459</v>
      </c>
      <c r="J467" t="str">
        <f t="shared" si="14"/>
        <v>2.6</v>
      </c>
    </row>
    <row r="468" spans="1:10" ht="63">
      <c r="A468" s="1265" t="s">
        <v>343</v>
      </c>
      <c r="B468" s="8" t="s">
        <v>3463</v>
      </c>
      <c r="C468" s="157" t="s">
        <v>1689</v>
      </c>
      <c r="D468" s="158">
        <v>1</v>
      </c>
      <c r="E468" s="159">
        <v>11922.46</v>
      </c>
      <c r="F468" s="158">
        <v>11922.46</v>
      </c>
      <c r="G468" s="160" t="s">
        <v>3464</v>
      </c>
      <c r="H468" s="1269" t="str">
        <f t="shared" si="15"/>
        <v xml:space="preserve">01450D1Z18
</v>
      </c>
      <c r="I468" s="670">
        <v>460</v>
      </c>
      <c r="J468" t="str">
        <f t="shared" si="14"/>
        <v>2.7</v>
      </c>
    </row>
    <row r="469" spans="1:10" ht="63">
      <c r="A469" s="1265" t="s">
        <v>344</v>
      </c>
      <c r="B469" s="8" t="s">
        <v>3465</v>
      </c>
      <c r="C469" s="157" t="s">
        <v>2238</v>
      </c>
      <c r="D469" s="158">
        <v>1</v>
      </c>
      <c r="E469" s="159">
        <v>993.54</v>
      </c>
      <c r="F469" s="158">
        <v>993.54</v>
      </c>
      <c r="G469" s="160" t="s">
        <v>3466</v>
      </c>
      <c r="H469" s="1269" t="str">
        <f t="shared" si="15"/>
        <v xml:space="preserve">01450D1Z2L
</v>
      </c>
      <c r="I469" s="670">
        <v>461</v>
      </c>
      <c r="J469" t="str">
        <f t="shared" si="14"/>
        <v>2.8</v>
      </c>
    </row>
    <row r="470" spans="1:10" ht="47.25">
      <c r="A470" s="1265" t="s">
        <v>345</v>
      </c>
      <c r="B470" s="8" t="s">
        <v>4848</v>
      </c>
      <c r="C470" s="157" t="s">
        <v>1689</v>
      </c>
      <c r="D470" s="158">
        <v>1</v>
      </c>
      <c r="E470" s="159">
        <v>1490.31</v>
      </c>
      <c r="F470" s="158">
        <v>1490.31</v>
      </c>
      <c r="G470" s="160" t="s">
        <v>4849</v>
      </c>
      <c r="H470" s="1269" t="str">
        <f t="shared" si="15"/>
        <v xml:space="preserve">01450D1ZZ8
</v>
      </c>
      <c r="I470" s="670">
        <v>462</v>
      </c>
      <c r="J470" t="str">
        <f t="shared" si="14"/>
        <v>2.9</v>
      </c>
    </row>
    <row r="471" spans="1:10" ht="63">
      <c r="A471" s="1265" t="s">
        <v>346</v>
      </c>
      <c r="B471" s="8" t="s">
        <v>4850</v>
      </c>
      <c r="C471" s="157" t="s">
        <v>1689</v>
      </c>
      <c r="D471" s="158">
        <v>1</v>
      </c>
      <c r="E471" s="159">
        <v>3974.15</v>
      </c>
      <c r="F471" s="158">
        <v>3974.15</v>
      </c>
      <c r="G471" s="160" t="s">
        <v>4851</v>
      </c>
      <c r="H471" s="1269" t="str">
        <f t="shared" si="15"/>
        <v xml:space="preserve">01450D1Z48
</v>
      </c>
      <c r="I471" s="670">
        <v>463</v>
      </c>
      <c r="J471" t="str">
        <f t="shared" si="14"/>
        <v>2.10</v>
      </c>
    </row>
    <row r="472" spans="1:10" ht="47.25">
      <c r="A472" s="1265" t="s">
        <v>347</v>
      </c>
      <c r="B472" s="8" t="s">
        <v>4852</v>
      </c>
      <c r="C472" s="157" t="s">
        <v>1689</v>
      </c>
      <c r="D472" s="158">
        <v>1</v>
      </c>
      <c r="E472" s="159">
        <v>43715.68</v>
      </c>
      <c r="F472" s="158">
        <v>43715.68</v>
      </c>
      <c r="G472" s="160" t="s">
        <v>4853</v>
      </c>
      <c r="H472" s="1269" t="str">
        <f t="shared" si="15"/>
        <v xml:space="preserve">01450D1F18
</v>
      </c>
      <c r="I472" s="670">
        <v>464</v>
      </c>
      <c r="J472" t="str">
        <f t="shared" si="14"/>
        <v>2.11</v>
      </c>
    </row>
    <row r="473" spans="1:10" ht="47.25">
      <c r="A473" s="1265" t="s">
        <v>348</v>
      </c>
      <c r="B473" s="8" t="s">
        <v>3467</v>
      </c>
      <c r="C473" s="157" t="s">
        <v>1689</v>
      </c>
      <c r="D473" s="158">
        <v>1</v>
      </c>
      <c r="E473" s="159">
        <v>7948.31</v>
      </c>
      <c r="F473" s="158">
        <v>7948.31</v>
      </c>
      <c r="G473" s="160" t="s">
        <v>3468</v>
      </c>
      <c r="H473" s="1269" t="str">
        <f t="shared" si="15"/>
        <v xml:space="preserve">01450D11Y8
</v>
      </c>
      <c r="I473" s="670">
        <v>465</v>
      </c>
      <c r="J473" t="str">
        <f t="shared" si="14"/>
        <v>2.12</v>
      </c>
    </row>
    <row r="474" spans="1:10" ht="47.25">
      <c r="A474" s="1265" t="s">
        <v>349</v>
      </c>
      <c r="B474" s="8" t="s">
        <v>3469</v>
      </c>
      <c r="C474" s="157" t="s">
        <v>1689</v>
      </c>
      <c r="D474" s="158">
        <v>1</v>
      </c>
      <c r="E474" s="159">
        <v>3974.15</v>
      </c>
      <c r="F474" s="158">
        <v>3974.15</v>
      </c>
      <c r="G474" s="160" t="s">
        <v>3470</v>
      </c>
      <c r="H474" s="1269" t="str">
        <f t="shared" si="15"/>
        <v xml:space="preserve">01450D16Q8
</v>
      </c>
      <c r="I474" s="670">
        <v>466</v>
      </c>
      <c r="J474" t="str">
        <f t="shared" si="14"/>
        <v>2.13</v>
      </c>
    </row>
    <row r="475" spans="1:10" ht="63">
      <c r="A475" s="1265" t="s">
        <v>350</v>
      </c>
      <c r="B475" s="8" t="s">
        <v>3471</v>
      </c>
      <c r="C475" s="157" t="s">
        <v>1689</v>
      </c>
      <c r="D475" s="158">
        <v>1</v>
      </c>
      <c r="E475" s="159">
        <v>1987.08</v>
      </c>
      <c r="F475" s="158">
        <v>1987.08</v>
      </c>
      <c r="G475" s="160" t="s">
        <v>3472</v>
      </c>
      <c r="H475" s="1269" t="str">
        <f t="shared" si="15"/>
        <v xml:space="preserve">01450DI258
</v>
      </c>
      <c r="I475" s="670">
        <v>467</v>
      </c>
      <c r="J475" t="str">
        <f t="shared" si="14"/>
        <v>2.14</v>
      </c>
    </row>
    <row r="476" spans="1:10" ht="63">
      <c r="A476" s="1265" t="s">
        <v>351</v>
      </c>
      <c r="B476" s="8" t="s">
        <v>3475</v>
      </c>
      <c r="C476" s="157" t="s">
        <v>1689</v>
      </c>
      <c r="D476" s="158">
        <v>2</v>
      </c>
      <c r="E476" s="159">
        <v>5961.23</v>
      </c>
      <c r="F476" s="158">
        <v>11922.46</v>
      </c>
      <c r="G476" s="160" t="s">
        <v>3476</v>
      </c>
      <c r="H476" s="1269" t="str">
        <f t="shared" si="15"/>
        <v xml:space="preserve">01450D19T8
</v>
      </c>
      <c r="I476" s="670">
        <v>468</v>
      </c>
      <c r="J476" t="str">
        <f t="shared" si="14"/>
        <v>2.15</v>
      </c>
    </row>
    <row r="477" spans="1:10" ht="47.25">
      <c r="A477" s="1265" t="s">
        <v>352</v>
      </c>
      <c r="B477" s="8" t="s">
        <v>3477</v>
      </c>
      <c r="C477" s="157" t="s">
        <v>3478</v>
      </c>
      <c r="D477" s="158">
        <v>2</v>
      </c>
      <c r="E477" s="159">
        <v>1569.79</v>
      </c>
      <c r="F477" s="158">
        <v>3139.58</v>
      </c>
      <c r="G477" s="160" t="s">
        <v>3479</v>
      </c>
      <c r="H477" s="1269" t="str">
        <f t="shared" si="15"/>
        <v xml:space="preserve">01450D1D1R
</v>
      </c>
      <c r="I477" s="670">
        <v>469</v>
      </c>
      <c r="J477" t="str">
        <f t="shared" si="14"/>
        <v>2.16</v>
      </c>
    </row>
    <row r="478" spans="1:10" ht="47.25">
      <c r="A478" s="1265" t="s">
        <v>353</v>
      </c>
      <c r="B478" s="8" t="s">
        <v>3480</v>
      </c>
      <c r="C478" s="157" t="s">
        <v>2490</v>
      </c>
      <c r="D478" s="158">
        <v>1</v>
      </c>
      <c r="E478" s="159">
        <v>11922.46</v>
      </c>
      <c r="F478" s="158">
        <v>11922.46</v>
      </c>
      <c r="G478" s="160" t="s">
        <v>3481</v>
      </c>
      <c r="H478" s="1269" t="str">
        <f t="shared" si="15"/>
        <v xml:space="preserve">01450D1C24
</v>
      </c>
      <c r="I478" s="670">
        <v>470</v>
      </c>
      <c r="J478" t="str">
        <f t="shared" si="14"/>
        <v>2.17</v>
      </c>
    </row>
    <row r="479" spans="1:10" ht="47.25">
      <c r="A479" s="1265" t="s">
        <v>458</v>
      </c>
      <c r="B479" s="8" t="s">
        <v>4854</v>
      </c>
      <c r="C479" s="157" t="s">
        <v>1689</v>
      </c>
      <c r="D479" s="158">
        <v>1</v>
      </c>
      <c r="E479" s="159">
        <v>5961.23</v>
      </c>
      <c r="F479" s="158">
        <v>5961.23</v>
      </c>
      <c r="G479" s="160" t="s">
        <v>4855</v>
      </c>
      <c r="H479" s="1269" t="str">
        <f t="shared" si="15"/>
        <v xml:space="preserve">01450D9008
</v>
      </c>
      <c r="I479" s="670">
        <v>471</v>
      </c>
      <c r="J479" t="str">
        <f t="shared" si="14"/>
        <v>2.18</v>
      </c>
    </row>
    <row r="480" spans="1:10" ht="47.25">
      <c r="A480" s="1265" t="s">
        <v>459</v>
      </c>
      <c r="B480" s="8" t="s">
        <v>4856</v>
      </c>
      <c r="C480" s="157" t="s">
        <v>1689</v>
      </c>
      <c r="D480" s="158">
        <v>1</v>
      </c>
      <c r="E480" s="159">
        <v>993.54</v>
      </c>
      <c r="F480" s="158">
        <v>993.54</v>
      </c>
      <c r="G480" s="160" t="s">
        <v>4857</v>
      </c>
      <c r="H480" s="1269" t="str">
        <f t="shared" si="15"/>
        <v xml:space="preserve">01450D91A8
</v>
      </c>
      <c r="I480" s="670">
        <v>472</v>
      </c>
      <c r="J480" t="str">
        <f t="shared" si="14"/>
        <v>2.19</v>
      </c>
    </row>
    <row r="481" spans="1:10" ht="47.25">
      <c r="A481" s="1265" t="s">
        <v>460</v>
      </c>
      <c r="B481" s="8" t="s">
        <v>4858</v>
      </c>
      <c r="C481" s="157" t="s">
        <v>1689</v>
      </c>
      <c r="D481" s="158">
        <v>1</v>
      </c>
      <c r="E481" s="159">
        <v>4967.6899999999996</v>
      </c>
      <c r="F481" s="158">
        <v>4967.6899999999996</v>
      </c>
      <c r="G481" s="160" t="s">
        <v>4859</v>
      </c>
      <c r="H481" s="1269" t="str">
        <f t="shared" si="15"/>
        <v xml:space="preserve">01450DB6B8
</v>
      </c>
      <c r="I481" s="670">
        <v>473</v>
      </c>
      <c r="J481" t="str">
        <f t="shared" si="14"/>
        <v>2.20</v>
      </c>
    </row>
    <row r="482" spans="1:10" ht="47.25">
      <c r="A482" s="1265" t="s">
        <v>529</v>
      </c>
      <c r="B482" s="8" t="s">
        <v>3473</v>
      </c>
      <c r="C482" s="157" t="s">
        <v>1875</v>
      </c>
      <c r="D482" s="158">
        <v>2</v>
      </c>
      <c r="E482" s="159">
        <v>3974.15</v>
      </c>
      <c r="F482" s="158">
        <v>7948.3</v>
      </c>
      <c r="G482" s="160" t="s">
        <v>3474</v>
      </c>
      <c r="H482" s="1269" t="str">
        <f t="shared" si="15"/>
        <v xml:space="preserve">0145000024
</v>
      </c>
      <c r="I482" s="670">
        <v>474</v>
      </c>
      <c r="J482" t="str">
        <f t="shared" si="14"/>
        <v>2.21</v>
      </c>
    </row>
    <row r="483" spans="1:10" ht="31.5">
      <c r="A483" s="1265" t="s">
        <v>530</v>
      </c>
      <c r="B483" s="8" t="s">
        <v>3482</v>
      </c>
      <c r="C483" s="157" t="s">
        <v>1689</v>
      </c>
      <c r="D483" s="158">
        <v>2</v>
      </c>
      <c r="E483" s="159">
        <v>5961.23</v>
      </c>
      <c r="F483" s="158">
        <v>11922.46</v>
      </c>
      <c r="G483" s="160" t="s">
        <v>3483</v>
      </c>
      <c r="H483" s="1269" t="str">
        <f t="shared" si="15"/>
        <v>01450A10E1
每組2支</v>
      </c>
      <c r="I483" s="670">
        <v>475</v>
      </c>
      <c r="J483" t="str">
        <f t="shared" si="14"/>
        <v>2.22</v>
      </c>
    </row>
    <row r="484" spans="1:10" ht="42.75">
      <c r="A484" s="1265" t="s">
        <v>531</v>
      </c>
      <c r="B484" s="8" t="s">
        <v>3482</v>
      </c>
      <c r="C484" s="157" t="s">
        <v>1497</v>
      </c>
      <c r="D484" s="158">
        <v>5</v>
      </c>
      <c r="E484" s="159">
        <v>1490.31</v>
      </c>
      <c r="F484" s="158">
        <v>7451.55</v>
      </c>
      <c r="G484" s="160" t="s">
        <v>3484</v>
      </c>
      <c r="H484" s="1269" t="str">
        <f t="shared" si="15"/>
        <v>01450A10F1
超過1組檢驗數量另計</v>
      </c>
      <c r="I484" s="670">
        <v>476</v>
      </c>
      <c r="J484" t="str">
        <f t="shared" si="14"/>
        <v>2.23</v>
      </c>
    </row>
    <row r="485" spans="1:10" ht="31.5">
      <c r="A485" s="1265" t="s">
        <v>3669</v>
      </c>
      <c r="B485" s="8" t="s">
        <v>3485</v>
      </c>
      <c r="C485" s="157" t="s">
        <v>1689</v>
      </c>
      <c r="D485" s="158">
        <v>2</v>
      </c>
      <c r="E485" s="159">
        <v>5961.23</v>
      </c>
      <c r="F485" s="158">
        <v>11922.46</v>
      </c>
      <c r="G485" s="160" t="s">
        <v>3486</v>
      </c>
      <c r="H485" s="1269" t="str">
        <f t="shared" si="15"/>
        <v>01450A10G1
每組3支</v>
      </c>
      <c r="I485" s="670">
        <v>477</v>
      </c>
      <c r="J485" t="str">
        <f t="shared" si="14"/>
        <v>2.24</v>
      </c>
    </row>
    <row r="486" spans="1:10" ht="42.75">
      <c r="A486" s="1265" t="s">
        <v>4860</v>
      </c>
      <c r="B486" s="8" t="s">
        <v>3485</v>
      </c>
      <c r="C486" s="157" t="s">
        <v>1497</v>
      </c>
      <c r="D486" s="158">
        <v>5</v>
      </c>
      <c r="E486" s="159">
        <v>993.54</v>
      </c>
      <c r="F486" s="158">
        <v>4967.7</v>
      </c>
      <c r="G486" s="160" t="s">
        <v>3487</v>
      </c>
      <c r="H486" s="1269" t="str">
        <f t="shared" si="15"/>
        <v>01450A10H1
超過1組檢驗數量另計</v>
      </c>
      <c r="I486" s="670">
        <v>478</v>
      </c>
      <c r="J486" t="str">
        <f t="shared" si="14"/>
        <v>2.25</v>
      </c>
    </row>
    <row r="487" spans="1:10" ht="28.5">
      <c r="A487" s="1265" t="s">
        <v>4861</v>
      </c>
      <c r="B487" s="8" t="s">
        <v>3488</v>
      </c>
      <c r="C487" s="157" t="s">
        <v>1689</v>
      </c>
      <c r="D487" s="158">
        <v>2</v>
      </c>
      <c r="E487" s="159">
        <v>5961.23</v>
      </c>
      <c r="F487" s="158">
        <v>11922.46</v>
      </c>
      <c r="G487" s="160" t="s">
        <v>3489</v>
      </c>
      <c r="H487" s="1269" t="str">
        <f t="shared" si="15"/>
        <v xml:space="preserve">01450A81AA
</v>
      </c>
      <c r="I487" s="670">
        <v>479</v>
      </c>
      <c r="J487" t="str">
        <f t="shared" si="14"/>
        <v>2.26</v>
      </c>
    </row>
    <row r="488" spans="1:10" ht="31.5">
      <c r="A488" s="1265" t="s">
        <v>4862</v>
      </c>
      <c r="B488" s="8" t="s">
        <v>1772</v>
      </c>
      <c r="C488" s="157" t="s">
        <v>1497</v>
      </c>
      <c r="D488" s="158">
        <v>1</v>
      </c>
      <c r="E488" s="159">
        <v>6207.63</v>
      </c>
      <c r="F488" s="158">
        <v>6207.63</v>
      </c>
      <c r="G488" s="160" t="s">
        <v>1773</v>
      </c>
      <c r="H488" s="1269" t="str">
        <f t="shared" si="15"/>
        <v>M026102D30A
L=2.4</v>
      </c>
      <c r="I488" s="670">
        <v>480</v>
      </c>
      <c r="J488" t="str">
        <f t="shared" si="14"/>
        <v>2.27</v>
      </c>
    </row>
    <row r="489" spans="1:10">
      <c r="A489" s="1265" t="s">
        <v>3494</v>
      </c>
      <c r="B489" s="8" t="s">
        <v>3495</v>
      </c>
      <c r="C489" s="157" t="s">
        <v>14</v>
      </c>
      <c r="D489" s="158">
        <v>1</v>
      </c>
      <c r="E489" s="159"/>
      <c r="F489" s="158">
        <v>268013.65999999997</v>
      </c>
      <c r="G489" s="160" t="s">
        <v>3496</v>
      </c>
      <c r="H489" s="1269" t="str">
        <f t="shared" si="15"/>
        <v>依工程費×2.52%</v>
      </c>
      <c r="I489" s="670">
        <v>481</v>
      </c>
      <c r="J489" t="str">
        <f t="shared" si="14"/>
        <v>　三</v>
      </c>
    </row>
    <row r="490" spans="1:10" ht="42.75">
      <c r="A490" s="1265" t="s">
        <v>354</v>
      </c>
      <c r="B490" s="8" t="s">
        <v>2781</v>
      </c>
      <c r="C490" s="157" t="s">
        <v>2782</v>
      </c>
      <c r="D490" s="158">
        <v>1141</v>
      </c>
      <c r="E490" s="159">
        <v>54.41</v>
      </c>
      <c r="F490" s="158">
        <v>62081.81</v>
      </c>
      <c r="G490" s="160" t="s">
        <v>4863</v>
      </c>
      <c r="H490" s="1269" t="str">
        <f t="shared" si="15"/>
        <v xml:space="preserve">01572F000E
分析表361_x000D_
</v>
      </c>
      <c r="I490" s="670">
        <v>482</v>
      </c>
      <c r="J490" t="str">
        <f t="shared" si="14"/>
        <v>3.1</v>
      </c>
    </row>
    <row r="491" spans="1:10" ht="42.75">
      <c r="A491" s="1265" t="s">
        <v>355</v>
      </c>
      <c r="B491" s="8" t="s">
        <v>2785</v>
      </c>
      <c r="C491" s="157" t="s">
        <v>2786</v>
      </c>
      <c r="D491" s="158">
        <v>15</v>
      </c>
      <c r="E491" s="159">
        <v>13728.79</v>
      </c>
      <c r="F491" s="158">
        <v>205931.85</v>
      </c>
      <c r="G491" s="160" t="s">
        <v>4864</v>
      </c>
      <c r="H491" s="1269" t="str">
        <f t="shared" si="15"/>
        <v xml:space="preserve">01572H100F
分析表362_x000D_
</v>
      </c>
      <c r="I491" s="670">
        <v>483</v>
      </c>
      <c r="J491" t="str">
        <f t="shared" si="14"/>
        <v>3.2</v>
      </c>
    </row>
    <row r="492" spans="1:10" ht="31.5">
      <c r="A492" s="1265" t="s">
        <v>3499</v>
      </c>
      <c r="B492" s="8" t="s">
        <v>3500</v>
      </c>
      <c r="C492" s="157" t="s">
        <v>14</v>
      </c>
      <c r="D492" s="158">
        <v>1</v>
      </c>
      <c r="E492" s="159"/>
      <c r="F492" s="158">
        <v>7650</v>
      </c>
      <c r="G492" s="160" t="s">
        <v>3501</v>
      </c>
      <c r="H492" s="1269" t="str">
        <f t="shared" si="15"/>
        <v>需檢據核銷</v>
      </c>
      <c r="I492" s="670">
        <v>484</v>
      </c>
      <c r="J492" t="str">
        <f t="shared" si="14"/>
        <v>　四</v>
      </c>
    </row>
    <row r="493" spans="1:10" ht="31.5">
      <c r="A493" s="1265" t="s">
        <v>356</v>
      </c>
      <c r="B493" s="8" t="s">
        <v>3502</v>
      </c>
      <c r="C493" s="157" t="s">
        <v>3503</v>
      </c>
      <c r="D493" s="158">
        <v>1</v>
      </c>
      <c r="E493" s="159">
        <v>2300</v>
      </c>
      <c r="F493" s="158">
        <v>2300</v>
      </c>
      <c r="G493" s="160" t="s">
        <v>3504</v>
      </c>
      <c r="H493" s="1269" t="str">
        <f t="shared" si="15"/>
        <v>0225245113
[人力工項不打折]</v>
      </c>
      <c r="I493" s="670">
        <v>485</v>
      </c>
      <c r="J493" t="str">
        <f t="shared" si="14"/>
        <v>4.1</v>
      </c>
    </row>
    <row r="494" spans="1:10" ht="31.5">
      <c r="A494" s="1265" t="s">
        <v>357</v>
      </c>
      <c r="B494" s="8" t="s">
        <v>3505</v>
      </c>
      <c r="C494" s="157" t="s">
        <v>3503</v>
      </c>
      <c r="D494" s="158">
        <v>1</v>
      </c>
      <c r="E494" s="159">
        <v>4100</v>
      </c>
      <c r="F494" s="158">
        <v>4100</v>
      </c>
      <c r="G494" s="160" t="s">
        <v>3506</v>
      </c>
      <c r="H494" s="1269" t="str">
        <f t="shared" si="15"/>
        <v>0225245123
[人力工項不打折]</v>
      </c>
      <c r="I494" s="670">
        <v>486</v>
      </c>
      <c r="J494" t="str">
        <f t="shared" si="14"/>
        <v>4.2</v>
      </c>
    </row>
    <row r="495" spans="1:10" ht="31.5">
      <c r="A495" s="1265" t="s">
        <v>358</v>
      </c>
      <c r="B495" s="8" t="s">
        <v>3507</v>
      </c>
      <c r="C495" s="157" t="s">
        <v>3503</v>
      </c>
      <c r="D495" s="158">
        <v>1</v>
      </c>
      <c r="E495" s="159">
        <v>1250</v>
      </c>
      <c r="F495" s="158">
        <v>1250</v>
      </c>
      <c r="G495" s="160" t="s">
        <v>3508</v>
      </c>
      <c r="H495" s="1269" t="str">
        <f t="shared" si="15"/>
        <v>0225245133
[人力工項不打折]</v>
      </c>
      <c r="I495" s="670">
        <v>487</v>
      </c>
      <c r="J495" t="str">
        <f t="shared" si="14"/>
        <v>4.3</v>
      </c>
    </row>
    <row r="496" spans="1:10" ht="71.25">
      <c r="A496" s="1265" t="s">
        <v>3509</v>
      </c>
      <c r="B496" s="8" t="s">
        <v>3510</v>
      </c>
      <c r="C496" s="157" t="s">
        <v>14</v>
      </c>
      <c r="D496" s="158">
        <v>1</v>
      </c>
      <c r="E496" s="159"/>
      <c r="F496" s="158">
        <v>528484.30000000005</v>
      </c>
      <c r="G496" s="160" t="s">
        <v>3511</v>
      </c>
      <c r="H496" s="1269" t="str">
        <f t="shared" si="15"/>
        <v>依工程費×4.97%,以新製品或完整無缺（重新油漆或清理過後）之堪用品進場。</v>
      </c>
      <c r="I496" s="670">
        <v>488</v>
      </c>
      <c r="J496" t="str">
        <f t="shared" si="14"/>
        <v>　五</v>
      </c>
    </row>
    <row r="497" spans="1:10" ht="47.25">
      <c r="A497" s="1265" t="s">
        <v>359</v>
      </c>
      <c r="B497" s="8" t="s">
        <v>3512</v>
      </c>
      <c r="C497" s="157" t="s">
        <v>3513</v>
      </c>
      <c r="D497" s="158">
        <v>20</v>
      </c>
      <c r="E497" s="159">
        <v>204.67</v>
      </c>
      <c r="F497" s="158">
        <v>4093.4</v>
      </c>
      <c r="G497" s="160" t="s">
        <v>3514</v>
      </c>
      <c r="H497" s="1269" t="str">
        <f t="shared" si="15"/>
        <v xml:space="preserve">01583A500A
</v>
      </c>
      <c r="I497" s="670">
        <v>489</v>
      </c>
      <c r="J497" t="str">
        <f t="shared" si="14"/>
        <v>5.1</v>
      </c>
    </row>
    <row r="498" spans="1:10" ht="71.25">
      <c r="A498" s="1265" t="s">
        <v>360</v>
      </c>
      <c r="B498" s="8" t="s">
        <v>3515</v>
      </c>
      <c r="C498" s="157" t="s">
        <v>3513</v>
      </c>
      <c r="D498" s="158">
        <v>20</v>
      </c>
      <c r="E498" s="159">
        <v>583.30999999999995</v>
      </c>
      <c r="F498" s="158">
        <v>11666.2</v>
      </c>
      <c r="G498" s="160" t="s">
        <v>3516</v>
      </c>
      <c r="H498" s="1269" t="str">
        <f t="shared" si="15"/>
        <v>01583B000A
創意柔性告示牌之圖案須依機關提供之電子檔依比例放大製作</v>
      </c>
      <c r="I498" s="670">
        <v>490</v>
      </c>
      <c r="J498" t="str">
        <f t="shared" si="14"/>
        <v>5.2</v>
      </c>
    </row>
    <row r="499" spans="1:10" ht="47.25">
      <c r="A499" s="1265" t="s">
        <v>361</v>
      </c>
      <c r="B499" s="8" t="s">
        <v>3517</v>
      </c>
      <c r="C499" s="157" t="s">
        <v>1818</v>
      </c>
      <c r="D499" s="158">
        <v>20</v>
      </c>
      <c r="E499" s="159">
        <v>5935.4</v>
      </c>
      <c r="F499" s="158">
        <v>118708</v>
      </c>
      <c r="G499" s="160" t="s">
        <v>3518</v>
      </c>
      <c r="H499" s="1269" t="str">
        <f t="shared" si="15"/>
        <v xml:space="preserve">015831110B
</v>
      </c>
      <c r="I499" s="670">
        <v>491</v>
      </c>
      <c r="J499" t="str">
        <f t="shared" si="14"/>
        <v>5.3</v>
      </c>
    </row>
    <row r="500" spans="1:10" ht="28.5">
      <c r="A500" s="1265" t="s">
        <v>362</v>
      </c>
      <c r="B500" s="8" t="s">
        <v>3519</v>
      </c>
      <c r="C500" s="157" t="s">
        <v>1818</v>
      </c>
      <c r="D500" s="158">
        <v>20</v>
      </c>
      <c r="E500" s="159">
        <v>1253.5</v>
      </c>
      <c r="F500" s="158">
        <v>25070</v>
      </c>
      <c r="G500" s="160" t="s">
        <v>3520</v>
      </c>
      <c r="H500" s="1269" t="str">
        <f t="shared" si="15"/>
        <v xml:space="preserve">0155630A0A
</v>
      </c>
      <c r="I500" s="670">
        <v>492</v>
      </c>
      <c r="J500" t="str">
        <f t="shared" si="14"/>
        <v>5.4</v>
      </c>
    </row>
    <row r="501" spans="1:10" ht="28.5">
      <c r="A501" s="1265" t="s">
        <v>363</v>
      </c>
      <c r="B501" s="8" t="s">
        <v>3521</v>
      </c>
      <c r="C501" s="157" t="s">
        <v>2679</v>
      </c>
      <c r="D501" s="158">
        <v>120</v>
      </c>
      <c r="E501" s="159">
        <v>224.83</v>
      </c>
      <c r="F501" s="158">
        <v>26979.599999999999</v>
      </c>
      <c r="G501" s="160" t="s">
        <v>3522</v>
      </c>
      <c r="H501" s="1269" t="str">
        <f t="shared" si="15"/>
        <v xml:space="preserve">0155642007
</v>
      </c>
      <c r="I501" s="670">
        <v>493</v>
      </c>
      <c r="J501" t="str">
        <f t="shared" si="14"/>
        <v>5.5</v>
      </c>
    </row>
    <row r="502" spans="1:10" ht="31.5">
      <c r="A502" s="1265" t="s">
        <v>364</v>
      </c>
      <c r="B502" s="8" t="s">
        <v>3523</v>
      </c>
      <c r="C502" s="157" t="s">
        <v>2679</v>
      </c>
      <c r="D502" s="158">
        <v>120</v>
      </c>
      <c r="E502" s="159">
        <v>224.83</v>
      </c>
      <c r="F502" s="158">
        <v>26979.599999999999</v>
      </c>
      <c r="G502" s="160" t="s">
        <v>3524</v>
      </c>
      <c r="H502" s="1269" t="str">
        <f t="shared" si="15"/>
        <v xml:space="preserve">0155642707
</v>
      </c>
      <c r="I502" s="670">
        <v>494</v>
      </c>
      <c r="J502" t="str">
        <f t="shared" si="14"/>
        <v>5.6</v>
      </c>
    </row>
    <row r="503" spans="1:10" ht="16.5" customHeight="1">
      <c r="A503" s="1265" t="s">
        <v>365</v>
      </c>
      <c r="B503" s="8" t="s">
        <v>3525</v>
      </c>
      <c r="C503" s="157" t="s">
        <v>1497</v>
      </c>
      <c r="D503" s="158">
        <v>100</v>
      </c>
      <c r="E503" s="159">
        <v>49.68</v>
      </c>
      <c r="F503" s="158">
        <v>4968</v>
      </c>
      <c r="G503" s="160" t="s">
        <v>3526</v>
      </c>
      <c r="H503" s="1269" t="str">
        <f t="shared" si="15"/>
        <v xml:space="preserve">015564080E
</v>
      </c>
      <c r="I503" s="670">
        <v>495</v>
      </c>
      <c r="J503" t="str">
        <f t="shared" si="14"/>
        <v>5.7</v>
      </c>
    </row>
    <row r="504" spans="1:10" ht="28.5">
      <c r="A504" s="1265" t="s">
        <v>366</v>
      </c>
      <c r="B504" s="8" t="s">
        <v>3527</v>
      </c>
      <c r="C504" s="157" t="s">
        <v>1818</v>
      </c>
      <c r="D504" s="158">
        <v>20</v>
      </c>
      <c r="E504" s="159">
        <v>2027.86</v>
      </c>
      <c r="F504" s="158">
        <v>40557.199999999997</v>
      </c>
      <c r="G504" s="160" t="s">
        <v>3528</v>
      </c>
      <c r="H504" s="1269" t="str">
        <f t="shared" si="15"/>
        <v xml:space="preserve">015566000A
</v>
      </c>
      <c r="I504" s="670">
        <v>496</v>
      </c>
      <c r="J504" t="str">
        <f t="shared" si="14"/>
        <v>5.8</v>
      </c>
    </row>
    <row r="505" spans="1:10" ht="31.5">
      <c r="A505" s="1265" t="s">
        <v>367</v>
      </c>
      <c r="B505" s="8" t="s">
        <v>3529</v>
      </c>
      <c r="C505" s="157" t="s">
        <v>1818</v>
      </c>
      <c r="D505" s="158">
        <v>20</v>
      </c>
      <c r="E505" s="159">
        <v>2645.96</v>
      </c>
      <c r="F505" s="158">
        <v>52919.199999999997</v>
      </c>
      <c r="G505" s="160" t="s">
        <v>3530</v>
      </c>
      <c r="H505" s="1269" t="str">
        <f t="shared" si="15"/>
        <v xml:space="preserve">015566110A
</v>
      </c>
      <c r="I505" s="670">
        <v>497</v>
      </c>
      <c r="J505" t="str">
        <f t="shared" si="14"/>
        <v>5.9</v>
      </c>
    </row>
    <row r="506" spans="1:10" ht="16.5" customHeight="1">
      <c r="A506" s="1265" t="s">
        <v>368</v>
      </c>
      <c r="B506" s="8" t="s">
        <v>3531</v>
      </c>
      <c r="C506" s="157" t="s">
        <v>1818</v>
      </c>
      <c r="D506" s="158">
        <v>20</v>
      </c>
      <c r="E506" s="159">
        <v>3075.77</v>
      </c>
      <c r="F506" s="158">
        <v>61515.4</v>
      </c>
      <c r="G506" s="160" t="s">
        <v>3532</v>
      </c>
      <c r="H506" s="1269" t="str">
        <f t="shared" si="15"/>
        <v xml:space="preserve">015566120A
</v>
      </c>
      <c r="I506" s="670">
        <v>498</v>
      </c>
    </row>
    <row r="507" spans="1:10" ht="31.5">
      <c r="A507" s="1265" t="s">
        <v>369</v>
      </c>
      <c r="B507" s="8" t="s">
        <v>3533</v>
      </c>
      <c r="C507" s="157" t="s">
        <v>1818</v>
      </c>
      <c r="D507" s="158">
        <v>10</v>
      </c>
      <c r="E507" s="159">
        <v>3894.44</v>
      </c>
      <c r="F507" s="158">
        <v>38944.400000000001</v>
      </c>
      <c r="G507" s="160" t="s">
        <v>3534</v>
      </c>
      <c r="H507" s="1269" t="str">
        <f t="shared" si="15"/>
        <v xml:space="preserve">015566130A
</v>
      </c>
      <c r="I507" s="670">
        <v>499</v>
      </c>
    </row>
    <row r="508" spans="1:10" ht="28.5">
      <c r="A508" s="1265" t="s">
        <v>370</v>
      </c>
      <c r="B508" s="8" t="s">
        <v>3535</v>
      </c>
      <c r="C508" s="157" t="s">
        <v>1818</v>
      </c>
      <c r="D508" s="158">
        <v>20</v>
      </c>
      <c r="E508" s="159">
        <v>1655.34</v>
      </c>
      <c r="F508" s="158">
        <v>33106.800000000003</v>
      </c>
      <c r="G508" s="160" t="s">
        <v>3536</v>
      </c>
      <c r="H508" s="1269" t="str">
        <f t="shared" si="15"/>
        <v xml:space="preserve">015568000A
</v>
      </c>
      <c r="I508" s="670">
        <v>500</v>
      </c>
    </row>
    <row r="509" spans="1:10" ht="28.5">
      <c r="A509" s="1265" t="s">
        <v>371</v>
      </c>
      <c r="B509" s="8" t="s">
        <v>3537</v>
      </c>
      <c r="C509" s="157" t="s">
        <v>1689</v>
      </c>
      <c r="D509" s="158">
        <v>20</v>
      </c>
      <c r="E509" s="159">
        <v>755.09</v>
      </c>
      <c r="F509" s="158">
        <v>15101.8</v>
      </c>
      <c r="G509" s="160" t="s">
        <v>3538</v>
      </c>
      <c r="H509" s="1269" t="str">
        <f t="shared" si="15"/>
        <v xml:space="preserve">0155690008
</v>
      </c>
      <c r="I509" s="670">
        <v>501</v>
      </c>
    </row>
    <row r="510" spans="1:10" ht="28.5">
      <c r="A510" s="1265" t="s">
        <v>372</v>
      </c>
      <c r="B510" s="8" t="s">
        <v>3539</v>
      </c>
      <c r="C510" s="157" t="s">
        <v>1220</v>
      </c>
      <c r="D510" s="158">
        <v>60</v>
      </c>
      <c r="E510" s="159">
        <v>320.31</v>
      </c>
      <c r="F510" s="158">
        <v>19218.599999999999</v>
      </c>
      <c r="G510" s="160" t="s">
        <v>3540</v>
      </c>
      <c r="H510" s="1269" t="str">
        <f t="shared" si="15"/>
        <v xml:space="preserve">02891A0003
</v>
      </c>
      <c r="I510" s="670">
        <v>502</v>
      </c>
    </row>
    <row r="511" spans="1:10" ht="28.5">
      <c r="A511" s="1265" t="s">
        <v>373</v>
      </c>
      <c r="B511" s="8" t="s">
        <v>3541</v>
      </c>
      <c r="C511" s="157" t="s">
        <v>1220</v>
      </c>
      <c r="D511" s="158">
        <v>40</v>
      </c>
      <c r="E511" s="159">
        <v>89.29</v>
      </c>
      <c r="F511" s="158">
        <v>3571.6</v>
      </c>
      <c r="G511" s="160" t="s">
        <v>3542</v>
      </c>
      <c r="H511" s="1269" t="str">
        <f t="shared" si="15"/>
        <v xml:space="preserve">02891B0003
</v>
      </c>
      <c r="I511" s="670">
        <v>503</v>
      </c>
    </row>
    <row r="512" spans="1:10" ht="28.5">
      <c r="A512" s="1265" t="s">
        <v>374</v>
      </c>
      <c r="B512" s="8" t="s">
        <v>3543</v>
      </c>
      <c r="C512" s="157" t="s">
        <v>2679</v>
      </c>
      <c r="D512" s="158">
        <v>10</v>
      </c>
      <c r="E512" s="159">
        <v>1923.89</v>
      </c>
      <c r="F512" s="158">
        <v>19238.900000000001</v>
      </c>
      <c r="G512" s="160" t="s">
        <v>3544</v>
      </c>
      <c r="H512" s="1269" t="str">
        <f t="shared" si="15"/>
        <v xml:space="preserve">01556K1007
</v>
      </c>
      <c r="I512" s="670">
        <v>504</v>
      </c>
    </row>
    <row r="513" spans="1:9" ht="28.5">
      <c r="A513" s="1265" t="s">
        <v>375</v>
      </c>
      <c r="B513" s="8" t="s">
        <v>3545</v>
      </c>
      <c r="C513" s="157" t="s">
        <v>1818</v>
      </c>
      <c r="D513" s="158">
        <v>10</v>
      </c>
      <c r="E513" s="159">
        <v>2584.56</v>
      </c>
      <c r="F513" s="158">
        <v>25845.599999999999</v>
      </c>
      <c r="G513" s="160" t="s">
        <v>3546</v>
      </c>
      <c r="H513" s="1269" t="str">
        <f t="shared" si="15"/>
        <v xml:space="preserve">01556L000A
</v>
      </c>
      <c r="I513" s="670">
        <v>505</v>
      </c>
    </row>
    <row r="514" spans="1:9" ht="199.5">
      <c r="A514" s="1265" t="s">
        <v>3547</v>
      </c>
      <c r="B514" s="8" t="s">
        <v>3548</v>
      </c>
      <c r="C514" s="157" t="s">
        <v>14</v>
      </c>
      <c r="D514" s="158">
        <v>1</v>
      </c>
      <c r="E514" s="159"/>
      <c r="F514" s="158">
        <v>303771.09999999998</v>
      </c>
      <c r="G514" s="160" t="s">
        <v>4865</v>
      </c>
      <c r="H514" s="1269" t="str">
        <f t="shared" si="15"/>
        <v>依工程費×2.86%,以新製品或完整無缺（重新油漆或清理過後）之堪用品進場。（本項決標後依投標須知第八十四點規定，依本機關原列預算單價以核定底價與預算總價之比例調整之，不隨得標廠商標價調整，本欄所列百分比亦隨同調整）</v>
      </c>
      <c r="I514" s="670">
        <v>506</v>
      </c>
    </row>
    <row r="515" spans="1:9" ht="31.5">
      <c r="A515" s="1265" t="s">
        <v>376</v>
      </c>
      <c r="B515" s="8" t="s">
        <v>3550</v>
      </c>
      <c r="C515" s="157" t="s">
        <v>2238</v>
      </c>
      <c r="D515" s="158">
        <v>20</v>
      </c>
      <c r="E515" s="159">
        <v>765.02</v>
      </c>
      <c r="F515" s="158">
        <v>15300.4</v>
      </c>
      <c r="G515" s="160" t="s">
        <v>532</v>
      </c>
      <c r="H515" s="1269" t="str">
        <f t="shared" si="15"/>
        <v xml:space="preserve">015741010J
</v>
      </c>
      <c r="I515" s="670">
        <v>507</v>
      </c>
    </row>
    <row r="516" spans="1:9" ht="47.25">
      <c r="A516" s="1265" t="s">
        <v>377</v>
      </c>
      <c r="B516" s="8" t="s">
        <v>3551</v>
      </c>
      <c r="C516" s="157" t="s">
        <v>3513</v>
      </c>
      <c r="D516" s="158">
        <v>20</v>
      </c>
      <c r="E516" s="159">
        <v>124.19</v>
      </c>
      <c r="F516" s="158">
        <v>2483.8000000000002</v>
      </c>
      <c r="G516" s="160" t="s">
        <v>3552</v>
      </c>
      <c r="H516" s="1269" t="str">
        <f t="shared" si="15"/>
        <v>015832000A
#</v>
      </c>
      <c r="I516" s="670">
        <v>508</v>
      </c>
    </row>
    <row r="517" spans="1:9" ht="47.25">
      <c r="A517" s="1265" t="s">
        <v>378</v>
      </c>
      <c r="B517" s="8" t="s">
        <v>3553</v>
      </c>
      <c r="C517" s="157" t="s">
        <v>3513</v>
      </c>
      <c r="D517" s="158">
        <v>20</v>
      </c>
      <c r="E517" s="159">
        <v>124.19</v>
      </c>
      <c r="F517" s="158">
        <v>2483.8000000000002</v>
      </c>
      <c r="G517" s="160" t="s">
        <v>3554</v>
      </c>
      <c r="H517" s="1269" t="str">
        <f t="shared" si="15"/>
        <v>015832100A
#</v>
      </c>
      <c r="I517" s="670">
        <v>509</v>
      </c>
    </row>
    <row r="518" spans="1:9" ht="47.25">
      <c r="A518" s="1265" t="s">
        <v>379</v>
      </c>
      <c r="B518" s="8" t="s">
        <v>3555</v>
      </c>
      <c r="C518" s="157" t="s">
        <v>3513</v>
      </c>
      <c r="D518" s="158">
        <v>20</v>
      </c>
      <c r="E518" s="159">
        <v>124.19</v>
      </c>
      <c r="F518" s="158">
        <v>2483.8000000000002</v>
      </c>
      <c r="G518" s="160" t="s">
        <v>3556</v>
      </c>
      <c r="H518" s="1269" t="str">
        <f t="shared" si="15"/>
        <v>015832200A
#</v>
      </c>
      <c r="I518" s="670">
        <v>510</v>
      </c>
    </row>
    <row r="519" spans="1:9" ht="31.5">
      <c r="A519" s="1265" t="s">
        <v>380</v>
      </c>
      <c r="B519" s="8" t="s">
        <v>3557</v>
      </c>
      <c r="C519" s="157" t="s">
        <v>1689</v>
      </c>
      <c r="D519" s="158">
        <v>10</v>
      </c>
      <c r="E519" s="159">
        <v>1152.5</v>
      </c>
      <c r="F519" s="158">
        <v>11525</v>
      </c>
      <c r="G519" s="160" t="s">
        <v>3558</v>
      </c>
      <c r="H519" s="1269" t="str">
        <f t="shared" si="15"/>
        <v xml:space="preserve">015742D108
</v>
      </c>
      <c r="I519" s="670">
        <v>511</v>
      </c>
    </row>
    <row r="520" spans="1:9" ht="31.5">
      <c r="A520" s="1265" t="s">
        <v>381</v>
      </c>
      <c r="B520" s="8" t="s">
        <v>3559</v>
      </c>
      <c r="C520" s="157" t="s">
        <v>3560</v>
      </c>
      <c r="D520" s="158">
        <v>50</v>
      </c>
      <c r="E520" s="159">
        <v>199.7</v>
      </c>
      <c r="F520" s="158">
        <v>9985</v>
      </c>
      <c r="G520" s="160" t="s">
        <v>3561</v>
      </c>
      <c r="H520" s="1269" t="str">
        <f t="shared" si="15"/>
        <v xml:space="preserve">015742110L
</v>
      </c>
      <c r="I520" s="670">
        <v>512</v>
      </c>
    </row>
    <row r="521" spans="1:9" ht="31.5">
      <c r="A521" s="1265" t="s">
        <v>382</v>
      </c>
      <c r="B521" s="8" t="s">
        <v>3562</v>
      </c>
      <c r="C521" s="157" t="s">
        <v>3563</v>
      </c>
      <c r="D521" s="158">
        <v>30</v>
      </c>
      <c r="E521" s="159">
        <v>298.06</v>
      </c>
      <c r="F521" s="158">
        <v>8941.7999999999993</v>
      </c>
      <c r="G521" s="160" t="s">
        <v>3564</v>
      </c>
      <c r="H521" s="1269" t="str">
        <f t="shared" si="15"/>
        <v xml:space="preserve">015742320C
</v>
      </c>
      <c r="I521" s="670">
        <v>513</v>
      </c>
    </row>
    <row r="522" spans="1:9" ht="31.5">
      <c r="A522" s="1265" t="s">
        <v>383</v>
      </c>
      <c r="B522" s="8" t="s">
        <v>3565</v>
      </c>
      <c r="C522" s="157" t="s">
        <v>1689</v>
      </c>
      <c r="D522" s="158">
        <v>30</v>
      </c>
      <c r="E522" s="159">
        <v>151.02000000000001</v>
      </c>
      <c r="F522" s="158">
        <v>4530.6000000000004</v>
      </c>
      <c r="G522" s="160" t="s">
        <v>3566</v>
      </c>
      <c r="H522" s="1269" t="str">
        <f t="shared" ref="H522:H544" si="16">G522</f>
        <v xml:space="preserve">0157424228
</v>
      </c>
      <c r="I522" s="670">
        <v>514</v>
      </c>
    </row>
    <row r="523" spans="1:9" ht="31.5">
      <c r="A523" s="1265" t="s">
        <v>384</v>
      </c>
      <c r="B523" s="8" t="s">
        <v>3567</v>
      </c>
      <c r="C523" s="157" t="s">
        <v>3568</v>
      </c>
      <c r="D523" s="158">
        <v>100</v>
      </c>
      <c r="E523" s="159">
        <v>29.81</v>
      </c>
      <c r="F523" s="158">
        <v>2981</v>
      </c>
      <c r="G523" s="160" t="s">
        <v>3569</v>
      </c>
      <c r="H523" s="1269" t="str">
        <f t="shared" si="16"/>
        <v xml:space="preserve">015742672M
</v>
      </c>
      <c r="I523" s="670">
        <v>515</v>
      </c>
    </row>
    <row r="524" spans="1:9" ht="31.5">
      <c r="A524" s="1265" t="s">
        <v>385</v>
      </c>
      <c r="B524" s="8" t="s">
        <v>3570</v>
      </c>
      <c r="C524" s="157" t="s">
        <v>3568</v>
      </c>
      <c r="D524" s="158">
        <v>50</v>
      </c>
      <c r="E524" s="159">
        <v>499.75</v>
      </c>
      <c r="F524" s="158">
        <v>24987.5</v>
      </c>
      <c r="G524" s="160" t="s">
        <v>3571</v>
      </c>
      <c r="H524" s="1269" t="str">
        <f t="shared" si="16"/>
        <v xml:space="preserve">015742710M
</v>
      </c>
      <c r="I524" s="670">
        <v>516</v>
      </c>
    </row>
    <row r="525" spans="1:9" ht="31.5">
      <c r="A525" s="1265" t="s">
        <v>386</v>
      </c>
      <c r="B525" s="8" t="s">
        <v>3572</v>
      </c>
      <c r="C525" s="157" t="s">
        <v>2694</v>
      </c>
      <c r="D525" s="158">
        <v>20</v>
      </c>
      <c r="E525" s="159">
        <v>278.19</v>
      </c>
      <c r="F525" s="158">
        <v>5563.8</v>
      </c>
      <c r="G525" s="160" t="s">
        <v>3573</v>
      </c>
      <c r="H525" s="1269" t="str">
        <f t="shared" si="16"/>
        <v xml:space="preserve">015742870G
</v>
      </c>
      <c r="I525" s="670">
        <v>517</v>
      </c>
    </row>
    <row r="526" spans="1:9" ht="47.25">
      <c r="A526" s="1265" t="s">
        <v>387</v>
      </c>
      <c r="B526" s="8" t="s">
        <v>3574</v>
      </c>
      <c r="C526" s="157" t="s">
        <v>1689</v>
      </c>
      <c r="D526" s="158">
        <v>10</v>
      </c>
      <c r="E526" s="159">
        <v>556.38</v>
      </c>
      <c r="F526" s="158">
        <v>5563.8</v>
      </c>
      <c r="G526" s="160" t="s">
        <v>3575</v>
      </c>
      <c r="H526" s="1269" t="str">
        <f t="shared" si="16"/>
        <v>0157429108
#</v>
      </c>
      <c r="I526" s="670">
        <v>518</v>
      </c>
    </row>
    <row r="527" spans="1:9" ht="47.25">
      <c r="A527" s="1265" t="s">
        <v>388</v>
      </c>
      <c r="B527" s="8" t="s">
        <v>3576</v>
      </c>
      <c r="C527" s="157" t="s">
        <v>1689</v>
      </c>
      <c r="D527" s="158">
        <v>10</v>
      </c>
      <c r="E527" s="159">
        <v>1788.37</v>
      </c>
      <c r="F527" s="158">
        <v>17883.7</v>
      </c>
      <c r="G527" s="160" t="s">
        <v>3577</v>
      </c>
      <c r="H527" s="1269" t="str">
        <f t="shared" si="16"/>
        <v xml:space="preserve">0157429517
</v>
      </c>
      <c r="I527" s="670">
        <v>519</v>
      </c>
    </row>
    <row r="528" spans="1:9" ht="31.5">
      <c r="A528" s="1265" t="s">
        <v>389</v>
      </c>
      <c r="B528" s="8" t="s">
        <v>3578</v>
      </c>
      <c r="C528" s="157" t="s">
        <v>2679</v>
      </c>
      <c r="D528" s="158">
        <v>10</v>
      </c>
      <c r="E528" s="159">
        <v>248.38</v>
      </c>
      <c r="F528" s="158">
        <v>2483.8000000000002</v>
      </c>
      <c r="G528" s="160" t="s">
        <v>3579</v>
      </c>
      <c r="H528" s="1269" t="str">
        <f t="shared" si="16"/>
        <v xml:space="preserve">015742A107
</v>
      </c>
      <c r="I528" s="670">
        <v>520</v>
      </c>
    </row>
    <row r="529" spans="1:9" ht="47.25">
      <c r="A529" s="1265" t="s">
        <v>390</v>
      </c>
      <c r="B529" s="8" t="s">
        <v>3580</v>
      </c>
      <c r="C529" s="157" t="s">
        <v>2694</v>
      </c>
      <c r="D529" s="158">
        <v>20</v>
      </c>
      <c r="E529" s="159">
        <v>347.74</v>
      </c>
      <c r="F529" s="158">
        <v>6954.8</v>
      </c>
      <c r="G529" s="160" t="s">
        <v>3581</v>
      </c>
      <c r="H529" s="1269" t="str">
        <f t="shared" si="16"/>
        <v xml:space="preserve">0157428A0G
</v>
      </c>
      <c r="I529" s="670">
        <v>521</v>
      </c>
    </row>
    <row r="530" spans="1:9" ht="47.25">
      <c r="A530" s="1265" t="s">
        <v>391</v>
      </c>
      <c r="B530" s="8" t="s">
        <v>3582</v>
      </c>
      <c r="C530" s="157" t="s">
        <v>1689</v>
      </c>
      <c r="D530" s="158">
        <v>20</v>
      </c>
      <c r="E530" s="159">
        <v>596.12</v>
      </c>
      <c r="F530" s="158">
        <v>11922.4</v>
      </c>
      <c r="G530" s="160" t="s">
        <v>3583</v>
      </c>
      <c r="H530" s="1269" t="str">
        <f t="shared" si="16"/>
        <v xml:space="preserve">015742D408
</v>
      </c>
      <c r="I530" s="670">
        <v>522</v>
      </c>
    </row>
    <row r="531" spans="1:9" ht="31.5">
      <c r="A531" s="1265" t="s">
        <v>392</v>
      </c>
      <c r="B531" s="8" t="s">
        <v>3584</v>
      </c>
      <c r="C531" s="157" t="s">
        <v>3</v>
      </c>
      <c r="D531" s="158">
        <v>10</v>
      </c>
      <c r="E531" s="159">
        <v>248.38</v>
      </c>
      <c r="F531" s="158">
        <v>2483.8000000000002</v>
      </c>
      <c r="G531" s="160" t="s">
        <v>3585</v>
      </c>
      <c r="H531" s="1269" t="str">
        <f t="shared" si="16"/>
        <v xml:space="preserve">0152101202
</v>
      </c>
      <c r="I531" s="670">
        <v>523</v>
      </c>
    </row>
    <row r="532" spans="1:9" ht="28.5">
      <c r="A532" s="1265" t="s">
        <v>393</v>
      </c>
      <c r="B532" s="8" t="s">
        <v>3586</v>
      </c>
      <c r="C532" s="157" t="s">
        <v>14</v>
      </c>
      <c r="D532" s="158">
        <v>1</v>
      </c>
      <c r="E532" s="159">
        <v>105600</v>
      </c>
      <c r="F532" s="158">
        <v>105600</v>
      </c>
      <c r="G532" s="160" t="s">
        <v>3587</v>
      </c>
      <c r="H532" s="1269" t="str">
        <f t="shared" si="16"/>
        <v>L000007000004
[人力工項不打折]</v>
      </c>
      <c r="I532" s="670">
        <v>524</v>
      </c>
    </row>
    <row r="533" spans="1:9" ht="47.25">
      <c r="A533" s="1265" t="s">
        <v>394</v>
      </c>
      <c r="B533" s="8" t="s">
        <v>3588</v>
      </c>
      <c r="C533" s="157" t="s">
        <v>14</v>
      </c>
      <c r="D533" s="158">
        <v>1</v>
      </c>
      <c r="E533" s="159">
        <v>29806.15</v>
      </c>
      <c r="F533" s="158">
        <v>29806.15</v>
      </c>
      <c r="G533" s="160" t="s">
        <v>3589</v>
      </c>
      <c r="H533" s="1269" t="str">
        <f t="shared" si="16"/>
        <v>0157433004
#</v>
      </c>
      <c r="I533" s="670">
        <v>525</v>
      </c>
    </row>
    <row r="534" spans="1:9" ht="31.5">
      <c r="A534" s="1265" t="s">
        <v>395</v>
      </c>
      <c r="B534" s="8" t="s">
        <v>3590</v>
      </c>
      <c r="C534" s="157" t="s">
        <v>14</v>
      </c>
      <c r="D534" s="158">
        <v>1</v>
      </c>
      <c r="E534" s="159">
        <v>29806.15</v>
      </c>
      <c r="F534" s="158">
        <v>29806.15</v>
      </c>
      <c r="G534" s="160" t="s">
        <v>3591</v>
      </c>
      <c r="H534" s="1269" t="str">
        <f t="shared" si="16"/>
        <v>0157400004
#</v>
      </c>
      <c r="I534" s="670">
        <v>526</v>
      </c>
    </row>
    <row r="535" spans="1:9">
      <c r="A535" s="1265" t="s">
        <v>3592</v>
      </c>
      <c r="B535" s="8" t="s">
        <v>3593</v>
      </c>
      <c r="C535" s="157" t="s">
        <v>14</v>
      </c>
      <c r="D535" s="158">
        <v>1</v>
      </c>
      <c r="E535" s="159"/>
      <c r="F535" s="158">
        <v>173372.54</v>
      </c>
      <c r="G535" s="160" t="s">
        <v>4866</v>
      </c>
      <c r="H535" s="1269" t="str">
        <f t="shared" si="16"/>
        <v>依工程費×1.63%</v>
      </c>
      <c r="I535" s="670">
        <v>527</v>
      </c>
    </row>
    <row r="536" spans="1:9" ht="31.5">
      <c r="A536" s="1265" t="s">
        <v>396</v>
      </c>
      <c r="B536" s="8" t="s">
        <v>3595</v>
      </c>
      <c r="C536" s="157" t="s">
        <v>2238</v>
      </c>
      <c r="D536" s="158">
        <v>30</v>
      </c>
      <c r="E536" s="159">
        <v>2483.85</v>
      </c>
      <c r="F536" s="158">
        <v>74515.5</v>
      </c>
      <c r="G536" s="160" t="s">
        <v>3596</v>
      </c>
      <c r="H536" s="1269" t="str">
        <f t="shared" si="16"/>
        <v xml:space="preserve">01510C100F
</v>
      </c>
      <c r="I536" s="670">
        <v>528</v>
      </c>
    </row>
    <row r="537" spans="1:9" ht="31.5">
      <c r="A537" s="1265" t="s">
        <v>397</v>
      </c>
      <c r="B537" s="8" t="s">
        <v>3597</v>
      </c>
      <c r="C537" s="157" t="s">
        <v>14</v>
      </c>
      <c r="D537" s="158">
        <v>1</v>
      </c>
      <c r="E537" s="159">
        <v>24838.45</v>
      </c>
      <c r="F537" s="158">
        <v>24838.45</v>
      </c>
      <c r="G537" s="160" t="s">
        <v>3598</v>
      </c>
      <c r="H537" s="1269" t="str">
        <f t="shared" si="16"/>
        <v xml:space="preserve">01510C2004
</v>
      </c>
      <c r="I537" s="670">
        <v>529</v>
      </c>
    </row>
    <row r="538" spans="1:9" ht="31.5">
      <c r="A538" s="1265" t="s">
        <v>398</v>
      </c>
      <c r="B538" s="8" t="s">
        <v>3599</v>
      </c>
      <c r="C538" s="157" t="s">
        <v>14</v>
      </c>
      <c r="D538" s="158">
        <v>1</v>
      </c>
      <c r="E538" s="159">
        <v>24838.45</v>
      </c>
      <c r="F538" s="158">
        <v>24838.45</v>
      </c>
      <c r="G538" s="160" t="s">
        <v>3600</v>
      </c>
      <c r="H538" s="1269" t="str">
        <f t="shared" si="16"/>
        <v xml:space="preserve">01510C6004
</v>
      </c>
      <c r="I538" s="670">
        <v>530</v>
      </c>
    </row>
    <row r="539" spans="1:9" ht="28.5">
      <c r="A539" s="1265" t="s">
        <v>399</v>
      </c>
      <c r="B539" s="8" t="s">
        <v>3601</v>
      </c>
      <c r="C539" s="157" t="s">
        <v>14</v>
      </c>
      <c r="D539" s="158">
        <v>1</v>
      </c>
      <c r="E539" s="159">
        <v>24838.45</v>
      </c>
      <c r="F539" s="158">
        <v>24838.45</v>
      </c>
      <c r="G539" s="160" t="s">
        <v>3602</v>
      </c>
      <c r="H539" s="1269" t="str">
        <f t="shared" si="16"/>
        <v xml:space="preserve">01510C7004
</v>
      </c>
      <c r="I539" s="670">
        <v>531</v>
      </c>
    </row>
    <row r="540" spans="1:9" ht="31.5">
      <c r="A540" s="1265" t="s">
        <v>400</v>
      </c>
      <c r="B540" s="8" t="s">
        <v>3603</v>
      </c>
      <c r="C540" s="157" t="s">
        <v>14</v>
      </c>
      <c r="D540" s="158">
        <v>1</v>
      </c>
      <c r="E540" s="159">
        <v>24341.69</v>
      </c>
      <c r="F540" s="158">
        <v>24341.69</v>
      </c>
      <c r="G540" s="160" t="s">
        <v>533</v>
      </c>
      <c r="H540" s="1269" t="str">
        <f t="shared" si="16"/>
        <v xml:space="preserve">01510C8004
</v>
      </c>
      <c r="I540" s="670">
        <v>532</v>
      </c>
    </row>
    <row r="541" spans="1:9">
      <c r="A541" s="1265" t="s">
        <v>3604</v>
      </c>
      <c r="B541" s="8" t="s">
        <v>3605</v>
      </c>
      <c r="C541" s="157" t="s">
        <v>14</v>
      </c>
      <c r="D541" s="158">
        <v>1</v>
      </c>
      <c r="E541" s="159"/>
      <c r="F541" s="158">
        <v>208480</v>
      </c>
      <c r="G541" s="160" t="s">
        <v>4867</v>
      </c>
      <c r="H541" s="1269" t="str">
        <f t="shared" si="16"/>
        <v>依工程費×1.96</v>
      </c>
      <c r="I541" s="670">
        <v>533</v>
      </c>
    </row>
    <row r="542" spans="1:9" ht="31.5">
      <c r="A542" s="1265" t="s">
        <v>3607</v>
      </c>
      <c r="B542" s="8" t="s">
        <v>3608</v>
      </c>
      <c r="C542" s="157" t="s">
        <v>14</v>
      </c>
      <c r="D542" s="158">
        <v>1</v>
      </c>
      <c r="E542" s="159"/>
      <c r="F542" s="158">
        <v>1351102.01</v>
      </c>
      <c r="G542" s="160" t="s">
        <v>5482</v>
      </c>
      <c r="H542" s="1269" t="str">
        <f t="shared" si="16"/>
        <v>(壹.一-壹.八)*_x000D_
[約10.94603736%]</v>
      </c>
      <c r="I542" s="670">
        <v>534</v>
      </c>
    </row>
    <row r="543" spans="1:9">
      <c r="A543" s="1265" t="s">
        <v>3610</v>
      </c>
      <c r="B543" s="8" t="s">
        <v>3611</v>
      </c>
      <c r="C543" s="157" t="s">
        <v>14</v>
      </c>
      <c r="D543" s="158">
        <v>1</v>
      </c>
      <c r="E543" s="159"/>
      <c r="F543" s="158">
        <v>5600</v>
      </c>
      <c r="G543" s="160" t="s">
        <v>2</v>
      </c>
      <c r="H543" s="1269" t="str">
        <f t="shared" si="16"/>
        <v/>
      </c>
      <c r="I543" s="670">
        <v>535</v>
      </c>
    </row>
    <row r="544" spans="1:9" ht="99.75">
      <c r="A544" s="1265" t="s">
        <v>534</v>
      </c>
      <c r="B544" s="8" t="s">
        <v>3612</v>
      </c>
      <c r="C544" s="157" t="s">
        <v>3</v>
      </c>
      <c r="D544" s="158">
        <v>100</v>
      </c>
      <c r="E544" s="159">
        <v>56</v>
      </c>
      <c r="F544" s="158">
        <v>5600</v>
      </c>
      <c r="G544" s="160" t="s">
        <v>3613</v>
      </c>
      <c r="H544" s="1269" t="str">
        <f t="shared" si="16"/>
        <v>0225305002
本項單價為固定值(56元/M2)，訂約時不隨折數調整，依實際鑑定戶數計架並檢據核銷(費用不另計稅什費)</v>
      </c>
      <c r="I544" s="670">
        <v>536</v>
      </c>
    </row>
    <row r="545" spans="1:7">
      <c r="A545" s="1265"/>
      <c r="B545" s="1266" t="s">
        <v>3614</v>
      </c>
      <c r="C545" s="157"/>
      <c r="D545" s="158"/>
      <c r="E545" s="159"/>
      <c r="F545" s="158">
        <v>13700000</v>
      </c>
      <c r="G545" s="160"/>
    </row>
    <row r="546" spans="1:7">
      <c r="A546" s="1265"/>
      <c r="B546" s="1266" t="s">
        <v>3615</v>
      </c>
      <c r="C546" s="157"/>
      <c r="D546" s="158"/>
      <c r="E546" s="159"/>
      <c r="F546" s="158">
        <v>13700000</v>
      </c>
      <c r="G546" s="160"/>
    </row>
    <row r="547" spans="1:7">
      <c r="A547" s="1648" t="s">
        <v>3616</v>
      </c>
      <c r="B547" s="1649"/>
      <c r="C547" s="1649"/>
      <c r="D547" s="1649"/>
      <c r="E547" s="1649"/>
      <c r="F547" s="1649"/>
      <c r="G547" s="1650"/>
    </row>
    <row r="548" spans="1:7">
      <c r="A548" s="1651" t="s">
        <v>4868</v>
      </c>
      <c r="B548" s="1652"/>
      <c r="C548" s="1652"/>
      <c r="D548" s="1652"/>
      <c r="E548" s="1652"/>
      <c r="F548" s="1652"/>
      <c r="G548" s="1653"/>
    </row>
  </sheetData>
  <mergeCells count="8">
    <mergeCell ref="A547:G547"/>
    <mergeCell ref="A548:G548"/>
    <mergeCell ref="A1:G1"/>
    <mergeCell ref="A2:G2"/>
    <mergeCell ref="A3:G3"/>
    <mergeCell ref="A4:G4"/>
    <mergeCell ref="A5:E5"/>
    <mergeCell ref="F5:G5"/>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10">
    <tabColor theme="5" tint="0.39997558519241921"/>
  </sheetPr>
  <dimension ref="A1:J548"/>
  <sheetViews>
    <sheetView zoomScaleNormal="100" workbookViewId="0">
      <selection activeCell="J5" sqref="J5"/>
    </sheetView>
  </sheetViews>
  <sheetFormatPr defaultRowHeight="16.5"/>
  <cols>
    <col min="1" max="1" width="5.25" style="1270" customWidth="1"/>
    <col min="2" max="2" width="26.25" style="162" customWidth="1"/>
    <col min="3" max="3" width="5.5" style="162" customWidth="1"/>
    <col min="4" max="4" width="8.5" style="163" customWidth="1"/>
    <col min="5" max="5" width="10.875" style="162" customWidth="1"/>
    <col min="6" max="6" width="10.875" style="164" customWidth="1"/>
    <col min="7" max="7" width="15.25" style="165" customWidth="1"/>
    <col min="8" max="8" width="15.25" style="170" customWidth="1"/>
    <col min="9" max="9" width="9" style="23" customWidth="1"/>
    <col min="10" max="10" width="9" customWidth="1"/>
  </cols>
  <sheetData>
    <row r="1" spans="1:10" s="4" customFormat="1" ht="16.5" customHeight="1">
      <c r="A1" s="1654" t="s">
        <v>914</v>
      </c>
      <c r="B1" s="1654"/>
      <c r="C1" s="1654"/>
      <c r="D1" s="1654"/>
      <c r="E1" s="1654"/>
      <c r="F1" s="1654"/>
      <c r="G1" s="1654"/>
      <c r="H1" s="166"/>
      <c r="I1" s="11"/>
      <c r="J1" s="4" t="str">
        <f>A1</f>
        <v>臺北市政府工務局水利工程處</v>
      </c>
    </row>
    <row r="2" spans="1:10" s="4" customFormat="1" ht="16.5" customHeight="1">
      <c r="A2" s="1654" t="s">
        <v>2989</v>
      </c>
      <c r="B2" s="1654"/>
      <c r="C2" s="1654"/>
      <c r="D2" s="1654"/>
      <c r="E2" s="1654"/>
      <c r="F2" s="1654"/>
      <c r="G2" s="1654"/>
      <c r="H2" s="166"/>
      <c r="I2" s="11"/>
      <c r="J2" s="4" t="str">
        <f t="shared" ref="J2:J65" si="0">A2</f>
        <v>詳 細 價 目 表</v>
      </c>
    </row>
    <row r="3" spans="1:10" s="4" customFormat="1" ht="16.5" customHeight="1">
      <c r="A3" s="1655"/>
      <c r="B3" s="1655"/>
      <c r="C3" s="1655"/>
      <c r="D3" s="1655"/>
      <c r="E3" s="1655"/>
      <c r="F3" s="1655"/>
      <c r="G3" s="1655"/>
      <c r="H3" s="167"/>
      <c r="I3" s="11"/>
      <c r="J3" s="4">
        <f t="shared" si="0"/>
        <v>0</v>
      </c>
    </row>
    <row r="4" spans="1:10" s="4" customFormat="1" ht="17.100000000000001" customHeight="1">
      <c r="A4" s="1656" t="s">
        <v>5524</v>
      </c>
      <c r="B4" s="1656"/>
      <c r="C4" s="1656"/>
      <c r="D4" s="1656"/>
      <c r="E4" s="1656"/>
      <c r="F4" s="1656"/>
      <c r="G4" s="1656"/>
      <c r="H4" s="963" t="s">
        <v>5525</v>
      </c>
      <c r="I4" s="11"/>
      <c r="J4" s="4" t="str">
        <f t="shared" si="0"/>
        <v>工程名稱：114年度續約-113年度雨水下水道預約維護工程(士林、大同區)</v>
      </c>
    </row>
    <row r="5" spans="1:10" s="5" customFormat="1" ht="18" customHeight="1">
      <c r="A5" s="1656" t="s">
        <v>5057</v>
      </c>
      <c r="B5" s="1656"/>
      <c r="C5" s="1656"/>
      <c r="D5" s="1656"/>
      <c r="E5" s="1656"/>
      <c r="F5" s="1657" t="s">
        <v>5523</v>
      </c>
      <c r="G5" s="1657"/>
      <c r="H5" s="48"/>
      <c r="I5" s="13"/>
      <c r="J5" s="5" t="str">
        <f t="shared" si="0"/>
        <v>施工地點：臺北市士林、大同區</v>
      </c>
    </row>
    <row r="6" spans="1:10" s="4" customFormat="1">
      <c r="A6" s="151" t="s">
        <v>10</v>
      </c>
      <c r="B6" s="152" t="s">
        <v>917</v>
      </c>
      <c r="C6" s="152" t="s">
        <v>12</v>
      </c>
      <c r="D6" s="153" t="s">
        <v>11</v>
      </c>
      <c r="E6" s="154" t="s">
        <v>918</v>
      </c>
      <c r="F6" s="155" t="s">
        <v>919</v>
      </c>
      <c r="G6" s="152" t="s">
        <v>920</v>
      </c>
      <c r="H6" s="168"/>
      <c r="I6" s="11"/>
      <c r="J6" s="4" t="str">
        <f t="shared" si="0"/>
        <v>項次</v>
      </c>
    </row>
    <row r="7" spans="1:10" s="4" customFormat="1">
      <c r="A7" s="1265" t="s">
        <v>2991</v>
      </c>
      <c r="B7" s="8" t="s">
        <v>2992</v>
      </c>
      <c r="C7" s="157" t="s">
        <v>14</v>
      </c>
      <c r="D7" s="158">
        <v>1</v>
      </c>
      <c r="E7" s="159"/>
      <c r="F7" s="158">
        <v>16500000</v>
      </c>
      <c r="G7" s="160" t="s">
        <v>2</v>
      </c>
      <c r="H7" s="169"/>
      <c r="I7" s="11"/>
      <c r="J7" s="4" t="str">
        <f t="shared" si="0"/>
        <v>壹</v>
      </c>
    </row>
    <row r="8" spans="1:10" s="4" customFormat="1">
      <c r="A8" s="1265" t="s">
        <v>2993</v>
      </c>
      <c r="B8" s="8" t="s">
        <v>2994</v>
      </c>
      <c r="C8" s="157" t="s">
        <v>14</v>
      </c>
      <c r="D8" s="158">
        <v>1</v>
      </c>
      <c r="E8" s="159"/>
      <c r="F8" s="158">
        <v>12859915.57</v>
      </c>
      <c r="G8" s="160" t="s">
        <v>2995</v>
      </c>
      <c r="H8" s="169"/>
      <c r="I8" s="11"/>
      <c r="J8" s="4" t="str">
        <f t="shared" si="0"/>
        <v>　一</v>
      </c>
    </row>
    <row r="9" spans="1:10" s="4" customFormat="1" ht="28.5">
      <c r="A9" s="1265" t="s">
        <v>28</v>
      </c>
      <c r="B9" s="8" t="s">
        <v>2996</v>
      </c>
      <c r="C9" s="157" t="s">
        <v>927</v>
      </c>
      <c r="D9" s="158">
        <v>100</v>
      </c>
      <c r="E9" s="159">
        <v>401</v>
      </c>
      <c r="F9" s="158">
        <v>40100</v>
      </c>
      <c r="G9" s="160" t="s">
        <v>2997</v>
      </c>
      <c r="H9" s="962" t="str">
        <f>G9</f>
        <v>L0000051000Q1
[人力工項不打折]</v>
      </c>
      <c r="I9" s="22">
        <v>1</v>
      </c>
      <c r="J9" s="4" t="str">
        <f t="shared" si="0"/>
        <v>1.1</v>
      </c>
    </row>
    <row r="10" spans="1:10" s="4" customFormat="1" ht="28.5">
      <c r="A10" s="1265" t="s">
        <v>29</v>
      </c>
      <c r="B10" s="8" t="s">
        <v>2998</v>
      </c>
      <c r="C10" s="157" t="s">
        <v>927</v>
      </c>
      <c r="D10" s="158">
        <v>100</v>
      </c>
      <c r="E10" s="159">
        <v>401</v>
      </c>
      <c r="F10" s="158">
        <v>40100</v>
      </c>
      <c r="G10" s="160" t="s">
        <v>2999</v>
      </c>
      <c r="H10" s="962" t="str">
        <f>G10</f>
        <v>L000005301021
[人力工項不打折]</v>
      </c>
      <c r="I10" s="22">
        <v>2</v>
      </c>
      <c r="J10" s="4" t="str">
        <f t="shared" si="0"/>
        <v>1.2</v>
      </c>
    </row>
    <row r="11" spans="1:10" s="4" customFormat="1" ht="28.5">
      <c r="A11" s="1265" t="s">
        <v>30</v>
      </c>
      <c r="B11" s="8" t="s">
        <v>1078</v>
      </c>
      <c r="C11" s="157" t="s">
        <v>927</v>
      </c>
      <c r="D11" s="158">
        <v>100</v>
      </c>
      <c r="E11" s="159">
        <v>401</v>
      </c>
      <c r="F11" s="158">
        <v>40100</v>
      </c>
      <c r="G11" s="160" t="s">
        <v>3000</v>
      </c>
      <c r="H11" s="962" t="str">
        <f t="shared" ref="H11:H74" si="1">G11</f>
        <v>L000005300061
[人力工項不打折]</v>
      </c>
      <c r="I11" s="22">
        <v>3</v>
      </c>
      <c r="J11" s="4" t="str">
        <f t="shared" si="0"/>
        <v>1.3</v>
      </c>
    </row>
    <row r="12" spans="1:10" s="4" customFormat="1" ht="28.5">
      <c r="A12" s="1265" t="s">
        <v>31</v>
      </c>
      <c r="B12" s="8" t="s">
        <v>3001</v>
      </c>
      <c r="C12" s="157" t="s">
        <v>927</v>
      </c>
      <c r="D12" s="158">
        <v>100</v>
      </c>
      <c r="E12" s="159">
        <v>281</v>
      </c>
      <c r="F12" s="158">
        <v>28100</v>
      </c>
      <c r="G12" s="160" t="s">
        <v>3002</v>
      </c>
      <c r="H12" s="962" t="str">
        <f t="shared" si="1"/>
        <v>L000006A00001
[人力工項不打折]</v>
      </c>
      <c r="I12" s="22">
        <v>4</v>
      </c>
      <c r="J12" s="4" t="str">
        <f t="shared" si="0"/>
        <v>1.4</v>
      </c>
    </row>
    <row r="13" spans="1:10" s="4" customFormat="1" ht="28.5">
      <c r="A13" s="1265" t="s">
        <v>32</v>
      </c>
      <c r="B13" s="8" t="s">
        <v>3003</v>
      </c>
      <c r="C13" s="157" t="s">
        <v>927</v>
      </c>
      <c r="D13" s="158">
        <v>100</v>
      </c>
      <c r="E13" s="159">
        <v>410</v>
      </c>
      <c r="F13" s="158">
        <v>41000</v>
      </c>
      <c r="G13" s="160" t="s">
        <v>3004</v>
      </c>
      <c r="H13" s="962" t="str">
        <f t="shared" si="1"/>
        <v>L000005000301
[人力工項不打折]</v>
      </c>
      <c r="I13" s="22">
        <v>5</v>
      </c>
      <c r="J13" s="4" t="str">
        <f t="shared" si="0"/>
        <v>1.5</v>
      </c>
    </row>
    <row r="14" spans="1:10" s="4" customFormat="1" ht="28.5">
      <c r="A14" s="1265" t="s">
        <v>33</v>
      </c>
      <c r="B14" s="8" t="s">
        <v>4408</v>
      </c>
      <c r="C14" s="157" t="s">
        <v>927</v>
      </c>
      <c r="D14" s="158">
        <v>100</v>
      </c>
      <c r="E14" s="159">
        <v>820</v>
      </c>
      <c r="F14" s="158">
        <v>82000</v>
      </c>
      <c r="G14" s="160" t="s">
        <v>4409</v>
      </c>
      <c r="H14" s="962" t="str">
        <f t="shared" si="1"/>
        <v>L000005020301
[人力工項不打折]</v>
      </c>
      <c r="I14" s="22">
        <v>6</v>
      </c>
      <c r="J14" s="4" t="str">
        <f t="shared" si="0"/>
        <v>1.6</v>
      </c>
    </row>
    <row r="15" spans="1:10" s="4" customFormat="1" ht="28.5">
      <c r="A15" s="1265" t="s">
        <v>34</v>
      </c>
      <c r="B15" s="8" t="s">
        <v>4410</v>
      </c>
      <c r="C15" s="157" t="s">
        <v>927</v>
      </c>
      <c r="D15" s="158">
        <v>100</v>
      </c>
      <c r="E15" s="159">
        <v>802</v>
      </c>
      <c r="F15" s="158">
        <v>80200</v>
      </c>
      <c r="G15" s="160" t="s">
        <v>4411</v>
      </c>
      <c r="H15" s="962" t="str">
        <f t="shared" si="1"/>
        <v>L0000051020Q1
[人力工項不打折]</v>
      </c>
      <c r="I15" s="22">
        <v>7</v>
      </c>
      <c r="J15" s="4" t="str">
        <f t="shared" si="0"/>
        <v>1.7</v>
      </c>
    </row>
    <row r="16" spans="1:10" s="4" customFormat="1" ht="28.5">
      <c r="A16" s="1265" t="s">
        <v>35</v>
      </c>
      <c r="B16" s="8" t="s">
        <v>4412</v>
      </c>
      <c r="C16" s="157" t="s">
        <v>927</v>
      </c>
      <c r="D16" s="158">
        <v>100</v>
      </c>
      <c r="E16" s="159">
        <v>802</v>
      </c>
      <c r="F16" s="158">
        <v>80200</v>
      </c>
      <c r="G16" s="160" t="s">
        <v>4413</v>
      </c>
      <c r="H16" s="962" t="str">
        <f t="shared" si="1"/>
        <v>L000005302061
[人力工項不打折]</v>
      </c>
      <c r="I16" s="22">
        <v>8</v>
      </c>
      <c r="J16" s="4" t="str">
        <f t="shared" si="0"/>
        <v>1.8</v>
      </c>
    </row>
    <row r="17" spans="1:10" s="4" customFormat="1" ht="28.5">
      <c r="A17" s="1265" t="s">
        <v>36</v>
      </c>
      <c r="B17" s="8" t="s">
        <v>4414</v>
      </c>
      <c r="C17" s="157" t="s">
        <v>927</v>
      </c>
      <c r="D17" s="158">
        <v>100</v>
      </c>
      <c r="E17" s="159">
        <v>562</v>
      </c>
      <c r="F17" s="158">
        <v>56200</v>
      </c>
      <c r="G17" s="160" t="s">
        <v>4415</v>
      </c>
      <c r="H17" s="962" t="str">
        <f t="shared" si="1"/>
        <v>L000006A02001
[人力工項不打折]</v>
      </c>
      <c r="I17" s="22">
        <v>9</v>
      </c>
      <c r="J17" s="4" t="str">
        <f t="shared" si="0"/>
        <v>1.9</v>
      </c>
    </row>
    <row r="18" spans="1:10" s="4" customFormat="1" ht="28.5">
      <c r="A18" s="1265" t="s">
        <v>37</v>
      </c>
      <c r="B18" s="8" t="s">
        <v>3005</v>
      </c>
      <c r="C18" s="157" t="s">
        <v>927</v>
      </c>
      <c r="D18" s="158">
        <v>20</v>
      </c>
      <c r="E18" s="159">
        <v>1125.73</v>
      </c>
      <c r="F18" s="158">
        <v>22514.6</v>
      </c>
      <c r="G18" s="160" t="s">
        <v>3006</v>
      </c>
      <c r="H18" s="962" t="str">
        <f t="shared" si="1"/>
        <v xml:space="preserve">E000002500BA1
</v>
      </c>
      <c r="I18" s="22">
        <v>10</v>
      </c>
      <c r="J18" s="4" t="str">
        <f t="shared" si="0"/>
        <v>1.10</v>
      </c>
    </row>
    <row r="19" spans="1:10" s="4" customFormat="1" ht="28.5">
      <c r="A19" s="1265" t="s">
        <v>38</v>
      </c>
      <c r="B19" s="8" t="s">
        <v>4065</v>
      </c>
      <c r="C19" s="157" t="s">
        <v>927</v>
      </c>
      <c r="D19" s="158">
        <v>20</v>
      </c>
      <c r="E19" s="159">
        <v>769.08</v>
      </c>
      <c r="F19" s="158">
        <v>15381.6</v>
      </c>
      <c r="G19" s="160" t="s">
        <v>1057</v>
      </c>
      <c r="H19" s="962" t="str">
        <f t="shared" si="1"/>
        <v xml:space="preserve">E000002880001
</v>
      </c>
      <c r="I19" s="22">
        <v>11</v>
      </c>
      <c r="J19" s="4" t="str">
        <f t="shared" si="0"/>
        <v>1.11</v>
      </c>
    </row>
    <row r="20" spans="1:10" s="4" customFormat="1" ht="28.5">
      <c r="A20" s="1265" t="s">
        <v>39</v>
      </c>
      <c r="B20" s="8" t="s">
        <v>5475</v>
      </c>
      <c r="C20" s="157" t="s">
        <v>927</v>
      </c>
      <c r="D20" s="158">
        <v>20</v>
      </c>
      <c r="E20" s="159">
        <v>398.49</v>
      </c>
      <c r="F20" s="158">
        <v>7969.8</v>
      </c>
      <c r="G20" s="160" t="s">
        <v>1077</v>
      </c>
      <c r="H20" s="962" t="str">
        <f t="shared" si="1"/>
        <v xml:space="preserve">E000003903001
</v>
      </c>
      <c r="I20" s="22">
        <v>12</v>
      </c>
      <c r="J20" s="4" t="str">
        <f t="shared" si="0"/>
        <v>1.12</v>
      </c>
    </row>
    <row r="21" spans="1:10" s="4" customFormat="1" ht="28.5">
      <c r="A21" s="1265" t="s">
        <v>40</v>
      </c>
      <c r="B21" s="8" t="s">
        <v>1084</v>
      </c>
      <c r="C21" s="157" t="s">
        <v>927</v>
      </c>
      <c r="D21" s="158">
        <v>20</v>
      </c>
      <c r="E21" s="159">
        <v>687.39</v>
      </c>
      <c r="F21" s="158">
        <v>13747.8</v>
      </c>
      <c r="G21" s="160" t="s">
        <v>1085</v>
      </c>
      <c r="H21" s="962" t="str">
        <f t="shared" si="1"/>
        <v xml:space="preserve">E000003400001
</v>
      </c>
      <c r="I21" s="22">
        <v>13</v>
      </c>
      <c r="J21" s="4" t="str">
        <f t="shared" si="0"/>
        <v>1.13</v>
      </c>
    </row>
    <row r="22" spans="1:10" s="4" customFormat="1" ht="28.5">
      <c r="A22" s="1265" t="s">
        <v>41</v>
      </c>
      <c r="B22" s="8" t="s">
        <v>997</v>
      </c>
      <c r="C22" s="157" t="s">
        <v>927</v>
      </c>
      <c r="D22" s="158">
        <v>20</v>
      </c>
      <c r="E22" s="159">
        <v>1155.6099999999999</v>
      </c>
      <c r="F22" s="158">
        <v>23112.2</v>
      </c>
      <c r="G22" s="160" t="s">
        <v>998</v>
      </c>
      <c r="H22" s="962" t="str">
        <f t="shared" si="1"/>
        <v xml:space="preserve">E000003415001
</v>
      </c>
      <c r="I22" s="22">
        <v>14</v>
      </c>
      <c r="J22" s="4" t="str">
        <f t="shared" si="0"/>
        <v>1.14</v>
      </c>
    </row>
    <row r="23" spans="1:10" s="4" customFormat="1" ht="28.5">
      <c r="A23" s="1265" t="s">
        <v>42</v>
      </c>
      <c r="B23" s="8" t="s">
        <v>1093</v>
      </c>
      <c r="C23" s="157" t="s">
        <v>927</v>
      </c>
      <c r="D23" s="158">
        <v>20</v>
      </c>
      <c r="E23" s="159">
        <v>1574.03</v>
      </c>
      <c r="F23" s="158">
        <v>31480.6</v>
      </c>
      <c r="G23" s="160" t="s">
        <v>1094</v>
      </c>
      <c r="H23" s="962" t="str">
        <f t="shared" si="1"/>
        <v xml:space="preserve">E000003435001
</v>
      </c>
      <c r="I23" s="22">
        <v>15</v>
      </c>
      <c r="J23" s="4" t="str">
        <f t="shared" si="0"/>
        <v>1.15</v>
      </c>
    </row>
    <row r="24" spans="1:10" s="4" customFormat="1" ht="28.5">
      <c r="A24" s="1265" t="s">
        <v>43</v>
      </c>
      <c r="B24" s="8" t="s">
        <v>1774</v>
      </c>
      <c r="C24" s="157" t="s">
        <v>927</v>
      </c>
      <c r="D24" s="158">
        <v>20</v>
      </c>
      <c r="E24" s="159">
        <v>1414.63</v>
      </c>
      <c r="F24" s="158">
        <v>28292.6</v>
      </c>
      <c r="G24" s="160" t="s">
        <v>1775</v>
      </c>
      <c r="H24" s="962" t="str">
        <f t="shared" si="1"/>
        <v xml:space="preserve">E000003E10001
</v>
      </c>
      <c r="I24" s="22">
        <v>16</v>
      </c>
      <c r="J24" s="4" t="str">
        <f t="shared" si="0"/>
        <v>1.16</v>
      </c>
    </row>
    <row r="25" spans="1:10" s="4" customFormat="1" ht="28.5">
      <c r="A25" s="1265" t="s">
        <v>44</v>
      </c>
      <c r="B25" s="8" t="s">
        <v>5476</v>
      </c>
      <c r="C25" s="157" t="s">
        <v>927</v>
      </c>
      <c r="D25" s="158">
        <v>20</v>
      </c>
      <c r="E25" s="159">
        <v>1394.71</v>
      </c>
      <c r="F25" s="158">
        <v>27894.2</v>
      </c>
      <c r="G25" s="160" t="s">
        <v>1051</v>
      </c>
      <c r="H25" s="962" t="str">
        <f t="shared" si="1"/>
        <v xml:space="preserve">E000004101201
</v>
      </c>
      <c r="I25" s="22">
        <v>17</v>
      </c>
      <c r="J25" s="4" t="str">
        <f t="shared" si="0"/>
        <v>1.17</v>
      </c>
    </row>
    <row r="26" spans="1:10" s="4" customFormat="1" ht="28.5">
      <c r="A26" s="1265" t="s">
        <v>45</v>
      </c>
      <c r="B26" s="8" t="s">
        <v>3634</v>
      </c>
      <c r="C26" s="157" t="s">
        <v>927</v>
      </c>
      <c r="D26" s="158">
        <v>20</v>
      </c>
      <c r="E26" s="159">
        <v>1494.33</v>
      </c>
      <c r="F26" s="158">
        <v>29886.6</v>
      </c>
      <c r="G26" s="160" t="s">
        <v>930</v>
      </c>
      <c r="H26" s="962" t="str">
        <f t="shared" si="1"/>
        <v xml:space="preserve">E000004407001
</v>
      </c>
      <c r="I26" s="22">
        <v>18</v>
      </c>
      <c r="J26" s="4" t="str">
        <f t="shared" si="0"/>
        <v>1.18</v>
      </c>
    </row>
    <row r="27" spans="1:10" s="4" customFormat="1" ht="28.5">
      <c r="A27" s="1265" t="s">
        <v>46</v>
      </c>
      <c r="B27" s="8" t="s">
        <v>3007</v>
      </c>
      <c r="C27" s="157" t="s">
        <v>927</v>
      </c>
      <c r="D27" s="158">
        <v>20</v>
      </c>
      <c r="E27" s="159">
        <v>713.29</v>
      </c>
      <c r="F27" s="158">
        <v>14265.8</v>
      </c>
      <c r="G27" s="160" t="s">
        <v>3008</v>
      </c>
      <c r="H27" s="962" t="str">
        <f t="shared" si="1"/>
        <v xml:space="preserve">E000002420001
</v>
      </c>
      <c r="I27" s="22">
        <v>19</v>
      </c>
      <c r="J27" s="4" t="str">
        <f t="shared" si="0"/>
        <v>1.19</v>
      </c>
    </row>
    <row r="28" spans="1:10" s="4" customFormat="1" ht="42.75">
      <c r="A28" s="1265" t="s">
        <v>47</v>
      </c>
      <c r="B28" s="8" t="s">
        <v>923</v>
      </c>
      <c r="C28" s="157" t="s">
        <v>0</v>
      </c>
      <c r="D28" s="158">
        <v>20</v>
      </c>
      <c r="E28" s="159">
        <v>1055.19</v>
      </c>
      <c r="F28" s="158">
        <v>21103.8</v>
      </c>
      <c r="G28" s="160" t="s">
        <v>3009</v>
      </c>
      <c r="H28" s="962" t="str">
        <f t="shared" si="1"/>
        <v xml:space="preserve">0222010E23
分析表1_x000D_
</v>
      </c>
      <c r="I28" s="22">
        <v>20</v>
      </c>
      <c r="J28" s="4" t="str">
        <f t="shared" si="0"/>
        <v>1.20</v>
      </c>
    </row>
    <row r="29" spans="1:10" s="4" customFormat="1" ht="42.75">
      <c r="A29" s="1265" t="s">
        <v>48</v>
      </c>
      <c r="B29" s="8" t="s">
        <v>936</v>
      </c>
      <c r="C29" s="157" t="s">
        <v>0</v>
      </c>
      <c r="D29" s="158">
        <v>20</v>
      </c>
      <c r="E29" s="159">
        <v>683.66</v>
      </c>
      <c r="F29" s="158">
        <v>13673.2</v>
      </c>
      <c r="G29" s="160" t="s">
        <v>3010</v>
      </c>
      <c r="H29" s="962" t="str">
        <f t="shared" si="1"/>
        <v xml:space="preserve">0222010423
分析表2_x000D_
</v>
      </c>
      <c r="I29" s="22">
        <v>21</v>
      </c>
      <c r="J29" s="4" t="str">
        <f t="shared" si="0"/>
        <v>1.21</v>
      </c>
    </row>
    <row r="30" spans="1:10" s="4" customFormat="1" ht="42.75">
      <c r="A30" s="1265" t="s">
        <v>49</v>
      </c>
      <c r="B30" s="8" t="s">
        <v>4416</v>
      </c>
      <c r="C30" s="157" t="s">
        <v>0</v>
      </c>
      <c r="D30" s="158">
        <v>20</v>
      </c>
      <c r="E30" s="159">
        <v>1724.83</v>
      </c>
      <c r="F30" s="158">
        <v>34496.6</v>
      </c>
      <c r="G30" s="160" t="s">
        <v>4417</v>
      </c>
      <c r="H30" s="962" t="str">
        <f t="shared" si="1"/>
        <v xml:space="preserve">0222010N23
分析表3_x000D_
</v>
      </c>
      <c r="I30" s="22">
        <v>22</v>
      </c>
      <c r="J30" s="4" t="str">
        <f t="shared" si="0"/>
        <v>1.22</v>
      </c>
    </row>
    <row r="31" spans="1:10" s="4" customFormat="1" ht="42.75">
      <c r="A31" s="1265" t="s">
        <v>50</v>
      </c>
      <c r="B31" s="8" t="s">
        <v>953</v>
      </c>
      <c r="C31" s="157" t="s">
        <v>0</v>
      </c>
      <c r="D31" s="158">
        <v>20</v>
      </c>
      <c r="E31" s="159">
        <v>4382.74</v>
      </c>
      <c r="F31" s="158">
        <v>87654.8</v>
      </c>
      <c r="G31" s="160" t="s">
        <v>4418</v>
      </c>
      <c r="H31" s="962" t="str">
        <f t="shared" si="1"/>
        <v xml:space="preserve">0222020433
分析表4_x000D_
</v>
      </c>
      <c r="I31" s="22">
        <v>23</v>
      </c>
      <c r="J31" s="4" t="str">
        <f t="shared" si="0"/>
        <v>1.23</v>
      </c>
    </row>
    <row r="32" spans="1:10" s="4" customFormat="1" ht="71.25">
      <c r="A32" s="1265" t="s">
        <v>51</v>
      </c>
      <c r="B32" s="8" t="s">
        <v>535</v>
      </c>
      <c r="C32" s="157" t="s">
        <v>0</v>
      </c>
      <c r="D32" s="158">
        <v>20</v>
      </c>
      <c r="E32" s="159">
        <v>5830.2</v>
      </c>
      <c r="F32" s="158">
        <v>116604</v>
      </c>
      <c r="G32" s="160" t="s">
        <v>4419</v>
      </c>
      <c r="H32" s="962" t="str">
        <f t="shared" si="1"/>
        <v>0222020403
分析表5_x000D_
經機關核定每日施工期間未達7小時適用</v>
      </c>
      <c r="I32" s="22">
        <v>24</v>
      </c>
      <c r="J32" s="4" t="str">
        <f t="shared" si="0"/>
        <v>1.24</v>
      </c>
    </row>
    <row r="33" spans="1:10" s="4" customFormat="1" ht="42.75">
      <c r="A33" s="1265" t="s">
        <v>52</v>
      </c>
      <c r="B33" s="8" t="s">
        <v>453</v>
      </c>
      <c r="C33" s="157" t="s">
        <v>0</v>
      </c>
      <c r="D33" s="158">
        <v>20</v>
      </c>
      <c r="E33" s="159">
        <v>5651.42</v>
      </c>
      <c r="F33" s="158">
        <v>113028.4</v>
      </c>
      <c r="G33" s="160" t="s">
        <v>4420</v>
      </c>
      <c r="H33" s="962" t="str">
        <f t="shared" si="1"/>
        <v xml:space="preserve">0222020E33
分析表6_x000D_
</v>
      </c>
      <c r="I33" s="22">
        <v>25</v>
      </c>
      <c r="J33" s="4" t="str">
        <f t="shared" si="0"/>
        <v>1.25</v>
      </c>
    </row>
    <row r="34" spans="1:10" s="4" customFormat="1" ht="71.25">
      <c r="A34" s="1265" t="s">
        <v>53</v>
      </c>
      <c r="B34" s="8" t="s">
        <v>564</v>
      </c>
      <c r="C34" s="157" t="s">
        <v>0</v>
      </c>
      <c r="D34" s="158">
        <v>20</v>
      </c>
      <c r="E34" s="159">
        <v>7516.98</v>
      </c>
      <c r="F34" s="158">
        <v>150339.6</v>
      </c>
      <c r="G34" s="160" t="s">
        <v>4421</v>
      </c>
      <c r="H34" s="962" t="str">
        <f t="shared" si="1"/>
        <v>0222020E03
分析表7_x000D_
經機關核定每日施工期間未達7小時適用</v>
      </c>
      <c r="I34" s="22">
        <v>26</v>
      </c>
      <c r="J34" s="4" t="str">
        <f t="shared" si="0"/>
        <v>1.26</v>
      </c>
    </row>
    <row r="35" spans="1:10" s="4" customFormat="1" ht="42.75">
      <c r="A35" s="1265" t="s">
        <v>54</v>
      </c>
      <c r="B35" s="8" t="s">
        <v>5486</v>
      </c>
      <c r="C35" s="157" t="s">
        <v>0</v>
      </c>
      <c r="D35" s="158">
        <v>20</v>
      </c>
      <c r="E35" s="159">
        <v>12998.05</v>
      </c>
      <c r="F35" s="158">
        <v>259961</v>
      </c>
      <c r="G35" s="160" t="s">
        <v>4422</v>
      </c>
      <c r="H35" s="962" t="str">
        <f t="shared" si="1"/>
        <v xml:space="preserve">02220212N3
分析表8_x000D_
</v>
      </c>
      <c r="I35" s="22">
        <v>27</v>
      </c>
      <c r="J35" s="4" t="str">
        <f t="shared" si="0"/>
        <v>1.27</v>
      </c>
    </row>
    <row r="36" spans="1:10" s="4" customFormat="1" ht="47.25">
      <c r="A36" s="1265" t="s">
        <v>55</v>
      </c>
      <c r="B36" s="8" t="s">
        <v>939</v>
      </c>
      <c r="C36" s="157" t="s">
        <v>1</v>
      </c>
      <c r="D36" s="158">
        <v>20</v>
      </c>
      <c r="E36" s="159">
        <v>1405.39</v>
      </c>
      <c r="F36" s="158">
        <v>28107.8</v>
      </c>
      <c r="G36" s="160" t="s">
        <v>4423</v>
      </c>
      <c r="H36" s="962" t="str">
        <f t="shared" si="1"/>
        <v xml:space="preserve">023215F00A
分析表9_x000D_
</v>
      </c>
      <c r="I36" s="22">
        <v>28</v>
      </c>
      <c r="J36" s="4" t="str">
        <f t="shared" si="0"/>
        <v>1.28</v>
      </c>
    </row>
    <row r="37" spans="1:10" s="4" customFormat="1" ht="42.75">
      <c r="A37" s="1265" t="s">
        <v>56</v>
      </c>
      <c r="B37" s="8" t="s">
        <v>958</v>
      </c>
      <c r="C37" s="157" t="s">
        <v>1</v>
      </c>
      <c r="D37" s="158">
        <v>20</v>
      </c>
      <c r="E37" s="159">
        <v>3575.4</v>
      </c>
      <c r="F37" s="158">
        <v>71508</v>
      </c>
      <c r="G37" s="160" t="s">
        <v>4424</v>
      </c>
      <c r="H37" s="962" t="str">
        <f t="shared" si="1"/>
        <v xml:space="preserve">023214D00A
分析表10_x000D_
</v>
      </c>
      <c r="I37" s="22">
        <v>29</v>
      </c>
      <c r="J37" s="4" t="str">
        <f t="shared" si="0"/>
        <v>1.29</v>
      </c>
    </row>
    <row r="38" spans="1:10" s="4" customFormat="1" ht="47.25">
      <c r="A38" s="1265" t="s">
        <v>57</v>
      </c>
      <c r="B38" s="8" t="s">
        <v>5477</v>
      </c>
      <c r="C38" s="157" t="s">
        <v>1</v>
      </c>
      <c r="D38" s="158">
        <v>100</v>
      </c>
      <c r="E38" s="159">
        <v>48.77</v>
      </c>
      <c r="F38" s="158">
        <v>4877</v>
      </c>
      <c r="G38" s="160" t="s">
        <v>4425</v>
      </c>
      <c r="H38" s="962" t="str">
        <f t="shared" si="1"/>
        <v xml:space="preserve">02321PWD05AB1
分析表11_x000D_
</v>
      </c>
      <c r="I38" s="22">
        <v>30</v>
      </c>
      <c r="J38" s="4" t="str">
        <f t="shared" si="0"/>
        <v>1.30</v>
      </c>
    </row>
    <row r="39" spans="1:10" s="4" customFormat="1" ht="71.25">
      <c r="A39" s="1265" t="s">
        <v>58</v>
      </c>
      <c r="B39" s="8" t="s">
        <v>4012</v>
      </c>
      <c r="C39" s="157" t="s">
        <v>1</v>
      </c>
      <c r="D39" s="158">
        <v>50</v>
      </c>
      <c r="E39" s="159">
        <v>64.959999999999994</v>
      </c>
      <c r="F39" s="158">
        <v>3248</v>
      </c>
      <c r="G39" s="160" t="s">
        <v>4426</v>
      </c>
      <c r="H39" s="962" t="str">
        <f t="shared" si="1"/>
        <v>023210E00A
分析表12_x000D_
經機關核定每日施工期間未達7小時適用</v>
      </c>
      <c r="I39" s="22">
        <v>31</v>
      </c>
      <c r="J39" s="4" t="str">
        <f t="shared" si="0"/>
        <v>1.31</v>
      </c>
    </row>
    <row r="40" spans="1:10" s="4" customFormat="1" ht="47.25">
      <c r="A40" s="1265" t="s">
        <v>59</v>
      </c>
      <c r="B40" s="8" t="s">
        <v>5478</v>
      </c>
      <c r="C40" s="157" t="s">
        <v>1</v>
      </c>
      <c r="D40" s="158">
        <v>50</v>
      </c>
      <c r="E40" s="159">
        <v>68.03</v>
      </c>
      <c r="F40" s="158">
        <v>3401.5</v>
      </c>
      <c r="G40" s="160" t="s">
        <v>4427</v>
      </c>
      <c r="H40" s="962" t="str">
        <f t="shared" si="1"/>
        <v xml:space="preserve">0232105AN1
分析表13_x000D_
</v>
      </c>
      <c r="I40" s="22">
        <v>32</v>
      </c>
      <c r="J40" s="4" t="str">
        <f t="shared" si="0"/>
        <v>1.32</v>
      </c>
    </row>
    <row r="41" spans="1:10" s="4" customFormat="1" ht="42.75">
      <c r="A41" s="1265" t="s">
        <v>60</v>
      </c>
      <c r="B41" s="8" t="s">
        <v>964</v>
      </c>
      <c r="C41" s="157" t="s">
        <v>1</v>
      </c>
      <c r="D41" s="158">
        <v>10</v>
      </c>
      <c r="E41" s="159">
        <v>4959.42</v>
      </c>
      <c r="F41" s="158">
        <v>49594.2</v>
      </c>
      <c r="G41" s="160" t="s">
        <v>4428</v>
      </c>
      <c r="H41" s="962" t="str">
        <f t="shared" si="1"/>
        <v xml:space="preserve">023215D00A
分析表14_x000D_
</v>
      </c>
      <c r="I41" s="22">
        <v>33</v>
      </c>
      <c r="J41" s="4" t="str">
        <f t="shared" si="0"/>
        <v>1.33</v>
      </c>
    </row>
    <row r="42" spans="1:10" s="4" customFormat="1" ht="47.25">
      <c r="A42" s="1265" t="s">
        <v>61</v>
      </c>
      <c r="B42" s="8" t="s">
        <v>961</v>
      </c>
      <c r="C42" s="157" t="s">
        <v>1</v>
      </c>
      <c r="D42" s="158">
        <v>10</v>
      </c>
      <c r="E42" s="159">
        <v>472.62</v>
      </c>
      <c r="F42" s="158">
        <v>4726.2</v>
      </c>
      <c r="G42" s="160" t="s">
        <v>4429</v>
      </c>
      <c r="H42" s="962" t="str">
        <f t="shared" si="1"/>
        <v xml:space="preserve">023214F00A
分析表15_x000D_
</v>
      </c>
      <c r="I42" s="22">
        <v>34</v>
      </c>
      <c r="J42" s="4" t="str">
        <f t="shared" si="0"/>
        <v>1.34</v>
      </c>
    </row>
    <row r="43" spans="1:10" s="4" customFormat="1" ht="42.75">
      <c r="A43" s="1265" t="s">
        <v>62</v>
      </c>
      <c r="B43" s="8" t="s">
        <v>985</v>
      </c>
      <c r="C43" s="157" t="s">
        <v>1</v>
      </c>
      <c r="D43" s="158">
        <v>10</v>
      </c>
      <c r="E43" s="159">
        <v>645.88</v>
      </c>
      <c r="F43" s="158">
        <v>6458.8</v>
      </c>
      <c r="G43" s="160" t="s">
        <v>4430</v>
      </c>
      <c r="H43" s="962" t="str">
        <f t="shared" si="1"/>
        <v xml:space="preserve">0231600Z6A
分析表16_x000D_
</v>
      </c>
      <c r="I43" s="22">
        <v>35</v>
      </c>
      <c r="J43" s="4" t="str">
        <f t="shared" si="0"/>
        <v>1.35</v>
      </c>
    </row>
    <row r="44" spans="1:10" s="4" customFormat="1" ht="42.75">
      <c r="A44" s="1265" t="s">
        <v>63</v>
      </c>
      <c r="B44" s="8" t="s">
        <v>2214</v>
      </c>
      <c r="C44" s="157" t="s">
        <v>1</v>
      </c>
      <c r="D44" s="158">
        <v>10</v>
      </c>
      <c r="E44" s="159">
        <v>1487.79</v>
      </c>
      <c r="F44" s="158">
        <v>14877.9</v>
      </c>
      <c r="G44" s="160" t="s">
        <v>4431</v>
      </c>
      <c r="H44" s="962" t="str">
        <f t="shared" si="1"/>
        <v xml:space="preserve">023160NZ61
分析表17_x000D_
</v>
      </c>
      <c r="I44" s="22">
        <v>36</v>
      </c>
      <c r="J44" s="4" t="str">
        <f t="shared" si="0"/>
        <v>1.36</v>
      </c>
    </row>
    <row r="45" spans="1:10" s="4" customFormat="1" ht="71.25">
      <c r="A45" s="1265" t="s">
        <v>64</v>
      </c>
      <c r="B45" s="8" t="s">
        <v>566</v>
      </c>
      <c r="C45" s="157" t="s">
        <v>0</v>
      </c>
      <c r="D45" s="158">
        <v>10</v>
      </c>
      <c r="E45" s="159">
        <v>909.27</v>
      </c>
      <c r="F45" s="158">
        <v>9092.7000000000007</v>
      </c>
      <c r="G45" s="160" t="s">
        <v>4432</v>
      </c>
      <c r="H45" s="962" t="str">
        <f t="shared" si="1"/>
        <v>0222010403
分析表18_x000D_
經機關核定每日施工期間未達7小時適用</v>
      </c>
      <c r="I45" s="22">
        <v>37</v>
      </c>
      <c r="J45" s="4" t="str">
        <f t="shared" si="0"/>
        <v>1.37</v>
      </c>
    </row>
    <row r="46" spans="1:10" s="4" customFormat="1" ht="71.25">
      <c r="A46" s="1265" t="s">
        <v>65</v>
      </c>
      <c r="B46" s="8" t="s">
        <v>568</v>
      </c>
      <c r="C46" s="157" t="s">
        <v>0</v>
      </c>
      <c r="D46" s="158">
        <v>10</v>
      </c>
      <c r="E46" s="159">
        <v>1403.41</v>
      </c>
      <c r="F46" s="158">
        <v>14034.1</v>
      </c>
      <c r="G46" s="160" t="s">
        <v>4433</v>
      </c>
      <c r="H46" s="962" t="str">
        <f t="shared" si="1"/>
        <v>0222010E03
分析表19_x000D_
經機關核定每日施工期間未達7小時適用</v>
      </c>
      <c r="I46" s="22">
        <v>38</v>
      </c>
      <c r="J46" s="4" t="str">
        <f t="shared" si="0"/>
        <v>1.38</v>
      </c>
    </row>
    <row r="47" spans="1:10" s="4" customFormat="1" ht="71.25">
      <c r="A47" s="1265" t="s">
        <v>66</v>
      </c>
      <c r="B47" s="8" t="s">
        <v>536</v>
      </c>
      <c r="C47" s="157" t="s">
        <v>1</v>
      </c>
      <c r="D47" s="158">
        <v>10</v>
      </c>
      <c r="E47" s="159">
        <v>4754.7</v>
      </c>
      <c r="F47" s="158">
        <v>47547</v>
      </c>
      <c r="G47" s="160" t="s">
        <v>4434</v>
      </c>
      <c r="H47" s="962" t="str">
        <f t="shared" si="1"/>
        <v>023214D10A
分析表20_x000D_
經機關核定每日施工期間未達7小時適用</v>
      </c>
      <c r="I47" s="22">
        <v>39</v>
      </c>
      <c r="J47" s="4" t="str">
        <f t="shared" si="0"/>
        <v>1.39</v>
      </c>
    </row>
    <row r="48" spans="1:10" s="4" customFormat="1" ht="71.25">
      <c r="A48" s="1265" t="s">
        <v>67</v>
      </c>
      <c r="B48" s="8" t="s">
        <v>3628</v>
      </c>
      <c r="C48" s="157" t="s">
        <v>1</v>
      </c>
      <c r="D48" s="158">
        <v>10</v>
      </c>
      <c r="E48" s="159">
        <v>628.59</v>
      </c>
      <c r="F48" s="158">
        <v>6285.9</v>
      </c>
      <c r="G48" s="160" t="s">
        <v>4435</v>
      </c>
      <c r="H48" s="962" t="str">
        <f t="shared" si="1"/>
        <v>023214F01A
分析表21_x000D_
經機關核定每日施工期間未達7小時適用</v>
      </c>
      <c r="I48" s="22">
        <v>40</v>
      </c>
      <c r="J48" s="4" t="str">
        <f t="shared" si="0"/>
        <v>1.40</v>
      </c>
    </row>
    <row r="49" spans="1:10" s="4" customFormat="1" ht="71.25">
      <c r="A49" s="1265" t="s">
        <v>68</v>
      </c>
      <c r="B49" s="8" t="s">
        <v>571</v>
      </c>
      <c r="C49" s="157" t="s">
        <v>1</v>
      </c>
      <c r="D49" s="158">
        <v>10</v>
      </c>
      <c r="E49" s="159">
        <v>6597.18</v>
      </c>
      <c r="F49" s="158">
        <v>65971.8</v>
      </c>
      <c r="G49" s="160" t="s">
        <v>4436</v>
      </c>
      <c r="H49" s="962" t="str">
        <f t="shared" si="1"/>
        <v>023215D10A
分析表22_x000D_
經機關核定每日施工期間未達7小時適用</v>
      </c>
      <c r="I49" s="22">
        <v>41</v>
      </c>
      <c r="J49" s="4" t="str">
        <f t="shared" si="0"/>
        <v>1.41</v>
      </c>
    </row>
    <row r="50" spans="1:10" s="4" customFormat="1" ht="71.25">
      <c r="A50" s="1265" t="s">
        <v>69</v>
      </c>
      <c r="B50" s="8" t="s">
        <v>3627</v>
      </c>
      <c r="C50" s="157" t="s">
        <v>1</v>
      </c>
      <c r="D50" s="158">
        <v>10</v>
      </c>
      <c r="E50" s="159">
        <v>1869.16</v>
      </c>
      <c r="F50" s="158">
        <v>18691.599999999999</v>
      </c>
      <c r="G50" s="160" t="s">
        <v>4437</v>
      </c>
      <c r="H50" s="962" t="str">
        <f t="shared" si="1"/>
        <v>023215F01A
分析表23_x000D_
經機關核定每日施工期間未達7小時適用</v>
      </c>
      <c r="I50" s="22">
        <v>42</v>
      </c>
      <c r="J50" s="4" t="str">
        <f t="shared" si="0"/>
        <v>1.42</v>
      </c>
    </row>
    <row r="51" spans="1:10" s="4" customFormat="1" ht="71.25">
      <c r="A51" s="1265" t="s">
        <v>70</v>
      </c>
      <c r="B51" s="8" t="s">
        <v>3626</v>
      </c>
      <c r="C51" s="157" t="s">
        <v>1</v>
      </c>
      <c r="D51" s="158">
        <v>10</v>
      </c>
      <c r="E51" s="159">
        <v>859.25</v>
      </c>
      <c r="F51" s="158">
        <v>8592.5</v>
      </c>
      <c r="G51" s="160" t="s">
        <v>4438</v>
      </c>
      <c r="H51" s="962" t="str">
        <f t="shared" si="1"/>
        <v>0231601Z6A
分析表24_x000D_
經機關核定每日施工期間未達7小時適用</v>
      </c>
      <c r="I51" s="22">
        <v>43</v>
      </c>
      <c r="J51" s="4" t="str">
        <f t="shared" si="0"/>
        <v>1.43</v>
      </c>
    </row>
    <row r="52" spans="1:10" s="4" customFormat="1" ht="42.75">
      <c r="A52" s="1265" t="s">
        <v>71</v>
      </c>
      <c r="B52" s="8" t="s">
        <v>990</v>
      </c>
      <c r="C52" s="157" t="s">
        <v>17</v>
      </c>
      <c r="D52" s="158">
        <v>10</v>
      </c>
      <c r="E52" s="159">
        <v>89.56</v>
      </c>
      <c r="F52" s="158">
        <v>895.6</v>
      </c>
      <c r="G52" s="160" t="s">
        <v>4439</v>
      </c>
      <c r="H52" s="962" t="str">
        <f t="shared" si="1"/>
        <v xml:space="preserve">022201E201
分析表25_x000D_
</v>
      </c>
      <c r="I52" s="22">
        <v>44</v>
      </c>
      <c r="J52" s="4" t="str">
        <f t="shared" si="0"/>
        <v>1.44</v>
      </c>
    </row>
    <row r="53" spans="1:10" s="4" customFormat="1" ht="71.25">
      <c r="A53" s="1265" t="s">
        <v>72</v>
      </c>
      <c r="B53" s="8" t="s">
        <v>537</v>
      </c>
      <c r="C53" s="157" t="s">
        <v>17</v>
      </c>
      <c r="D53" s="158">
        <v>10</v>
      </c>
      <c r="E53" s="159">
        <v>119.11</v>
      </c>
      <c r="F53" s="158">
        <v>1191.0999999999999</v>
      </c>
      <c r="G53" s="160" t="s">
        <v>4440</v>
      </c>
      <c r="H53" s="962" t="str">
        <f t="shared" si="1"/>
        <v>0222010E01
分析表26_x000D_
經機關核定每日施工期間未達7小時適用</v>
      </c>
      <c r="I53" s="22">
        <v>45</v>
      </c>
      <c r="J53" s="4" t="str">
        <f t="shared" si="0"/>
        <v>1.45</v>
      </c>
    </row>
    <row r="54" spans="1:10" s="4" customFormat="1" ht="42.75">
      <c r="A54" s="1265" t="s">
        <v>73</v>
      </c>
      <c r="B54" s="8" t="s">
        <v>995</v>
      </c>
      <c r="C54" s="157" t="s">
        <v>0</v>
      </c>
      <c r="D54" s="158">
        <v>20</v>
      </c>
      <c r="E54" s="159">
        <v>592.16</v>
      </c>
      <c r="F54" s="158">
        <v>11843.2</v>
      </c>
      <c r="G54" s="160" t="s">
        <v>4441</v>
      </c>
      <c r="H54" s="962" t="str">
        <f t="shared" si="1"/>
        <v xml:space="preserve">0296103003
分析表27_x000D_
</v>
      </c>
      <c r="I54" s="22">
        <v>46</v>
      </c>
      <c r="J54" s="4" t="str">
        <f t="shared" si="0"/>
        <v>1.46</v>
      </c>
    </row>
    <row r="55" spans="1:10" s="4" customFormat="1" ht="71.25">
      <c r="A55" s="1265" t="s">
        <v>74</v>
      </c>
      <c r="B55" s="8" t="s">
        <v>578</v>
      </c>
      <c r="C55" s="157" t="s">
        <v>0</v>
      </c>
      <c r="D55" s="158">
        <v>20</v>
      </c>
      <c r="E55" s="159">
        <v>787.58</v>
      </c>
      <c r="F55" s="158">
        <v>15751.6</v>
      </c>
      <c r="G55" s="160" t="s">
        <v>4442</v>
      </c>
      <c r="H55" s="962" t="str">
        <f t="shared" si="1"/>
        <v>0296103023
分析表28_x000D_
經機關核定每日施工期間未達7小時適用</v>
      </c>
      <c r="I55" s="22">
        <v>47</v>
      </c>
      <c r="J55" s="4" t="str">
        <f t="shared" si="0"/>
        <v>1.47</v>
      </c>
    </row>
    <row r="56" spans="1:10" s="4" customFormat="1" ht="42.75">
      <c r="A56" s="1265" t="s">
        <v>75</v>
      </c>
      <c r="B56" s="8" t="s">
        <v>4443</v>
      </c>
      <c r="C56" s="157" t="s">
        <v>0</v>
      </c>
      <c r="D56" s="158">
        <v>20</v>
      </c>
      <c r="E56" s="159">
        <v>856.02</v>
      </c>
      <c r="F56" s="158">
        <v>17120.400000000001</v>
      </c>
      <c r="G56" s="160" t="s">
        <v>4444</v>
      </c>
      <c r="H56" s="962" t="str">
        <f t="shared" si="1"/>
        <v xml:space="preserve">02961030N3
分析表29_x000D_
</v>
      </c>
      <c r="I56" s="22">
        <v>48</v>
      </c>
      <c r="J56" s="4" t="str">
        <f t="shared" si="0"/>
        <v>1.48</v>
      </c>
    </row>
    <row r="57" spans="1:10" s="4" customFormat="1" ht="42.75">
      <c r="A57" s="1265" t="s">
        <v>76</v>
      </c>
      <c r="B57" s="8" t="s">
        <v>1003</v>
      </c>
      <c r="C57" s="157" t="s">
        <v>1</v>
      </c>
      <c r="D57" s="158">
        <v>20</v>
      </c>
      <c r="E57" s="159">
        <v>98.39</v>
      </c>
      <c r="F57" s="158">
        <v>1967.8</v>
      </c>
      <c r="G57" s="160" t="s">
        <v>4445</v>
      </c>
      <c r="H57" s="962" t="str">
        <f t="shared" si="1"/>
        <v xml:space="preserve">02325C0001
分析表30_x000D_
</v>
      </c>
      <c r="I57" s="22">
        <v>49</v>
      </c>
      <c r="J57" s="4" t="str">
        <f t="shared" si="0"/>
        <v>1.49</v>
      </c>
    </row>
    <row r="58" spans="1:10" s="4" customFormat="1" ht="42.75">
      <c r="A58" s="1265" t="s">
        <v>77</v>
      </c>
      <c r="B58" s="8" t="s">
        <v>1010</v>
      </c>
      <c r="C58" s="157" t="s">
        <v>1</v>
      </c>
      <c r="D58" s="158">
        <v>10</v>
      </c>
      <c r="E58" s="159">
        <v>600.27</v>
      </c>
      <c r="F58" s="158">
        <v>6002.7</v>
      </c>
      <c r="G58" s="160" t="s">
        <v>4446</v>
      </c>
      <c r="H58" s="962" t="str">
        <f t="shared" si="1"/>
        <v xml:space="preserve">023250A00A
分析表31_x000D_
</v>
      </c>
      <c r="I58" s="22">
        <v>50</v>
      </c>
      <c r="J58" s="4" t="str">
        <f t="shared" si="0"/>
        <v>1.50</v>
      </c>
    </row>
    <row r="59" spans="1:10" s="4" customFormat="1" ht="42.75">
      <c r="A59" s="1265" t="s">
        <v>78</v>
      </c>
      <c r="B59" s="8" t="s">
        <v>1019</v>
      </c>
      <c r="C59" s="157" t="s">
        <v>1</v>
      </c>
      <c r="D59" s="158">
        <v>10</v>
      </c>
      <c r="E59" s="159">
        <v>138.47999999999999</v>
      </c>
      <c r="F59" s="158">
        <v>1384.8</v>
      </c>
      <c r="G59" s="160" t="s">
        <v>4447</v>
      </c>
      <c r="H59" s="962" t="str">
        <f t="shared" si="1"/>
        <v xml:space="preserve">023250500A
分析表32_x000D_
</v>
      </c>
      <c r="I59" s="22">
        <v>51</v>
      </c>
      <c r="J59" s="4" t="str">
        <f t="shared" si="0"/>
        <v>1.51</v>
      </c>
    </row>
    <row r="60" spans="1:10" s="4" customFormat="1" ht="42.75">
      <c r="A60" s="1265" t="s">
        <v>79</v>
      </c>
      <c r="B60" s="8" t="s">
        <v>1033</v>
      </c>
      <c r="C60" s="157" t="s">
        <v>17</v>
      </c>
      <c r="D60" s="158">
        <v>10</v>
      </c>
      <c r="E60" s="159">
        <v>60.55</v>
      </c>
      <c r="F60" s="158">
        <v>605.5</v>
      </c>
      <c r="G60" s="160" t="s">
        <v>4448</v>
      </c>
      <c r="H60" s="962" t="str">
        <f t="shared" si="1"/>
        <v xml:space="preserve">023250B001
分析表33_x000D_
</v>
      </c>
      <c r="I60" s="22">
        <v>52</v>
      </c>
      <c r="J60" s="4" t="str">
        <f t="shared" si="0"/>
        <v>1.52</v>
      </c>
    </row>
    <row r="61" spans="1:10" s="4" customFormat="1" ht="31.5">
      <c r="A61" s="1265" t="s">
        <v>80</v>
      </c>
      <c r="B61" s="8" t="s">
        <v>1014</v>
      </c>
      <c r="C61" s="157" t="s">
        <v>1</v>
      </c>
      <c r="D61" s="158">
        <v>20</v>
      </c>
      <c r="E61" s="159">
        <v>697.35</v>
      </c>
      <c r="F61" s="158">
        <v>13947</v>
      </c>
      <c r="G61" s="160" t="s">
        <v>1015</v>
      </c>
      <c r="H61" s="962" t="str">
        <f t="shared" si="1"/>
        <v xml:space="preserve">023250D00A
</v>
      </c>
      <c r="I61" s="22">
        <v>53</v>
      </c>
      <c r="J61" s="4" t="str">
        <f t="shared" si="0"/>
        <v>1.53</v>
      </c>
    </row>
    <row r="62" spans="1:10" s="4" customFormat="1" ht="42.75">
      <c r="A62" s="1265" t="s">
        <v>81</v>
      </c>
      <c r="B62" s="8" t="s">
        <v>1036</v>
      </c>
      <c r="C62" s="157" t="s">
        <v>3</v>
      </c>
      <c r="D62" s="158">
        <v>50</v>
      </c>
      <c r="E62" s="159">
        <v>15.06</v>
      </c>
      <c r="F62" s="158">
        <v>753</v>
      </c>
      <c r="G62" s="160" t="s">
        <v>4449</v>
      </c>
      <c r="H62" s="962" t="str">
        <f t="shared" si="1"/>
        <v xml:space="preserve">02234W0002
分析表34_x000D_
</v>
      </c>
      <c r="I62" s="22">
        <v>54</v>
      </c>
      <c r="J62" s="4" t="str">
        <f t="shared" si="0"/>
        <v>1.54</v>
      </c>
    </row>
    <row r="63" spans="1:10" s="4" customFormat="1" ht="42.75">
      <c r="A63" s="1265" t="s">
        <v>82</v>
      </c>
      <c r="B63" s="8" t="s">
        <v>454</v>
      </c>
      <c r="C63" s="157" t="s">
        <v>0</v>
      </c>
      <c r="D63" s="158">
        <v>50</v>
      </c>
      <c r="E63" s="159">
        <v>306.83999999999997</v>
      </c>
      <c r="F63" s="158">
        <v>15342</v>
      </c>
      <c r="G63" s="160" t="s">
        <v>4450</v>
      </c>
      <c r="H63" s="962" t="str">
        <f t="shared" si="1"/>
        <v xml:space="preserve">02233A1003
分析表35_x000D_
</v>
      </c>
      <c r="I63" s="22">
        <v>55</v>
      </c>
      <c r="J63" s="4" t="str">
        <f t="shared" si="0"/>
        <v>1.55</v>
      </c>
    </row>
    <row r="64" spans="1:10" s="4" customFormat="1" ht="42.75">
      <c r="A64" s="1265" t="s">
        <v>83</v>
      </c>
      <c r="B64" s="8" t="s">
        <v>1048</v>
      </c>
      <c r="C64" s="157" t="s">
        <v>15</v>
      </c>
      <c r="D64" s="158">
        <v>50</v>
      </c>
      <c r="E64" s="159">
        <v>58.17</v>
      </c>
      <c r="F64" s="158">
        <v>2908.5</v>
      </c>
      <c r="G64" s="160" t="s">
        <v>4451</v>
      </c>
      <c r="H64" s="962" t="str">
        <f t="shared" si="1"/>
        <v xml:space="preserve">023310000B
分析表36_x000D_
</v>
      </c>
      <c r="I64" s="22">
        <v>56</v>
      </c>
      <c r="J64" s="4" t="str">
        <f t="shared" si="0"/>
        <v>1.56</v>
      </c>
    </row>
    <row r="65" spans="1:10" s="4" customFormat="1" ht="42.75">
      <c r="A65" s="1265" t="s">
        <v>84</v>
      </c>
      <c r="B65" s="8" t="s">
        <v>1067</v>
      </c>
      <c r="C65" s="157" t="s">
        <v>15</v>
      </c>
      <c r="D65" s="158">
        <v>50</v>
      </c>
      <c r="E65" s="159">
        <v>325.69</v>
      </c>
      <c r="F65" s="158">
        <v>16284.5</v>
      </c>
      <c r="G65" s="160" t="s">
        <v>4452</v>
      </c>
      <c r="H65" s="962" t="str">
        <f t="shared" si="1"/>
        <v xml:space="preserve">023174000A
分析表37_x000D_
</v>
      </c>
      <c r="I65" s="22">
        <v>57</v>
      </c>
      <c r="J65" s="4" t="str">
        <f t="shared" si="0"/>
        <v>1.57</v>
      </c>
    </row>
    <row r="66" spans="1:10" s="4" customFormat="1" ht="42.75">
      <c r="A66" s="1265" t="s">
        <v>85</v>
      </c>
      <c r="B66" s="8" t="s">
        <v>1072</v>
      </c>
      <c r="C66" s="157" t="s">
        <v>0</v>
      </c>
      <c r="D66" s="158">
        <v>50</v>
      </c>
      <c r="E66" s="159">
        <v>105.08</v>
      </c>
      <c r="F66" s="158">
        <v>5254</v>
      </c>
      <c r="G66" s="160" t="s">
        <v>4453</v>
      </c>
      <c r="H66" s="962" t="str">
        <f t="shared" si="1"/>
        <v xml:space="preserve">02931BDD101
分析表38_x000D_
</v>
      </c>
      <c r="I66" s="22">
        <v>58</v>
      </c>
      <c r="J66" s="4" t="str">
        <f t="shared" ref="J66:J129" si="2">A66</f>
        <v>1.58</v>
      </c>
    </row>
    <row r="67" spans="1:10" s="4" customFormat="1" ht="57">
      <c r="A67" s="1265" t="s">
        <v>86</v>
      </c>
      <c r="B67" s="8" t="s">
        <v>543</v>
      </c>
      <c r="C67" s="157" t="s">
        <v>1</v>
      </c>
      <c r="D67" s="158">
        <v>20</v>
      </c>
      <c r="E67" s="159">
        <v>1191.51</v>
      </c>
      <c r="F67" s="158">
        <v>23830.2</v>
      </c>
      <c r="G67" s="160" t="s">
        <v>4454</v>
      </c>
      <c r="H67" s="962" t="str">
        <f t="shared" si="1"/>
        <v>02323400003
分析表39_x000D_
每日產出餘土量≤2M3使用</v>
      </c>
      <c r="I67" s="22">
        <v>59</v>
      </c>
      <c r="J67" s="4" t="str">
        <f t="shared" si="2"/>
        <v>1.59</v>
      </c>
    </row>
    <row r="68" spans="1:10" s="4" customFormat="1" ht="42.75">
      <c r="A68" s="1265" t="s">
        <v>87</v>
      </c>
      <c r="B68" s="8" t="s">
        <v>3971</v>
      </c>
      <c r="C68" s="157" t="s">
        <v>1</v>
      </c>
      <c r="D68" s="158">
        <v>20</v>
      </c>
      <c r="E68" s="159">
        <v>1067.76</v>
      </c>
      <c r="F68" s="158">
        <v>21355.200000000001</v>
      </c>
      <c r="G68" s="160" t="s">
        <v>4455</v>
      </c>
      <c r="H68" s="962" t="str">
        <f t="shared" si="1"/>
        <v xml:space="preserve">0232340003
分析表40_x000D_
</v>
      </c>
      <c r="I68" s="22">
        <v>60</v>
      </c>
      <c r="J68" s="4" t="str">
        <f t="shared" si="2"/>
        <v>1.60</v>
      </c>
    </row>
    <row r="69" spans="1:10" s="4" customFormat="1" ht="42.75">
      <c r="A69" s="1265" t="s">
        <v>88</v>
      </c>
      <c r="B69" s="8" t="s">
        <v>26</v>
      </c>
      <c r="C69" s="157" t="s">
        <v>1</v>
      </c>
      <c r="D69" s="158">
        <v>20</v>
      </c>
      <c r="E69" s="159">
        <v>713.77</v>
      </c>
      <c r="F69" s="158">
        <v>14275.4</v>
      </c>
      <c r="G69" s="160" t="s">
        <v>4456</v>
      </c>
      <c r="H69" s="962" t="str">
        <f t="shared" si="1"/>
        <v xml:space="preserve">023234004A
分析表41_x000D_
</v>
      </c>
      <c r="I69" s="22">
        <v>61</v>
      </c>
      <c r="J69" s="4" t="str">
        <f t="shared" si="2"/>
        <v>1.61</v>
      </c>
    </row>
    <row r="70" spans="1:10" s="4" customFormat="1" ht="42.75">
      <c r="A70" s="1265" t="s">
        <v>89</v>
      </c>
      <c r="B70" s="8" t="s">
        <v>1091</v>
      </c>
      <c r="C70" s="157" t="s">
        <v>1</v>
      </c>
      <c r="D70" s="158">
        <v>20</v>
      </c>
      <c r="E70" s="159">
        <v>474.15</v>
      </c>
      <c r="F70" s="158">
        <v>9483</v>
      </c>
      <c r="G70" s="160" t="s">
        <v>4457</v>
      </c>
      <c r="H70" s="962" t="str">
        <f t="shared" si="1"/>
        <v xml:space="preserve">023234006A
分析表42_x000D_
</v>
      </c>
      <c r="I70" s="22">
        <v>62</v>
      </c>
      <c r="J70" s="4" t="str">
        <f t="shared" si="2"/>
        <v>1.62</v>
      </c>
    </row>
    <row r="71" spans="1:10" s="4" customFormat="1" ht="42.75">
      <c r="A71" s="1265" t="s">
        <v>90</v>
      </c>
      <c r="B71" s="8" t="s">
        <v>1096</v>
      </c>
      <c r="C71" s="157" t="s">
        <v>1</v>
      </c>
      <c r="D71" s="158">
        <v>50</v>
      </c>
      <c r="E71" s="159">
        <v>508.55</v>
      </c>
      <c r="F71" s="158">
        <v>25427.5</v>
      </c>
      <c r="G71" s="160" t="s">
        <v>4458</v>
      </c>
      <c r="H71" s="962" t="str">
        <f t="shared" si="1"/>
        <v>023232000A
分析表43_x000D_
無棄土費用</v>
      </c>
      <c r="I71" s="22">
        <v>63</v>
      </c>
      <c r="J71" s="4" t="str">
        <f t="shared" si="2"/>
        <v>1.63</v>
      </c>
    </row>
    <row r="72" spans="1:10" s="4" customFormat="1" ht="42.75">
      <c r="A72" s="1265" t="s">
        <v>91</v>
      </c>
      <c r="B72" s="8" t="s">
        <v>1099</v>
      </c>
      <c r="C72" s="157" t="s">
        <v>0</v>
      </c>
      <c r="D72" s="158">
        <v>10</v>
      </c>
      <c r="E72" s="159">
        <v>949.77</v>
      </c>
      <c r="F72" s="158">
        <v>9497.7000000000007</v>
      </c>
      <c r="G72" s="160" t="s">
        <v>4459</v>
      </c>
      <c r="H72" s="962" t="str">
        <f t="shared" si="1"/>
        <v xml:space="preserve">02323PWD0A001
分析表44_x000D_
</v>
      </c>
      <c r="I72" s="22">
        <v>64</v>
      </c>
      <c r="J72" s="4" t="str">
        <f t="shared" si="2"/>
        <v>1.64</v>
      </c>
    </row>
    <row r="73" spans="1:10" s="4" customFormat="1" ht="42.75">
      <c r="A73" s="1265" t="s">
        <v>92</v>
      </c>
      <c r="B73" s="8" t="s">
        <v>1104</v>
      </c>
      <c r="C73" s="157" t="s">
        <v>0</v>
      </c>
      <c r="D73" s="158">
        <v>10</v>
      </c>
      <c r="E73" s="159">
        <v>1483.24</v>
      </c>
      <c r="F73" s="158">
        <v>14832.4</v>
      </c>
      <c r="G73" s="160" t="s">
        <v>4460</v>
      </c>
      <c r="H73" s="962" t="str">
        <f t="shared" si="1"/>
        <v xml:space="preserve">02323H0003
分析表45_x000D_
</v>
      </c>
      <c r="I73" s="22">
        <v>65</v>
      </c>
      <c r="J73" s="4" t="str">
        <f t="shared" si="2"/>
        <v>1.65</v>
      </c>
    </row>
    <row r="74" spans="1:10" s="4" customFormat="1" ht="42.75">
      <c r="A74" s="1265" t="s">
        <v>93</v>
      </c>
      <c r="B74" s="8" t="s">
        <v>1111</v>
      </c>
      <c r="C74" s="157" t="s">
        <v>3</v>
      </c>
      <c r="D74" s="158">
        <v>50</v>
      </c>
      <c r="E74" s="159">
        <v>11.9</v>
      </c>
      <c r="F74" s="158">
        <v>595</v>
      </c>
      <c r="G74" s="160" t="s">
        <v>4461</v>
      </c>
      <c r="H74" s="962" t="str">
        <f t="shared" si="1"/>
        <v xml:space="preserve">0233600002
分析表46_x000D_
</v>
      </c>
      <c r="I74" s="22">
        <v>66</v>
      </c>
      <c r="J74" s="4" t="str">
        <f t="shared" si="2"/>
        <v>1.66</v>
      </c>
    </row>
    <row r="75" spans="1:10" s="4" customFormat="1" ht="42.75">
      <c r="A75" s="1265" t="s">
        <v>94</v>
      </c>
      <c r="B75" s="8" t="s">
        <v>1118</v>
      </c>
      <c r="C75" s="157" t="s">
        <v>15</v>
      </c>
      <c r="D75" s="158">
        <v>50</v>
      </c>
      <c r="E75" s="159">
        <v>1293.5999999999999</v>
      </c>
      <c r="F75" s="158">
        <v>64680</v>
      </c>
      <c r="G75" s="160" t="s">
        <v>4462</v>
      </c>
      <c r="H75" s="962" t="str">
        <f t="shared" ref="H75:H138" si="3">G75</f>
        <v xml:space="preserve">027261000B
分析表47_x000D_
</v>
      </c>
      <c r="I75" s="22">
        <v>67</v>
      </c>
      <c r="J75" s="4" t="str">
        <f t="shared" si="2"/>
        <v>1.67</v>
      </c>
    </row>
    <row r="76" spans="1:10" s="4" customFormat="1" ht="42.75">
      <c r="A76" s="1265" t="s">
        <v>95</v>
      </c>
      <c r="B76" s="8" t="s">
        <v>1130</v>
      </c>
      <c r="C76" s="157" t="s">
        <v>15</v>
      </c>
      <c r="D76" s="158">
        <v>10</v>
      </c>
      <c r="E76" s="159">
        <v>1461.69</v>
      </c>
      <c r="F76" s="158">
        <v>14616.9</v>
      </c>
      <c r="G76" s="160" t="s">
        <v>4463</v>
      </c>
      <c r="H76" s="962" t="str">
        <f t="shared" si="3"/>
        <v xml:space="preserve">02319130BA
分析表48_x000D_
</v>
      </c>
      <c r="I76" s="22">
        <v>68</v>
      </c>
      <c r="J76" s="4" t="str">
        <f t="shared" si="2"/>
        <v>1.68</v>
      </c>
    </row>
    <row r="77" spans="1:10" s="4" customFormat="1" ht="42.75">
      <c r="A77" s="1265" t="s">
        <v>96</v>
      </c>
      <c r="B77" s="8" t="s">
        <v>1135</v>
      </c>
      <c r="C77" s="157" t="s">
        <v>15</v>
      </c>
      <c r="D77" s="158">
        <v>10</v>
      </c>
      <c r="E77" s="159">
        <v>1330.35</v>
      </c>
      <c r="F77" s="158">
        <v>13303.5</v>
      </c>
      <c r="G77" s="160" t="s">
        <v>4464</v>
      </c>
      <c r="H77" s="962" t="str">
        <f t="shared" si="3"/>
        <v xml:space="preserve">02319140BA
分析表49_x000D_
</v>
      </c>
      <c r="I77" s="22">
        <v>69</v>
      </c>
      <c r="J77" s="4" t="str">
        <f t="shared" si="2"/>
        <v>1.69</v>
      </c>
    </row>
    <row r="78" spans="1:10" s="4" customFormat="1" ht="42.75">
      <c r="A78" s="1265" t="s">
        <v>97</v>
      </c>
      <c r="B78" s="8" t="s">
        <v>1140</v>
      </c>
      <c r="C78" s="157" t="s">
        <v>3</v>
      </c>
      <c r="D78" s="158">
        <v>50</v>
      </c>
      <c r="E78" s="159">
        <v>44.22</v>
      </c>
      <c r="F78" s="158">
        <v>2211</v>
      </c>
      <c r="G78" s="160" t="s">
        <v>4465</v>
      </c>
      <c r="H78" s="962" t="str">
        <f t="shared" si="3"/>
        <v xml:space="preserve">0274512002
分析表50_x000D_
</v>
      </c>
      <c r="I78" s="22">
        <v>70</v>
      </c>
      <c r="J78" s="4" t="str">
        <f t="shared" si="2"/>
        <v>1.70</v>
      </c>
    </row>
    <row r="79" spans="1:10" s="4" customFormat="1" ht="42.75">
      <c r="A79" s="1265" t="s">
        <v>98</v>
      </c>
      <c r="B79" s="8" t="s">
        <v>1149</v>
      </c>
      <c r="C79" s="157" t="s">
        <v>3</v>
      </c>
      <c r="D79" s="158">
        <v>50</v>
      </c>
      <c r="E79" s="159">
        <v>17.57</v>
      </c>
      <c r="F79" s="158">
        <v>878.5</v>
      </c>
      <c r="G79" s="160" t="s">
        <v>4466</v>
      </c>
      <c r="H79" s="962" t="str">
        <f t="shared" si="3"/>
        <v xml:space="preserve">0274711002
分析表51_x000D_
</v>
      </c>
      <c r="I79" s="22">
        <v>71</v>
      </c>
      <c r="J79" s="4" t="str">
        <f t="shared" si="2"/>
        <v>1.71</v>
      </c>
    </row>
    <row r="80" spans="1:10" s="4" customFormat="1" ht="42.75">
      <c r="A80" s="1265" t="s">
        <v>99</v>
      </c>
      <c r="B80" s="8" t="s">
        <v>4467</v>
      </c>
      <c r="C80" s="157" t="s">
        <v>3</v>
      </c>
      <c r="D80" s="158">
        <v>50</v>
      </c>
      <c r="E80" s="159">
        <v>20.59</v>
      </c>
      <c r="F80" s="158">
        <v>1029.5</v>
      </c>
      <c r="G80" s="160" t="s">
        <v>4468</v>
      </c>
      <c r="H80" s="962" t="str">
        <f t="shared" si="3"/>
        <v xml:space="preserve">02747110N2
分析表52_x000D_
</v>
      </c>
      <c r="I80" s="22">
        <v>72</v>
      </c>
      <c r="J80" s="4" t="str">
        <f t="shared" si="2"/>
        <v>1.72</v>
      </c>
    </row>
    <row r="81" spans="1:10" s="4" customFormat="1" ht="42.75">
      <c r="A81" s="1265" t="s">
        <v>100</v>
      </c>
      <c r="B81" s="8" t="s">
        <v>1154</v>
      </c>
      <c r="C81" s="157" t="s">
        <v>0</v>
      </c>
      <c r="D81" s="158">
        <v>20</v>
      </c>
      <c r="E81" s="159">
        <v>7724.6</v>
      </c>
      <c r="F81" s="158">
        <v>154492</v>
      </c>
      <c r="G81" s="160" t="s">
        <v>4469</v>
      </c>
      <c r="H81" s="962" t="str">
        <f t="shared" si="3"/>
        <v xml:space="preserve">0274205303
分析表53_x000D_
</v>
      </c>
      <c r="I81" s="22">
        <v>73</v>
      </c>
      <c r="J81" s="4" t="str">
        <f t="shared" si="2"/>
        <v>1.73</v>
      </c>
    </row>
    <row r="82" spans="1:10" s="4" customFormat="1" ht="47.25">
      <c r="A82" s="1265" t="s">
        <v>101</v>
      </c>
      <c r="B82" s="8" t="s">
        <v>3639</v>
      </c>
      <c r="C82" s="157" t="s">
        <v>0</v>
      </c>
      <c r="D82" s="158">
        <v>20</v>
      </c>
      <c r="E82" s="159">
        <v>8226.06</v>
      </c>
      <c r="F82" s="158">
        <v>164521.20000000001</v>
      </c>
      <c r="G82" s="160" t="s">
        <v>4470</v>
      </c>
      <c r="H82" s="962" t="str">
        <f t="shared" si="3"/>
        <v xml:space="preserve">0274205B03
分析表54_x000D_
</v>
      </c>
      <c r="I82" s="22">
        <v>74</v>
      </c>
      <c r="J82" s="4" t="str">
        <f t="shared" si="2"/>
        <v>1.74</v>
      </c>
    </row>
    <row r="83" spans="1:10" s="4" customFormat="1" ht="47.25">
      <c r="A83" s="1265" t="s">
        <v>102</v>
      </c>
      <c r="B83" s="8" t="s">
        <v>4049</v>
      </c>
      <c r="C83" s="157" t="s">
        <v>0</v>
      </c>
      <c r="D83" s="158">
        <v>20</v>
      </c>
      <c r="E83" s="159">
        <v>8720.94</v>
      </c>
      <c r="F83" s="158">
        <v>174418.8</v>
      </c>
      <c r="G83" s="160" t="s">
        <v>4471</v>
      </c>
      <c r="H83" s="962" t="str">
        <f t="shared" si="3"/>
        <v>0274205B53
分析表55_x000D_
零星工程用</v>
      </c>
      <c r="I83" s="22">
        <v>75</v>
      </c>
      <c r="J83" s="4" t="str">
        <f t="shared" si="2"/>
        <v>1.75</v>
      </c>
    </row>
    <row r="84" spans="1:10" s="4" customFormat="1" ht="42.75">
      <c r="A84" s="1265" t="s">
        <v>103</v>
      </c>
      <c r="B84" s="8" t="s">
        <v>1162</v>
      </c>
      <c r="C84" s="157" t="s">
        <v>0</v>
      </c>
      <c r="D84" s="158">
        <v>20</v>
      </c>
      <c r="E84" s="159">
        <v>7663.02</v>
      </c>
      <c r="F84" s="158">
        <v>153260.4</v>
      </c>
      <c r="G84" s="160" t="s">
        <v>4472</v>
      </c>
      <c r="H84" s="962" t="str">
        <f t="shared" si="3"/>
        <v xml:space="preserve">0274203303
分析表56_x000D_
</v>
      </c>
      <c r="I84" s="22">
        <v>76</v>
      </c>
      <c r="J84" s="4" t="str">
        <f t="shared" si="2"/>
        <v>1.76</v>
      </c>
    </row>
    <row r="85" spans="1:10" s="4" customFormat="1" ht="47.25">
      <c r="A85" s="1265" t="s">
        <v>104</v>
      </c>
      <c r="B85" s="8" t="s">
        <v>3640</v>
      </c>
      <c r="C85" s="157" t="s">
        <v>0</v>
      </c>
      <c r="D85" s="158">
        <v>20</v>
      </c>
      <c r="E85" s="159">
        <v>8164.49</v>
      </c>
      <c r="F85" s="158">
        <v>163289.79999999999</v>
      </c>
      <c r="G85" s="160" t="s">
        <v>4473</v>
      </c>
      <c r="H85" s="962" t="str">
        <f t="shared" si="3"/>
        <v xml:space="preserve">0274203B03
分析表57_x000D_
</v>
      </c>
      <c r="I85" s="22">
        <v>77</v>
      </c>
      <c r="J85" s="4" t="str">
        <f t="shared" si="2"/>
        <v>1.77</v>
      </c>
    </row>
    <row r="86" spans="1:10" s="4" customFormat="1" ht="47.25">
      <c r="A86" s="1265" t="s">
        <v>105</v>
      </c>
      <c r="B86" s="8" t="s">
        <v>4048</v>
      </c>
      <c r="C86" s="157" t="s">
        <v>0</v>
      </c>
      <c r="D86" s="158">
        <v>20</v>
      </c>
      <c r="E86" s="159">
        <v>8659.36</v>
      </c>
      <c r="F86" s="158">
        <v>173187.20000000001</v>
      </c>
      <c r="G86" s="160" t="s">
        <v>4474</v>
      </c>
      <c r="H86" s="962" t="str">
        <f t="shared" si="3"/>
        <v xml:space="preserve">0274203B53
分析表58_x000D_
</v>
      </c>
      <c r="I86" s="22">
        <v>78</v>
      </c>
      <c r="J86" s="4" t="str">
        <f t="shared" si="2"/>
        <v>1.78</v>
      </c>
    </row>
    <row r="87" spans="1:10" s="4" customFormat="1" ht="42.75">
      <c r="A87" s="1265" t="s">
        <v>106</v>
      </c>
      <c r="B87" s="8" t="s">
        <v>1174</v>
      </c>
      <c r="C87" s="157" t="s">
        <v>0</v>
      </c>
      <c r="D87" s="158">
        <v>20</v>
      </c>
      <c r="E87" s="159">
        <v>7488.59</v>
      </c>
      <c r="F87" s="158">
        <v>149771.79999999999</v>
      </c>
      <c r="G87" s="160" t="s">
        <v>4475</v>
      </c>
      <c r="H87" s="962" t="str">
        <f t="shared" si="3"/>
        <v xml:space="preserve">0279605303
分析表59_x000D_
</v>
      </c>
      <c r="I87" s="22">
        <v>79</v>
      </c>
      <c r="J87" s="4" t="str">
        <f t="shared" si="2"/>
        <v>1.79</v>
      </c>
    </row>
    <row r="88" spans="1:10" s="4" customFormat="1" ht="47.25">
      <c r="A88" s="1265" t="s">
        <v>107</v>
      </c>
      <c r="B88" s="8" t="s">
        <v>1179</v>
      </c>
      <c r="C88" s="157" t="s">
        <v>0</v>
      </c>
      <c r="D88" s="158">
        <v>20</v>
      </c>
      <c r="E88" s="159">
        <v>7990.06</v>
      </c>
      <c r="F88" s="158">
        <v>159801.20000000001</v>
      </c>
      <c r="G88" s="160" t="s">
        <v>4476</v>
      </c>
      <c r="H88" s="962" t="str">
        <f t="shared" si="3"/>
        <v xml:space="preserve">0279605313
分析表60_x000D_
</v>
      </c>
      <c r="I88" s="22">
        <v>80</v>
      </c>
      <c r="J88" s="4" t="str">
        <f t="shared" si="2"/>
        <v>1.80</v>
      </c>
    </row>
    <row r="89" spans="1:10" s="4" customFormat="1" ht="47.25">
      <c r="A89" s="1265" t="s">
        <v>108</v>
      </c>
      <c r="B89" s="8" t="s">
        <v>4477</v>
      </c>
      <c r="C89" s="157" t="s">
        <v>0</v>
      </c>
      <c r="D89" s="158">
        <v>20</v>
      </c>
      <c r="E89" s="159">
        <v>8484.93</v>
      </c>
      <c r="F89" s="158">
        <v>169698.6</v>
      </c>
      <c r="G89" s="160" t="s">
        <v>4478</v>
      </c>
      <c r="H89" s="962" t="str">
        <f t="shared" si="3"/>
        <v xml:space="preserve">02796053N3
分析表61_x000D_
</v>
      </c>
      <c r="I89" s="22">
        <v>81</v>
      </c>
      <c r="J89" s="4" t="str">
        <f t="shared" si="2"/>
        <v>1.81</v>
      </c>
    </row>
    <row r="90" spans="1:10" s="4" customFormat="1" ht="42.75">
      <c r="A90" s="1265" t="s">
        <v>109</v>
      </c>
      <c r="B90" s="8" t="s">
        <v>1182</v>
      </c>
      <c r="C90" s="157" t="s">
        <v>0</v>
      </c>
      <c r="D90" s="158">
        <v>20</v>
      </c>
      <c r="E90" s="159">
        <v>8001.65</v>
      </c>
      <c r="F90" s="158">
        <v>160033</v>
      </c>
      <c r="G90" s="160" t="s">
        <v>4479</v>
      </c>
      <c r="H90" s="962" t="str">
        <f t="shared" si="3"/>
        <v xml:space="preserve">0279800003
分析表62_x000D_
</v>
      </c>
      <c r="I90" s="22">
        <v>82</v>
      </c>
      <c r="J90" s="4" t="str">
        <f t="shared" si="2"/>
        <v>1.82</v>
      </c>
    </row>
    <row r="91" spans="1:10" s="4" customFormat="1" ht="47.25">
      <c r="A91" s="1265" t="s">
        <v>110</v>
      </c>
      <c r="B91" s="8" t="s">
        <v>1187</v>
      </c>
      <c r="C91" s="157" t="s">
        <v>0</v>
      </c>
      <c r="D91" s="158">
        <v>20</v>
      </c>
      <c r="E91" s="159">
        <v>7098.67</v>
      </c>
      <c r="F91" s="158">
        <v>141973.4</v>
      </c>
      <c r="G91" s="160" t="s">
        <v>4480</v>
      </c>
      <c r="H91" s="962" t="str">
        <f t="shared" si="3"/>
        <v xml:space="preserve">0296613003
分析表63_x000D_
</v>
      </c>
      <c r="I91" s="22">
        <v>83</v>
      </c>
      <c r="J91" s="4" t="str">
        <f t="shared" si="2"/>
        <v>1.83</v>
      </c>
    </row>
    <row r="92" spans="1:10" s="4" customFormat="1" ht="47.25">
      <c r="A92" s="1265" t="s">
        <v>111</v>
      </c>
      <c r="B92" s="8" t="s">
        <v>1192</v>
      </c>
      <c r="C92" s="157" t="s">
        <v>0</v>
      </c>
      <c r="D92" s="158">
        <v>20</v>
      </c>
      <c r="E92" s="159">
        <v>7600.13</v>
      </c>
      <c r="F92" s="158">
        <v>152002.6</v>
      </c>
      <c r="G92" s="160" t="s">
        <v>4481</v>
      </c>
      <c r="H92" s="962" t="str">
        <f t="shared" si="3"/>
        <v xml:space="preserve">02966130B3
分析表64_x000D_
</v>
      </c>
      <c r="I92" s="22">
        <v>84</v>
      </c>
      <c r="J92" s="4" t="str">
        <f t="shared" si="2"/>
        <v>1.84</v>
      </c>
    </row>
    <row r="93" spans="1:10" s="4" customFormat="1" ht="47.25">
      <c r="A93" s="1265" t="s">
        <v>112</v>
      </c>
      <c r="B93" s="8" t="s">
        <v>4482</v>
      </c>
      <c r="C93" s="157" t="s">
        <v>0</v>
      </c>
      <c r="D93" s="158">
        <v>20</v>
      </c>
      <c r="E93" s="159">
        <v>8095.01</v>
      </c>
      <c r="F93" s="158">
        <v>161900.20000000001</v>
      </c>
      <c r="G93" s="160" t="s">
        <v>4483</v>
      </c>
      <c r="H93" s="962" t="str">
        <f t="shared" si="3"/>
        <v xml:space="preserve">0296613NB3
分析表65_x000D_
</v>
      </c>
      <c r="I93" s="22">
        <v>85</v>
      </c>
      <c r="J93" s="4" t="str">
        <f t="shared" si="2"/>
        <v>1.85</v>
      </c>
    </row>
    <row r="94" spans="1:10" s="4" customFormat="1" ht="47.25">
      <c r="A94" s="1265" t="s">
        <v>113</v>
      </c>
      <c r="B94" s="8" t="s">
        <v>1195</v>
      </c>
      <c r="C94" s="157" t="s">
        <v>0</v>
      </c>
      <c r="D94" s="158">
        <v>20</v>
      </c>
      <c r="E94" s="159">
        <v>6729.28</v>
      </c>
      <c r="F94" s="158">
        <v>134585.60000000001</v>
      </c>
      <c r="G94" s="160" t="s">
        <v>4484</v>
      </c>
      <c r="H94" s="962" t="str">
        <f t="shared" si="3"/>
        <v xml:space="preserve">0296615003
分析表66_x000D_
</v>
      </c>
      <c r="I94" s="22">
        <v>86</v>
      </c>
      <c r="J94" s="4" t="str">
        <f t="shared" si="2"/>
        <v>1.86</v>
      </c>
    </row>
    <row r="95" spans="1:10" s="4" customFormat="1" ht="47.25">
      <c r="A95" s="1265" t="s">
        <v>114</v>
      </c>
      <c r="B95" s="8" t="s">
        <v>1200</v>
      </c>
      <c r="C95" s="157" t="s">
        <v>0</v>
      </c>
      <c r="D95" s="158">
        <v>20</v>
      </c>
      <c r="E95" s="159">
        <v>7230.74</v>
      </c>
      <c r="F95" s="158">
        <v>144614.79999999999</v>
      </c>
      <c r="G95" s="160" t="s">
        <v>4485</v>
      </c>
      <c r="H95" s="962" t="str">
        <f t="shared" si="3"/>
        <v xml:space="preserve">02966150B3
分析表67_x000D_
</v>
      </c>
      <c r="I95" s="22">
        <v>87</v>
      </c>
      <c r="J95" s="4" t="str">
        <f t="shared" si="2"/>
        <v>1.87</v>
      </c>
    </row>
    <row r="96" spans="1:10" s="4" customFormat="1" ht="47.25">
      <c r="A96" s="1265" t="s">
        <v>115</v>
      </c>
      <c r="B96" s="8" t="s">
        <v>4486</v>
      </c>
      <c r="C96" s="157" t="s">
        <v>0</v>
      </c>
      <c r="D96" s="158">
        <v>20</v>
      </c>
      <c r="E96" s="159">
        <v>7725.62</v>
      </c>
      <c r="F96" s="158">
        <v>154512.4</v>
      </c>
      <c r="G96" s="160" t="s">
        <v>4487</v>
      </c>
      <c r="H96" s="962" t="str">
        <f t="shared" si="3"/>
        <v xml:space="preserve">0296615NB3
分析表68_x000D_
</v>
      </c>
      <c r="I96" s="22">
        <v>88</v>
      </c>
      <c r="J96" s="4" t="str">
        <f t="shared" si="2"/>
        <v>1.88</v>
      </c>
    </row>
    <row r="97" spans="1:10" s="4" customFormat="1" ht="42.75">
      <c r="A97" s="1265" t="s">
        <v>116</v>
      </c>
      <c r="B97" s="8" t="s">
        <v>1203</v>
      </c>
      <c r="C97" s="157" t="s">
        <v>0</v>
      </c>
      <c r="D97" s="158">
        <v>5</v>
      </c>
      <c r="E97" s="159">
        <v>57225.46</v>
      </c>
      <c r="F97" s="158">
        <v>286127.3</v>
      </c>
      <c r="G97" s="160" t="s">
        <v>4488</v>
      </c>
      <c r="H97" s="962" t="str">
        <f t="shared" si="3"/>
        <v xml:space="preserve">0295240003
分析表69_x000D_
</v>
      </c>
      <c r="I97" s="22">
        <v>89</v>
      </c>
      <c r="J97" s="4" t="str">
        <f t="shared" si="2"/>
        <v>1.89</v>
      </c>
    </row>
    <row r="98" spans="1:10" s="4" customFormat="1" ht="42.75">
      <c r="A98" s="1265" t="s">
        <v>117</v>
      </c>
      <c r="B98" s="8" t="s">
        <v>1215</v>
      </c>
      <c r="C98" s="157" t="s">
        <v>3</v>
      </c>
      <c r="D98" s="158">
        <v>100</v>
      </c>
      <c r="E98" s="159">
        <v>25.49</v>
      </c>
      <c r="F98" s="158">
        <v>2549</v>
      </c>
      <c r="G98" s="160" t="s">
        <v>4489</v>
      </c>
      <c r="H98" s="962" t="str">
        <f t="shared" si="3"/>
        <v xml:space="preserve">0296140332
分析表70_x000D_
</v>
      </c>
      <c r="I98" s="22">
        <v>90</v>
      </c>
      <c r="J98" s="4" t="str">
        <f t="shared" si="2"/>
        <v>1.90</v>
      </c>
    </row>
    <row r="99" spans="1:10" s="4" customFormat="1" ht="47.25">
      <c r="A99" s="1265" t="s">
        <v>118</v>
      </c>
      <c r="B99" s="8" t="s">
        <v>4490</v>
      </c>
      <c r="C99" s="157" t="s">
        <v>3</v>
      </c>
      <c r="D99" s="158">
        <v>100</v>
      </c>
      <c r="E99" s="159">
        <v>40.79</v>
      </c>
      <c r="F99" s="158">
        <v>4079</v>
      </c>
      <c r="G99" s="160" t="s">
        <v>4491</v>
      </c>
      <c r="H99" s="962" t="str">
        <f t="shared" si="3"/>
        <v xml:space="preserve">02961403N2
分析表71_x000D_
</v>
      </c>
      <c r="I99" s="22">
        <v>91</v>
      </c>
      <c r="J99" s="4" t="str">
        <f t="shared" si="2"/>
        <v>1.91</v>
      </c>
    </row>
    <row r="100" spans="1:10" s="4" customFormat="1" ht="42.75">
      <c r="A100" s="1265" t="s">
        <v>119</v>
      </c>
      <c r="B100" s="8" t="s">
        <v>1231</v>
      </c>
      <c r="C100" s="157" t="s">
        <v>3</v>
      </c>
      <c r="D100" s="158">
        <v>100</v>
      </c>
      <c r="E100" s="159">
        <v>16.61</v>
      </c>
      <c r="F100" s="158">
        <v>1661</v>
      </c>
      <c r="G100" s="160" t="s">
        <v>4492</v>
      </c>
      <c r="H100" s="962" t="str">
        <f t="shared" si="3"/>
        <v xml:space="preserve">0296140432
分析表72_x000D_
</v>
      </c>
      <c r="I100" s="22">
        <v>92</v>
      </c>
      <c r="J100" s="4" t="str">
        <f t="shared" si="2"/>
        <v>1.92</v>
      </c>
    </row>
    <row r="101" spans="1:10" s="4" customFormat="1" ht="47.25">
      <c r="A101" s="1265" t="s">
        <v>120</v>
      </c>
      <c r="B101" s="8" t="s">
        <v>1236</v>
      </c>
      <c r="C101" s="157" t="s">
        <v>3</v>
      </c>
      <c r="D101" s="158">
        <v>100</v>
      </c>
      <c r="E101" s="159">
        <v>43.51</v>
      </c>
      <c r="F101" s="158">
        <v>4351</v>
      </c>
      <c r="G101" s="160" t="s">
        <v>4493</v>
      </c>
      <c r="H101" s="962" t="str">
        <f t="shared" si="3"/>
        <v xml:space="preserve">0296190332
分析表73_x000D_
</v>
      </c>
      <c r="I101" s="22">
        <v>93</v>
      </c>
      <c r="J101" s="4" t="str">
        <f t="shared" si="2"/>
        <v>1.93</v>
      </c>
    </row>
    <row r="102" spans="1:10" s="4" customFormat="1" ht="47.25">
      <c r="A102" s="1265" t="s">
        <v>121</v>
      </c>
      <c r="B102" s="8" t="s">
        <v>4494</v>
      </c>
      <c r="C102" s="157" t="s">
        <v>3</v>
      </c>
      <c r="D102" s="158">
        <v>100</v>
      </c>
      <c r="E102" s="159">
        <v>69</v>
      </c>
      <c r="F102" s="158">
        <v>6900</v>
      </c>
      <c r="G102" s="160" t="s">
        <v>4495</v>
      </c>
      <c r="H102" s="962" t="str">
        <f t="shared" si="3"/>
        <v xml:space="preserve">02961903N2
分析表74_x000D_
</v>
      </c>
      <c r="I102" s="22">
        <v>94</v>
      </c>
      <c r="J102" s="4" t="str">
        <f t="shared" si="2"/>
        <v>1.94</v>
      </c>
    </row>
    <row r="103" spans="1:10" s="4" customFormat="1" ht="47.25">
      <c r="A103" s="1265" t="s">
        <v>122</v>
      </c>
      <c r="B103" s="8" t="s">
        <v>1239</v>
      </c>
      <c r="C103" s="157" t="s">
        <v>3</v>
      </c>
      <c r="D103" s="158">
        <v>100</v>
      </c>
      <c r="E103" s="159">
        <v>28.64</v>
      </c>
      <c r="F103" s="158">
        <v>2864</v>
      </c>
      <c r="G103" s="160" t="s">
        <v>4496</v>
      </c>
      <c r="H103" s="962" t="str">
        <f t="shared" si="3"/>
        <v xml:space="preserve">0296190432
分析表75_x000D_
</v>
      </c>
      <c r="I103" s="22">
        <v>95</v>
      </c>
      <c r="J103" s="4" t="str">
        <f t="shared" si="2"/>
        <v>1.95</v>
      </c>
    </row>
    <row r="104" spans="1:10" s="4" customFormat="1" ht="42.75">
      <c r="A104" s="1265" t="s">
        <v>123</v>
      </c>
      <c r="B104" s="8" t="s">
        <v>462</v>
      </c>
      <c r="C104" s="157" t="s">
        <v>17</v>
      </c>
      <c r="D104" s="158">
        <v>100</v>
      </c>
      <c r="E104" s="159">
        <v>65.94</v>
      </c>
      <c r="F104" s="158">
        <v>6594</v>
      </c>
      <c r="G104" s="160" t="s">
        <v>4497</v>
      </c>
      <c r="H104" s="962" t="str">
        <f t="shared" si="3"/>
        <v xml:space="preserve">02220PWD00021
分析表76_x000D_
</v>
      </c>
      <c r="I104" s="22">
        <v>96</v>
      </c>
      <c r="J104" s="4" t="str">
        <f t="shared" si="2"/>
        <v>1.96</v>
      </c>
    </row>
    <row r="105" spans="1:10" s="4" customFormat="1" ht="42.75">
      <c r="A105" s="1265" t="s">
        <v>124</v>
      </c>
      <c r="B105" s="8" t="s">
        <v>1250</v>
      </c>
      <c r="C105" s="157" t="s">
        <v>17</v>
      </c>
      <c r="D105" s="158">
        <v>100</v>
      </c>
      <c r="E105" s="159">
        <v>76.930000000000007</v>
      </c>
      <c r="F105" s="158">
        <v>7693</v>
      </c>
      <c r="G105" s="160" t="s">
        <v>4498</v>
      </c>
      <c r="H105" s="962" t="str">
        <f t="shared" si="3"/>
        <v xml:space="preserve">02220PWD00031
分析表77_x000D_
</v>
      </c>
      <c r="I105" s="22">
        <v>97</v>
      </c>
      <c r="J105" s="4" t="str">
        <f t="shared" si="2"/>
        <v>1.97</v>
      </c>
    </row>
    <row r="106" spans="1:10" s="4" customFormat="1" ht="42.75">
      <c r="A106" s="1265" t="s">
        <v>125</v>
      </c>
      <c r="B106" s="8" t="s">
        <v>1253</v>
      </c>
      <c r="C106" s="157" t="s">
        <v>17</v>
      </c>
      <c r="D106" s="158">
        <v>50</v>
      </c>
      <c r="E106" s="159">
        <v>139.58000000000001</v>
      </c>
      <c r="F106" s="158">
        <v>6979</v>
      </c>
      <c r="G106" s="160" t="s">
        <v>4499</v>
      </c>
      <c r="H106" s="962" t="str">
        <f t="shared" si="3"/>
        <v xml:space="preserve">02220#0041
分析表78_x000D_
</v>
      </c>
      <c r="I106" s="22">
        <v>98</v>
      </c>
      <c r="J106" s="4" t="str">
        <f t="shared" si="2"/>
        <v>1.98</v>
      </c>
    </row>
    <row r="107" spans="1:10" s="4" customFormat="1" ht="42.75">
      <c r="A107" s="1265" t="s">
        <v>126</v>
      </c>
      <c r="B107" s="8" t="s">
        <v>464</v>
      </c>
      <c r="C107" s="157" t="s">
        <v>0</v>
      </c>
      <c r="D107" s="158">
        <v>20</v>
      </c>
      <c r="E107" s="159">
        <v>3327.95</v>
      </c>
      <c r="F107" s="158">
        <v>66559</v>
      </c>
      <c r="G107" s="160" t="s">
        <v>4500</v>
      </c>
      <c r="H107" s="962" t="str">
        <f t="shared" si="3"/>
        <v xml:space="preserve">0331023003
分析表79_x000D_
</v>
      </c>
      <c r="I107" s="22">
        <v>99</v>
      </c>
      <c r="J107" s="4" t="str">
        <f t="shared" si="2"/>
        <v>1.99</v>
      </c>
    </row>
    <row r="108" spans="1:10" s="4" customFormat="1" ht="42.75">
      <c r="A108" s="1265" t="s">
        <v>127</v>
      </c>
      <c r="B108" s="8" t="s">
        <v>4501</v>
      </c>
      <c r="C108" s="157" t="s">
        <v>0</v>
      </c>
      <c r="D108" s="158">
        <v>20</v>
      </c>
      <c r="E108" s="159">
        <v>3641.34</v>
      </c>
      <c r="F108" s="158">
        <v>72826.8</v>
      </c>
      <c r="G108" s="160" t="s">
        <v>4502</v>
      </c>
      <c r="H108" s="962" t="str">
        <f t="shared" si="3"/>
        <v xml:space="preserve">03310230N3
分析表80_x000D_
</v>
      </c>
      <c r="I108" s="22">
        <v>100</v>
      </c>
      <c r="J108" s="4" t="str">
        <f t="shared" si="2"/>
        <v>1.100</v>
      </c>
    </row>
    <row r="109" spans="1:10" s="4" customFormat="1" ht="42.75">
      <c r="A109" s="1265" t="s">
        <v>128</v>
      </c>
      <c r="B109" s="8" t="s">
        <v>1270</v>
      </c>
      <c r="C109" s="157" t="s">
        <v>0</v>
      </c>
      <c r="D109" s="158">
        <v>50</v>
      </c>
      <c r="E109" s="159">
        <v>3420.3</v>
      </c>
      <c r="F109" s="158">
        <v>171015</v>
      </c>
      <c r="G109" s="160" t="s">
        <v>4503</v>
      </c>
      <c r="H109" s="962" t="str">
        <f t="shared" si="3"/>
        <v xml:space="preserve">0331024003
分析表81_x000D_
</v>
      </c>
      <c r="I109" s="22">
        <v>101</v>
      </c>
      <c r="J109" s="4" t="str">
        <f t="shared" si="2"/>
        <v>1.101</v>
      </c>
    </row>
    <row r="110" spans="1:10" s="4" customFormat="1" ht="71.25">
      <c r="A110" s="1265" t="s">
        <v>129</v>
      </c>
      <c r="B110" s="8" t="s">
        <v>1275</v>
      </c>
      <c r="C110" s="157" t="s">
        <v>0</v>
      </c>
      <c r="D110" s="158">
        <v>50</v>
      </c>
      <c r="E110" s="159">
        <v>3522.91</v>
      </c>
      <c r="F110" s="158">
        <v>176145.5</v>
      </c>
      <c r="G110" s="160" t="s">
        <v>4504</v>
      </c>
      <c r="H110" s="962" t="str">
        <f t="shared" si="3"/>
        <v>0331025003
分析表82_x000D_
本項納入「水泥及其製品類」物價指數調整</v>
      </c>
      <c r="I110" s="22">
        <v>102</v>
      </c>
      <c r="J110" s="4" t="str">
        <f t="shared" si="2"/>
        <v>1.102</v>
      </c>
    </row>
    <row r="111" spans="1:10" s="4" customFormat="1" ht="71.25">
      <c r="A111" s="1265" t="s">
        <v>130</v>
      </c>
      <c r="B111" s="8" t="s">
        <v>4505</v>
      </c>
      <c r="C111" s="157" t="s">
        <v>0</v>
      </c>
      <c r="D111" s="158">
        <v>50</v>
      </c>
      <c r="E111" s="159">
        <v>3836.3</v>
      </c>
      <c r="F111" s="158">
        <v>191815</v>
      </c>
      <c r="G111" s="160" t="s">
        <v>4506</v>
      </c>
      <c r="H111" s="962" t="str">
        <f t="shared" si="3"/>
        <v>03310250N3
分析表83_x000D_
本項納入「水泥及其製品類」物價指數調整</v>
      </c>
      <c r="I111" s="22">
        <v>103</v>
      </c>
      <c r="J111" s="4" t="str">
        <f t="shared" si="2"/>
        <v>1.103</v>
      </c>
    </row>
    <row r="112" spans="1:10" s="4" customFormat="1" ht="42.75">
      <c r="A112" s="1265" t="s">
        <v>131</v>
      </c>
      <c r="B112" s="8" t="s">
        <v>1280</v>
      </c>
      <c r="C112" s="157" t="s">
        <v>0</v>
      </c>
      <c r="D112" s="158">
        <v>50</v>
      </c>
      <c r="E112" s="159">
        <v>3692.17</v>
      </c>
      <c r="F112" s="158">
        <v>184608.5</v>
      </c>
      <c r="G112" s="160" t="s">
        <v>4507</v>
      </c>
      <c r="H112" s="962" t="str">
        <f t="shared" si="3"/>
        <v xml:space="preserve">0331026003
分析表84_x000D_
</v>
      </c>
      <c r="I112" s="22">
        <v>104</v>
      </c>
      <c r="J112" s="4" t="str">
        <f t="shared" si="2"/>
        <v>1.104</v>
      </c>
    </row>
    <row r="113" spans="1:10" s="4" customFormat="1" ht="71.25">
      <c r="A113" s="1265" t="s">
        <v>132</v>
      </c>
      <c r="B113" s="8" t="s">
        <v>16</v>
      </c>
      <c r="C113" s="157" t="s">
        <v>0</v>
      </c>
      <c r="D113" s="158">
        <v>50</v>
      </c>
      <c r="E113" s="159">
        <v>3847.4</v>
      </c>
      <c r="F113" s="158">
        <v>192370</v>
      </c>
      <c r="G113" s="160" t="s">
        <v>4508</v>
      </c>
      <c r="H113" s="962" t="str">
        <f t="shared" si="3"/>
        <v>0331027003
分析表85_x000D_
本項納入「水泥及其製品類」物價指數調整</v>
      </c>
      <c r="I113" s="22">
        <v>105</v>
      </c>
      <c r="J113" s="4" t="str">
        <f t="shared" si="2"/>
        <v>1.105</v>
      </c>
    </row>
    <row r="114" spans="1:10" s="4" customFormat="1" ht="71.25">
      <c r="A114" s="1265" t="s">
        <v>133</v>
      </c>
      <c r="B114" s="8" t="s">
        <v>4509</v>
      </c>
      <c r="C114" s="157" t="s">
        <v>0</v>
      </c>
      <c r="D114" s="158">
        <v>50</v>
      </c>
      <c r="E114" s="159">
        <v>4295.12</v>
      </c>
      <c r="F114" s="158">
        <v>214756</v>
      </c>
      <c r="G114" s="160" t="s">
        <v>4510</v>
      </c>
      <c r="H114" s="962" t="str">
        <f t="shared" si="3"/>
        <v>03310270N3
分析表86_x000D_
本項納入「水泥及其製品類」物價指數調整</v>
      </c>
      <c r="I114" s="22">
        <v>106</v>
      </c>
      <c r="J114" s="4" t="str">
        <f t="shared" si="2"/>
        <v>1.106</v>
      </c>
    </row>
    <row r="115" spans="1:10" s="4" customFormat="1" ht="42.75">
      <c r="A115" s="1265" t="s">
        <v>134</v>
      </c>
      <c r="B115" s="8" t="s">
        <v>1287</v>
      </c>
      <c r="C115" s="157" t="s">
        <v>0</v>
      </c>
      <c r="D115" s="158">
        <v>10</v>
      </c>
      <c r="E115" s="159">
        <v>4116.53</v>
      </c>
      <c r="F115" s="158">
        <v>41165.300000000003</v>
      </c>
      <c r="G115" s="160" t="s">
        <v>4511</v>
      </c>
      <c r="H115" s="962" t="str">
        <f t="shared" si="3"/>
        <v xml:space="preserve">0331029003
分析表87_x000D_
</v>
      </c>
      <c r="I115" s="22">
        <v>107</v>
      </c>
      <c r="J115" s="4" t="str">
        <f t="shared" si="2"/>
        <v>1.107</v>
      </c>
    </row>
    <row r="116" spans="1:10" s="4" customFormat="1" ht="71.25">
      <c r="A116" s="1265" t="s">
        <v>135</v>
      </c>
      <c r="B116" s="8" t="s">
        <v>1292</v>
      </c>
      <c r="C116" s="157" t="s">
        <v>0</v>
      </c>
      <c r="D116" s="158">
        <v>10</v>
      </c>
      <c r="E116" s="159">
        <v>4379.1099999999997</v>
      </c>
      <c r="F116" s="158">
        <v>43791.1</v>
      </c>
      <c r="G116" s="160" t="s">
        <v>4512</v>
      </c>
      <c r="H116" s="962" t="str">
        <f t="shared" si="3"/>
        <v>0331013003
分析表88_x000D_
本項零星工料包含鋼筋混凝土所需之墊塊費用</v>
      </c>
      <c r="I116" s="22">
        <v>108</v>
      </c>
      <c r="J116" s="4" t="str">
        <f t="shared" si="2"/>
        <v>1.108</v>
      </c>
    </row>
    <row r="117" spans="1:10" s="4" customFormat="1" ht="71.25">
      <c r="A117" s="1265" t="s">
        <v>136</v>
      </c>
      <c r="B117" s="8" t="s">
        <v>1306</v>
      </c>
      <c r="C117" s="157" t="s">
        <v>0</v>
      </c>
      <c r="D117" s="158">
        <v>10</v>
      </c>
      <c r="E117" s="159">
        <v>4535.66</v>
      </c>
      <c r="F117" s="158">
        <v>45356.6</v>
      </c>
      <c r="G117" s="160" t="s">
        <v>4513</v>
      </c>
      <c r="H117" s="962" t="str">
        <f t="shared" si="3"/>
        <v>0331014003
分析表89_x000D_
本項零星工料包含鋼筋混凝土所需之墊塊費用</v>
      </c>
      <c r="I117" s="22">
        <v>109</v>
      </c>
      <c r="J117" s="4" t="str">
        <f t="shared" si="2"/>
        <v>1.109</v>
      </c>
    </row>
    <row r="118" spans="1:10" s="4" customFormat="1" ht="71.25">
      <c r="A118" s="1265" t="s">
        <v>137</v>
      </c>
      <c r="B118" s="8" t="s">
        <v>1309</v>
      </c>
      <c r="C118" s="157" t="s">
        <v>0</v>
      </c>
      <c r="D118" s="158">
        <v>10</v>
      </c>
      <c r="E118" s="159">
        <v>4699.68</v>
      </c>
      <c r="F118" s="158">
        <v>46996.800000000003</v>
      </c>
      <c r="G118" s="160" t="s">
        <v>4514</v>
      </c>
      <c r="H118" s="962" t="str">
        <f t="shared" si="3"/>
        <v>0331015003
分析表90_x000D_
本項零星工料包含鋼筋混凝土所需之墊塊費用</v>
      </c>
      <c r="I118" s="22">
        <v>110</v>
      </c>
      <c r="J118" s="4" t="str">
        <f t="shared" si="2"/>
        <v>1.110</v>
      </c>
    </row>
    <row r="119" spans="1:10" s="4" customFormat="1" ht="71.25">
      <c r="A119" s="1265" t="s">
        <v>138</v>
      </c>
      <c r="B119" s="8" t="s">
        <v>1312</v>
      </c>
      <c r="C119" s="157" t="s">
        <v>0</v>
      </c>
      <c r="D119" s="158">
        <v>10</v>
      </c>
      <c r="E119" s="159">
        <v>4778.03</v>
      </c>
      <c r="F119" s="158">
        <v>47780.3</v>
      </c>
      <c r="G119" s="160" t="s">
        <v>4515</v>
      </c>
      <c r="H119" s="962" t="str">
        <f t="shared" si="3"/>
        <v>0331016003
分析表91_x000D_
本項零星工料包含鋼筋混凝土所需之墊塊費用</v>
      </c>
      <c r="I119" s="22">
        <v>111</v>
      </c>
      <c r="J119" s="4" t="str">
        <f t="shared" si="2"/>
        <v>1.111</v>
      </c>
    </row>
    <row r="120" spans="1:10" s="4" customFormat="1" ht="71.25">
      <c r="A120" s="1265" t="s">
        <v>139</v>
      </c>
      <c r="B120" s="8" t="s">
        <v>1315</v>
      </c>
      <c r="C120" s="157" t="s">
        <v>0</v>
      </c>
      <c r="D120" s="158">
        <v>10</v>
      </c>
      <c r="E120" s="159">
        <v>6850.6</v>
      </c>
      <c r="F120" s="158">
        <v>68506</v>
      </c>
      <c r="G120" s="160" t="s">
        <v>4516</v>
      </c>
      <c r="H120" s="962" t="str">
        <f t="shared" si="3"/>
        <v>033100E0B3
分析表92_x000D_
本項零星工料包含鋼筋混凝土所需之墊塊費用</v>
      </c>
      <c r="I120" s="22">
        <v>112</v>
      </c>
      <c r="J120" s="4" t="str">
        <f t="shared" si="2"/>
        <v>1.112</v>
      </c>
    </row>
    <row r="121" spans="1:10" s="4" customFormat="1" ht="71.25">
      <c r="A121" s="1265" t="s">
        <v>140</v>
      </c>
      <c r="B121" s="8" t="s">
        <v>4517</v>
      </c>
      <c r="C121" s="157" t="s">
        <v>0</v>
      </c>
      <c r="D121" s="158">
        <v>10</v>
      </c>
      <c r="E121" s="159">
        <v>8554.76</v>
      </c>
      <c r="F121" s="158">
        <v>85547.6</v>
      </c>
      <c r="G121" s="160" t="s">
        <v>4518</v>
      </c>
      <c r="H121" s="962" t="str">
        <f t="shared" si="3"/>
        <v>033100E0N3
分析表93_x000D_
本項零星工料包含鋼筋混凝土所需之墊塊費用</v>
      </c>
      <c r="I121" s="22">
        <v>113</v>
      </c>
      <c r="J121" s="4" t="str">
        <f t="shared" si="2"/>
        <v>1.113</v>
      </c>
    </row>
    <row r="122" spans="1:10" s="4" customFormat="1" ht="71.25">
      <c r="A122" s="1265" t="s">
        <v>141</v>
      </c>
      <c r="B122" s="8" t="s">
        <v>4519</v>
      </c>
      <c r="C122" s="157" t="s">
        <v>0</v>
      </c>
      <c r="D122" s="158">
        <v>10</v>
      </c>
      <c r="E122" s="159">
        <v>1749.87</v>
      </c>
      <c r="F122" s="158">
        <v>17498.7</v>
      </c>
      <c r="G122" s="160" t="s">
        <v>4520</v>
      </c>
      <c r="H122" s="962" t="str">
        <f t="shared" si="3"/>
        <v>03377PWD00A03
分析表94_x000D_
原名稱「控制性低強度回填材料及澆置」</v>
      </c>
      <c r="I122" s="22">
        <v>114</v>
      </c>
      <c r="J122" s="4" t="str">
        <f t="shared" si="2"/>
        <v>1.114</v>
      </c>
    </row>
    <row r="123" spans="1:10" s="4" customFormat="1" ht="71.25">
      <c r="A123" s="1265" t="s">
        <v>142</v>
      </c>
      <c r="B123" s="8" t="s">
        <v>4521</v>
      </c>
      <c r="C123" s="157" t="s">
        <v>0</v>
      </c>
      <c r="D123" s="158">
        <v>10</v>
      </c>
      <c r="E123" s="159">
        <v>2002.08</v>
      </c>
      <c r="F123" s="158">
        <v>20020.8</v>
      </c>
      <c r="G123" s="160" t="s">
        <v>4522</v>
      </c>
      <c r="H123" s="962" t="str">
        <f t="shared" si="3"/>
        <v>03377PWD00An3
分析表95_x000D_
原名稱「控制性低強度回填材料及澆置」</v>
      </c>
      <c r="I123" s="22">
        <v>115</v>
      </c>
      <c r="J123" s="4" t="str">
        <f t="shared" si="2"/>
        <v>1.115</v>
      </c>
    </row>
    <row r="124" spans="1:10" s="4" customFormat="1" ht="42.75">
      <c r="A124" s="1265" t="s">
        <v>143</v>
      </c>
      <c r="B124" s="8" t="s">
        <v>1320</v>
      </c>
      <c r="C124" s="157" t="s">
        <v>0</v>
      </c>
      <c r="D124" s="158">
        <v>10</v>
      </c>
      <c r="E124" s="159">
        <v>5076.34</v>
      </c>
      <c r="F124" s="158">
        <v>50763.4</v>
      </c>
      <c r="G124" s="160" t="s">
        <v>4523</v>
      </c>
      <c r="H124" s="962" t="str">
        <f t="shared" si="3"/>
        <v xml:space="preserve">030521#231
分析表96_x000D_
</v>
      </c>
      <c r="I124" s="22">
        <v>116</v>
      </c>
      <c r="J124" s="4" t="str">
        <f t="shared" si="2"/>
        <v>1.116</v>
      </c>
    </row>
    <row r="125" spans="1:10" s="4" customFormat="1" ht="31.5">
      <c r="A125" s="1265" t="s">
        <v>144</v>
      </c>
      <c r="B125" s="8" t="s">
        <v>3086</v>
      </c>
      <c r="C125" s="157" t="s">
        <v>0</v>
      </c>
      <c r="D125" s="158">
        <v>20</v>
      </c>
      <c r="E125" s="159">
        <v>199.24</v>
      </c>
      <c r="F125" s="158">
        <v>3984.8</v>
      </c>
      <c r="G125" s="160" t="s">
        <v>3087</v>
      </c>
      <c r="H125" s="962" t="str">
        <f t="shared" si="3"/>
        <v xml:space="preserve">03310000Z5
</v>
      </c>
      <c r="I125" s="22">
        <v>117</v>
      </c>
      <c r="J125" s="4" t="str">
        <f t="shared" si="2"/>
        <v>1.117</v>
      </c>
    </row>
    <row r="126" spans="1:10" s="4" customFormat="1" ht="42.75">
      <c r="A126" s="1265" t="s">
        <v>145</v>
      </c>
      <c r="B126" s="8" t="s">
        <v>1328</v>
      </c>
      <c r="C126" s="157" t="s">
        <v>3</v>
      </c>
      <c r="D126" s="158">
        <v>10</v>
      </c>
      <c r="E126" s="159">
        <v>264.97000000000003</v>
      </c>
      <c r="F126" s="158">
        <v>2649.7</v>
      </c>
      <c r="G126" s="160" t="s">
        <v>4524</v>
      </c>
      <c r="H126" s="962" t="str">
        <f t="shared" si="3"/>
        <v xml:space="preserve">0336020002
分析表97_x000D_
</v>
      </c>
      <c r="I126" s="22">
        <v>118</v>
      </c>
      <c r="J126" s="4" t="str">
        <f t="shared" si="2"/>
        <v>1.118</v>
      </c>
    </row>
    <row r="127" spans="1:10" s="4" customFormat="1" ht="42.75">
      <c r="A127" s="1265" t="s">
        <v>146</v>
      </c>
      <c r="B127" s="8" t="s">
        <v>1333</v>
      </c>
      <c r="C127" s="157" t="s">
        <v>3</v>
      </c>
      <c r="D127" s="158">
        <v>10</v>
      </c>
      <c r="E127" s="159">
        <v>957</v>
      </c>
      <c r="F127" s="158">
        <v>9570</v>
      </c>
      <c r="G127" s="160" t="s">
        <v>4525</v>
      </c>
      <c r="H127" s="962" t="str">
        <f t="shared" si="3"/>
        <v>0311021102
分析表98_x000D_
橋面</v>
      </c>
      <c r="I127" s="22">
        <v>119</v>
      </c>
      <c r="J127" s="4" t="str">
        <f t="shared" si="2"/>
        <v>1.119</v>
      </c>
    </row>
    <row r="128" spans="1:10" s="4" customFormat="1" ht="71.25">
      <c r="A128" s="1265" t="s">
        <v>147</v>
      </c>
      <c r="B128" s="8" t="s">
        <v>3625</v>
      </c>
      <c r="C128" s="157" t="s">
        <v>3</v>
      </c>
      <c r="D128" s="158">
        <v>10</v>
      </c>
      <c r="E128" s="159">
        <v>1197.05</v>
      </c>
      <c r="F128" s="158">
        <v>11970.5</v>
      </c>
      <c r="G128" s="160" t="s">
        <v>4526</v>
      </c>
      <c r="H128" s="962" t="str">
        <f t="shared" si="3"/>
        <v>0311021112
分析表99_x000D_
經機關核定每日施工期間未達7小時適用</v>
      </c>
      <c r="I128" s="22">
        <v>120</v>
      </c>
      <c r="J128" s="4" t="str">
        <f t="shared" si="2"/>
        <v>1.120</v>
      </c>
    </row>
    <row r="129" spans="1:10" s="4" customFormat="1" ht="85.5">
      <c r="A129" s="1265" t="s">
        <v>148</v>
      </c>
      <c r="B129" s="8" t="s">
        <v>1347</v>
      </c>
      <c r="C129" s="157" t="s">
        <v>3</v>
      </c>
      <c r="D129" s="158">
        <v>10</v>
      </c>
      <c r="E129" s="159">
        <v>801.75</v>
      </c>
      <c r="F129" s="158">
        <v>8017.5</v>
      </c>
      <c r="G129" s="160" t="s">
        <v>4527</v>
      </c>
      <c r="H129" s="962" t="str">
        <f t="shared" si="3"/>
        <v>0311021202
分析表100_x000D_
場鑄結構混凝土用模板，(乙種，擋土牆，橋台，車行箱涵等)</v>
      </c>
      <c r="I129" s="22">
        <v>121</v>
      </c>
      <c r="J129" s="4" t="str">
        <f t="shared" si="2"/>
        <v>1.121</v>
      </c>
    </row>
    <row r="130" spans="1:10" s="4" customFormat="1" ht="114">
      <c r="A130" s="1265" t="s">
        <v>149</v>
      </c>
      <c r="B130" s="8" t="s">
        <v>516</v>
      </c>
      <c r="C130" s="157" t="s">
        <v>3</v>
      </c>
      <c r="D130" s="158">
        <v>10</v>
      </c>
      <c r="E130" s="159">
        <v>1007.66</v>
      </c>
      <c r="F130" s="158">
        <v>10076.6</v>
      </c>
      <c r="G130" s="160" t="s">
        <v>4528</v>
      </c>
      <c r="H130" s="962" t="str">
        <f t="shared" si="3"/>
        <v>0311021212
分析表101_x000D_
場鑄結構混凝土用模板，(乙種，擋土牆，橋台，車行箱涵等)，經機關核定每日施工期間未達7小時適用</v>
      </c>
      <c r="I130" s="22">
        <v>122</v>
      </c>
      <c r="J130" s="4" t="str">
        <f t="shared" ref="J130:J193" si="4">A130</f>
        <v>1.122</v>
      </c>
    </row>
    <row r="131" spans="1:10" s="4" customFormat="1" ht="42.75">
      <c r="A131" s="1265" t="s">
        <v>150</v>
      </c>
      <c r="B131" s="8" t="s">
        <v>1352</v>
      </c>
      <c r="C131" s="157" t="s">
        <v>3</v>
      </c>
      <c r="D131" s="158">
        <v>10</v>
      </c>
      <c r="E131" s="159">
        <v>550.35</v>
      </c>
      <c r="F131" s="158">
        <v>5503.5</v>
      </c>
      <c r="G131" s="160" t="s">
        <v>4529</v>
      </c>
      <c r="H131" s="962" t="str">
        <f t="shared" si="3"/>
        <v xml:space="preserve">0311021302
分析表102_x000D_
</v>
      </c>
      <c r="I131" s="22">
        <v>123</v>
      </c>
      <c r="J131" s="4" t="str">
        <f t="shared" si="4"/>
        <v>1.123</v>
      </c>
    </row>
    <row r="132" spans="1:10" s="4" customFormat="1" ht="71.25">
      <c r="A132" s="1265" t="s">
        <v>151</v>
      </c>
      <c r="B132" s="8" t="s">
        <v>3624</v>
      </c>
      <c r="C132" s="157" t="s">
        <v>3</v>
      </c>
      <c r="D132" s="158">
        <v>10</v>
      </c>
      <c r="E132" s="159">
        <v>688.37</v>
      </c>
      <c r="F132" s="158">
        <v>6883.7</v>
      </c>
      <c r="G132" s="160" t="s">
        <v>4530</v>
      </c>
      <c r="H132" s="962" t="str">
        <f t="shared" si="3"/>
        <v>0311021312
分析表103_x000D_
經機關核定每日施工期間未達7小時適用</v>
      </c>
      <c r="I132" s="22">
        <v>124</v>
      </c>
      <c r="J132" s="4" t="str">
        <f t="shared" si="4"/>
        <v>1.124</v>
      </c>
    </row>
    <row r="133" spans="1:10" s="4" customFormat="1" ht="42.75">
      <c r="A133" s="1265" t="s">
        <v>152</v>
      </c>
      <c r="B133" s="8" t="s">
        <v>4531</v>
      </c>
      <c r="C133" s="157" t="s">
        <v>3</v>
      </c>
      <c r="D133" s="158">
        <v>10</v>
      </c>
      <c r="E133" s="159">
        <v>1094.06</v>
      </c>
      <c r="F133" s="158">
        <v>10940.6</v>
      </c>
      <c r="G133" s="160" t="s">
        <v>4532</v>
      </c>
      <c r="H133" s="962" t="str">
        <f t="shared" si="3"/>
        <v xml:space="preserve">03110213N2
分析表104_x000D_
</v>
      </c>
      <c r="I133" s="22">
        <v>125</v>
      </c>
      <c r="J133" s="4" t="str">
        <f t="shared" si="4"/>
        <v>1.125</v>
      </c>
    </row>
    <row r="134" spans="1:10" s="4" customFormat="1" ht="57">
      <c r="A134" s="1265" t="s">
        <v>153</v>
      </c>
      <c r="B134" s="8" t="s">
        <v>1357</v>
      </c>
      <c r="C134" s="157" t="s">
        <v>3</v>
      </c>
      <c r="D134" s="158">
        <v>10</v>
      </c>
      <c r="E134" s="159">
        <v>655.4</v>
      </c>
      <c r="F134" s="158">
        <v>6554</v>
      </c>
      <c r="G134" s="160" t="s">
        <v>4533</v>
      </c>
      <c r="H134" s="962" t="str">
        <f t="shared" si="3"/>
        <v>0311011202
分析表105_x000D_
擋土牆，橋台，車行箱涵等</v>
      </c>
      <c r="I134" s="22">
        <v>126</v>
      </c>
      <c r="J134" s="4" t="str">
        <f t="shared" si="4"/>
        <v>1.126</v>
      </c>
    </row>
    <row r="135" spans="1:10" s="4" customFormat="1" ht="99.75">
      <c r="A135" s="1265" t="s">
        <v>154</v>
      </c>
      <c r="B135" s="8" t="s">
        <v>3623</v>
      </c>
      <c r="C135" s="157" t="s">
        <v>3</v>
      </c>
      <c r="D135" s="158">
        <v>10</v>
      </c>
      <c r="E135" s="159">
        <v>824.15</v>
      </c>
      <c r="F135" s="158">
        <v>8241.5</v>
      </c>
      <c r="G135" s="160" t="s">
        <v>4534</v>
      </c>
      <c r="H135" s="962" t="str">
        <f t="shared" si="3"/>
        <v>0311011212
分析表106_x000D_
擋土牆，橋台，車行箱涵等，經機關核定每日施工期間未達7小時適用適用</v>
      </c>
      <c r="I135" s="22">
        <v>127</v>
      </c>
      <c r="J135" s="4" t="str">
        <f t="shared" si="4"/>
        <v>1.127</v>
      </c>
    </row>
    <row r="136" spans="1:10" s="4" customFormat="1" ht="57">
      <c r="A136" s="1265" t="s">
        <v>155</v>
      </c>
      <c r="B136" s="8" t="s">
        <v>1360</v>
      </c>
      <c r="C136" s="157" t="s">
        <v>3</v>
      </c>
      <c r="D136" s="158">
        <v>10</v>
      </c>
      <c r="E136" s="159">
        <v>417.54</v>
      </c>
      <c r="F136" s="158">
        <v>4175.3999999999996</v>
      </c>
      <c r="G136" s="160" t="s">
        <v>4535</v>
      </c>
      <c r="H136" s="962" t="str">
        <f t="shared" si="3"/>
        <v>0311011302
分析表107_x000D_
U型構，集水井，排水箱涵等</v>
      </c>
      <c r="I136" s="22">
        <v>128</v>
      </c>
      <c r="J136" s="4" t="str">
        <f t="shared" si="4"/>
        <v>1.128</v>
      </c>
    </row>
    <row r="137" spans="1:10" s="4" customFormat="1" ht="85.5">
      <c r="A137" s="1265" t="s">
        <v>156</v>
      </c>
      <c r="B137" s="8" t="s">
        <v>2973</v>
      </c>
      <c r="C137" s="157" t="s">
        <v>3</v>
      </c>
      <c r="D137" s="158">
        <v>10</v>
      </c>
      <c r="E137" s="159">
        <v>525.94000000000005</v>
      </c>
      <c r="F137" s="158">
        <v>5259.4</v>
      </c>
      <c r="G137" s="160" t="s">
        <v>4536</v>
      </c>
      <c r="H137" s="962" t="str">
        <f t="shared" si="3"/>
        <v>0311011312
分析表108_x000D_
U型構，集水井，排水箱涵等，經機關核定每日施工期間未達7小時適用</v>
      </c>
      <c r="I137" s="22">
        <v>129</v>
      </c>
      <c r="J137" s="4" t="str">
        <f t="shared" si="4"/>
        <v>1.129</v>
      </c>
    </row>
    <row r="138" spans="1:10" s="4" customFormat="1" ht="57">
      <c r="A138" s="1265" t="s">
        <v>157</v>
      </c>
      <c r="B138" s="8" t="s">
        <v>4537</v>
      </c>
      <c r="C138" s="157" t="s">
        <v>3</v>
      </c>
      <c r="D138" s="158">
        <v>10</v>
      </c>
      <c r="E138" s="159">
        <v>843.76</v>
      </c>
      <c r="F138" s="158">
        <v>8437.6</v>
      </c>
      <c r="G138" s="160" t="s">
        <v>4538</v>
      </c>
      <c r="H138" s="962" t="str">
        <f t="shared" si="3"/>
        <v>03110113N2
分析表109_x000D_
U型構，集水井，排水箱涵等</v>
      </c>
      <c r="I138" s="22">
        <v>130</v>
      </c>
      <c r="J138" s="4" t="str">
        <f t="shared" si="4"/>
        <v>1.130</v>
      </c>
    </row>
    <row r="139" spans="1:10" s="4" customFormat="1" ht="42.75">
      <c r="A139" s="1265" t="s">
        <v>158</v>
      </c>
      <c r="B139" s="8" t="s">
        <v>404</v>
      </c>
      <c r="C139" s="157" t="s">
        <v>17</v>
      </c>
      <c r="D139" s="158">
        <v>10</v>
      </c>
      <c r="E139" s="159">
        <v>638.77</v>
      </c>
      <c r="F139" s="158">
        <v>6387.7</v>
      </c>
      <c r="G139" s="160" t="s">
        <v>4539</v>
      </c>
      <c r="H139" s="962" t="str">
        <f t="shared" ref="H139:H202" si="5">G139</f>
        <v xml:space="preserve">03110960a1
分析表110_x000D_
</v>
      </c>
      <c r="I139" s="22">
        <v>131</v>
      </c>
      <c r="J139" s="4" t="str">
        <f t="shared" si="4"/>
        <v>1.131</v>
      </c>
    </row>
    <row r="140" spans="1:10" s="4" customFormat="1" ht="42.75">
      <c r="A140" s="1265" t="s">
        <v>159</v>
      </c>
      <c r="B140" s="8" t="s">
        <v>1369</v>
      </c>
      <c r="C140" s="157" t="s">
        <v>3</v>
      </c>
      <c r="D140" s="158">
        <v>10</v>
      </c>
      <c r="E140" s="159">
        <v>381.1</v>
      </c>
      <c r="F140" s="158">
        <v>3811</v>
      </c>
      <c r="G140" s="160" t="s">
        <v>4540</v>
      </c>
      <c r="H140" s="962" t="str">
        <f t="shared" si="5"/>
        <v xml:space="preserve">03110960a2
分析表111_x000D_
</v>
      </c>
      <c r="I140" s="22">
        <v>132</v>
      </c>
      <c r="J140" s="4" t="str">
        <f t="shared" si="4"/>
        <v>1.132</v>
      </c>
    </row>
    <row r="141" spans="1:10" s="4" customFormat="1" ht="42.75">
      <c r="A141" s="1265" t="s">
        <v>160</v>
      </c>
      <c r="B141" s="8" t="s">
        <v>1372</v>
      </c>
      <c r="C141" s="157" t="s">
        <v>17</v>
      </c>
      <c r="D141" s="158">
        <v>10</v>
      </c>
      <c r="E141" s="159">
        <v>777.18</v>
      </c>
      <c r="F141" s="158">
        <v>7771.8</v>
      </c>
      <c r="G141" s="160" t="s">
        <v>4541</v>
      </c>
      <c r="H141" s="962" t="str">
        <f t="shared" si="5"/>
        <v xml:space="preserve">03110960b1
分析表112_x000D_
</v>
      </c>
      <c r="I141" s="22">
        <v>133</v>
      </c>
      <c r="J141" s="4" t="str">
        <f t="shared" si="4"/>
        <v>1.133</v>
      </c>
    </row>
    <row r="142" spans="1:10" s="4" customFormat="1" ht="42.75">
      <c r="A142" s="1265" t="s">
        <v>161</v>
      </c>
      <c r="B142" s="8" t="s">
        <v>1375</v>
      </c>
      <c r="C142" s="157" t="s">
        <v>3</v>
      </c>
      <c r="D142" s="158">
        <v>10</v>
      </c>
      <c r="E142" s="159">
        <v>460.56</v>
      </c>
      <c r="F142" s="158">
        <v>4605.6000000000004</v>
      </c>
      <c r="G142" s="160" t="s">
        <v>4542</v>
      </c>
      <c r="H142" s="962" t="str">
        <f t="shared" si="5"/>
        <v xml:space="preserve">03110960b2
分析表113_x000D_
</v>
      </c>
      <c r="I142" s="22">
        <v>134</v>
      </c>
      <c r="J142" s="4" t="str">
        <f t="shared" si="4"/>
        <v>1.134</v>
      </c>
    </row>
    <row r="143" spans="1:10" s="4" customFormat="1" ht="42.75">
      <c r="A143" s="1265" t="s">
        <v>162</v>
      </c>
      <c r="B143" s="8" t="s">
        <v>1378</v>
      </c>
      <c r="C143" s="157" t="s">
        <v>17</v>
      </c>
      <c r="D143" s="158">
        <v>10</v>
      </c>
      <c r="E143" s="159">
        <v>902.77</v>
      </c>
      <c r="F143" s="158">
        <v>9027.7000000000007</v>
      </c>
      <c r="G143" s="160" t="s">
        <v>4543</v>
      </c>
      <c r="H143" s="962" t="str">
        <f t="shared" si="5"/>
        <v xml:space="preserve">03110960c1
分析表114_x000D_
</v>
      </c>
      <c r="I143" s="22">
        <v>135</v>
      </c>
      <c r="J143" s="4" t="str">
        <f t="shared" si="4"/>
        <v>1.135</v>
      </c>
    </row>
    <row r="144" spans="1:10" s="4" customFormat="1" ht="42.75">
      <c r="A144" s="1265" t="s">
        <v>163</v>
      </c>
      <c r="B144" s="8" t="s">
        <v>1381</v>
      </c>
      <c r="C144" s="157" t="s">
        <v>3</v>
      </c>
      <c r="D144" s="158">
        <v>10</v>
      </c>
      <c r="E144" s="159">
        <v>535.96</v>
      </c>
      <c r="F144" s="158">
        <v>5359.6</v>
      </c>
      <c r="G144" s="160" t="s">
        <v>4544</v>
      </c>
      <c r="H144" s="962" t="str">
        <f t="shared" si="5"/>
        <v xml:space="preserve">03110960c2
分析表115_x000D_
</v>
      </c>
      <c r="I144" s="22">
        <v>136</v>
      </c>
      <c r="J144" s="4" t="str">
        <f t="shared" si="4"/>
        <v>1.136</v>
      </c>
    </row>
    <row r="145" spans="1:10" s="4" customFormat="1" ht="71.25">
      <c r="A145" s="1265" t="s">
        <v>164</v>
      </c>
      <c r="B145" s="8" t="s">
        <v>3618</v>
      </c>
      <c r="C145" s="157" t="s">
        <v>17</v>
      </c>
      <c r="D145" s="158">
        <v>10</v>
      </c>
      <c r="E145" s="159">
        <v>807.53</v>
      </c>
      <c r="F145" s="158">
        <v>8075.3</v>
      </c>
      <c r="G145" s="160" t="s">
        <v>4545</v>
      </c>
      <c r="H145" s="962" t="str">
        <f t="shared" si="5"/>
        <v>03110900a1
分析表116_x000D_
經機關核定每日施工期間未達7小時適用</v>
      </c>
      <c r="I145" s="22">
        <v>137</v>
      </c>
      <c r="J145" s="4" t="str">
        <f t="shared" si="4"/>
        <v>1.137</v>
      </c>
    </row>
    <row r="146" spans="1:10" s="4" customFormat="1" ht="71.25">
      <c r="A146" s="1265" t="s">
        <v>165</v>
      </c>
      <c r="B146" s="8" t="s">
        <v>3619</v>
      </c>
      <c r="C146" s="157" t="s">
        <v>3</v>
      </c>
      <c r="D146" s="158">
        <v>10</v>
      </c>
      <c r="E146" s="159">
        <v>474.69</v>
      </c>
      <c r="F146" s="158">
        <v>4746.8999999999996</v>
      </c>
      <c r="G146" s="160" t="s">
        <v>4546</v>
      </c>
      <c r="H146" s="962" t="str">
        <f t="shared" si="5"/>
        <v>03110900a2
分析表117_x000D_
經機關核定每日施工期間未達7小時適用</v>
      </c>
      <c r="I146" s="22">
        <v>138</v>
      </c>
      <c r="J146" s="4" t="str">
        <f t="shared" si="4"/>
        <v>1.138</v>
      </c>
    </row>
    <row r="147" spans="1:10" s="4" customFormat="1" ht="71.25">
      <c r="A147" s="1265" t="s">
        <v>166</v>
      </c>
      <c r="B147" s="8" t="s">
        <v>5485</v>
      </c>
      <c r="C147" s="157" t="s">
        <v>17</v>
      </c>
      <c r="D147" s="158">
        <v>10</v>
      </c>
      <c r="E147" s="159">
        <v>991.49</v>
      </c>
      <c r="F147" s="158">
        <v>9914.9</v>
      </c>
      <c r="G147" s="160" t="s">
        <v>4547</v>
      </c>
      <c r="H147" s="962" t="str">
        <f t="shared" si="5"/>
        <v>03110900b1
分析表118_x000D_
經機關核定每日施工期間未達7小時適用</v>
      </c>
      <c r="I147" s="22">
        <v>139</v>
      </c>
      <c r="J147" s="4" t="str">
        <f t="shared" si="4"/>
        <v>1.139</v>
      </c>
    </row>
    <row r="148" spans="1:10" s="4" customFormat="1" ht="71.25">
      <c r="A148" s="1265" t="s">
        <v>167</v>
      </c>
      <c r="B148" s="8" t="s">
        <v>3620</v>
      </c>
      <c r="C148" s="157" t="s">
        <v>3</v>
      </c>
      <c r="D148" s="158">
        <v>10</v>
      </c>
      <c r="E148" s="159">
        <v>576.92999999999995</v>
      </c>
      <c r="F148" s="158">
        <v>5769.3</v>
      </c>
      <c r="G148" s="160" t="s">
        <v>4548</v>
      </c>
      <c r="H148" s="962" t="str">
        <f t="shared" si="5"/>
        <v>03110900b2
分析表119_x000D_
經機關核定每日施工期間未達7小時適用</v>
      </c>
      <c r="I148" s="22">
        <v>140</v>
      </c>
      <c r="J148" s="4" t="str">
        <f t="shared" si="4"/>
        <v>1.140</v>
      </c>
    </row>
    <row r="149" spans="1:10" s="4" customFormat="1" ht="71.25">
      <c r="A149" s="1265" t="s">
        <v>168</v>
      </c>
      <c r="B149" s="8" t="s">
        <v>3621</v>
      </c>
      <c r="C149" s="157" t="s">
        <v>17</v>
      </c>
      <c r="D149" s="158">
        <v>10</v>
      </c>
      <c r="E149" s="159">
        <v>1155.1400000000001</v>
      </c>
      <c r="F149" s="158">
        <v>11551.4</v>
      </c>
      <c r="G149" s="160" t="s">
        <v>4549</v>
      </c>
      <c r="H149" s="962" t="str">
        <f t="shared" si="5"/>
        <v>03110900c1
分析表120_x000D_
經機關核定每日施工期間未達7小時適用</v>
      </c>
      <c r="I149" s="22">
        <v>141</v>
      </c>
      <c r="J149" s="4" t="str">
        <f t="shared" si="4"/>
        <v>1.141</v>
      </c>
    </row>
    <row r="150" spans="1:10" s="4" customFormat="1" ht="71.25">
      <c r="A150" s="1265" t="s">
        <v>169</v>
      </c>
      <c r="B150" s="8" t="s">
        <v>3622</v>
      </c>
      <c r="C150" s="157" t="s">
        <v>3</v>
      </c>
      <c r="D150" s="158">
        <v>10</v>
      </c>
      <c r="E150" s="159">
        <v>674</v>
      </c>
      <c r="F150" s="158">
        <v>6740</v>
      </c>
      <c r="G150" s="160" t="s">
        <v>4550</v>
      </c>
      <c r="H150" s="962" t="str">
        <f t="shared" si="5"/>
        <v>03110900c2
分析表121_x000D_
經機關核定每日施工期間未達7小時適用</v>
      </c>
      <c r="I150" s="22">
        <v>142</v>
      </c>
      <c r="J150" s="4" t="str">
        <f t="shared" si="4"/>
        <v>1.142</v>
      </c>
    </row>
    <row r="151" spans="1:10" s="4" customFormat="1" ht="42.75">
      <c r="A151" s="1265" t="s">
        <v>170</v>
      </c>
      <c r="B151" s="8" t="s">
        <v>4551</v>
      </c>
      <c r="C151" s="157" t="s">
        <v>17</v>
      </c>
      <c r="D151" s="158">
        <v>10</v>
      </c>
      <c r="E151" s="159">
        <v>1302.43</v>
      </c>
      <c r="F151" s="158">
        <v>13024.3</v>
      </c>
      <c r="G151" s="160" t="s">
        <v>4552</v>
      </c>
      <c r="H151" s="962" t="str">
        <f t="shared" si="5"/>
        <v xml:space="preserve">0311096Na1
分析表122_x000D_
</v>
      </c>
      <c r="I151" s="22">
        <v>143</v>
      </c>
      <c r="J151" s="4" t="str">
        <f t="shared" si="4"/>
        <v>1.143</v>
      </c>
    </row>
    <row r="152" spans="1:10" s="4" customFormat="1" ht="42.75">
      <c r="A152" s="1265" t="s">
        <v>171</v>
      </c>
      <c r="B152" s="8" t="s">
        <v>4553</v>
      </c>
      <c r="C152" s="157" t="s">
        <v>3</v>
      </c>
      <c r="D152" s="158">
        <v>10</v>
      </c>
      <c r="E152" s="159">
        <v>749.79</v>
      </c>
      <c r="F152" s="158">
        <v>7497.9</v>
      </c>
      <c r="G152" s="160" t="s">
        <v>4554</v>
      </c>
      <c r="H152" s="962" t="str">
        <f t="shared" si="5"/>
        <v xml:space="preserve">0311096Na2
分析表123_x000D_
</v>
      </c>
      <c r="I152" s="22">
        <v>144</v>
      </c>
      <c r="J152" s="4" t="str">
        <f t="shared" si="4"/>
        <v>1.144</v>
      </c>
    </row>
    <row r="153" spans="1:10" s="4" customFormat="1" ht="42.75">
      <c r="A153" s="1265" t="s">
        <v>172</v>
      </c>
      <c r="B153" s="8" t="s">
        <v>4555</v>
      </c>
      <c r="C153" s="157" t="s">
        <v>17</v>
      </c>
      <c r="D153" s="158">
        <v>10</v>
      </c>
      <c r="E153" s="159">
        <v>1620.75</v>
      </c>
      <c r="F153" s="158">
        <v>16207.5</v>
      </c>
      <c r="G153" s="160" t="s">
        <v>4556</v>
      </c>
      <c r="H153" s="962" t="str">
        <f t="shared" si="5"/>
        <v xml:space="preserve">0311096Nb1
分析表124_x000D_
</v>
      </c>
      <c r="I153" s="22">
        <v>145</v>
      </c>
      <c r="J153" s="4" t="str">
        <f t="shared" si="4"/>
        <v>1.145</v>
      </c>
    </row>
    <row r="154" spans="1:10" s="4" customFormat="1" ht="42.75">
      <c r="A154" s="1265" t="s">
        <v>173</v>
      </c>
      <c r="B154" s="8" t="s">
        <v>4557</v>
      </c>
      <c r="C154" s="157" t="s">
        <v>3</v>
      </c>
      <c r="D154" s="158">
        <v>10</v>
      </c>
      <c r="E154" s="159">
        <v>919.22</v>
      </c>
      <c r="F154" s="158">
        <v>9192.2000000000007</v>
      </c>
      <c r="G154" s="160" t="s">
        <v>4558</v>
      </c>
      <c r="H154" s="962" t="str">
        <f t="shared" si="5"/>
        <v xml:space="preserve">0311096Nb2
分析表125_x000D_
</v>
      </c>
      <c r="I154" s="22">
        <v>146</v>
      </c>
      <c r="J154" s="4" t="str">
        <f t="shared" si="4"/>
        <v>1.146</v>
      </c>
    </row>
    <row r="155" spans="1:10" s="4" customFormat="1" ht="42.75">
      <c r="A155" s="1265" t="s">
        <v>174</v>
      </c>
      <c r="B155" s="8" t="s">
        <v>4559</v>
      </c>
      <c r="C155" s="157" t="s">
        <v>17</v>
      </c>
      <c r="D155" s="158">
        <v>10</v>
      </c>
      <c r="E155" s="159">
        <v>1896.28</v>
      </c>
      <c r="F155" s="158">
        <v>18962.8</v>
      </c>
      <c r="G155" s="160" t="s">
        <v>4560</v>
      </c>
      <c r="H155" s="962" t="str">
        <f t="shared" si="5"/>
        <v xml:space="preserve">0311096NC1
分析表126_x000D_
</v>
      </c>
      <c r="I155" s="22">
        <v>147</v>
      </c>
      <c r="J155" s="4" t="str">
        <f t="shared" si="4"/>
        <v>1.147</v>
      </c>
    </row>
    <row r="156" spans="1:10" s="4" customFormat="1" ht="42.75">
      <c r="A156" s="1265" t="s">
        <v>175</v>
      </c>
      <c r="B156" s="8" t="s">
        <v>4561</v>
      </c>
      <c r="C156" s="157" t="s">
        <v>3</v>
      </c>
      <c r="D156" s="158">
        <v>10</v>
      </c>
      <c r="E156" s="159">
        <v>1079.29</v>
      </c>
      <c r="F156" s="158">
        <v>10792.9</v>
      </c>
      <c r="G156" s="160" t="s">
        <v>4562</v>
      </c>
      <c r="H156" s="962" t="str">
        <f t="shared" si="5"/>
        <v xml:space="preserve">0311096NC2
分析表127_x000D_
</v>
      </c>
      <c r="I156" s="22">
        <v>148</v>
      </c>
      <c r="J156" s="4" t="str">
        <f t="shared" si="4"/>
        <v>1.148</v>
      </c>
    </row>
    <row r="157" spans="1:10" s="4" customFormat="1" ht="42.75">
      <c r="A157" s="1265" t="s">
        <v>176</v>
      </c>
      <c r="B157" s="8" t="s">
        <v>1472</v>
      </c>
      <c r="C157" s="157" t="s">
        <v>4563</v>
      </c>
      <c r="D157" s="158">
        <v>10</v>
      </c>
      <c r="E157" s="159">
        <v>265.76</v>
      </c>
      <c r="F157" s="158">
        <v>2657.6</v>
      </c>
      <c r="G157" s="160" t="s">
        <v>4564</v>
      </c>
      <c r="H157" s="962" t="str">
        <f t="shared" si="5"/>
        <v xml:space="preserve">0311090012
分析表128_x000D_
</v>
      </c>
      <c r="I157" s="22">
        <v>149</v>
      </c>
      <c r="J157" s="4" t="str">
        <f t="shared" si="4"/>
        <v>1.149</v>
      </c>
    </row>
    <row r="158" spans="1:10" s="4" customFormat="1" ht="42.75">
      <c r="A158" s="1265" t="s">
        <v>177</v>
      </c>
      <c r="B158" s="8" t="s">
        <v>4565</v>
      </c>
      <c r="C158" s="157" t="s">
        <v>4563</v>
      </c>
      <c r="D158" s="158">
        <v>10</v>
      </c>
      <c r="E158" s="159">
        <v>484.53</v>
      </c>
      <c r="F158" s="158">
        <v>4845.3</v>
      </c>
      <c r="G158" s="160" t="s">
        <v>4566</v>
      </c>
      <c r="H158" s="962" t="str">
        <f t="shared" si="5"/>
        <v xml:space="preserve">0311090n12
分析表129_x000D_
</v>
      </c>
      <c r="I158" s="22">
        <v>150</v>
      </c>
      <c r="J158" s="4" t="str">
        <f t="shared" si="4"/>
        <v>1.150</v>
      </c>
    </row>
    <row r="159" spans="1:10" s="4" customFormat="1" ht="57">
      <c r="A159" s="1265" t="s">
        <v>178</v>
      </c>
      <c r="B159" s="8" t="s">
        <v>513</v>
      </c>
      <c r="C159" s="157" t="s">
        <v>18</v>
      </c>
      <c r="D159" s="158">
        <v>500</v>
      </c>
      <c r="E159" s="159">
        <v>32.020000000000003</v>
      </c>
      <c r="F159" s="158">
        <v>16010</v>
      </c>
      <c r="G159" s="160" t="s">
        <v>4567</v>
      </c>
      <c r="H159" s="962" t="str">
        <f t="shared" si="5"/>
        <v>0321040009
分析表130_x000D_
本項納入「鋼筋」物價指數調整</v>
      </c>
      <c r="I159" s="22">
        <v>151</v>
      </c>
      <c r="J159" s="4" t="str">
        <f t="shared" si="4"/>
        <v>1.151</v>
      </c>
    </row>
    <row r="160" spans="1:10" s="4" customFormat="1" ht="57">
      <c r="A160" s="1265" t="s">
        <v>179</v>
      </c>
      <c r="B160" s="8" t="s">
        <v>1417</v>
      </c>
      <c r="C160" s="157" t="s">
        <v>18</v>
      </c>
      <c r="D160" s="158">
        <v>500</v>
      </c>
      <c r="E160" s="159">
        <v>31.63</v>
      </c>
      <c r="F160" s="158">
        <v>15815</v>
      </c>
      <c r="G160" s="160" t="s">
        <v>4568</v>
      </c>
      <c r="H160" s="962" t="str">
        <f t="shared" si="5"/>
        <v>0321030009
分析表131_x000D_
本項納入「鋼筋」物價指數調整</v>
      </c>
      <c r="I160" s="22">
        <v>152</v>
      </c>
      <c r="J160" s="4" t="str">
        <f t="shared" si="4"/>
        <v>1.152</v>
      </c>
    </row>
    <row r="161" spans="1:10" s="4" customFormat="1" ht="42.75">
      <c r="A161" s="1265" t="s">
        <v>180</v>
      </c>
      <c r="B161" s="8" t="s">
        <v>1420</v>
      </c>
      <c r="C161" s="157" t="s">
        <v>18</v>
      </c>
      <c r="D161" s="158">
        <v>500</v>
      </c>
      <c r="E161" s="159">
        <v>33.630000000000003</v>
      </c>
      <c r="F161" s="158">
        <v>16815</v>
      </c>
      <c r="G161" s="160" t="s">
        <v>4569</v>
      </c>
      <c r="H161" s="962" t="str">
        <f t="shared" si="5"/>
        <v xml:space="preserve">0321050009
分析表132_x000D_
</v>
      </c>
      <c r="I161" s="22">
        <v>153</v>
      </c>
      <c r="J161" s="4" t="str">
        <f t="shared" si="4"/>
        <v>1.153</v>
      </c>
    </row>
    <row r="162" spans="1:10" s="4" customFormat="1" ht="42.75">
      <c r="A162" s="1265" t="s">
        <v>181</v>
      </c>
      <c r="B162" s="8" t="s">
        <v>1425</v>
      </c>
      <c r="C162" s="157" t="s">
        <v>18</v>
      </c>
      <c r="D162" s="158">
        <v>500</v>
      </c>
      <c r="E162" s="159">
        <v>33.83</v>
      </c>
      <c r="F162" s="158">
        <v>16915</v>
      </c>
      <c r="G162" s="160" t="s">
        <v>4570</v>
      </c>
      <c r="H162" s="962" t="str">
        <f t="shared" si="5"/>
        <v xml:space="preserve">0321060009
分析表133_x000D_
</v>
      </c>
      <c r="I162" s="22">
        <v>154</v>
      </c>
      <c r="J162" s="4" t="str">
        <f t="shared" si="4"/>
        <v>1.154</v>
      </c>
    </row>
    <row r="163" spans="1:10" s="4" customFormat="1" ht="99.75">
      <c r="A163" s="1265" t="s">
        <v>182</v>
      </c>
      <c r="B163" s="8" t="s">
        <v>3629</v>
      </c>
      <c r="C163" s="157" t="s">
        <v>18</v>
      </c>
      <c r="D163" s="158">
        <v>500</v>
      </c>
      <c r="E163" s="159">
        <v>34.520000000000003</v>
      </c>
      <c r="F163" s="158">
        <v>17260</v>
      </c>
      <c r="G163" s="160" t="s">
        <v>4571</v>
      </c>
      <c r="H163" s="962" t="str">
        <f t="shared" si="5"/>
        <v>0321031009
分析表134_x000D_
經機關核定每日施工期間未達7小時適用，本項納入「鋼筋」物價指數調整</v>
      </c>
      <c r="I163" s="22">
        <v>155</v>
      </c>
      <c r="J163" s="4" t="str">
        <f t="shared" si="4"/>
        <v>1.155</v>
      </c>
    </row>
    <row r="164" spans="1:10" s="4" customFormat="1" ht="99.75">
      <c r="A164" s="1265" t="s">
        <v>183</v>
      </c>
      <c r="B164" s="8" t="s">
        <v>2939</v>
      </c>
      <c r="C164" s="157" t="s">
        <v>18</v>
      </c>
      <c r="D164" s="158">
        <v>500</v>
      </c>
      <c r="E164" s="159">
        <v>34.9</v>
      </c>
      <c r="F164" s="158">
        <v>17450</v>
      </c>
      <c r="G164" s="160" t="s">
        <v>4572</v>
      </c>
      <c r="H164" s="962" t="str">
        <f t="shared" si="5"/>
        <v>0321041009
分析表135_x000D_
經機關核定每日施工期間未達7小時適用，本項納入「鋼筋」物價指數調整</v>
      </c>
      <c r="I164" s="22">
        <v>156</v>
      </c>
      <c r="J164" s="4" t="str">
        <f t="shared" si="4"/>
        <v>1.156</v>
      </c>
    </row>
    <row r="165" spans="1:10" s="4" customFormat="1" ht="71.25">
      <c r="A165" s="1265" t="s">
        <v>184</v>
      </c>
      <c r="B165" s="8" t="s">
        <v>3630</v>
      </c>
      <c r="C165" s="157" t="s">
        <v>18</v>
      </c>
      <c r="D165" s="158">
        <v>500</v>
      </c>
      <c r="E165" s="159">
        <v>36.409999999999997</v>
      </c>
      <c r="F165" s="158">
        <v>18205</v>
      </c>
      <c r="G165" s="160" t="s">
        <v>4573</v>
      </c>
      <c r="H165" s="962" t="str">
        <f t="shared" si="5"/>
        <v>0321051009
分析表136_x000D_
經機關核定每日施工期間未達7小時適用</v>
      </c>
      <c r="I165" s="22">
        <v>157</v>
      </c>
      <c r="J165" s="4" t="str">
        <f t="shared" si="4"/>
        <v>1.157</v>
      </c>
    </row>
    <row r="166" spans="1:10" s="4" customFormat="1" ht="71.25">
      <c r="A166" s="1265" t="s">
        <v>185</v>
      </c>
      <c r="B166" s="8" t="s">
        <v>2940</v>
      </c>
      <c r="C166" s="157" t="s">
        <v>18</v>
      </c>
      <c r="D166" s="158">
        <v>500</v>
      </c>
      <c r="E166" s="159">
        <v>36.61</v>
      </c>
      <c r="F166" s="158">
        <v>18305</v>
      </c>
      <c r="G166" s="160" t="s">
        <v>4574</v>
      </c>
      <c r="H166" s="962" t="str">
        <f t="shared" si="5"/>
        <v>0321061009
分析表137_x000D_
經機關核定每日施工期間未達7小時適用</v>
      </c>
      <c r="I166" s="22">
        <v>158</v>
      </c>
      <c r="J166" s="4" t="str">
        <f t="shared" si="4"/>
        <v>1.158</v>
      </c>
    </row>
    <row r="167" spans="1:10" s="4" customFormat="1" ht="57">
      <c r="A167" s="1265" t="s">
        <v>186</v>
      </c>
      <c r="B167" s="8" t="s">
        <v>4575</v>
      </c>
      <c r="C167" s="157" t="s">
        <v>18</v>
      </c>
      <c r="D167" s="158">
        <v>500</v>
      </c>
      <c r="E167" s="159">
        <v>43.39</v>
      </c>
      <c r="F167" s="158">
        <v>21695</v>
      </c>
      <c r="G167" s="160" t="s">
        <v>4576</v>
      </c>
      <c r="H167" s="962" t="str">
        <f t="shared" si="5"/>
        <v>03210400N9
分析表138_x000D_
本項納入「鋼筋」物價指數調整</v>
      </c>
      <c r="I167" s="22">
        <v>159</v>
      </c>
      <c r="J167" s="4" t="str">
        <f t="shared" si="4"/>
        <v>1.159</v>
      </c>
    </row>
    <row r="168" spans="1:10" s="4" customFormat="1" ht="42.75">
      <c r="A168" s="1265" t="s">
        <v>187</v>
      </c>
      <c r="B168" s="8" t="s">
        <v>4577</v>
      </c>
      <c r="C168" s="157" t="s">
        <v>18</v>
      </c>
      <c r="D168" s="158">
        <v>500</v>
      </c>
      <c r="E168" s="159">
        <v>44.77</v>
      </c>
      <c r="F168" s="158">
        <v>22385</v>
      </c>
      <c r="G168" s="160" t="s">
        <v>4578</v>
      </c>
      <c r="H168" s="962" t="str">
        <f t="shared" si="5"/>
        <v xml:space="preserve">03210600N9
分析表139_x000D_
</v>
      </c>
      <c r="I168" s="22">
        <v>160</v>
      </c>
      <c r="J168" s="4" t="str">
        <f t="shared" si="4"/>
        <v>1.160</v>
      </c>
    </row>
    <row r="169" spans="1:10" s="4" customFormat="1" ht="42.75">
      <c r="A169" s="1265" t="s">
        <v>188</v>
      </c>
      <c r="B169" s="8" t="s">
        <v>1437</v>
      </c>
      <c r="C169" s="157" t="s">
        <v>18</v>
      </c>
      <c r="D169" s="158">
        <v>50</v>
      </c>
      <c r="E169" s="159">
        <v>35.44</v>
      </c>
      <c r="F169" s="158">
        <v>1772</v>
      </c>
      <c r="G169" s="160" t="s">
        <v>4579</v>
      </c>
      <c r="H169" s="962" t="str">
        <f t="shared" si="5"/>
        <v xml:space="preserve">05500R1009
分析表140_x000D_
</v>
      </c>
      <c r="I169" s="22">
        <v>161</v>
      </c>
      <c r="J169" s="4" t="str">
        <f t="shared" si="4"/>
        <v>1.161</v>
      </c>
    </row>
    <row r="170" spans="1:10" s="4" customFormat="1" ht="28.5">
      <c r="A170" s="1265" t="s">
        <v>189</v>
      </c>
      <c r="B170" s="8" t="s">
        <v>1445</v>
      </c>
      <c r="C170" s="157" t="s">
        <v>18</v>
      </c>
      <c r="D170" s="158">
        <v>50</v>
      </c>
      <c r="E170" s="159">
        <v>21.92</v>
      </c>
      <c r="F170" s="158">
        <v>1096</v>
      </c>
      <c r="G170" s="160" t="s">
        <v>1446</v>
      </c>
      <c r="H170" s="962" t="str">
        <f t="shared" si="5"/>
        <v xml:space="preserve">0550011009
</v>
      </c>
      <c r="I170" s="22">
        <v>162</v>
      </c>
      <c r="J170" s="4" t="str">
        <f t="shared" si="4"/>
        <v>1.162</v>
      </c>
    </row>
    <row r="171" spans="1:10" s="4" customFormat="1" ht="28.5">
      <c r="A171" s="1265" t="s">
        <v>190</v>
      </c>
      <c r="B171" s="8" t="s">
        <v>2049</v>
      </c>
      <c r="C171" s="157" t="s">
        <v>18</v>
      </c>
      <c r="D171" s="158">
        <v>200</v>
      </c>
      <c r="E171" s="159">
        <v>31.88</v>
      </c>
      <c r="F171" s="158">
        <v>6376</v>
      </c>
      <c r="G171" s="160" t="s">
        <v>2050</v>
      </c>
      <c r="H171" s="962" t="str">
        <f t="shared" si="5"/>
        <v xml:space="preserve">M0550010009
</v>
      </c>
      <c r="I171" s="22">
        <v>163</v>
      </c>
      <c r="J171" s="4" t="str">
        <f t="shared" si="4"/>
        <v>1.163</v>
      </c>
    </row>
    <row r="172" spans="1:10" s="4" customFormat="1" ht="42.75">
      <c r="A172" s="1265" t="s">
        <v>191</v>
      </c>
      <c r="B172" s="8" t="s">
        <v>1448</v>
      </c>
      <c r="C172" s="157" t="s">
        <v>18</v>
      </c>
      <c r="D172" s="158">
        <v>10</v>
      </c>
      <c r="E172" s="159">
        <v>277.05</v>
      </c>
      <c r="F172" s="158">
        <v>2770.5</v>
      </c>
      <c r="G172" s="160" t="s">
        <v>4580</v>
      </c>
      <c r="H172" s="962" t="str">
        <f t="shared" si="5"/>
        <v xml:space="preserve">05500Pc009
分析表141_x000D_
</v>
      </c>
      <c r="I172" s="22">
        <v>164</v>
      </c>
      <c r="J172" s="4" t="str">
        <f t="shared" si="4"/>
        <v>1.164</v>
      </c>
    </row>
    <row r="173" spans="1:10" s="4" customFormat="1" ht="42.75">
      <c r="A173" s="1265" t="s">
        <v>192</v>
      </c>
      <c r="B173" s="8" t="s">
        <v>1455</v>
      </c>
      <c r="C173" s="157" t="s">
        <v>18</v>
      </c>
      <c r="D173" s="158">
        <v>10</v>
      </c>
      <c r="E173" s="159">
        <v>318.08</v>
      </c>
      <c r="F173" s="158">
        <v>3180.8</v>
      </c>
      <c r="G173" s="160" t="s">
        <v>4581</v>
      </c>
      <c r="H173" s="962" t="str">
        <f t="shared" si="5"/>
        <v xml:space="preserve">05500Pd009
分析表142_x000D_
</v>
      </c>
      <c r="I173" s="22">
        <v>165</v>
      </c>
      <c r="J173" s="4" t="str">
        <f t="shared" si="4"/>
        <v>1.165</v>
      </c>
    </row>
    <row r="174" spans="1:10" s="4" customFormat="1" ht="31.5">
      <c r="A174" s="1265" t="s">
        <v>193</v>
      </c>
      <c r="B174" s="8" t="s">
        <v>3122</v>
      </c>
      <c r="C174" s="157" t="s">
        <v>3</v>
      </c>
      <c r="D174" s="158">
        <v>20</v>
      </c>
      <c r="E174" s="159">
        <v>78.7</v>
      </c>
      <c r="F174" s="158">
        <v>1574</v>
      </c>
      <c r="G174" s="160" t="s">
        <v>3123</v>
      </c>
      <c r="H174" s="962" t="str">
        <f t="shared" si="5"/>
        <v>06050100F1
#</v>
      </c>
      <c r="I174" s="22">
        <v>166</v>
      </c>
      <c r="J174" s="4" t="str">
        <f t="shared" si="4"/>
        <v>1.166</v>
      </c>
    </row>
    <row r="175" spans="1:10" s="4" customFormat="1" ht="31.5">
      <c r="A175" s="1265" t="s">
        <v>194</v>
      </c>
      <c r="B175" s="8" t="s">
        <v>3124</v>
      </c>
      <c r="C175" s="157" t="s">
        <v>3</v>
      </c>
      <c r="D175" s="158">
        <v>20</v>
      </c>
      <c r="E175" s="159">
        <v>87.67</v>
      </c>
      <c r="F175" s="158">
        <v>1753.4</v>
      </c>
      <c r="G175" s="160" t="s">
        <v>3125</v>
      </c>
      <c r="H175" s="962" t="str">
        <f t="shared" si="5"/>
        <v xml:space="preserve">M0322004732
</v>
      </c>
      <c r="I175" s="22">
        <v>167</v>
      </c>
      <c r="J175" s="4" t="str">
        <f t="shared" si="4"/>
        <v>1.167</v>
      </c>
    </row>
    <row r="176" spans="1:10" s="4" customFormat="1" ht="42.75">
      <c r="A176" s="1265" t="s">
        <v>195</v>
      </c>
      <c r="B176" s="8" t="s">
        <v>1460</v>
      </c>
      <c r="C176" s="157" t="s">
        <v>3</v>
      </c>
      <c r="D176" s="158">
        <v>5</v>
      </c>
      <c r="E176" s="159">
        <v>865.64</v>
      </c>
      <c r="F176" s="158">
        <v>4328.2</v>
      </c>
      <c r="G176" s="160" t="s">
        <v>4582</v>
      </c>
      <c r="H176" s="962" t="str">
        <f t="shared" si="5"/>
        <v xml:space="preserve">03110700h2
分析表143_x000D_
</v>
      </c>
      <c r="I176" s="22">
        <v>168</v>
      </c>
      <c r="J176" s="4" t="str">
        <f t="shared" si="4"/>
        <v>1.168</v>
      </c>
    </row>
    <row r="177" spans="1:10" s="4" customFormat="1" ht="42.75">
      <c r="A177" s="1265" t="s">
        <v>196</v>
      </c>
      <c r="B177" s="8" t="s">
        <v>1469</v>
      </c>
      <c r="C177" s="157" t="s">
        <v>3</v>
      </c>
      <c r="D177" s="158">
        <v>5</v>
      </c>
      <c r="E177" s="159">
        <v>1510.23</v>
      </c>
      <c r="F177" s="158">
        <v>7551.15</v>
      </c>
      <c r="G177" s="160" t="s">
        <v>4583</v>
      </c>
      <c r="H177" s="962" t="str">
        <f t="shared" si="5"/>
        <v xml:space="preserve">03110700J2
分析表144_x000D_
</v>
      </c>
      <c r="I177" s="22">
        <v>169</v>
      </c>
      <c r="J177" s="4" t="str">
        <f t="shared" si="4"/>
        <v>1.169</v>
      </c>
    </row>
    <row r="178" spans="1:10" s="4" customFormat="1" ht="42.75">
      <c r="A178" s="1265" t="s">
        <v>197</v>
      </c>
      <c r="B178" s="8" t="s">
        <v>1472</v>
      </c>
      <c r="C178" s="157" t="s">
        <v>4563</v>
      </c>
      <c r="D178" s="158">
        <v>5</v>
      </c>
      <c r="E178" s="159">
        <v>265.76</v>
      </c>
      <c r="F178" s="158">
        <v>1328.8</v>
      </c>
      <c r="G178" s="160" t="s">
        <v>4564</v>
      </c>
      <c r="H178" s="962" t="str">
        <f t="shared" si="5"/>
        <v xml:space="preserve">0311090012
分析表128_x000D_
</v>
      </c>
      <c r="I178" s="22">
        <v>170</v>
      </c>
      <c r="J178" s="4" t="str">
        <f t="shared" si="4"/>
        <v>1.170</v>
      </c>
    </row>
    <row r="179" spans="1:10" s="4" customFormat="1" ht="31.5">
      <c r="A179" s="1265" t="s">
        <v>198</v>
      </c>
      <c r="B179" s="8" t="s">
        <v>2817</v>
      </c>
      <c r="C179" s="157" t="s">
        <v>2335</v>
      </c>
      <c r="D179" s="158">
        <v>10</v>
      </c>
      <c r="E179" s="159">
        <v>39.85</v>
      </c>
      <c r="F179" s="158">
        <v>398.5</v>
      </c>
      <c r="G179" s="160" t="s">
        <v>3129</v>
      </c>
      <c r="H179" s="962" t="str">
        <f t="shared" si="5"/>
        <v xml:space="preserve">032100E2GB
</v>
      </c>
      <c r="I179" s="22">
        <v>171</v>
      </c>
      <c r="J179" s="4" t="str">
        <f t="shared" si="4"/>
        <v>1.171</v>
      </c>
    </row>
    <row r="180" spans="1:10" s="4" customFormat="1" ht="31.5">
      <c r="A180" s="1265" t="s">
        <v>199</v>
      </c>
      <c r="B180" s="8" t="s">
        <v>3130</v>
      </c>
      <c r="C180" s="157" t="s">
        <v>2335</v>
      </c>
      <c r="D180" s="158">
        <v>10</v>
      </c>
      <c r="E180" s="159">
        <v>51.8</v>
      </c>
      <c r="F180" s="158">
        <v>518</v>
      </c>
      <c r="G180" s="160" t="s">
        <v>3131</v>
      </c>
      <c r="H180" s="962" t="str">
        <f t="shared" si="5"/>
        <v xml:space="preserve">032100E3GB
</v>
      </c>
      <c r="I180" s="22">
        <v>172</v>
      </c>
      <c r="J180" s="4" t="str">
        <f t="shared" si="4"/>
        <v>1.172</v>
      </c>
    </row>
    <row r="181" spans="1:10" s="4" customFormat="1" ht="31.5">
      <c r="A181" s="1265" t="s">
        <v>200</v>
      </c>
      <c r="B181" s="8" t="s">
        <v>3132</v>
      </c>
      <c r="C181" s="157" t="s">
        <v>2335</v>
      </c>
      <c r="D181" s="158">
        <v>10</v>
      </c>
      <c r="E181" s="159">
        <v>94.64</v>
      </c>
      <c r="F181" s="158">
        <v>946.4</v>
      </c>
      <c r="G181" s="160" t="s">
        <v>3133</v>
      </c>
      <c r="H181" s="962" t="str">
        <f t="shared" si="5"/>
        <v xml:space="preserve">032100E4GB
</v>
      </c>
      <c r="I181" s="22">
        <v>173</v>
      </c>
      <c r="J181" s="4" t="str">
        <f t="shared" si="4"/>
        <v>1.173</v>
      </c>
    </row>
    <row r="182" spans="1:10" s="4" customFormat="1" ht="31.5">
      <c r="A182" s="1265" t="s">
        <v>201</v>
      </c>
      <c r="B182" s="8" t="s">
        <v>3134</v>
      </c>
      <c r="C182" s="157" t="s">
        <v>2335</v>
      </c>
      <c r="D182" s="158">
        <v>10</v>
      </c>
      <c r="E182" s="159">
        <v>184.3</v>
      </c>
      <c r="F182" s="158">
        <v>1843</v>
      </c>
      <c r="G182" s="160" t="s">
        <v>3135</v>
      </c>
      <c r="H182" s="962" t="str">
        <f t="shared" si="5"/>
        <v xml:space="preserve">032100E5GB
</v>
      </c>
      <c r="I182" s="22">
        <v>174</v>
      </c>
      <c r="J182" s="4" t="str">
        <f t="shared" si="4"/>
        <v>1.174</v>
      </c>
    </row>
    <row r="183" spans="1:10" s="4" customFormat="1" ht="31.5">
      <c r="A183" s="1265" t="s">
        <v>202</v>
      </c>
      <c r="B183" s="8" t="s">
        <v>3136</v>
      </c>
      <c r="C183" s="157" t="s">
        <v>2335</v>
      </c>
      <c r="D183" s="158">
        <v>10</v>
      </c>
      <c r="E183" s="159">
        <v>293.88</v>
      </c>
      <c r="F183" s="158">
        <v>2938.8</v>
      </c>
      <c r="G183" s="160" t="s">
        <v>3137</v>
      </c>
      <c r="H183" s="962" t="str">
        <f t="shared" si="5"/>
        <v xml:space="preserve">032100E6GB
</v>
      </c>
      <c r="I183" s="22">
        <v>175</v>
      </c>
      <c r="J183" s="4" t="str">
        <f t="shared" si="4"/>
        <v>1.175</v>
      </c>
    </row>
    <row r="184" spans="1:10" s="4" customFormat="1" ht="31.5">
      <c r="A184" s="1265" t="s">
        <v>203</v>
      </c>
      <c r="B184" s="8" t="s">
        <v>3138</v>
      </c>
      <c r="C184" s="157" t="s">
        <v>2335</v>
      </c>
      <c r="D184" s="158">
        <v>10</v>
      </c>
      <c r="E184" s="159">
        <v>433.36</v>
      </c>
      <c r="F184" s="158">
        <v>4333.6000000000004</v>
      </c>
      <c r="G184" s="160" t="s">
        <v>3139</v>
      </c>
      <c r="H184" s="962" t="str">
        <f t="shared" si="5"/>
        <v xml:space="preserve">032100E7GB
</v>
      </c>
      <c r="I184" s="22">
        <v>176</v>
      </c>
      <c r="J184" s="4" t="str">
        <f t="shared" si="4"/>
        <v>1.176</v>
      </c>
    </row>
    <row r="185" spans="1:10" s="4" customFormat="1" ht="71.25">
      <c r="A185" s="1265" t="s">
        <v>204</v>
      </c>
      <c r="B185" s="8" t="s">
        <v>1475</v>
      </c>
      <c r="C185" s="157" t="s">
        <v>17</v>
      </c>
      <c r="D185" s="158">
        <v>5</v>
      </c>
      <c r="E185" s="159">
        <v>1568.58</v>
      </c>
      <c r="F185" s="158">
        <v>7842.9</v>
      </c>
      <c r="G185" s="160" t="s">
        <v>4584</v>
      </c>
      <c r="H185" s="962" t="str">
        <f t="shared" si="5"/>
        <v>02472PWD02301
分析表145_x000D_
本項零星工料包含鋼筋籠外側所需之間隔片費用</v>
      </c>
      <c r="I185" s="22">
        <v>177</v>
      </c>
      <c r="J185" s="4" t="str">
        <f t="shared" si="4"/>
        <v>1.177</v>
      </c>
    </row>
    <row r="186" spans="1:10" s="4" customFormat="1" ht="71.25">
      <c r="A186" s="1265" t="s">
        <v>205</v>
      </c>
      <c r="B186" s="8" t="s">
        <v>1484</v>
      </c>
      <c r="C186" s="157" t="s">
        <v>17</v>
      </c>
      <c r="D186" s="158">
        <v>5</v>
      </c>
      <c r="E186" s="159">
        <v>1923.37</v>
      </c>
      <c r="F186" s="158">
        <v>9616.85</v>
      </c>
      <c r="G186" s="160" t="s">
        <v>4585</v>
      </c>
      <c r="H186" s="962" t="str">
        <f t="shared" si="5"/>
        <v>02472PWD03301
分析表146_x000D_
本項零星工料包含鋼筋籠外側所需之間隔片費用</v>
      </c>
      <c r="I186" s="22">
        <v>178</v>
      </c>
      <c r="J186" s="4" t="str">
        <f t="shared" si="4"/>
        <v>1.178</v>
      </c>
    </row>
    <row r="187" spans="1:10" s="4" customFormat="1" ht="71.25">
      <c r="A187" s="1265" t="s">
        <v>206</v>
      </c>
      <c r="B187" s="8" t="s">
        <v>1489</v>
      </c>
      <c r="C187" s="157" t="s">
        <v>17</v>
      </c>
      <c r="D187" s="158">
        <v>5</v>
      </c>
      <c r="E187" s="159">
        <v>2243.77</v>
      </c>
      <c r="F187" s="158">
        <v>11218.85</v>
      </c>
      <c r="G187" s="160" t="s">
        <v>4586</v>
      </c>
      <c r="H187" s="962" t="str">
        <f t="shared" si="5"/>
        <v>02472PWD04301
分析表147_x000D_
本項零星工料包含鋼筋籠外側所需之間隔片費用</v>
      </c>
      <c r="I187" s="22">
        <v>179</v>
      </c>
      <c r="J187" s="4" t="str">
        <f t="shared" si="4"/>
        <v>1.179</v>
      </c>
    </row>
    <row r="188" spans="1:10" s="4" customFormat="1" ht="63">
      <c r="A188" s="1265" t="s">
        <v>207</v>
      </c>
      <c r="B188" s="8" t="s">
        <v>1494</v>
      </c>
      <c r="C188" s="157" t="s">
        <v>17</v>
      </c>
      <c r="D188" s="158">
        <v>10</v>
      </c>
      <c r="E188" s="159">
        <v>1521.05</v>
      </c>
      <c r="F188" s="158">
        <v>15210.5</v>
      </c>
      <c r="G188" s="160" t="s">
        <v>4587</v>
      </c>
      <c r="H188" s="962" t="str">
        <f t="shared" si="5"/>
        <v xml:space="preserve">0225514811
分析表148_x000D_
</v>
      </c>
      <c r="I188" s="22">
        <v>180</v>
      </c>
      <c r="J188" s="4" t="str">
        <f t="shared" si="4"/>
        <v>1.180</v>
      </c>
    </row>
    <row r="189" spans="1:10" s="4" customFormat="1" ht="63">
      <c r="A189" s="1265" t="s">
        <v>208</v>
      </c>
      <c r="B189" s="8" t="s">
        <v>1508</v>
      </c>
      <c r="C189" s="157" t="s">
        <v>17</v>
      </c>
      <c r="D189" s="158">
        <v>10</v>
      </c>
      <c r="E189" s="159">
        <v>1219.23</v>
      </c>
      <c r="F189" s="158">
        <v>12192.3</v>
      </c>
      <c r="G189" s="160" t="s">
        <v>4588</v>
      </c>
      <c r="H189" s="962" t="str">
        <f t="shared" si="5"/>
        <v xml:space="preserve">0225513611
分析表149_x000D_
</v>
      </c>
      <c r="I189" s="22">
        <v>181</v>
      </c>
      <c r="J189" s="4" t="str">
        <f t="shared" si="4"/>
        <v>1.181</v>
      </c>
    </row>
    <row r="190" spans="1:10" s="4" customFormat="1" ht="63">
      <c r="A190" s="1265" t="s">
        <v>209</v>
      </c>
      <c r="B190" s="8" t="s">
        <v>1513</v>
      </c>
      <c r="C190" s="157" t="s">
        <v>17</v>
      </c>
      <c r="D190" s="158">
        <v>20</v>
      </c>
      <c r="E190" s="159">
        <v>922.95</v>
      </c>
      <c r="F190" s="158">
        <v>18459</v>
      </c>
      <c r="G190" s="160" t="s">
        <v>4589</v>
      </c>
      <c r="H190" s="962" t="str">
        <f t="shared" si="5"/>
        <v xml:space="preserve">0225512711
分析表150_x000D_
</v>
      </c>
      <c r="I190" s="22">
        <v>182</v>
      </c>
      <c r="J190" s="4" t="str">
        <f t="shared" si="4"/>
        <v>1.182</v>
      </c>
    </row>
    <row r="191" spans="1:10" s="4" customFormat="1" ht="42.75">
      <c r="A191" s="1265" t="s">
        <v>210</v>
      </c>
      <c r="B191" s="8" t="s">
        <v>1518</v>
      </c>
      <c r="C191" s="157" t="s">
        <v>17</v>
      </c>
      <c r="D191" s="158">
        <v>5</v>
      </c>
      <c r="E191" s="159">
        <v>3078.32</v>
      </c>
      <c r="F191" s="158">
        <v>15391.6</v>
      </c>
      <c r="G191" s="160" t="s">
        <v>4590</v>
      </c>
      <c r="H191" s="962" t="str">
        <f t="shared" si="5"/>
        <v xml:space="preserve">0225630001
分析表151_x000D_
</v>
      </c>
      <c r="I191" s="22">
        <v>183</v>
      </c>
      <c r="J191" s="4" t="str">
        <f t="shared" si="4"/>
        <v>1.183</v>
      </c>
    </row>
    <row r="192" spans="1:10" s="4" customFormat="1" ht="47.25">
      <c r="A192" s="1265" t="s">
        <v>211</v>
      </c>
      <c r="B192" s="8" t="s">
        <v>1525</v>
      </c>
      <c r="C192" s="157" t="s">
        <v>3</v>
      </c>
      <c r="D192" s="158">
        <v>5</v>
      </c>
      <c r="E192" s="159">
        <v>634.26</v>
      </c>
      <c r="F192" s="158">
        <v>3171.3</v>
      </c>
      <c r="G192" s="160" t="s">
        <v>4591</v>
      </c>
      <c r="H192" s="962" t="str">
        <f t="shared" si="5"/>
        <v xml:space="preserve">0225620022
分析表152_x000D_
</v>
      </c>
      <c r="I192" s="22">
        <v>184</v>
      </c>
      <c r="J192" s="4" t="str">
        <f t="shared" si="4"/>
        <v>1.184</v>
      </c>
    </row>
    <row r="193" spans="1:10" s="4" customFormat="1" ht="47.25">
      <c r="A193" s="1265" t="s">
        <v>212</v>
      </c>
      <c r="B193" s="8" t="s">
        <v>1533</v>
      </c>
      <c r="C193" s="157" t="s">
        <v>17</v>
      </c>
      <c r="D193" s="158">
        <v>2</v>
      </c>
      <c r="E193" s="159">
        <v>2344.66</v>
      </c>
      <c r="F193" s="158">
        <v>4689.32</v>
      </c>
      <c r="G193" s="160" t="s">
        <v>4592</v>
      </c>
      <c r="H193" s="962" t="str">
        <f t="shared" si="5"/>
        <v>0225540321
分析表153_x000D_
每M2.5片</v>
      </c>
      <c r="I193" s="22">
        <v>185</v>
      </c>
      <c r="J193" s="4" t="str">
        <f t="shared" si="4"/>
        <v>1.185</v>
      </c>
    </row>
    <row r="194" spans="1:10" s="4" customFormat="1" ht="47.25">
      <c r="A194" s="1265" t="s">
        <v>213</v>
      </c>
      <c r="B194" s="8" t="s">
        <v>1543</v>
      </c>
      <c r="C194" s="157" t="s">
        <v>17</v>
      </c>
      <c r="D194" s="158">
        <v>2</v>
      </c>
      <c r="E194" s="159">
        <v>2606.31</v>
      </c>
      <c r="F194" s="158">
        <v>5212.62</v>
      </c>
      <c r="G194" s="160" t="s">
        <v>4593</v>
      </c>
      <c r="H194" s="962" t="str">
        <f t="shared" si="5"/>
        <v>0225540121
分析表154_x000D_
每M2.5片</v>
      </c>
      <c r="I194" s="22">
        <v>186</v>
      </c>
      <c r="J194" s="4" t="str">
        <f t="shared" ref="J194:J257" si="6">A194</f>
        <v>1.186</v>
      </c>
    </row>
    <row r="195" spans="1:10" s="4" customFormat="1" ht="47.25">
      <c r="A195" s="1265" t="s">
        <v>214</v>
      </c>
      <c r="B195" s="8" t="s">
        <v>1550</v>
      </c>
      <c r="C195" s="157" t="s">
        <v>17</v>
      </c>
      <c r="D195" s="158">
        <v>2</v>
      </c>
      <c r="E195" s="159">
        <v>2773.04</v>
      </c>
      <c r="F195" s="158">
        <v>5546.08</v>
      </c>
      <c r="G195" s="160" t="s">
        <v>4594</v>
      </c>
      <c r="H195" s="962" t="str">
        <f t="shared" si="5"/>
        <v xml:space="preserve">0225540621
分析表155_x000D_
</v>
      </c>
      <c r="I195" s="22">
        <v>187</v>
      </c>
      <c r="J195" s="4" t="str">
        <f t="shared" si="6"/>
        <v>1.187</v>
      </c>
    </row>
    <row r="196" spans="1:10" s="4" customFormat="1" ht="47.25">
      <c r="A196" s="1265" t="s">
        <v>215</v>
      </c>
      <c r="B196" s="8" t="s">
        <v>1557</v>
      </c>
      <c r="C196" s="157" t="s">
        <v>17</v>
      </c>
      <c r="D196" s="158">
        <v>2</v>
      </c>
      <c r="E196" s="159">
        <v>3899.19</v>
      </c>
      <c r="F196" s="158">
        <v>7798.38</v>
      </c>
      <c r="G196" s="160" t="s">
        <v>4595</v>
      </c>
      <c r="H196" s="962" t="str">
        <f t="shared" si="5"/>
        <v xml:space="preserve">0225540921
分析表156_x000D_
</v>
      </c>
      <c r="I196" s="22">
        <v>188</v>
      </c>
      <c r="J196" s="4" t="str">
        <f t="shared" si="6"/>
        <v>1.188</v>
      </c>
    </row>
    <row r="197" spans="1:10" s="4" customFormat="1" ht="47.25">
      <c r="A197" s="1265" t="s">
        <v>216</v>
      </c>
      <c r="B197" s="8" t="s">
        <v>1564</v>
      </c>
      <c r="C197" s="157" t="s">
        <v>17</v>
      </c>
      <c r="D197" s="158">
        <v>2</v>
      </c>
      <c r="E197" s="159">
        <v>5702.59</v>
      </c>
      <c r="F197" s="158">
        <v>11405.18</v>
      </c>
      <c r="G197" s="160" t="s">
        <v>4596</v>
      </c>
      <c r="H197" s="962" t="str">
        <f t="shared" si="5"/>
        <v xml:space="preserve">0225540D21
分析表157_x000D_
</v>
      </c>
      <c r="I197" s="22">
        <v>189</v>
      </c>
      <c r="J197" s="4" t="str">
        <f t="shared" si="6"/>
        <v>1.189</v>
      </c>
    </row>
    <row r="198" spans="1:10" s="4" customFormat="1" ht="47.25">
      <c r="A198" s="1265" t="s">
        <v>217</v>
      </c>
      <c r="B198" s="8" t="s">
        <v>1571</v>
      </c>
      <c r="C198" s="157" t="s">
        <v>17</v>
      </c>
      <c r="D198" s="158">
        <v>2</v>
      </c>
      <c r="E198" s="159">
        <v>8939.93</v>
      </c>
      <c r="F198" s="158">
        <v>17879.86</v>
      </c>
      <c r="G198" s="160" t="s">
        <v>4597</v>
      </c>
      <c r="H198" s="962" t="str">
        <f t="shared" si="5"/>
        <v xml:space="preserve">0225540G21
分析表158_x000D_
</v>
      </c>
      <c r="I198" s="22">
        <v>190</v>
      </c>
      <c r="J198" s="4" t="str">
        <f t="shared" si="6"/>
        <v>1.190</v>
      </c>
    </row>
    <row r="199" spans="1:10" s="4" customFormat="1" ht="42.75">
      <c r="A199" s="1265" t="s">
        <v>218</v>
      </c>
      <c r="B199" s="8" t="s">
        <v>1578</v>
      </c>
      <c r="C199" s="157" t="s">
        <v>17</v>
      </c>
      <c r="D199" s="158">
        <v>10</v>
      </c>
      <c r="E199" s="159">
        <v>169.3</v>
      </c>
      <c r="F199" s="158">
        <v>1693</v>
      </c>
      <c r="G199" s="160" t="s">
        <v>4598</v>
      </c>
      <c r="H199" s="962" t="str">
        <f t="shared" si="5"/>
        <v>0225520001
分析表159_x000D_
租用</v>
      </c>
      <c r="I199" s="22">
        <v>191</v>
      </c>
      <c r="J199" s="4" t="str">
        <f t="shared" si="6"/>
        <v>1.191</v>
      </c>
    </row>
    <row r="200" spans="1:10" s="4" customFormat="1" ht="42.75">
      <c r="A200" s="1265" t="s">
        <v>219</v>
      </c>
      <c r="B200" s="8" t="s">
        <v>1585</v>
      </c>
      <c r="C200" s="157" t="s">
        <v>17</v>
      </c>
      <c r="D200" s="158">
        <v>10</v>
      </c>
      <c r="E200" s="159">
        <v>246.26</v>
      </c>
      <c r="F200" s="158">
        <v>2462.6</v>
      </c>
      <c r="G200" s="160" t="s">
        <v>4599</v>
      </c>
      <c r="H200" s="962" t="str">
        <f t="shared" si="5"/>
        <v>0225530001
分析表160_x000D_
租用</v>
      </c>
      <c r="I200" s="22">
        <v>192</v>
      </c>
      <c r="J200" s="4" t="str">
        <f t="shared" si="6"/>
        <v>1.192</v>
      </c>
    </row>
    <row r="201" spans="1:10" s="4" customFormat="1" ht="42.75">
      <c r="A201" s="1265" t="s">
        <v>220</v>
      </c>
      <c r="B201" s="8" t="s">
        <v>1592</v>
      </c>
      <c r="C201" s="157" t="s">
        <v>17</v>
      </c>
      <c r="D201" s="158">
        <v>10</v>
      </c>
      <c r="E201" s="159">
        <v>872.19</v>
      </c>
      <c r="F201" s="158">
        <v>8721.9</v>
      </c>
      <c r="G201" s="160" t="s">
        <v>4600</v>
      </c>
      <c r="H201" s="962" t="str">
        <f t="shared" si="5"/>
        <v xml:space="preserve">02255200V1
分析表161_x000D_
</v>
      </c>
      <c r="I201" s="22">
        <v>193</v>
      </c>
      <c r="J201" s="4" t="str">
        <f t="shared" si="6"/>
        <v>1.193</v>
      </c>
    </row>
    <row r="202" spans="1:10" s="4" customFormat="1" ht="42.75">
      <c r="A202" s="1265" t="s">
        <v>221</v>
      </c>
      <c r="B202" s="8" t="s">
        <v>1599</v>
      </c>
      <c r="C202" s="157" t="s">
        <v>17</v>
      </c>
      <c r="D202" s="158">
        <v>10</v>
      </c>
      <c r="E202" s="159">
        <v>1195.42</v>
      </c>
      <c r="F202" s="158">
        <v>11954.2</v>
      </c>
      <c r="G202" s="160" t="s">
        <v>4601</v>
      </c>
      <c r="H202" s="962" t="str">
        <f t="shared" si="5"/>
        <v xml:space="preserve">02255300V1
分析表162_x000D_
</v>
      </c>
      <c r="I202" s="22">
        <v>194</v>
      </c>
      <c r="J202" s="4" t="str">
        <f t="shared" si="6"/>
        <v>1.194</v>
      </c>
    </row>
    <row r="203" spans="1:10" s="4" customFormat="1" ht="42.75">
      <c r="A203" s="1265" t="s">
        <v>222</v>
      </c>
      <c r="B203" s="8" t="s">
        <v>1606</v>
      </c>
      <c r="C203" s="157" t="s">
        <v>17</v>
      </c>
      <c r="D203" s="158">
        <v>10</v>
      </c>
      <c r="E203" s="159">
        <v>371.1</v>
      </c>
      <c r="F203" s="158">
        <v>3711</v>
      </c>
      <c r="G203" s="160" t="s">
        <v>4602</v>
      </c>
      <c r="H203" s="962" t="str">
        <f t="shared" ref="H203:H266" si="7">G203</f>
        <v>0225540051
分析表163_x000D_
含運費</v>
      </c>
      <c r="I203" s="22">
        <v>195</v>
      </c>
      <c r="J203" s="4" t="str">
        <f t="shared" si="6"/>
        <v>1.195</v>
      </c>
    </row>
    <row r="204" spans="1:10" s="4" customFormat="1" ht="42.75">
      <c r="A204" s="1265" t="s">
        <v>223</v>
      </c>
      <c r="B204" s="8" t="s">
        <v>1613</v>
      </c>
      <c r="C204" s="157" t="s">
        <v>17</v>
      </c>
      <c r="D204" s="158">
        <v>10</v>
      </c>
      <c r="E204" s="159">
        <v>1325.39</v>
      </c>
      <c r="F204" s="158">
        <v>13253.9</v>
      </c>
      <c r="G204" s="160" t="s">
        <v>4603</v>
      </c>
      <c r="H204" s="962" t="str">
        <f t="shared" si="7"/>
        <v xml:space="preserve">02255400U1
分析表164_x000D_
</v>
      </c>
      <c r="I204" s="22">
        <v>196</v>
      </c>
      <c r="J204" s="4" t="str">
        <f t="shared" si="6"/>
        <v>1.196</v>
      </c>
    </row>
    <row r="205" spans="1:10" s="4" customFormat="1" ht="42.75">
      <c r="A205" s="1265" t="s">
        <v>224</v>
      </c>
      <c r="B205" s="8" t="s">
        <v>1620</v>
      </c>
      <c r="C205" s="157" t="s">
        <v>17</v>
      </c>
      <c r="D205" s="158">
        <v>10</v>
      </c>
      <c r="E205" s="159">
        <v>164.17</v>
      </c>
      <c r="F205" s="158">
        <v>1641.7</v>
      </c>
      <c r="G205" s="160" t="s">
        <v>4604</v>
      </c>
      <c r="H205" s="962" t="str">
        <f t="shared" si="7"/>
        <v xml:space="preserve">0225520E31
分析表165_x000D_
</v>
      </c>
      <c r="I205" s="22">
        <v>197</v>
      </c>
      <c r="J205" s="4" t="str">
        <f t="shared" si="6"/>
        <v>1.197</v>
      </c>
    </row>
    <row r="206" spans="1:10" s="4" customFormat="1" ht="42.75">
      <c r="A206" s="1265" t="s">
        <v>225</v>
      </c>
      <c r="B206" s="8" t="s">
        <v>1625</v>
      </c>
      <c r="C206" s="157" t="s">
        <v>17</v>
      </c>
      <c r="D206" s="158">
        <v>10</v>
      </c>
      <c r="E206" s="159">
        <v>236</v>
      </c>
      <c r="F206" s="158">
        <v>2360</v>
      </c>
      <c r="G206" s="160" t="s">
        <v>4605</v>
      </c>
      <c r="H206" s="962" t="str">
        <f t="shared" si="7"/>
        <v xml:space="preserve">0225530E31
分析表166_x000D_
</v>
      </c>
      <c r="I206" s="22">
        <v>198</v>
      </c>
      <c r="J206" s="4" t="str">
        <f t="shared" si="6"/>
        <v>1.198</v>
      </c>
    </row>
    <row r="207" spans="1:10" s="4" customFormat="1" ht="42.75">
      <c r="A207" s="1265" t="s">
        <v>226</v>
      </c>
      <c r="B207" s="8" t="s">
        <v>1630</v>
      </c>
      <c r="C207" s="157" t="s">
        <v>17</v>
      </c>
      <c r="D207" s="158">
        <v>10</v>
      </c>
      <c r="E207" s="159">
        <v>335.19</v>
      </c>
      <c r="F207" s="158">
        <v>3351.9</v>
      </c>
      <c r="G207" s="160" t="s">
        <v>4606</v>
      </c>
      <c r="H207" s="962" t="str">
        <f t="shared" si="7"/>
        <v xml:space="preserve">0225540E31
分析表167_x000D_
</v>
      </c>
      <c r="I207" s="22">
        <v>199</v>
      </c>
      <c r="J207" s="4" t="str">
        <f t="shared" si="6"/>
        <v>1.199</v>
      </c>
    </row>
    <row r="208" spans="1:10" s="4" customFormat="1" ht="42.75">
      <c r="A208" s="1265" t="s">
        <v>227</v>
      </c>
      <c r="B208" s="8" t="s">
        <v>1635</v>
      </c>
      <c r="C208" s="157" t="s">
        <v>3</v>
      </c>
      <c r="D208" s="158">
        <v>10</v>
      </c>
      <c r="E208" s="159">
        <v>338.57</v>
      </c>
      <c r="F208" s="158">
        <v>3385.7</v>
      </c>
      <c r="G208" s="160" t="s">
        <v>4607</v>
      </c>
      <c r="H208" s="962" t="str">
        <f t="shared" si="7"/>
        <v xml:space="preserve">02386PWDA1302
分析表168_x000D_
</v>
      </c>
      <c r="I208" s="22">
        <v>200</v>
      </c>
      <c r="J208" s="4" t="str">
        <f t="shared" si="6"/>
        <v>1.200</v>
      </c>
    </row>
    <row r="209" spans="1:10" s="4" customFormat="1" ht="42.75">
      <c r="A209" s="1265" t="s">
        <v>228</v>
      </c>
      <c r="B209" s="8" t="s">
        <v>1641</v>
      </c>
      <c r="C209" s="157" t="s">
        <v>3</v>
      </c>
      <c r="D209" s="158">
        <v>10</v>
      </c>
      <c r="E209" s="159">
        <v>510</v>
      </c>
      <c r="F209" s="158">
        <v>5100</v>
      </c>
      <c r="G209" s="160" t="s">
        <v>4608</v>
      </c>
      <c r="H209" s="962" t="str">
        <f t="shared" si="7"/>
        <v xml:space="preserve">0922010012
分析表169_x000D_
</v>
      </c>
      <c r="I209" s="22">
        <v>201</v>
      </c>
      <c r="J209" s="4" t="str">
        <f t="shared" si="6"/>
        <v>1.201</v>
      </c>
    </row>
    <row r="210" spans="1:10" s="4" customFormat="1" ht="42.75">
      <c r="A210" s="1265" t="s">
        <v>229</v>
      </c>
      <c r="B210" s="8" t="s">
        <v>1647</v>
      </c>
      <c r="C210" s="157" t="s">
        <v>3</v>
      </c>
      <c r="D210" s="158">
        <v>10</v>
      </c>
      <c r="E210" s="159">
        <v>481.74</v>
      </c>
      <c r="F210" s="158">
        <v>4817.3999999999996</v>
      </c>
      <c r="G210" s="160" t="s">
        <v>4609</v>
      </c>
      <c r="H210" s="962" t="str">
        <f t="shared" si="7"/>
        <v xml:space="preserve">0922020012
分析表170_x000D_
</v>
      </c>
      <c r="I210" s="22">
        <v>202</v>
      </c>
      <c r="J210" s="4" t="str">
        <f t="shared" si="6"/>
        <v>1.202</v>
      </c>
    </row>
    <row r="211" spans="1:10" s="4" customFormat="1" ht="57">
      <c r="A211" s="1265" t="s">
        <v>230</v>
      </c>
      <c r="B211" s="8" t="s">
        <v>1651</v>
      </c>
      <c r="C211" s="157" t="s">
        <v>3</v>
      </c>
      <c r="D211" s="158">
        <v>10</v>
      </c>
      <c r="E211" s="159">
        <v>105.62</v>
      </c>
      <c r="F211" s="158">
        <v>1056.2</v>
      </c>
      <c r="G211" s="160" t="s">
        <v>4610</v>
      </c>
      <c r="H211" s="962" t="str">
        <f t="shared" si="7"/>
        <v>0922030042
分析表171_x000D_
(適用施作面積200M2以上)</v>
      </c>
      <c r="I211" s="22">
        <v>203</v>
      </c>
      <c r="J211" s="4" t="str">
        <f t="shared" si="6"/>
        <v>1.203</v>
      </c>
    </row>
    <row r="212" spans="1:10" s="4" customFormat="1" ht="42.75">
      <c r="A212" s="1265" t="s">
        <v>231</v>
      </c>
      <c r="B212" s="8" t="s">
        <v>1643</v>
      </c>
      <c r="C212" s="157" t="s">
        <v>0</v>
      </c>
      <c r="D212" s="158">
        <v>5</v>
      </c>
      <c r="E212" s="159">
        <v>5119.8900000000003</v>
      </c>
      <c r="F212" s="158">
        <v>25599.45</v>
      </c>
      <c r="G212" s="160" t="s">
        <v>4611</v>
      </c>
      <c r="H212" s="962" t="str">
        <f t="shared" si="7"/>
        <v xml:space="preserve">0406110003
分析表172_x000D_
</v>
      </c>
      <c r="I212" s="22">
        <v>204</v>
      </c>
      <c r="J212" s="4" t="str">
        <f t="shared" si="6"/>
        <v>1.204</v>
      </c>
    </row>
    <row r="213" spans="1:10" s="4" customFormat="1" ht="42.75">
      <c r="A213" s="1265" t="s">
        <v>232</v>
      </c>
      <c r="B213" s="8" t="s">
        <v>1649</v>
      </c>
      <c r="C213" s="157" t="s">
        <v>0</v>
      </c>
      <c r="D213" s="158">
        <v>5</v>
      </c>
      <c r="E213" s="159">
        <v>3747.98</v>
      </c>
      <c r="F213" s="158">
        <v>18739.900000000001</v>
      </c>
      <c r="G213" s="160" t="s">
        <v>4612</v>
      </c>
      <c r="H213" s="962" t="str">
        <f t="shared" si="7"/>
        <v xml:space="preserve">0406120003
分析表173_x000D_
</v>
      </c>
      <c r="I213" s="22">
        <v>205</v>
      </c>
      <c r="J213" s="4" t="str">
        <f t="shared" si="6"/>
        <v>1.205</v>
      </c>
    </row>
    <row r="214" spans="1:10" s="4" customFormat="1" ht="42.75">
      <c r="A214" s="1265" t="s">
        <v>233</v>
      </c>
      <c r="B214" s="8" t="s">
        <v>1637</v>
      </c>
      <c r="C214" s="157" t="s">
        <v>0</v>
      </c>
      <c r="D214" s="158">
        <v>5</v>
      </c>
      <c r="E214" s="159">
        <v>3556.7</v>
      </c>
      <c r="F214" s="158">
        <v>17783.5</v>
      </c>
      <c r="G214" s="160" t="s">
        <v>4613</v>
      </c>
      <c r="H214" s="962" t="str">
        <f t="shared" si="7"/>
        <v xml:space="preserve">0406130003
分析表174_x000D_
</v>
      </c>
      <c r="I214" s="22">
        <v>206</v>
      </c>
      <c r="J214" s="4" t="str">
        <f t="shared" si="6"/>
        <v>1.206</v>
      </c>
    </row>
    <row r="215" spans="1:10" s="4" customFormat="1" ht="42.75">
      <c r="A215" s="1265" t="s">
        <v>234</v>
      </c>
      <c r="B215" s="8" t="s">
        <v>1666</v>
      </c>
      <c r="C215" s="157" t="s">
        <v>3</v>
      </c>
      <c r="D215" s="158">
        <v>10</v>
      </c>
      <c r="E215" s="159">
        <v>1219.1500000000001</v>
      </c>
      <c r="F215" s="158">
        <v>12191.5</v>
      </c>
      <c r="G215" s="160" t="s">
        <v>4614</v>
      </c>
      <c r="H215" s="962" t="str">
        <f t="shared" si="7"/>
        <v xml:space="preserve">0238630302
分析表175_x000D_
</v>
      </c>
      <c r="I215" s="22">
        <v>207</v>
      </c>
      <c r="J215" s="4" t="str">
        <f t="shared" si="6"/>
        <v>1.207</v>
      </c>
    </row>
    <row r="216" spans="1:10" s="4" customFormat="1" ht="42.75">
      <c r="A216" s="1265" t="s">
        <v>235</v>
      </c>
      <c r="B216" s="8" t="s">
        <v>1675</v>
      </c>
      <c r="C216" s="157" t="s">
        <v>3</v>
      </c>
      <c r="D216" s="158">
        <v>10</v>
      </c>
      <c r="E216" s="159">
        <v>1402.45</v>
      </c>
      <c r="F216" s="158">
        <v>14024.5</v>
      </c>
      <c r="G216" s="160" t="s">
        <v>4615</v>
      </c>
      <c r="H216" s="962" t="str">
        <f t="shared" si="7"/>
        <v xml:space="preserve">0238630402
分析表176_x000D_
</v>
      </c>
      <c r="I216" s="22">
        <v>208</v>
      </c>
      <c r="J216" s="4" t="str">
        <f t="shared" si="6"/>
        <v>1.208</v>
      </c>
    </row>
    <row r="217" spans="1:10" s="4" customFormat="1" ht="42.75">
      <c r="A217" s="1265" t="s">
        <v>236</v>
      </c>
      <c r="B217" s="8" t="s">
        <v>1680</v>
      </c>
      <c r="C217" s="157" t="s">
        <v>3</v>
      </c>
      <c r="D217" s="158">
        <v>10</v>
      </c>
      <c r="E217" s="159">
        <v>1567.82</v>
      </c>
      <c r="F217" s="158">
        <v>15678.2</v>
      </c>
      <c r="G217" s="160" t="s">
        <v>4616</v>
      </c>
      <c r="H217" s="962" t="str">
        <f t="shared" si="7"/>
        <v xml:space="preserve">0238630502
分析表177_x000D_
</v>
      </c>
      <c r="I217" s="22">
        <v>209</v>
      </c>
      <c r="J217" s="4" t="str">
        <f t="shared" si="6"/>
        <v>1.209</v>
      </c>
    </row>
    <row r="218" spans="1:10" s="4" customFormat="1" ht="42.75">
      <c r="A218" s="1265" t="s">
        <v>237</v>
      </c>
      <c r="B218" s="8" t="s">
        <v>1685</v>
      </c>
      <c r="C218" s="157" t="s">
        <v>3</v>
      </c>
      <c r="D218" s="158">
        <v>10</v>
      </c>
      <c r="E218" s="159">
        <v>477.8</v>
      </c>
      <c r="F218" s="158">
        <v>4778</v>
      </c>
      <c r="G218" s="160" t="s">
        <v>4617</v>
      </c>
      <c r="H218" s="962" t="str">
        <f t="shared" si="7"/>
        <v xml:space="preserve">0922030012
分析表178_x000D_
</v>
      </c>
      <c r="I218" s="22">
        <v>210</v>
      </c>
      <c r="J218" s="4" t="str">
        <f t="shared" si="6"/>
        <v>1.210</v>
      </c>
    </row>
    <row r="219" spans="1:10" s="4" customFormat="1" ht="42.75">
      <c r="A219" s="1265" t="s">
        <v>238</v>
      </c>
      <c r="B219" s="8" t="s">
        <v>1688</v>
      </c>
      <c r="C219" s="157" t="s">
        <v>1689</v>
      </c>
      <c r="D219" s="158">
        <v>2</v>
      </c>
      <c r="E219" s="159">
        <v>8062.18</v>
      </c>
      <c r="F219" s="158">
        <v>16124.36</v>
      </c>
      <c r="G219" s="160" t="s">
        <v>4618</v>
      </c>
      <c r="H219" s="962" t="str">
        <f t="shared" si="7"/>
        <v xml:space="preserve">02374CD008
分析表179_x000D_
</v>
      </c>
      <c r="I219" s="22">
        <v>211</v>
      </c>
      <c r="J219" s="4" t="str">
        <f t="shared" si="6"/>
        <v>1.211</v>
      </c>
    </row>
    <row r="220" spans="1:10" s="4" customFormat="1" ht="42.75">
      <c r="A220" s="1265" t="s">
        <v>239</v>
      </c>
      <c r="B220" s="8" t="s">
        <v>1700</v>
      </c>
      <c r="C220" s="157" t="s">
        <v>17</v>
      </c>
      <c r="D220" s="158">
        <v>10</v>
      </c>
      <c r="E220" s="159">
        <v>1616.37</v>
      </c>
      <c r="F220" s="158">
        <v>16163.7</v>
      </c>
      <c r="G220" s="160" t="s">
        <v>4619</v>
      </c>
      <c r="H220" s="962" t="str">
        <f t="shared" si="7"/>
        <v xml:space="preserve">0234420701
分析表180_x000D_
</v>
      </c>
      <c r="I220" s="22">
        <v>212</v>
      </c>
      <c r="J220" s="4" t="str">
        <f t="shared" si="6"/>
        <v>1.212</v>
      </c>
    </row>
    <row r="221" spans="1:10" s="4" customFormat="1" ht="42.75">
      <c r="A221" s="1265" t="s">
        <v>240</v>
      </c>
      <c r="B221" s="8" t="s">
        <v>1697</v>
      </c>
      <c r="C221" s="157" t="s">
        <v>15</v>
      </c>
      <c r="D221" s="158">
        <v>10</v>
      </c>
      <c r="E221" s="159">
        <v>1425.67</v>
      </c>
      <c r="F221" s="158">
        <v>14256.7</v>
      </c>
      <c r="G221" s="160" t="s">
        <v>4620</v>
      </c>
      <c r="H221" s="962" t="str">
        <f t="shared" si="7"/>
        <v xml:space="preserve">02381A010A
分析表181_x000D_
</v>
      </c>
      <c r="I221" s="22">
        <v>213</v>
      </c>
      <c r="J221" s="4" t="str">
        <f t="shared" si="6"/>
        <v>1.213</v>
      </c>
    </row>
    <row r="222" spans="1:10" s="4" customFormat="1" ht="42.75">
      <c r="A222" s="1265" t="s">
        <v>241</v>
      </c>
      <c r="B222" s="8" t="s">
        <v>1711</v>
      </c>
      <c r="C222" s="157" t="s">
        <v>3</v>
      </c>
      <c r="D222" s="158">
        <v>10</v>
      </c>
      <c r="E222" s="159">
        <v>1648.41</v>
      </c>
      <c r="F222" s="158">
        <v>16484.099999999999</v>
      </c>
      <c r="G222" s="160" t="s">
        <v>4621</v>
      </c>
      <c r="H222" s="962" t="str">
        <f t="shared" si="7"/>
        <v xml:space="preserve">0337225002
分析表182_x000D_
</v>
      </c>
      <c r="I222" s="22">
        <v>214</v>
      </c>
      <c r="J222" s="4" t="str">
        <f t="shared" si="6"/>
        <v>1.214</v>
      </c>
    </row>
    <row r="223" spans="1:10" s="4" customFormat="1" ht="42.75">
      <c r="A223" s="1265" t="s">
        <v>242</v>
      </c>
      <c r="B223" s="8" t="s">
        <v>1713</v>
      </c>
      <c r="C223" s="157" t="s">
        <v>0</v>
      </c>
      <c r="D223" s="158">
        <v>10</v>
      </c>
      <c r="E223" s="159">
        <v>2458.0500000000002</v>
      </c>
      <c r="F223" s="158">
        <v>24580.5</v>
      </c>
      <c r="G223" s="160" t="s">
        <v>4622</v>
      </c>
      <c r="H223" s="962" t="str">
        <f t="shared" si="7"/>
        <v xml:space="preserve">0337201003
分析表183_x000D_
</v>
      </c>
      <c r="I223" s="22">
        <v>215</v>
      </c>
      <c r="J223" s="4" t="str">
        <f t="shared" si="6"/>
        <v>1.215</v>
      </c>
    </row>
    <row r="224" spans="1:10" s="4" customFormat="1" ht="42.75">
      <c r="A224" s="1265" t="s">
        <v>243</v>
      </c>
      <c r="B224" s="8" t="s">
        <v>1714</v>
      </c>
      <c r="C224" s="157" t="s">
        <v>3</v>
      </c>
      <c r="D224" s="158">
        <v>10</v>
      </c>
      <c r="E224" s="159">
        <v>417.34</v>
      </c>
      <c r="F224" s="158">
        <v>4173.3999999999996</v>
      </c>
      <c r="G224" s="160" t="s">
        <v>4623</v>
      </c>
      <c r="H224" s="962" t="str">
        <f t="shared" si="7"/>
        <v xml:space="preserve">033722V022
分析表184_x000D_
</v>
      </c>
      <c r="I224" s="22">
        <v>216</v>
      </c>
      <c r="J224" s="4" t="str">
        <f t="shared" si="6"/>
        <v>1.216</v>
      </c>
    </row>
    <row r="225" spans="1:10" s="4" customFormat="1" ht="47.25">
      <c r="A225" s="1265" t="s">
        <v>244</v>
      </c>
      <c r="B225" s="8" t="s">
        <v>1719</v>
      </c>
      <c r="C225" s="157" t="s">
        <v>1497</v>
      </c>
      <c r="D225" s="158">
        <v>20</v>
      </c>
      <c r="E225" s="159">
        <v>55.49</v>
      </c>
      <c r="F225" s="158">
        <v>1109.8</v>
      </c>
      <c r="G225" s="160" t="s">
        <v>4624</v>
      </c>
      <c r="H225" s="962" t="str">
        <f t="shared" si="7"/>
        <v xml:space="preserve">03372PWDB0SAE
分析表185_x000D_
</v>
      </c>
      <c r="I225" s="22">
        <v>217</v>
      </c>
      <c r="J225" s="4" t="str">
        <f t="shared" si="6"/>
        <v>1.217</v>
      </c>
    </row>
    <row r="226" spans="1:10" s="4" customFormat="1" ht="28.5">
      <c r="A226" s="1265" t="s">
        <v>245</v>
      </c>
      <c r="B226" s="8" t="s">
        <v>3181</v>
      </c>
      <c r="C226" s="157" t="s">
        <v>18</v>
      </c>
      <c r="D226" s="158">
        <v>10</v>
      </c>
      <c r="E226" s="159">
        <v>278.94</v>
      </c>
      <c r="F226" s="158">
        <v>2789.4</v>
      </c>
      <c r="G226" s="160" t="s">
        <v>3182</v>
      </c>
      <c r="H226" s="962" t="str">
        <f t="shared" si="7"/>
        <v>0393010009
#</v>
      </c>
      <c r="I226" s="22">
        <v>218</v>
      </c>
      <c r="J226" s="4" t="str">
        <f t="shared" si="6"/>
        <v>1.218</v>
      </c>
    </row>
    <row r="227" spans="1:10" s="4" customFormat="1" ht="42.75">
      <c r="A227" s="1265" t="s">
        <v>246</v>
      </c>
      <c r="B227" s="8" t="s">
        <v>1751</v>
      </c>
      <c r="C227" s="157" t="s">
        <v>3</v>
      </c>
      <c r="D227" s="158">
        <v>5</v>
      </c>
      <c r="E227" s="159">
        <v>5595.14</v>
      </c>
      <c r="F227" s="158">
        <v>27975.7</v>
      </c>
      <c r="G227" s="160" t="s">
        <v>4625</v>
      </c>
      <c r="H227" s="962" t="str">
        <f t="shared" si="7"/>
        <v xml:space="preserve">0335021002
分析表186_x000D_
</v>
      </c>
      <c r="I227" s="22">
        <v>219</v>
      </c>
      <c r="J227" s="4" t="str">
        <f t="shared" si="6"/>
        <v>1.219</v>
      </c>
    </row>
    <row r="228" spans="1:10" s="4" customFormat="1" ht="31.5">
      <c r="A228" s="1265" t="s">
        <v>247</v>
      </c>
      <c r="B228" s="8" t="s">
        <v>3183</v>
      </c>
      <c r="C228" s="157" t="s">
        <v>17</v>
      </c>
      <c r="D228" s="158">
        <v>2</v>
      </c>
      <c r="E228" s="159">
        <v>3972.92</v>
      </c>
      <c r="F228" s="158">
        <v>7945.84</v>
      </c>
      <c r="G228" s="160" t="s">
        <v>3184</v>
      </c>
      <c r="H228" s="962" t="str">
        <f t="shared" si="7"/>
        <v>026100C001
#</v>
      </c>
      <c r="I228" s="22">
        <v>220</v>
      </c>
      <c r="J228" s="4" t="str">
        <f t="shared" si="6"/>
        <v>1.220</v>
      </c>
    </row>
    <row r="229" spans="1:10" s="4" customFormat="1" ht="31.5">
      <c r="A229" s="1265" t="s">
        <v>248</v>
      </c>
      <c r="B229" s="8" t="s">
        <v>3186</v>
      </c>
      <c r="C229" s="157" t="s">
        <v>2238</v>
      </c>
      <c r="D229" s="158">
        <v>1</v>
      </c>
      <c r="E229" s="159">
        <v>6524.23</v>
      </c>
      <c r="F229" s="158">
        <v>6524.23</v>
      </c>
      <c r="G229" s="160" t="s">
        <v>3187</v>
      </c>
      <c r="H229" s="962" t="str">
        <f t="shared" si="7"/>
        <v xml:space="preserve">026108803H
</v>
      </c>
      <c r="I229" s="22">
        <v>221</v>
      </c>
      <c r="J229" s="4" t="str">
        <f t="shared" si="6"/>
        <v>1.221</v>
      </c>
    </row>
    <row r="230" spans="1:10" s="4" customFormat="1" ht="31.5">
      <c r="A230" s="1265" t="s">
        <v>249</v>
      </c>
      <c r="B230" s="8" t="s">
        <v>3188</v>
      </c>
      <c r="C230" s="157" t="s">
        <v>17</v>
      </c>
      <c r="D230" s="158">
        <v>1</v>
      </c>
      <c r="E230" s="159">
        <v>5789.03</v>
      </c>
      <c r="F230" s="158">
        <v>5789.03</v>
      </c>
      <c r="G230" s="160" t="s">
        <v>3189</v>
      </c>
      <c r="H230" s="962" t="str">
        <f t="shared" si="7"/>
        <v>026100D001
#</v>
      </c>
      <c r="I230" s="22">
        <v>222</v>
      </c>
      <c r="J230" s="4" t="str">
        <f t="shared" si="6"/>
        <v>1.222</v>
      </c>
    </row>
    <row r="231" spans="1:10" s="4" customFormat="1" ht="31.5">
      <c r="A231" s="1265" t="s">
        <v>250</v>
      </c>
      <c r="B231" s="8" t="s">
        <v>3190</v>
      </c>
      <c r="C231" s="157" t="s">
        <v>2238</v>
      </c>
      <c r="D231" s="158">
        <v>1</v>
      </c>
      <c r="E231" s="159">
        <v>10574.86</v>
      </c>
      <c r="F231" s="158">
        <v>10574.86</v>
      </c>
      <c r="G231" s="160" t="s">
        <v>3191</v>
      </c>
      <c r="H231" s="962" t="str">
        <f t="shared" si="7"/>
        <v xml:space="preserve">026108903H
</v>
      </c>
      <c r="I231" s="22">
        <v>223</v>
      </c>
      <c r="J231" s="4" t="str">
        <f t="shared" si="6"/>
        <v>1.223</v>
      </c>
    </row>
    <row r="232" spans="1:10" s="4" customFormat="1" ht="31.5">
      <c r="A232" s="1265" t="s">
        <v>251</v>
      </c>
      <c r="B232" s="8" t="s">
        <v>3192</v>
      </c>
      <c r="C232" s="157" t="s">
        <v>17</v>
      </c>
      <c r="D232" s="158">
        <v>1</v>
      </c>
      <c r="E232" s="159">
        <v>10064.799999999999</v>
      </c>
      <c r="F232" s="158">
        <v>10064.799999999999</v>
      </c>
      <c r="G232" s="160" t="s">
        <v>3193</v>
      </c>
      <c r="H232" s="962" t="str">
        <f t="shared" si="7"/>
        <v>026100F001
#</v>
      </c>
      <c r="I232" s="22">
        <v>224</v>
      </c>
      <c r="J232" s="4" t="str">
        <f t="shared" si="6"/>
        <v>1.224</v>
      </c>
    </row>
    <row r="233" spans="1:10" s="4" customFormat="1" ht="31.5">
      <c r="A233" s="1265" t="s">
        <v>252</v>
      </c>
      <c r="B233" s="8" t="s">
        <v>3194</v>
      </c>
      <c r="C233" s="157" t="s">
        <v>2238</v>
      </c>
      <c r="D233" s="158">
        <v>1</v>
      </c>
      <c r="E233" s="159">
        <v>12350.12</v>
      </c>
      <c r="F233" s="158">
        <v>12350.12</v>
      </c>
      <c r="G233" s="160" t="s">
        <v>3195</v>
      </c>
      <c r="H233" s="962" t="str">
        <f t="shared" si="7"/>
        <v xml:space="preserve">026108B03H
</v>
      </c>
      <c r="I233" s="22">
        <v>225</v>
      </c>
      <c r="J233" s="4" t="str">
        <f t="shared" si="6"/>
        <v>1.225</v>
      </c>
    </row>
    <row r="234" spans="1:10" s="4" customFormat="1" ht="47.25">
      <c r="A234" s="1265" t="s">
        <v>253</v>
      </c>
      <c r="B234" s="8" t="s">
        <v>3196</v>
      </c>
      <c r="C234" s="157" t="s">
        <v>17</v>
      </c>
      <c r="D234" s="158">
        <v>1</v>
      </c>
      <c r="E234" s="159">
        <v>14983.13</v>
      </c>
      <c r="F234" s="158">
        <v>14983.13</v>
      </c>
      <c r="G234" s="160" t="s">
        <v>3197</v>
      </c>
      <c r="H234" s="962" t="str">
        <f t="shared" si="7"/>
        <v>026100H001
#</v>
      </c>
      <c r="I234" s="22">
        <v>226</v>
      </c>
      <c r="J234" s="4" t="str">
        <f t="shared" si="6"/>
        <v>1.226</v>
      </c>
    </row>
    <row r="235" spans="1:10" s="4" customFormat="1" ht="31.5">
      <c r="A235" s="1265" t="s">
        <v>254</v>
      </c>
      <c r="B235" s="8" t="s">
        <v>3198</v>
      </c>
      <c r="C235" s="157" t="s">
        <v>2238</v>
      </c>
      <c r="D235" s="158">
        <v>1</v>
      </c>
      <c r="E235" s="159">
        <v>16885.900000000001</v>
      </c>
      <c r="F235" s="158">
        <v>16885.900000000001</v>
      </c>
      <c r="G235" s="160" t="s">
        <v>3199</v>
      </c>
      <c r="H235" s="962" t="str">
        <f t="shared" si="7"/>
        <v xml:space="preserve">026108D03H
</v>
      </c>
      <c r="I235" s="22">
        <v>227</v>
      </c>
      <c r="J235" s="4" t="str">
        <f t="shared" si="6"/>
        <v>1.227</v>
      </c>
    </row>
    <row r="236" spans="1:10" s="4" customFormat="1" ht="47.25">
      <c r="A236" s="1265" t="s">
        <v>255</v>
      </c>
      <c r="B236" s="8" t="s">
        <v>3200</v>
      </c>
      <c r="C236" s="157" t="s">
        <v>17</v>
      </c>
      <c r="D236" s="158">
        <v>1</v>
      </c>
      <c r="E236" s="159">
        <v>21380.84</v>
      </c>
      <c r="F236" s="158">
        <v>21380.84</v>
      </c>
      <c r="G236" s="160" t="s">
        <v>3201</v>
      </c>
      <c r="H236" s="962" t="str">
        <f t="shared" si="7"/>
        <v>026100L001
#</v>
      </c>
      <c r="I236" s="22">
        <v>228</v>
      </c>
      <c r="J236" s="4" t="str">
        <f t="shared" si="6"/>
        <v>1.228</v>
      </c>
    </row>
    <row r="237" spans="1:10" s="4" customFormat="1" ht="31.5">
      <c r="A237" s="1265" t="s">
        <v>256</v>
      </c>
      <c r="B237" s="8" t="s">
        <v>3202</v>
      </c>
      <c r="C237" s="157" t="s">
        <v>2238</v>
      </c>
      <c r="D237" s="158">
        <v>2</v>
      </c>
      <c r="E237" s="159">
        <v>23613.37</v>
      </c>
      <c r="F237" s="158">
        <v>47226.74</v>
      </c>
      <c r="G237" s="160" t="s">
        <v>3203</v>
      </c>
      <c r="H237" s="962" t="str">
        <f t="shared" si="7"/>
        <v xml:space="preserve">026108F03H
</v>
      </c>
      <c r="I237" s="22">
        <v>229</v>
      </c>
      <c r="J237" s="4" t="str">
        <f t="shared" si="6"/>
        <v>1.229</v>
      </c>
    </row>
    <row r="238" spans="1:10" s="4" customFormat="1" ht="47.25">
      <c r="A238" s="1265" t="s">
        <v>257</v>
      </c>
      <c r="B238" s="8" t="s">
        <v>1770</v>
      </c>
      <c r="C238" s="157" t="s">
        <v>17</v>
      </c>
      <c r="D238" s="158">
        <v>2</v>
      </c>
      <c r="E238" s="159">
        <v>3686.73</v>
      </c>
      <c r="F238" s="158">
        <v>7373.46</v>
      </c>
      <c r="G238" s="160" t="s">
        <v>4626</v>
      </c>
      <c r="H238" s="962" t="str">
        <f t="shared" si="7"/>
        <v xml:space="preserve">026102D321
分析表187_x000D_
</v>
      </c>
      <c r="I238" s="22">
        <v>230</v>
      </c>
      <c r="J238" s="4" t="str">
        <f t="shared" si="6"/>
        <v>1.230</v>
      </c>
    </row>
    <row r="239" spans="1:10" s="4" customFormat="1" ht="47.25">
      <c r="A239" s="1265" t="s">
        <v>258</v>
      </c>
      <c r="B239" s="8" t="s">
        <v>1777</v>
      </c>
      <c r="C239" s="157" t="s">
        <v>17</v>
      </c>
      <c r="D239" s="158">
        <v>2</v>
      </c>
      <c r="E239" s="159">
        <v>4799.2700000000004</v>
      </c>
      <c r="F239" s="158">
        <v>9598.5400000000009</v>
      </c>
      <c r="G239" s="160" t="s">
        <v>4627</v>
      </c>
      <c r="H239" s="962" t="str">
        <f t="shared" si="7"/>
        <v xml:space="preserve">026102F321
分析表188_x000D_
</v>
      </c>
      <c r="I239" s="22">
        <v>231</v>
      </c>
      <c r="J239" s="4" t="str">
        <f t="shared" si="6"/>
        <v>1.231</v>
      </c>
    </row>
    <row r="240" spans="1:10" s="4" customFormat="1" ht="47.25">
      <c r="A240" s="1265" t="s">
        <v>259</v>
      </c>
      <c r="B240" s="8" t="s">
        <v>1782</v>
      </c>
      <c r="C240" s="157" t="s">
        <v>17</v>
      </c>
      <c r="D240" s="158">
        <v>2</v>
      </c>
      <c r="E240" s="159">
        <v>6649.76</v>
      </c>
      <c r="F240" s="158">
        <v>13299.52</v>
      </c>
      <c r="G240" s="160" t="s">
        <v>4628</v>
      </c>
      <c r="H240" s="962" t="str">
        <f t="shared" si="7"/>
        <v xml:space="preserve">026102H321
分析表189_x000D_
</v>
      </c>
      <c r="I240" s="22">
        <v>232</v>
      </c>
      <c r="J240" s="4" t="str">
        <f t="shared" si="6"/>
        <v>1.232</v>
      </c>
    </row>
    <row r="241" spans="1:10" s="4" customFormat="1" ht="47.25">
      <c r="A241" s="1265" t="s">
        <v>260</v>
      </c>
      <c r="B241" s="8" t="s">
        <v>1787</v>
      </c>
      <c r="C241" s="157" t="s">
        <v>17</v>
      </c>
      <c r="D241" s="158">
        <v>2</v>
      </c>
      <c r="E241" s="159">
        <v>8665.89</v>
      </c>
      <c r="F241" s="158">
        <v>17331.78</v>
      </c>
      <c r="G241" s="160" t="s">
        <v>4629</v>
      </c>
      <c r="H241" s="962" t="str">
        <f t="shared" si="7"/>
        <v xml:space="preserve">026102L321
分析表190_x000D_
</v>
      </c>
      <c r="I241" s="22">
        <v>233</v>
      </c>
      <c r="J241" s="4" t="str">
        <f t="shared" si="6"/>
        <v>1.233</v>
      </c>
    </row>
    <row r="242" spans="1:10" s="4" customFormat="1" ht="47.25">
      <c r="A242" s="1265" t="s">
        <v>261</v>
      </c>
      <c r="B242" s="8" t="s">
        <v>1792</v>
      </c>
      <c r="C242" s="157" t="s">
        <v>17</v>
      </c>
      <c r="D242" s="158">
        <v>2</v>
      </c>
      <c r="E242" s="159">
        <v>10736.05</v>
      </c>
      <c r="F242" s="158">
        <v>21472.1</v>
      </c>
      <c r="G242" s="160" t="s">
        <v>4630</v>
      </c>
      <c r="H242" s="962" t="str">
        <f t="shared" si="7"/>
        <v xml:space="preserve">026102M321
分析表191_x000D_
</v>
      </c>
      <c r="I242" s="22">
        <v>234</v>
      </c>
      <c r="J242" s="4" t="str">
        <f t="shared" si="6"/>
        <v>1.234</v>
      </c>
    </row>
    <row r="243" spans="1:10" s="4" customFormat="1" ht="47.25">
      <c r="A243" s="1265" t="s">
        <v>262</v>
      </c>
      <c r="B243" s="8" t="s">
        <v>1797</v>
      </c>
      <c r="C243" s="157" t="s">
        <v>17</v>
      </c>
      <c r="D243" s="158">
        <v>2</v>
      </c>
      <c r="E243" s="159">
        <v>12928.93</v>
      </c>
      <c r="F243" s="158">
        <v>25857.86</v>
      </c>
      <c r="G243" s="160" t="s">
        <v>4631</v>
      </c>
      <c r="H243" s="962" t="str">
        <f t="shared" si="7"/>
        <v xml:space="preserve">026102N321
分析表192_x000D_
</v>
      </c>
      <c r="I243" s="22">
        <v>235</v>
      </c>
      <c r="J243" s="4" t="str">
        <f t="shared" si="6"/>
        <v>1.235</v>
      </c>
    </row>
    <row r="244" spans="1:10" s="4" customFormat="1" ht="47.25">
      <c r="A244" s="1265" t="s">
        <v>263</v>
      </c>
      <c r="B244" s="8" t="s">
        <v>1802</v>
      </c>
      <c r="C244" s="157" t="s">
        <v>17</v>
      </c>
      <c r="D244" s="158">
        <v>2</v>
      </c>
      <c r="E244" s="159">
        <v>16327.9</v>
      </c>
      <c r="F244" s="158">
        <v>32655.8</v>
      </c>
      <c r="G244" s="160" t="s">
        <v>4632</v>
      </c>
      <c r="H244" s="962" t="str">
        <f t="shared" si="7"/>
        <v xml:space="preserve">026102P321
分析表193_x000D_
</v>
      </c>
      <c r="I244" s="22">
        <v>236</v>
      </c>
      <c r="J244" s="4" t="str">
        <f t="shared" si="6"/>
        <v>1.236</v>
      </c>
    </row>
    <row r="245" spans="1:10" s="4" customFormat="1" ht="47.25">
      <c r="A245" s="1265" t="s">
        <v>264</v>
      </c>
      <c r="B245" s="8" t="s">
        <v>1807</v>
      </c>
      <c r="C245" s="157" t="s">
        <v>17</v>
      </c>
      <c r="D245" s="158">
        <v>2</v>
      </c>
      <c r="E245" s="159">
        <v>20227.099999999999</v>
      </c>
      <c r="F245" s="158">
        <v>40454.199999999997</v>
      </c>
      <c r="G245" s="160" t="s">
        <v>4633</v>
      </c>
      <c r="H245" s="962" t="str">
        <f t="shared" si="7"/>
        <v xml:space="preserve">026102Q321
分析表194_x000D_
</v>
      </c>
      <c r="I245" s="22">
        <v>237</v>
      </c>
      <c r="J245" s="4" t="str">
        <f t="shared" si="6"/>
        <v>1.237</v>
      </c>
    </row>
    <row r="246" spans="1:10" s="4" customFormat="1" ht="47.25">
      <c r="A246" s="1265" t="s">
        <v>265</v>
      </c>
      <c r="B246" s="8" t="s">
        <v>1812</v>
      </c>
      <c r="C246" s="157" t="s">
        <v>17</v>
      </c>
      <c r="D246" s="158">
        <v>2</v>
      </c>
      <c r="E246" s="159">
        <v>24271.279999999999</v>
      </c>
      <c r="F246" s="158">
        <v>48542.559999999998</v>
      </c>
      <c r="G246" s="160" t="s">
        <v>4634</v>
      </c>
      <c r="H246" s="962" t="str">
        <f t="shared" si="7"/>
        <v xml:space="preserve">026102R321
分析表195_x000D_
</v>
      </c>
      <c r="I246" s="22">
        <v>238</v>
      </c>
      <c r="J246" s="4" t="str">
        <f t="shared" si="6"/>
        <v>1.238</v>
      </c>
    </row>
    <row r="247" spans="1:10" s="4" customFormat="1" ht="42.75">
      <c r="A247" s="1265" t="s">
        <v>266</v>
      </c>
      <c r="B247" s="8" t="s">
        <v>1817</v>
      </c>
      <c r="C247" s="157" t="s">
        <v>1818</v>
      </c>
      <c r="D247" s="158">
        <v>2</v>
      </c>
      <c r="E247" s="159">
        <v>1170.79</v>
      </c>
      <c r="F247" s="158">
        <v>2341.58</v>
      </c>
      <c r="G247" s="160" t="s">
        <v>4635</v>
      </c>
      <c r="H247" s="962" t="str">
        <f t="shared" si="7"/>
        <v xml:space="preserve">026100B90H
分析表196_x000D_
</v>
      </c>
      <c r="I247" s="22">
        <v>239</v>
      </c>
      <c r="J247" s="4" t="str">
        <f t="shared" si="6"/>
        <v>1.239</v>
      </c>
    </row>
    <row r="248" spans="1:10" s="4" customFormat="1" ht="42.75">
      <c r="A248" s="1265" t="s">
        <v>267</v>
      </c>
      <c r="B248" s="8" t="s">
        <v>1825</v>
      </c>
      <c r="C248" s="157" t="s">
        <v>1818</v>
      </c>
      <c r="D248" s="158">
        <v>2</v>
      </c>
      <c r="E248" s="159">
        <v>1307.26</v>
      </c>
      <c r="F248" s="158">
        <v>2614.52</v>
      </c>
      <c r="G248" s="160" t="s">
        <v>4636</v>
      </c>
      <c r="H248" s="962" t="str">
        <f t="shared" si="7"/>
        <v xml:space="preserve">026100BB0H
分析表197_x000D_
</v>
      </c>
      <c r="I248" s="22">
        <v>240</v>
      </c>
      <c r="J248" s="4" t="str">
        <f t="shared" si="6"/>
        <v>1.240</v>
      </c>
    </row>
    <row r="249" spans="1:10" s="4" customFormat="1" ht="42.75">
      <c r="A249" s="1265" t="s">
        <v>268</v>
      </c>
      <c r="B249" s="8" t="s">
        <v>1832</v>
      </c>
      <c r="C249" s="157" t="s">
        <v>1818</v>
      </c>
      <c r="D249" s="158">
        <v>2</v>
      </c>
      <c r="E249" s="159">
        <v>1591.48</v>
      </c>
      <c r="F249" s="158">
        <v>3182.96</v>
      </c>
      <c r="G249" s="160" t="s">
        <v>4637</v>
      </c>
      <c r="H249" s="962" t="str">
        <f t="shared" si="7"/>
        <v xml:space="preserve">026100BD0H
分析表198_x000D_
</v>
      </c>
      <c r="I249" s="22">
        <v>241</v>
      </c>
      <c r="J249" s="4" t="str">
        <f t="shared" si="6"/>
        <v>1.241</v>
      </c>
    </row>
    <row r="250" spans="1:10" s="4" customFormat="1" ht="42.75">
      <c r="A250" s="1265" t="s">
        <v>269</v>
      </c>
      <c r="B250" s="8" t="s">
        <v>1839</v>
      </c>
      <c r="C250" s="157" t="s">
        <v>1818</v>
      </c>
      <c r="D250" s="158">
        <v>2</v>
      </c>
      <c r="E250" s="159">
        <v>1632.53</v>
      </c>
      <c r="F250" s="158">
        <v>3265.06</v>
      </c>
      <c r="G250" s="160" t="s">
        <v>4638</v>
      </c>
      <c r="H250" s="962" t="str">
        <f t="shared" si="7"/>
        <v xml:space="preserve">026100BF0H
分析表199_x000D_
</v>
      </c>
      <c r="I250" s="22">
        <v>242</v>
      </c>
      <c r="J250" s="4" t="str">
        <f t="shared" si="6"/>
        <v>1.242</v>
      </c>
    </row>
    <row r="251" spans="1:10" s="4" customFormat="1" ht="42.75">
      <c r="A251" s="1265" t="s">
        <v>270</v>
      </c>
      <c r="B251" s="8" t="s">
        <v>1846</v>
      </c>
      <c r="C251" s="157" t="s">
        <v>1818</v>
      </c>
      <c r="D251" s="158">
        <v>2</v>
      </c>
      <c r="E251" s="159">
        <v>1836.73</v>
      </c>
      <c r="F251" s="158">
        <v>3673.46</v>
      </c>
      <c r="G251" s="160" t="s">
        <v>4639</v>
      </c>
      <c r="H251" s="962" t="str">
        <f t="shared" si="7"/>
        <v xml:space="preserve">026100BG0H
分析表200_x000D_
</v>
      </c>
      <c r="I251" s="22">
        <v>243</v>
      </c>
      <c r="J251" s="4" t="str">
        <f t="shared" si="6"/>
        <v>1.243</v>
      </c>
    </row>
    <row r="252" spans="1:10" s="4" customFormat="1" ht="42.75">
      <c r="A252" s="1265" t="s">
        <v>271</v>
      </c>
      <c r="B252" s="8" t="s">
        <v>1853</v>
      </c>
      <c r="C252" s="157" t="s">
        <v>1818</v>
      </c>
      <c r="D252" s="158">
        <v>2</v>
      </c>
      <c r="E252" s="159">
        <v>2124.0500000000002</v>
      </c>
      <c r="F252" s="158">
        <v>4248.1000000000004</v>
      </c>
      <c r="G252" s="160" t="s">
        <v>4640</v>
      </c>
      <c r="H252" s="962" t="str">
        <f t="shared" si="7"/>
        <v xml:space="preserve">026100BH0H
分析表201_x000D_
</v>
      </c>
      <c r="I252" s="22">
        <v>244</v>
      </c>
      <c r="J252" s="4" t="str">
        <f t="shared" si="6"/>
        <v>1.244</v>
      </c>
    </row>
    <row r="253" spans="1:10" s="4" customFormat="1" ht="42.75">
      <c r="A253" s="1265" t="s">
        <v>272</v>
      </c>
      <c r="B253" s="8" t="s">
        <v>1860</v>
      </c>
      <c r="C253" s="157" t="s">
        <v>1818</v>
      </c>
      <c r="D253" s="158">
        <v>2</v>
      </c>
      <c r="E253" s="159">
        <v>2280.0100000000002</v>
      </c>
      <c r="F253" s="158">
        <v>4560.0200000000004</v>
      </c>
      <c r="G253" s="160" t="s">
        <v>4641</v>
      </c>
      <c r="H253" s="962" t="str">
        <f t="shared" si="7"/>
        <v xml:space="preserve">026100BJ0H
分析表202_x000D_
</v>
      </c>
      <c r="I253" s="22">
        <v>245</v>
      </c>
      <c r="J253" s="4" t="str">
        <f t="shared" si="6"/>
        <v>1.245</v>
      </c>
    </row>
    <row r="254" spans="1:10" s="4" customFormat="1" ht="42.75">
      <c r="A254" s="1265" t="s">
        <v>273</v>
      </c>
      <c r="B254" s="8" t="s">
        <v>1867</v>
      </c>
      <c r="C254" s="157" t="s">
        <v>1818</v>
      </c>
      <c r="D254" s="158">
        <v>2</v>
      </c>
      <c r="E254" s="159">
        <v>2416.48</v>
      </c>
      <c r="F254" s="158">
        <v>4832.96</v>
      </c>
      <c r="G254" s="160" t="s">
        <v>4642</v>
      </c>
      <c r="H254" s="962" t="str">
        <f t="shared" si="7"/>
        <v xml:space="preserve">026100BL0H
分析表203_x000D_
</v>
      </c>
      <c r="I254" s="22">
        <v>246</v>
      </c>
      <c r="J254" s="4" t="str">
        <f t="shared" si="6"/>
        <v>1.246</v>
      </c>
    </row>
    <row r="255" spans="1:10" s="4" customFormat="1" ht="47.25">
      <c r="A255" s="1265" t="s">
        <v>274</v>
      </c>
      <c r="B255" s="8" t="s">
        <v>5479</v>
      </c>
      <c r="C255" s="157" t="s">
        <v>17</v>
      </c>
      <c r="D255" s="158">
        <v>10</v>
      </c>
      <c r="E255" s="159">
        <v>151.15</v>
      </c>
      <c r="F255" s="158">
        <v>1511.5</v>
      </c>
      <c r="G255" s="160" t="s">
        <v>3222</v>
      </c>
      <c r="H255" s="962" t="str">
        <f t="shared" si="7"/>
        <v xml:space="preserve">02610PWD0A331
</v>
      </c>
      <c r="I255" s="22">
        <v>247</v>
      </c>
      <c r="J255" s="4" t="str">
        <f t="shared" si="6"/>
        <v>1.247</v>
      </c>
    </row>
    <row r="256" spans="1:10" s="4" customFormat="1" ht="47.25">
      <c r="A256" s="1265" t="s">
        <v>275</v>
      </c>
      <c r="B256" s="8" t="s">
        <v>5480</v>
      </c>
      <c r="C256" s="157" t="s">
        <v>17</v>
      </c>
      <c r="D256" s="158">
        <v>10</v>
      </c>
      <c r="E256" s="159">
        <v>187.99</v>
      </c>
      <c r="F256" s="158">
        <v>1879.9</v>
      </c>
      <c r="G256" s="160" t="s">
        <v>3224</v>
      </c>
      <c r="H256" s="962" t="str">
        <f t="shared" si="7"/>
        <v xml:space="preserve">02610PWD0A441
</v>
      </c>
      <c r="I256" s="22">
        <v>248</v>
      </c>
      <c r="J256" s="4" t="str">
        <f t="shared" si="6"/>
        <v>1.248</v>
      </c>
    </row>
    <row r="257" spans="1:10" s="4" customFormat="1" ht="47.25">
      <c r="A257" s="1265" t="s">
        <v>276</v>
      </c>
      <c r="B257" s="8" t="s">
        <v>5481</v>
      </c>
      <c r="C257" s="157" t="s">
        <v>17</v>
      </c>
      <c r="D257" s="158">
        <v>10</v>
      </c>
      <c r="E257" s="159">
        <v>233.95</v>
      </c>
      <c r="F257" s="158">
        <v>2339.5</v>
      </c>
      <c r="G257" s="160" t="s">
        <v>3226</v>
      </c>
      <c r="H257" s="962" t="str">
        <f t="shared" si="7"/>
        <v xml:space="preserve">02610PWD0A551
</v>
      </c>
      <c r="I257" s="22">
        <v>249</v>
      </c>
      <c r="J257" s="4" t="str">
        <f t="shared" si="6"/>
        <v>1.249</v>
      </c>
    </row>
    <row r="258" spans="1:10" s="4" customFormat="1" ht="42.75">
      <c r="A258" s="1265" t="s">
        <v>277</v>
      </c>
      <c r="B258" s="8" t="s">
        <v>1874</v>
      </c>
      <c r="C258" s="157" t="s">
        <v>1875</v>
      </c>
      <c r="D258" s="158">
        <v>1</v>
      </c>
      <c r="E258" s="159">
        <v>859.87</v>
      </c>
      <c r="F258" s="158">
        <v>859.87</v>
      </c>
      <c r="G258" s="160" t="s">
        <v>4643</v>
      </c>
      <c r="H258" s="962" t="str">
        <f t="shared" si="7"/>
        <v xml:space="preserve">034006100A
分析表204_x000D_
</v>
      </c>
      <c r="I258" s="22">
        <v>250</v>
      </c>
      <c r="J258" s="4" t="str">
        <f t="shared" ref="J258:J321" si="8">A258</f>
        <v>1.250</v>
      </c>
    </row>
    <row r="259" spans="1:10" s="4" customFormat="1" ht="42.75">
      <c r="A259" s="1265" t="s">
        <v>278</v>
      </c>
      <c r="B259" s="8" t="s">
        <v>1882</v>
      </c>
      <c r="C259" s="157" t="s">
        <v>1875</v>
      </c>
      <c r="D259" s="158">
        <v>1</v>
      </c>
      <c r="E259" s="159">
        <v>944.02</v>
      </c>
      <c r="F259" s="158">
        <v>944.02</v>
      </c>
      <c r="G259" s="160" t="s">
        <v>4644</v>
      </c>
      <c r="H259" s="962" t="str">
        <f t="shared" si="7"/>
        <v xml:space="preserve">034006300A
分析表205_x000D_
</v>
      </c>
      <c r="I259" s="22">
        <v>251</v>
      </c>
      <c r="J259" s="4" t="str">
        <f t="shared" si="8"/>
        <v>1.251</v>
      </c>
    </row>
    <row r="260" spans="1:10" s="4" customFormat="1" ht="42.75">
      <c r="A260" s="1265" t="s">
        <v>279</v>
      </c>
      <c r="B260" s="8" t="s">
        <v>1889</v>
      </c>
      <c r="C260" s="157" t="s">
        <v>1875</v>
      </c>
      <c r="D260" s="158">
        <v>1</v>
      </c>
      <c r="E260" s="159">
        <v>1059.96</v>
      </c>
      <c r="F260" s="158">
        <v>1059.96</v>
      </c>
      <c r="G260" s="160" t="s">
        <v>4645</v>
      </c>
      <c r="H260" s="962" t="str">
        <f t="shared" si="7"/>
        <v xml:space="preserve">034006500A
分析表206_x000D_
</v>
      </c>
      <c r="I260" s="22">
        <v>252</v>
      </c>
      <c r="J260" s="4" t="str">
        <f t="shared" si="8"/>
        <v>1.252</v>
      </c>
    </row>
    <row r="261" spans="1:10" s="4" customFormat="1" ht="42.75">
      <c r="A261" s="1265" t="s">
        <v>280</v>
      </c>
      <c r="B261" s="8" t="s">
        <v>1896</v>
      </c>
      <c r="C261" s="157" t="s">
        <v>1875</v>
      </c>
      <c r="D261" s="158">
        <v>1</v>
      </c>
      <c r="E261" s="159">
        <v>1144.0999999999999</v>
      </c>
      <c r="F261" s="158">
        <v>1144.0999999999999</v>
      </c>
      <c r="G261" s="160" t="s">
        <v>4646</v>
      </c>
      <c r="H261" s="962" t="str">
        <f t="shared" si="7"/>
        <v xml:space="preserve">034006700A
分析表207_x000D_
</v>
      </c>
      <c r="I261" s="22">
        <v>253</v>
      </c>
      <c r="J261" s="4" t="str">
        <f t="shared" si="8"/>
        <v>1.253</v>
      </c>
    </row>
    <row r="262" spans="1:10" s="4" customFormat="1" ht="42.75">
      <c r="A262" s="1265" t="s">
        <v>281</v>
      </c>
      <c r="B262" s="8" t="s">
        <v>1903</v>
      </c>
      <c r="C262" s="157" t="s">
        <v>1875</v>
      </c>
      <c r="D262" s="158">
        <v>1</v>
      </c>
      <c r="E262" s="159">
        <v>2062.4699999999998</v>
      </c>
      <c r="F262" s="158">
        <v>2062.4699999999998</v>
      </c>
      <c r="G262" s="160" t="s">
        <v>4647</v>
      </c>
      <c r="H262" s="962" t="str">
        <f t="shared" si="7"/>
        <v xml:space="preserve">034006800A
分析表208_x000D_
</v>
      </c>
      <c r="I262" s="22">
        <v>254</v>
      </c>
      <c r="J262" s="4" t="str">
        <f t="shared" si="8"/>
        <v>1.254</v>
      </c>
    </row>
    <row r="263" spans="1:10" s="4" customFormat="1" ht="42.75">
      <c r="A263" s="1265" t="s">
        <v>282</v>
      </c>
      <c r="B263" s="8" t="s">
        <v>1910</v>
      </c>
      <c r="C263" s="157" t="s">
        <v>1875</v>
      </c>
      <c r="D263" s="158">
        <v>1</v>
      </c>
      <c r="E263" s="159">
        <v>3873.55</v>
      </c>
      <c r="F263" s="158">
        <v>3873.55</v>
      </c>
      <c r="G263" s="160" t="s">
        <v>4648</v>
      </c>
      <c r="H263" s="962" t="str">
        <f t="shared" si="7"/>
        <v xml:space="preserve">034007200A
分析表209_x000D_
</v>
      </c>
      <c r="I263" s="22">
        <v>255</v>
      </c>
      <c r="J263" s="4" t="str">
        <f t="shared" si="8"/>
        <v>1.255</v>
      </c>
    </row>
    <row r="264" spans="1:10" s="4" customFormat="1" ht="42.75">
      <c r="A264" s="1265" t="s">
        <v>283</v>
      </c>
      <c r="B264" s="8" t="s">
        <v>1917</v>
      </c>
      <c r="C264" s="157" t="s">
        <v>1875</v>
      </c>
      <c r="D264" s="158">
        <v>1</v>
      </c>
      <c r="E264" s="159">
        <v>4499.47</v>
      </c>
      <c r="F264" s="158">
        <v>4499.47</v>
      </c>
      <c r="G264" s="160" t="s">
        <v>4649</v>
      </c>
      <c r="H264" s="962" t="str">
        <f t="shared" si="7"/>
        <v xml:space="preserve">034007400A
分析表210_x000D_
</v>
      </c>
      <c r="I264" s="22">
        <v>256</v>
      </c>
      <c r="J264" s="4" t="str">
        <f t="shared" si="8"/>
        <v>1.256</v>
      </c>
    </row>
    <row r="265" spans="1:10" s="4" customFormat="1" ht="42.75">
      <c r="A265" s="1265" t="s">
        <v>284</v>
      </c>
      <c r="B265" s="8" t="s">
        <v>1924</v>
      </c>
      <c r="C265" s="157" t="s">
        <v>1875</v>
      </c>
      <c r="D265" s="158">
        <v>1</v>
      </c>
      <c r="E265" s="159">
        <v>5720.54</v>
      </c>
      <c r="F265" s="158">
        <v>5720.54</v>
      </c>
      <c r="G265" s="160" t="s">
        <v>4650</v>
      </c>
      <c r="H265" s="962" t="str">
        <f t="shared" si="7"/>
        <v xml:space="preserve">034007600A
分析表211_x000D_
</v>
      </c>
      <c r="I265" s="22">
        <v>257</v>
      </c>
      <c r="J265" s="4" t="str">
        <f t="shared" si="8"/>
        <v>1.257</v>
      </c>
    </row>
    <row r="266" spans="1:10" s="4" customFormat="1" ht="42.75">
      <c r="A266" s="1265" t="s">
        <v>285</v>
      </c>
      <c r="B266" s="8" t="s">
        <v>1931</v>
      </c>
      <c r="C266" s="157" t="s">
        <v>1875</v>
      </c>
      <c r="D266" s="158">
        <v>1</v>
      </c>
      <c r="E266" s="159">
        <v>5104.87</v>
      </c>
      <c r="F266" s="158">
        <v>5104.87</v>
      </c>
      <c r="G266" s="160" t="s">
        <v>4651</v>
      </c>
      <c r="H266" s="962" t="str">
        <f t="shared" si="7"/>
        <v xml:space="preserve">034007800A
分析表212_x000D_
</v>
      </c>
      <c r="I266" s="22">
        <v>258</v>
      </c>
      <c r="J266" s="4" t="str">
        <f t="shared" si="8"/>
        <v>1.258</v>
      </c>
    </row>
    <row r="267" spans="1:10" s="4" customFormat="1" ht="47.25">
      <c r="A267" s="1265" t="s">
        <v>286</v>
      </c>
      <c r="B267" s="8" t="s">
        <v>1938</v>
      </c>
      <c r="C267" s="157" t="s">
        <v>1875</v>
      </c>
      <c r="D267" s="158">
        <v>1</v>
      </c>
      <c r="E267" s="159">
        <v>2242.0300000000002</v>
      </c>
      <c r="F267" s="158">
        <v>2242.0300000000002</v>
      </c>
      <c r="G267" s="160" t="s">
        <v>4652</v>
      </c>
      <c r="H267" s="962" t="str">
        <f t="shared" ref="H267:H330" si="9">G267</f>
        <v xml:space="preserve">034003112A
分析表213_x000D_
</v>
      </c>
      <c r="I267" s="22">
        <v>259</v>
      </c>
      <c r="J267" s="4" t="str">
        <f t="shared" si="8"/>
        <v>1.259</v>
      </c>
    </row>
    <row r="268" spans="1:10" s="4" customFormat="1" ht="47.25">
      <c r="A268" s="1265" t="s">
        <v>287</v>
      </c>
      <c r="B268" s="8" t="s">
        <v>1945</v>
      </c>
      <c r="C268" s="157" t="s">
        <v>1875</v>
      </c>
      <c r="D268" s="158">
        <v>1</v>
      </c>
      <c r="E268" s="159">
        <v>2467.7800000000002</v>
      </c>
      <c r="F268" s="158">
        <v>2467.7800000000002</v>
      </c>
      <c r="G268" s="160" t="s">
        <v>4653</v>
      </c>
      <c r="H268" s="962" t="str">
        <f t="shared" si="9"/>
        <v xml:space="preserve">034003212A
分析表214_x000D_
</v>
      </c>
      <c r="I268" s="22">
        <v>260</v>
      </c>
      <c r="J268" s="4" t="str">
        <f t="shared" si="8"/>
        <v>1.260</v>
      </c>
    </row>
    <row r="269" spans="1:10" s="4" customFormat="1" ht="47.25">
      <c r="A269" s="1265" t="s">
        <v>288</v>
      </c>
      <c r="B269" s="8" t="s">
        <v>1952</v>
      </c>
      <c r="C269" s="157" t="s">
        <v>1875</v>
      </c>
      <c r="D269" s="158">
        <v>1</v>
      </c>
      <c r="E269" s="159">
        <v>2488.3000000000002</v>
      </c>
      <c r="F269" s="158">
        <v>2488.3000000000002</v>
      </c>
      <c r="G269" s="160" t="s">
        <v>4654</v>
      </c>
      <c r="H269" s="962" t="str">
        <f t="shared" si="9"/>
        <v xml:space="preserve">034003312A
分析表215_x000D_
</v>
      </c>
      <c r="I269" s="22">
        <v>261</v>
      </c>
      <c r="J269" s="4" t="str">
        <f t="shared" si="8"/>
        <v>1.261</v>
      </c>
    </row>
    <row r="270" spans="1:10" s="4" customFormat="1" ht="47.25">
      <c r="A270" s="1265" t="s">
        <v>289</v>
      </c>
      <c r="B270" s="8" t="s">
        <v>1959</v>
      </c>
      <c r="C270" s="157" t="s">
        <v>1875</v>
      </c>
      <c r="D270" s="158">
        <v>1</v>
      </c>
      <c r="E270" s="159">
        <v>2365.17</v>
      </c>
      <c r="F270" s="158">
        <v>2365.17</v>
      </c>
      <c r="G270" s="160" t="s">
        <v>4655</v>
      </c>
      <c r="H270" s="962" t="str">
        <f t="shared" si="9"/>
        <v xml:space="preserve">034003122A
分析表216_x000D_
</v>
      </c>
      <c r="I270" s="22">
        <v>262</v>
      </c>
      <c r="J270" s="4" t="str">
        <f t="shared" si="8"/>
        <v>1.262</v>
      </c>
    </row>
    <row r="271" spans="1:10" s="4" customFormat="1" ht="47.25">
      <c r="A271" s="1265" t="s">
        <v>290</v>
      </c>
      <c r="B271" s="8" t="s">
        <v>1966</v>
      </c>
      <c r="C271" s="157" t="s">
        <v>1875</v>
      </c>
      <c r="D271" s="158">
        <v>1</v>
      </c>
      <c r="E271" s="159">
        <v>2529.34</v>
      </c>
      <c r="F271" s="158">
        <v>2529.34</v>
      </c>
      <c r="G271" s="160" t="s">
        <v>4656</v>
      </c>
      <c r="H271" s="962" t="str">
        <f t="shared" si="9"/>
        <v xml:space="preserve">034003222A
分析表217_x000D_
</v>
      </c>
      <c r="I271" s="22">
        <v>263</v>
      </c>
      <c r="J271" s="4" t="str">
        <f t="shared" si="8"/>
        <v>1.263</v>
      </c>
    </row>
    <row r="272" spans="1:10" s="4" customFormat="1" ht="47.25">
      <c r="A272" s="1265" t="s">
        <v>291</v>
      </c>
      <c r="B272" s="8" t="s">
        <v>1973</v>
      </c>
      <c r="C272" s="157" t="s">
        <v>1875</v>
      </c>
      <c r="D272" s="158">
        <v>1</v>
      </c>
      <c r="E272" s="159">
        <v>2652.49</v>
      </c>
      <c r="F272" s="158">
        <v>2652.49</v>
      </c>
      <c r="G272" s="160" t="s">
        <v>4657</v>
      </c>
      <c r="H272" s="962" t="str">
        <f t="shared" si="9"/>
        <v xml:space="preserve">034003322A
分析表218_x000D_
</v>
      </c>
      <c r="I272" s="22">
        <v>264</v>
      </c>
      <c r="J272" s="4" t="str">
        <f t="shared" si="8"/>
        <v>1.264</v>
      </c>
    </row>
    <row r="273" spans="1:10" s="4" customFormat="1" ht="47.25">
      <c r="A273" s="1265" t="s">
        <v>292</v>
      </c>
      <c r="B273" s="8" t="s">
        <v>1980</v>
      </c>
      <c r="C273" s="157" t="s">
        <v>1875</v>
      </c>
      <c r="D273" s="158">
        <v>1</v>
      </c>
      <c r="E273" s="159">
        <v>4612.34</v>
      </c>
      <c r="F273" s="158">
        <v>4612.34</v>
      </c>
      <c r="G273" s="160" t="s">
        <v>4658</v>
      </c>
      <c r="H273" s="962" t="str">
        <f t="shared" si="9"/>
        <v xml:space="preserve">034004112A
分析表219_x000D_
</v>
      </c>
      <c r="I273" s="22">
        <v>265</v>
      </c>
      <c r="J273" s="4" t="str">
        <f t="shared" si="8"/>
        <v>1.265</v>
      </c>
    </row>
    <row r="274" spans="1:10" s="4" customFormat="1" ht="47.25">
      <c r="A274" s="1265" t="s">
        <v>293</v>
      </c>
      <c r="B274" s="8" t="s">
        <v>1987</v>
      </c>
      <c r="C274" s="157" t="s">
        <v>1875</v>
      </c>
      <c r="D274" s="158">
        <v>1</v>
      </c>
      <c r="E274" s="159">
        <v>5115.13</v>
      </c>
      <c r="F274" s="158">
        <v>5115.13</v>
      </c>
      <c r="G274" s="160" t="s">
        <v>4659</v>
      </c>
      <c r="H274" s="962" t="str">
        <f t="shared" si="9"/>
        <v xml:space="preserve">034004212A
分析表220_x000D_
</v>
      </c>
      <c r="I274" s="22">
        <v>266</v>
      </c>
      <c r="J274" s="4" t="str">
        <f t="shared" si="8"/>
        <v>1.266</v>
      </c>
    </row>
    <row r="275" spans="1:10" s="4" customFormat="1" ht="47.25">
      <c r="A275" s="1265" t="s">
        <v>294</v>
      </c>
      <c r="B275" s="8" t="s">
        <v>1994</v>
      </c>
      <c r="C275" s="157" t="s">
        <v>1875</v>
      </c>
      <c r="D275" s="158">
        <v>1</v>
      </c>
      <c r="E275" s="159">
        <v>5720.54</v>
      </c>
      <c r="F275" s="158">
        <v>5720.54</v>
      </c>
      <c r="G275" s="160" t="s">
        <v>4660</v>
      </c>
      <c r="H275" s="962" t="str">
        <f t="shared" si="9"/>
        <v xml:space="preserve">034004312A
分析表221_x000D_
</v>
      </c>
      <c r="I275" s="22">
        <v>267</v>
      </c>
      <c r="J275" s="4" t="str">
        <f t="shared" si="8"/>
        <v>1.267</v>
      </c>
    </row>
    <row r="276" spans="1:10" s="4" customFormat="1" ht="47.25">
      <c r="A276" s="1265" t="s">
        <v>295</v>
      </c>
      <c r="B276" s="8" t="s">
        <v>2001</v>
      </c>
      <c r="C276" s="157" t="s">
        <v>1875</v>
      </c>
      <c r="D276" s="158">
        <v>1</v>
      </c>
      <c r="E276" s="159">
        <v>4663.6400000000003</v>
      </c>
      <c r="F276" s="158">
        <v>4663.6400000000003</v>
      </c>
      <c r="G276" s="160" t="s">
        <v>4661</v>
      </c>
      <c r="H276" s="962" t="str">
        <f t="shared" si="9"/>
        <v xml:space="preserve">034004122A
分析表222_x000D_
</v>
      </c>
      <c r="I276" s="22">
        <v>268</v>
      </c>
      <c r="J276" s="4" t="str">
        <f t="shared" si="8"/>
        <v>1.268</v>
      </c>
    </row>
    <row r="277" spans="1:10" s="4" customFormat="1" ht="47.25">
      <c r="A277" s="1265" t="s">
        <v>296</v>
      </c>
      <c r="B277" s="8" t="s">
        <v>2008</v>
      </c>
      <c r="C277" s="157" t="s">
        <v>1875</v>
      </c>
      <c r="D277" s="158">
        <v>1</v>
      </c>
      <c r="E277" s="159">
        <v>5238.26</v>
      </c>
      <c r="F277" s="158">
        <v>5238.26</v>
      </c>
      <c r="G277" s="160" t="s">
        <v>4662</v>
      </c>
      <c r="H277" s="962" t="str">
        <f t="shared" si="9"/>
        <v xml:space="preserve">034004222A
分析表223_x000D_
</v>
      </c>
      <c r="I277" s="22">
        <v>269</v>
      </c>
      <c r="J277" s="4" t="str">
        <f t="shared" si="8"/>
        <v>1.269</v>
      </c>
    </row>
    <row r="278" spans="1:10" s="4" customFormat="1" ht="47.25">
      <c r="A278" s="1265" t="s">
        <v>297</v>
      </c>
      <c r="B278" s="8" t="s">
        <v>2015</v>
      </c>
      <c r="C278" s="157" t="s">
        <v>1875</v>
      </c>
      <c r="D278" s="158">
        <v>1</v>
      </c>
      <c r="E278" s="159">
        <v>6059.15</v>
      </c>
      <c r="F278" s="158">
        <v>6059.15</v>
      </c>
      <c r="G278" s="160" t="s">
        <v>4663</v>
      </c>
      <c r="H278" s="962" t="str">
        <f t="shared" si="9"/>
        <v xml:space="preserve">034004322A
分析表224_x000D_
</v>
      </c>
      <c r="I278" s="22">
        <v>270</v>
      </c>
      <c r="J278" s="4" t="str">
        <f t="shared" si="8"/>
        <v>1.270</v>
      </c>
    </row>
    <row r="279" spans="1:10" s="4" customFormat="1" ht="47.25">
      <c r="A279" s="1265" t="s">
        <v>298</v>
      </c>
      <c r="B279" s="8" t="s">
        <v>4664</v>
      </c>
      <c r="C279" s="157" t="s">
        <v>1689</v>
      </c>
      <c r="D279" s="158">
        <v>1</v>
      </c>
      <c r="E279" s="159">
        <v>6624.53</v>
      </c>
      <c r="F279" s="158">
        <v>6624.53</v>
      </c>
      <c r="G279" s="160" t="s">
        <v>4665</v>
      </c>
      <c r="H279" s="962" t="str">
        <f t="shared" si="9"/>
        <v xml:space="preserve">055307B008
分析表225_x000D_
</v>
      </c>
      <c r="I279" s="22">
        <v>271</v>
      </c>
      <c r="J279" s="4" t="str">
        <f t="shared" si="8"/>
        <v>1.271</v>
      </c>
    </row>
    <row r="280" spans="1:10" s="4" customFormat="1" ht="47.25">
      <c r="A280" s="1265" t="s">
        <v>299</v>
      </c>
      <c r="B280" s="8" t="s">
        <v>4666</v>
      </c>
      <c r="C280" s="157" t="s">
        <v>1689</v>
      </c>
      <c r="D280" s="158">
        <v>1</v>
      </c>
      <c r="E280" s="159">
        <v>7806.61</v>
      </c>
      <c r="F280" s="158">
        <v>7806.61</v>
      </c>
      <c r="G280" s="160" t="s">
        <v>4667</v>
      </c>
      <c r="H280" s="962" t="str">
        <f t="shared" si="9"/>
        <v xml:space="preserve">055307c008
分析表226_x000D_
</v>
      </c>
      <c r="I280" s="22">
        <v>272</v>
      </c>
      <c r="J280" s="4" t="str">
        <f t="shared" si="8"/>
        <v>1.272</v>
      </c>
    </row>
    <row r="281" spans="1:10" s="4" customFormat="1" ht="47.25">
      <c r="A281" s="1265" t="s">
        <v>300</v>
      </c>
      <c r="B281" s="8" t="s">
        <v>4668</v>
      </c>
      <c r="C281" s="157" t="s">
        <v>1689</v>
      </c>
      <c r="D281" s="158">
        <v>1</v>
      </c>
      <c r="E281" s="159">
        <v>8988.68</v>
      </c>
      <c r="F281" s="158">
        <v>8988.68</v>
      </c>
      <c r="G281" s="160" t="s">
        <v>4669</v>
      </c>
      <c r="H281" s="962" t="str">
        <f t="shared" si="9"/>
        <v xml:space="preserve">055307D008
分析表227_x000D_
</v>
      </c>
      <c r="I281" s="22">
        <v>273</v>
      </c>
      <c r="J281" s="4" t="str">
        <f t="shared" si="8"/>
        <v>1.273</v>
      </c>
    </row>
    <row r="282" spans="1:10" s="4" customFormat="1" ht="42.75">
      <c r="A282" s="1265" t="s">
        <v>301</v>
      </c>
      <c r="B282" s="8" t="s">
        <v>2022</v>
      </c>
      <c r="C282" s="157" t="s">
        <v>1689</v>
      </c>
      <c r="D282" s="158">
        <v>1</v>
      </c>
      <c r="E282" s="159">
        <v>2262.02</v>
      </c>
      <c r="F282" s="158">
        <v>2262.02</v>
      </c>
      <c r="G282" s="160" t="s">
        <v>4670</v>
      </c>
      <c r="H282" s="962" t="str">
        <f t="shared" si="9"/>
        <v xml:space="preserve">0553082008
分析表228_x000D_
</v>
      </c>
      <c r="I282" s="22">
        <v>274</v>
      </c>
      <c r="J282" s="4" t="str">
        <f t="shared" si="8"/>
        <v>1.274</v>
      </c>
    </row>
    <row r="283" spans="1:10" s="4" customFormat="1" ht="42.75">
      <c r="A283" s="1265" t="s">
        <v>302</v>
      </c>
      <c r="B283" s="8" t="s">
        <v>2029</v>
      </c>
      <c r="C283" s="157" t="s">
        <v>1689</v>
      </c>
      <c r="D283" s="158">
        <v>1</v>
      </c>
      <c r="E283" s="159">
        <v>2851.2</v>
      </c>
      <c r="F283" s="158">
        <v>2851.2</v>
      </c>
      <c r="G283" s="160" t="s">
        <v>4671</v>
      </c>
      <c r="H283" s="962" t="str">
        <f t="shared" si="9"/>
        <v xml:space="preserve">0553083008
分析表229_x000D_
</v>
      </c>
      <c r="I283" s="22">
        <v>275</v>
      </c>
      <c r="J283" s="4" t="str">
        <f t="shared" si="8"/>
        <v>1.275</v>
      </c>
    </row>
    <row r="284" spans="1:10" s="4" customFormat="1" ht="42.75">
      <c r="A284" s="1265" t="s">
        <v>303</v>
      </c>
      <c r="B284" s="8" t="s">
        <v>2032</v>
      </c>
      <c r="C284" s="157" t="s">
        <v>1689</v>
      </c>
      <c r="D284" s="158">
        <v>1</v>
      </c>
      <c r="E284" s="159">
        <v>3119.36</v>
      </c>
      <c r="F284" s="158">
        <v>3119.36</v>
      </c>
      <c r="G284" s="160" t="s">
        <v>4672</v>
      </c>
      <c r="H284" s="962" t="str">
        <f t="shared" si="9"/>
        <v xml:space="preserve">0553072008
分析表230_x000D_
</v>
      </c>
      <c r="I284" s="22">
        <v>276</v>
      </c>
      <c r="J284" s="4" t="str">
        <f t="shared" si="8"/>
        <v>1.276</v>
      </c>
    </row>
    <row r="285" spans="1:10" s="4" customFormat="1" ht="42.75">
      <c r="A285" s="1265" t="s">
        <v>304</v>
      </c>
      <c r="B285" s="8" t="s">
        <v>2037</v>
      </c>
      <c r="C285" s="157" t="s">
        <v>1689</v>
      </c>
      <c r="D285" s="158">
        <v>1</v>
      </c>
      <c r="E285" s="159">
        <v>3591.36</v>
      </c>
      <c r="F285" s="158">
        <v>3591.36</v>
      </c>
      <c r="G285" s="160" t="s">
        <v>4673</v>
      </c>
      <c r="H285" s="962" t="str">
        <f t="shared" si="9"/>
        <v xml:space="preserve">0553073008
分析表231_x000D_
</v>
      </c>
      <c r="I285" s="22">
        <v>277</v>
      </c>
      <c r="J285" s="4" t="str">
        <f t="shared" si="8"/>
        <v>1.277</v>
      </c>
    </row>
    <row r="286" spans="1:10" s="4" customFormat="1" ht="42.75">
      <c r="A286" s="1265" t="s">
        <v>305</v>
      </c>
      <c r="B286" s="8" t="s">
        <v>2042</v>
      </c>
      <c r="C286" s="157" t="s">
        <v>1689</v>
      </c>
      <c r="D286" s="158">
        <v>1</v>
      </c>
      <c r="E286" s="159">
        <v>3929.98</v>
      </c>
      <c r="F286" s="158">
        <v>3929.98</v>
      </c>
      <c r="G286" s="160" t="s">
        <v>4674</v>
      </c>
      <c r="H286" s="962" t="str">
        <f t="shared" si="9"/>
        <v xml:space="preserve">0553074008
分析表232_x000D_
</v>
      </c>
      <c r="I286" s="22">
        <v>278</v>
      </c>
      <c r="J286" s="4" t="str">
        <f t="shared" si="8"/>
        <v>1.278</v>
      </c>
    </row>
    <row r="287" spans="1:10" s="4" customFormat="1" ht="42.75">
      <c r="A287" s="1265" t="s">
        <v>306</v>
      </c>
      <c r="B287" s="8" t="s">
        <v>2047</v>
      </c>
      <c r="C287" s="157" t="s">
        <v>18</v>
      </c>
      <c r="D287" s="158">
        <v>100</v>
      </c>
      <c r="E287" s="159">
        <v>88.49</v>
      </c>
      <c r="F287" s="158">
        <v>8849</v>
      </c>
      <c r="G287" s="160" t="s">
        <v>4675</v>
      </c>
      <c r="H287" s="962" t="str">
        <f t="shared" si="9"/>
        <v xml:space="preserve">0553070009
分析表233_x000D_
</v>
      </c>
      <c r="I287" s="22">
        <v>279</v>
      </c>
      <c r="J287" s="4" t="str">
        <f t="shared" si="8"/>
        <v>1.279</v>
      </c>
    </row>
    <row r="288" spans="1:10" s="4" customFormat="1" ht="42.75">
      <c r="A288" s="1265" t="s">
        <v>307</v>
      </c>
      <c r="B288" s="8" t="s">
        <v>2054</v>
      </c>
      <c r="C288" s="157" t="s">
        <v>1689</v>
      </c>
      <c r="D288" s="158">
        <v>1</v>
      </c>
      <c r="E288" s="159">
        <v>3601.62</v>
      </c>
      <c r="F288" s="158">
        <v>3601.62</v>
      </c>
      <c r="G288" s="160" t="s">
        <v>4676</v>
      </c>
      <c r="H288" s="962" t="str">
        <f t="shared" si="9"/>
        <v xml:space="preserve">0553062008
分析表234_x000D_
</v>
      </c>
      <c r="I288" s="22">
        <v>280</v>
      </c>
      <c r="J288" s="4" t="str">
        <f t="shared" si="8"/>
        <v>1.280</v>
      </c>
    </row>
    <row r="289" spans="1:10" s="4" customFormat="1" ht="42.75">
      <c r="A289" s="1265" t="s">
        <v>308</v>
      </c>
      <c r="B289" s="8" t="s">
        <v>2059</v>
      </c>
      <c r="C289" s="157" t="s">
        <v>1689</v>
      </c>
      <c r="D289" s="158">
        <v>1</v>
      </c>
      <c r="E289" s="159">
        <v>4114.67</v>
      </c>
      <c r="F289" s="158">
        <v>4114.67</v>
      </c>
      <c r="G289" s="160" t="s">
        <v>4677</v>
      </c>
      <c r="H289" s="962" t="str">
        <f t="shared" si="9"/>
        <v xml:space="preserve">0553063008
分析表235_x000D_
</v>
      </c>
      <c r="I289" s="22">
        <v>281</v>
      </c>
      <c r="J289" s="4" t="str">
        <f t="shared" si="8"/>
        <v>1.281</v>
      </c>
    </row>
    <row r="290" spans="1:10" s="4" customFormat="1" ht="42.75">
      <c r="A290" s="1265" t="s">
        <v>309</v>
      </c>
      <c r="B290" s="8" t="s">
        <v>2064</v>
      </c>
      <c r="C290" s="157" t="s">
        <v>1689</v>
      </c>
      <c r="D290" s="158">
        <v>1</v>
      </c>
      <c r="E290" s="159">
        <v>4730.34</v>
      </c>
      <c r="F290" s="158">
        <v>4730.34</v>
      </c>
      <c r="G290" s="160" t="s">
        <v>4678</v>
      </c>
      <c r="H290" s="962" t="str">
        <f t="shared" si="9"/>
        <v xml:space="preserve">0553064008
分析表236_x000D_
</v>
      </c>
      <c r="I290" s="22">
        <v>282</v>
      </c>
      <c r="J290" s="4" t="str">
        <f t="shared" si="8"/>
        <v>1.282</v>
      </c>
    </row>
    <row r="291" spans="1:10" s="4" customFormat="1" ht="47.25">
      <c r="A291" s="1265" t="s">
        <v>310</v>
      </c>
      <c r="B291" s="8" t="s">
        <v>2069</v>
      </c>
      <c r="C291" s="157" t="s">
        <v>1875</v>
      </c>
      <c r="D291" s="158">
        <v>1</v>
      </c>
      <c r="E291" s="159">
        <v>6731.26</v>
      </c>
      <c r="F291" s="158">
        <v>6731.26</v>
      </c>
      <c r="G291" s="160" t="s">
        <v>4679</v>
      </c>
      <c r="H291" s="962" t="str">
        <f t="shared" si="9"/>
        <v xml:space="preserve">03400K102A
分析表237_x000D_
</v>
      </c>
      <c r="I291" s="22">
        <v>283</v>
      </c>
      <c r="J291" s="4" t="str">
        <f t="shared" si="8"/>
        <v>1.283</v>
      </c>
    </row>
    <row r="292" spans="1:10" s="4" customFormat="1" ht="47.25">
      <c r="A292" s="1265" t="s">
        <v>311</v>
      </c>
      <c r="B292" s="8" t="s">
        <v>2076</v>
      </c>
      <c r="C292" s="157" t="s">
        <v>1875</v>
      </c>
      <c r="D292" s="158">
        <v>1</v>
      </c>
      <c r="E292" s="159">
        <v>4176.24</v>
      </c>
      <c r="F292" s="158">
        <v>4176.24</v>
      </c>
      <c r="G292" s="160" t="s">
        <v>4680</v>
      </c>
      <c r="H292" s="962" t="str">
        <f t="shared" si="9"/>
        <v xml:space="preserve">03400M102A
分析表238_x000D_
</v>
      </c>
      <c r="I292" s="22">
        <v>284</v>
      </c>
      <c r="J292" s="4" t="str">
        <f t="shared" si="8"/>
        <v>1.284</v>
      </c>
    </row>
    <row r="293" spans="1:10" s="4" customFormat="1" ht="42.75">
      <c r="A293" s="1265" t="s">
        <v>312</v>
      </c>
      <c r="B293" s="8" t="s">
        <v>2083</v>
      </c>
      <c r="C293" s="157" t="s">
        <v>1875</v>
      </c>
      <c r="D293" s="158">
        <v>1</v>
      </c>
      <c r="E293" s="159">
        <v>16038.02</v>
      </c>
      <c r="F293" s="158">
        <v>16038.02</v>
      </c>
      <c r="G293" s="160" t="s">
        <v>4681</v>
      </c>
      <c r="H293" s="962" t="str">
        <f t="shared" si="9"/>
        <v xml:space="preserve">02631P110C
分析表239_x000D_
</v>
      </c>
      <c r="I293" s="22">
        <v>285</v>
      </c>
      <c r="J293" s="4" t="str">
        <f t="shared" si="8"/>
        <v>1.285</v>
      </c>
    </row>
    <row r="294" spans="1:10" s="4" customFormat="1" ht="42.75">
      <c r="A294" s="1265" t="s">
        <v>313</v>
      </c>
      <c r="B294" s="8" t="s">
        <v>2090</v>
      </c>
      <c r="C294" s="157" t="s">
        <v>1875</v>
      </c>
      <c r="D294" s="158">
        <v>1</v>
      </c>
      <c r="E294" s="159">
        <v>10763.84</v>
      </c>
      <c r="F294" s="158">
        <v>10763.84</v>
      </c>
      <c r="G294" s="160" t="s">
        <v>4682</v>
      </c>
      <c r="H294" s="962" t="str">
        <f t="shared" si="9"/>
        <v xml:space="preserve">02631P212C
分析表240_x000D_
</v>
      </c>
      <c r="I294" s="22">
        <v>286</v>
      </c>
      <c r="J294" s="4" t="str">
        <f t="shared" si="8"/>
        <v>1.286</v>
      </c>
    </row>
    <row r="295" spans="1:10" s="4" customFormat="1" ht="42.75">
      <c r="A295" s="1265" t="s">
        <v>314</v>
      </c>
      <c r="B295" s="8" t="s">
        <v>2097</v>
      </c>
      <c r="C295" s="157" t="s">
        <v>1875</v>
      </c>
      <c r="D295" s="158">
        <v>1</v>
      </c>
      <c r="E295" s="159">
        <v>10086.61</v>
      </c>
      <c r="F295" s="158">
        <v>10086.61</v>
      </c>
      <c r="G295" s="160" t="s">
        <v>4683</v>
      </c>
      <c r="H295" s="962" t="str">
        <f t="shared" si="9"/>
        <v xml:space="preserve">02631P211C
分析表241_x000D_
</v>
      </c>
      <c r="I295" s="22">
        <v>287</v>
      </c>
      <c r="J295" s="4" t="str">
        <f t="shared" si="8"/>
        <v>1.287</v>
      </c>
    </row>
    <row r="296" spans="1:10" s="4" customFormat="1" ht="47.25">
      <c r="A296" s="1265" t="s">
        <v>315</v>
      </c>
      <c r="B296" s="8" t="s">
        <v>2102</v>
      </c>
      <c r="C296" s="157" t="s">
        <v>1818</v>
      </c>
      <c r="D296" s="158">
        <v>1</v>
      </c>
      <c r="E296" s="159">
        <v>24247.96</v>
      </c>
      <c r="F296" s="158">
        <v>24247.96</v>
      </c>
      <c r="G296" s="160" t="s">
        <v>4684</v>
      </c>
      <c r="H296" s="962" t="str">
        <f t="shared" si="9"/>
        <v xml:space="preserve">055626021C
分析表242_x000D_
</v>
      </c>
      <c r="I296" s="22">
        <v>288</v>
      </c>
      <c r="J296" s="4" t="str">
        <f t="shared" si="8"/>
        <v>1.288</v>
      </c>
    </row>
    <row r="297" spans="1:10" s="4" customFormat="1" ht="42.75">
      <c r="A297" s="1265" t="s">
        <v>316</v>
      </c>
      <c r="B297" s="8" t="s">
        <v>2112</v>
      </c>
      <c r="C297" s="157" t="s">
        <v>1818</v>
      </c>
      <c r="D297" s="158">
        <v>1</v>
      </c>
      <c r="E297" s="159">
        <v>23458.95</v>
      </c>
      <c r="F297" s="158">
        <v>23458.95</v>
      </c>
      <c r="G297" s="160" t="s">
        <v>4685</v>
      </c>
      <c r="H297" s="962" t="str">
        <f t="shared" si="9"/>
        <v xml:space="preserve">055626011C
分析表243_x000D_
</v>
      </c>
      <c r="I297" s="22">
        <v>289</v>
      </c>
      <c r="J297" s="4" t="str">
        <f t="shared" si="8"/>
        <v>1.289</v>
      </c>
    </row>
    <row r="298" spans="1:10" s="4" customFormat="1" ht="42.75">
      <c r="A298" s="1265" t="s">
        <v>317</v>
      </c>
      <c r="B298" s="8" t="s">
        <v>2115</v>
      </c>
      <c r="C298" s="157" t="s">
        <v>1875</v>
      </c>
      <c r="D298" s="158">
        <v>1</v>
      </c>
      <c r="E298" s="159">
        <v>4642.1000000000004</v>
      </c>
      <c r="F298" s="158">
        <v>4642.1000000000004</v>
      </c>
      <c r="G298" s="160" t="s">
        <v>4686</v>
      </c>
      <c r="H298" s="962" t="str">
        <f t="shared" si="9"/>
        <v xml:space="preserve">02631T210C
分析表244_x000D_
</v>
      </c>
      <c r="I298" s="22">
        <v>290</v>
      </c>
      <c r="J298" s="4" t="str">
        <f t="shared" si="8"/>
        <v>1.290</v>
      </c>
    </row>
    <row r="299" spans="1:10" s="4" customFormat="1" ht="42.75">
      <c r="A299" s="1265" t="s">
        <v>318</v>
      </c>
      <c r="B299" s="8" t="s">
        <v>2124</v>
      </c>
      <c r="C299" s="157" t="s">
        <v>1875</v>
      </c>
      <c r="D299" s="158">
        <v>1</v>
      </c>
      <c r="E299" s="159">
        <v>7580.87</v>
      </c>
      <c r="F299" s="158">
        <v>7580.87</v>
      </c>
      <c r="G299" s="160" t="s">
        <v>4687</v>
      </c>
      <c r="H299" s="962" t="str">
        <f t="shared" si="9"/>
        <v xml:space="preserve">02631T220C
分析表245_x000D_
</v>
      </c>
      <c r="I299" s="22">
        <v>291</v>
      </c>
      <c r="J299" s="4" t="str">
        <f t="shared" si="8"/>
        <v>1.291</v>
      </c>
    </row>
    <row r="300" spans="1:10" s="4" customFormat="1" ht="42.75">
      <c r="A300" s="1265" t="s">
        <v>319</v>
      </c>
      <c r="B300" s="8" t="s">
        <v>2129</v>
      </c>
      <c r="C300" s="157" t="s">
        <v>1875</v>
      </c>
      <c r="D300" s="158">
        <v>1</v>
      </c>
      <c r="E300" s="159">
        <v>3821.22</v>
      </c>
      <c r="F300" s="158">
        <v>3821.22</v>
      </c>
      <c r="G300" s="160" t="s">
        <v>4688</v>
      </c>
      <c r="H300" s="962" t="str">
        <f t="shared" si="9"/>
        <v xml:space="preserve">02631T110C
分析表246_x000D_
</v>
      </c>
      <c r="I300" s="22">
        <v>292</v>
      </c>
      <c r="J300" s="4" t="str">
        <f t="shared" si="8"/>
        <v>1.292</v>
      </c>
    </row>
    <row r="301" spans="1:10" s="4" customFormat="1" ht="42.75">
      <c r="A301" s="1265" t="s">
        <v>320</v>
      </c>
      <c r="B301" s="8" t="s">
        <v>2134</v>
      </c>
      <c r="C301" s="157" t="s">
        <v>1875</v>
      </c>
      <c r="D301" s="158">
        <v>1</v>
      </c>
      <c r="E301" s="159">
        <v>4652.37</v>
      </c>
      <c r="F301" s="158">
        <v>4652.37</v>
      </c>
      <c r="G301" s="160" t="s">
        <v>4689</v>
      </c>
      <c r="H301" s="962" t="str">
        <f t="shared" si="9"/>
        <v xml:space="preserve">02631S000C
分析表247_x000D_
</v>
      </c>
      <c r="I301" s="22">
        <v>293</v>
      </c>
      <c r="J301" s="4" t="str">
        <f t="shared" si="8"/>
        <v>1.293</v>
      </c>
    </row>
    <row r="302" spans="1:10" s="4" customFormat="1" ht="42.75">
      <c r="A302" s="1265" t="s">
        <v>321</v>
      </c>
      <c r="B302" s="8" t="s">
        <v>2141</v>
      </c>
      <c r="C302" s="157" t="s">
        <v>3</v>
      </c>
      <c r="D302" s="158">
        <v>5</v>
      </c>
      <c r="E302" s="159">
        <v>1631.2</v>
      </c>
      <c r="F302" s="158">
        <v>8156</v>
      </c>
      <c r="G302" s="160" t="s">
        <v>4690</v>
      </c>
      <c r="H302" s="962" t="str">
        <f t="shared" si="9"/>
        <v xml:space="preserve">0277850021
分析表248_x000D_
</v>
      </c>
      <c r="I302" s="22">
        <v>294</v>
      </c>
      <c r="J302" s="4" t="str">
        <f t="shared" si="8"/>
        <v>1.294</v>
      </c>
    </row>
    <row r="303" spans="1:10" s="4" customFormat="1" ht="42.75">
      <c r="A303" s="1265" t="s">
        <v>322</v>
      </c>
      <c r="B303" s="8" t="s">
        <v>3641</v>
      </c>
      <c r="C303" s="157" t="s">
        <v>1875</v>
      </c>
      <c r="D303" s="158">
        <v>5</v>
      </c>
      <c r="E303" s="159">
        <v>3427.19</v>
      </c>
      <c r="F303" s="158">
        <v>17135.95</v>
      </c>
      <c r="G303" s="160" t="s">
        <v>4691</v>
      </c>
      <c r="H303" s="962" t="str">
        <f t="shared" si="9"/>
        <v xml:space="preserve">02631J0000C
分析表249_x000D_
</v>
      </c>
      <c r="I303" s="22">
        <v>295</v>
      </c>
      <c r="J303" s="4" t="str">
        <f t="shared" si="8"/>
        <v>1.295</v>
      </c>
    </row>
    <row r="304" spans="1:10" s="4" customFormat="1" ht="31.5">
      <c r="A304" s="1265" t="s">
        <v>323</v>
      </c>
      <c r="B304" s="8" t="s">
        <v>3271</v>
      </c>
      <c r="C304" s="157" t="s">
        <v>3</v>
      </c>
      <c r="D304" s="158">
        <v>2</v>
      </c>
      <c r="E304" s="159">
        <v>1494.33</v>
      </c>
      <c r="F304" s="158">
        <v>2988.66</v>
      </c>
      <c r="G304" s="160" t="s">
        <v>3272</v>
      </c>
      <c r="H304" s="962" t="str">
        <f t="shared" si="9"/>
        <v>M0963710902
#</v>
      </c>
      <c r="I304" s="22">
        <v>296</v>
      </c>
      <c r="J304" s="4" t="str">
        <f t="shared" si="8"/>
        <v>1.296</v>
      </c>
    </row>
    <row r="305" spans="1:10" s="4" customFormat="1" ht="31.5">
      <c r="A305" s="1265" t="s">
        <v>324</v>
      </c>
      <c r="B305" s="8" t="s">
        <v>3273</v>
      </c>
      <c r="C305" s="157" t="s">
        <v>3</v>
      </c>
      <c r="D305" s="158">
        <v>5</v>
      </c>
      <c r="E305" s="159">
        <v>144.44999999999999</v>
      </c>
      <c r="F305" s="158">
        <v>722.25</v>
      </c>
      <c r="G305" s="160" t="s">
        <v>3274</v>
      </c>
      <c r="H305" s="962" t="str">
        <f t="shared" si="9"/>
        <v xml:space="preserve">0234210212
</v>
      </c>
      <c r="I305" s="22">
        <v>297</v>
      </c>
      <c r="J305" s="4" t="str">
        <f t="shared" si="8"/>
        <v>1.297</v>
      </c>
    </row>
    <row r="306" spans="1:10" s="4" customFormat="1" ht="42.75">
      <c r="A306" s="1265" t="s">
        <v>325</v>
      </c>
      <c r="B306" s="8" t="s">
        <v>2146</v>
      </c>
      <c r="C306" s="157" t="s">
        <v>3</v>
      </c>
      <c r="D306" s="158">
        <v>5</v>
      </c>
      <c r="E306" s="159">
        <v>2486.2800000000002</v>
      </c>
      <c r="F306" s="158">
        <v>12431.4</v>
      </c>
      <c r="G306" s="160" t="s">
        <v>4692</v>
      </c>
      <c r="H306" s="962" t="str">
        <f t="shared" si="9"/>
        <v>06100M0002
分析表250_x000D_
# T=4cm W=14cm</v>
      </c>
      <c r="I306" s="22">
        <v>298</v>
      </c>
      <c r="J306" s="4" t="str">
        <f t="shared" si="8"/>
        <v>1.298</v>
      </c>
    </row>
    <row r="307" spans="1:10" s="4" customFormat="1" ht="42.75">
      <c r="A307" s="1265" t="s">
        <v>326</v>
      </c>
      <c r="B307" s="8" t="s">
        <v>2158</v>
      </c>
      <c r="C307" s="157" t="s">
        <v>1497</v>
      </c>
      <c r="D307" s="158">
        <v>10</v>
      </c>
      <c r="E307" s="159">
        <v>270.89</v>
      </c>
      <c r="F307" s="158">
        <v>2708.9</v>
      </c>
      <c r="G307" s="160" t="s">
        <v>4693</v>
      </c>
      <c r="H307" s="962" t="str">
        <f t="shared" si="9"/>
        <v>06100M000B
分析表251_x000D_
# T=4cm W=14cm</v>
      </c>
      <c r="I307" s="22">
        <v>299</v>
      </c>
      <c r="J307" s="4" t="str">
        <f t="shared" si="8"/>
        <v>1.299</v>
      </c>
    </row>
    <row r="308" spans="1:10" s="4" customFormat="1" ht="42.75">
      <c r="A308" s="1265" t="s">
        <v>327</v>
      </c>
      <c r="B308" s="8" t="s">
        <v>912</v>
      </c>
      <c r="C308" s="157" t="s">
        <v>3</v>
      </c>
      <c r="D308" s="158">
        <v>10</v>
      </c>
      <c r="E308" s="159">
        <v>700.83</v>
      </c>
      <c r="F308" s="158">
        <v>7008.3</v>
      </c>
      <c r="G308" s="160" t="s">
        <v>4694</v>
      </c>
      <c r="H308" s="962" t="str">
        <f t="shared" si="9"/>
        <v>0991002002
分析表252_x000D_
#</v>
      </c>
      <c r="I308" s="22">
        <v>300</v>
      </c>
      <c r="J308" s="4" t="str">
        <f t="shared" si="8"/>
        <v>1.300</v>
      </c>
    </row>
    <row r="309" spans="1:10" ht="28.5">
      <c r="A309" s="1265" t="s">
        <v>328</v>
      </c>
      <c r="B309" s="8" t="s">
        <v>3278</v>
      </c>
      <c r="C309" s="157" t="s">
        <v>2149</v>
      </c>
      <c r="D309" s="158">
        <v>10</v>
      </c>
      <c r="E309" s="159">
        <v>249.05</v>
      </c>
      <c r="F309" s="158">
        <v>2490.5</v>
      </c>
      <c r="G309" s="160" t="s">
        <v>3279</v>
      </c>
      <c r="H309" s="962" t="str">
        <f t="shared" si="9"/>
        <v xml:space="preserve">M06060B00SB
</v>
      </c>
      <c r="I309" s="22">
        <v>301</v>
      </c>
      <c r="J309" t="str">
        <f t="shared" si="8"/>
        <v>1.301</v>
      </c>
    </row>
    <row r="310" spans="1:10" ht="42.75">
      <c r="A310" s="1265" t="s">
        <v>329</v>
      </c>
      <c r="B310" s="8" t="s">
        <v>2169</v>
      </c>
      <c r="C310" s="157" t="s">
        <v>17</v>
      </c>
      <c r="D310" s="158">
        <v>10</v>
      </c>
      <c r="E310" s="159">
        <v>138.47999999999999</v>
      </c>
      <c r="F310" s="158">
        <v>1384.8</v>
      </c>
      <c r="G310" s="160" t="s">
        <v>4695</v>
      </c>
      <c r="H310" s="962" t="str">
        <f t="shared" si="9"/>
        <v xml:space="preserve">0315030001
分析表253_x000D_
</v>
      </c>
      <c r="I310" s="22">
        <v>302</v>
      </c>
      <c r="J310" t="str">
        <f t="shared" si="8"/>
        <v>1.302</v>
      </c>
    </row>
    <row r="311" spans="1:10" ht="42.75">
      <c r="A311" s="1265" t="s">
        <v>330</v>
      </c>
      <c r="B311" s="8" t="s">
        <v>3642</v>
      </c>
      <c r="C311" s="157" t="s">
        <v>17</v>
      </c>
      <c r="D311" s="158">
        <v>10</v>
      </c>
      <c r="E311" s="159">
        <v>117.96</v>
      </c>
      <c r="F311" s="158">
        <v>1179.5999999999999</v>
      </c>
      <c r="G311" s="160" t="s">
        <v>4696</v>
      </c>
      <c r="H311" s="962" t="str">
        <f t="shared" si="9"/>
        <v xml:space="preserve">031503E001
分析表254_x000D_
</v>
      </c>
      <c r="I311" s="22">
        <v>303</v>
      </c>
      <c r="J311" t="str">
        <f t="shared" si="8"/>
        <v>1.303</v>
      </c>
    </row>
    <row r="312" spans="1:10" ht="42.75">
      <c r="A312" s="1265" t="s">
        <v>331</v>
      </c>
      <c r="B312" s="8" t="s">
        <v>4697</v>
      </c>
      <c r="C312" s="157" t="s">
        <v>17</v>
      </c>
      <c r="D312" s="158">
        <v>10</v>
      </c>
      <c r="E312" s="159">
        <v>177.93</v>
      </c>
      <c r="F312" s="158">
        <v>1779.3</v>
      </c>
      <c r="G312" s="160" t="s">
        <v>4698</v>
      </c>
      <c r="H312" s="962" t="str">
        <f t="shared" si="9"/>
        <v xml:space="preserve">031503E0N1
分析表255_x000D_
</v>
      </c>
      <c r="I312" s="22">
        <v>304</v>
      </c>
      <c r="J312" t="str">
        <f t="shared" si="8"/>
        <v>1.304</v>
      </c>
    </row>
    <row r="313" spans="1:10" ht="42.75">
      <c r="A313" s="1265" t="s">
        <v>332</v>
      </c>
      <c r="B313" s="8" t="s">
        <v>2180</v>
      </c>
      <c r="C313" s="157" t="s">
        <v>3</v>
      </c>
      <c r="D313" s="158">
        <v>10</v>
      </c>
      <c r="E313" s="159">
        <v>1263.33</v>
      </c>
      <c r="F313" s="158">
        <v>12633.3</v>
      </c>
      <c r="G313" s="160" t="s">
        <v>4699</v>
      </c>
      <c r="H313" s="962" t="str">
        <f t="shared" si="9"/>
        <v xml:space="preserve">0978000002
分析表256_x000D_
</v>
      </c>
      <c r="I313" s="22">
        <v>305</v>
      </c>
      <c r="J313" t="str">
        <f t="shared" si="8"/>
        <v>1.305</v>
      </c>
    </row>
    <row r="314" spans="1:10" ht="42.75">
      <c r="A314" s="1265" t="s">
        <v>333</v>
      </c>
      <c r="B314" s="8" t="s">
        <v>2191</v>
      </c>
      <c r="C314" s="157" t="s">
        <v>3</v>
      </c>
      <c r="D314" s="158">
        <v>10</v>
      </c>
      <c r="E314" s="159">
        <v>1821.12</v>
      </c>
      <c r="F314" s="158">
        <v>18211.2</v>
      </c>
      <c r="G314" s="160" t="s">
        <v>4700</v>
      </c>
      <c r="H314" s="962" t="str">
        <f t="shared" si="9"/>
        <v xml:space="preserve">0978100002
分析表257_x000D_
</v>
      </c>
      <c r="I314" s="22">
        <v>306</v>
      </c>
      <c r="J314" t="str">
        <f t="shared" si="8"/>
        <v>1.306</v>
      </c>
    </row>
    <row r="315" spans="1:10" ht="42.75">
      <c r="A315" s="1265" t="s">
        <v>334</v>
      </c>
      <c r="B315" s="8" t="s">
        <v>2195</v>
      </c>
      <c r="C315" s="157" t="s">
        <v>3</v>
      </c>
      <c r="D315" s="158">
        <v>10</v>
      </c>
      <c r="E315" s="159">
        <v>1498.1</v>
      </c>
      <c r="F315" s="158">
        <v>14981</v>
      </c>
      <c r="G315" s="160" t="s">
        <v>4701</v>
      </c>
      <c r="H315" s="962" t="str">
        <f t="shared" si="9"/>
        <v xml:space="preserve">0978200002
分析表258_x000D_
</v>
      </c>
      <c r="I315" s="22">
        <v>307</v>
      </c>
      <c r="J315" t="str">
        <f t="shared" si="8"/>
        <v>1.307</v>
      </c>
    </row>
    <row r="316" spans="1:10" ht="42.75">
      <c r="A316" s="1265" t="s">
        <v>335</v>
      </c>
      <c r="B316" s="8" t="s">
        <v>2204</v>
      </c>
      <c r="C316" s="157" t="s">
        <v>1818</v>
      </c>
      <c r="D316" s="158">
        <v>1</v>
      </c>
      <c r="E316" s="159">
        <v>2740.63</v>
      </c>
      <c r="F316" s="158">
        <v>2740.63</v>
      </c>
      <c r="G316" s="160" t="s">
        <v>4702</v>
      </c>
      <c r="H316" s="962" t="str">
        <f t="shared" si="9"/>
        <v xml:space="preserve">02631N201B
分析表259_x000D_
</v>
      </c>
      <c r="I316" s="22">
        <v>308</v>
      </c>
      <c r="J316" t="str">
        <f t="shared" si="8"/>
        <v>1.308</v>
      </c>
    </row>
    <row r="317" spans="1:10" ht="42.75">
      <c r="A317" s="1265" t="s">
        <v>336</v>
      </c>
      <c r="B317" s="8" t="s">
        <v>2212</v>
      </c>
      <c r="C317" s="157" t="s">
        <v>1818</v>
      </c>
      <c r="D317" s="158">
        <v>1</v>
      </c>
      <c r="E317" s="159">
        <v>2930.96</v>
      </c>
      <c r="F317" s="158">
        <v>2930.96</v>
      </c>
      <c r="G317" s="160" t="s">
        <v>4703</v>
      </c>
      <c r="H317" s="962" t="str">
        <f t="shared" si="9"/>
        <v xml:space="preserve">02631N202B
分析表260_x000D_
</v>
      </c>
      <c r="I317" s="22">
        <v>309</v>
      </c>
      <c r="J317" t="str">
        <f t="shared" si="8"/>
        <v>1.309</v>
      </c>
    </row>
    <row r="318" spans="1:10" ht="42.75">
      <c r="A318" s="1265" t="s">
        <v>405</v>
      </c>
      <c r="B318" s="8" t="s">
        <v>2219</v>
      </c>
      <c r="C318" s="157" t="s">
        <v>1818</v>
      </c>
      <c r="D318" s="158">
        <v>1</v>
      </c>
      <c r="E318" s="159">
        <v>15053.89</v>
      </c>
      <c r="F318" s="158">
        <v>15053.89</v>
      </c>
      <c r="G318" s="160" t="s">
        <v>4704</v>
      </c>
      <c r="H318" s="962" t="str">
        <f t="shared" si="9"/>
        <v xml:space="preserve">02631N101B
分析表261_x000D_
</v>
      </c>
      <c r="I318" s="22">
        <v>310</v>
      </c>
      <c r="J318" t="str">
        <f t="shared" si="8"/>
        <v>1.310</v>
      </c>
    </row>
    <row r="319" spans="1:10" ht="42.75">
      <c r="A319" s="1265" t="s">
        <v>406</v>
      </c>
      <c r="B319" s="8" t="s">
        <v>2226</v>
      </c>
      <c r="C319" s="157" t="s">
        <v>1818</v>
      </c>
      <c r="D319" s="158">
        <v>1</v>
      </c>
      <c r="E319" s="159">
        <v>15244.22</v>
      </c>
      <c r="F319" s="158">
        <v>15244.22</v>
      </c>
      <c r="G319" s="160" t="s">
        <v>4705</v>
      </c>
      <c r="H319" s="962" t="str">
        <f t="shared" si="9"/>
        <v xml:space="preserve">02631N102B
分析表262_x000D_
</v>
      </c>
      <c r="I319" s="22">
        <v>311</v>
      </c>
      <c r="J319" t="str">
        <f t="shared" si="8"/>
        <v>1.311</v>
      </c>
    </row>
    <row r="320" spans="1:10" ht="47.25">
      <c r="A320" s="1265" t="s">
        <v>407</v>
      </c>
      <c r="B320" s="8" t="s">
        <v>2229</v>
      </c>
      <c r="C320" s="157" t="s">
        <v>1818</v>
      </c>
      <c r="D320" s="158">
        <v>1</v>
      </c>
      <c r="E320" s="159">
        <v>16033.47</v>
      </c>
      <c r="F320" s="158">
        <v>16033.47</v>
      </c>
      <c r="G320" s="160" t="s">
        <v>4706</v>
      </c>
      <c r="H320" s="962" t="str">
        <f t="shared" si="9"/>
        <v xml:space="preserve">02631N301B
分析表263_x000D_
</v>
      </c>
      <c r="I320" s="22">
        <v>312</v>
      </c>
      <c r="J320" t="str">
        <f t="shared" si="8"/>
        <v>1.312</v>
      </c>
    </row>
    <row r="321" spans="1:10" ht="47.25">
      <c r="A321" s="1265" t="s">
        <v>408</v>
      </c>
      <c r="B321" s="8" t="s">
        <v>2232</v>
      </c>
      <c r="C321" s="157" t="s">
        <v>1818</v>
      </c>
      <c r="D321" s="158">
        <v>1</v>
      </c>
      <c r="E321" s="159">
        <v>17496.77</v>
      </c>
      <c r="F321" s="158">
        <v>17496.77</v>
      </c>
      <c r="G321" s="160" t="s">
        <v>4707</v>
      </c>
      <c r="H321" s="962" t="str">
        <f t="shared" si="9"/>
        <v xml:space="preserve">02631N302B
分析表264_x000D_
</v>
      </c>
      <c r="I321" s="22">
        <v>313</v>
      </c>
      <c r="J321" t="str">
        <f t="shared" si="8"/>
        <v>1.313</v>
      </c>
    </row>
    <row r="322" spans="1:10" ht="42.75">
      <c r="A322" s="1265" t="s">
        <v>409</v>
      </c>
      <c r="B322" s="8" t="s">
        <v>2237</v>
      </c>
      <c r="C322" s="157" t="s">
        <v>2238</v>
      </c>
      <c r="D322" s="158">
        <v>20</v>
      </c>
      <c r="E322" s="159">
        <v>1160.52</v>
      </c>
      <c r="F322" s="158">
        <v>23210.400000000001</v>
      </c>
      <c r="G322" s="160" t="s">
        <v>4708</v>
      </c>
      <c r="H322" s="962" t="str">
        <f t="shared" si="9"/>
        <v xml:space="preserve">02610ZT002
分析表265_x000D_
</v>
      </c>
      <c r="I322" s="22">
        <v>314</v>
      </c>
      <c r="J322" t="str">
        <f t="shared" ref="J322:J385" si="10">A322</f>
        <v>1.314</v>
      </c>
    </row>
    <row r="323" spans="1:10" ht="42.75">
      <c r="A323" s="1265" t="s">
        <v>410</v>
      </c>
      <c r="B323" s="8" t="s">
        <v>2245</v>
      </c>
      <c r="C323" s="157" t="s">
        <v>17</v>
      </c>
      <c r="D323" s="158">
        <v>1</v>
      </c>
      <c r="E323" s="159">
        <v>2934.61</v>
      </c>
      <c r="F323" s="158">
        <v>2934.61</v>
      </c>
      <c r="G323" s="160" t="s">
        <v>4709</v>
      </c>
      <c r="H323" s="962" t="str">
        <f t="shared" si="9"/>
        <v xml:space="preserve">028432A001
分析表266_x000D_
</v>
      </c>
      <c r="I323" s="22">
        <v>315</v>
      </c>
      <c r="J323" t="str">
        <f t="shared" si="10"/>
        <v>1.315</v>
      </c>
    </row>
    <row r="324" spans="1:10" ht="42.75">
      <c r="A324" s="1265" t="s">
        <v>411</v>
      </c>
      <c r="B324" s="8" t="s">
        <v>2256</v>
      </c>
      <c r="C324" s="157" t="s">
        <v>17</v>
      </c>
      <c r="D324" s="158">
        <v>1</v>
      </c>
      <c r="E324" s="159">
        <v>3776.99</v>
      </c>
      <c r="F324" s="158">
        <v>3776.99</v>
      </c>
      <c r="G324" s="160" t="s">
        <v>4710</v>
      </c>
      <c r="H324" s="962" t="str">
        <f t="shared" si="9"/>
        <v xml:space="preserve">028432B001
分析表267_x000D_
</v>
      </c>
      <c r="I324" s="22">
        <v>316</v>
      </c>
      <c r="J324" t="str">
        <f t="shared" si="10"/>
        <v>1.316</v>
      </c>
    </row>
    <row r="325" spans="1:10" ht="42.75">
      <c r="A325" s="1265" t="s">
        <v>412</v>
      </c>
      <c r="B325" s="8" t="s">
        <v>2259</v>
      </c>
      <c r="C325" s="157" t="s">
        <v>17</v>
      </c>
      <c r="D325" s="158">
        <v>1</v>
      </c>
      <c r="E325" s="159">
        <v>2934.61</v>
      </c>
      <c r="F325" s="158">
        <v>2934.61</v>
      </c>
      <c r="G325" s="160" t="s">
        <v>4711</v>
      </c>
      <c r="H325" s="962" t="str">
        <f t="shared" si="9"/>
        <v xml:space="preserve">028432C001
分析表268_x000D_
</v>
      </c>
      <c r="I325" s="22">
        <v>317</v>
      </c>
      <c r="J325" t="str">
        <f t="shared" si="10"/>
        <v>1.317</v>
      </c>
    </row>
    <row r="326" spans="1:10" ht="42.75">
      <c r="A326" s="1265" t="s">
        <v>413</v>
      </c>
      <c r="B326" s="8" t="s">
        <v>2262</v>
      </c>
      <c r="C326" s="157" t="s">
        <v>17</v>
      </c>
      <c r="D326" s="158">
        <v>1</v>
      </c>
      <c r="E326" s="159">
        <v>3280.23</v>
      </c>
      <c r="F326" s="158">
        <v>3280.23</v>
      </c>
      <c r="G326" s="160" t="s">
        <v>4712</v>
      </c>
      <c r="H326" s="962" t="str">
        <f t="shared" si="9"/>
        <v xml:space="preserve">028432D001
分析表269_x000D_
</v>
      </c>
      <c r="I326" s="22">
        <v>318</v>
      </c>
      <c r="J326" t="str">
        <f t="shared" si="10"/>
        <v>1.318</v>
      </c>
    </row>
    <row r="327" spans="1:10" ht="47.25">
      <c r="A327" s="1265" t="s">
        <v>414</v>
      </c>
      <c r="B327" s="8" t="s">
        <v>3295</v>
      </c>
      <c r="C327" s="157" t="s">
        <v>17</v>
      </c>
      <c r="D327" s="158">
        <v>10</v>
      </c>
      <c r="E327" s="159">
        <v>34.869999999999997</v>
      </c>
      <c r="F327" s="158">
        <v>348.7</v>
      </c>
      <c r="G327" s="160" t="s">
        <v>3643</v>
      </c>
      <c r="H327" s="962" t="str">
        <f t="shared" si="9"/>
        <v xml:space="preserve">161323006041
</v>
      </c>
      <c r="I327" s="22">
        <v>319</v>
      </c>
      <c r="J327" t="str">
        <f t="shared" si="10"/>
        <v>1.319</v>
      </c>
    </row>
    <row r="328" spans="1:10" ht="47.25">
      <c r="A328" s="1265" t="s">
        <v>415</v>
      </c>
      <c r="B328" s="8" t="s">
        <v>2937</v>
      </c>
      <c r="C328" s="157" t="s">
        <v>17</v>
      </c>
      <c r="D328" s="158">
        <v>10</v>
      </c>
      <c r="E328" s="159">
        <v>39.85</v>
      </c>
      <c r="F328" s="158">
        <v>398.5</v>
      </c>
      <c r="G328" s="160" t="s">
        <v>3644</v>
      </c>
      <c r="H328" s="962" t="str">
        <f t="shared" si="9"/>
        <v xml:space="preserve">161323007041
</v>
      </c>
      <c r="I328" s="22">
        <v>320</v>
      </c>
      <c r="J328" t="str">
        <f t="shared" si="10"/>
        <v>1.320</v>
      </c>
    </row>
    <row r="329" spans="1:10" ht="47.25">
      <c r="A329" s="1265" t="s">
        <v>416</v>
      </c>
      <c r="B329" s="8" t="s">
        <v>3298</v>
      </c>
      <c r="C329" s="157" t="s">
        <v>17</v>
      </c>
      <c r="D329" s="158">
        <v>10</v>
      </c>
      <c r="E329" s="159">
        <v>44.83</v>
      </c>
      <c r="F329" s="158">
        <v>448.3</v>
      </c>
      <c r="G329" s="160" t="s">
        <v>3645</v>
      </c>
      <c r="H329" s="962" t="str">
        <f t="shared" si="9"/>
        <v xml:space="preserve">161323009041
</v>
      </c>
      <c r="I329" s="22">
        <v>321</v>
      </c>
      <c r="J329" t="str">
        <f t="shared" si="10"/>
        <v>1.321</v>
      </c>
    </row>
    <row r="330" spans="1:10" ht="47.25">
      <c r="A330" s="1265" t="s">
        <v>417</v>
      </c>
      <c r="B330" s="8" t="s">
        <v>3300</v>
      </c>
      <c r="C330" s="157" t="s">
        <v>17</v>
      </c>
      <c r="D330" s="158">
        <v>10</v>
      </c>
      <c r="E330" s="159">
        <v>49.81</v>
      </c>
      <c r="F330" s="158">
        <v>498.1</v>
      </c>
      <c r="G330" s="160" t="s">
        <v>3646</v>
      </c>
      <c r="H330" s="962" t="str">
        <f t="shared" si="9"/>
        <v xml:space="preserve">16132300A041
</v>
      </c>
      <c r="I330" s="22">
        <v>322</v>
      </c>
      <c r="J330" t="str">
        <f t="shared" si="10"/>
        <v>1.322</v>
      </c>
    </row>
    <row r="331" spans="1:10" ht="47.25">
      <c r="A331" s="1265" t="s">
        <v>418</v>
      </c>
      <c r="B331" s="8" t="s">
        <v>3302</v>
      </c>
      <c r="C331" s="157" t="s">
        <v>17</v>
      </c>
      <c r="D331" s="158">
        <v>10</v>
      </c>
      <c r="E331" s="159">
        <v>54.79</v>
      </c>
      <c r="F331" s="158">
        <v>547.9</v>
      </c>
      <c r="G331" s="160" t="s">
        <v>3647</v>
      </c>
      <c r="H331" s="962" t="str">
        <f t="shared" ref="H331:H394" si="11">G331</f>
        <v xml:space="preserve">16132300B041
</v>
      </c>
      <c r="I331" s="22">
        <v>323</v>
      </c>
      <c r="J331" t="str">
        <f t="shared" si="10"/>
        <v>1.323</v>
      </c>
    </row>
    <row r="332" spans="1:10" ht="47.25">
      <c r="A332" s="1265" t="s">
        <v>419</v>
      </c>
      <c r="B332" s="8" t="s">
        <v>3304</v>
      </c>
      <c r="C332" s="157" t="s">
        <v>17</v>
      </c>
      <c r="D332" s="158">
        <v>10</v>
      </c>
      <c r="E332" s="159">
        <v>59.77</v>
      </c>
      <c r="F332" s="158">
        <v>597.70000000000005</v>
      </c>
      <c r="G332" s="160" t="s">
        <v>3648</v>
      </c>
      <c r="H332" s="962" t="str">
        <f t="shared" si="11"/>
        <v xml:space="preserve">16132300C041
</v>
      </c>
      <c r="I332" s="22">
        <v>324</v>
      </c>
      <c r="J332" t="str">
        <f t="shared" si="10"/>
        <v>1.324</v>
      </c>
    </row>
    <row r="333" spans="1:10" ht="47.25">
      <c r="A333" s="1265" t="s">
        <v>420</v>
      </c>
      <c r="B333" s="8" t="s">
        <v>3306</v>
      </c>
      <c r="C333" s="157" t="s">
        <v>17</v>
      </c>
      <c r="D333" s="158">
        <v>10</v>
      </c>
      <c r="E333" s="159">
        <v>437.84</v>
      </c>
      <c r="F333" s="158">
        <v>4378.3999999999996</v>
      </c>
      <c r="G333" s="160" t="s">
        <v>3307</v>
      </c>
      <c r="H333" s="962" t="str">
        <f t="shared" si="11"/>
        <v xml:space="preserve">151072DF0011
</v>
      </c>
      <c r="I333" s="22">
        <v>325</v>
      </c>
      <c r="J333" t="str">
        <f t="shared" si="10"/>
        <v>1.325</v>
      </c>
    </row>
    <row r="334" spans="1:10" ht="47.25">
      <c r="A334" s="1265" t="s">
        <v>421</v>
      </c>
      <c r="B334" s="8" t="s">
        <v>3308</v>
      </c>
      <c r="C334" s="157" t="s">
        <v>17</v>
      </c>
      <c r="D334" s="158">
        <v>10</v>
      </c>
      <c r="E334" s="159">
        <v>662.56</v>
      </c>
      <c r="F334" s="158">
        <v>6625.6</v>
      </c>
      <c r="G334" s="160" t="s">
        <v>3309</v>
      </c>
      <c r="H334" s="962" t="str">
        <f t="shared" si="11"/>
        <v xml:space="preserve">151072EH0011
</v>
      </c>
      <c r="I334" s="22">
        <v>326</v>
      </c>
      <c r="J334" t="str">
        <f t="shared" si="10"/>
        <v>1.326</v>
      </c>
    </row>
    <row r="335" spans="1:10" ht="47.25">
      <c r="A335" s="1265" t="s">
        <v>422</v>
      </c>
      <c r="B335" s="8" t="s">
        <v>3310</v>
      </c>
      <c r="C335" s="157" t="s">
        <v>17</v>
      </c>
      <c r="D335" s="158">
        <v>10</v>
      </c>
      <c r="E335" s="159">
        <v>763.1</v>
      </c>
      <c r="F335" s="158">
        <v>7631</v>
      </c>
      <c r="G335" s="160" t="s">
        <v>3311</v>
      </c>
      <c r="H335" s="962" t="str">
        <f t="shared" si="11"/>
        <v xml:space="preserve">151072FK0011
</v>
      </c>
      <c r="I335" s="22">
        <v>327</v>
      </c>
      <c r="J335" t="str">
        <f t="shared" si="10"/>
        <v>1.327</v>
      </c>
    </row>
    <row r="336" spans="1:10" ht="47.25">
      <c r="A336" s="1265" t="s">
        <v>423</v>
      </c>
      <c r="B336" s="8" t="s">
        <v>3312</v>
      </c>
      <c r="C336" s="157" t="s">
        <v>17</v>
      </c>
      <c r="D336" s="158">
        <v>10</v>
      </c>
      <c r="E336" s="159">
        <v>1211.4000000000001</v>
      </c>
      <c r="F336" s="158">
        <v>12114</v>
      </c>
      <c r="G336" s="160" t="s">
        <v>3313</v>
      </c>
      <c r="H336" s="962" t="str">
        <f t="shared" si="11"/>
        <v xml:space="preserve">151072GN0011
</v>
      </c>
      <c r="I336" s="22">
        <v>328</v>
      </c>
      <c r="J336" t="str">
        <f t="shared" si="10"/>
        <v>1.328</v>
      </c>
    </row>
    <row r="337" spans="1:10" ht="47.25">
      <c r="A337" s="1265" t="s">
        <v>424</v>
      </c>
      <c r="B337" s="8" t="s">
        <v>3314</v>
      </c>
      <c r="C337" s="157" t="s">
        <v>17</v>
      </c>
      <c r="D337" s="158">
        <v>10</v>
      </c>
      <c r="E337" s="159">
        <v>1530.19</v>
      </c>
      <c r="F337" s="158">
        <v>15301.9</v>
      </c>
      <c r="G337" s="160" t="s">
        <v>3315</v>
      </c>
      <c r="H337" s="962" t="str">
        <f t="shared" si="11"/>
        <v xml:space="preserve">151072JR0011
</v>
      </c>
      <c r="I337" s="22">
        <v>329</v>
      </c>
      <c r="J337" t="str">
        <f t="shared" si="10"/>
        <v>1.329</v>
      </c>
    </row>
    <row r="338" spans="1:10" ht="42.75">
      <c r="A338" s="1265" t="s">
        <v>425</v>
      </c>
      <c r="B338" s="8" t="s">
        <v>2265</v>
      </c>
      <c r="C338" s="157" t="s">
        <v>3</v>
      </c>
      <c r="D338" s="158">
        <v>10</v>
      </c>
      <c r="E338" s="159">
        <v>400.19</v>
      </c>
      <c r="F338" s="158">
        <v>4001.9</v>
      </c>
      <c r="G338" s="160" t="s">
        <v>4713</v>
      </c>
      <c r="H338" s="962" t="str">
        <f t="shared" si="11"/>
        <v xml:space="preserve">0154011102
分析表270_x000D_
</v>
      </c>
      <c r="I338" s="22">
        <v>330</v>
      </c>
      <c r="J338" t="str">
        <f t="shared" si="10"/>
        <v>1.330</v>
      </c>
    </row>
    <row r="339" spans="1:10" ht="57">
      <c r="A339" s="1265" t="s">
        <v>426</v>
      </c>
      <c r="B339" s="8" t="s">
        <v>2274</v>
      </c>
      <c r="C339" s="157" t="s">
        <v>3</v>
      </c>
      <c r="D339" s="158">
        <v>10</v>
      </c>
      <c r="E339" s="159">
        <v>689.53</v>
      </c>
      <c r="F339" s="158">
        <v>6895.3</v>
      </c>
      <c r="G339" s="160" t="s">
        <v>4714</v>
      </c>
      <c r="H339" s="962" t="str">
        <f t="shared" si="11"/>
        <v>0154011202
分析表271_x000D_
需符合中華民國國家標準4750</v>
      </c>
      <c r="I339" s="22">
        <v>331</v>
      </c>
      <c r="J339" t="str">
        <f t="shared" si="10"/>
        <v>1.331</v>
      </c>
    </row>
    <row r="340" spans="1:10" ht="47.25">
      <c r="A340" s="1265" t="s">
        <v>427</v>
      </c>
      <c r="B340" s="8" t="s">
        <v>2281</v>
      </c>
      <c r="C340" s="157" t="s">
        <v>3</v>
      </c>
      <c r="D340" s="158">
        <v>2</v>
      </c>
      <c r="E340" s="159">
        <v>4078.77</v>
      </c>
      <c r="F340" s="158">
        <v>8157.54</v>
      </c>
      <c r="G340" s="160" t="s">
        <v>4715</v>
      </c>
      <c r="H340" s="962" t="str">
        <f t="shared" si="11"/>
        <v xml:space="preserve">0153210012
分析表272_x000D_
</v>
      </c>
      <c r="I340" s="22">
        <v>332</v>
      </c>
      <c r="J340" t="str">
        <f t="shared" si="10"/>
        <v>1.332</v>
      </c>
    </row>
    <row r="341" spans="1:10" ht="47.25">
      <c r="A341" s="1265" t="s">
        <v>428</v>
      </c>
      <c r="B341" s="8" t="s">
        <v>2292</v>
      </c>
      <c r="C341" s="157" t="s">
        <v>3</v>
      </c>
      <c r="D341" s="158">
        <v>10</v>
      </c>
      <c r="E341" s="159">
        <v>251.39</v>
      </c>
      <c r="F341" s="158">
        <v>2513.9</v>
      </c>
      <c r="G341" s="160" t="s">
        <v>4716</v>
      </c>
      <c r="H341" s="962" t="str">
        <f t="shared" si="11"/>
        <v xml:space="preserve">01532AB002
分析表273_x000D_
</v>
      </c>
      <c r="I341" s="22">
        <v>333</v>
      </c>
      <c r="J341" t="str">
        <f t="shared" si="10"/>
        <v>1.333</v>
      </c>
    </row>
    <row r="342" spans="1:10" ht="42.75">
      <c r="A342" s="1265" t="s">
        <v>429</v>
      </c>
      <c r="B342" s="8" t="s">
        <v>3654</v>
      </c>
      <c r="C342" s="157" t="s">
        <v>1689</v>
      </c>
      <c r="D342" s="158">
        <v>10</v>
      </c>
      <c r="E342" s="159">
        <v>496.84</v>
      </c>
      <c r="F342" s="158">
        <v>4968.3999999999996</v>
      </c>
      <c r="G342" s="160" t="s">
        <v>4717</v>
      </c>
      <c r="H342" s="962" t="str">
        <f t="shared" si="11"/>
        <v>01532C1012
分析表274_x000D_
通行寬度60cm</v>
      </c>
      <c r="I342" s="22">
        <v>334</v>
      </c>
      <c r="J342" t="str">
        <f t="shared" si="10"/>
        <v>1.334</v>
      </c>
    </row>
    <row r="343" spans="1:10" ht="42.75">
      <c r="A343" s="1265" t="s">
        <v>430</v>
      </c>
      <c r="B343" s="8" t="s">
        <v>3652</v>
      </c>
      <c r="C343" s="157" t="s">
        <v>1689</v>
      </c>
      <c r="D343" s="158">
        <v>10</v>
      </c>
      <c r="E343" s="159">
        <v>638.14</v>
      </c>
      <c r="F343" s="158">
        <v>6381.4</v>
      </c>
      <c r="G343" s="160" t="s">
        <v>4718</v>
      </c>
      <c r="H343" s="962" t="str">
        <f t="shared" si="11"/>
        <v>01532C1102
分析表275_x000D_
通行寬度90cm</v>
      </c>
      <c r="I343" s="22">
        <v>335</v>
      </c>
      <c r="J343" t="str">
        <f t="shared" si="10"/>
        <v>1.335</v>
      </c>
    </row>
    <row r="344" spans="1:10" ht="42.75">
      <c r="A344" s="1265" t="s">
        <v>431</v>
      </c>
      <c r="B344" s="8" t="s">
        <v>3649</v>
      </c>
      <c r="C344" s="157" t="s">
        <v>3</v>
      </c>
      <c r="D344" s="158">
        <v>10</v>
      </c>
      <c r="E344" s="159">
        <v>783.73</v>
      </c>
      <c r="F344" s="158">
        <v>7837.3</v>
      </c>
      <c r="G344" s="160" t="s">
        <v>4719</v>
      </c>
      <c r="H344" s="962" t="str">
        <f t="shared" si="11"/>
        <v xml:space="preserve">01532AD002
分析表276_x000D_
</v>
      </c>
      <c r="I344" s="22">
        <v>336</v>
      </c>
      <c r="J344" t="str">
        <f t="shared" si="10"/>
        <v>1.336</v>
      </c>
    </row>
    <row r="345" spans="1:10" ht="42.75">
      <c r="A345" s="1265" t="s">
        <v>432</v>
      </c>
      <c r="B345" s="8" t="s">
        <v>3650</v>
      </c>
      <c r="C345" s="157" t="s">
        <v>3</v>
      </c>
      <c r="D345" s="158">
        <v>10</v>
      </c>
      <c r="E345" s="159">
        <v>868.17</v>
      </c>
      <c r="F345" s="158">
        <v>8681.7000000000007</v>
      </c>
      <c r="G345" s="160" t="s">
        <v>4720</v>
      </c>
      <c r="H345" s="962" t="str">
        <f t="shared" si="11"/>
        <v xml:space="preserve">01532AQ002
分析表277_x000D_
</v>
      </c>
      <c r="I345" s="22">
        <v>337</v>
      </c>
      <c r="J345" t="str">
        <f t="shared" si="10"/>
        <v>1.337</v>
      </c>
    </row>
    <row r="346" spans="1:10" ht="42.75">
      <c r="A346" s="1265" t="s">
        <v>433</v>
      </c>
      <c r="B346" s="8" t="s">
        <v>3651</v>
      </c>
      <c r="C346" s="157" t="s">
        <v>3</v>
      </c>
      <c r="D346" s="158">
        <v>10</v>
      </c>
      <c r="E346" s="159">
        <v>966.69</v>
      </c>
      <c r="F346" s="158">
        <v>9666.9</v>
      </c>
      <c r="G346" s="160" t="s">
        <v>4721</v>
      </c>
      <c r="H346" s="962" t="str">
        <f t="shared" si="11"/>
        <v xml:space="preserve">01532AT002
分析表278_x000D_
</v>
      </c>
      <c r="I346" s="22">
        <v>338</v>
      </c>
      <c r="J346" t="str">
        <f t="shared" si="10"/>
        <v>1.338</v>
      </c>
    </row>
    <row r="347" spans="1:10" ht="42.75">
      <c r="A347" s="1265" t="s">
        <v>434</v>
      </c>
      <c r="B347" s="8" t="s">
        <v>2299</v>
      </c>
      <c r="C347" s="157" t="s">
        <v>1689</v>
      </c>
      <c r="D347" s="158">
        <v>1</v>
      </c>
      <c r="E347" s="159">
        <v>73366.509999999995</v>
      </c>
      <c r="F347" s="158">
        <v>73366.509999999995</v>
      </c>
      <c r="G347" s="160" t="s">
        <v>4722</v>
      </c>
      <c r="H347" s="962" t="str">
        <f t="shared" si="11"/>
        <v xml:space="preserve">15110X150R08
分析表279_x000D_
</v>
      </c>
      <c r="I347" s="22">
        <v>339</v>
      </c>
      <c r="J347" t="str">
        <f t="shared" si="10"/>
        <v>1.339</v>
      </c>
    </row>
    <row r="348" spans="1:10" ht="42.75">
      <c r="A348" s="1265" t="s">
        <v>435</v>
      </c>
      <c r="B348" s="8" t="s">
        <v>2306</v>
      </c>
      <c r="C348" s="157" t="s">
        <v>1497</v>
      </c>
      <c r="D348" s="158">
        <v>20</v>
      </c>
      <c r="E348" s="159">
        <v>528.44000000000005</v>
      </c>
      <c r="F348" s="158">
        <v>10568.8</v>
      </c>
      <c r="G348" s="160" t="s">
        <v>4723</v>
      </c>
      <c r="H348" s="962" t="str">
        <f t="shared" si="11"/>
        <v xml:space="preserve">05500h0R0A
分析表280_x000D_
</v>
      </c>
      <c r="I348" s="22">
        <v>340</v>
      </c>
      <c r="J348" t="str">
        <f t="shared" si="10"/>
        <v>1.340</v>
      </c>
    </row>
    <row r="349" spans="1:10" ht="42.75">
      <c r="A349" s="1265" t="s">
        <v>436</v>
      </c>
      <c r="B349" s="8" t="s">
        <v>2313</v>
      </c>
      <c r="C349" s="157" t="s">
        <v>1497</v>
      </c>
      <c r="D349" s="158">
        <v>20</v>
      </c>
      <c r="E349" s="159">
        <v>701.86</v>
      </c>
      <c r="F349" s="158">
        <v>14037.2</v>
      </c>
      <c r="G349" s="160" t="s">
        <v>4724</v>
      </c>
      <c r="H349" s="962" t="str">
        <f t="shared" si="11"/>
        <v xml:space="preserve">05500f4R0A
分析表281_x000D_
</v>
      </c>
      <c r="I349" s="22">
        <v>341</v>
      </c>
      <c r="J349" t="str">
        <f t="shared" si="10"/>
        <v>1.341</v>
      </c>
    </row>
    <row r="350" spans="1:10" ht="47.25">
      <c r="A350" s="1265" t="s">
        <v>437</v>
      </c>
      <c r="B350" s="8" t="s">
        <v>2318</v>
      </c>
      <c r="C350" s="157" t="s">
        <v>1497</v>
      </c>
      <c r="D350" s="158">
        <v>10</v>
      </c>
      <c r="E350" s="159">
        <v>712.12</v>
      </c>
      <c r="F350" s="158">
        <v>7121.2</v>
      </c>
      <c r="G350" s="160" t="s">
        <v>4725</v>
      </c>
      <c r="H350" s="962" t="str">
        <f t="shared" si="11"/>
        <v xml:space="preserve">05500FAA14
分析表282_x000D_
</v>
      </c>
      <c r="I350" s="22">
        <v>342</v>
      </c>
      <c r="J350" t="str">
        <f t="shared" si="10"/>
        <v>1.342</v>
      </c>
    </row>
    <row r="351" spans="1:10" ht="47.25">
      <c r="A351" s="1265" t="s">
        <v>438</v>
      </c>
      <c r="B351" s="8" t="s">
        <v>2327</v>
      </c>
      <c r="C351" s="157" t="s">
        <v>1497</v>
      </c>
      <c r="D351" s="158">
        <v>10</v>
      </c>
      <c r="E351" s="159">
        <v>489.42</v>
      </c>
      <c r="F351" s="158">
        <v>4894.2</v>
      </c>
      <c r="G351" s="160" t="s">
        <v>4726</v>
      </c>
      <c r="H351" s="962" t="str">
        <f t="shared" si="11"/>
        <v>05500FAB14
分析表283_x000D_
每M3.3支踏步計</v>
      </c>
      <c r="I351" s="22">
        <v>343</v>
      </c>
      <c r="J351" t="str">
        <f t="shared" si="10"/>
        <v>1.343</v>
      </c>
    </row>
    <row r="352" spans="1:10" ht="47.25">
      <c r="A352" s="1265" t="s">
        <v>439</v>
      </c>
      <c r="B352" s="8" t="s">
        <v>2338</v>
      </c>
      <c r="C352" s="157" t="s">
        <v>2238</v>
      </c>
      <c r="D352" s="158">
        <v>10</v>
      </c>
      <c r="E352" s="159">
        <v>1303.17</v>
      </c>
      <c r="F352" s="158">
        <v>13031.7</v>
      </c>
      <c r="G352" s="160" t="s">
        <v>4727</v>
      </c>
      <c r="H352" s="962" t="str">
        <f t="shared" si="11"/>
        <v xml:space="preserve">05500FAC18
分析表284_x000D_
</v>
      </c>
      <c r="I352" s="22">
        <v>344</v>
      </c>
      <c r="J352" t="str">
        <f t="shared" si="10"/>
        <v>1.344</v>
      </c>
    </row>
    <row r="353" spans="1:10" ht="57">
      <c r="A353" s="1265" t="s">
        <v>440</v>
      </c>
      <c r="B353" s="8" t="s">
        <v>2341</v>
      </c>
      <c r="C353" s="157" t="s">
        <v>15</v>
      </c>
      <c r="D353" s="158">
        <v>10</v>
      </c>
      <c r="E353" s="159">
        <v>702.57</v>
      </c>
      <c r="F353" s="158">
        <v>7025.7</v>
      </c>
      <c r="G353" s="160" t="s">
        <v>4728</v>
      </c>
      <c r="H353" s="962" t="str">
        <f t="shared" si="11"/>
        <v>02900B100C
分析表285_x000D_
穴孔：D=20CM， H=20CM</v>
      </c>
      <c r="I353" s="22">
        <v>345</v>
      </c>
      <c r="J353" t="str">
        <f t="shared" si="10"/>
        <v>1.345</v>
      </c>
    </row>
    <row r="354" spans="1:10" ht="42.75">
      <c r="A354" s="1265" t="s">
        <v>441</v>
      </c>
      <c r="B354" s="8" t="s">
        <v>2346</v>
      </c>
      <c r="C354" s="157" t="s">
        <v>3</v>
      </c>
      <c r="D354" s="158">
        <v>20</v>
      </c>
      <c r="E354" s="159">
        <v>43.63</v>
      </c>
      <c r="F354" s="158">
        <v>872.6</v>
      </c>
      <c r="G354" s="160" t="s">
        <v>4729</v>
      </c>
      <c r="H354" s="962" t="str">
        <f t="shared" si="11"/>
        <v xml:space="preserve">0292012C02
分析表286_x000D_
</v>
      </c>
      <c r="I354" s="22">
        <v>346</v>
      </c>
      <c r="J354" t="str">
        <f t="shared" si="10"/>
        <v>1.346</v>
      </c>
    </row>
    <row r="355" spans="1:10" ht="42.75">
      <c r="A355" s="1265" t="s">
        <v>442</v>
      </c>
      <c r="B355" s="8" t="s">
        <v>2360</v>
      </c>
      <c r="C355" s="157" t="s">
        <v>3</v>
      </c>
      <c r="D355" s="158">
        <v>10</v>
      </c>
      <c r="E355" s="159">
        <v>249.2</v>
      </c>
      <c r="F355" s="158">
        <v>2492</v>
      </c>
      <c r="G355" s="160" t="s">
        <v>4730</v>
      </c>
      <c r="H355" s="962" t="str">
        <f t="shared" si="11"/>
        <v xml:space="preserve">0292000U02
分析表287_x000D_
</v>
      </c>
      <c r="I355" s="22">
        <v>347</v>
      </c>
      <c r="J355" t="str">
        <f t="shared" si="10"/>
        <v>1.347</v>
      </c>
    </row>
    <row r="356" spans="1:10" ht="42.75">
      <c r="A356" s="1265" t="s">
        <v>443</v>
      </c>
      <c r="B356" s="8" t="s">
        <v>2372</v>
      </c>
      <c r="C356" s="157" t="s">
        <v>3</v>
      </c>
      <c r="D356" s="158">
        <v>10</v>
      </c>
      <c r="E356" s="159">
        <v>684.33</v>
      </c>
      <c r="F356" s="158">
        <v>6843.3</v>
      </c>
      <c r="G356" s="160" t="s">
        <v>4731</v>
      </c>
      <c r="H356" s="962" t="str">
        <f t="shared" si="11"/>
        <v xml:space="preserve">0422200002
分析表288_x000D_
</v>
      </c>
      <c r="I356" s="22">
        <v>348</v>
      </c>
      <c r="J356" t="str">
        <f t="shared" si="10"/>
        <v>1.348</v>
      </c>
    </row>
    <row r="357" spans="1:10" ht="31.5">
      <c r="A357" s="1265" t="s">
        <v>444</v>
      </c>
      <c r="B357" s="8" t="s">
        <v>3331</v>
      </c>
      <c r="C357" s="157" t="s">
        <v>2400</v>
      </c>
      <c r="D357" s="158">
        <v>50</v>
      </c>
      <c r="E357" s="159">
        <v>23.22</v>
      </c>
      <c r="F357" s="158">
        <v>1161</v>
      </c>
      <c r="G357" s="160" t="s">
        <v>3332</v>
      </c>
      <c r="H357" s="962" t="str">
        <f t="shared" si="11"/>
        <v xml:space="preserve">02922000211
</v>
      </c>
      <c r="I357" s="22">
        <v>349</v>
      </c>
      <c r="J357" t="str">
        <f t="shared" si="10"/>
        <v>1.349</v>
      </c>
    </row>
    <row r="358" spans="1:10" ht="28.5">
      <c r="A358" s="1265" t="s">
        <v>445</v>
      </c>
      <c r="B358" s="8" t="s">
        <v>4732</v>
      </c>
      <c r="C358" s="157" t="s">
        <v>1497</v>
      </c>
      <c r="D358" s="158">
        <v>50</v>
      </c>
      <c r="E358" s="159">
        <v>290.89999999999998</v>
      </c>
      <c r="F358" s="158">
        <v>14545</v>
      </c>
      <c r="G358" s="160" t="s">
        <v>4733</v>
      </c>
      <c r="H358" s="962" t="str">
        <f t="shared" si="11"/>
        <v xml:space="preserve">M02900U105A0
</v>
      </c>
      <c r="I358" s="22">
        <v>350</v>
      </c>
      <c r="J358" t="str">
        <f t="shared" si="10"/>
        <v>1.350</v>
      </c>
    </row>
    <row r="359" spans="1:10" ht="42.75">
      <c r="A359" s="1265" t="s">
        <v>446</v>
      </c>
      <c r="B359" s="8" t="s">
        <v>2379</v>
      </c>
      <c r="C359" s="157" t="s">
        <v>3</v>
      </c>
      <c r="D359" s="158">
        <v>50</v>
      </c>
      <c r="E359" s="159">
        <v>22.43</v>
      </c>
      <c r="F359" s="158">
        <v>1121.5</v>
      </c>
      <c r="G359" s="160" t="s">
        <v>4734</v>
      </c>
      <c r="H359" s="962" t="str">
        <f t="shared" si="11"/>
        <v xml:space="preserve">02233A0002
分析表289_x000D_
</v>
      </c>
      <c r="I359" s="22">
        <v>351</v>
      </c>
      <c r="J359" t="str">
        <f t="shared" si="10"/>
        <v>1.351</v>
      </c>
    </row>
    <row r="360" spans="1:10" ht="42.75">
      <c r="A360" s="1265" t="s">
        <v>447</v>
      </c>
      <c r="B360" s="8" t="s">
        <v>2383</v>
      </c>
      <c r="C360" s="157" t="s">
        <v>3</v>
      </c>
      <c r="D360" s="158">
        <v>100</v>
      </c>
      <c r="E360" s="159">
        <v>11.58</v>
      </c>
      <c r="F360" s="158">
        <v>1158</v>
      </c>
      <c r="G360" s="160" t="s">
        <v>4735</v>
      </c>
      <c r="H360" s="962" t="str">
        <f t="shared" si="11"/>
        <v xml:space="preserve">0223102002
分析表290_x000D_
</v>
      </c>
      <c r="I360" s="22">
        <v>352</v>
      </c>
      <c r="J360" t="str">
        <f t="shared" si="10"/>
        <v>1.352</v>
      </c>
    </row>
    <row r="361" spans="1:10" ht="42.75">
      <c r="A361" s="1265" t="s">
        <v>448</v>
      </c>
      <c r="B361" s="8" t="s">
        <v>2390</v>
      </c>
      <c r="C361" s="157" t="s">
        <v>3</v>
      </c>
      <c r="D361" s="158">
        <v>100</v>
      </c>
      <c r="E361" s="159">
        <v>20.18</v>
      </c>
      <c r="F361" s="158">
        <v>2018</v>
      </c>
      <c r="G361" s="160" t="s">
        <v>4736</v>
      </c>
      <c r="H361" s="962" t="str">
        <f t="shared" si="11"/>
        <v xml:space="preserve">0223109002
分析表291_x000D_
</v>
      </c>
      <c r="I361" s="22">
        <v>353</v>
      </c>
      <c r="J361" t="str">
        <f t="shared" si="10"/>
        <v>1.353</v>
      </c>
    </row>
    <row r="362" spans="1:10" s="7" customFormat="1" ht="42.75">
      <c r="A362" s="1265" t="s">
        <v>449</v>
      </c>
      <c r="B362" s="8" t="s">
        <v>2393</v>
      </c>
      <c r="C362" s="157" t="s">
        <v>2394</v>
      </c>
      <c r="D362" s="158">
        <v>10</v>
      </c>
      <c r="E362" s="159">
        <v>2480.61</v>
      </c>
      <c r="F362" s="158">
        <v>24806.1</v>
      </c>
      <c r="G362" s="160" t="s">
        <v>4737</v>
      </c>
      <c r="H362" s="962" t="str">
        <f t="shared" si="11"/>
        <v xml:space="preserve">02234A0001
分析表292_x000D_
</v>
      </c>
      <c r="I362" s="22">
        <v>354</v>
      </c>
      <c r="J362" s="7" t="str">
        <f t="shared" si="10"/>
        <v>1.354</v>
      </c>
    </row>
    <row r="363" spans="1:10" s="7" customFormat="1" ht="57">
      <c r="A363" s="1265" t="s">
        <v>450</v>
      </c>
      <c r="B363" s="8" t="s">
        <v>2399</v>
      </c>
      <c r="C363" s="157" t="s">
        <v>2400</v>
      </c>
      <c r="D363" s="158">
        <v>10</v>
      </c>
      <c r="E363" s="159">
        <v>4555</v>
      </c>
      <c r="F363" s="158">
        <v>45550</v>
      </c>
      <c r="G363" s="160" t="s">
        <v>4738</v>
      </c>
      <c r="H363" s="962" t="str">
        <f t="shared" si="11"/>
        <v>029351C32A
分析表293_x000D_
樹高8-10公尺，修剪前樹寬3-5公尺</v>
      </c>
      <c r="I363" s="22">
        <v>355</v>
      </c>
      <c r="J363" s="7" t="str">
        <f t="shared" si="10"/>
        <v>1.355</v>
      </c>
    </row>
    <row r="364" spans="1:10" s="7" customFormat="1" ht="42.75">
      <c r="A364" s="1265" t="s">
        <v>451</v>
      </c>
      <c r="B364" s="8" t="s">
        <v>2405</v>
      </c>
      <c r="C364" s="157" t="s">
        <v>3</v>
      </c>
      <c r="D364" s="158">
        <v>50</v>
      </c>
      <c r="E364" s="159">
        <v>34.6</v>
      </c>
      <c r="F364" s="158">
        <v>1730</v>
      </c>
      <c r="G364" s="160" t="s">
        <v>4739</v>
      </c>
      <c r="H364" s="962" t="str">
        <f t="shared" si="11"/>
        <v xml:space="preserve">02234A0002
分析表294_x000D_
</v>
      </c>
      <c r="I364" s="22">
        <v>356</v>
      </c>
      <c r="J364" s="7" t="str">
        <f t="shared" si="10"/>
        <v>1.356</v>
      </c>
    </row>
    <row r="365" spans="1:10" s="9" customFormat="1" ht="42.75">
      <c r="A365" s="1265" t="s">
        <v>452</v>
      </c>
      <c r="B365" s="8" t="s">
        <v>2410</v>
      </c>
      <c r="C365" s="157" t="s">
        <v>0</v>
      </c>
      <c r="D365" s="158">
        <v>10</v>
      </c>
      <c r="E365" s="159">
        <v>2282.59</v>
      </c>
      <c r="F365" s="158">
        <v>22825.9</v>
      </c>
      <c r="G365" s="160" t="s">
        <v>4740</v>
      </c>
      <c r="H365" s="962" t="str">
        <f t="shared" si="11"/>
        <v xml:space="preserve">02234A0003
分析表295_x000D_
</v>
      </c>
      <c r="I365" s="22">
        <v>357</v>
      </c>
      <c r="J365" s="9" t="str">
        <f t="shared" si="10"/>
        <v>1.357</v>
      </c>
    </row>
    <row r="366" spans="1:10" s="7" customFormat="1" ht="57">
      <c r="A366" s="1265" t="s">
        <v>455</v>
      </c>
      <c r="B366" s="8" t="s">
        <v>4390</v>
      </c>
      <c r="C366" s="157" t="s">
        <v>927</v>
      </c>
      <c r="D366" s="158">
        <v>10</v>
      </c>
      <c r="E366" s="159">
        <v>206.33</v>
      </c>
      <c r="F366" s="158">
        <v>2063.3000000000002</v>
      </c>
      <c r="G366" s="160" t="s">
        <v>4741</v>
      </c>
      <c r="H366" s="962" t="str">
        <f t="shared" si="11"/>
        <v>02240B100D
分析表296_x000D_
原名稱：袪水，臨時排水，箱涵用</v>
      </c>
      <c r="I366" s="22">
        <v>358</v>
      </c>
      <c r="J366" s="7" t="str">
        <f t="shared" si="10"/>
        <v>1.358</v>
      </c>
    </row>
    <row r="367" spans="1:10" s="7" customFormat="1" ht="57">
      <c r="A367" s="1265" t="s">
        <v>456</v>
      </c>
      <c r="B367" s="8" t="s">
        <v>4392</v>
      </c>
      <c r="C367" s="157" t="s">
        <v>927</v>
      </c>
      <c r="D367" s="158">
        <v>20</v>
      </c>
      <c r="E367" s="159">
        <v>161.91</v>
      </c>
      <c r="F367" s="158">
        <v>3238.2</v>
      </c>
      <c r="G367" s="160" t="s">
        <v>4742</v>
      </c>
      <c r="H367" s="962" t="str">
        <f t="shared" si="11"/>
        <v>02240B200D
分析表297_x000D_
原名稱：袪水，臨時排水，RCP用</v>
      </c>
      <c r="I367" s="22">
        <v>359</v>
      </c>
      <c r="J367" s="7" t="str">
        <f t="shared" si="10"/>
        <v>1.359</v>
      </c>
    </row>
    <row r="368" spans="1:10" s="9" customFormat="1" ht="42.75">
      <c r="A368" s="1265" t="s">
        <v>457</v>
      </c>
      <c r="B368" s="8" t="s">
        <v>2381</v>
      </c>
      <c r="C368" s="157" t="s">
        <v>927</v>
      </c>
      <c r="D368" s="158">
        <v>5</v>
      </c>
      <c r="E368" s="159">
        <v>2158.11</v>
      </c>
      <c r="F368" s="158">
        <v>10790.55</v>
      </c>
      <c r="G368" s="160" t="s">
        <v>4743</v>
      </c>
      <c r="H368" s="962" t="str">
        <f t="shared" si="11"/>
        <v xml:space="preserve">01271AB101
分析表298_x000D_
</v>
      </c>
      <c r="I368" s="22">
        <v>360</v>
      </c>
      <c r="J368" s="9" t="str">
        <f t="shared" si="10"/>
        <v>1.360</v>
      </c>
    </row>
    <row r="369" spans="1:10" s="7" customFormat="1" ht="42.75">
      <c r="A369" s="1265" t="s">
        <v>466</v>
      </c>
      <c r="B369" s="8" t="s">
        <v>2422</v>
      </c>
      <c r="C369" s="157" t="s">
        <v>927</v>
      </c>
      <c r="D369" s="158">
        <v>5</v>
      </c>
      <c r="E369" s="159">
        <v>3922.29</v>
      </c>
      <c r="F369" s="158">
        <v>19611.45</v>
      </c>
      <c r="G369" s="160" t="s">
        <v>4744</v>
      </c>
      <c r="H369" s="962" t="str">
        <f t="shared" si="11"/>
        <v xml:space="preserve">01271AB201
分析表299_x000D_
</v>
      </c>
      <c r="I369" s="22">
        <v>361</v>
      </c>
      <c r="J369" s="7" t="str">
        <f t="shared" si="10"/>
        <v>1.361</v>
      </c>
    </row>
    <row r="370" spans="1:10" s="7" customFormat="1" ht="42.75">
      <c r="A370" s="1265" t="s">
        <v>467</v>
      </c>
      <c r="B370" s="8" t="s">
        <v>514</v>
      </c>
      <c r="C370" s="157" t="s">
        <v>927</v>
      </c>
      <c r="D370" s="158">
        <v>20</v>
      </c>
      <c r="E370" s="159">
        <v>927.9</v>
      </c>
      <c r="F370" s="158">
        <v>18558</v>
      </c>
      <c r="G370" s="160" t="s">
        <v>4745</v>
      </c>
      <c r="H370" s="962" t="str">
        <f t="shared" si="11"/>
        <v>01510522BD
分析表300_x000D_
(含油料及運費)</v>
      </c>
      <c r="I370" s="22">
        <v>362</v>
      </c>
      <c r="J370" s="7" t="str">
        <f t="shared" si="10"/>
        <v>1.362</v>
      </c>
    </row>
    <row r="371" spans="1:10" s="7" customFormat="1" ht="42.75">
      <c r="A371" s="1265" t="s">
        <v>468</v>
      </c>
      <c r="B371" s="8" t="s">
        <v>2433</v>
      </c>
      <c r="C371" s="157" t="s">
        <v>927</v>
      </c>
      <c r="D371" s="158">
        <v>20</v>
      </c>
      <c r="E371" s="159">
        <v>907.38</v>
      </c>
      <c r="F371" s="158">
        <v>18147.599999999999</v>
      </c>
      <c r="G371" s="160" t="s">
        <v>4746</v>
      </c>
      <c r="H371" s="962" t="str">
        <f t="shared" si="11"/>
        <v>01510533BD
分析表301_x000D_
(含油料及運費)</v>
      </c>
      <c r="I371" s="22">
        <v>363</v>
      </c>
      <c r="J371" s="7" t="str">
        <f t="shared" si="10"/>
        <v>1.363</v>
      </c>
    </row>
    <row r="372" spans="1:10" s="7" customFormat="1" ht="42.75">
      <c r="A372" s="1265" t="s">
        <v>469</v>
      </c>
      <c r="B372" s="8" t="s">
        <v>2438</v>
      </c>
      <c r="C372" s="157" t="s">
        <v>927</v>
      </c>
      <c r="D372" s="158">
        <v>20</v>
      </c>
      <c r="E372" s="159">
        <v>804.77</v>
      </c>
      <c r="F372" s="158">
        <v>16095.4</v>
      </c>
      <c r="G372" s="160" t="s">
        <v>4747</v>
      </c>
      <c r="H372" s="962" t="str">
        <f t="shared" si="11"/>
        <v>01510532BD
分析表302_x000D_
(含油料及運費)</v>
      </c>
      <c r="I372" s="22">
        <v>364</v>
      </c>
      <c r="J372" s="7" t="str">
        <f t="shared" si="10"/>
        <v>1.364</v>
      </c>
    </row>
    <row r="373" spans="1:10" s="7" customFormat="1" ht="42.75">
      <c r="A373" s="1265" t="s">
        <v>470</v>
      </c>
      <c r="B373" s="8" t="s">
        <v>2443</v>
      </c>
      <c r="C373" s="157" t="s">
        <v>4395</v>
      </c>
      <c r="D373" s="158">
        <v>2</v>
      </c>
      <c r="E373" s="159">
        <v>31251.040000000001</v>
      </c>
      <c r="F373" s="158">
        <v>62502.080000000002</v>
      </c>
      <c r="G373" s="160" t="s">
        <v>4748</v>
      </c>
      <c r="H373" s="962" t="str">
        <f t="shared" si="11"/>
        <v>01572D0007
分析表303_x000D_
廢方另計</v>
      </c>
      <c r="I373" s="22">
        <v>365</v>
      </c>
      <c r="J373" s="7" t="str">
        <f t="shared" si="10"/>
        <v>1.365</v>
      </c>
    </row>
    <row r="374" spans="1:10" s="7" customFormat="1" ht="42.75">
      <c r="A374" s="1265" t="s">
        <v>471</v>
      </c>
      <c r="B374" s="8" t="s">
        <v>515</v>
      </c>
      <c r="C374" s="157" t="s">
        <v>0</v>
      </c>
      <c r="D374" s="158">
        <v>5</v>
      </c>
      <c r="E374" s="159">
        <v>3350.11</v>
      </c>
      <c r="F374" s="158">
        <v>16750.55</v>
      </c>
      <c r="G374" s="160" t="s">
        <v>4749</v>
      </c>
      <c r="H374" s="962" t="str">
        <f t="shared" si="11"/>
        <v xml:space="preserve">0226210003
分析表304_x000D_
</v>
      </c>
      <c r="I374" s="22">
        <v>366</v>
      </c>
      <c r="J374" s="7" t="str">
        <f t="shared" si="10"/>
        <v>1.366</v>
      </c>
    </row>
    <row r="375" spans="1:10" s="7" customFormat="1" ht="31.5">
      <c r="A375" s="1265" t="s">
        <v>472</v>
      </c>
      <c r="B375" s="8" t="s">
        <v>3349</v>
      </c>
      <c r="C375" s="157" t="s">
        <v>1497</v>
      </c>
      <c r="D375" s="158">
        <v>20</v>
      </c>
      <c r="E375" s="159">
        <v>49.81</v>
      </c>
      <c r="F375" s="158">
        <v>996.2</v>
      </c>
      <c r="G375" s="160" t="s">
        <v>3350</v>
      </c>
      <c r="H375" s="962" t="str">
        <f t="shared" si="11"/>
        <v xml:space="preserve">050900GGCA
</v>
      </c>
      <c r="I375" s="22">
        <v>367</v>
      </c>
      <c r="J375" s="7" t="str">
        <f t="shared" si="10"/>
        <v>1.367</v>
      </c>
    </row>
    <row r="376" spans="1:10" s="7" customFormat="1" ht="31.5">
      <c r="A376" s="1265" t="s">
        <v>473</v>
      </c>
      <c r="B376" s="8" t="s">
        <v>2333</v>
      </c>
      <c r="C376" s="157" t="s">
        <v>1497</v>
      </c>
      <c r="D376" s="158">
        <v>20</v>
      </c>
      <c r="E376" s="159">
        <v>69.739999999999995</v>
      </c>
      <c r="F376" s="158">
        <v>1394.8</v>
      </c>
      <c r="G376" s="160" t="s">
        <v>2334</v>
      </c>
      <c r="H376" s="962" t="str">
        <f t="shared" si="11"/>
        <v xml:space="preserve">050900MH0A
</v>
      </c>
      <c r="I376" s="22">
        <v>368</v>
      </c>
      <c r="J376" s="7" t="str">
        <f t="shared" si="10"/>
        <v>1.368</v>
      </c>
    </row>
    <row r="377" spans="1:10" s="7" customFormat="1" ht="47.25">
      <c r="A377" s="1265" t="s">
        <v>474</v>
      </c>
      <c r="B377" s="8" t="s">
        <v>3351</v>
      </c>
      <c r="C377" s="157" t="s">
        <v>1818</v>
      </c>
      <c r="D377" s="158">
        <v>2</v>
      </c>
      <c r="E377" s="159">
        <v>4383.3599999999997</v>
      </c>
      <c r="F377" s="158">
        <v>8766.7199999999993</v>
      </c>
      <c r="G377" s="160" t="s">
        <v>3352</v>
      </c>
      <c r="H377" s="962" t="str">
        <f t="shared" si="11"/>
        <v xml:space="preserve">02220301BE
</v>
      </c>
      <c r="I377" s="22">
        <v>369</v>
      </c>
      <c r="J377" s="7" t="str">
        <f t="shared" si="10"/>
        <v>1.369</v>
      </c>
    </row>
    <row r="378" spans="1:10" s="7" customFormat="1" ht="31.5">
      <c r="A378" s="1265" t="s">
        <v>475</v>
      </c>
      <c r="B378" s="8" t="s">
        <v>3353</v>
      </c>
      <c r="C378" s="157" t="s">
        <v>1689</v>
      </c>
      <c r="D378" s="158">
        <v>1</v>
      </c>
      <c r="E378" s="159">
        <v>8102.24</v>
      </c>
      <c r="F378" s="158">
        <v>8102.24</v>
      </c>
      <c r="G378" s="160" t="s">
        <v>3354</v>
      </c>
      <c r="H378" s="962" t="str">
        <f t="shared" si="11"/>
        <v>M0556210008
# 過溝鑄鐵蓋板</v>
      </c>
      <c r="I378" s="22">
        <v>370</v>
      </c>
      <c r="J378" s="7" t="str">
        <f t="shared" si="10"/>
        <v>1.370</v>
      </c>
    </row>
    <row r="379" spans="1:10" s="7" customFormat="1" ht="47.25">
      <c r="A379" s="1265" t="s">
        <v>476</v>
      </c>
      <c r="B379" s="8" t="s">
        <v>3355</v>
      </c>
      <c r="C379" s="157" t="s">
        <v>1497</v>
      </c>
      <c r="D379" s="158">
        <v>50</v>
      </c>
      <c r="E379" s="159">
        <v>58.78</v>
      </c>
      <c r="F379" s="158">
        <v>2939</v>
      </c>
      <c r="G379" s="160" t="s">
        <v>3356</v>
      </c>
      <c r="H379" s="962" t="str">
        <f t="shared" si="11"/>
        <v>M050900M80A
#</v>
      </c>
      <c r="I379" s="22">
        <v>371</v>
      </c>
      <c r="J379" s="7" t="str">
        <f t="shared" si="10"/>
        <v>1.371</v>
      </c>
    </row>
    <row r="380" spans="1:10" s="7" customFormat="1" ht="31.5">
      <c r="A380" s="1265" t="s">
        <v>477</v>
      </c>
      <c r="B380" s="8" t="s">
        <v>3357</v>
      </c>
      <c r="C380" s="157" t="s">
        <v>17</v>
      </c>
      <c r="D380" s="158">
        <v>70</v>
      </c>
      <c r="E380" s="159">
        <v>7.97</v>
      </c>
      <c r="F380" s="158">
        <v>557.9</v>
      </c>
      <c r="G380" s="160" t="s">
        <v>3358</v>
      </c>
      <c r="H380" s="962" t="str">
        <f t="shared" si="11"/>
        <v xml:space="preserve">0250611011
</v>
      </c>
      <c r="I380" s="22">
        <v>372</v>
      </c>
      <c r="J380" s="7" t="str">
        <f t="shared" si="10"/>
        <v>1.372</v>
      </c>
    </row>
    <row r="381" spans="1:10" s="7" customFormat="1" ht="31.5">
      <c r="A381" s="1265" t="s">
        <v>478</v>
      </c>
      <c r="B381" s="8" t="s">
        <v>3359</v>
      </c>
      <c r="C381" s="157" t="s">
        <v>2679</v>
      </c>
      <c r="D381" s="158">
        <v>1</v>
      </c>
      <c r="E381" s="159">
        <v>21916.81</v>
      </c>
      <c r="F381" s="158">
        <v>21916.81</v>
      </c>
      <c r="G381" s="160" t="s">
        <v>3360</v>
      </c>
      <c r="H381" s="962" t="str">
        <f t="shared" si="11"/>
        <v xml:space="preserve">03400B0007
</v>
      </c>
      <c r="I381" s="22">
        <v>373</v>
      </c>
      <c r="J381" s="7" t="str">
        <f t="shared" si="10"/>
        <v>1.373</v>
      </c>
    </row>
    <row r="382" spans="1:10" s="7" customFormat="1" ht="31.5">
      <c r="A382" s="1265" t="s">
        <v>479</v>
      </c>
      <c r="B382" s="8" t="s">
        <v>3361</v>
      </c>
      <c r="C382" s="157" t="s">
        <v>2679</v>
      </c>
      <c r="D382" s="158">
        <v>1</v>
      </c>
      <c r="E382" s="159">
        <v>24905.46</v>
      </c>
      <c r="F382" s="158">
        <v>24905.46</v>
      </c>
      <c r="G382" s="160" t="s">
        <v>3362</v>
      </c>
      <c r="H382" s="962" t="str">
        <f t="shared" si="11"/>
        <v xml:space="preserve">03400R0007
</v>
      </c>
      <c r="I382" s="22">
        <v>374</v>
      </c>
      <c r="J382" s="7" t="str">
        <f t="shared" si="10"/>
        <v>1.374</v>
      </c>
    </row>
    <row r="383" spans="1:10" s="7" customFormat="1" ht="28.5">
      <c r="A383" s="1265" t="s">
        <v>480</v>
      </c>
      <c r="B383" s="8" t="s">
        <v>3363</v>
      </c>
      <c r="C383" s="157" t="s">
        <v>1875</v>
      </c>
      <c r="D383" s="158">
        <v>10</v>
      </c>
      <c r="E383" s="159">
        <v>41.84</v>
      </c>
      <c r="F383" s="158">
        <v>418.4</v>
      </c>
      <c r="G383" s="160" t="s">
        <v>3364</v>
      </c>
      <c r="H383" s="962" t="str">
        <f t="shared" si="11"/>
        <v xml:space="preserve">03400X000A
</v>
      </c>
      <c r="I383" s="22">
        <v>375</v>
      </c>
      <c r="J383" s="7" t="str">
        <f t="shared" si="10"/>
        <v>1.375</v>
      </c>
    </row>
    <row r="384" spans="1:10" s="7" customFormat="1" ht="28.5">
      <c r="A384" s="1265" t="s">
        <v>481</v>
      </c>
      <c r="B384" s="8" t="s">
        <v>3365</v>
      </c>
      <c r="C384" s="157" t="s">
        <v>1875</v>
      </c>
      <c r="D384" s="158">
        <v>10</v>
      </c>
      <c r="E384" s="159">
        <v>36.86</v>
      </c>
      <c r="F384" s="158">
        <v>368.6</v>
      </c>
      <c r="G384" s="160" t="s">
        <v>3366</v>
      </c>
      <c r="H384" s="962" t="str">
        <f t="shared" si="11"/>
        <v xml:space="preserve">03400Y000A
</v>
      </c>
      <c r="I384" s="22">
        <v>376</v>
      </c>
      <c r="J384" s="7" t="str">
        <f t="shared" si="10"/>
        <v>1.376</v>
      </c>
    </row>
    <row r="385" spans="1:10" s="7" customFormat="1" ht="31.5">
      <c r="A385" s="1265" t="s">
        <v>482</v>
      </c>
      <c r="B385" s="8" t="s">
        <v>3367</v>
      </c>
      <c r="C385" s="157" t="s">
        <v>17</v>
      </c>
      <c r="D385" s="158">
        <v>10</v>
      </c>
      <c r="E385" s="159">
        <v>309.82</v>
      </c>
      <c r="F385" s="158">
        <v>3098.2</v>
      </c>
      <c r="G385" s="160" t="s">
        <v>3368</v>
      </c>
      <c r="H385" s="962" t="str">
        <f t="shared" si="11"/>
        <v xml:space="preserve">151070000001
</v>
      </c>
      <c r="I385" s="22">
        <v>377</v>
      </c>
      <c r="J385" s="7" t="str">
        <f t="shared" si="10"/>
        <v>1.377</v>
      </c>
    </row>
    <row r="386" spans="1:10" s="7" customFormat="1" ht="42.75">
      <c r="A386" s="1265" t="s">
        <v>483</v>
      </c>
      <c r="B386" s="8" t="s">
        <v>2458</v>
      </c>
      <c r="C386" s="157" t="s">
        <v>2335</v>
      </c>
      <c r="D386" s="158">
        <v>5</v>
      </c>
      <c r="E386" s="159">
        <v>823.27</v>
      </c>
      <c r="F386" s="158">
        <v>4116.3500000000004</v>
      </c>
      <c r="G386" s="160" t="s">
        <v>4750</v>
      </c>
      <c r="H386" s="962" t="str">
        <f t="shared" si="11"/>
        <v xml:space="preserve">022180A005
分析表305_x000D_
</v>
      </c>
      <c r="I386" s="22">
        <v>378</v>
      </c>
      <c r="J386" s="7" t="str">
        <f t="shared" ref="J386:J449" si="12">A386</f>
        <v>1.378</v>
      </c>
    </row>
    <row r="387" spans="1:10" s="7" customFormat="1" ht="31.5">
      <c r="A387" s="1265" t="s">
        <v>484</v>
      </c>
      <c r="B387" s="8" t="s">
        <v>2954</v>
      </c>
      <c r="C387" s="157" t="s">
        <v>2490</v>
      </c>
      <c r="D387" s="158">
        <v>5</v>
      </c>
      <c r="E387" s="159">
        <v>29886.55</v>
      </c>
      <c r="F387" s="158">
        <v>149432.75</v>
      </c>
      <c r="G387" s="160" t="s">
        <v>3370</v>
      </c>
      <c r="H387" s="962" t="str">
        <f t="shared" si="11"/>
        <v xml:space="preserve">012714000A
</v>
      </c>
      <c r="I387" s="22">
        <v>379</v>
      </c>
      <c r="J387" s="7" t="str">
        <f t="shared" si="12"/>
        <v>1.379</v>
      </c>
    </row>
    <row r="388" spans="1:10" s="7" customFormat="1" ht="31.5">
      <c r="A388" s="1265" t="s">
        <v>485</v>
      </c>
      <c r="B388" s="8" t="s">
        <v>3371</v>
      </c>
      <c r="C388" s="157" t="s">
        <v>2490</v>
      </c>
      <c r="D388" s="158">
        <v>5</v>
      </c>
      <c r="E388" s="159">
        <v>7471.64</v>
      </c>
      <c r="F388" s="158">
        <v>37358.199999999997</v>
      </c>
      <c r="G388" s="160" t="s">
        <v>3372</v>
      </c>
      <c r="H388" s="962" t="str">
        <f t="shared" si="11"/>
        <v xml:space="preserve">012714100A
</v>
      </c>
      <c r="I388" s="22">
        <v>380</v>
      </c>
      <c r="J388" s="7" t="str">
        <f t="shared" si="12"/>
        <v>1.380</v>
      </c>
    </row>
    <row r="389" spans="1:10" s="7" customFormat="1" ht="42.75">
      <c r="A389" s="1265" t="s">
        <v>486</v>
      </c>
      <c r="B389" s="8" t="s">
        <v>2468</v>
      </c>
      <c r="C389" s="157" t="s">
        <v>0</v>
      </c>
      <c r="D389" s="158">
        <v>1</v>
      </c>
      <c r="E389" s="159">
        <v>49598.63</v>
      </c>
      <c r="F389" s="158">
        <v>49598.63</v>
      </c>
      <c r="G389" s="160" t="s">
        <v>4751</v>
      </c>
      <c r="H389" s="962" t="str">
        <f t="shared" si="11"/>
        <v>02742B0H03
分析表306_x000D_
#</v>
      </c>
      <c r="I389" s="22">
        <v>381</v>
      </c>
      <c r="J389" s="7" t="str">
        <f t="shared" si="12"/>
        <v>1.381</v>
      </c>
    </row>
    <row r="390" spans="1:10" s="7" customFormat="1" ht="42.75">
      <c r="A390" s="1265" t="s">
        <v>487</v>
      </c>
      <c r="B390" s="8" t="s">
        <v>2475</v>
      </c>
      <c r="C390" s="157" t="s">
        <v>2238</v>
      </c>
      <c r="D390" s="158">
        <v>5</v>
      </c>
      <c r="E390" s="159">
        <v>58149.69</v>
      </c>
      <c r="F390" s="158">
        <v>290748.45</v>
      </c>
      <c r="G390" s="160" t="s">
        <v>4752</v>
      </c>
      <c r="H390" s="962" t="str">
        <f t="shared" si="11"/>
        <v xml:space="preserve">0151111021
分析表307_x000D_
</v>
      </c>
      <c r="I390" s="22">
        <v>382</v>
      </c>
      <c r="J390" s="7" t="str">
        <f t="shared" si="12"/>
        <v>1.382</v>
      </c>
    </row>
    <row r="391" spans="1:10" s="7" customFormat="1" ht="42.75">
      <c r="A391" s="1265" t="s">
        <v>488</v>
      </c>
      <c r="B391" s="8" t="s">
        <v>2480</v>
      </c>
      <c r="C391" s="157" t="s">
        <v>2238</v>
      </c>
      <c r="D391" s="158">
        <v>5</v>
      </c>
      <c r="E391" s="159">
        <v>75570.44</v>
      </c>
      <c r="F391" s="158">
        <v>377852.2</v>
      </c>
      <c r="G391" s="160" t="s">
        <v>4753</v>
      </c>
      <c r="H391" s="962" t="str">
        <f t="shared" si="11"/>
        <v xml:space="preserve">0151112021
分析表308_x000D_
</v>
      </c>
      <c r="I391" s="22">
        <v>383</v>
      </c>
      <c r="J391" s="7" t="str">
        <f t="shared" si="12"/>
        <v>1.383</v>
      </c>
    </row>
    <row r="392" spans="1:10" s="7" customFormat="1" ht="42.75">
      <c r="A392" s="1265" t="s">
        <v>489</v>
      </c>
      <c r="B392" s="8" t="s">
        <v>2483</v>
      </c>
      <c r="C392" s="157" t="s">
        <v>2238</v>
      </c>
      <c r="D392" s="158">
        <v>5</v>
      </c>
      <c r="E392" s="159">
        <v>42176.2</v>
      </c>
      <c r="F392" s="158">
        <v>210881</v>
      </c>
      <c r="G392" s="160" t="s">
        <v>4754</v>
      </c>
      <c r="H392" s="962" t="str">
        <f t="shared" si="11"/>
        <v xml:space="preserve">0151111221
分析表309_x000D_
</v>
      </c>
      <c r="I392" s="22">
        <v>384</v>
      </c>
      <c r="J392" s="7" t="str">
        <f t="shared" si="12"/>
        <v>1.384</v>
      </c>
    </row>
    <row r="393" spans="1:10" s="7" customFormat="1" ht="42.75">
      <c r="A393" s="1265" t="s">
        <v>490</v>
      </c>
      <c r="B393" s="8" t="s">
        <v>2486</v>
      </c>
      <c r="C393" s="157" t="s">
        <v>2238</v>
      </c>
      <c r="D393" s="158">
        <v>5</v>
      </c>
      <c r="E393" s="159">
        <v>54161.93</v>
      </c>
      <c r="F393" s="158">
        <v>270809.65000000002</v>
      </c>
      <c r="G393" s="160" t="s">
        <v>4755</v>
      </c>
      <c r="H393" s="962" t="str">
        <f t="shared" si="11"/>
        <v xml:space="preserve">0151112221
分析表310_x000D_
</v>
      </c>
      <c r="I393" s="22">
        <v>385</v>
      </c>
      <c r="J393" s="7" t="str">
        <f t="shared" si="12"/>
        <v>1.385</v>
      </c>
    </row>
    <row r="394" spans="1:10" s="7" customFormat="1" ht="31.5">
      <c r="A394" s="1265" t="s">
        <v>491</v>
      </c>
      <c r="B394" s="8" t="s">
        <v>4756</v>
      </c>
      <c r="C394" s="157" t="s">
        <v>2490</v>
      </c>
      <c r="D394" s="158">
        <v>5</v>
      </c>
      <c r="E394" s="159">
        <v>24905.46</v>
      </c>
      <c r="F394" s="158">
        <v>124527.3</v>
      </c>
      <c r="G394" s="160" t="s">
        <v>4757</v>
      </c>
      <c r="H394" s="962" t="str">
        <f t="shared" si="11"/>
        <v xml:space="preserve">0151132204
</v>
      </c>
      <c r="I394" s="22">
        <v>386</v>
      </c>
      <c r="J394" s="7" t="str">
        <f t="shared" si="12"/>
        <v>1.386</v>
      </c>
    </row>
    <row r="395" spans="1:10" s="7" customFormat="1" ht="47.25">
      <c r="A395" s="1265" t="s">
        <v>492</v>
      </c>
      <c r="B395" s="8" t="s">
        <v>2938</v>
      </c>
      <c r="C395" s="157" t="s">
        <v>2490</v>
      </c>
      <c r="D395" s="158">
        <v>10</v>
      </c>
      <c r="E395" s="159">
        <v>7222.58</v>
      </c>
      <c r="F395" s="158">
        <v>72225.8</v>
      </c>
      <c r="G395" s="160" t="s">
        <v>3378</v>
      </c>
      <c r="H395" s="962" t="str">
        <f t="shared" ref="H395:H458" si="13">G395</f>
        <v>01510CC11G
未達8小時適用</v>
      </c>
      <c r="I395" s="22">
        <v>387</v>
      </c>
      <c r="J395" s="7" t="str">
        <f t="shared" si="12"/>
        <v>1.387</v>
      </c>
    </row>
    <row r="396" spans="1:10" s="7" customFormat="1" ht="47.25">
      <c r="A396" s="1265" t="s">
        <v>493</v>
      </c>
      <c r="B396" s="8" t="s">
        <v>3379</v>
      </c>
      <c r="C396" s="157" t="s">
        <v>2490</v>
      </c>
      <c r="D396" s="158">
        <v>10</v>
      </c>
      <c r="E396" s="159">
        <v>10759.16</v>
      </c>
      <c r="F396" s="158">
        <v>107591.6</v>
      </c>
      <c r="G396" s="160" t="s">
        <v>3380</v>
      </c>
      <c r="H396" s="962" t="str">
        <f t="shared" si="13"/>
        <v>01510CC12G
未達8小時適用</v>
      </c>
      <c r="I396" s="22">
        <v>388</v>
      </c>
      <c r="J396" s="7" t="str">
        <f t="shared" si="12"/>
        <v>1.388</v>
      </c>
    </row>
    <row r="397" spans="1:10" s="7" customFormat="1" ht="47.25">
      <c r="A397" s="1265" t="s">
        <v>494</v>
      </c>
      <c r="B397" s="8" t="s">
        <v>4758</v>
      </c>
      <c r="C397" s="157" t="s">
        <v>2490</v>
      </c>
      <c r="D397" s="158">
        <v>10</v>
      </c>
      <c r="E397" s="159">
        <v>14943.28</v>
      </c>
      <c r="F397" s="158">
        <v>149432.79999999999</v>
      </c>
      <c r="G397" s="160" t="s">
        <v>4759</v>
      </c>
      <c r="H397" s="962" t="str">
        <f t="shared" si="13"/>
        <v>01510CC13G
未達8小時適用</v>
      </c>
      <c r="I397" s="22">
        <v>389</v>
      </c>
      <c r="J397" s="7" t="str">
        <f t="shared" si="12"/>
        <v>1.389</v>
      </c>
    </row>
    <row r="398" spans="1:10" s="7" customFormat="1" ht="42.75">
      <c r="A398" s="1265" t="s">
        <v>495</v>
      </c>
      <c r="B398" s="8" t="s">
        <v>2489</v>
      </c>
      <c r="C398" s="157" t="s">
        <v>2490</v>
      </c>
      <c r="D398" s="158">
        <v>5</v>
      </c>
      <c r="E398" s="159">
        <v>3112.19</v>
      </c>
      <c r="F398" s="158">
        <v>15560.95</v>
      </c>
      <c r="G398" s="160" t="s">
        <v>4760</v>
      </c>
      <c r="H398" s="962" t="str">
        <f t="shared" si="13"/>
        <v xml:space="preserve">0221071026
分析表311_x000D_
</v>
      </c>
      <c r="I398" s="22">
        <v>390</v>
      </c>
      <c r="J398" s="7" t="str">
        <f t="shared" si="12"/>
        <v>1.390</v>
      </c>
    </row>
    <row r="399" spans="1:10" s="7" customFormat="1" ht="42.75">
      <c r="A399" s="1265" t="s">
        <v>496</v>
      </c>
      <c r="B399" s="8" t="s">
        <v>2497</v>
      </c>
      <c r="C399" s="157" t="s">
        <v>2490</v>
      </c>
      <c r="D399" s="158">
        <v>5</v>
      </c>
      <c r="E399" s="159">
        <v>779.04</v>
      </c>
      <c r="F399" s="158">
        <v>3895.2</v>
      </c>
      <c r="G399" s="160" t="s">
        <v>4761</v>
      </c>
      <c r="H399" s="962" t="str">
        <f t="shared" si="13"/>
        <v xml:space="preserve">0221071123
分析表312_x000D_
</v>
      </c>
      <c r="I399" s="22">
        <v>391</v>
      </c>
      <c r="J399" s="7" t="str">
        <f t="shared" si="12"/>
        <v>1.391</v>
      </c>
    </row>
    <row r="400" spans="1:10" s="7" customFormat="1" ht="42.75">
      <c r="A400" s="1265" t="s">
        <v>497</v>
      </c>
      <c r="B400" s="8" t="s">
        <v>2506</v>
      </c>
      <c r="C400" s="157" t="s">
        <v>2490</v>
      </c>
      <c r="D400" s="158">
        <v>5</v>
      </c>
      <c r="E400" s="159">
        <v>4231.9399999999996</v>
      </c>
      <c r="F400" s="158">
        <v>21159.7</v>
      </c>
      <c r="G400" s="160" t="s">
        <v>4762</v>
      </c>
      <c r="H400" s="962" t="str">
        <f t="shared" si="13"/>
        <v xml:space="preserve">0221072026
分析表313_x000D_
</v>
      </c>
      <c r="I400" s="22">
        <v>392</v>
      </c>
      <c r="J400" s="7" t="str">
        <f t="shared" si="12"/>
        <v>1.392</v>
      </c>
    </row>
    <row r="401" spans="1:10" s="7" customFormat="1" ht="42.75">
      <c r="A401" s="1265" t="s">
        <v>498</v>
      </c>
      <c r="B401" s="8" t="s">
        <v>2509</v>
      </c>
      <c r="C401" s="157" t="s">
        <v>2490</v>
      </c>
      <c r="D401" s="158">
        <v>5</v>
      </c>
      <c r="E401" s="159">
        <v>1352.86</v>
      </c>
      <c r="F401" s="158">
        <v>6764.3</v>
      </c>
      <c r="G401" s="160" t="s">
        <v>4763</v>
      </c>
      <c r="H401" s="962" t="str">
        <f t="shared" si="13"/>
        <v xml:space="preserve">0221072123
分析表314_x000D_
</v>
      </c>
      <c r="I401" s="22">
        <v>393</v>
      </c>
      <c r="J401" s="7" t="str">
        <f t="shared" si="12"/>
        <v>1.393</v>
      </c>
    </row>
    <row r="402" spans="1:10" s="7" customFormat="1" ht="31.5">
      <c r="A402" s="1265" t="s">
        <v>499</v>
      </c>
      <c r="B402" s="8" t="s">
        <v>3385</v>
      </c>
      <c r="C402" s="157" t="s">
        <v>2238</v>
      </c>
      <c r="D402" s="158">
        <v>5</v>
      </c>
      <c r="E402" s="159">
        <v>251.05</v>
      </c>
      <c r="F402" s="158">
        <v>1255.25</v>
      </c>
      <c r="G402" s="160" t="s">
        <v>3386</v>
      </c>
      <c r="H402" s="962" t="str">
        <f t="shared" si="13"/>
        <v xml:space="preserve">0221092102
</v>
      </c>
      <c r="I402" s="22">
        <v>394</v>
      </c>
      <c r="J402" s="7" t="str">
        <f t="shared" si="12"/>
        <v>1.394</v>
      </c>
    </row>
    <row r="403" spans="1:10" s="7" customFormat="1" ht="31.5">
      <c r="A403" s="1265" t="s">
        <v>521</v>
      </c>
      <c r="B403" s="8" t="s">
        <v>3387</v>
      </c>
      <c r="C403" s="157" t="s">
        <v>2238</v>
      </c>
      <c r="D403" s="158">
        <v>5</v>
      </c>
      <c r="E403" s="159">
        <v>121.04</v>
      </c>
      <c r="F403" s="158">
        <v>605.20000000000005</v>
      </c>
      <c r="G403" s="160" t="s">
        <v>3388</v>
      </c>
      <c r="H403" s="962" t="str">
        <f t="shared" si="13"/>
        <v xml:space="preserve">0221092202
</v>
      </c>
      <c r="I403" s="22">
        <v>395</v>
      </c>
      <c r="J403" s="7" t="str">
        <f t="shared" si="12"/>
        <v>1.395</v>
      </c>
    </row>
    <row r="404" spans="1:10" s="7" customFormat="1" ht="42.75">
      <c r="A404" s="1265" t="s">
        <v>522</v>
      </c>
      <c r="B404" s="8" t="s">
        <v>2512</v>
      </c>
      <c r="C404" s="157" t="s">
        <v>2238</v>
      </c>
      <c r="D404" s="158">
        <v>5</v>
      </c>
      <c r="E404" s="159">
        <v>22525.11</v>
      </c>
      <c r="F404" s="158">
        <v>112625.55</v>
      </c>
      <c r="G404" s="160" t="s">
        <v>4764</v>
      </c>
      <c r="H404" s="962" t="str">
        <f t="shared" si="13"/>
        <v xml:space="preserve">0151113021
分析表315_x000D_
</v>
      </c>
      <c r="I404" s="22">
        <v>396</v>
      </c>
      <c r="J404" s="7" t="str">
        <f t="shared" si="12"/>
        <v>1.396</v>
      </c>
    </row>
    <row r="405" spans="1:10" s="7" customFormat="1" ht="42.75">
      <c r="A405" s="1265" t="s">
        <v>523</v>
      </c>
      <c r="B405" s="8" t="s">
        <v>2515</v>
      </c>
      <c r="C405" s="157" t="s">
        <v>2238</v>
      </c>
      <c r="D405" s="158">
        <v>5</v>
      </c>
      <c r="E405" s="159">
        <v>32736.78</v>
      </c>
      <c r="F405" s="158">
        <v>163683.9</v>
      </c>
      <c r="G405" s="160" t="s">
        <v>4765</v>
      </c>
      <c r="H405" s="962" t="str">
        <f t="shared" si="13"/>
        <v xml:space="preserve">0151113221
分析表316_x000D_
</v>
      </c>
      <c r="I405" s="22">
        <v>397</v>
      </c>
      <c r="J405" s="7" t="str">
        <f t="shared" si="12"/>
        <v>1.397</v>
      </c>
    </row>
    <row r="406" spans="1:10" s="7" customFormat="1" ht="47.25">
      <c r="A406" s="1265" t="s">
        <v>524</v>
      </c>
      <c r="B406" s="8" t="s">
        <v>2518</v>
      </c>
      <c r="C406" s="157" t="s">
        <v>2238</v>
      </c>
      <c r="D406" s="158">
        <v>5</v>
      </c>
      <c r="E406" s="159">
        <v>10819.24</v>
      </c>
      <c r="F406" s="158">
        <v>54096.2</v>
      </c>
      <c r="G406" s="160" t="s">
        <v>4766</v>
      </c>
      <c r="H406" s="962" t="str">
        <f t="shared" si="13"/>
        <v xml:space="preserve">02742000S3
分析表317_x000D_
</v>
      </c>
      <c r="I406" s="22">
        <v>398</v>
      </c>
      <c r="J406" s="7" t="str">
        <f t="shared" si="12"/>
        <v>1.398</v>
      </c>
    </row>
    <row r="407" spans="1:10" s="7" customFormat="1" ht="47.25">
      <c r="A407" s="1265" t="s">
        <v>525</v>
      </c>
      <c r="B407" s="8" t="s">
        <v>2527</v>
      </c>
      <c r="C407" s="157" t="s">
        <v>2238</v>
      </c>
      <c r="D407" s="158">
        <v>5</v>
      </c>
      <c r="E407" s="159">
        <v>20485.13</v>
      </c>
      <c r="F407" s="158">
        <v>102425.65</v>
      </c>
      <c r="G407" s="160" t="s">
        <v>4767</v>
      </c>
      <c r="H407" s="962" t="str">
        <f t="shared" si="13"/>
        <v xml:space="preserve">0274200BS3
分析表318_x000D_
</v>
      </c>
      <c r="I407" s="22">
        <v>399</v>
      </c>
      <c r="J407" s="7" t="str">
        <f t="shared" si="12"/>
        <v>1.399</v>
      </c>
    </row>
    <row r="408" spans="1:10" s="7" customFormat="1" ht="47.25">
      <c r="A408" s="1265" t="s">
        <v>526</v>
      </c>
      <c r="B408" s="8" t="s">
        <v>2530</v>
      </c>
      <c r="C408" s="157" t="s">
        <v>2238</v>
      </c>
      <c r="D408" s="158">
        <v>2</v>
      </c>
      <c r="E408" s="159">
        <v>16417.66</v>
      </c>
      <c r="F408" s="158">
        <v>32835.32</v>
      </c>
      <c r="G408" s="160" t="s">
        <v>4768</v>
      </c>
      <c r="H408" s="962" t="str">
        <f t="shared" si="13"/>
        <v xml:space="preserve">0274200NS3
分析表319_x000D_
</v>
      </c>
      <c r="I408" s="22">
        <v>400</v>
      </c>
      <c r="J408" s="7" t="str">
        <f t="shared" si="12"/>
        <v>1.400</v>
      </c>
    </row>
    <row r="409" spans="1:10" s="7" customFormat="1" ht="47.25">
      <c r="A409" s="1265" t="s">
        <v>527</v>
      </c>
      <c r="B409" s="8" t="s">
        <v>2537</v>
      </c>
      <c r="C409" s="157" t="s">
        <v>2238</v>
      </c>
      <c r="D409" s="158">
        <v>2</v>
      </c>
      <c r="E409" s="159">
        <v>30528.66</v>
      </c>
      <c r="F409" s="158">
        <v>61057.32</v>
      </c>
      <c r="G409" s="160" t="s">
        <v>4769</v>
      </c>
      <c r="H409" s="962" t="str">
        <f t="shared" si="13"/>
        <v xml:space="preserve">027420BNS3
分析表320_x000D_
</v>
      </c>
      <c r="I409" s="22">
        <v>401</v>
      </c>
      <c r="J409" s="7" t="str">
        <f t="shared" si="12"/>
        <v>1.401</v>
      </c>
    </row>
    <row r="410" spans="1:10" s="7" customFormat="1" ht="63">
      <c r="A410" s="1265" t="s">
        <v>528</v>
      </c>
      <c r="B410" s="8" t="s">
        <v>2896</v>
      </c>
      <c r="C410" s="157" t="s">
        <v>0</v>
      </c>
      <c r="D410" s="158">
        <v>10</v>
      </c>
      <c r="E410" s="159">
        <v>7252.47</v>
      </c>
      <c r="F410" s="158">
        <v>72524.7</v>
      </c>
      <c r="G410" s="160" t="s">
        <v>4770</v>
      </c>
      <c r="H410" s="962" t="str">
        <f t="shared" si="13"/>
        <v xml:space="preserve">02742040B3
分析表321_x000D_
</v>
      </c>
      <c r="I410" s="22">
        <v>402</v>
      </c>
      <c r="J410" s="7" t="str">
        <f t="shared" si="12"/>
        <v>1.402</v>
      </c>
    </row>
    <row r="411" spans="1:10" ht="63">
      <c r="A411" s="1265" t="s">
        <v>2881</v>
      </c>
      <c r="B411" s="8" t="s">
        <v>2971</v>
      </c>
      <c r="C411" s="157" t="s">
        <v>0</v>
      </c>
      <c r="D411" s="158">
        <v>10</v>
      </c>
      <c r="E411" s="159">
        <v>7315.23</v>
      </c>
      <c r="F411" s="158">
        <v>73152.3</v>
      </c>
      <c r="G411" s="160" t="s">
        <v>4771</v>
      </c>
      <c r="H411" s="962" t="str">
        <f t="shared" si="13"/>
        <v xml:space="preserve">02742050B3
分析表322_x000D_
</v>
      </c>
      <c r="I411" s="22">
        <v>403</v>
      </c>
      <c r="J411" t="str">
        <f t="shared" si="12"/>
        <v>1.403</v>
      </c>
    </row>
    <row r="412" spans="1:10" ht="47.25">
      <c r="A412" s="1265" t="s">
        <v>2882</v>
      </c>
      <c r="B412" s="8" t="s">
        <v>2547</v>
      </c>
      <c r="C412" s="157" t="s">
        <v>0</v>
      </c>
      <c r="D412" s="158">
        <v>10</v>
      </c>
      <c r="E412" s="159">
        <v>6347.49</v>
      </c>
      <c r="F412" s="158">
        <v>63474.9</v>
      </c>
      <c r="G412" s="160" t="s">
        <v>4772</v>
      </c>
      <c r="H412" s="962" t="str">
        <f t="shared" si="13"/>
        <v xml:space="preserve">02742D3003
分析表323_x000D_
</v>
      </c>
      <c r="I412" s="22">
        <v>404</v>
      </c>
      <c r="J412" t="str">
        <f t="shared" si="12"/>
        <v>1.404</v>
      </c>
    </row>
    <row r="413" spans="1:10" ht="47.25">
      <c r="A413" s="1265" t="s">
        <v>3662</v>
      </c>
      <c r="B413" s="8" t="s">
        <v>2550</v>
      </c>
      <c r="C413" s="157" t="s">
        <v>0</v>
      </c>
      <c r="D413" s="158">
        <v>10</v>
      </c>
      <c r="E413" s="159">
        <v>6716.88</v>
      </c>
      <c r="F413" s="158">
        <v>67168.800000000003</v>
      </c>
      <c r="G413" s="160" t="s">
        <v>4773</v>
      </c>
      <c r="H413" s="962" t="str">
        <f t="shared" si="13"/>
        <v xml:space="preserve">02742D5003
分析表324_x000D_
</v>
      </c>
      <c r="I413" s="22">
        <v>405</v>
      </c>
      <c r="J413" t="str">
        <f t="shared" si="12"/>
        <v>1.405</v>
      </c>
    </row>
    <row r="414" spans="1:10" ht="63">
      <c r="A414" s="1265" t="s">
        <v>3663</v>
      </c>
      <c r="B414" s="8" t="s">
        <v>2553</v>
      </c>
      <c r="C414" s="157" t="s">
        <v>0</v>
      </c>
      <c r="D414" s="158">
        <v>10</v>
      </c>
      <c r="E414" s="159">
        <v>7106.8</v>
      </c>
      <c r="F414" s="158">
        <v>71068</v>
      </c>
      <c r="G414" s="160" t="s">
        <v>4774</v>
      </c>
      <c r="H414" s="962" t="str">
        <f t="shared" si="13"/>
        <v xml:space="preserve">0274293G03
分析表325_x000D_
</v>
      </c>
      <c r="I414" s="22">
        <v>406</v>
      </c>
      <c r="J414" t="str">
        <f t="shared" si="12"/>
        <v>1.406</v>
      </c>
    </row>
    <row r="415" spans="1:10" ht="47.25">
      <c r="A415" s="1265" t="s">
        <v>3664</v>
      </c>
      <c r="B415" s="8" t="s">
        <v>2556</v>
      </c>
      <c r="C415" s="157" t="s">
        <v>2238</v>
      </c>
      <c r="D415" s="158">
        <v>2</v>
      </c>
      <c r="E415" s="159">
        <v>16561.349999999999</v>
      </c>
      <c r="F415" s="158">
        <v>33122.699999999997</v>
      </c>
      <c r="G415" s="160" t="s">
        <v>4775</v>
      </c>
      <c r="H415" s="962" t="str">
        <f t="shared" si="13"/>
        <v xml:space="preserve">0296150001
分析表326_x000D_
</v>
      </c>
      <c r="I415" s="22">
        <v>407</v>
      </c>
      <c r="J415" t="str">
        <f t="shared" si="12"/>
        <v>1.407</v>
      </c>
    </row>
    <row r="416" spans="1:10" ht="63">
      <c r="A416" s="1265" t="s">
        <v>3665</v>
      </c>
      <c r="B416" s="8" t="s">
        <v>2561</v>
      </c>
      <c r="C416" s="157" t="s">
        <v>2238</v>
      </c>
      <c r="D416" s="158">
        <v>2</v>
      </c>
      <c r="E416" s="159">
        <v>23313.08</v>
      </c>
      <c r="F416" s="158">
        <v>46626.16</v>
      </c>
      <c r="G416" s="160" t="s">
        <v>4776</v>
      </c>
      <c r="H416" s="962" t="str">
        <f t="shared" si="13"/>
        <v xml:space="preserve">0296150N01
分析表327_x000D_
</v>
      </c>
      <c r="I416" s="22">
        <v>408</v>
      </c>
      <c r="J416" t="str">
        <f t="shared" si="12"/>
        <v>1.408</v>
      </c>
    </row>
    <row r="417" spans="1:10" ht="42.75">
      <c r="A417" s="1265" t="s">
        <v>3666</v>
      </c>
      <c r="B417" s="8" t="s">
        <v>2570</v>
      </c>
      <c r="C417" s="157" t="s">
        <v>17</v>
      </c>
      <c r="D417" s="158">
        <v>5</v>
      </c>
      <c r="E417" s="159">
        <v>6547</v>
      </c>
      <c r="F417" s="158">
        <v>32735</v>
      </c>
      <c r="G417" s="160" t="s">
        <v>4777</v>
      </c>
      <c r="H417" s="962" t="str">
        <f t="shared" si="13"/>
        <v xml:space="preserve">0250111111
分析表328_x000D_
</v>
      </c>
      <c r="I417" s="22">
        <v>409</v>
      </c>
      <c r="J417" t="str">
        <f t="shared" si="12"/>
        <v>1.409</v>
      </c>
    </row>
    <row r="418" spans="1:10" ht="42.75">
      <c r="A418" s="1265" t="s">
        <v>3667</v>
      </c>
      <c r="B418" s="8" t="s">
        <v>2577</v>
      </c>
      <c r="C418" s="157" t="s">
        <v>17</v>
      </c>
      <c r="D418" s="158">
        <v>5</v>
      </c>
      <c r="E418" s="159">
        <v>7142.78</v>
      </c>
      <c r="F418" s="158">
        <v>35713.9</v>
      </c>
      <c r="G418" s="160" t="s">
        <v>4778</v>
      </c>
      <c r="H418" s="962" t="str">
        <f t="shared" si="13"/>
        <v xml:space="preserve">0250111121
分析表329_x000D_
</v>
      </c>
      <c r="I418" s="22">
        <v>410</v>
      </c>
      <c r="J418" t="str">
        <f t="shared" si="12"/>
        <v>1.410</v>
      </c>
    </row>
    <row r="419" spans="1:10" ht="42.75">
      <c r="A419" s="1265" t="s">
        <v>3668</v>
      </c>
      <c r="B419" s="8" t="s">
        <v>2584</v>
      </c>
      <c r="C419" s="157" t="s">
        <v>17</v>
      </c>
      <c r="D419" s="158">
        <v>5</v>
      </c>
      <c r="E419" s="159">
        <v>8143.04</v>
      </c>
      <c r="F419" s="158">
        <v>40715.199999999997</v>
      </c>
      <c r="G419" s="160" t="s">
        <v>4779</v>
      </c>
      <c r="H419" s="962" t="str">
        <f t="shared" si="13"/>
        <v xml:space="preserve">0250111211
分析表330_x000D_
</v>
      </c>
      <c r="I419" s="22">
        <v>411</v>
      </c>
      <c r="J419" t="str">
        <f t="shared" si="12"/>
        <v>1.411</v>
      </c>
    </row>
    <row r="420" spans="1:10" ht="42.75">
      <c r="A420" s="1265" t="s">
        <v>3976</v>
      </c>
      <c r="B420" s="8" t="s">
        <v>2587</v>
      </c>
      <c r="C420" s="157" t="s">
        <v>17</v>
      </c>
      <c r="D420" s="158">
        <v>5</v>
      </c>
      <c r="E420" s="159">
        <v>8985.49</v>
      </c>
      <c r="F420" s="158">
        <v>44927.45</v>
      </c>
      <c r="G420" s="160" t="s">
        <v>4780</v>
      </c>
      <c r="H420" s="962" t="str">
        <f t="shared" si="13"/>
        <v xml:space="preserve">0250111221
分析表331_x000D_
</v>
      </c>
      <c r="I420" s="22">
        <v>412</v>
      </c>
      <c r="J420" t="str">
        <f t="shared" si="12"/>
        <v>1.412</v>
      </c>
    </row>
    <row r="421" spans="1:10" ht="42.75">
      <c r="A421" s="1265" t="s">
        <v>3977</v>
      </c>
      <c r="B421" s="8" t="s">
        <v>2590</v>
      </c>
      <c r="C421" s="157" t="s">
        <v>17</v>
      </c>
      <c r="D421" s="158">
        <v>5</v>
      </c>
      <c r="E421" s="159">
        <v>9559.0400000000009</v>
      </c>
      <c r="F421" s="158">
        <v>47795.199999999997</v>
      </c>
      <c r="G421" s="160" t="s">
        <v>4781</v>
      </c>
      <c r="H421" s="962" t="str">
        <f t="shared" si="13"/>
        <v xml:space="preserve">0250111311
分析表332_x000D_
</v>
      </c>
      <c r="I421" s="22">
        <v>413</v>
      </c>
      <c r="J421" t="str">
        <f t="shared" si="12"/>
        <v>1.413</v>
      </c>
    </row>
    <row r="422" spans="1:10" ht="42.75">
      <c r="A422" s="1265" t="s">
        <v>3978</v>
      </c>
      <c r="B422" s="8" t="s">
        <v>2593</v>
      </c>
      <c r="C422" s="157" t="s">
        <v>17</v>
      </c>
      <c r="D422" s="158">
        <v>5</v>
      </c>
      <c r="E422" s="159">
        <v>10648.15</v>
      </c>
      <c r="F422" s="158">
        <v>53240.75</v>
      </c>
      <c r="G422" s="160" t="s">
        <v>4782</v>
      </c>
      <c r="H422" s="962" t="str">
        <f t="shared" si="13"/>
        <v xml:space="preserve">0250111321
分析表333_x000D_
</v>
      </c>
      <c r="I422" s="22">
        <v>414</v>
      </c>
      <c r="J422" t="str">
        <f t="shared" si="12"/>
        <v>1.414</v>
      </c>
    </row>
    <row r="423" spans="1:10" ht="42.75">
      <c r="A423" s="1265" t="s">
        <v>4783</v>
      </c>
      <c r="B423" s="8" t="s">
        <v>2596</v>
      </c>
      <c r="C423" s="157" t="s">
        <v>17</v>
      </c>
      <c r="D423" s="158">
        <v>5</v>
      </c>
      <c r="E423" s="159">
        <v>15183.43</v>
      </c>
      <c r="F423" s="158">
        <v>75917.149999999994</v>
      </c>
      <c r="G423" s="160" t="s">
        <v>4784</v>
      </c>
      <c r="H423" s="962" t="str">
        <f t="shared" si="13"/>
        <v xml:space="preserve">0250112411
分析表334_x000D_
</v>
      </c>
      <c r="I423" s="22">
        <v>415</v>
      </c>
      <c r="J423" t="str">
        <f t="shared" si="12"/>
        <v>1.415</v>
      </c>
    </row>
    <row r="424" spans="1:10" ht="42.75">
      <c r="A424" s="1265" t="s">
        <v>4785</v>
      </c>
      <c r="B424" s="8" t="s">
        <v>2599</v>
      </c>
      <c r="C424" s="157" t="s">
        <v>17</v>
      </c>
      <c r="D424" s="158">
        <v>5</v>
      </c>
      <c r="E424" s="159">
        <v>17319.86</v>
      </c>
      <c r="F424" s="158">
        <v>86599.3</v>
      </c>
      <c r="G424" s="160" t="s">
        <v>4786</v>
      </c>
      <c r="H424" s="962" t="str">
        <f t="shared" si="13"/>
        <v xml:space="preserve">0250112421
分析表335_x000D_
</v>
      </c>
      <c r="I424" s="22">
        <v>416</v>
      </c>
      <c r="J424" t="str">
        <f t="shared" si="12"/>
        <v>1.416</v>
      </c>
    </row>
    <row r="425" spans="1:10" ht="42.75">
      <c r="A425" s="1265" t="s">
        <v>4787</v>
      </c>
      <c r="B425" s="8" t="s">
        <v>2602</v>
      </c>
      <c r="C425" s="157" t="s">
        <v>17</v>
      </c>
      <c r="D425" s="158">
        <v>5</v>
      </c>
      <c r="E425" s="159">
        <v>17160.919999999998</v>
      </c>
      <c r="F425" s="158">
        <v>85804.6</v>
      </c>
      <c r="G425" s="160" t="s">
        <v>4788</v>
      </c>
      <c r="H425" s="962" t="str">
        <f t="shared" si="13"/>
        <v xml:space="preserve">0250112511
分析表336_x000D_
</v>
      </c>
      <c r="I425" s="22">
        <v>417</v>
      </c>
      <c r="J425" t="str">
        <f t="shared" si="12"/>
        <v>1.417</v>
      </c>
    </row>
    <row r="426" spans="1:10" ht="42.75">
      <c r="A426" s="1265" t="s">
        <v>4789</v>
      </c>
      <c r="B426" s="8" t="s">
        <v>2605</v>
      </c>
      <c r="C426" s="157" t="s">
        <v>17</v>
      </c>
      <c r="D426" s="158">
        <v>5</v>
      </c>
      <c r="E426" s="159">
        <v>19692.02</v>
      </c>
      <c r="F426" s="158">
        <v>98460.1</v>
      </c>
      <c r="G426" s="160" t="s">
        <v>4790</v>
      </c>
      <c r="H426" s="962" t="str">
        <f t="shared" si="13"/>
        <v xml:space="preserve">0250112521
分析表337_x000D_
</v>
      </c>
      <c r="I426" s="22">
        <v>418</v>
      </c>
      <c r="J426" t="str">
        <f t="shared" si="12"/>
        <v>1.418</v>
      </c>
    </row>
    <row r="427" spans="1:10" ht="42.75">
      <c r="A427" s="1265" t="s">
        <v>4791</v>
      </c>
      <c r="B427" s="8" t="s">
        <v>2608</v>
      </c>
      <c r="C427" s="157" t="s">
        <v>3</v>
      </c>
      <c r="D427" s="158">
        <v>10</v>
      </c>
      <c r="E427" s="159">
        <v>16.95</v>
      </c>
      <c r="F427" s="158">
        <v>169.5</v>
      </c>
      <c r="G427" s="160" t="s">
        <v>4792</v>
      </c>
      <c r="H427" s="962" t="str">
        <f t="shared" si="13"/>
        <v xml:space="preserve">0172521202
分析表338_x000D_
</v>
      </c>
      <c r="I427" s="22">
        <v>419</v>
      </c>
      <c r="J427" t="str">
        <f t="shared" si="12"/>
        <v>1.419</v>
      </c>
    </row>
    <row r="428" spans="1:10" ht="142.5">
      <c r="A428" s="1265" t="s">
        <v>4793</v>
      </c>
      <c r="B428" s="8" t="s">
        <v>2914</v>
      </c>
      <c r="C428" s="157" t="s">
        <v>2490</v>
      </c>
      <c r="D428" s="158">
        <v>2</v>
      </c>
      <c r="E428" s="159">
        <v>14943.28</v>
      </c>
      <c r="F428" s="158">
        <v>29886.560000000001</v>
      </c>
      <c r="G428" s="160" t="s">
        <v>3413</v>
      </c>
      <c r="H428" s="962" t="str">
        <f t="shared" si="13"/>
        <v>01725W0B5D
1.依雨水下水道設施完工資料測量工作規範辦理。
2.施作暗溝、埋管等工項(過路)，即進行測繪作業，其測繪內容則依規範辦理，單張通報單給付1次。</v>
      </c>
      <c r="I428" s="22">
        <v>420</v>
      </c>
      <c r="J428" t="str">
        <f t="shared" si="12"/>
        <v>1.420</v>
      </c>
    </row>
    <row r="429" spans="1:10" ht="71.25">
      <c r="A429" s="1265" t="s">
        <v>4794</v>
      </c>
      <c r="B429" s="8" t="s">
        <v>2617</v>
      </c>
      <c r="C429" s="157" t="s">
        <v>2618</v>
      </c>
      <c r="D429" s="158">
        <v>10</v>
      </c>
      <c r="E429" s="159">
        <v>765.6</v>
      </c>
      <c r="F429" s="158">
        <v>7656</v>
      </c>
      <c r="G429" s="160" t="s">
        <v>4795</v>
      </c>
      <c r="H429" s="962" t="str">
        <f t="shared" si="13"/>
        <v>013210000B
分析表339_x000D_
含路證申請、回報及配合道路挖掘之相關作業費用</v>
      </c>
      <c r="I429" s="22">
        <v>421</v>
      </c>
      <c r="J429" t="str">
        <f t="shared" si="12"/>
        <v>1.421</v>
      </c>
    </row>
    <row r="430" spans="1:10" ht="71.25">
      <c r="A430" s="1265" t="s">
        <v>4796</v>
      </c>
      <c r="B430" s="8" t="s">
        <v>2626</v>
      </c>
      <c r="C430" s="157" t="s">
        <v>2618</v>
      </c>
      <c r="D430" s="158">
        <v>10</v>
      </c>
      <c r="E430" s="159">
        <v>805.45</v>
      </c>
      <c r="F430" s="158">
        <v>8054.5</v>
      </c>
      <c r="G430" s="160" t="s">
        <v>4797</v>
      </c>
      <c r="H430" s="962" t="str">
        <f t="shared" si="13"/>
        <v>013210100b
分析表340_x000D_
含路證申請、回報及配合道路挖掘之相關作業費用</v>
      </c>
      <c r="I430" s="22">
        <v>422</v>
      </c>
      <c r="J430" t="str">
        <f t="shared" si="12"/>
        <v>1.422</v>
      </c>
    </row>
    <row r="431" spans="1:10" ht="42.75">
      <c r="A431" s="1265" t="s">
        <v>4798</v>
      </c>
      <c r="B431" s="8" t="s">
        <v>2631</v>
      </c>
      <c r="C431" s="157" t="s">
        <v>17</v>
      </c>
      <c r="D431" s="158">
        <v>1</v>
      </c>
      <c r="E431" s="159">
        <v>3648.39</v>
      </c>
      <c r="F431" s="158">
        <v>3648.39</v>
      </c>
      <c r="G431" s="160" t="s">
        <v>4799</v>
      </c>
      <c r="H431" s="962" t="str">
        <f t="shared" si="13"/>
        <v>01564L4001
分析表341_x000D_
高度2.4m</v>
      </c>
      <c r="I431" s="22">
        <v>423</v>
      </c>
      <c r="J431" t="str">
        <f t="shared" si="12"/>
        <v>1.423</v>
      </c>
    </row>
    <row r="432" spans="1:10" ht="42.75">
      <c r="A432" s="1265" t="s">
        <v>4800</v>
      </c>
      <c r="B432" s="8" t="s">
        <v>2642</v>
      </c>
      <c r="C432" s="157" t="s">
        <v>17</v>
      </c>
      <c r="D432" s="158">
        <v>1</v>
      </c>
      <c r="E432" s="159">
        <v>2568.46</v>
      </c>
      <c r="F432" s="158">
        <v>2568.46</v>
      </c>
      <c r="G432" s="160" t="s">
        <v>4801</v>
      </c>
      <c r="H432" s="962" t="str">
        <f t="shared" si="13"/>
        <v>01564C4001
分析表342_x000D_
高度2.4m</v>
      </c>
      <c r="I432" s="22">
        <v>424</v>
      </c>
      <c r="J432" t="str">
        <f t="shared" si="12"/>
        <v>1.424</v>
      </c>
    </row>
    <row r="433" spans="1:10" ht="47.25">
      <c r="A433" s="1265" t="s">
        <v>4802</v>
      </c>
      <c r="B433" s="8" t="s">
        <v>3418</v>
      </c>
      <c r="C433" s="157" t="s">
        <v>3</v>
      </c>
      <c r="D433" s="158">
        <v>10</v>
      </c>
      <c r="E433" s="159">
        <v>351.67</v>
      </c>
      <c r="F433" s="158">
        <v>3516.7</v>
      </c>
      <c r="G433" s="160" t="s">
        <v>3419</v>
      </c>
      <c r="H433" s="962" t="str">
        <f t="shared" si="13"/>
        <v>015640B002
需經審查後設置</v>
      </c>
      <c r="I433" s="22">
        <v>425</v>
      </c>
      <c r="J433" t="str">
        <f t="shared" si="12"/>
        <v>1.425</v>
      </c>
    </row>
    <row r="434" spans="1:10" ht="71.25">
      <c r="A434" s="1265" t="s">
        <v>4803</v>
      </c>
      <c r="B434" s="8" t="s">
        <v>3420</v>
      </c>
      <c r="C434" s="157" t="s">
        <v>2490</v>
      </c>
      <c r="D434" s="158">
        <v>4</v>
      </c>
      <c r="E434" s="159">
        <v>4981.09</v>
      </c>
      <c r="F434" s="158">
        <v>19924.36</v>
      </c>
      <c r="G434" s="160" t="s">
        <v>3421</v>
      </c>
      <c r="H434" s="962" t="str">
        <f t="shared" si="13"/>
        <v>01510B000G
# 使用10次,適用於從事缺氧危險之作業(例箱涵或密閉環境中作業)</v>
      </c>
      <c r="I434" s="22">
        <v>426</v>
      </c>
      <c r="J434" t="str">
        <f t="shared" si="12"/>
        <v>1.426</v>
      </c>
    </row>
    <row r="435" spans="1:10" ht="31.5">
      <c r="A435" s="1265" t="s">
        <v>4804</v>
      </c>
      <c r="B435" s="8" t="s">
        <v>3655</v>
      </c>
      <c r="C435" s="157" t="s">
        <v>3</v>
      </c>
      <c r="D435" s="158">
        <v>20</v>
      </c>
      <c r="E435" s="159">
        <v>59.65</v>
      </c>
      <c r="F435" s="158">
        <v>1193</v>
      </c>
      <c r="G435" s="160" t="s">
        <v>3656</v>
      </c>
      <c r="H435" s="962" t="str">
        <f t="shared" si="13"/>
        <v xml:space="preserve">0280133302
</v>
      </c>
      <c r="I435" s="22">
        <v>427</v>
      </c>
      <c r="J435" t="str">
        <f t="shared" si="12"/>
        <v>1.427</v>
      </c>
    </row>
    <row r="436" spans="1:10" ht="42.75">
      <c r="A436" s="1265" t="s">
        <v>4805</v>
      </c>
      <c r="B436" s="8" t="s">
        <v>3657</v>
      </c>
      <c r="C436" s="157" t="s">
        <v>3658</v>
      </c>
      <c r="D436" s="158">
        <v>2</v>
      </c>
      <c r="E436" s="159">
        <v>2625.79</v>
      </c>
      <c r="F436" s="158">
        <v>5251.58</v>
      </c>
      <c r="G436" s="160" t="s">
        <v>4806</v>
      </c>
      <c r="H436" s="962" t="str">
        <f t="shared" si="13"/>
        <v xml:space="preserve">015103100C
分析表343_x000D_
</v>
      </c>
      <c r="I436" s="22">
        <v>428</v>
      </c>
      <c r="J436" t="str">
        <f t="shared" si="12"/>
        <v>1.428</v>
      </c>
    </row>
    <row r="437" spans="1:10" ht="31.5">
      <c r="A437" s="1265" t="s">
        <v>4807</v>
      </c>
      <c r="B437" s="8" t="s">
        <v>2860</v>
      </c>
      <c r="C437" s="157" t="s">
        <v>927</v>
      </c>
      <c r="D437" s="158">
        <v>20</v>
      </c>
      <c r="E437" s="159">
        <v>280</v>
      </c>
      <c r="F437" s="158">
        <v>5600</v>
      </c>
      <c r="G437" s="160" t="s">
        <v>3422</v>
      </c>
      <c r="H437" s="962" t="str">
        <f t="shared" si="13"/>
        <v>L015566G01001
[人力工項不打折]</v>
      </c>
      <c r="I437" s="22">
        <v>429</v>
      </c>
      <c r="J437" t="str">
        <f t="shared" si="12"/>
        <v>1.429</v>
      </c>
    </row>
    <row r="438" spans="1:10" ht="31.5">
      <c r="A438" s="1265" t="s">
        <v>4808</v>
      </c>
      <c r="B438" s="8" t="s">
        <v>3423</v>
      </c>
      <c r="C438" s="157" t="s">
        <v>927</v>
      </c>
      <c r="D438" s="158">
        <v>20</v>
      </c>
      <c r="E438" s="159">
        <v>350</v>
      </c>
      <c r="F438" s="158">
        <v>7000</v>
      </c>
      <c r="G438" s="160" t="s">
        <v>3424</v>
      </c>
      <c r="H438" s="962" t="str">
        <f t="shared" si="13"/>
        <v>L015566G02001
[人力工項不打折]</v>
      </c>
      <c r="I438" s="22">
        <v>430</v>
      </c>
      <c r="J438" t="str">
        <f t="shared" si="12"/>
        <v>1.430</v>
      </c>
    </row>
    <row r="439" spans="1:10" ht="31.5">
      <c r="A439" s="1265" t="s">
        <v>4809</v>
      </c>
      <c r="B439" s="8" t="s">
        <v>3425</v>
      </c>
      <c r="C439" s="157" t="s">
        <v>2490</v>
      </c>
      <c r="D439" s="158">
        <v>1</v>
      </c>
      <c r="E439" s="159">
        <v>49810.92</v>
      </c>
      <c r="F439" s="158">
        <v>49810.92</v>
      </c>
      <c r="G439" s="160" t="s">
        <v>3426</v>
      </c>
      <c r="H439" s="962" t="str">
        <f t="shared" si="13"/>
        <v xml:space="preserve">01556D300F
</v>
      </c>
      <c r="I439" s="22">
        <v>431</v>
      </c>
      <c r="J439" t="str">
        <f t="shared" si="12"/>
        <v>1.431</v>
      </c>
    </row>
    <row r="440" spans="1:10" ht="42.75">
      <c r="A440" s="1265" t="s">
        <v>4810</v>
      </c>
      <c r="B440" s="8" t="s">
        <v>2653</v>
      </c>
      <c r="C440" s="157" t="s">
        <v>17</v>
      </c>
      <c r="D440" s="158">
        <v>100</v>
      </c>
      <c r="E440" s="159">
        <v>292.63</v>
      </c>
      <c r="F440" s="158">
        <v>29263</v>
      </c>
      <c r="G440" s="160" t="s">
        <v>4811</v>
      </c>
      <c r="H440" s="962" t="str">
        <f t="shared" si="13"/>
        <v xml:space="preserve">01556H1001
分析表344_x000D_
</v>
      </c>
      <c r="I440" s="22">
        <v>432</v>
      </c>
      <c r="J440" t="str">
        <f t="shared" si="12"/>
        <v>1.432</v>
      </c>
    </row>
    <row r="441" spans="1:10" ht="42.75">
      <c r="A441" s="1265" t="s">
        <v>4812</v>
      </c>
      <c r="B441" s="8" t="s">
        <v>2663</v>
      </c>
      <c r="C441" s="157" t="s">
        <v>17</v>
      </c>
      <c r="D441" s="158">
        <v>50</v>
      </c>
      <c r="E441" s="159">
        <v>254.34</v>
      </c>
      <c r="F441" s="158">
        <v>12717</v>
      </c>
      <c r="G441" s="160" t="s">
        <v>4813</v>
      </c>
      <c r="H441" s="962" t="str">
        <f t="shared" si="13"/>
        <v>01556C00A1
分析表345_x000D_
使用10次</v>
      </c>
      <c r="I441" s="22">
        <v>433</v>
      </c>
      <c r="J441" t="str">
        <f t="shared" si="12"/>
        <v>1.433</v>
      </c>
    </row>
    <row r="442" spans="1:10" ht="42.75">
      <c r="A442" s="1265" t="s">
        <v>4814</v>
      </c>
      <c r="B442" s="8" t="s">
        <v>2670</v>
      </c>
      <c r="C442" s="157" t="s">
        <v>3</v>
      </c>
      <c r="D442" s="158">
        <v>1</v>
      </c>
      <c r="E442" s="159">
        <v>1188.74</v>
      </c>
      <c r="F442" s="158">
        <v>1188.74</v>
      </c>
      <c r="G442" s="160" t="s">
        <v>4815</v>
      </c>
      <c r="H442" s="962" t="str">
        <f t="shared" si="13"/>
        <v xml:space="preserve">0289190002
分析表346_x000D_
</v>
      </c>
      <c r="I442" s="22">
        <v>434</v>
      </c>
      <c r="J442" t="str">
        <f t="shared" si="12"/>
        <v>1.434</v>
      </c>
    </row>
    <row r="443" spans="1:10" ht="42.75">
      <c r="A443" s="1265" t="s">
        <v>4816</v>
      </c>
      <c r="B443" s="8" t="s">
        <v>2678</v>
      </c>
      <c r="C443" s="157" t="s">
        <v>2679</v>
      </c>
      <c r="D443" s="158">
        <v>1</v>
      </c>
      <c r="E443" s="159">
        <v>661.76</v>
      </c>
      <c r="F443" s="158">
        <v>661.76</v>
      </c>
      <c r="G443" s="160" t="s">
        <v>4817</v>
      </c>
      <c r="H443" s="962" t="str">
        <f t="shared" si="13"/>
        <v xml:space="preserve">02891A5007
分析表347_x000D_
</v>
      </c>
      <c r="I443" s="22">
        <v>435</v>
      </c>
      <c r="J443" t="str">
        <f t="shared" si="12"/>
        <v>1.435</v>
      </c>
    </row>
    <row r="444" spans="1:10" ht="42.75">
      <c r="A444" s="1265" t="s">
        <v>4818</v>
      </c>
      <c r="B444" s="8" t="s">
        <v>2684</v>
      </c>
      <c r="C444" s="157" t="s">
        <v>3</v>
      </c>
      <c r="D444" s="158">
        <v>1</v>
      </c>
      <c r="E444" s="159">
        <v>2312.0700000000002</v>
      </c>
      <c r="F444" s="158">
        <v>2312.0700000000002</v>
      </c>
      <c r="G444" s="160" t="s">
        <v>4819</v>
      </c>
      <c r="H444" s="962" t="str">
        <f t="shared" si="13"/>
        <v xml:space="preserve">0289100202
分析表348_x000D_
</v>
      </c>
      <c r="I444" s="22">
        <v>436</v>
      </c>
      <c r="J444" t="str">
        <f t="shared" si="12"/>
        <v>1.436</v>
      </c>
    </row>
    <row r="445" spans="1:10" ht="42.75">
      <c r="A445" s="1265" t="s">
        <v>4820</v>
      </c>
      <c r="B445" s="8" t="s">
        <v>2693</v>
      </c>
      <c r="C445" s="157" t="s">
        <v>2694</v>
      </c>
      <c r="D445" s="158">
        <v>1</v>
      </c>
      <c r="E445" s="159">
        <v>160.07</v>
      </c>
      <c r="F445" s="158">
        <v>160.07</v>
      </c>
      <c r="G445" s="160" t="s">
        <v>4821</v>
      </c>
      <c r="H445" s="962" t="str">
        <f t="shared" si="13"/>
        <v xml:space="preserve">05500p4008
分析表349_x000D_
</v>
      </c>
      <c r="I445" s="22">
        <v>437</v>
      </c>
      <c r="J445" t="str">
        <f t="shared" si="12"/>
        <v>1.437</v>
      </c>
    </row>
    <row r="446" spans="1:10" ht="42.75">
      <c r="A446" s="1265" t="s">
        <v>4822</v>
      </c>
      <c r="B446" s="8" t="s">
        <v>2702</v>
      </c>
      <c r="C446" s="157" t="s">
        <v>17</v>
      </c>
      <c r="D446" s="158">
        <v>1</v>
      </c>
      <c r="E446" s="159">
        <v>308.91000000000003</v>
      </c>
      <c r="F446" s="158">
        <v>308.91000000000003</v>
      </c>
      <c r="G446" s="160" t="s">
        <v>4823</v>
      </c>
      <c r="H446" s="962" t="str">
        <f t="shared" si="13"/>
        <v xml:space="preserve">05500S4601
分析表350_x000D_
</v>
      </c>
      <c r="I446" s="22">
        <v>438</v>
      </c>
      <c r="J446" t="str">
        <f t="shared" si="12"/>
        <v>1.438</v>
      </c>
    </row>
    <row r="447" spans="1:10" ht="42.75">
      <c r="A447" s="1265" t="s">
        <v>4824</v>
      </c>
      <c r="B447" s="8" t="s">
        <v>2707</v>
      </c>
      <c r="C447" s="157" t="s">
        <v>17</v>
      </c>
      <c r="D447" s="158">
        <v>1</v>
      </c>
      <c r="E447" s="159">
        <v>310.64</v>
      </c>
      <c r="F447" s="158">
        <v>310.64</v>
      </c>
      <c r="G447" s="160" t="s">
        <v>4825</v>
      </c>
      <c r="H447" s="962" t="str">
        <f t="shared" si="13"/>
        <v xml:space="preserve">028915WE13
分析表351_x000D_
</v>
      </c>
      <c r="I447" s="22">
        <v>439</v>
      </c>
      <c r="J447" t="str">
        <f t="shared" si="12"/>
        <v>1.439</v>
      </c>
    </row>
    <row r="448" spans="1:10" ht="42.75">
      <c r="A448" s="1265" t="s">
        <v>4826</v>
      </c>
      <c r="B448" s="8" t="s">
        <v>2712</v>
      </c>
      <c r="C448" s="157" t="s">
        <v>3</v>
      </c>
      <c r="D448" s="158">
        <v>5</v>
      </c>
      <c r="E448" s="159">
        <v>669.94</v>
      </c>
      <c r="F448" s="158">
        <v>3349.7</v>
      </c>
      <c r="G448" s="160" t="s">
        <v>4827</v>
      </c>
      <c r="H448" s="962" t="str">
        <f t="shared" si="13"/>
        <v xml:space="preserve">0289821205
分析表352_x000D_
</v>
      </c>
      <c r="I448" s="22">
        <v>440</v>
      </c>
      <c r="J448" t="str">
        <f t="shared" si="12"/>
        <v>1.440</v>
      </c>
    </row>
    <row r="449" spans="1:10" ht="42.75">
      <c r="A449" s="1265" t="s">
        <v>4828</v>
      </c>
      <c r="B449" s="8" t="s">
        <v>3659</v>
      </c>
      <c r="C449" s="157" t="s">
        <v>3</v>
      </c>
      <c r="D449" s="158">
        <v>4</v>
      </c>
      <c r="E449" s="159">
        <v>1706.51</v>
      </c>
      <c r="F449" s="158">
        <v>6826.04</v>
      </c>
      <c r="G449" s="160" t="s">
        <v>4829</v>
      </c>
      <c r="H449" s="962" t="str">
        <f t="shared" si="13"/>
        <v xml:space="preserve">02898C2204
分析表353_x000D_
</v>
      </c>
      <c r="I449" s="22">
        <v>441</v>
      </c>
      <c r="J449" t="str">
        <f t="shared" si="12"/>
        <v>1.441</v>
      </c>
    </row>
    <row r="450" spans="1:10" ht="84.6" customHeight="1">
      <c r="A450" s="1265" t="s">
        <v>4830</v>
      </c>
      <c r="B450" s="8" t="s">
        <v>3660</v>
      </c>
      <c r="C450" s="157" t="s">
        <v>3</v>
      </c>
      <c r="D450" s="158">
        <v>1</v>
      </c>
      <c r="E450" s="159">
        <v>365.28</v>
      </c>
      <c r="F450" s="158">
        <v>365.28</v>
      </c>
      <c r="G450" s="160" t="s">
        <v>3661</v>
      </c>
      <c r="H450" s="962" t="str">
        <f t="shared" si="13"/>
        <v xml:space="preserve">02898D0002
</v>
      </c>
      <c r="I450" s="22">
        <v>442</v>
      </c>
      <c r="J450" t="str">
        <f t="shared" ref="J450:J505" si="14">A450</f>
        <v>1.442</v>
      </c>
    </row>
    <row r="451" spans="1:10" ht="42.75">
      <c r="A451" s="1265" t="s">
        <v>4831</v>
      </c>
      <c r="B451" s="8" t="s">
        <v>2725</v>
      </c>
      <c r="C451" s="157" t="s">
        <v>2679</v>
      </c>
      <c r="D451" s="158">
        <v>1</v>
      </c>
      <c r="E451" s="159">
        <v>251.06</v>
      </c>
      <c r="F451" s="158">
        <v>251.06</v>
      </c>
      <c r="G451" s="160" t="s">
        <v>4832</v>
      </c>
      <c r="H451" s="962" t="str">
        <f t="shared" si="13"/>
        <v>0289250007
分析表354_x000D_
#</v>
      </c>
      <c r="I451" s="22">
        <v>443</v>
      </c>
      <c r="J451" t="str">
        <f t="shared" si="14"/>
        <v>1.443</v>
      </c>
    </row>
    <row r="452" spans="1:10" ht="57">
      <c r="A452" s="1265" t="s">
        <v>4833</v>
      </c>
      <c r="B452" s="8" t="s">
        <v>2732</v>
      </c>
      <c r="C452" s="157" t="s">
        <v>1818</v>
      </c>
      <c r="D452" s="158">
        <v>1</v>
      </c>
      <c r="E452" s="159">
        <v>843.95</v>
      </c>
      <c r="F452" s="158">
        <v>843.95</v>
      </c>
      <c r="G452" s="160" t="s">
        <v>4834</v>
      </c>
      <c r="H452" s="962" t="str">
        <f t="shared" si="13"/>
        <v>02899#B001
分析表355_x000D_
D=8cm ±5%，H=75cm ±5%</v>
      </c>
      <c r="I452" s="22">
        <v>444</v>
      </c>
      <c r="J452" t="str">
        <f t="shared" si="14"/>
        <v>1.444</v>
      </c>
    </row>
    <row r="453" spans="1:10" ht="42.75">
      <c r="A453" s="1265" t="s">
        <v>4835</v>
      </c>
      <c r="B453" s="8" t="s">
        <v>2737</v>
      </c>
      <c r="C453" s="157" t="s">
        <v>1818</v>
      </c>
      <c r="D453" s="158">
        <v>1</v>
      </c>
      <c r="E453" s="159">
        <v>1231.82</v>
      </c>
      <c r="F453" s="158">
        <v>1231.82</v>
      </c>
      <c r="G453" s="160" t="s">
        <v>4836</v>
      </c>
      <c r="H453" s="962" t="str">
        <f t="shared" si="13"/>
        <v xml:space="preserve">01556M100A
分析表356_x000D_
</v>
      </c>
      <c r="I453" s="22">
        <v>445</v>
      </c>
      <c r="J453" t="str">
        <f t="shared" si="14"/>
        <v>1.445</v>
      </c>
    </row>
    <row r="454" spans="1:10" ht="42.75">
      <c r="A454" s="1265" t="s">
        <v>4837</v>
      </c>
      <c r="B454" s="8" t="s">
        <v>2750</v>
      </c>
      <c r="C454" s="157" t="s">
        <v>1818</v>
      </c>
      <c r="D454" s="158">
        <v>1</v>
      </c>
      <c r="E454" s="159">
        <v>2448.77</v>
      </c>
      <c r="F454" s="158">
        <v>2448.77</v>
      </c>
      <c r="G454" s="160" t="s">
        <v>4838</v>
      </c>
      <c r="H454" s="962" t="str">
        <f t="shared" si="13"/>
        <v xml:space="preserve">01556M200A
分析表357_x000D_
</v>
      </c>
      <c r="I454" s="22">
        <v>446</v>
      </c>
      <c r="J454" t="str">
        <f t="shared" si="14"/>
        <v>1.446</v>
      </c>
    </row>
    <row r="455" spans="1:10" ht="42.75">
      <c r="A455" s="1265" t="s">
        <v>4839</v>
      </c>
      <c r="B455" s="8" t="s">
        <v>2755</v>
      </c>
      <c r="C455" s="157" t="s">
        <v>2679</v>
      </c>
      <c r="D455" s="158">
        <v>10</v>
      </c>
      <c r="E455" s="159">
        <v>329.19</v>
      </c>
      <c r="F455" s="158">
        <v>3291.9</v>
      </c>
      <c r="G455" s="160" t="s">
        <v>4840</v>
      </c>
      <c r="H455" s="962" t="str">
        <f t="shared" si="13"/>
        <v>0289205007
分析表358_x000D_
#</v>
      </c>
      <c r="I455" s="22">
        <v>447</v>
      </c>
      <c r="J455" t="str">
        <f t="shared" si="14"/>
        <v>1.447</v>
      </c>
    </row>
    <row r="456" spans="1:10" ht="47.25">
      <c r="A456" s="1265" t="s">
        <v>4841</v>
      </c>
      <c r="B456" s="8" t="s">
        <v>913</v>
      </c>
      <c r="C456" s="157" t="s">
        <v>3</v>
      </c>
      <c r="D456" s="158">
        <v>10</v>
      </c>
      <c r="E456" s="159">
        <v>916.44</v>
      </c>
      <c r="F456" s="158">
        <v>9164.4</v>
      </c>
      <c r="G456" s="160" t="s">
        <v>4842</v>
      </c>
      <c r="H456" s="962" t="str">
        <f t="shared" si="13"/>
        <v xml:space="preserve">0289821302
分析表359_x000D_
</v>
      </c>
      <c r="I456" s="22">
        <v>448</v>
      </c>
      <c r="J456" t="str">
        <f t="shared" si="14"/>
        <v>1.448</v>
      </c>
    </row>
    <row r="457" spans="1:10" ht="47.25">
      <c r="A457" s="1265" t="s">
        <v>4843</v>
      </c>
      <c r="B457" s="8" t="s">
        <v>2778</v>
      </c>
      <c r="C457" s="157" t="s">
        <v>3</v>
      </c>
      <c r="D457" s="158">
        <v>10</v>
      </c>
      <c r="E457" s="159">
        <v>650.84</v>
      </c>
      <c r="F457" s="158">
        <v>6508.4</v>
      </c>
      <c r="G457" s="160" t="s">
        <v>4844</v>
      </c>
      <c r="H457" s="962" t="str">
        <f t="shared" si="13"/>
        <v xml:space="preserve">0289821312
分析表360_x000D_
</v>
      </c>
      <c r="I457" s="22">
        <v>449</v>
      </c>
      <c r="J457" t="str">
        <f t="shared" si="14"/>
        <v>1.449</v>
      </c>
    </row>
    <row r="458" spans="1:10" ht="28.5">
      <c r="A458" s="1265" t="s">
        <v>4845</v>
      </c>
      <c r="B458" s="8" t="s">
        <v>3443</v>
      </c>
      <c r="C458" s="157" t="s">
        <v>3444</v>
      </c>
      <c r="D458" s="158">
        <v>2</v>
      </c>
      <c r="E458" s="159">
        <v>1992.44</v>
      </c>
      <c r="F458" s="158">
        <v>3984.88</v>
      </c>
      <c r="G458" s="160" t="s">
        <v>3445</v>
      </c>
      <c r="H458" s="962" t="str">
        <f t="shared" si="13"/>
        <v xml:space="preserve">E000009A00002
</v>
      </c>
      <c r="I458" s="22">
        <v>450</v>
      </c>
      <c r="J458" t="str">
        <f t="shared" si="14"/>
        <v>1.450</v>
      </c>
    </row>
    <row r="459" spans="1:10" ht="28.5">
      <c r="A459" s="1265" t="s">
        <v>4846</v>
      </c>
      <c r="B459" s="8" t="s">
        <v>3446</v>
      </c>
      <c r="C459" s="157" t="s">
        <v>2447</v>
      </c>
      <c r="D459" s="158">
        <v>1</v>
      </c>
      <c r="E459" s="159">
        <v>14943.28</v>
      </c>
      <c r="F459" s="158">
        <v>14943.28</v>
      </c>
      <c r="G459" s="160" t="s">
        <v>3447</v>
      </c>
      <c r="H459" s="962" t="str">
        <f t="shared" ref="H459:H522" si="15">G459</f>
        <v xml:space="preserve">E000009A00022
</v>
      </c>
      <c r="I459" s="22">
        <v>451</v>
      </c>
      <c r="J459" t="str">
        <f t="shared" si="14"/>
        <v>1.451</v>
      </c>
    </row>
    <row r="460" spans="1:10" ht="28.5">
      <c r="A460" s="1265" t="s">
        <v>4847</v>
      </c>
      <c r="B460" s="8" t="s">
        <v>2462</v>
      </c>
      <c r="C460" s="157" t="s">
        <v>927</v>
      </c>
      <c r="D460" s="158">
        <v>10</v>
      </c>
      <c r="E460" s="159">
        <v>179.32</v>
      </c>
      <c r="F460" s="158">
        <v>1793.2</v>
      </c>
      <c r="G460" s="160" t="s">
        <v>2463</v>
      </c>
      <c r="H460" s="962" t="str">
        <f t="shared" si="15"/>
        <v xml:space="preserve">E0000010N0001
</v>
      </c>
      <c r="I460" s="22">
        <v>452</v>
      </c>
      <c r="J460" t="str">
        <f t="shared" si="14"/>
        <v>1.452</v>
      </c>
    </row>
    <row r="461" spans="1:10" ht="28.5">
      <c r="A461" s="1265" t="s">
        <v>3448</v>
      </c>
      <c r="B461" s="8" t="s">
        <v>3449</v>
      </c>
      <c r="C461" s="157" t="s">
        <v>14</v>
      </c>
      <c r="D461" s="158">
        <v>1</v>
      </c>
      <c r="E461" s="159"/>
      <c r="F461" s="158">
        <v>217333.13</v>
      </c>
      <c r="G461" s="160" t="s">
        <v>3450</v>
      </c>
      <c r="H461" s="962" t="str">
        <f t="shared" si="15"/>
        <v>依實際檢驗項目支付</v>
      </c>
      <c r="I461" s="22">
        <v>453</v>
      </c>
      <c r="J461" t="str">
        <f t="shared" si="14"/>
        <v>　二</v>
      </c>
    </row>
    <row r="462" spans="1:10" ht="47.25">
      <c r="A462" s="1265" t="s">
        <v>337</v>
      </c>
      <c r="B462" s="8" t="s">
        <v>3451</v>
      </c>
      <c r="C462" s="157" t="s">
        <v>1689</v>
      </c>
      <c r="D462" s="158">
        <v>5</v>
      </c>
      <c r="E462" s="159">
        <v>1942.63</v>
      </c>
      <c r="F462" s="158">
        <v>9713.15</v>
      </c>
      <c r="G462" s="160" t="s">
        <v>3452</v>
      </c>
      <c r="H462" s="962" t="str">
        <f t="shared" si="15"/>
        <v xml:space="preserve">01450D10A8
</v>
      </c>
      <c r="I462" s="22">
        <v>454</v>
      </c>
      <c r="J462" t="str">
        <f t="shared" si="14"/>
        <v>2.1</v>
      </c>
    </row>
    <row r="463" spans="1:10" ht="63">
      <c r="A463" s="1265" t="s">
        <v>338</v>
      </c>
      <c r="B463" s="8" t="s">
        <v>3453</v>
      </c>
      <c r="C463" s="157" t="s">
        <v>2679</v>
      </c>
      <c r="D463" s="158">
        <v>10</v>
      </c>
      <c r="E463" s="159">
        <v>298.87</v>
      </c>
      <c r="F463" s="158">
        <v>2988.7</v>
      </c>
      <c r="G463" s="160" t="s">
        <v>3454</v>
      </c>
      <c r="H463" s="962" t="str">
        <f t="shared" si="15"/>
        <v xml:space="preserve">01450B11U7
</v>
      </c>
      <c r="I463" s="22">
        <v>455</v>
      </c>
      <c r="J463" t="str">
        <f t="shared" si="14"/>
        <v>2.2</v>
      </c>
    </row>
    <row r="464" spans="1:10" ht="63">
      <c r="A464" s="1265" t="s">
        <v>339</v>
      </c>
      <c r="B464" s="8" t="s">
        <v>3455</v>
      </c>
      <c r="C464" s="157" t="s">
        <v>1689</v>
      </c>
      <c r="D464" s="158">
        <v>5</v>
      </c>
      <c r="E464" s="159">
        <v>1494.33</v>
      </c>
      <c r="F464" s="158">
        <v>7471.65</v>
      </c>
      <c r="G464" s="160" t="s">
        <v>3456</v>
      </c>
      <c r="H464" s="962" t="str">
        <f t="shared" si="15"/>
        <v xml:space="preserve">01450D1CY8
</v>
      </c>
      <c r="I464" s="22">
        <v>456</v>
      </c>
      <c r="J464" t="str">
        <f t="shared" si="14"/>
        <v>2.3</v>
      </c>
    </row>
    <row r="465" spans="1:10" ht="63">
      <c r="A465" s="1265" t="s">
        <v>340</v>
      </c>
      <c r="B465" s="8" t="s">
        <v>3457</v>
      </c>
      <c r="C465" s="157" t="s">
        <v>1689</v>
      </c>
      <c r="D465" s="158">
        <v>5</v>
      </c>
      <c r="E465" s="159">
        <v>1494.33</v>
      </c>
      <c r="F465" s="158">
        <v>7471.65</v>
      </c>
      <c r="G465" s="160" t="s">
        <v>3458</v>
      </c>
      <c r="H465" s="962" t="str">
        <f t="shared" si="15"/>
        <v xml:space="preserve">01450D1CZ8
</v>
      </c>
      <c r="I465" s="22">
        <v>457</v>
      </c>
      <c r="J465" t="str">
        <f t="shared" si="14"/>
        <v>2.4</v>
      </c>
    </row>
    <row r="466" spans="1:10" ht="63">
      <c r="A466" s="1265" t="s">
        <v>341</v>
      </c>
      <c r="B466" s="8" t="s">
        <v>3459</v>
      </c>
      <c r="C466" s="157" t="s">
        <v>1689</v>
      </c>
      <c r="D466" s="158">
        <v>2</v>
      </c>
      <c r="E466" s="159">
        <v>2988.66</v>
      </c>
      <c r="F466" s="158">
        <v>5977.32</v>
      </c>
      <c r="G466" s="160" t="s">
        <v>3460</v>
      </c>
      <c r="H466" s="962" t="str">
        <f t="shared" si="15"/>
        <v xml:space="preserve">01450D1D38
</v>
      </c>
      <c r="I466" s="22">
        <v>458</v>
      </c>
      <c r="J466" t="str">
        <f t="shared" si="14"/>
        <v>2.5</v>
      </c>
    </row>
    <row r="467" spans="1:10" ht="63">
      <c r="A467" s="1265" t="s">
        <v>342</v>
      </c>
      <c r="B467" s="8" t="s">
        <v>3461</v>
      </c>
      <c r="C467" s="157" t="s">
        <v>1689</v>
      </c>
      <c r="D467" s="158">
        <v>1</v>
      </c>
      <c r="E467" s="159">
        <v>5977.31</v>
      </c>
      <c r="F467" s="158">
        <v>5977.31</v>
      </c>
      <c r="G467" s="160" t="s">
        <v>3462</v>
      </c>
      <c r="H467" s="962" t="str">
        <f t="shared" si="15"/>
        <v xml:space="preserve">01450D1008
</v>
      </c>
      <c r="I467" s="22">
        <v>459</v>
      </c>
      <c r="J467" t="str">
        <f t="shared" si="14"/>
        <v>2.6</v>
      </c>
    </row>
    <row r="468" spans="1:10" ht="63">
      <c r="A468" s="1265" t="s">
        <v>343</v>
      </c>
      <c r="B468" s="8" t="s">
        <v>3463</v>
      </c>
      <c r="C468" s="157" t="s">
        <v>1689</v>
      </c>
      <c r="D468" s="158">
        <v>1</v>
      </c>
      <c r="E468" s="159">
        <v>11954.62</v>
      </c>
      <c r="F468" s="158">
        <v>11954.62</v>
      </c>
      <c r="G468" s="160" t="s">
        <v>3464</v>
      </c>
      <c r="H468" s="962" t="str">
        <f t="shared" si="15"/>
        <v xml:space="preserve">01450D1Z18
</v>
      </c>
      <c r="I468" s="22">
        <v>460</v>
      </c>
      <c r="J468" t="str">
        <f t="shared" si="14"/>
        <v>2.7</v>
      </c>
    </row>
    <row r="469" spans="1:10" ht="63">
      <c r="A469" s="1265" t="s">
        <v>344</v>
      </c>
      <c r="B469" s="8" t="s">
        <v>3465</v>
      </c>
      <c r="C469" s="157" t="s">
        <v>2238</v>
      </c>
      <c r="D469" s="158">
        <v>1</v>
      </c>
      <c r="E469" s="159">
        <v>996.22</v>
      </c>
      <c r="F469" s="158">
        <v>996.22</v>
      </c>
      <c r="G469" s="160" t="s">
        <v>3466</v>
      </c>
      <c r="H469" s="962" t="str">
        <f t="shared" si="15"/>
        <v xml:space="preserve">01450D1Z2L
</v>
      </c>
      <c r="I469" s="22">
        <v>461</v>
      </c>
      <c r="J469" t="str">
        <f t="shared" si="14"/>
        <v>2.8</v>
      </c>
    </row>
    <row r="470" spans="1:10" ht="47.25">
      <c r="A470" s="1265" t="s">
        <v>345</v>
      </c>
      <c r="B470" s="8" t="s">
        <v>4848</v>
      </c>
      <c r="C470" s="157" t="s">
        <v>1689</v>
      </c>
      <c r="D470" s="158">
        <v>1</v>
      </c>
      <c r="E470" s="159">
        <v>1494.33</v>
      </c>
      <c r="F470" s="158">
        <v>1494.33</v>
      </c>
      <c r="G470" s="160" t="s">
        <v>4849</v>
      </c>
      <c r="H470" s="962" t="str">
        <f t="shared" si="15"/>
        <v xml:space="preserve">01450D1ZZ8
</v>
      </c>
      <c r="I470" s="22">
        <v>462</v>
      </c>
      <c r="J470" t="str">
        <f t="shared" si="14"/>
        <v>2.9</v>
      </c>
    </row>
    <row r="471" spans="1:10" ht="63">
      <c r="A471" s="1265" t="s">
        <v>346</v>
      </c>
      <c r="B471" s="8" t="s">
        <v>4850</v>
      </c>
      <c r="C471" s="157" t="s">
        <v>1689</v>
      </c>
      <c r="D471" s="158">
        <v>1</v>
      </c>
      <c r="E471" s="159">
        <v>3984.87</v>
      </c>
      <c r="F471" s="158">
        <v>3984.87</v>
      </c>
      <c r="G471" s="160" t="s">
        <v>4851</v>
      </c>
      <c r="H471" s="962" t="str">
        <f t="shared" si="15"/>
        <v xml:space="preserve">01450D1Z48
</v>
      </c>
      <c r="I471" s="22">
        <v>463</v>
      </c>
      <c r="J471" t="str">
        <f t="shared" si="14"/>
        <v>2.10</v>
      </c>
    </row>
    <row r="472" spans="1:10" ht="47.25">
      <c r="A472" s="1265" t="s">
        <v>347</v>
      </c>
      <c r="B472" s="8" t="s">
        <v>4852</v>
      </c>
      <c r="C472" s="157" t="s">
        <v>1689</v>
      </c>
      <c r="D472" s="158">
        <v>1</v>
      </c>
      <c r="E472" s="159">
        <v>43833.61</v>
      </c>
      <c r="F472" s="158">
        <v>43833.61</v>
      </c>
      <c r="G472" s="160" t="s">
        <v>4853</v>
      </c>
      <c r="H472" s="962" t="str">
        <f t="shared" si="15"/>
        <v xml:space="preserve">01450D1F18
</v>
      </c>
      <c r="I472" s="22">
        <v>464</v>
      </c>
      <c r="J472" t="str">
        <f t="shared" si="14"/>
        <v>2.11</v>
      </c>
    </row>
    <row r="473" spans="1:10" ht="47.25">
      <c r="A473" s="1265" t="s">
        <v>348</v>
      </c>
      <c r="B473" s="8" t="s">
        <v>3467</v>
      </c>
      <c r="C473" s="157" t="s">
        <v>1689</v>
      </c>
      <c r="D473" s="158">
        <v>1</v>
      </c>
      <c r="E473" s="159">
        <v>7969.75</v>
      </c>
      <c r="F473" s="158">
        <v>7969.75</v>
      </c>
      <c r="G473" s="160" t="s">
        <v>3468</v>
      </c>
      <c r="H473" s="962" t="str">
        <f t="shared" si="15"/>
        <v xml:space="preserve">01450D11Y8
</v>
      </c>
      <c r="I473" s="22">
        <v>465</v>
      </c>
      <c r="J473" t="str">
        <f t="shared" si="14"/>
        <v>2.12</v>
      </c>
    </row>
    <row r="474" spans="1:10" ht="47.25">
      <c r="A474" s="1265" t="s">
        <v>349</v>
      </c>
      <c r="B474" s="8" t="s">
        <v>3469</v>
      </c>
      <c r="C474" s="157" t="s">
        <v>1689</v>
      </c>
      <c r="D474" s="158">
        <v>1</v>
      </c>
      <c r="E474" s="159">
        <v>3984.87</v>
      </c>
      <c r="F474" s="158">
        <v>3984.87</v>
      </c>
      <c r="G474" s="160" t="s">
        <v>3470</v>
      </c>
      <c r="H474" s="962" t="str">
        <f t="shared" si="15"/>
        <v xml:space="preserve">01450D16Q8
</v>
      </c>
      <c r="I474" s="22">
        <v>466</v>
      </c>
      <c r="J474" t="str">
        <f t="shared" si="14"/>
        <v>2.13</v>
      </c>
    </row>
    <row r="475" spans="1:10" ht="63">
      <c r="A475" s="1265" t="s">
        <v>350</v>
      </c>
      <c r="B475" s="8" t="s">
        <v>3471</v>
      </c>
      <c r="C475" s="157" t="s">
        <v>1689</v>
      </c>
      <c r="D475" s="158">
        <v>1</v>
      </c>
      <c r="E475" s="159">
        <v>1992.44</v>
      </c>
      <c r="F475" s="158">
        <v>1992.44</v>
      </c>
      <c r="G475" s="160" t="s">
        <v>3472</v>
      </c>
      <c r="H475" s="962" t="str">
        <f t="shared" si="15"/>
        <v xml:space="preserve">01450DI258
</v>
      </c>
      <c r="I475" s="22">
        <v>467</v>
      </c>
      <c r="J475" t="str">
        <f t="shared" si="14"/>
        <v>2.14</v>
      </c>
    </row>
    <row r="476" spans="1:10" ht="63">
      <c r="A476" s="1265" t="s">
        <v>351</v>
      </c>
      <c r="B476" s="8" t="s">
        <v>3475</v>
      </c>
      <c r="C476" s="157" t="s">
        <v>1689</v>
      </c>
      <c r="D476" s="158">
        <v>2</v>
      </c>
      <c r="E476" s="159">
        <v>5977.31</v>
      </c>
      <c r="F476" s="158">
        <v>11954.62</v>
      </c>
      <c r="G476" s="160" t="s">
        <v>3476</v>
      </c>
      <c r="H476" s="962" t="str">
        <f t="shared" si="15"/>
        <v xml:space="preserve">01450D19T8
</v>
      </c>
      <c r="I476" s="22">
        <v>468</v>
      </c>
      <c r="J476" t="str">
        <f t="shared" si="14"/>
        <v>2.15</v>
      </c>
    </row>
    <row r="477" spans="1:10" ht="47.25">
      <c r="A477" s="1265" t="s">
        <v>352</v>
      </c>
      <c r="B477" s="8" t="s">
        <v>3477</v>
      </c>
      <c r="C477" s="157" t="s">
        <v>3478</v>
      </c>
      <c r="D477" s="158">
        <v>2</v>
      </c>
      <c r="E477" s="159">
        <v>1574.03</v>
      </c>
      <c r="F477" s="158">
        <v>3148.06</v>
      </c>
      <c r="G477" s="160" t="s">
        <v>3479</v>
      </c>
      <c r="H477" s="962" t="str">
        <f t="shared" si="15"/>
        <v xml:space="preserve">01450D1D1R
</v>
      </c>
      <c r="I477" s="22">
        <v>469</v>
      </c>
      <c r="J477" t="str">
        <f t="shared" si="14"/>
        <v>2.16</v>
      </c>
    </row>
    <row r="478" spans="1:10" ht="47.25">
      <c r="A478" s="1265" t="s">
        <v>353</v>
      </c>
      <c r="B478" s="8" t="s">
        <v>3480</v>
      </c>
      <c r="C478" s="157" t="s">
        <v>2490</v>
      </c>
      <c r="D478" s="158">
        <v>1</v>
      </c>
      <c r="E478" s="159">
        <v>11954.62</v>
      </c>
      <c r="F478" s="158">
        <v>11954.62</v>
      </c>
      <c r="G478" s="160" t="s">
        <v>3481</v>
      </c>
      <c r="H478" s="962" t="str">
        <f t="shared" si="15"/>
        <v xml:space="preserve">01450D1C24
</v>
      </c>
      <c r="I478" s="22">
        <v>470</v>
      </c>
      <c r="J478" t="str">
        <f t="shared" si="14"/>
        <v>2.17</v>
      </c>
    </row>
    <row r="479" spans="1:10" ht="47.25">
      <c r="A479" s="1265" t="s">
        <v>458</v>
      </c>
      <c r="B479" s="8" t="s">
        <v>4854</v>
      </c>
      <c r="C479" s="157" t="s">
        <v>1689</v>
      </c>
      <c r="D479" s="158">
        <v>1</v>
      </c>
      <c r="E479" s="159">
        <v>5977.31</v>
      </c>
      <c r="F479" s="158">
        <v>5977.31</v>
      </c>
      <c r="G479" s="160" t="s">
        <v>4855</v>
      </c>
      <c r="H479" s="962" t="str">
        <f t="shared" si="15"/>
        <v xml:space="preserve">01450D9008
</v>
      </c>
      <c r="I479" s="22">
        <v>471</v>
      </c>
      <c r="J479" t="str">
        <f t="shared" si="14"/>
        <v>2.18</v>
      </c>
    </row>
    <row r="480" spans="1:10" ht="47.25">
      <c r="A480" s="1265" t="s">
        <v>459</v>
      </c>
      <c r="B480" s="8" t="s">
        <v>4856</v>
      </c>
      <c r="C480" s="157" t="s">
        <v>1689</v>
      </c>
      <c r="D480" s="158">
        <v>1</v>
      </c>
      <c r="E480" s="159">
        <v>996.22</v>
      </c>
      <c r="F480" s="158">
        <v>996.22</v>
      </c>
      <c r="G480" s="160" t="s">
        <v>4857</v>
      </c>
      <c r="H480" s="962" t="str">
        <f t="shared" si="15"/>
        <v xml:space="preserve">01450D91A8
</v>
      </c>
      <c r="I480" s="22">
        <v>472</v>
      </c>
      <c r="J480" t="str">
        <f t="shared" si="14"/>
        <v>2.19</v>
      </c>
    </row>
    <row r="481" spans="1:10" ht="47.25">
      <c r="A481" s="1265" t="s">
        <v>460</v>
      </c>
      <c r="B481" s="8" t="s">
        <v>4858</v>
      </c>
      <c r="C481" s="157" t="s">
        <v>1689</v>
      </c>
      <c r="D481" s="158">
        <v>1</v>
      </c>
      <c r="E481" s="159">
        <v>4981.09</v>
      </c>
      <c r="F481" s="158">
        <v>4981.09</v>
      </c>
      <c r="G481" s="160" t="s">
        <v>4859</v>
      </c>
      <c r="H481" s="962" t="str">
        <f t="shared" si="15"/>
        <v xml:space="preserve">01450DB6B8
</v>
      </c>
      <c r="I481" s="22">
        <v>473</v>
      </c>
      <c r="J481" t="str">
        <f t="shared" si="14"/>
        <v>2.20</v>
      </c>
    </row>
    <row r="482" spans="1:10" ht="47.25">
      <c r="A482" s="1265" t="s">
        <v>529</v>
      </c>
      <c r="B482" s="8" t="s">
        <v>3473</v>
      </c>
      <c r="C482" s="157" t="s">
        <v>1875</v>
      </c>
      <c r="D482" s="158">
        <v>2</v>
      </c>
      <c r="E482" s="159">
        <v>3984.87</v>
      </c>
      <c r="F482" s="158">
        <v>7969.74</v>
      </c>
      <c r="G482" s="160" t="s">
        <v>3474</v>
      </c>
      <c r="H482" s="962" t="str">
        <f t="shared" si="15"/>
        <v xml:space="preserve">0145000024
</v>
      </c>
      <c r="I482" s="22">
        <v>474</v>
      </c>
      <c r="J482" t="str">
        <f t="shared" si="14"/>
        <v>2.21</v>
      </c>
    </row>
    <row r="483" spans="1:10" ht="31.5">
      <c r="A483" s="1265" t="s">
        <v>530</v>
      </c>
      <c r="B483" s="8" t="s">
        <v>3482</v>
      </c>
      <c r="C483" s="157" t="s">
        <v>1689</v>
      </c>
      <c r="D483" s="158">
        <v>2</v>
      </c>
      <c r="E483" s="159">
        <v>5977.31</v>
      </c>
      <c r="F483" s="158">
        <v>11954.62</v>
      </c>
      <c r="G483" s="160" t="s">
        <v>3483</v>
      </c>
      <c r="H483" s="962" t="str">
        <f t="shared" si="15"/>
        <v>01450A10E1
每組2支</v>
      </c>
      <c r="I483" s="22">
        <v>475</v>
      </c>
      <c r="J483" t="str">
        <f t="shared" si="14"/>
        <v>2.22</v>
      </c>
    </row>
    <row r="484" spans="1:10" ht="42.75">
      <c r="A484" s="1265" t="s">
        <v>531</v>
      </c>
      <c r="B484" s="8" t="s">
        <v>3482</v>
      </c>
      <c r="C484" s="157" t="s">
        <v>1497</v>
      </c>
      <c r="D484" s="158">
        <v>5</v>
      </c>
      <c r="E484" s="159">
        <v>1494.33</v>
      </c>
      <c r="F484" s="158">
        <v>7471.65</v>
      </c>
      <c r="G484" s="160" t="s">
        <v>3484</v>
      </c>
      <c r="H484" s="962" t="str">
        <f t="shared" si="15"/>
        <v>01450A10F1
超過1組檢驗數量另計</v>
      </c>
      <c r="I484" s="22">
        <v>476</v>
      </c>
      <c r="J484" t="str">
        <f t="shared" si="14"/>
        <v>2.23</v>
      </c>
    </row>
    <row r="485" spans="1:10" ht="31.5">
      <c r="A485" s="1265" t="s">
        <v>3669</v>
      </c>
      <c r="B485" s="8" t="s">
        <v>3485</v>
      </c>
      <c r="C485" s="157" t="s">
        <v>1689</v>
      </c>
      <c r="D485" s="158">
        <v>2</v>
      </c>
      <c r="E485" s="159">
        <v>5977.31</v>
      </c>
      <c r="F485" s="158">
        <v>11954.62</v>
      </c>
      <c r="G485" s="160" t="s">
        <v>3486</v>
      </c>
      <c r="H485" s="962" t="str">
        <f t="shared" si="15"/>
        <v>01450A10G1
每組3支</v>
      </c>
      <c r="I485" s="22">
        <v>477</v>
      </c>
      <c r="J485" t="str">
        <f t="shared" si="14"/>
        <v>2.24</v>
      </c>
    </row>
    <row r="486" spans="1:10" ht="42.75">
      <c r="A486" s="1265" t="s">
        <v>4860</v>
      </c>
      <c r="B486" s="8" t="s">
        <v>3485</v>
      </c>
      <c r="C486" s="157" t="s">
        <v>1497</v>
      </c>
      <c r="D486" s="158">
        <v>5</v>
      </c>
      <c r="E486" s="159">
        <v>996.22</v>
      </c>
      <c r="F486" s="158">
        <v>4981.1000000000004</v>
      </c>
      <c r="G486" s="160" t="s">
        <v>3487</v>
      </c>
      <c r="H486" s="962" t="str">
        <f t="shared" si="15"/>
        <v>01450A10H1
超過1組檢驗數量另計</v>
      </c>
      <c r="I486" s="22">
        <v>478</v>
      </c>
      <c r="J486" t="str">
        <f t="shared" si="14"/>
        <v>2.25</v>
      </c>
    </row>
    <row r="487" spans="1:10" ht="28.5">
      <c r="A487" s="1265" t="s">
        <v>4861</v>
      </c>
      <c r="B487" s="8" t="s">
        <v>3488</v>
      </c>
      <c r="C487" s="157" t="s">
        <v>1689</v>
      </c>
      <c r="D487" s="158">
        <v>2</v>
      </c>
      <c r="E487" s="159">
        <v>5977.31</v>
      </c>
      <c r="F487" s="158">
        <v>11954.62</v>
      </c>
      <c r="G487" s="160" t="s">
        <v>3489</v>
      </c>
      <c r="H487" s="962" t="str">
        <f t="shared" si="15"/>
        <v xml:space="preserve">01450A81AA
</v>
      </c>
      <c r="I487" s="22">
        <v>479</v>
      </c>
      <c r="J487" t="str">
        <f t="shared" si="14"/>
        <v>2.26</v>
      </c>
    </row>
    <row r="488" spans="1:10" ht="31.5">
      <c r="A488" s="1265" t="s">
        <v>4862</v>
      </c>
      <c r="B488" s="8" t="s">
        <v>1772</v>
      </c>
      <c r="C488" s="157" t="s">
        <v>1497</v>
      </c>
      <c r="D488" s="158">
        <v>1</v>
      </c>
      <c r="E488" s="159">
        <v>6224.37</v>
      </c>
      <c r="F488" s="158">
        <v>6224.37</v>
      </c>
      <c r="G488" s="160" t="s">
        <v>1773</v>
      </c>
      <c r="H488" s="962" t="str">
        <f t="shared" si="15"/>
        <v>M026102D30A
L=2.4</v>
      </c>
      <c r="I488" s="22">
        <v>480</v>
      </c>
      <c r="J488" t="str">
        <f t="shared" si="14"/>
        <v>2.27</v>
      </c>
    </row>
    <row r="489" spans="1:10">
      <c r="A489" s="1265" t="s">
        <v>3494</v>
      </c>
      <c r="B489" s="8" t="s">
        <v>3495</v>
      </c>
      <c r="C489" s="157" t="s">
        <v>14</v>
      </c>
      <c r="D489" s="158">
        <v>1</v>
      </c>
      <c r="E489" s="159"/>
      <c r="F489" s="158">
        <v>324099.13</v>
      </c>
      <c r="G489" s="160" t="s">
        <v>3496</v>
      </c>
      <c r="H489" s="962" t="str">
        <f t="shared" si="15"/>
        <v>依工程費×2.52%</v>
      </c>
      <c r="I489" s="22">
        <v>481</v>
      </c>
      <c r="J489" t="str">
        <f t="shared" si="14"/>
        <v>　三</v>
      </c>
    </row>
    <row r="490" spans="1:10" ht="42.75">
      <c r="A490" s="1265" t="s">
        <v>354</v>
      </c>
      <c r="B490" s="8" t="s">
        <v>2781</v>
      </c>
      <c r="C490" s="157" t="s">
        <v>2782</v>
      </c>
      <c r="D490" s="158">
        <v>1399</v>
      </c>
      <c r="E490" s="159">
        <v>54.55</v>
      </c>
      <c r="F490" s="158">
        <v>76315.45</v>
      </c>
      <c r="G490" s="160" t="s">
        <v>4863</v>
      </c>
      <c r="H490" s="962" t="str">
        <f t="shared" si="15"/>
        <v xml:space="preserve">01572F000E
分析表361_x000D_
</v>
      </c>
      <c r="I490" s="22">
        <v>482</v>
      </c>
      <c r="J490" t="str">
        <f t="shared" si="14"/>
        <v>3.1</v>
      </c>
    </row>
    <row r="491" spans="1:10" ht="16.5" customHeight="1">
      <c r="A491" s="1265" t="s">
        <v>355</v>
      </c>
      <c r="B491" s="8" t="s">
        <v>2785</v>
      </c>
      <c r="C491" s="157" t="s">
        <v>2786</v>
      </c>
      <c r="D491" s="158">
        <v>18</v>
      </c>
      <c r="E491" s="159">
        <v>13765.76</v>
      </c>
      <c r="F491" s="158">
        <v>247783.67999999999</v>
      </c>
      <c r="G491" s="160" t="s">
        <v>4864</v>
      </c>
      <c r="H491" s="962" t="str">
        <f t="shared" si="15"/>
        <v xml:space="preserve">01572H100F
分析表362_x000D_
</v>
      </c>
      <c r="I491" s="22">
        <v>483</v>
      </c>
      <c r="J491" t="str">
        <f t="shared" si="14"/>
        <v>3.2</v>
      </c>
    </row>
    <row r="492" spans="1:10" ht="31.5">
      <c r="A492" s="1265" t="s">
        <v>3499</v>
      </c>
      <c r="B492" s="8" t="s">
        <v>3500</v>
      </c>
      <c r="C492" s="157" t="s">
        <v>14</v>
      </c>
      <c r="D492" s="158">
        <v>1</v>
      </c>
      <c r="E492" s="159"/>
      <c r="F492" s="158">
        <v>7650</v>
      </c>
      <c r="G492" s="160" t="s">
        <v>3501</v>
      </c>
      <c r="H492" s="962" t="str">
        <f t="shared" si="15"/>
        <v>需檢據核銷</v>
      </c>
      <c r="I492" s="22">
        <v>484</v>
      </c>
      <c r="J492" t="str">
        <f t="shared" si="14"/>
        <v>　四</v>
      </c>
    </row>
    <row r="493" spans="1:10" ht="31.5">
      <c r="A493" s="1265" t="s">
        <v>356</v>
      </c>
      <c r="B493" s="8" t="s">
        <v>3502</v>
      </c>
      <c r="C493" s="157" t="s">
        <v>3503</v>
      </c>
      <c r="D493" s="158">
        <v>1</v>
      </c>
      <c r="E493" s="159">
        <v>2300</v>
      </c>
      <c r="F493" s="158">
        <v>2300</v>
      </c>
      <c r="G493" s="160" t="s">
        <v>3504</v>
      </c>
      <c r="H493" s="962" t="str">
        <f t="shared" si="15"/>
        <v>0225245113
[人力工項不打折]</v>
      </c>
      <c r="I493" s="22">
        <v>485</v>
      </c>
      <c r="J493" t="str">
        <f t="shared" si="14"/>
        <v>4.1</v>
      </c>
    </row>
    <row r="494" spans="1:10" ht="16.5" customHeight="1">
      <c r="A494" s="1265" t="s">
        <v>357</v>
      </c>
      <c r="B494" s="8" t="s">
        <v>3505</v>
      </c>
      <c r="C494" s="157" t="s">
        <v>3503</v>
      </c>
      <c r="D494" s="158">
        <v>1</v>
      </c>
      <c r="E494" s="159">
        <v>4100</v>
      </c>
      <c r="F494" s="158">
        <v>4100</v>
      </c>
      <c r="G494" s="160" t="s">
        <v>3506</v>
      </c>
      <c r="H494" s="962" t="str">
        <f t="shared" si="15"/>
        <v>0225245123
[人力工項不打折]</v>
      </c>
      <c r="I494" s="22">
        <v>486</v>
      </c>
      <c r="J494" t="str">
        <f t="shared" si="14"/>
        <v>4.2</v>
      </c>
    </row>
    <row r="495" spans="1:10" ht="31.5">
      <c r="A495" s="1265" t="s">
        <v>358</v>
      </c>
      <c r="B495" s="8" t="s">
        <v>3507</v>
      </c>
      <c r="C495" s="157" t="s">
        <v>3503</v>
      </c>
      <c r="D495" s="158">
        <v>1</v>
      </c>
      <c r="E495" s="159">
        <v>1250</v>
      </c>
      <c r="F495" s="158">
        <v>1250</v>
      </c>
      <c r="G495" s="160" t="s">
        <v>3508</v>
      </c>
      <c r="H495" s="962" t="str">
        <f t="shared" si="15"/>
        <v>0225245133
[人力工項不打折]</v>
      </c>
      <c r="I495" s="22">
        <v>487</v>
      </c>
      <c r="J495" t="str">
        <f t="shared" si="14"/>
        <v>4.3</v>
      </c>
    </row>
    <row r="496" spans="1:10" ht="71.25">
      <c r="A496" s="1265" t="s">
        <v>3509</v>
      </c>
      <c r="B496" s="8" t="s">
        <v>3510</v>
      </c>
      <c r="C496" s="157" t="s">
        <v>14</v>
      </c>
      <c r="D496" s="158">
        <v>1</v>
      </c>
      <c r="E496" s="159"/>
      <c r="F496" s="158">
        <v>639259.85</v>
      </c>
      <c r="G496" s="160" t="s">
        <v>3511</v>
      </c>
      <c r="H496" s="962" t="str">
        <f t="shared" si="15"/>
        <v>依工程費×4.97%,以新製品或完整無缺（重新油漆或清理過後）之堪用品進場。</v>
      </c>
      <c r="I496" s="22">
        <v>488</v>
      </c>
      <c r="J496" t="str">
        <f t="shared" si="14"/>
        <v>　五</v>
      </c>
    </row>
    <row r="497" spans="1:10" ht="47.25">
      <c r="A497" s="1265" t="s">
        <v>359</v>
      </c>
      <c r="B497" s="8" t="s">
        <v>3512</v>
      </c>
      <c r="C497" s="157" t="s">
        <v>3513</v>
      </c>
      <c r="D497" s="158">
        <v>20</v>
      </c>
      <c r="E497" s="159">
        <v>205.22</v>
      </c>
      <c r="F497" s="158">
        <v>4104.3999999999996</v>
      </c>
      <c r="G497" s="160" t="s">
        <v>3514</v>
      </c>
      <c r="H497" s="962" t="str">
        <f t="shared" si="15"/>
        <v xml:space="preserve">01583A500A
</v>
      </c>
      <c r="I497" s="22">
        <v>489</v>
      </c>
      <c r="J497" t="str">
        <f t="shared" si="14"/>
        <v>5.1</v>
      </c>
    </row>
    <row r="498" spans="1:10" ht="71.25">
      <c r="A498" s="1265" t="s">
        <v>360</v>
      </c>
      <c r="B498" s="8" t="s">
        <v>3515</v>
      </c>
      <c r="C498" s="157" t="s">
        <v>3513</v>
      </c>
      <c r="D498" s="158">
        <v>20</v>
      </c>
      <c r="E498" s="159">
        <v>584.88</v>
      </c>
      <c r="F498" s="158">
        <v>11697.6</v>
      </c>
      <c r="G498" s="160" t="s">
        <v>3516</v>
      </c>
      <c r="H498" s="962" t="str">
        <f t="shared" si="15"/>
        <v>01583B000A
創意柔性告示牌之圖案須依機關提供之電子檔依比例放大製作</v>
      </c>
      <c r="I498" s="22">
        <v>490</v>
      </c>
      <c r="J498" t="str">
        <f t="shared" si="14"/>
        <v>5.2</v>
      </c>
    </row>
    <row r="499" spans="1:10" ht="47.25">
      <c r="A499" s="1265" t="s">
        <v>361</v>
      </c>
      <c r="B499" s="8" t="s">
        <v>3517</v>
      </c>
      <c r="C499" s="157" t="s">
        <v>1818</v>
      </c>
      <c r="D499" s="158">
        <v>20</v>
      </c>
      <c r="E499" s="159">
        <v>5951.41</v>
      </c>
      <c r="F499" s="158">
        <v>119028.2</v>
      </c>
      <c r="G499" s="160" t="s">
        <v>3518</v>
      </c>
      <c r="H499" s="962" t="str">
        <f t="shared" si="15"/>
        <v xml:space="preserve">015831110B
</v>
      </c>
      <c r="I499" s="22">
        <v>491</v>
      </c>
      <c r="J499" t="str">
        <f t="shared" si="14"/>
        <v>5.3</v>
      </c>
    </row>
    <row r="500" spans="1:10" ht="28.5">
      <c r="A500" s="1265" t="s">
        <v>362</v>
      </c>
      <c r="B500" s="8" t="s">
        <v>3519</v>
      </c>
      <c r="C500" s="157" t="s">
        <v>1818</v>
      </c>
      <c r="D500" s="158">
        <v>20</v>
      </c>
      <c r="E500" s="159">
        <v>1256.8800000000001</v>
      </c>
      <c r="F500" s="158">
        <v>25137.599999999999</v>
      </c>
      <c r="G500" s="160" t="s">
        <v>3520</v>
      </c>
      <c r="H500" s="962" t="str">
        <f t="shared" si="15"/>
        <v xml:space="preserve">0155630A0A
</v>
      </c>
      <c r="I500" s="22">
        <v>492</v>
      </c>
      <c r="J500" t="str">
        <f t="shared" si="14"/>
        <v>5.4</v>
      </c>
    </row>
    <row r="501" spans="1:10" ht="28.5">
      <c r="A501" s="1265" t="s">
        <v>363</v>
      </c>
      <c r="B501" s="8" t="s">
        <v>3521</v>
      </c>
      <c r="C501" s="157" t="s">
        <v>2679</v>
      </c>
      <c r="D501" s="158">
        <v>100</v>
      </c>
      <c r="E501" s="159">
        <v>225.43</v>
      </c>
      <c r="F501" s="158">
        <v>22543</v>
      </c>
      <c r="G501" s="160" t="s">
        <v>3522</v>
      </c>
      <c r="H501" s="962" t="str">
        <f t="shared" si="15"/>
        <v xml:space="preserve">0155642007
</v>
      </c>
      <c r="I501" s="22">
        <v>493</v>
      </c>
      <c r="J501" t="str">
        <f t="shared" si="14"/>
        <v>5.5</v>
      </c>
    </row>
    <row r="502" spans="1:10" ht="31.5">
      <c r="A502" s="1265" t="s">
        <v>364</v>
      </c>
      <c r="B502" s="8" t="s">
        <v>3523</v>
      </c>
      <c r="C502" s="157" t="s">
        <v>2679</v>
      </c>
      <c r="D502" s="158">
        <v>100</v>
      </c>
      <c r="E502" s="159">
        <v>225.43</v>
      </c>
      <c r="F502" s="158">
        <v>22543</v>
      </c>
      <c r="G502" s="160" t="s">
        <v>3524</v>
      </c>
      <c r="H502" s="962" t="str">
        <f t="shared" si="15"/>
        <v xml:space="preserve">0155642707
</v>
      </c>
      <c r="I502" s="22">
        <v>494</v>
      </c>
      <c r="J502" t="str">
        <f t="shared" si="14"/>
        <v>5.6</v>
      </c>
    </row>
    <row r="503" spans="1:10" ht="28.5">
      <c r="A503" s="1265" t="s">
        <v>365</v>
      </c>
      <c r="B503" s="8" t="s">
        <v>3525</v>
      </c>
      <c r="C503" s="157" t="s">
        <v>1497</v>
      </c>
      <c r="D503" s="158">
        <v>175</v>
      </c>
      <c r="E503" s="159">
        <v>49.81</v>
      </c>
      <c r="F503" s="158">
        <v>8716.75</v>
      </c>
      <c r="G503" s="160" t="s">
        <v>3526</v>
      </c>
      <c r="H503" s="962" t="str">
        <f t="shared" si="15"/>
        <v xml:space="preserve">015564080E
</v>
      </c>
      <c r="I503" s="22">
        <v>495</v>
      </c>
      <c r="J503" t="str">
        <f t="shared" si="14"/>
        <v>5.7</v>
      </c>
    </row>
    <row r="504" spans="1:10" ht="16.5" customHeight="1">
      <c r="A504" s="1265" t="s">
        <v>366</v>
      </c>
      <c r="B504" s="8" t="s">
        <v>3527</v>
      </c>
      <c r="C504" s="157" t="s">
        <v>1818</v>
      </c>
      <c r="D504" s="158">
        <v>20</v>
      </c>
      <c r="E504" s="159">
        <v>2033.33</v>
      </c>
      <c r="F504" s="158">
        <v>40666.6</v>
      </c>
      <c r="G504" s="160" t="s">
        <v>3528</v>
      </c>
      <c r="H504" s="962" t="str">
        <f t="shared" si="15"/>
        <v xml:space="preserve">015566000A
</v>
      </c>
      <c r="I504" s="22">
        <v>496</v>
      </c>
      <c r="J504" t="str">
        <f t="shared" si="14"/>
        <v>5.8</v>
      </c>
    </row>
    <row r="505" spans="1:10" ht="31.5">
      <c r="A505" s="1265" t="s">
        <v>367</v>
      </c>
      <c r="B505" s="8" t="s">
        <v>3529</v>
      </c>
      <c r="C505" s="157" t="s">
        <v>1818</v>
      </c>
      <c r="D505" s="158">
        <v>20</v>
      </c>
      <c r="E505" s="159">
        <v>2653.1</v>
      </c>
      <c r="F505" s="158">
        <v>53062</v>
      </c>
      <c r="G505" s="160" t="s">
        <v>3530</v>
      </c>
      <c r="H505" s="962" t="str">
        <f t="shared" si="15"/>
        <v xml:space="preserve">015566110A
</v>
      </c>
      <c r="I505" s="22">
        <v>497</v>
      </c>
      <c r="J505" t="str">
        <f t="shared" si="14"/>
        <v>5.9</v>
      </c>
    </row>
    <row r="506" spans="1:10" ht="31.5">
      <c r="A506" s="1265" t="s">
        <v>368</v>
      </c>
      <c r="B506" s="8" t="s">
        <v>3531</v>
      </c>
      <c r="C506" s="157" t="s">
        <v>1818</v>
      </c>
      <c r="D506" s="158">
        <v>20</v>
      </c>
      <c r="E506" s="159">
        <v>3084.06</v>
      </c>
      <c r="F506" s="158">
        <v>61681.2</v>
      </c>
      <c r="G506" s="160" t="s">
        <v>3532</v>
      </c>
      <c r="H506" s="962" t="str">
        <f t="shared" si="15"/>
        <v xml:space="preserve">015566120A
</v>
      </c>
      <c r="I506" s="22">
        <v>498</v>
      </c>
    </row>
    <row r="507" spans="1:10" ht="31.5">
      <c r="A507" s="1265" t="s">
        <v>369</v>
      </c>
      <c r="B507" s="8" t="s">
        <v>3533</v>
      </c>
      <c r="C507" s="157" t="s">
        <v>1818</v>
      </c>
      <c r="D507" s="158">
        <v>20</v>
      </c>
      <c r="E507" s="159">
        <v>3904.95</v>
      </c>
      <c r="F507" s="158">
        <v>78099</v>
      </c>
      <c r="G507" s="160" t="s">
        <v>3534</v>
      </c>
      <c r="H507" s="962" t="str">
        <f t="shared" si="15"/>
        <v xml:space="preserve">015566130A
</v>
      </c>
      <c r="I507" s="22">
        <v>499</v>
      </c>
    </row>
    <row r="508" spans="1:10" ht="28.5">
      <c r="A508" s="1265" t="s">
        <v>370</v>
      </c>
      <c r="B508" s="8" t="s">
        <v>3535</v>
      </c>
      <c r="C508" s="157" t="s">
        <v>1818</v>
      </c>
      <c r="D508" s="158">
        <v>50</v>
      </c>
      <c r="E508" s="159">
        <v>1659.81</v>
      </c>
      <c r="F508" s="158">
        <v>82990.5</v>
      </c>
      <c r="G508" s="160" t="s">
        <v>3536</v>
      </c>
      <c r="H508" s="962" t="str">
        <f t="shared" si="15"/>
        <v xml:space="preserve">015568000A
</v>
      </c>
      <c r="I508" s="22">
        <v>500</v>
      </c>
    </row>
    <row r="509" spans="1:10" ht="28.5">
      <c r="A509" s="1265" t="s">
        <v>371</v>
      </c>
      <c r="B509" s="8" t="s">
        <v>3537</v>
      </c>
      <c r="C509" s="157" t="s">
        <v>1689</v>
      </c>
      <c r="D509" s="158">
        <v>30</v>
      </c>
      <c r="E509" s="159">
        <v>757.13</v>
      </c>
      <c r="F509" s="158">
        <v>22713.9</v>
      </c>
      <c r="G509" s="160" t="s">
        <v>3538</v>
      </c>
      <c r="H509" s="962" t="str">
        <f t="shared" si="15"/>
        <v xml:space="preserve">0155690008
</v>
      </c>
      <c r="I509" s="22">
        <v>501</v>
      </c>
    </row>
    <row r="510" spans="1:10" ht="28.5">
      <c r="A510" s="1265" t="s">
        <v>372</v>
      </c>
      <c r="B510" s="8" t="s">
        <v>3539</v>
      </c>
      <c r="C510" s="157" t="s">
        <v>1220</v>
      </c>
      <c r="D510" s="158">
        <v>100</v>
      </c>
      <c r="E510" s="159">
        <v>321.17</v>
      </c>
      <c r="F510" s="158">
        <v>32117</v>
      </c>
      <c r="G510" s="160" t="s">
        <v>3540</v>
      </c>
      <c r="H510" s="962" t="str">
        <f t="shared" si="15"/>
        <v xml:space="preserve">02891A0003
</v>
      </c>
      <c r="I510" s="22">
        <v>502</v>
      </c>
    </row>
    <row r="511" spans="1:10" ht="28.5">
      <c r="A511" s="1265" t="s">
        <v>373</v>
      </c>
      <c r="B511" s="8" t="s">
        <v>3541</v>
      </c>
      <c r="C511" s="157" t="s">
        <v>1220</v>
      </c>
      <c r="D511" s="158">
        <v>100</v>
      </c>
      <c r="E511" s="159">
        <v>89.53</v>
      </c>
      <c r="F511" s="158">
        <v>8953</v>
      </c>
      <c r="G511" s="160" t="s">
        <v>3542</v>
      </c>
      <c r="H511" s="962" t="str">
        <f t="shared" si="15"/>
        <v xml:space="preserve">02891B0003
</v>
      </c>
      <c r="I511" s="22">
        <v>503</v>
      </c>
    </row>
    <row r="512" spans="1:10" ht="28.5">
      <c r="A512" s="1265" t="s">
        <v>374</v>
      </c>
      <c r="B512" s="8" t="s">
        <v>3543</v>
      </c>
      <c r="C512" s="157" t="s">
        <v>2679</v>
      </c>
      <c r="D512" s="158">
        <v>10</v>
      </c>
      <c r="E512" s="159">
        <v>1929.08</v>
      </c>
      <c r="F512" s="158">
        <v>19290.8</v>
      </c>
      <c r="G512" s="160" t="s">
        <v>3544</v>
      </c>
      <c r="H512" s="962" t="str">
        <f t="shared" si="15"/>
        <v xml:space="preserve">01556K1007
</v>
      </c>
      <c r="I512" s="22">
        <v>504</v>
      </c>
    </row>
    <row r="513" spans="1:9" ht="28.5">
      <c r="A513" s="1265" t="s">
        <v>375</v>
      </c>
      <c r="B513" s="8" t="s">
        <v>3545</v>
      </c>
      <c r="C513" s="157" t="s">
        <v>1818</v>
      </c>
      <c r="D513" s="158">
        <v>10</v>
      </c>
      <c r="E513" s="159">
        <v>2591.5300000000002</v>
      </c>
      <c r="F513" s="158">
        <v>25915.3</v>
      </c>
      <c r="G513" s="160" t="s">
        <v>3546</v>
      </c>
      <c r="H513" s="962" t="str">
        <f t="shared" si="15"/>
        <v xml:space="preserve">01556L000A
</v>
      </c>
      <c r="I513" s="22">
        <v>505</v>
      </c>
    </row>
    <row r="514" spans="1:9" ht="199.5">
      <c r="A514" s="1265" t="s">
        <v>3547</v>
      </c>
      <c r="B514" s="8" t="s">
        <v>3548</v>
      </c>
      <c r="C514" s="157" t="s">
        <v>14</v>
      </c>
      <c r="D514" s="158">
        <v>1</v>
      </c>
      <c r="E514" s="159"/>
      <c r="F514" s="158">
        <v>367043.9</v>
      </c>
      <c r="G514" s="160" t="s">
        <v>5058</v>
      </c>
      <c r="H514" s="962" t="str">
        <f t="shared" si="15"/>
        <v>依工程費×2.85%,以新製品或完整無缺（重新油漆或清理過後）之堪用品進場。（本項決標後依投標須知第八十四點規定，依本機關原列預算單價以核定底價與預算總價之比例調整之，不隨得標廠商標價調整，本欄所列百分比亦隨同調整）</v>
      </c>
      <c r="I514" s="22">
        <v>506</v>
      </c>
    </row>
    <row r="515" spans="1:9" ht="31.5">
      <c r="A515" s="1265" t="s">
        <v>376</v>
      </c>
      <c r="B515" s="8" t="s">
        <v>3550</v>
      </c>
      <c r="C515" s="157" t="s">
        <v>2238</v>
      </c>
      <c r="D515" s="158">
        <v>20</v>
      </c>
      <c r="E515" s="159">
        <v>767.09</v>
      </c>
      <c r="F515" s="158">
        <v>15341.8</v>
      </c>
      <c r="G515" s="160" t="s">
        <v>532</v>
      </c>
      <c r="H515" s="962" t="str">
        <f t="shared" si="15"/>
        <v xml:space="preserve">015741010J
</v>
      </c>
      <c r="I515" s="22">
        <v>507</v>
      </c>
    </row>
    <row r="516" spans="1:9" ht="47.25">
      <c r="A516" s="1265" t="s">
        <v>377</v>
      </c>
      <c r="B516" s="8" t="s">
        <v>3551</v>
      </c>
      <c r="C516" s="157" t="s">
        <v>3513</v>
      </c>
      <c r="D516" s="158">
        <v>20</v>
      </c>
      <c r="E516" s="159">
        <v>124.53</v>
      </c>
      <c r="F516" s="158">
        <v>2490.6</v>
      </c>
      <c r="G516" s="160" t="s">
        <v>3552</v>
      </c>
      <c r="H516" s="962" t="str">
        <f t="shared" si="15"/>
        <v>015832000A
#</v>
      </c>
      <c r="I516" s="22">
        <v>508</v>
      </c>
    </row>
    <row r="517" spans="1:9" ht="47.25">
      <c r="A517" s="1265" t="s">
        <v>378</v>
      </c>
      <c r="B517" s="8" t="s">
        <v>3553</v>
      </c>
      <c r="C517" s="157" t="s">
        <v>3513</v>
      </c>
      <c r="D517" s="158">
        <v>20</v>
      </c>
      <c r="E517" s="159">
        <v>124.53</v>
      </c>
      <c r="F517" s="158">
        <v>2490.6</v>
      </c>
      <c r="G517" s="160" t="s">
        <v>3554</v>
      </c>
      <c r="H517" s="962" t="str">
        <f t="shared" si="15"/>
        <v>015832100A
#</v>
      </c>
      <c r="I517" s="22">
        <v>509</v>
      </c>
    </row>
    <row r="518" spans="1:9" ht="47.25">
      <c r="A518" s="1265" t="s">
        <v>379</v>
      </c>
      <c r="B518" s="8" t="s">
        <v>3555</v>
      </c>
      <c r="C518" s="157" t="s">
        <v>3513</v>
      </c>
      <c r="D518" s="158">
        <v>20</v>
      </c>
      <c r="E518" s="159">
        <v>124.53</v>
      </c>
      <c r="F518" s="158">
        <v>2490.6</v>
      </c>
      <c r="G518" s="160" t="s">
        <v>3556</v>
      </c>
      <c r="H518" s="962" t="str">
        <f t="shared" si="15"/>
        <v>015832200A
#</v>
      </c>
      <c r="I518" s="22">
        <v>510</v>
      </c>
    </row>
    <row r="519" spans="1:9" ht="31.5">
      <c r="A519" s="1265" t="s">
        <v>380</v>
      </c>
      <c r="B519" s="8" t="s">
        <v>3557</v>
      </c>
      <c r="C519" s="157" t="s">
        <v>1689</v>
      </c>
      <c r="D519" s="158">
        <v>20</v>
      </c>
      <c r="E519" s="159">
        <v>1155.6099999999999</v>
      </c>
      <c r="F519" s="158">
        <v>23112.2</v>
      </c>
      <c r="G519" s="160" t="s">
        <v>3558</v>
      </c>
      <c r="H519" s="962" t="str">
        <f t="shared" si="15"/>
        <v xml:space="preserve">015742D108
</v>
      </c>
      <c r="I519" s="22">
        <v>511</v>
      </c>
    </row>
    <row r="520" spans="1:9" ht="31.5">
      <c r="A520" s="1265" t="s">
        <v>381</v>
      </c>
      <c r="B520" s="8" t="s">
        <v>3559</v>
      </c>
      <c r="C520" s="157" t="s">
        <v>3560</v>
      </c>
      <c r="D520" s="158">
        <v>50</v>
      </c>
      <c r="E520" s="159">
        <v>200.24</v>
      </c>
      <c r="F520" s="158">
        <v>10012</v>
      </c>
      <c r="G520" s="160" t="s">
        <v>3561</v>
      </c>
      <c r="H520" s="962" t="str">
        <f t="shared" si="15"/>
        <v xml:space="preserve">015742110L
</v>
      </c>
      <c r="I520" s="22">
        <v>512</v>
      </c>
    </row>
    <row r="521" spans="1:9" ht="31.5">
      <c r="A521" s="1265" t="s">
        <v>382</v>
      </c>
      <c r="B521" s="8" t="s">
        <v>3562</v>
      </c>
      <c r="C521" s="157" t="s">
        <v>3563</v>
      </c>
      <c r="D521" s="158">
        <v>30</v>
      </c>
      <c r="E521" s="159">
        <v>298.87</v>
      </c>
      <c r="F521" s="158">
        <v>8966.1</v>
      </c>
      <c r="G521" s="160" t="s">
        <v>3564</v>
      </c>
      <c r="H521" s="962" t="str">
        <f t="shared" si="15"/>
        <v xml:space="preserve">015742320C
</v>
      </c>
      <c r="I521" s="22">
        <v>513</v>
      </c>
    </row>
    <row r="522" spans="1:9" ht="31.5">
      <c r="A522" s="1265" t="s">
        <v>383</v>
      </c>
      <c r="B522" s="8" t="s">
        <v>3565</v>
      </c>
      <c r="C522" s="157" t="s">
        <v>1689</v>
      </c>
      <c r="D522" s="158">
        <v>30</v>
      </c>
      <c r="E522" s="159">
        <v>151.43</v>
      </c>
      <c r="F522" s="158">
        <v>4542.8999999999996</v>
      </c>
      <c r="G522" s="160" t="s">
        <v>3566</v>
      </c>
      <c r="H522" s="962" t="str">
        <f t="shared" si="15"/>
        <v xml:space="preserve">0157424228
</v>
      </c>
      <c r="I522" s="22">
        <v>514</v>
      </c>
    </row>
    <row r="523" spans="1:9" ht="31.5">
      <c r="A523" s="1265" t="s">
        <v>384</v>
      </c>
      <c r="B523" s="8" t="s">
        <v>3567</v>
      </c>
      <c r="C523" s="157" t="s">
        <v>3568</v>
      </c>
      <c r="D523" s="158">
        <v>100</v>
      </c>
      <c r="E523" s="159">
        <v>29.89</v>
      </c>
      <c r="F523" s="158">
        <v>2989</v>
      </c>
      <c r="G523" s="160" t="s">
        <v>3569</v>
      </c>
      <c r="H523" s="962" t="str">
        <f t="shared" ref="H523:H544" si="16">G523</f>
        <v xml:space="preserve">015742672M
</v>
      </c>
      <c r="I523" s="22">
        <v>515</v>
      </c>
    </row>
    <row r="524" spans="1:9" ht="31.5">
      <c r="A524" s="1265" t="s">
        <v>385</v>
      </c>
      <c r="B524" s="8" t="s">
        <v>3570</v>
      </c>
      <c r="C524" s="157" t="s">
        <v>3568</v>
      </c>
      <c r="D524" s="158">
        <v>50</v>
      </c>
      <c r="E524" s="159">
        <v>501.1</v>
      </c>
      <c r="F524" s="158">
        <v>25055</v>
      </c>
      <c r="G524" s="160" t="s">
        <v>3571</v>
      </c>
      <c r="H524" s="962" t="str">
        <f t="shared" si="16"/>
        <v xml:space="preserve">015742710M
</v>
      </c>
      <c r="I524" s="22">
        <v>516</v>
      </c>
    </row>
    <row r="525" spans="1:9" ht="31.5">
      <c r="A525" s="1265" t="s">
        <v>386</v>
      </c>
      <c r="B525" s="8" t="s">
        <v>3572</v>
      </c>
      <c r="C525" s="157" t="s">
        <v>2694</v>
      </c>
      <c r="D525" s="158">
        <v>50</v>
      </c>
      <c r="E525" s="159">
        <v>278.94</v>
      </c>
      <c r="F525" s="158">
        <v>13947</v>
      </c>
      <c r="G525" s="160" t="s">
        <v>3573</v>
      </c>
      <c r="H525" s="962" t="str">
        <f t="shared" si="16"/>
        <v xml:space="preserve">015742870G
</v>
      </c>
      <c r="I525" s="22">
        <v>517</v>
      </c>
    </row>
    <row r="526" spans="1:9" ht="47.25">
      <c r="A526" s="1265" t="s">
        <v>387</v>
      </c>
      <c r="B526" s="8" t="s">
        <v>3574</v>
      </c>
      <c r="C526" s="157" t="s">
        <v>1689</v>
      </c>
      <c r="D526" s="158">
        <v>10</v>
      </c>
      <c r="E526" s="159">
        <v>557.88</v>
      </c>
      <c r="F526" s="158">
        <v>5578.8</v>
      </c>
      <c r="G526" s="160" t="s">
        <v>3575</v>
      </c>
      <c r="H526" s="962" t="str">
        <f t="shared" si="16"/>
        <v>0157429108
#</v>
      </c>
      <c r="I526" s="22">
        <v>518</v>
      </c>
    </row>
    <row r="527" spans="1:9" ht="47.25">
      <c r="A527" s="1265" t="s">
        <v>388</v>
      </c>
      <c r="B527" s="8" t="s">
        <v>3576</v>
      </c>
      <c r="C527" s="157" t="s">
        <v>1689</v>
      </c>
      <c r="D527" s="158">
        <v>10</v>
      </c>
      <c r="E527" s="159">
        <v>1793.19</v>
      </c>
      <c r="F527" s="158">
        <v>17931.900000000001</v>
      </c>
      <c r="G527" s="160" t="s">
        <v>3577</v>
      </c>
      <c r="H527" s="962" t="str">
        <f t="shared" si="16"/>
        <v xml:space="preserve">0157429517
</v>
      </c>
      <c r="I527" s="22">
        <v>519</v>
      </c>
    </row>
    <row r="528" spans="1:9" ht="31.5">
      <c r="A528" s="1265" t="s">
        <v>389</v>
      </c>
      <c r="B528" s="8" t="s">
        <v>3578</v>
      </c>
      <c r="C528" s="157" t="s">
        <v>2679</v>
      </c>
      <c r="D528" s="158">
        <v>10</v>
      </c>
      <c r="E528" s="159">
        <v>249.05</v>
      </c>
      <c r="F528" s="158">
        <v>2490.5</v>
      </c>
      <c r="G528" s="160" t="s">
        <v>3579</v>
      </c>
      <c r="H528" s="962" t="str">
        <f t="shared" si="16"/>
        <v xml:space="preserve">015742A107
</v>
      </c>
      <c r="I528" s="22">
        <v>520</v>
      </c>
    </row>
    <row r="529" spans="1:9" ht="47.25">
      <c r="A529" s="1265" t="s">
        <v>390</v>
      </c>
      <c r="B529" s="8" t="s">
        <v>3580</v>
      </c>
      <c r="C529" s="157" t="s">
        <v>2694</v>
      </c>
      <c r="D529" s="158">
        <v>50</v>
      </c>
      <c r="E529" s="159">
        <v>348.68</v>
      </c>
      <c r="F529" s="158">
        <v>17434</v>
      </c>
      <c r="G529" s="160" t="s">
        <v>3581</v>
      </c>
      <c r="H529" s="962" t="str">
        <f t="shared" si="16"/>
        <v xml:space="preserve">0157428A0G
</v>
      </c>
      <c r="I529" s="22">
        <v>521</v>
      </c>
    </row>
    <row r="530" spans="1:9" ht="47.25">
      <c r="A530" s="1265" t="s">
        <v>391</v>
      </c>
      <c r="B530" s="8" t="s">
        <v>3582</v>
      </c>
      <c r="C530" s="157" t="s">
        <v>1689</v>
      </c>
      <c r="D530" s="158">
        <v>20</v>
      </c>
      <c r="E530" s="159">
        <v>597.73</v>
      </c>
      <c r="F530" s="158">
        <v>11954.6</v>
      </c>
      <c r="G530" s="160" t="s">
        <v>3583</v>
      </c>
      <c r="H530" s="962" t="str">
        <f t="shared" si="16"/>
        <v xml:space="preserve">015742D408
</v>
      </c>
      <c r="I530" s="22">
        <v>522</v>
      </c>
    </row>
    <row r="531" spans="1:9" ht="31.5">
      <c r="A531" s="1265" t="s">
        <v>392</v>
      </c>
      <c r="B531" s="8" t="s">
        <v>3584</v>
      </c>
      <c r="C531" s="157" t="s">
        <v>3</v>
      </c>
      <c r="D531" s="158">
        <v>20</v>
      </c>
      <c r="E531" s="159">
        <v>249.05</v>
      </c>
      <c r="F531" s="158">
        <v>4981</v>
      </c>
      <c r="G531" s="160" t="s">
        <v>3585</v>
      </c>
      <c r="H531" s="962" t="str">
        <f t="shared" si="16"/>
        <v xml:space="preserve">0152101202
</v>
      </c>
      <c r="I531" s="22">
        <v>523</v>
      </c>
    </row>
    <row r="532" spans="1:9" ht="28.5">
      <c r="A532" s="1265" t="s">
        <v>393</v>
      </c>
      <c r="B532" s="8" t="s">
        <v>3586</v>
      </c>
      <c r="C532" s="157" t="s">
        <v>14</v>
      </c>
      <c r="D532" s="158">
        <v>1</v>
      </c>
      <c r="E532" s="159">
        <v>125500</v>
      </c>
      <c r="F532" s="158">
        <v>125500</v>
      </c>
      <c r="G532" s="160" t="s">
        <v>3587</v>
      </c>
      <c r="H532" s="962" t="str">
        <f t="shared" si="16"/>
        <v>L000007000004
[人力工項不打折]</v>
      </c>
      <c r="I532" s="22">
        <v>524</v>
      </c>
    </row>
    <row r="533" spans="1:9" ht="47.25">
      <c r="A533" s="1265" t="s">
        <v>394</v>
      </c>
      <c r="B533" s="8" t="s">
        <v>3588</v>
      </c>
      <c r="C533" s="157" t="s">
        <v>14</v>
      </c>
      <c r="D533" s="158">
        <v>1</v>
      </c>
      <c r="E533" s="159">
        <v>34867.65</v>
      </c>
      <c r="F533" s="158">
        <v>34867.65</v>
      </c>
      <c r="G533" s="160" t="s">
        <v>3589</v>
      </c>
      <c r="H533" s="962" t="str">
        <f t="shared" si="16"/>
        <v>0157433004
#</v>
      </c>
      <c r="I533" s="22">
        <v>525</v>
      </c>
    </row>
    <row r="534" spans="1:9" ht="31.5">
      <c r="A534" s="1265" t="s">
        <v>395</v>
      </c>
      <c r="B534" s="8" t="s">
        <v>3590</v>
      </c>
      <c r="C534" s="157" t="s">
        <v>14</v>
      </c>
      <c r="D534" s="158">
        <v>1</v>
      </c>
      <c r="E534" s="159">
        <v>34867.65</v>
      </c>
      <c r="F534" s="158">
        <v>34867.65</v>
      </c>
      <c r="G534" s="160" t="s">
        <v>3591</v>
      </c>
      <c r="H534" s="962" t="str">
        <f t="shared" si="16"/>
        <v>0157400004
#</v>
      </c>
      <c r="I534" s="22">
        <v>526</v>
      </c>
    </row>
    <row r="535" spans="1:9">
      <c r="A535" s="1265" t="s">
        <v>3592</v>
      </c>
      <c r="B535" s="8" t="s">
        <v>3593</v>
      </c>
      <c r="C535" s="157" t="s">
        <v>14</v>
      </c>
      <c r="D535" s="158">
        <v>1</v>
      </c>
      <c r="E535" s="159"/>
      <c r="F535" s="158">
        <v>209704.15</v>
      </c>
      <c r="G535" s="160" t="s">
        <v>4866</v>
      </c>
      <c r="H535" s="962" t="str">
        <f t="shared" si="16"/>
        <v>依工程費×1.63%</v>
      </c>
      <c r="I535" s="22">
        <v>527</v>
      </c>
    </row>
    <row r="536" spans="1:9" ht="31.5">
      <c r="A536" s="1265" t="s">
        <v>396</v>
      </c>
      <c r="B536" s="8" t="s">
        <v>3595</v>
      </c>
      <c r="C536" s="157" t="s">
        <v>2238</v>
      </c>
      <c r="D536" s="158">
        <v>44</v>
      </c>
      <c r="E536" s="159">
        <v>2490.5500000000002</v>
      </c>
      <c r="F536" s="158">
        <v>109584.2</v>
      </c>
      <c r="G536" s="160" t="s">
        <v>3596</v>
      </c>
      <c r="H536" s="962" t="str">
        <f t="shared" si="16"/>
        <v xml:space="preserve">01510C100F
</v>
      </c>
      <c r="I536" s="22">
        <v>528</v>
      </c>
    </row>
    <row r="537" spans="1:9" ht="31.5">
      <c r="A537" s="1265" t="s">
        <v>397</v>
      </c>
      <c r="B537" s="8" t="s">
        <v>3597</v>
      </c>
      <c r="C537" s="157" t="s">
        <v>14</v>
      </c>
      <c r="D537" s="158">
        <v>1</v>
      </c>
      <c r="E537" s="159">
        <v>24905.46</v>
      </c>
      <c r="F537" s="158">
        <v>24905.46</v>
      </c>
      <c r="G537" s="160" t="s">
        <v>3598</v>
      </c>
      <c r="H537" s="962" t="str">
        <f t="shared" si="16"/>
        <v xml:space="preserve">01510C2004
</v>
      </c>
      <c r="I537" s="22">
        <v>529</v>
      </c>
    </row>
    <row r="538" spans="1:9" ht="31.5">
      <c r="A538" s="1265" t="s">
        <v>398</v>
      </c>
      <c r="B538" s="8" t="s">
        <v>3599</v>
      </c>
      <c r="C538" s="157" t="s">
        <v>14</v>
      </c>
      <c r="D538" s="158">
        <v>1</v>
      </c>
      <c r="E538" s="159">
        <v>24905.46</v>
      </c>
      <c r="F538" s="158">
        <v>24905.46</v>
      </c>
      <c r="G538" s="160" t="s">
        <v>3600</v>
      </c>
      <c r="H538" s="962" t="str">
        <f t="shared" si="16"/>
        <v xml:space="preserve">01510C6004
</v>
      </c>
      <c r="I538" s="22">
        <v>530</v>
      </c>
    </row>
    <row r="539" spans="1:9" ht="28.5">
      <c r="A539" s="1265" t="s">
        <v>399</v>
      </c>
      <c r="B539" s="8" t="s">
        <v>3601</v>
      </c>
      <c r="C539" s="157" t="s">
        <v>14</v>
      </c>
      <c r="D539" s="158">
        <v>1</v>
      </c>
      <c r="E539" s="159">
        <v>24905.46</v>
      </c>
      <c r="F539" s="158">
        <v>24905.46</v>
      </c>
      <c r="G539" s="160" t="s">
        <v>3602</v>
      </c>
      <c r="H539" s="962" t="str">
        <f t="shared" si="16"/>
        <v xml:space="preserve">01510C7004
</v>
      </c>
      <c r="I539" s="22">
        <v>531</v>
      </c>
    </row>
    <row r="540" spans="1:9" ht="31.5">
      <c r="A540" s="1265" t="s">
        <v>400</v>
      </c>
      <c r="B540" s="8" t="s">
        <v>3603</v>
      </c>
      <c r="C540" s="157" t="s">
        <v>14</v>
      </c>
      <c r="D540" s="158">
        <v>1</v>
      </c>
      <c r="E540" s="159">
        <v>25403.57</v>
      </c>
      <c r="F540" s="158">
        <v>25403.57</v>
      </c>
      <c r="G540" s="160" t="s">
        <v>533</v>
      </c>
      <c r="H540" s="962" t="str">
        <f t="shared" si="16"/>
        <v xml:space="preserve">01510C8004
</v>
      </c>
      <c r="I540" s="22">
        <v>532</v>
      </c>
    </row>
    <row r="541" spans="1:9">
      <c r="A541" s="1265" t="s">
        <v>3604</v>
      </c>
      <c r="B541" s="8" t="s">
        <v>3605</v>
      </c>
      <c r="C541" s="157" t="s">
        <v>14</v>
      </c>
      <c r="D541" s="158">
        <v>1</v>
      </c>
      <c r="E541" s="159"/>
      <c r="F541" s="158">
        <v>241766</v>
      </c>
      <c r="G541" s="160" t="s">
        <v>5059</v>
      </c>
      <c r="H541" s="962" t="str">
        <f t="shared" si="16"/>
        <v>依工程費×1.88</v>
      </c>
      <c r="I541" s="22">
        <v>533</v>
      </c>
    </row>
    <row r="542" spans="1:9" ht="31.5">
      <c r="A542" s="1265" t="s">
        <v>3607</v>
      </c>
      <c r="B542" s="8" t="s">
        <v>3608</v>
      </c>
      <c r="C542" s="157" t="s">
        <v>14</v>
      </c>
      <c r="D542" s="158">
        <v>1</v>
      </c>
      <c r="E542" s="159"/>
      <c r="F542" s="158">
        <v>1627628.27</v>
      </c>
      <c r="G542" s="160" t="s">
        <v>5483</v>
      </c>
      <c r="H542" s="962" t="str">
        <f t="shared" si="16"/>
        <v>(壹.一-壹.八)*_x000D_
[約10.94809484%]</v>
      </c>
      <c r="I542" s="22">
        <v>534</v>
      </c>
    </row>
    <row r="543" spans="1:9">
      <c r="A543" s="1265" t="s">
        <v>3610</v>
      </c>
      <c r="B543" s="8" t="s">
        <v>3611</v>
      </c>
      <c r="C543" s="157" t="s">
        <v>14</v>
      </c>
      <c r="D543" s="158">
        <v>1</v>
      </c>
      <c r="E543" s="159"/>
      <c r="F543" s="158">
        <v>5600</v>
      </c>
      <c r="G543" s="160" t="s">
        <v>2</v>
      </c>
      <c r="H543" s="962" t="str">
        <f t="shared" si="16"/>
        <v/>
      </c>
      <c r="I543" s="22">
        <v>535</v>
      </c>
    </row>
    <row r="544" spans="1:9" ht="99.75">
      <c r="A544" s="1265" t="s">
        <v>534</v>
      </c>
      <c r="B544" s="8" t="s">
        <v>3612</v>
      </c>
      <c r="C544" s="157" t="s">
        <v>3</v>
      </c>
      <c r="D544" s="158">
        <v>100</v>
      </c>
      <c r="E544" s="159">
        <v>56</v>
      </c>
      <c r="F544" s="158">
        <v>5600</v>
      </c>
      <c r="G544" s="160" t="s">
        <v>3613</v>
      </c>
      <c r="H544" s="962" t="str">
        <f t="shared" si="16"/>
        <v>0225305002
本項單價為固定值(56元/M2)，訂約時不隨折數調整，依實際鑑定戶數計架並檢據核銷(費用不另計稅什費)</v>
      </c>
      <c r="I544" s="22">
        <v>536</v>
      </c>
    </row>
    <row r="545" spans="1:7">
      <c r="A545" s="1265"/>
      <c r="B545" s="1266" t="s">
        <v>3614</v>
      </c>
      <c r="C545" s="157"/>
      <c r="D545" s="158"/>
      <c r="E545" s="159"/>
      <c r="F545" s="158">
        <v>16500000</v>
      </c>
      <c r="G545" s="160"/>
    </row>
    <row r="546" spans="1:7">
      <c r="A546" s="1265"/>
      <c r="B546" s="1266" t="s">
        <v>3615</v>
      </c>
      <c r="C546" s="157"/>
      <c r="D546" s="158"/>
      <c r="E546" s="159"/>
      <c r="F546" s="158">
        <v>16500000</v>
      </c>
      <c r="G546" s="160"/>
    </row>
    <row r="547" spans="1:7">
      <c r="A547" s="1648" t="s">
        <v>3616</v>
      </c>
      <c r="B547" s="1649"/>
      <c r="C547" s="1649"/>
      <c r="D547" s="1649"/>
      <c r="E547" s="1649"/>
      <c r="F547" s="1649"/>
      <c r="G547" s="1650"/>
    </row>
    <row r="548" spans="1:7">
      <c r="A548" s="1651" t="s">
        <v>4868</v>
      </c>
      <c r="B548" s="1652"/>
      <c r="C548" s="1652"/>
      <c r="D548" s="1652"/>
      <c r="E548" s="1652"/>
      <c r="F548" s="1652"/>
      <c r="G548" s="1653"/>
    </row>
  </sheetData>
  <mergeCells count="8">
    <mergeCell ref="A1:G1"/>
    <mergeCell ref="A4:G4"/>
    <mergeCell ref="A5:E5"/>
    <mergeCell ref="A547:G547"/>
    <mergeCell ref="A548:G548"/>
    <mergeCell ref="A2:G2"/>
    <mergeCell ref="F5:G5"/>
    <mergeCell ref="A3:G3"/>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9">
    <tabColor theme="5" tint="0.39997558519241921"/>
  </sheetPr>
  <dimension ref="A1:J549"/>
  <sheetViews>
    <sheetView zoomScale="115" zoomScaleNormal="115" zoomScaleSheetLayoutView="100" workbookViewId="0">
      <selection activeCell="A6" sqref="A1:I1048576"/>
    </sheetView>
  </sheetViews>
  <sheetFormatPr defaultRowHeight="16.5"/>
  <cols>
    <col min="1" max="1" width="5.25" style="26" customWidth="1"/>
    <col min="2" max="2" width="26.25" style="26" customWidth="1"/>
    <col min="3" max="3" width="5.5" style="26" customWidth="1"/>
    <col min="4" max="4" width="8.375" style="26" customWidth="1"/>
    <col min="5" max="5" width="10.875" style="26" customWidth="1"/>
    <col min="6" max="6" width="10.875" style="27" customWidth="1"/>
    <col min="7" max="8" width="15.25" style="27" customWidth="1"/>
    <col min="9" max="9" width="9" style="23" customWidth="1"/>
    <col min="10" max="10" width="9" customWidth="1"/>
  </cols>
  <sheetData>
    <row r="1" spans="1:10" s="4" customFormat="1" ht="16.5" customHeight="1">
      <c r="A1" s="1668" t="s">
        <v>500</v>
      </c>
      <c r="B1" s="1668"/>
      <c r="C1" s="1668"/>
      <c r="D1" s="1668"/>
      <c r="E1" s="1668"/>
      <c r="F1" s="1668"/>
      <c r="G1" s="1668"/>
      <c r="H1" s="45"/>
      <c r="I1" s="11"/>
      <c r="J1" s="4" t="str">
        <f>A1</f>
        <v>臺北市政府工務局水利工程處</v>
      </c>
    </row>
    <row r="2" spans="1:10" s="4" customFormat="1" ht="16.5" customHeight="1">
      <c r="A2" s="1668" t="s">
        <v>501</v>
      </c>
      <c r="B2" s="1668"/>
      <c r="C2" s="1668"/>
      <c r="D2" s="1668"/>
      <c r="E2" s="1668"/>
      <c r="F2" s="1668"/>
      <c r="G2" s="1668"/>
      <c r="H2" s="45"/>
      <c r="I2" s="11"/>
      <c r="J2" s="4" t="str">
        <f t="shared" ref="J2:J65" si="0">A2</f>
        <v>詳 細 價 目 表</v>
      </c>
    </row>
    <row r="3" spans="1:10" s="4" customFormat="1" ht="16.5" customHeight="1">
      <c r="A3" s="1669"/>
      <c r="B3" s="1669"/>
      <c r="C3" s="1669"/>
      <c r="D3" s="1669"/>
      <c r="E3" s="1669"/>
      <c r="F3" s="1669"/>
      <c r="G3" s="1669"/>
      <c r="H3" s="46"/>
      <c r="I3" s="11"/>
      <c r="J3" s="4">
        <f t="shared" si="0"/>
        <v>0</v>
      </c>
    </row>
    <row r="4" spans="1:10" s="4" customFormat="1" ht="17.100000000000001" customHeight="1">
      <c r="A4" s="1670" t="s">
        <v>6027</v>
      </c>
      <c r="B4" s="1656"/>
      <c r="C4" s="1656"/>
      <c r="D4" s="1656"/>
      <c r="E4" s="1656"/>
      <c r="F4" s="1656"/>
      <c r="G4" s="1656"/>
      <c r="H4" s="963" t="s">
        <v>5556</v>
      </c>
      <c r="I4" s="11"/>
      <c r="J4" s="4" t="str">
        <f t="shared" si="0"/>
        <v>工程名稱：114年續約-113年度雨水下水道預約維護工程(北投區)</v>
      </c>
    </row>
    <row r="5" spans="1:10" s="5" customFormat="1" ht="18" customHeight="1">
      <c r="A5" s="1671" t="s">
        <v>5554</v>
      </c>
      <c r="B5" s="1671"/>
      <c r="C5" s="1671"/>
      <c r="D5" s="1671"/>
      <c r="E5" s="1671"/>
      <c r="F5" s="1672" t="s">
        <v>5555</v>
      </c>
      <c r="G5" s="1673"/>
      <c r="H5" s="48"/>
      <c r="I5" s="13"/>
      <c r="J5" s="5" t="str">
        <f t="shared" si="0"/>
        <v>施工地點：臺北市北投區</v>
      </c>
    </row>
    <row r="6" spans="1:10" s="4" customFormat="1">
      <c r="A6" s="14" t="s">
        <v>502</v>
      </c>
      <c r="B6" s="15" t="s">
        <v>503</v>
      </c>
      <c r="C6" s="15" t="s">
        <v>504</v>
      </c>
      <c r="D6" s="15" t="s">
        <v>2863</v>
      </c>
      <c r="E6" s="16" t="s">
        <v>505</v>
      </c>
      <c r="F6" s="16" t="s">
        <v>2864</v>
      </c>
      <c r="G6" s="15" t="s">
        <v>506</v>
      </c>
      <c r="H6" s="47"/>
      <c r="I6" s="11"/>
      <c r="J6" s="4" t="str">
        <f t="shared" si="0"/>
        <v>項次</v>
      </c>
    </row>
    <row r="7" spans="1:10" s="4" customFormat="1">
      <c r="A7" s="17" t="s">
        <v>507</v>
      </c>
      <c r="B7" s="18" t="s">
        <v>508</v>
      </c>
      <c r="C7" s="19" t="s">
        <v>509</v>
      </c>
      <c r="D7" s="20">
        <v>1</v>
      </c>
      <c r="E7" s="20"/>
      <c r="F7" s="20"/>
      <c r="G7" s="21" t="s">
        <v>2</v>
      </c>
      <c r="H7" s="26"/>
      <c r="I7" s="11"/>
      <c r="J7" s="4" t="str">
        <f t="shared" si="0"/>
        <v>壹</v>
      </c>
    </row>
    <row r="8" spans="1:10" s="4" customFormat="1">
      <c r="A8" s="17" t="s">
        <v>510</v>
      </c>
      <c r="B8" s="18" t="s">
        <v>511</v>
      </c>
      <c r="C8" s="19" t="s">
        <v>509</v>
      </c>
      <c r="D8" s="20">
        <v>1</v>
      </c>
      <c r="E8" s="20"/>
      <c r="F8" s="20"/>
      <c r="G8" s="21" t="s">
        <v>512</v>
      </c>
      <c r="H8" s="26"/>
      <c r="I8" s="11"/>
      <c r="J8" s="4" t="str">
        <f t="shared" si="0"/>
        <v>　一</v>
      </c>
    </row>
    <row r="9" spans="1:10" s="4" customFormat="1" ht="28.5">
      <c r="A9" s="1290" t="s">
        <v>28</v>
      </c>
      <c r="B9" s="1291" t="s">
        <v>2996</v>
      </c>
      <c r="C9" s="1292" t="s">
        <v>927</v>
      </c>
      <c r="D9" s="1293">
        <v>100</v>
      </c>
      <c r="E9" s="1294">
        <v>401</v>
      </c>
      <c r="F9" s="1293">
        <v>40100</v>
      </c>
      <c r="G9" s="1295" t="s">
        <v>2997</v>
      </c>
      <c r="H9" s="1296" t="s">
        <v>5593</v>
      </c>
      <c r="I9" s="1297">
        <v>1</v>
      </c>
      <c r="J9" s="4" t="str">
        <f t="shared" si="0"/>
        <v>1.1</v>
      </c>
    </row>
    <row r="10" spans="1:10" s="4" customFormat="1" ht="28.5">
      <c r="A10" s="1290" t="s">
        <v>29</v>
      </c>
      <c r="B10" s="1291" t="s">
        <v>2998</v>
      </c>
      <c r="C10" s="1292" t="s">
        <v>927</v>
      </c>
      <c r="D10" s="1293">
        <v>100</v>
      </c>
      <c r="E10" s="1294">
        <v>401</v>
      </c>
      <c r="F10" s="1293">
        <v>40100</v>
      </c>
      <c r="G10" s="1295" t="s">
        <v>2999</v>
      </c>
      <c r="H10" s="1296" t="s">
        <v>5594</v>
      </c>
      <c r="I10" s="1297">
        <v>2</v>
      </c>
      <c r="J10" s="4" t="str">
        <f t="shared" si="0"/>
        <v>1.2</v>
      </c>
    </row>
    <row r="11" spans="1:10" s="4" customFormat="1" ht="28.5">
      <c r="A11" s="1290" t="s">
        <v>30</v>
      </c>
      <c r="B11" s="1291" t="s">
        <v>1078</v>
      </c>
      <c r="C11" s="1292" t="s">
        <v>927</v>
      </c>
      <c r="D11" s="1293">
        <v>100</v>
      </c>
      <c r="E11" s="1294">
        <v>401</v>
      </c>
      <c r="F11" s="1293">
        <v>40100</v>
      </c>
      <c r="G11" s="1295" t="s">
        <v>3000</v>
      </c>
      <c r="H11" s="1296" t="s">
        <v>5595</v>
      </c>
      <c r="I11" s="1297">
        <v>3</v>
      </c>
      <c r="J11" s="4" t="str">
        <f t="shared" si="0"/>
        <v>1.3</v>
      </c>
    </row>
    <row r="12" spans="1:10" s="4" customFormat="1" ht="28.5">
      <c r="A12" s="1290" t="s">
        <v>31</v>
      </c>
      <c r="B12" s="1291" t="s">
        <v>3001</v>
      </c>
      <c r="C12" s="1292" t="s">
        <v>927</v>
      </c>
      <c r="D12" s="1293">
        <v>100</v>
      </c>
      <c r="E12" s="1294">
        <v>281</v>
      </c>
      <c r="F12" s="1293">
        <v>28100</v>
      </c>
      <c r="G12" s="1295" t="s">
        <v>3002</v>
      </c>
      <c r="H12" s="1296" t="s">
        <v>5596</v>
      </c>
      <c r="I12" s="1297">
        <v>4</v>
      </c>
      <c r="J12" s="4" t="str">
        <f t="shared" si="0"/>
        <v>1.4</v>
      </c>
    </row>
    <row r="13" spans="1:10" s="4" customFormat="1" ht="28.5">
      <c r="A13" s="1290" t="s">
        <v>32</v>
      </c>
      <c r="B13" s="1291" t="s">
        <v>3003</v>
      </c>
      <c r="C13" s="1292" t="s">
        <v>927</v>
      </c>
      <c r="D13" s="1293">
        <v>100</v>
      </c>
      <c r="E13" s="1294">
        <v>410</v>
      </c>
      <c r="F13" s="1293">
        <v>41000</v>
      </c>
      <c r="G13" s="1295" t="s">
        <v>3004</v>
      </c>
      <c r="H13" s="1296" t="s">
        <v>5597</v>
      </c>
      <c r="I13" s="1297">
        <v>5</v>
      </c>
      <c r="J13" s="4" t="str">
        <f t="shared" si="0"/>
        <v>1.5</v>
      </c>
    </row>
    <row r="14" spans="1:10" s="4" customFormat="1" ht="28.5">
      <c r="A14" s="1290" t="s">
        <v>33</v>
      </c>
      <c r="B14" s="1291" t="s">
        <v>4408</v>
      </c>
      <c r="C14" s="1292" t="s">
        <v>927</v>
      </c>
      <c r="D14" s="1293">
        <v>100</v>
      </c>
      <c r="E14" s="1294">
        <v>820</v>
      </c>
      <c r="F14" s="1293">
        <v>82000</v>
      </c>
      <c r="G14" s="1295" t="s">
        <v>4409</v>
      </c>
      <c r="H14" s="1296" t="s">
        <v>5598</v>
      </c>
      <c r="I14" s="1297">
        <v>6</v>
      </c>
      <c r="J14" s="4" t="str">
        <f t="shared" si="0"/>
        <v>1.6</v>
      </c>
    </row>
    <row r="15" spans="1:10" s="4" customFormat="1" ht="28.5">
      <c r="A15" s="1290" t="s">
        <v>34</v>
      </c>
      <c r="B15" s="1291" t="s">
        <v>4410</v>
      </c>
      <c r="C15" s="1292" t="s">
        <v>927</v>
      </c>
      <c r="D15" s="1293">
        <v>100</v>
      </c>
      <c r="E15" s="1294">
        <v>802</v>
      </c>
      <c r="F15" s="1293">
        <v>80200</v>
      </c>
      <c r="G15" s="1295" t="s">
        <v>4411</v>
      </c>
      <c r="H15" s="1296" t="s">
        <v>5599</v>
      </c>
      <c r="I15" s="1297">
        <v>7</v>
      </c>
      <c r="J15" s="4" t="str">
        <f t="shared" si="0"/>
        <v>1.7</v>
      </c>
    </row>
    <row r="16" spans="1:10" s="4" customFormat="1" ht="28.5">
      <c r="A16" s="1290" t="s">
        <v>35</v>
      </c>
      <c r="B16" s="1291" t="s">
        <v>4412</v>
      </c>
      <c r="C16" s="1292" t="s">
        <v>927</v>
      </c>
      <c r="D16" s="1293">
        <v>100</v>
      </c>
      <c r="E16" s="1294">
        <v>802</v>
      </c>
      <c r="F16" s="1293">
        <v>80200</v>
      </c>
      <c r="G16" s="1295" t="s">
        <v>4413</v>
      </c>
      <c r="H16" s="1296" t="s">
        <v>5600</v>
      </c>
      <c r="I16" s="1297">
        <v>8</v>
      </c>
      <c r="J16" s="4" t="str">
        <f t="shared" si="0"/>
        <v>1.8</v>
      </c>
    </row>
    <row r="17" spans="1:10" s="4" customFormat="1" ht="28.5">
      <c r="A17" s="1290" t="s">
        <v>36</v>
      </c>
      <c r="B17" s="1291" t="s">
        <v>4414</v>
      </c>
      <c r="C17" s="1292" t="s">
        <v>927</v>
      </c>
      <c r="D17" s="1293">
        <v>100</v>
      </c>
      <c r="E17" s="1294">
        <v>562</v>
      </c>
      <c r="F17" s="1293">
        <v>56200</v>
      </c>
      <c r="G17" s="1295" t="s">
        <v>4415</v>
      </c>
      <c r="H17" s="1296" t="s">
        <v>5601</v>
      </c>
      <c r="I17" s="1297">
        <v>9</v>
      </c>
      <c r="J17" s="4" t="str">
        <f t="shared" si="0"/>
        <v>1.9</v>
      </c>
    </row>
    <row r="18" spans="1:10" s="4" customFormat="1" ht="28.5">
      <c r="A18" s="1290" t="s">
        <v>37</v>
      </c>
      <c r="B18" s="1291" t="s">
        <v>3005</v>
      </c>
      <c r="C18" s="1292" t="s">
        <v>927</v>
      </c>
      <c r="D18" s="1293">
        <v>20</v>
      </c>
      <c r="E18" s="1294">
        <v>1122.7</v>
      </c>
      <c r="F18" s="1293">
        <v>22454</v>
      </c>
      <c r="G18" s="1295" t="s">
        <v>3006</v>
      </c>
      <c r="H18" s="1296" t="s">
        <v>5602</v>
      </c>
      <c r="I18" s="1297">
        <v>10</v>
      </c>
      <c r="J18" s="4" t="str">
        <f t="shared" si="0"/>
        <v>1.10</v>
      </c>
    </row>
    <row r="19" spans="1:10" s="4" customFormat="1" ht="28.5">
      <c r="A19" s="1290" t="s">
        <v>38</v>
      </c>
      <c r="B19" s="1291" t="s">
        <v>1056</v>
      </c>
      <c r="C19" s="1292" t="s">
        <v>927</v>
      </c>
      <c r="D19" s="1293">
        <v>20</v>
      </c>
      <c r="E19" s="1294">
        <v>767.01</v>
      </c>
      <c r="F19" s="1293">
        <v>15340.2</v>
      </c>
      <c r="G19" s="1295" t="s">
        <v>1057</v>
      </c>
      <c r="H19" s="1296" t="s">
        <v>5603</v>
      </c>
      <c r="I19" s="1297">
        <v>11</v>
      </c>
      <c r="J19" s="4" t="str">
        <f t="shared" si="0"/>
        <v>1.11</v>
      </c>
    </row>
    <row r="20" spans="1:10" s="4" customFormat="1" ht="28.5">
      <c r="A20" s="1290" t="s">
        <v>39</v>
      </c>
      <c r="B20" s="1291" t="s">
        <v>1076</v>
      </c>
      <c r="C20" s="1292" t="s">
        <v>927</v>
      </c>
      <c r="D20" s="1293">
        <v>20</v>
      </c>
      <c r="E20" s="1294">
        <v>397.42</v>
      </c>
      <c r="F20" s="1293">
        <v>7948.4</v>
      </c>
      <c r="G20" s="1295" t="s">
        <v>1077</v>
      </c>
      <c r="H20" s="1296" t="s">
        <v>5604</v>
      </c>
      <c r="I20" s="1297">
        <v>12</v>
      </c>
      <c r="J20" s="4" t="str">
        <f t="shared" si="0"/>
        <v>1.12</v>
      </c>
    </row>
    <row r="21" spans="1:10" s="4" customFormat="1" ht="28.5">
      <c r="A21" s="1290" t="s">
        <v>40</v>
      </c>
      <c r="B21" s="1291" t="s">
        <v>1084</v>
      </c>
      <c r="C21" s="1292" t="s">
        <v>927</v>
      </c>
      <c r="D21" s="1293">
        <v>20</v>
      </c>
      <c r="E21" s="1294">
        <v>685.54</v>
      </c>
      <c r="F21" s="1293">
        <v>13710.8</v>
      </c>
      <c r="G21" s="1295" t="s">
        <v>1085</v>
      </c>
      <c r="H21" s="1296" t="s">
        <v>5605</v>
      </c>
      <c r="I21" s="1297">
        <v>13</v>
      </c>
      <c r="J21" s="4" t="str">
        <f t="shared" si="0"/>
        <v>1.13</v>
      </c>
    </row>
    <row r="22" spans="1:10" s="4" customFormat="1" ht="28.5">
      <c r="A22" s="1290" t="s">
        <v>41</v>
      </c>
      <c r="B22" s="1291" t="s">
        <v>997</v>
      </c>
      <c r="C22" s="1292" t="s">
        <v>927</v>
      </c>
      <c r="D22" s="1293">
        <v>20</v>
      </c>
      <c r="E22" s="1294">
        <v>1152.5</v>
      </c>
      <c r="F22" s="1293">
        <v>23050</v>
      </c>
      <c r="G22" s="1295" t="s">
        <v>998</v>
      </c>
      <c r="H22" s="1296" t="s">
        <v>5606</v>
      </c>
      <c r="I22" s="1297">
        <v>14</v>
      </c>
      <c r="J22" s="4" t="str">
        <f t="shared" si="0"/>
        <v>1.14</v>
      </c>
    </row>
    <row r="23" spans="1:10" s="4" customFormat="1" ht="28.5">
      <c r="A23" s="1290" t="s">
        <v>42</v>
      </c>
      <c r="B23" s="1291" t="s">
        <v>1093</v>
      </c>
      <c r="C23" s="1292" t="s">
        <v>927</v>
      </c>
      <c r="D23" s="1293">
        <v>20</v>
      </c>
      <c r="E23" s="1294">
        <v>1569.79</v>
      </c>
      <c r="F23" s="1293">
        <v>31395.8</v>
      </c>
      <c r="G23" s="1295" t="s">
        <v>1094</v>
      </c>
      <c r="H23" s="1296" t="s">
        <v>5607</v>
      </c>
      <c r="I23" s="1297">
        <v>15</v>
      </c>
      <c r="J23" s="4" t="str">
        <f t="shared" si="0"/>
        <v>1.15</v>
      </c>
    </row>
    <row r="24" spans="1:10" s="4" customFormat="1" ht="28.5">
      <c r="A24" s="1290" t="s">
        <v>43</v>
      </c>
      <c r="B24" s="1291" t="s">
        <v>1774</v>
      </c>
      <c r="C24" s="1292" t="s">
        <v>927</v>
      </c>
      <c r="D24" s="1293">
        <v>20</v>
      </c>
      <c r="E24" s="1294">
        <v>1410.82</v>
      </c>
      <c r="F24" s="1293">
        <v>28216.400000000001</v>
      </c>
      <c r="G24" s="1295" t="s">
        <v>1775</v>
      </c>
      <c r="H24" s="1296" t="s">
        <v>5608</v>
      </c>
      <c r="I24" s="1297">
        <v>16</v>
      </c>
      <c r="J24" s="4" t="str">
        <f t="shared" si="0"/>
        <v>1.16</v>
      </c>
    </row>
    <row r="25" spans="1:10" s="4" customFormat="1" ht="28.5">
      <c r="A25" s="1290" t="s">
        <v>44</v>
      </c>
      <c r="B25" s="1291" t="s">
        <v>1050</v>
      </c>
      <c r="C25" s="1292" t="s">
        <v>927</v>
      </c>
      <c r="D25" s="1293">
        <v>20</v>
      </c>
      <c r="E25" s="1294">
        <v>1390.95</v>
      </c>
      <c r="F25" s="1293">
        <v>27819</v>
      </c>
      <c r="G25" s="1295" t="s">
        <v>1051</v>
      </c>
      <c r="H25" s="1296" t="s">
        <v>5609</v>
      </c>
      <c r="I25" s="1297">
        <v>17</v>
      </c>
      <c r="J25" s="4" t="str">
        <f t="shared" si="0"/>
        <v>1.17</v>
      </c>
    </row>
    <row r="26" spans="1:10" s="4" customFormat="1" ht="28.5">
      <c r="A26" s="1290" t="s">
        <v>45</v>
      </c>
      <c r="B26" s="1291" t="s">
        <v>929</v>
      </c>
      <c r="C26" s="1292" t="s">
        <v>927</v>
      </c>
      <c r="D26" s="1293">
        <v>20</v>
      </c>
      <c r="E26" s="1294">
        <v>1490.31</v>
      </c>
      <c r="F26" s="1293">
        <v>29806.2</v>
      </c>
      <c r="G26" s="1295" t="s">
        <v>930</v>
      </c>
      <c r="H26" s="1296" t="s">
        <v>5610</v>
      </c>
      <c r="I26" s="1297">
        <v>18</v>
      </c>
      <c r="J26" s="4" t="str">
        <f t="shared" si="0"/>
        <v>1.18</v>
      </c>
    </row>
    <row r="27" spans="1:10" s="4" customFormat="1" ht="28.5">
      <c r="A27" s="1290" t="s">
        <v>46</v>
      </c>
      <c r="B27" s="1291" t="s">
        <v>3007</v>
      </c>
      <c r="C27" s="1292" t="s">
        <v>927</v>
      </c>
      <c r="D27" s="1293">
        <v>20</v>
      </c>
      <c r="E27" s="1294">
        <v>711.37</v>
      </c>
      <c r="F27" s="1293">
        <v>14227.4</v>
      </c>
      <c r="G27" s="1295" t="s">
        <v>3008</v>
      </c>
      <c r="H27" s="1296" t="s">
        <v>5611</v>
      </c>
      <c r="I27" s="1297">
        <v>19</v>
      </c>
      <c r="J27" s="4" t="str">
        <f t="shared" si="0"/>
        <v>1.19</v>
      </c>
    </row>
    <row r="28" spans="1:10" s="4" customFormat="1" ht="42.75">
      <c r="A28" s="1290" t="s">
        <v>47</v>
      </c>
      <c r="B28" s="1291" t="s">
        <v>923</v>
      </c>
      <c r="C28" s="1292" t="s">
        <v>0</v>
      </c>
      <c r="D28" s="1293">
        <v>20</v>
      </c>
      <c r="E28" s="1294">
        <v>1052.3499999999999</v>
      </c>
      <c r="F28" s="1293">
        <v>21047</v>
      </c>
      <c r="G28" s="1295" t="s">
        <v>3009</v>
      </c>
      <c r="H28" s="1296" t="s">
        <v>5612</v>
      </c>
      <c r="I28" s="1297">
        <v>20</v>
      </c>
      <c r="J28" s="4" t="str">
        <f t="shared" si="0"/>
        <v>1.20</v>
      </c>
    </row>
    <row r="29" spans="1:10" s="4" customFormat="1" ht="42.75">
      <c r="A29" s="1290" t="s">
        <v>48</v>
      </c>
      <c r="B29" s="1291" t="s">
        <v>936</v>
      </c>
      <c r="C29" s="1292" t="s">
        <v>0</v>
      </c>
      <c r="D29" s="1293">
        <v>20</v>
      </c>
      <c r="E29" s="1294">
        <v>681.82</v>
      </c>
      <c r="F29" s="1293">
        <v>13636.4</v>
      </c>
      <c r="G29" s="1295" t="s">
        <v>3010</v>
      </c>
      <c r="H29" s="1296" t="s">
        <v>5613</v>
      </c>
      <c r="I29" s="1297">
        <v>21</v>
      </c>
      <c r="J29" s="4" t="str">
        <f t="shared" si="0"/>
        <v>1.21</v>
      </c>
    </row>
    <row r="30" spans="1:10" s="4" customFormat="1" ht="42.75">
      <c r="A30" s="1290" t="s">
        <v>49</v>
      </c>
      <c r="B30" s="1291" t="s">
        <v>4416</v>
      </c>
      <c r="C30" s="1292" t="s">
        <v>0</v>
      </c>
      <c r="D30" s="1293">
        <v>20</v>
      </c>
      <c r="E30" s="1294">
        <v>1720.2</v>
      </c>
      <c r="F30" s="1293">
        <v>34404</v>
      </c>
      <c r="G30" s="1295" t="s">
        <v>4417</v>
      </c>
      <c r="H30" s="1296" t="s">
        <v>5614</v>
      </c>
      <c r="I30" s="1297">
        <v>22</v>
      </c>
      <c r="J30" s="4" t="str">
        <f t="shared" si="0"/>
        <v>1.22</v>
      </c>
    </row>
    <row r="31" spans="1:10" s="4" customFormat="1" ht="42.75">
      <c r="A31" s="1290" t="s">
        <v>50</v>
      </c>
      <c r="B31" s="1291" t="s">
        <v>953</v>
      </c>
      <c r="C31" s="1292" t="s">
        <v>0</v>
      </c>
      <c r="D31" s="1293">
        <v>20</v>
      </c>
      <c r="E31" s="1294">
        <v>4370.8500000000004</v>
      </c>
      <c r="F31" s="1293">
        <v>87417</v>
      </c>
      <c r="G31" s="1295" t="s">
        <v>4418</v>
      </c>
      <c r="H31" s="1296" t="s">
        <v>5615</v>
      </c>
      <c r="I31" s="1297">
        <v>23</v>
      </c>
      <c r="J31" s="4" t="str">
        <f t="shared" si="0"/>
        <v>1.23</v>
      </c>
    </row>
    <row r="32" spans="1:10" s="4" customFormat="1" ht="71.25">
      <c r="A32" s="1290" t="s">
        <v>51</v>
      </c>
      <c r="B32" s="1291" t="s">
        <v>953</v>
      </c>
      <c r="C32" s="1292" t="s">
        <v>0</v>
      </c>
      <c r="D32" s="1293">
        <v>20</v>
      </c>
      <c r="E32" s="1294">
        <v>5814.37</v>
      </c>
      <c r="F32" s="1293">
        <v>116287.4</v>
      </c>
      <c r="G32" s="1295" t="s">
        <v>4419</v>
      </c>
      <c r="H32" s="1296" t="s">
        <v>5616</v>
      </c>
      <c r="I32" s="1297">
        <v>24</v>
      </c>
      <c r="J32" s="4" t="str">
        <f t="shared" si="0"/>
        <v>1.24</v>
      </c>
    </row>
    <row r="33" spans="1:10" s="4" customFormat="1" ht="42.75">
      <c r="A33" s="1290" t="s">
        <v>52</v>
      </c>
      <c r="B33" s="1291" t="s">
        <v>453</v>
      </c>
      <c r="C33" s="1292" t="s">
        <v>0</v>
      </c>
      <c r="D33" s="1293">
        <v>20</v>
      </c>
      <c r="E33" s="1294">
        <v>5636.09</v>
      </c>
      <c r="F33" s="1293">
        <v>112721.8</v>
      </c>
      <c r="G33" s="1295" t="s">
        <v>4420</v>
      </c>
      <c r="H33" s="1296" t="s">
        <v>5617</v>
      </c>
      <c r="I33" s="1297">
        <v>25</v>
      </c>
      <c r="J33" s="4" t="str">
        <f t="shared" si="0"/>
        <v>1.25</v>
      </c>
    </row>
    <row r="34" spans="1:10" s="4" customFormat="1" ht="71.25">
      <c r="A34" s="1290" t="s">
        <v>53</v>
      </c>
      <c r="B34" s="1291" t="s">
        <v>453</v>
      </c>
      <c r="C34" s="1292" t="s">
        <v>0</v>
      </c>
      <c r="D34" s="1293">
        <v>10</v>
      </c>
      <c r="E34" s="1294">
        <v>7496.57</v>
      </c>
      <c r="F34" s="1293">
        <v>74965.7</v>
      </c>
      <c r="G34" s="1295" t="s">
        <v>4421</v>
      </c>
      <c r="H34" s="1296" t="s">
        <v>5618</v>
      </c>
      <c r="I34" s="1297">
        <v>26</v>
      </c>
      <c r="J34" s="4" t="str">
        <f t="shared" si="0"/>
        <v>1.26</v>
      </c>
    </row>
    <row r="35" spans="1:10" s="4" customFormat="1" ht="42.75">
      <c r="A35" s="1290" t="s">
        <v>54</v>
      </c>
      <c r="B35" s="1291" t="s">
        <v>2234</v>
      </c>
      <c r="C35" s="1292" t="s">
        <v>0</v>
      </c>
      <c r="D35" s="1293">
        <v>10</v>
      </c>
      <c r="E35" s="1294">
        <v>12963.23</v>
      </c>
      <c r="F35" s="1293">
        <v>129632.3</v>
      </c>
      <c r="G35" s="1295" t="s">
        <v>4422</v>
      </c>
      <c r="H35" s="1296" t="s">
        <v>5619</v>
      </c>
      <c r="I35" s="1297">
        <v>27</v>
      </c>
      <c r="J35" s="4" t="str">
        <f t="shared" si="0"/>
        <v>1.27</v>
      </c>
    </row>
    <row r="36" spans="1:10" s="4" customFormat="1" ht="47.25">
      <c r="A36" s="1290" t="s">
        <v>55</v>
      </c>
      <c r="B36" s="1291" t="s">
        <v>939</v>
      </c>
      <c r="C36" s="1292" t="s">
        <v>1</v>
      </c>
      <c r="D36" s="1293">
        <v>20</v>
      </c>
      <c r="E36" s="1294">
        <v>1401.6</v>
      </c>
      <c r="F36" s="1293">
        <v>28032</v>
      </c>
      <c r="G36" s="1295" t="s">
        <v>4423</v>
      </c>
      <c r="H36" s="1296" t="s">
        <v>5620</v>
      </c>
      <c r="I36" s="1297">
        <v>28</v>
      </c>
      <c r="J36" s="4" t="str">
        <f t="shared" si="0"/>
        <v>1.28</v>
      </c>
    </row>
    <row r="37" spans="1:10" s="4" customFormat="1" ht="42.75">
      <c r="A37" s="1290" t="s">
        <v>56</v>
      </c>
      <c r="B37" s="1291" t="s">
        <v>958</v>
      </c>
      <c r="C37" s="1292" t="s">
        <v>1</v>
      </c>
      <c r="D37" s="1293">
        <v>10</v>
      </c>
      <c r="E37" s="1294">
        <v>3565.68</v>
      </c>
      <c r="F37" s="1293">
        <v>35656.800000000003</v>
      </c>
      <c r="G37" s="1295" t="s">
        <v>4424</v>
      </c>
      <c r="H37" s="1296" t="s">
        <v>5621</v>
      </c>
      <c r="I37" s="1297">
        <v>29</v>
      </c>
      <c r="J37" s="4" t="str">
        <f t="shared" si="0"/>
        <v>1.29</v>
      </c>
    </row>
    <row r="38" spans="1:10" s="4" customFormat="1" ht="47.25">
      <c r="A38" s="1290" t="s">
        <v>57</v>
      </c>
      <c r="B38" s="1291" t="s">
        <v>950</v>
      </c>
      <c r="C38" s="1292" t="s">
        <v>1</v>
      </c>
      <c r="D38" s="1293">
        <v>100</v>
      </c>
      <c r="E38" s="1294">
        <v>48.63</v>
      </c>
      <c r="F38" s="1293">
        <v>4863</v>
      </c>
      <c r="G38" s="1295" t="s">
        <v>4425</v>
      </c>
      <c r="H38" s="1296" t="s">
        <v>5622</v>
      </c>
      <c r="I38" s="1297">
        <v>30</v>
      </c>
      <c r="J38" s="4" t="str">
        <f t="shared" si="0"/>
        <v>1.30</v>
      </c>
    </row>
    <row r="39" spans="1:10" s="4" customFormat="1" ht="71.25">
      <c r="A39" s="1290" t="s">
        <v>58</v>
      </c>
      <c r="B39" s="1291" t="s">
        <v>950</v>
      </c>
      <c r="C39" s="1292" t="s">
        <v>1</v>
      </c>
      <c r="D39" s="1293">
        <v>50</v>
      </c>
      <c r="E39" s="1294">
        <v>64.78</v>
      </c>
      <c r="F39" s="1293">
        <v>3239</v>
      </c>
      <c r="G39" s="1295" t="s">
        <v>4426</v>
      </c>
      <c r="H39" s="1296" t="s">
        <v>5623</v>
      </c>
      <c r="I39" s="1297">
        <v>31</v>
      </c>
      <c r="J39" s="4" t="str">
        <f t="shared" si="0"/>
        <v>1.31</v>
      </c>
    </row>
    <row r="40" spans="1:10" s="4" customFormat="1" ht="47.25">
      <c r="A40" s="1290" t="s">
        <v>59</v>
      </c>
      <c r="B40" s="1291" t="s">
        <v>2579</v>
      </c>
      <c r="C40" s="1292" t="s">
        <v>1</v>
      </c>
      <c r="D40" s="1293">
        <v>10</v>
      </c>
      <c r="E40" s="1294">
        <v>67.849999999999994</v>
      </c>
      <c r="F40" s="1293">
        <v>678.5</v>
      </c>
      <c r="G40" s="1295" t="s">
        <v>4427</v>
      </c>
      <c r="H40" s="1296" t="s">
        <v>5624</v>
      </c>
      <c r="I40" s="1297">
        <v>32</v>
      </c>
      <c r="J40" s="4" t="str">
        <f t="shared" si="0"/>
        <v>1.32</v>
      </c>
    </row>
    <row r="41" spans="1:10" s="4" customFormat="1" ht="42.75">
      <c r="A41" s="1290" t="s">
        <v>60</v>
      </c>
      <c r="B41" s="1291" t="s">
        <v>964</v>
      </c>
      <c r="C41" s="1292" t="s">
        <v>1</v>
      </c>
      <c r="D41" s="1293">
        <v>10</v>
      </c>
      <c r="E41" s="1294">
        <v>4945.96</v>
      </c>
      <c r="F41" s="1293">
        <v>49459.6</v>
      </c>
      <c r="G41" s="1295" t="s">
        <v>4428</v>
      </c>
      <c r="H41" s="1296" t="s">
        <v>5625</v>
      </c>
      <c r="I41" s="1297">
        <v>33</v>
      </c>
      <c r="J41" s="4" t="str">
        <f t="shared" si="0"/>
        <v>1.33</v>
      </c>
    </row>
    <row r="42" spans="1:10" s="4" customFormat="1" ht="47.25">
      <c r="A42" s="1290" t="s">
        <v>61</v>
      </c>
      <c r="B42" s="1291" t="s">
        <v>961</v>
      </c>
      <c r="C42" s="1292" t="s">
        <v>1</v>
      </c>
      <c r="D42" s="1293">
        <v>10</v>
      </c>
      <c r="E42" s="1294">
        <v>471.35</v>
      </c>
      <c r="F42" s="1293">
        <v>4713.5</v>
      </c>
      <c r="G42" s="1295" t="s">
        <v>4429</v>
      </c>
      <c r="H42" s="1296" t="s">
        <v>5626</v>
      </c>
      <c r="I42" s="1297">
        <v>34</v>
      </c>
      <c r="J42" s="4" t="str">
        <f t="shared" si="0"/>
        <v>1.34</v>
      </c>
    </row>
    <row r="43" spans="1:10" s="4" customFormat="1" ht="42.75">
      <c r="A43" s="1290" t="s">
        <v>62</v>
      </c>
      <c r="B43" s="1291" t="s">
        <v>985</v>
      </c>
      <c r="C43" s="1292" t="s">
        <v>1</v>
      </c>
      <c r="D43" s="1293">
        <v>10</v>
      </c>
      <c r="E43" s="1294">
        <v>644.12</v>
      </c>
      <c r="F43" s="1293">
        <v>6441.2</v>
      </c>
      <c r="G43" s="1295" t="s">
        <v>4430</v>
      </c>
      <c r="H43" s="1296" t="s">
        <v>5627</v>
      </c>
      <c r="I43" s="1297">
        <v>35</v>
      </c>
      <c r="J43" s="4" t="str">
        <f t="shared" si="0"/>
        <v>1.35</v>
      </c>
    </row>
    <row r="44" spans="1:10" s="4" customFormat="1" ht="42.75">
      <c r="A44" s="1290" t="s">
        <v>63</v>
      </c>
      <c r="B44" s="1291" t="s">
        <v>2214</v>
      </c>
      <c r="C44" s="1292" t="s">
        <v>1</v>
      </c>
      <c r="D44" s="1293">
        <v>10</v>
      </c>
      <c r="E44" s="1294">
        <v>1483.81</v>
      </c>
      <c r="F44" s="1293">
        <v>14838.1</v>
      </c>
      <c r="G44" s="1295" t="s">
        <v>4431</v>
      </c>
      <c r="H44" s="1296" t="s">
        <v>5628</v>
      </c>
      <c r="I44" s="1297">
        <v>36</v>
      </c>
      <c r="J44" s="4" t="str">
        <f t="shared" si="0"/>
        <v>1.36</v>
      </c>
    </row>
    <row r="45" spans="1:10" s="4" customFormat="1" ht="71.25">
      <c r="A45" s="1290" t="s">
        <v>64</v>
      </c>
      <c r="B45" s="1291" t="s">
        <v>936</v>
      </c>
      <c r="C45" s="1292" t="s">
        <v>0</v>
      </c>
      <c r="D45" s="1293">
        <v>10</v>
      </c>
      <c r="E45" s="1294">
        <v>906.82</v>
      </c>
      <c r="F45" s="1293">
        <v>9068.2000000000007</v>
      </c>
      <c r="G45" s="1295" t="s">
        <v>4432</v>
      </c>
      <c r="H45" s="1296" t="s">
        <v>5629</v>
      </c>
      <c r="I45" s="1297">
        <v>37</v>
      </c>
      <c r="J45" s="4" t="str">
        <f t="shared" si="0"/>
        <v>1.37</v>
      </c>
    </row>
    <row r="46" spans="1:10" s="4" customFormat="1" ht="71.25">
      <c r="A46" s="1290" t="s">
        <v>65</v>
      </c>
      <c r="B46" s="1291" t="s">
        <v>923</v>
      </c>
      <c r="C46" s="1292" t="s">
        <v>0</v>
      </c>
      <c r="D46" s="1293">
        <v>10</v>
      </c>
      <c r="E46" s="1294">
        <v>1399.63</v>
      </c>
      <c r="F46" s="1293">
        <v>13996.3</v>
      </c>
      <c r="G46" s="1295" t="s">
        <v>4433</v>
      </c>
      <c r="H46" s="1296" t="s">
        <v>5630</v>
      </c>
      <c r="I46" s="1297">
        <v>38</v>
      </c>
      <c r="J46" s="4" t="str">
        <f t="shared" si="0"/>
        <v>1.38</v>
      </c>
    </row>
    <row r="47" spans="1:10" s="4" customFormat="1" ht="71.25">
      <c r="A47" s="1290" t="s">
        <v>66</v>
      </c>
      <c r="B47" s="1291" t="s">
        <v>958</v>
      </c>
      <c r="C47" s="1292" t="s">
        <v>1</v>
      </c>
      <c r="D47" s="1293">
        <v>10</v>
      </c>
      <c r="E47" s="1294">
        <v>4741.79</v>
      </c>
      <c r="F47" s="1293">
        <v>47417.9</v>
      </c>
      <c r="G47" s="1295" t="s">
        <v>4434</v>
      </c>
      <c r="H47" s="1296" t="s">
        <v>5631</v>
      </c>
      <c r="I47" s="1297">
        <v>39</v>
      </c>
      <c r="J47" s="4" t="str">
        <f t="shared" si="0"/>
        <v>1.39</v>
      </c>
    </row>
    <row r="48" spans="1:10" s="4" customFormat="1" ht="71.25">
      <c r="A48" s="1290" t="s">
        <v>67</v>
      </c>
      <c r="B48" s="1291" t="s">
        <v>961</v>
      </c>
      <c r="C48" s="1292" t="s">
        <v>1</v>
      </c>
      <c r="D48" s="1293">
        <v>10</v>
      </c>
      <c r="E48" s="1294">
        <v>626.9</v>
      </c>
      <c r="F48" s="1293">
        <v>6269</v>
      </c>
      <c r="G48" s="1295" t="s">
        <v>4435</v>
      </c>
      <c r="H48" s="1296" t="s">
        <v>5632</v>
      </c>
      <c r="I48" s="1297">
        <v>40</v>
      </c>
      <c r="J48" s="4" t="str">
        <f t="shared" si="0"/>
        <v>1.40</v>
      </c>
    </row>
    <row r="49" spans="1:10" s="4" customFormat="1" ht="71.25">
      <c r="A49" s="1290" t="s">
        <v>68</v>
      </c>
      <c r="B49" s="1291" t="s">
        <v>964</v>
      </c>
      <c r="C49" s="1292" t="s">
        <v>1</v>
      </c>
      <c r="D49" s="1293">
        <v>10</v>
      </c>
      <c r="E49" s="1294">
        <v>6579.27</v>
      </c>
      <c r="F49" s="1293">
        <v>65792.7</v>
      </c>
      <c r="G49" s="1295" t="s">
        <v>4436</v>
      </c>
      <c r="H49" s="1296" t="s">
        <v>5633</v>
      </c>
      <c r="I49" s="1297">
        <v>41</v>
      </c>
      <c r="J49" s="4" t="str">
        <f t="shared" si="0"/>
        <v>1.41</v>
      </c>
    </row>
    <row r="50" spans="1:10" s="4" customFormat="1" ht="71.25">
      <c r="A50" s="1290" t="s">
        <v>69</v>
      </c>
      <c r="B50" s="1291" t="s">
        <v>939</v>
      </c>
      <c r="C50" s="1292" t="s">
        <v>1</v>
      </c>
      <c r="D50" s="1293">
        <v>10</v>
      </c>
      <c r="E50" s="1294">
        <v>1864.13</v>
      </c>
      <c r="F50" s="1293">
        <v>18641.3</v>
      </c>
      <c r="G50" s="1295" t="s">
        <v>4437</v>
      </c>
      <c r="H50" s="1296" t="s">
        <v>5634</v>
      </c>
      <c r="I50" s="1297">
        <v>42</v>
      </c>
      <c r="J50" s="4" t="str">
        <f t="shared" si="0"/>
        <v>1.42</v>
      </c>
    </row>
    <row r="51" spans="1:10" s="4" customFormat="1" ht="71.25">
      <c r="A51" s="1290" t="s">
        <v>70</v>
      </c>
      <c r="B51" s="1291" t="s">
        <v>985</v>
      </c>
      <c r="C51" s="1292" t="s">
        <v>1</v>
      </c>
      <c r="D51" s="1293">
        <v>10</v>
      </c>
      <c r="E51" s="1294">
        <v>856.92</v>
      </c>
      <c r="F51" s="1293">
        <v>8569.2000000000007</v>
      </c>
      <c r="G51" s="1295" t="s">
        <v>4438</v>
      </c>
      <c r="H51" s="1296" t="s">
        <v>5635</v>
      </c>
      <c r="I51" s="1297">
        <v>43</v>
      </c>
      <c r="J51" s="4" t="str">
        <f t="shared" si="0"/>
        <v>1.43</v>
      </c>
    </row>
    <row r="52" spans="1:10" s="4" customFormat="1" ht="42.75">
      <c r="A52" s="1290" t="s">
        <v>71</v>
      </c>
      <c r="B52" s="1291" t="s">
        <v>990</v>
      </c>
      <c r="C52" s="1292" t="s">
        <v>17</v>
      </c>
      <c r="D52" s="1293">
        <v>10</v>
      </c>
      <c r="E52" s="1294">
        <v>89.32</v>
      </c>
      <c r="F52" s="1293">
        <v>893.2</v>
      </c>
      <c r="G52" s="1295" t="s">
        <v>4439</v>
      </c>
      <c r="H52" s="1298" t="s">
        <v>5636</v>
      </c>
      <c r="I52" s="1297">
        <v>44</v>
      </c>
      <c r="J52" s="4" t="str">
        <f t="shared" si="0"/>
        <v>1.44</v>
      </c>
    </row>
    <row r="53" spans="1:10" s="4" customFormat="1" ht="71.25">
      <c r="A53" s="1290" t="s">
        <v>72</v>
      </c>
      <c r="B53" s="1291" t="s">
        <v>990</v>
      </c>
      <c r="C53" s="1292" t="s">
        <v>17</v>
      </c>
      <c r="D53" s="1293">
        <v>10</v>
      </c>
      <c r="E53" s="1294">
        <v>118.79</v>
      </c>
      <c r="F53" s="1293">
        <v>1187.9000000000001</v>
      </c>
      <c r="G53" s="1295" t="s">
        <v>4440</v>
      </c>
      <c r="H53" s="1296" t="s">
        <v>5637</v>
      </c>
      <c r="I53" s="1297">
        <v>45</v>
      </c>
      <c r="J53" s="4" t="str">
        <f t="shared" si="0"/>
        <v>1.45</v>
      </c>
    </row>
    <row r="54" spans="1:10" s="4" customFormat="1" ht="42.75">
      <c r="A54" s="1290" t="s">
        <v>73</v>
      </c>
      <c r="B54" s="1291" t="s">
        <v>995</v>
      </c>
      <c r="C54" s="1292" t="s">
        <v>0</v>
      </c>
      <c r="D54" s="1293">
        <v>20</v>
      </c>
      <c r="E54" s="1294">
        <v>590.57000000000005</v>
      </c>
      <c r="F54" s="1293">
        <v>11811.4</v>
      </c>
      <c r="G54" s="1295" t="s">
        <v>4441</v>
      </c>
      <c r="H54" s="1296" t="s">
        <v>5638</v>
      </c>
      <c r="I54" s="1297">
        <v>46</v>
      </c>
      <c r="J54" s="4" t="str">
        <f t="shared" si="0"/>
        <v>1.46</v>
      </c>
    </row>
    <row r="55" spans="1:10" s="4" customFormat="1" ht="71.25">
      <c r="A55" s="1290" t="s">
        <v>74</v>
      </c>
      <c r="B55" s="1291" t="s">
        <v>995</v>
      </c>
      <c r="C55" s="1292" t="s">
        <v>0</v>
      </c>
      <c r="D55" s="1293">
        <v>20</v>
      </c>
      <c r="E55" s="1294">
        <v>785.46</v>
      </c>
      <c r="F55" s="1293">
        <v>15709.2</v>
      </c>
      <c r="G55" s="1295" t="s">
        <v>4442</v>
      </c>
      <c r="H55" s="1296" t="s">
        <v>5639</v>
      </c>
      <c r="I55" s="1297">
        <v>47</v>
      </c>
      <c r="J55" s="4" t="str">
        <f t="shared" si="0"/>
        <v>1.47</v>
      </c>
    </row>
    <row r="56" spans="1:10" s="4" customFormat="1" ht="42.75">
      <c r="A56" s="1290" t="s">
        <v>75</v>
      </c>
      <c r="B56" s="1291" t="s">
        <v>4443</v>
      </c>
      <c r="C56" s="1292" t="s">
        <v>0</v>
      </c>
      <c r="D56" s="1293">
        <v>20</v>
      </c>
      <c r="E56" s="1294">
        <v>853.72</v>
      </c>
      <c r="F56" s="1293">
        <v>17074.400000000001</v>
      </c>
      <c r="G56" s="1295" t="s">
        <v>4444</v>
      </c>
      <c r="H56" s="1296" t="s">
        <v>5640</v>
      </c>
      <c r="I56" s="1297">
        <v>48</v>
      </c>
      <c r="J56" s="4" t="str">
        <f t="shared" si="0"/>
        <v>1.48</v>
      </c>
    </row>
    <row r="57" spans="1:10" s="4" customFormat="1" ht="42.75">
      <c r="A57" s="1290" t="s">
        <v>76</v>
      </c>
      <c r="B57" s="1291" t="s">
        <v>1003</v>
      </c>
      <c r="C57" s="1292" t="s">
        <v>1</v>
      </c>
      <c r="D57" s="1293">
        <v>20</v>
      </c>
      <c r="E57" s="1294">
        <v>98.13</v>
      </c>
      <c r="F57" s="1293">
        <v>1962.6</v>
      </c>
      <c r="G57" s="1295" t="s">
        <v>4445</v>
      </c>
      <c r="H57" s="1296" t="s">
        <v>5641</v>
      </c>
      <c r="I57" s="1297">
        <v>49</v>
      </c>
      <c r="J57" s="4" t="str">
        <f t="shared" si="0"/>
        <v>1.49</v>
      </c>
    </row>
    <row r="58" spans="1:10" s="4" customFormat="1" ht="42.75">
      <c r="A58" s="1290" t="s">
        <v>77</v>
      </c>
      <c r="B58" s="1291" t="s">
        <v>1010</v>
      </c>
      <c r="C58" s="1292" t="s">
        <v>1</v>
      </c>
      <c r="D58" s="1293">
        <v>10</v>
      </c>
      <c r="E58" s="1294">
        <v>598.66999999999996</v>
      </c>
      <c r="F58" s="1293">
        <v>5986.7</v>
      </c>
      <c r="G58" s="1295" t="s">
        <v>4446</v>
      </c>
      <c r="H58" s="1296" t="s">
        <v>5642</v>
      </c>
      <c r="I58" s="1297">
        <v>50</v>
      </c>
      <c r="J58" s="4" t="str">
        <f t="shared" si="0"/>
        <v>1.50</v>
      </c>
    </row>
    <row r="59" spans="1:10" s="4" customFormat="1" ht="42.75">
      <c r="A59" s="1290" t="s">
        <v>78</v>
      </c>
      <c r="B59" s="1291" t="s">
        <v>1019</v>
      </c>
      <c r="C59" s="1292" t="s">
        <v>1</v>
      </c>
      <c r="D59" s="1293">
        <v>10</v>
      </c>
      <c r="E59" s="1294">
        <v>138.11000000000001</v>
      </c>
      <c r="F59" s="1293">
        <v>1381.1</v>
      </c>
      <c r="G59" s="1295" t="s">
        <v>4447</v>
      </c>
      <c r="H59" s="1296" t="s">
        <v>5643</v>
      </c>
      <c r="I59" s="1297">
        <v>51</v>
      </c>
      <c r="J59" s="4" t="str">
        <f t="shared" si="0"/>
        <v>1.51</v>
      </c>
    </row>
    <row r="60" spans="1:10" s="4" customFormat="1" ht="42.75">
      <c r="A60" s="1290" t="s">
        <v>79</v>
      </c>
      <c r="B60" s="1291" t="s">
        <v>1033</v>
      </c>
      <c r="C60" s="1292" t="s">
        <v>17</v>
      </c>
      <c r="D60" s="1293">
        <v>10</v>
      </c>
      <c r="E60" s="1294">
        <v>60.39</v>
      </c>
      <c r="F60" s="1293">
        <v>603.9</v>
      </c>
      <c r="G60" s="1295" t="s">
        <v>4448</v>
      </c>
      <c r="H60" s="1296" t="s">
        <v>5644</v>
      </c>
      <c r="I60" s="1297">
        <v>52</v>
      </c>
      <c r="J60" s="4" t="str">
        <f t="shared" si="0"/>
        <v>1.52</v>
      </c>
    </row>
    <row r="61" spans="1:10" s="4" customFormat="1" ht="31.5">
      <c r="A61" s="1290" t="s">
        <v>80</v>
      </c>
      <c r="B61" s="1291" t="s">
        <v>1014</v>
      </c>
      <c r="C61" s="1292" t="s">
        <v>1</v>
      </c>
      <c r="D61" s="1293">
        <v>20</v>
      </c>
      <c r="E61" s="1294">
        <v>695.48</v>
      </c>
      <c r="F61" s="1293">
        <v>13909.6</v>
      </c>
      <c r="G61" s="1295" t="s">
        <v>1015</v>
      </c>
      <c r="H61" s="1296" t="s">
        <v>5645</v>
      </c>
      <c r="I61" s="1297">
        <v>53</v>
      </c>
      <c r="J61" s="4" t="str">
        <f t="shared" si="0"/>
        <v>1.53</v>
      </c>
    </row>
    <row r="62" spans="1:10" s="4" customFormat="1" ht="42.75">
      <c r="A62" s="1290" t="s">
        <v>81</v>
      </c>
      <c r="B62" s="1291" t="s">
        <v>1036</v>
      </c>
      <c r="C62" s="1292" t="s">
        <v>3</v>
      </c>
      <c r="D62" s="1293">
        <v>50</v>
      </c>
      <c r="E62" s="1294">
        <v>15.02</v>
      </c>
      <c r="F62" s="1293">
        <v>751</v>
      </c>
      <c r="G62" s="1295" t="s">
        <v>4449</v>
      </c>
      <c r="H62" s="1296" t="s">
        <v>5646</v>
      </c>
      <c r="I62" s="1297">
        <v>54</v>
      </c>
      <c r="J62" s="4" t="str">
        <f t="shared" si="0"/>
        <v>1.54</v>
      </c>
    </row>
    <row r="63" spans="1:10" s="4" customFormat="1" ht="42.75">
      <c r="A63" s="1290" t="s">
        <v>82</v>
      </c>
      <c r="B63" s="1291" t="s">
        <v>454</v>
      </c>
      <c r="C63" s="1292" t="s">
        <v>0</v>
      </c>
      <c r="D63" s="1293">
        <v>50</v>
      </c>
      <c r="E63" s="1294">
        <v>306.01</v>
      </c>
      <c r="F63" s="1293">
        <v>15300.5</v>
      </c>
      <c r="G63" s="1295" t="s">
        <v>4450</v>
      </c>
      <c r="H63" s="1296" t="s">
        <v>5647</v>
      </c>
      <c r="I63" s="1297">
        <v>55</v>
      </c>
      <c r="J63" s="4" t="str">
        <f t="shared" si="0"/>
        <v>1.55</v>
      </c>
    </row>
    <row r="64" spans="1:10" s="4" customFormat="1" ht="42.75">
      <c r="A64" s="1290" t="s">
        <v>83</v>
      </c>
      <c r="B64" s="1291" t="s">
        <v>1048</v>
      </c>
      <c r="C64" s="1292" t="s">
        <v>15</v>
      </c>
      <c r="D64" s="1293">
        <v>50</v>
      </c>
      <c r="E64" s="1294">
        <v>58.02</v>
      </c>
      <c r="F64" s="1293">
        <v>2901</v>
      </c>
      <c r="G64" s="1295" t="s">
        <v>4451</v>
      </c>
      <c r="H64" s="1296" t="s">
        <v>5648</v>
      </c>
      <c r="I64" s="1297">
        <v>56</v>
      </c>
      <c r="J64" s="4" t="str">
        <f t="shared" si="0"/>
        <v>1.56</v>
      </c>
    </row>
    <row r="65" spans="1:10" s="4" customFormat="1" ht="42.75">
      <c r="A65" s="1290" t="s">
        <v>84</v>
      </c>
      <c r="B65" s="1291" t="s">
        <v>1067</v>
      </c>
      <c r="C65" s="1292" t="s">
        <v>15</v>
      </c>
      <c r="D65" s="1293">
        <v>50</v>
      </c>
      <c r="E65" s="1294">
        <v>324.8</v>
      </c>
      <c r="F65" s="1293">
        <v>16240</v>
      </c>
      <c r="G65" s="1295" t="s">
        <v>4452</v>
      </c>
      <c r="H65" s="1296" t="s">
        <v>5649</v>
      </c>
      <c r="I65" s="1297">
        <v>57</v>
      </c>
      <c r="J65" s="4" t="str">
        <f t="shared" si="0"/>
        <v>1.57</v>
      </c>
    </row>
    <row r="66" spans="1:10" s="4" customFormat="1" ht="42.75">
      <c r="A66" s="1290" t="s">
        <v>85</v>
      </c>
      <c r="B66" s="1291" t="s">
        <v>1072</v>
      </c>
      <c r="C66" s="1292" t="s">
        <v>0</v>
      </c>
      <c r="D66" s="1293">
        <v>50</v>
      </c>
      <c r="E66" s="1294">
        <v>104.8</v>
      </c>
      <c r="F66" s="1293">
        <v>5240</v>
      </c>
      <c r="G66" s="1295" t="s">
        <v>4453</v>
      </c>
      <c r="H66" s="1296" t="s">
        <v>5650</v>
      </c>
      <c r="I66" s="1297">
        <v>58</v>
      </c>
      <c r="J66" s="4" t="str">
        <f t="shared" ref="J66:J129" si="1">A66</f>
        <v>1.58</v>
      </c>
    </row>
    <row r="67" spans="1:10" s="4" customFormat="1" ht="57">
      <c r="A67" s="1290" t="s">
        <v>86</v>
      </c>
      <c r="B67" s="1291" t="s">
        <v>543</v>
      </c>
      <c r="C67" s="1292" t="s">
        <v>1</v>
      </c>
      <c r="D67" s="1293">
        <v>20</v>
      </c>
      <c r="E67" s="1294">
        <v>1188.32</v>
      </c>
      <c r="F67" s="1293">
        <v>23766.400000000001</v>
      </c>
      <c r="G67" s="1295" t="s">
        <v>4454</v>
      </c>
      <c r="H67" s="1296" t="s">
        <v>5651</v>
      </c>
      <c r="I67" s="1297">
        <v>59</v>
      </c>
      <c r="J67" s="4" t="str">
        <f t="shared" si="1"/>
        <v>1.59</v>
      </c>
    </row>
    <row r="68" spans="1:10" s="4" customFormat="1" ht="42.75">
      <c r="A68" s="1290" t="s">
        <v>87</v>
      </c>
      <c r="B68" s="1291" t="s">
        <v>3971</v>
      </c>
      <c r="C68" s="1292" t="s">
        <v>1</v>
      </c>
      <c r="D68" s="1293">
        <v>20</v>
      </c>
      <c r="E68" s="1294">
        <v>1064.9000000000001</v>
      </c>
      <c r="F68" s="1293">
        <v>21298</v>
      </c>
      <c r="G68" s="1295" t="s">
        <v>4455</v>
      </c>
      <c r="H68" s="1296" t="s">
        <v>5652</v>
      </c>
      <c r="I68" s="1297">
        <v>60</v>
      </c>
      <c r="J68" s="4" t="str">
        <f t="shared" si="1"/>
        <v>1.60</v>
      </c>
    </row>
    <row r="69" spans="1:10" s="4" customFormat="1" ht="42.75">
      <c r="A69" s="1290" t="s">
        <v>88</v>
      </c>
      <c r="B69" s="1291" t="s">
        <v>26</v>
      </c>
      <c r="C69" s="1292" t="s">
        <v>1</v>
      </c>
      <c r="D69" s="1293">
        <v>20</v>
      </c>
      <c r="E69" s="1294">
        <v>711.86</v>
      </c>
      <c r="F69" s="1293">
        <v>14237.2</v>
      </c>
      <c r="G69" s="1295" t="s">
        <v>4456</v>
      </c>
      <c r="H69" s="1296" t="s">
        <v>5653</v>
      </c>
      <c r="I69" s="1297">
        <v>61</v>
      </c>
      <c r="J69" s="4" t="str">
        <f t="shared" si="1"/>
        <v>1.61</v>
      </c>
    </row>
    <row r="70" spans="1:10" s="4" customFormat="1" ht="42.75">
      <c r="A70" s="1290" t="s">
        <v>89</v>
      </c>
      <c r="B70" s="1291" t="s">
        <v>1091</v>
      </c>
      <c r="C70" s="1292" t="s">
        <v>1</v>
      </c>
      <c r="D70" s="1293">
        <v>20</v>
      </c>
      <c r="E70" s="1294">
        <v>472.88</v>
      </c>
      <c r="F70" s="1293">
        <v>9457.6</v>
      </c>
      <c r="G70" s="1295" t="s">
        <v>4457</v>
      </c>
      <c r="H70" s="1296" t="s">
        <v>5654</v>
      </c>
      <c r="I70" s="1297">
        <v>62</v>
      </c>
      <c r="J70" s="4" t="str">
        <f t="shared" si="1"/>
        <v>1.62</v>
      </c>
    </row>
    <row r="71" spans="1:10" s="4" customFormat="1" ht="42.75">
      <c r="A71" s="1290" t="s">
        <v>90</v>
      </c>
      <c r="B71" s="1291" t="s">
        <v>1096</v>
      </c>
      <c r="C71" s="1292" t="s">
        <v>1</v>
      </c>
      <c r="D71" s="1293">
        <v>50</v>
      </c>
      <c r="E71" s="1294">
        <v>507.19</v>
      </c>
      <c r="F71" s="1293">
        <v>25359.5</v>
      </c>
      <c r="G71" s="1295" t="s">
        <v>4458</v>
      </c>
      <c r="H71" s="1296" t="s">
        <v>5655</v>
      </c>
      <c r="I71" s="1297">
        <v>63</v>
      </c>
      <c r="J71" s="4" t="str">
        <f t="shared" si="1"/>
        <v>1.63</v>
      </c>
    </row>
    <row r="72" spans="1:10" s="4" customFormat="1" ht="42.75">
      <c r="A72" s="1290" t="s">
        <v>91</v>
      </c>
      <c r="B72" s="1291" t="s">
        <v>1099</v>
      </c>
      <c r="C72" s="1292" t="s">
        <v>0</v>
      </c>
      <c r="D72" s="1293">
        <v>10</v>
      </c>
      <c r="E72" s="1294">
        <v>947.22</v>
      </c>
      <c r="F72" s="1293">
        <v>9472.2000000000007</v>
      </c>
      <c r="G72" s="1295" t="s">
        <v>4459</v>
      </c>
      <c r="H72" s="1296" t="s">
        <v>5656</v>
      </c>
      <c r="I72" s="1297">
        <v>64</v>
      </c>
      <c r="J72" s="4" t="str">
        <f t="shared" si="1"/>
        <v>1.64</v>
      </c>
    </row>
    <row r="73" spans="1:10" s="4" customFormat="1" ht="42.75">
      <c r="A73" s="1290" t="s">
        <v>92</v>
      </c>
      <c r="B73" s="1291" t="s">
        <v>1104</v>
      </c>
      <c r="C73" s="1292" t="s">
        <v>0</v>
      </c>
      <c r="D73" s="1293">
        <v>10</v>
      </c>
      <c r="E73" s="1294">
        <v>1479.26</v>
      </c>
      <c r="F73" s="1293">
        <v>14792.6</v>
      </c>
      <c r="G73" s="1295" t="s">
        <v>4460</v>
      </c>
      <c r="H73" s="1296" t="s">
        <v>5657</v>
      </c>
      <c r="I73" s="1297">
        <v>65</v>
      </c>
      <c r="J73" s="4" t="str">
        <f t="shared" si="1"/>
        <v>1.65</v>
      </c>
    </row>
    <row r="74" spans="1:10" s="4" customFormat="1" ht="42.75">
      <c r="A74" s="1290" t="s">
        <v>93</v>
      </c>
      <c r="B74" s="1291" t="s">
        <v>1111</v>
      </c>
      <c r="C74" s="1292" t="s">
        <v>3</v>
      </c>
      <c r="D74" s="1293">
        <v>50</v>
      </c>
      <c r="E74" s="1294">
        <v>11.87</v>
      </c>
      <c r="F74" s="1293">
        <v>593.5</v>
      </c>
      <c r="G74" s="1295" t="s">
        <v>4461</v>
      </c>
      <c r="H74" s="1296" t="s">
        <v>5658</v>
      </c>
      <c r="I74" s="1297">
        <v>66</v>
      </c>
      <c r="J74" s="4" t="str">
        <f t="shared" si="1"/>
        <v>1.66</v>
      </c>
    </row>
    <row r="75" spans="1:10" s="4" customFormat="1" ht="42.75">
      <c r="A75" s="1290" t="s">
        <v>94</v>
      </c>
      <c r="B75" s="1291" t="s">
        <v>1118</v>
      </c>
      <c r="C75" s="1292" t="s">
        <v>15</v>
      </c>
      <c r="D75" s="1293">
        <v>50</v>
      </c>
      <c r="E75" s="1294">
        <v>1290.1099999999999</v>
      </c>
      <c r="F75" s="1293">
        <v>64505.5</v>
      </c>
      <c r="G75" s="1295" t="s">
        <v>4462</v>
      </c>
      <c r="H75" s="1296" t="s">
        <v>5659</v>
      </c>
      <c r="I75" s="1297">
        <v>67</v>
      </c>
      <c r="J75" s="4" t="str">
        <f t="shared" si="1"/>
        <v>1.67</v>
      </c>
    </row>
    <row r="76" spans="1:10" s="4" customFormat="1" ht="42.75">
      <c r="A76" s="1290" t="s">
        <v>95</v>
      </c>
      <c r="B76" s="1291" t="s">
        <v>1130</v>
      </c>
      <c r="C76" s="1292" t="s">
        <v>15</v>
      </c>
      <c r="D76" s="1293">
        <v>10</v>
      </c>
      <c r="E76" s="1294">
        <v>1457.75</v>
      </c>
      <c r="F76" s="1293">
        <v>14577.5</v>
      </c>
      <c r="G76" s="1295" t="s">
        <v>4463</v>
      </c>
      <c r="H76" s="1296" t="s">
        <v>5660</v>
      </c>
      <c r="I76" s="1297">
        <v>68</v>
      </c>
      <c r="J76" s="4" t="str">
        <f t="shared" si="1"/>
        <v>1.68</v>
      </c>
    </row>
    <row r="77" spans="1:10" s="4" customFormat="1" ht="42.75">
      <c r="A77" s="1290" t="s">
        <v>96</v>
      </c>
      <c r="B77" s="1291" t="s">
        <v>1135</v>
      </c>
      <c r="C77" s="1292" t="s">
        <v>15</v>
      </c>
      <c r="D77" s="1293">
        <v>10</v>
      </c>
      <c r="E77" s="1294">
        <v>1326.76</v>
      </c>
      <c r="F77" s="1293">
        <v>13267.6</v>
      </c>
      <c r="G77" s="1295" t="s">
        <v>4464</v>
      </c>
      <c r="H77" s="1296" t="s">
        <v>5661</v>
      </c>
      <c r="I77" s="1297">
        <v>69</v>
      </c>
      <c r="J77" s="4" t="str">
        <f t="shared" si="1"/>
        <v>1.69</v>
      </c>
    </row>
    <row r="78" spans="1:10" s="4" customFormat="1" ht="42.75">
      <c r="A78" s="1290" t="s">
        <v>97</v>
      </c>
      <c r="B78" s="1291" t="s">
        <v>1140</v>
      </c>
      <c r="C78" s="1292" t="s">
        <v>3</v>
      </c>
      <c r="D78" s="1293">
        <v>50</v>
      </c>
      <c r="E78" s="1294">
        <v>44.1</v>
      </c>
      <c r="F78" s="1293">
        <v>2205</v>
      </c>
      <c r="G78" s="1295" t="s">
        <v>4465</v>
      </c>
      <c r="H78" s="1296" t="s">
        <v>5662</v>
      </c>
      <c r="I78" s="1297">
        <v>70</v>
      </c>
      <c r="J78" s="4" t="str">
        <f t="shared" si="1"/>
        <v>1.70</v>
      </c>
    </row>
    <row r="79" spans="1:10" s="4" customFormat="1" ht="42.75">
      <c r="A79" s="1290" t="s">
        <v>98</v>
      </c>
      <c r="B79" s="1291" t="s">
        <v>1149</v>
      </c>
      <c r="C79" s="1292" t="s">
        <v>3</v>
      </c>
      <c r="D79" s="1293">
        <v>50</v>
      </c>
      <c r="E79" s="1294">
        <v>17.53</v>
      </c>
      <c r="F79" s="1293">
        <v>876.5</v>
      </c>
      <c r="G79" s="1295" t="s">
        <v>4466</v>
      </c>
      <c r="H79" s="1296" t="s">
        <v>5663</v>
      </c>
      <c r="I79" s="1297">
        <v>71</v>
      </c>
      <c r="J79" s="4" t="str">
        <f t="shared" si="1"/>
        <v>1.71</v>
      </c>
    </row>
    <row r="80" spans="1:10" s="4" customFormat="1" ht="42.75">
      <c r="A80" s="1290" t="s">
        <v>99</v>
      </c>
      <c r="B80" s="1291" t="s">
        <v>4467</v>
      </c>
      <c r="C80" s="1292" t="s">
        <v>3</v>
      </c>
      <c r="D80" s="1293">
        <v>50</v>
      </c>
      <c r="E80" s="1294">
        <v>20.54</v>
      </c>
      <c r="F80" s="1293">
        <v>1027</v>
      </c>
      <c r="G80" s="1295" t="s">
        <v>4468</v>
      </c>
      <c r="H80" s="1296" t="s">
        <v>5664</v>
      </c>
      <c r="I80" s="1297">
        <v>72</v>
      </c>
      <c r="J80" s="4" t="str">
        <f t="shared" si="1"/>
        <v>1.72</v>
      </c>
    </row>
    <row r="81" spans="1:10" s="4" customFormat="1" ht="42.75">
      <c r="A81" s="1290" t="s">
        <v>100</v>
      </c>
      <c r="B81" s="1291" t="s">
        <v>1154</v>
      </c>
      <c r="C81" s="1292" t="s">
        <v>0</v>
      </c>
      <c r="D81" s="1293">
        <v>10</v>
      </c>
      <c r="E81" s="1294">
        <v>7703.82</v>
      </c>
      <c r="F81" s="1293">
        <v>77038.2</v>
      </c>
      <c r="G81" s="1295" t="s">
        <v>4469</v>
      </c>
      <c r="H81" s="1296" t="s">
        <v>5665</v>
      </c>
      <c r="I81" s="1297">
        <v>73</v>
      </c>
      <c r="J81" s="4" t="str">
        <f t="shared" si="1"/>
        <v>1.73</v>
      </c>
    </row>
    <row r="82" spans="1:10" s="4" customFormat="1" ht="47.25">
      <c r="A82" s="1290" t="s">
        <v>101</v>
      </c>
      <c r="B82" s="1291" t="s">
        <v>3639</v>
      </c>
      <c r="C82" s="1292" t="s">
        <v>0</v>
      </c>
      <c r="D82" s="1293">
        <v>10</v>
      </c>
      <c r="E82" s="1294">
        <v>8203.94</v>
      </c>
      <c r="F82" s="1293">
        <v>82039.399999999994</v>
      </c>
      <c r="G82" s="1295" t="s">
        <v>4470</v>
      </c>
      <c r="H82" s="1296" t="s">
        <v>5666</v>
      </c>
      <c r="I82" s="1297">
        <v>74</v>
      </c>
      <c r="J82" s="4" t="str">
        <f t="shared" si="1"/>
        <v>1.74</v>
      </c>
    </row>
    <row r="83" spans="1:10" s="4" customFormat="1" ht="47.25">
      <c r="A83" s="1290" t="s">
        <v>102</v>
      </c>
      <c r="B83" s="1291" t="s">
        <v>4049</v>
      </c>
      <c r="C83" s="1292" t="s">
        <v>0</v>
      </c>
      <c r="D83" s="1293">
        <v>10</v>
      </c>
      <c r="E83" s="1294">
        <v>8697.4699999999993</v>
      </c>
      <c r="F83" s="1293">
        <v>86974.7</v>
      </c>
      <c r="G83" s="1295" t="s">
        <v>4471</v>
      </c>
      <c r="H83" s="1296" t="s">
        <v>5667</v>
      </c>
      <c r="I83" s="1297">
        <v>75</v>
      </c>
      <c r="J83" s="4" t="str">
        <f t="shared" si="1"/>
        <v>1.75</v>
      </c>
    </row>
    <row r="84" spans="1:10" s="4" customFormat="1" ht="42.75">
      <c r="A84" s="1290" t="s">
        <v>103</v>
      </c>
      <c r="B84" s="1291" t="s">
        <v>1162</v>
      </c>
      <c r="C84" s="1292" t="s">
        <v>0</v>
      </c>
      <c r="D84" s="1293">
        <v>10</v>
      </c>
      <c r="E84" s="1294">
        <v>7642.41</v>
      </c>
      <c r="F84" s="1293">
        <v>76424.100000000006</v>
      </c>
      <c r="G84" s="1295" t="s">
        <v>4472</v>
      </c>
      <c r="H84" s="1296" t="s">
        <v>5668</v>
      </c>
      <c r="I84" s="1297">
        <v>76</v>
      </c>
      <c r="J84" s="4" t="str">
        <f t="shared" si="1"/>
        <v>1.76</v>
      </c>
    </row>
    <row r="85" spans="1:10" s="4" customFormat="1" ht="47.25">
      <c r="A85" s="1290" t="s">
        <v>104</v>
      </c>
      <c r="B85" s="1291" t="s">
        <v>3640</v>
      </c>
      <c r="C85" s="1292" t="s">
        <v>0</v>
      </c>
      <c r="D85" s="1293">
        <v>10</v>
      </c>
      <c r="E85" s="1294">
        <v>8142.53</v>
      </c>
      <c r="F85" s="1293">
        <v>81425.3</v>
      </c>
      <c r="G85" s="1295" t="s">
        <v>4473</v>
      </c>
      <c r="H85" s="1296" t="s">
        <v>5669</v>
      </c>
      <c r="I85" s="1297">
        <v>77</v>
      </c>
      <c r="J85" s="4" t="str">
        <f t="shared" si="1"/>
        <v>1.77</v>
      </c>
    </row>
    <row r="86" spans="1:10" s="4" customFormat="1" ht="47.25">
      <c r="A86" s="1290" t="s">
        <v>105</v>
      </c>
      <c r="B86" s="1291" t="s">
        <v>4048</v>
      </c>
      <c r="C86" s="1292" t="s">
        <v>0</v>
      </c>
      <c r="D86" s="1293">
        <v>10</v>
      </c>
      <c r="E86" s="1294">
        <v>8636.07</v>
      </c>
      <c r="F86" s="1293">
        <v>86360.7</v>
      </c>
      <c r="G86" s="1295" t="s">
        <v>4474</v>
      </c>
      <c r="H86" s="1296" t="s">
        <v>5670</v>
      </c>
      <c r="I86" s="1297">
        <v>78</v>
      </c>
      <c r="J86" s="4" t="str">
        <f t="shared" si="1"/>
        <v>1.78</v>
      </c>
    </row>
    <row r="87" spans="1:10" s="4" customFormat="1" ht="42.75">
      <c r="A87" s="1290" t="s">
        <v>106</v>
      </c>
      <c r="B87" s="1291" t="s">
        <v>1174</v>
      </c>
      <c r="C87" s="1292" t="s">
        <v>0</v>
      </c>
      <c r="D87" s="1293">
        <v>10</v>
      </c>
      <c r="E87" s="1294">
        <v>7468.45</v>
      </c>
      <c r="F87" s="1293">
        <v>74684.5</v>
      </c>
      <c r="G87" s="1295" t="s">
        <v>4475</v>
      </c>
      <c r="H87" s="1296" t="s">
        <v>5671</v>
      </c>
      <c r="I87" s="1297">
        <v>79</v>
      </c>
      <c r="J87" s="4" t="str">
        <f t="shared" si="1"/>
        <v>1.79</v>
      </c>
    </row>
    <row r="88" spans="1:10" s="4" customFormat="1" ht="47.25">
      <c r="A88" s="1290" t="s">
        <v>107</v>
      </c>
      <c r="B88" s="1291" t="s">
        <v>1179</v>
      </c>
      <c r="C88" s="1292" t="s">
        <v>0</v>
      </c>
      <c r="D88" s="1293">
        <v>10</v>
      </c>
      <c r="E88" s="1294">
        <v>7968.56</v>
      </c>
      <c r="F88" s="1293">
        <v>79685.600000000006</v>
      </c>
      <c r="G88" s="1295" t="s">
        <v>4476</v>
      </c>
      <c r="H88" s="1296" t="s">
        <v>5672</v>
      </c>
      <c r="I88" s="1297">
        <v>80</v>
      </c>
      <c r="J88" s="4" t="str">
        <f t="shared" si="1"/>
        <v>1.80</v>
      </c>
    </row>
    <row r="89" spans="1:10" s="4" customFormat="1" ht="47.25">
      <c r="A89" s="1290" t="s">
        <v>108</v>
      </c>
      <c r="B89" s="1291" t="s">
        <v>4477</v>
      </c>
      <c r="C89" s="1292" t="s">
        <v>0</v>
      </c>
      <c r="D89" s="1293">
        <v>10</v>
      </c>
      <c r="E89" s="1294">
        <v>8462.1</v>
      </c>
      <c r="F89" s="1293">
        <v>84621</v>
      </c>
      <c r="G89" s="1295" t="s">
        <v>4478</v>
      </c>
      <c r="H89" s="1296" t="s">
        <v>5673</v>
      </c>
      <c r="I89" s="1297">
        <v>81</v>
      </c>
      <c r="J89" s="4" t="str">
        <f t="shared" si="1"/>
        <v>1.81</v>
      </c>
    </row>
    <row r="90" spans="1:10" s="4" customFormat="1" ht="42.75">
      <c r="A90" s="1290" t="s">
        <v>109</v>
      </c>
      <c r="B90" s="1291" t="s">
        <v>1182</v>
      </c>
      <c r="C90" s="1292" t="s">
        <v>0</v>
      </c>
      <c r="D90" s="1293">
        <v>10</v>
      </c>
      <c r="E90" s="1294">
        <v>7980.12</v>
      </c>
      <c r="F90" s="1293">
        <v>79801.2</v>
      </c>
      <c r="G90" s="1295" t="s">
        <v>4479</v>
      </c>
      <c r="H90" s="1296" t="s">
        <v>5674</v>
      </c>
      <c r="I90" s="1297">
        <v>82</v>
      </c>
      <c r="J90" s="4" t="str">
        <f t="shared" si="1"/>
        <v>1.82</v>
      </c>
    </row>
    <row r="91" spans="1:10" s="4" customFormat="1" ht="47.25">
      <c r="A91" s="1290" t="s">
        <v>110</v>
      </c>
      <c r="B91" s="1291" t="s">
        <v>1187</v>
      </c>
      <c r="C91" s="1292" t="s">
        <v>0</v>
      </c>
      <c r="D91" s="1293">
        <v>10</v>
      </c>
      <c r="E91" s="1294">
        <v>7079.58</v>
      </c>
      <c r="F91" s="1293">
        <v>70795.8</v>
      </c>
      <c r="G91" s="1295" t="s">
        <v>4480</v>
      </c>
      <c r="H91" s="1296" t="s">
        <v>5675</v>
      </c>
      <c r="I91" s="1297">
        <v>83</v>
      </c>
      <c r="J91" s="4" t="str">
        <f t="shared" si="1"/>
        <v>1.83</v>
      </c>
    </row>
    <row r="92" spans="1:10" s="4" customFormat="1" ht="47.25">
      <c r="A92" s="1290" t="s">
        <v>111</v>
      </c>
      <c r="B92" s="1291" t="s">
        <v>1192</v>
      </c>
      <c r="C92" s="1292" t="s">
        <v>0</v>
      </c>
      <c r="D92" s="1293">
        <v>10</v>
      </c>
      <c r="E92" s="1294">
        <v>7579.7</v>
      </c>
      <c r="F92" s="1293">
        <v>75797</v>
      </c>
      <c r="G92" s="1295" t="s">
        <v>4481</v>
      </c>
      <c r="H92" s="1296" t="s">
        <v>5676</v>
      </c>
      <c r="I92" s="1297">
        <v>84</v>
      </c>
      <c r="J92" s="4" t="str">
        <f t="shared" si="1"/>
        <v>1.84</v>
      </c>
    </row>
    <row r="93" spans="1:10" s="4" customFormat="1" ht="47.25">
      <c r="A93" s="1290" t="s">
        <v>112</v>
      </c>
      <c r="B93" s="1291" t="s">
        <v>4482</v>
      </c>
      <c r="C93" s="1292" t="s">
        <v>0</v>
      </c>
      <c r="D93" s="1293">
        <v>10</v>
      </c>
      <c r="E93" s="1294">
        <v>8073.23</v>
      </c>
      <c r="F93" s="1293">
        <v>80732.3</v>
      </c>
      <c r="G93" s="1295" t="s">
        <v>4483</v>
      </c>
      <c r="H93" s="1296" t="s">
        <v>5677</v>
      </c>
      <c r="I93" s="1297">
        <v>85</v>
      </c>
      <c r="J93" s="4" t="str">
        <f t="shared" si="1"/>
        <v>1.85</v>
      </c>
    </row>
    <row r="94" spans="1:10" s="4" customFormat="1" ht="47.25">
      <c r="A94" s="1290" t="s">
        <v>113</v>
      </c>
      <c r="B94" s="1291" t="s">
        <v>1195</v>
      </c>
      <c r="C94" s="1292" t="s">
        <v>0</v>
      </c>
      <c r="D94" s="1293">
        <v>10</v>
      </c>
      <c r="E94" s="1294">
        <v>6711.18</v>
      </c>
      <c r="F94" s="1293">
        <v>67111.8</v>
      </c>
      <c r="G94" s="1295" t="s">
        <v>4484</v>
      </c>
      <c r="H94" s="1296" t="s">
        <v>5678</v>
      </c>
      <c r="I94" s="1297">
        <v>86</v>
      </c>
      <c r="J94" s="4" t="str">
        <f t="shared" si="1"/>
        <v>1.86</v>
      </c>
    </row>
    <row r="95" spans="1:10" s="4" customFormat="1" ht="47.25">
      <c r="A95" s="1290" t="s">
        <v>114</v>
      </c>
      <c r="B95" s="1291" t="s">
        <v>1200</v>
      </c>
      <c r="C95" s="1292" t="s">
        <v>0</v>
      </c>
      <c r="D95" s="1293">
        <v>10</v>
      </c>
      <c r="E95" s="1294">
        <v>7211.3</v>
      </c>
      <c r="F95" s="1293">
        <v>72113</v>
      </c>
      <c r="G95" s="1295" t="s">
        <v>4485</v>
      </c>
      <c r="H95" s="1296" t="s">
        <v>5679</v>
      </c>
      <c r="I95" s="1297">
        <v>87</v>
      </c>
      <c r="J95" s="4" t="str">
        <f t="shared" si="1"/>
        <v>1.87</v>
      </c>
    </row>
    <row r="96" spans="1:10" s="4" customFormat="1" ht="47.25">
      <c r="A96" s="1290" t="s">
        <v>115</v>
      </c>
      <c r="B96" s="1291" t="s">
        <v>4486</v>
      </c>
      <c r="C96" s="1292" t="s">
        <v>0</v>
      </c>
      <c r="D96" s="1293">
        <v>10</v>
      </c>
      <c r="E96" s="1294">
        <v>7704.83</v>
      </c>
      <c r="F96" s="1293">
        <v>77048.3</v>
      </c>
      <c r="G96" s="1295" t="s">
        <v>4487</v>
      </c>
      <c r="H96" s="1296" t="s">
        <v>5680</v>
      </c>
      <c r="I96" s="1297">
        <v>88</v>
      </c>
      <c r="J96" s="4" t="str">
        <f t="shared" si="1"/>
        <v>1.88</v>
      </c>
    </row>
    <row r="97" spans="1:10" s="4" customFormat="1" ht="42.75">
      <c r="A97" s="1290" t="s">
        <v>116</v>
      </c>
      <c r="B97" s="1291" t="s">
        <v>1203</v>
      </c>
      <c r="C97" s="1292" t="s">
        <v>0</v>
      </c>
      <c r="D97" s="1293">
        <v>1</v>
      </c>
      <c r="E97" s="1294">
        <v>57072.22</v>
      </c>
      <c r="F97" s="1293">
        <v>57072.22</v>
      </c>
      <c r="G97" s="1295" t="s">
        <v>4488</v>
      </c>
      <c r="H97" s="1296" t="s">
        <v>5681</v>
      </c>
      <c r="I97" s="1297">
        <v>89</v>
      </c>
      <c r="J97" s="4" t="str">
        <f t="shared" si="1"/>
        <v>1.89</v>
      </c>
    </row>
    <row r="98" spans="1:10" s="4" customFormat="1" ht="42.75">
      <c r="A98" s="1290" t="s">
        <v>117</v>
      </c>
      <c r="B98" s="1291" t="s">
        <v>1215</v>
      </c>
      <c r="C98" s="1292" t="s">
        <v>3</v>
      </c>
      <c r="D98" s="1293">
        <v>100</v>
      </c>
      <c r="E98" s="1294">
        <v>25.42</v>
      </c>
      <c r="F98" s="1293">
        <v>2542</v>
      </c>
      <c r="G98" s="1295" t="s">
        <v>4489</v>
      </c>
      <c r="H98" s="1296" t="s">
        <v>5682</v>
      </c>
      <c r="I98" s="1297">
        <v>90</v>
      </c>
      <c r="J98" s="4" t="str">
        <f t="shared" si="1"/>
        <v>1.90</v>
      </c>
    </row>
    <row r="99" spans="1:10" s="4" customFormat="1" ht="47.25">
      <c r="A99" s="1290" t="s">
        <v>118</v>
      </c>
      <c r="B99" s="1291" t="s">
        <v>4490</v>
      </c>
      <c r="C99" s="1292" t="s">
        <v>3</v>
      </c>
      <c r="D99" s="1293">
        <v>100</v>
      </c>
      <c r="E99" s="1294">
        <v>40.68</v>
      </c>
      <c r="F99" s="1293">
        <v>4068</v>
      </c>
      <c r="G99" s="1295" t="s">
        <v>4491</v>
      </c>
      <c r="H99" s="1296" t="s">
        <v>5683</v>
      </c>
      <c r="I99" s="1297">
        <v>91</v>
      </c>
      <c r="J99" s="4" t="str">
        <f t="shared" si="1"/>
        <v>1.91</v>
      </c>
    </row>
    <row r="100" spans="1:10" s="4" customFormat="1" ht="42.75">
      <c r="A100" s="1290" t="s">
        <v>119</v>
      </c>
      <c r="B100" s="1291" t="s">
        <v>1231</v>
      </c>
      <c r="C100" s="1292" t="s">
        <v>3</v>
      </c>
      <c r="D100" s="1293">
        <v>100</v>
      </c>
      <c r="E100" s="1294">
        <v>16.57</v>
      </c>
      <c r="F100" s="1293">
        <v>1657</v>
      </c>
      <c r="G100" s="1295" t="s">
        <v>4492</v>
      </c>
      <c r="H100" s="1296" t="s">
        <v>5684</v>
      </c>
      <c r="I100" s="1297">
        <v>92</v>
      </c>
      <c r="J100" s="4" t="str">
        <f t="shared" si="1"/>
        <v>1.92</v>
      </c>
    </row>
    <row r="101" spans="1:10" s="4" customFormat="1" ht="47.25">
      <c r="A101" s="1290" t="s">
        <v>120</v>
      </c>
      <c r="B101" s="1291" t="s">
        <v>1236</v>
      </c>
      <c r="C101" s="1292" t="s">
        <v>3</v>
      </c>
      <c r="D101" s="1293">
        <v>100</v>
      </c>
      <c r="E101" s="1294">
        <v>43.39</v>
      </c>
      <c r="F101" s="1293">
        <v>4339</v>
      </c>
      <c r="G101" s="1295" t="s">
        <v>4493</v>
      </c>
      <c r="H101" s="1296" t="s">
        <v>5685</v>
      </c>
      <c r="I101" s="1297">
        <v>93</v>
      </c>
      <c r="J101" s="4" t="str">
        <f t="shared" si="1"/>
        <v>1.93</v>
      </c>
    </row>
    <row r="102" spans="1:10" s="4" customFormat="1" ht="47.25">
      <c r="A102" s="1290" t="s">
        <v>121</v>
      </c>
      <c r="B102" s="1291" t="s">
        <v>4494</v>
      </c>
      <c r="C102" s="1292" t="s">
        <v>3</v>
      </c>
      <c r="D102" s="1293">
        <v>100</v>
      </c>
      <c r="E102" s="1294">
        <v>68.819999999999993</v>
      </c>
      <c r="F102" s="1293">
        <v>6882</v>
      </c>
      <c r="G102" s="1295" t="s">
        <v>4495</v>
      </c>
      <c r="H102" s="1296" t="s">
        <v>5686</v>
      </c>
      <c r="I102" s="1297">
        <v>94</v>
      </c>
      <c r="J102" s="4" t="str">
        <f t="shared" si="1"/>
        <v>1.94</v>
      </c>
    </row>
    <row r="103" spans="1:10" s="4" customFormat="1" ht="47.25">
      <c r="A103" s="1290" t="s">
        <v>122</v>
      </c>
      <c r="B103" s="1291" t="s">
        <v>1239</v>
      </c>
      <c r="C103" s="1292" t="s">
        <v>3</v>
      </c>
      <c r="D103" s="1293">
        <v>100</v>
      </c>
      <c r="E103" s="1294">
        <v>28.56</v>
      </c>
      <c r="F103" s="1293">
        <v>2856</v>
      </c>
      <c r="G103" s="1295" t="s">
        <v>4496</v>
      </c>
      <c r="H103" s="1296" t="s">
        <v>5687</v>
      </c>
      <c r="I103" s="1297">
        <v>95</v>
      </c>
      <c r="J103" s="4" t="str">
        <f t="shared" si="1"/>
        <v>1.95</v>
      </c>
    </row>
    <row r="104" spans="1:10" s="4" customFormat="1" ht="42.75">
      <c r="A104" s="1290" t="s">
        <v>123</v>
      </c>
      <c r="B104" s="1291" t="s">
        <v>462</v>
      </c>
      <c r="C104" s="1292" t="s">
        <v>17</v>
      </c>
      <c r="D104" s="1293">
        <v>100</v>
      </c>
      <c r="E104" s="1294">
        <v>65.77</v>
      </c>
      <c r="F104" s="1293">
        <v>6577</v>
      </c>
      <c r="G104" s="1295" t="s">
        <v>4497</v>
      </c>
      <c r="H104" s="1296" t="s">
        <v>5688</v>
      </c>
      <c r="I104" s="1297">
        <v>96</v>
      </c>
      <c r="J104" s="4" t="str">
        <f t="shared" si="1"/>
        <v>1.96</v>
      </c>
    </row>
    <row r="105" spans="1:10" s="4" customFormat="1" ht="42.75">
      <c r="A105" s="1290" t="s">
        <v>124</v>
      </c>
      <c r="B105" s="1291" t="s">
        <v>1250</v>
      </c>
      <c r="C105" s="1292" t="s">
        <v>17</v>
      </c>
      <c r="D105" s="1293">
        <v>100</v>
      </c>
      <c r="E105" s="1294">
        <v>76.73</v>
      </c>
      <c r="F105" s="1293">
        <v>7673</v>
      </c>
      <c r="G105" s="1295" t="s">
        <v>4498</v>
      </c>
      <c r="H105" s="1296" t="s">
        <v>5689</v>
      </c>
      <c r="I105" s="1297">
        <v>97</v>
      </c>
      <c r="J105" s="4" t="str">
        <f t="shared" si="1"/>
        <v>1.97</v>
      </c>
    </row>
    <row r="106" spans="1:10" s="4" customFormat="1" ht="42.75">
      <c r="A106" s="1290" t="s">
        <v>125</v>
      </c>
      <c r="B106" s="1291" t="s">
        <v>1253</v>
      </c>
      <c r="C106" s="1292" t="s">
        <v>17</v>
      </c>
      <c r="D106" s="1293">
        <v>50</v>
      </c>
      <c r="E106" s="1294">
        <v>139.19999999999999</v>
      </c>
      <c r="F106" s="1293">
        <v>6960</v>
      </c>
      <c r="G106" s="1295" t="s">
        <v>4499</v>
      </c>
      <c r="H106" s="1296" t="s">
        <v>5690</v>
      </c>
      <c r="I106" s="1297">
        <v>98</v>
      </c>
      <c r="J106" s="4" t="str">
        <f t="shared" si="1"/>
        <v>1.98</v>
      </c>
    </row>
    <row r="107" spans="1:10" s="4" customFormat="1" ht="42.75">
      <c r="A107" s="1290" t="s">
        <v>126</v>
      </c>
      <c r="B107" s="1291" t="s">
        <v>464</v>
      </c>
      <c r="C107" s="1292" t="s">
        <v>0</v>
      </c>
      <c r="D107" s="1293">
        <v>20</v>
      </c>
      <c r="E107" s="1294">
        <v>3319</v>
      </c>
      <c r="F107" s="1293">
        <v>66380</v>
      </c>
      <c r="G107" s="1295" t="s">
        <v>4500</v>
      </c>
      <c r="H107" s="1296" t="s">
        <v>5691</v>
      </c>
      <c r="I107" s="1297">
        <v>99</v>
      </c>
      <c r="J107" s="4" t="str">
        <f t="shared" si="1"/>
        <v>1.99</v>
      </c>
    </row>
    <row r="108" spans="1:10" s="4" customFormat="1" ht="42.75">
      <c r="A108" s="1290" t="s">
        <v>127</v>
      </c>
      <c r="B108" s="1291" t="s">
        <v>4501</v>
      </c>
      <c r="C108" s="1292" t="s">
        <v>0</v>
      </c>
      <c r="D108" s="1293">
        <v>20</v>
      </c>
      <c r="E108" s="1294">
        <v>3631.55</v>
      </c>
      <c r="F108" s="1293">
        <v>72631</v>
      </c>
      <c r="G108" s="1295" t="s">
        <v>4502</v>
      </c>
      <c r="H108" s="1296" t="s">
        <v>5692</v>
      </c>
      <c r="I108" s="1297">
        <v>100</v>
      </c>
      <c r="J108" s="4" t="str">
        <f t="shared" si="1"/>
        <v>1.100</v>
      </c>
    </row>
    <row r="109" spans="1:10" s="4" customFormat="1" ht="42.75">
      <c r="A109" s="1290" t="s">
        <v>128</v>
      </c>
      <c r="B109" s="1291" t="s">
        <v>1270</v>
      </c>
      <c r="C109" s="1292" t="s">
        <v>0</v>
      </c>
      <c r="D109" s="1293">
        <v>50</v>
      </c>
      <c r="E109" s="1294">
        <v>3411.1</v>
      </c>
      <c r="F109" s="1293">
        <v>170555</v>
      </c>
      <c r="G109" s="1295" t="s">
        <v>4503</v>
      </c>
      <c r="H109" s="1296" t="s">
        <v>5693</v>
      </c>
      <c r="I109" s="1297">
        <v>101</v>
      </c>
      <c r="J109" s="4" t="str">
        <f t="shared" si="1"/>
        <v>1.101</v>
      </c>
    </row>
    <row r="110" spans="1:10" s="4" customFormat="1" ht="71.25">
      <c r="A110" s="1290" t="s">
        <v>129</v>
      </c>
      <c r="B110" s="1291" t="s">
        <v>1275</v>
      </c>
      <c r="C110" s="1292" t="s">
        <v>0</v>
      </c>
      <c r="D110" s="1293">
        <v>50</v>
      </c>
      <c r="E110" s="1294">
        <v>3513.44</v>
      </c>
      <c r="F110" s="1293">
        <v>175672</v>
      </c>
      <c r="G110" s="1295" t="s">
        <v>4504</v>
      </c>
      <c r="H110" s="1296" t="s">
        <v>5694</v>
      </c>
      <c r="I110" s="1297">
        <v>102</v>
      </c>
      <c r="J110" s="4" t="str">
        <f t="shared" si="1"/>
        <v>1.102</v>
      </c>
    </row>
    <row r="111" spans="1:10" s="4" customFormat="1" ht="71.25">
      <c r="A111" s="1290" t="s">
        <v>130</v>
      </c>
      <c r="B111" s="1291" t="s">
        <v>4505</v>
      </c>
      <c r="C111" s="1292" t="s">
        <v>0</v>
      </c>
      <c r="D111" s="1293">
        <v>50</v>
      </c>
      <c r="E111" s="1294">
        <v>3826</v>
      </c>
      <c r="F111" s="1293">
        <v>191300</v>
      </c>
      <c r="G111" s="1295" t="s">
        <v>4506</v>
      </c>
      <c r="H111" s="1296" t="s">
        <v>5695</v>
      </c>
      <c r="I111" s="1297">
        <v>103</v>
      </c>
      <c r="J111" s="4" t="str">
        <f t="shared" si="1"/>
        <v>1.103</v>
      </c>
    </row>
    <row r="112" spans="1:10" s="4" customFormat="1" ht="42.75">
      <c r="A112" s="1290" t="s">
        <v>131</v>
      </c>
      <c r="B112" s="1291" t="s">
        <v>1280</v>
      </c>
      <c r="C112" s="1292" t="s">
        <v>0</v>
      </c>
      <c r="D112" s="1293">
        <v>50</v>
      </c>
      <c r="E112" s="1294">
        <v>3682.24</v>
      </c>
      <c r="F112" s="1293">
        <v>184112</v>
      </c>
      <c r="G112" s="1295" t="s">
        <v>4507</v>
      </c>
      <c r="H112" s="1296" t="s">
        <v>5696</v>
      </c>
      <c r="I112" s="1297">
        <v>104</v>
      </c>
      <c r="J112" s="4" t="str">
        <f t="shared" si="1"/>
        <v>1.104</v>
      </c>
    </row>
    <row r="113" spans="1:10" s="4" customFormat="1" ht="71.25">
      <c r="A113" s="1290" t="s">
        <v>132</v>
      </c>
      <c r="B113" s="1291" t="s">
        <v>16</v>
      </c>
      <c r="C113" s="1292" t="s">
        <v>0</v>
      </c>
      <c r="D113" s="1293">
        <v>50</v>
      </c>
      <c r="E113" s="1294">
        <v>3837.05</v>
      </c>
      <c r="F113" s="1293">
        <v>191852.5</v>
      </c>
      <c r="G113" s="1295" t="s">
        <v>4508</v>
      </c>
      <c r="H113" s="1296" t="s">
        <v>5697</v>
      </c>
      <c r="I113" s="1297">
        <v>105</v>
      </c>
      <c r="J113" s="4" t="str">
        <f t="shared" si="1"/>
        <v>1.105</v>
      </c>
    </row>
    <row r="114" spans="1:10" s="4" customFormat="1" ht="71.25">
      <c r="A114" s="1290" t="s">
        <v>133</v>
      </c>
      <c r="B114" s="1291" t="s">
        <v>4509</v>
      </c>
      <c r="C114" s="1292" t="s">
        <v>0</v>
      </c>
      <c r="D114" s="1293">
        <v>50</v>
      </c>
      <c r="E114" s="1294">
        <v>4283.58</v>
      </c>
      <c r="F114" s="1293">
        <v>214179</v>
      </c>
      <c r="G114" s="1295" t="s">
        <v>4510</v>
      </c>
      <c r="H114" s="1296" t="s">
        <v>5698</v>
      </c>
      <c r="I114" s="1297">
        <v>106</v>
      </c>
      <c r="J114" s="4" t="str">
        <f t="shared" si="1"/>
        <v>1.106</v>
      </c>
    </row>
    <row r="115" spans="1:10" s="4" customFormat="1" ht="42.75">
      <c r="A115" s="1290" t="s">
        <v>134</v>
      </c>
      <c r="B115" s="1291" t="s">
        <v>1287</v>
      </c>
      <c r="C115" s="1292" t="s">
        <v>0</v>
      </c>
      <c r="D115" s="1293">
        <v>10</v>
      </c>
      <c r="E115" s="1294">
        <v>4105.46</v>
      </c>
      <c r="F115" s="1293">
        <v>41054.6</v>
      </c>
      <c r="G115" s="1295" t="s">
        <v>4511</v>
      </c>
      <c r="H115" s="1296" t="s">
        <v>5699</v>
      </c>
      <c r="I115" s="1297">
        <v>107</v>
      </c>
      <c r="J115" s="4" t="str">
        <f t="shared" si="1"/>
        <v>1.107</v>
      </c>
    </row>
    <row r="116" spans="1:10" s="4" customFormat="1" ht="71.25">
      <c r="A116" s="1290" t="s">
        <v>135</v>
      </c>
      <c r="B116" s="1291" t="s">
        <v>1292</v>
      </c>
      <c r="C116" s="1292" t="s">
        <v>0</v>
      </c>
      <c r="D116" s="1293">
        <v>10</v>
      </c>
      <c r="E116" s="1294">
        <v>4367.29</v>
      </c>
      <c r="F116" s="1293">
        <v>43672.9</v>
      </c>
      <c r="G116" s="1295" t="s">
        <v>4512</v>
      </c>
      <c r="H116" s="1296" t="s">
        <v>5700</v>
      </c>
      <c r="I116" s="1297">
        <v>108</v>
      </c>
      <c r="J116" s="4" t="str">
        <f t="shared" si="1"/>
        <v>1.108</v>
      </c>
    </row>
    <row r="117" spans="1:10" s="4" customFormat="1" ht="71.25">
      <c r="A117" s="1290" t="s">
        <v>136</v>
      </c>
      <c r="B117" s="1291" t="s">
        <v>1306</v>
      </c>
      <c r="C117" s="1292" t="s">
        <v>0</v>
      </c>
      <c r="D117" s="1293">
        <v>10</v>
      </c>
      <c r="E117" s="1294">
        <v>4523.42</v>
      </c>
      <c r="F117" s="1293">
        <v>45234.2</v>
      </c>
      <c r="G117" s="1295" t="s">
        <v>4513</v>
      </c>
      <c r="H117" s="1296" t="s">
        <v>5701</v>
      </c>
      <c r="I117" s="1297">
        <v>109</v>
      </c>
      <c r="J117" s="4" t="str">
        <f t="shared" si="1"/>
        <v>1.109</v>
      </c>
    </row>
    <row r="118" spans="1:10" s="4" customFormat="1" ht="71.25">
      <c r="A118" s="1290" t="s">
        <v>137</v>
      </c>
      <c r="B118" s="1291" t="s">
        <v>1309</v>
      </c>
      <c r="C118" s="1292" t="s">
        <v>0</v>
      </c>
      <c r="D118" s="1293">
        <v>10</v>
      </c>
      <c r="E118" s="1294">
        <v>4687</v>
      </c>
      <c r="F118" s="1293">
        <v>46870</v>
      </c>
      <c r="G118" s="1295" t="s">
        <v>4514</v>
      </c>
      <c r="H118" s="1296" t="s">
        <v>5702</v>
      </c>
      <c r="I118" s="1297">
        <v>110</v>
      </c>
      <c r="J118" s="4" t="str">
        <f t="shared" si="1"/>
        <v>1.110</v>
      </c>
    </row>
    <row r="119" spans="1:10" s="4" customFormat="1" ht="71.25">
      <c r="A119" s="1290" t="s">
        <v>138</v>
      </c>
      <c r="B119" s="1291" t="s">
        <v>1312</v>
      </c>
      <c r="C119" s="1292" t="s">
        <v>0</v>
      </c>
      <c r="D119" s="1293">
        <v>10</v>
      </c>
      <c r="E119" s="1294">
        <v>4765.13</v>
      </c>
      <c r="F119" s="1293">
        <v>47651.3</v>
      </c>
      <c r="G119" s="1295" t="s">
        <v>4515</v>
      </c>
      <c r="H119" s="1296" t="s">
        <v>5703</v>
      </c>
      <c r="I119" s="1297">
        <v>111</v>
      </c>
      <c r="J119" s="4" t="str">
        <f t="shared" si="1"/>
        <v>1.111</v>
      </c>
    </row>
    <row r="120" spans="1:10" s="4" customFormat="1" ht="71.25">
      <c r="A120" s="1290" t="s">
        <v>139</v>
      </c>
      <c r="B120" s="1291" t="s">
        <v>1315</v>
      </c>
      <c r="C120" s="1292" t="s">
        <v>0</v>
      </c>
      <c r="D120" s="1293">
        <v>10</v>
      </c>
      <c r="E120" s="1294">
        <v>6832.15</v>
      </c>
      <c r="F120" s="1293">
        <v>68321.5</v>
      </c>
      <c r="G120" s="1295" t="s">
        <v>4516</v>
      </c>
      <c r="H120" s="1296" t="s">
        <v>5704</v>
      </c>
      <c r="I120" s="1297">
        <v>112</v>
      </c>
      <c r="J120" s="4" t="str">
        <f t="shared" si="1"/>
        <v>1.112</v>
      </c>
    </row>
    <row r="121" spans="1:10" s="4" customFormat="1" ht="71.25">
      <c r="A121" s="1290" t="s">
        <v>140</v>
      </c>
      <c r="B121" s="1291" t="s">
        <v>4517</v>
      </c>
      <c r="C121" s="1292" t="s">
        <v>0</v>
      </c>
      <c r="D121" s="1293">
        <v>10</v>
      </c>
      <c r="E121" s="1294">
        <v>8531.7800000000007</v>
      </c>
      <c r="F121" s="1293">
        <v>85317.8</v>
      </c>
      <c r="G121" s="1295" t="s">
        <v>4518</v>
      </c>
      <c r="H121" s="1296" t="s">
        <v>5705</v>
      </c>
      <c r="I121" s="1297">
        <v>113</v>
      </c>
      <c r="J121" s="4" t="str">
        <f t="shared" si="1"/>
        <v>1.113</v>
      </c>
    </row>
    <row r="122" spans="1:10" s="4" customFormat="1" ht="71.25">
      <c r="A122" s="1290" t="s">
        <v>141</v>
      </c>
      <c r="B122" s="1291" t="s">
        <v>4519</v>
      </c>
      <c r="C122" s="1292" t="s">
        <v>0</v>
      </c>
      <c r="D122" s="1293">
        <v>10</v>
      </c>
      <c r="E122" s="1294">
        <v>1745.15</v>
      </c>
      <c r="F122" s="1293">
        <v>17451.5</v>
      </c>
      <c r="G122" s="1295" t="s">
        <v>4520</v>
      </c>
      <c r="H122" s="1296" t="s">
        <v>5706</v>
      </c>
      <c r="I122" s="1297">
        <v>114</v>
      </c>
      <c r="J122" s="4" t="str">
        <f t="shared" si="1"/>
        <v>1.114</v>
      </c>
    </row>
    <row r="123" spans="1:10" s="4" customFormat="1" ht="71.25">
      <c r="A123" s="1290" t="s">
        <v>142</v>
      </c>
      <c r="B123" s="1291" t="s">
        <v>4521</v>
      </c>
      <c r="C123" s="1292" t="s">
        <v>0</v>
      </c>
      <c r="D123" s="1293">
        <v>10</v>
      </c>
      <c r="E123" s="1294">
        <v>1996.7</v>
      </c>
      <c r="F123" s="1293">
        <v>19967</v>
      </c>
      <c r="G123" s="1295" t="s">
        <v>4522</v>
      </c>
      <c r="H123" s="1296" t="s">
        <v>5707</v>
      </c>
      <c r="I123" s="1297">
        <v>115</v>
      </c>
      <c r="J123" s="4" t="str">
        <f t="shared" si="1"/>
        <v>1.115</v>
      </c>
    </row>
    <row r="124" spans="1:10" s="4" customFormat="1" ht="42.75">
      <c r="A124" s="1290" t="s">
        <v>143</v>
      </c>
      <c r="B124" s="1291" t="s">
        <v>1320</v>
      </c>
      <c r="C124" s="1292" t="s">
        <v>0</v>
      </c>
      <c r="D124" s="1293">
        <v>5</v>
      </c>
      <c r="E124" s="1294">
        <v>5062.71</v>
      </c>
      <c r="F124" s="1293">
        <v>25313.55</v>
      </c>
      <c r="G124" s="1295" t="s">
        <v>4523</v>
      </c>
      <c r="H124" s="1296" t="s">
        <v>5708</v>
      </c>
      <c r="I124" s="1297">
        <v>116</v>
      </c>
      <c r="J124" s="4" t="str">
        <f t="shared" si="1"/>
        <v>1.116</v>
      </c>
    </row>
    <row r="125" spans="1:10" s="4" customFormat="1" ht="31.5">
      <c r="A125" s="1290" t="s">
        <v>144</v>
      </c>
      <c r="B125" s="1291" t="s">
        <v>3086</v>
      </c>
      <c r="C125" s="1292" t="s">
        <v>0</v>
      </c>
      <c r="D125" s="1293">
        <v>15</v>
      </c>
      <c r="E125" s="1294">
        <v>198.71</v>
      </c>
      <c r="F125" s="1293">
        <v>2980.65</v>
      </c>
      <c r="G125" s="1295" t="s">
        <v>3087</v>
      </c>
      <c r="H125" s="1296" t="s">
        <v>5709</v>
      </c>
      <c r="I125" s="1297">
        <v>117</v>
      </c>
      <c r="J125" s="4" t="str">
        <f t="shared" si="1"/>
        <v>1.117</v>
      </c>
    </row>
    <row r="126" spans="1:10" s="4" customFormat="1" ht="42.75">
      <c r="A126" s="1290" t="s">
        <v>145</v>
      </c>
      <c r="B126" s="1291" t="s">
        <v>1328</v>
      </c>
      <c r="C126" s="1292" t="s">
        <v>3</v>
      </c>
      <c r="D126" s="1293">
        <v>10</v>
      </c>
      <c r="E126" s="1294">
        <v>264.25</v>
      </c>
      <c r="F126" s="1293">
        <v>2642.5</v>
      </c>
      <c r="G126" s="1295" t="s">
        <v>4524</v>
      </c>
      <c r="H126" s="1296" t="s">
        <v>5710</v>
      </c>
      <c r="I126" s="1297">
        <v>118</v>
      </c>
      <c r="J126" s="4" t="str">
        <f t="shared" si="1"/>
        <v>1.118</v>
      </c>
    </row>
    <row r="127" spans="1:10" s="4" customFormat="1" ht="42.75">
      <c r="A127" s="1290" t="s">
        <v>146</v>
      </c>
      <c r="B127" s="1291" t="s">
        <v>1333</v>
      </c>
      <c r="C127" s="1292" t="s">
        <v>3</v>
      </c>
      <c r="D127" s="1293">
        <v>10</v>
      </c>
      <c r="E127" s="1294">
        <v>954.42</v>
      </c>
      <c r="F127" s="1293">
        <v>9544.2000000000007</v>
      </c>
      <c r="G127" s="1295" t="s">
        <v>4525</v>
      </c>
      <c r="H127" s="1296" t="s">
        <v>5711</v>
      </c>
      <c r="I127" s="1297">
        <v>119</v>
      </c>
      <c r="J127" s="4" t="str">
        <f t="shared" si="1"/>
        <v>1.119</v>
      </c>
    </row>
    <row r="128" spans="1:10" s="4" customFormat="1" ht="71.25">
      <c r="A128" s="1290" t="s">
        <v>147</v>
      </c>
      <c r="B128" s="1291" t="s">
        <v>1384</v>
      </c>
      <c r="C128" s="1292" t="s">
        <v>3</v>
      </c>
      <c r="D128" s="1293">
        <v>10</v>
      </c>
      <c r="E128" s="1294">
        <v>1193.82</v>
      </c>
      <c r="F128" s="1293">
        <v>11938.2</v>
      </c>
      <c r="G128" s="1295" t="s">
        <v>4526</v>
      </c>
      <c r="H128" s="1296" t="s">
        <v>5712</v>
      </c>
      <c r="I128" s="1297">
        <v>120</v>
      </c>
      <c r="J128" s="4" t="str">
        <f t="shared" si="1"/>
        <v>1.120</v>
      </c>
    </row>
    <row r="129" spans="1:10" s="4" customFormat="1" ht="85.5">
      <c r="A129" s="1290" t="s">
        <v>148</v>
      </c>
      <c r="B129" s="1291" t="s">
        <v>1347</v>
      </c>
      <c r="C129" s="1292" t="s">
        <v>3</v>
      </c>
      <c r="D129" s="1293">
        <v>10</v>
      </c>
      <c r="E129" s="1294">
        <v>799.59</v>
      </c>
      <c r="F129" s="1293">
        <v>7995.9</v>
      </c>
      <c r="G129" s="1295" t="s">
        <v>4527</v>
      </c>
      <c r="H129" s="1296" t="s">
        <v>5713</v>
      </c>
      <c r="I129" s="1297">
        <v>121</v>
      </c>
      <c r="J129" s="4" t="str">
        <f t="shared" si="1"/>
        <v>1.121</v>
      </c>
    </row>
    <row r="130" spans="1:10" s="4" customFormat="1" ht="114">
      <c r="A130" s="1290" t="s">
        <v>149</v>
      </c>
      <c r="B130" s="1291" t="s">
        <v>1347</v>
      </c>
      <c r="C130" s="1292" t="s">
        <v>3</v>
      </c>
      <c r="D130" s="1293">
        <v>10</v>
      </c>
      <c r="E130" s="1294">
        <v>1004.94</v>
      </c>
      <c r="F130" s="1293">
        <v>10049.4</v>
      </c>
      <c r="G130" s="1295" t="s">
        <v>4528</v>
      </c>
      <c r="H130" s="1296" t="s">
        <v>5714</v>
      </c>
      <c r="I130" s="1297">
        <v>122</v>
      </c>
      <c r="J130" s="4" t="str">
        <f t="shared" ref="J130:J193" si="2">A130</f>
        <v>1.122</v>
      </c>
    </row>
    <row r="131" spans="1:10" s="4" customFormat="1" ht="42.75">
      <c r="A131" s="1290" t="s">
        <v>150</v>
      </c>
      <c r="B131" s="1291" t="s">
        <v>1352</v>
      </c>
      <c r="C131" s="1292" t="s">
        <v>3</v>
      </c>
      <c r="D131" s="1293">
        <v>10</v>
      </c>
      <c r="E131" s="1294">
        <v>548.87</v>
      </c>
      <c r="F131" s="1293">
        <v>5488.7</v>
      </c>
      <c r="G131" s="1295" t="s">
        <v>4529</v>
      </c>
      <c r="H131" s="1296" t="s">
        <v>5715</v>
      </c>
      <c r="I131" s="1297">
        <v>123</v>
      </c>
      <c r="J131" s="4" t="str">
        <f t="shared" si="2"/>
        <v>1.123</v>
      </c>
    </row>
    <row r="132" spans="1:10" s="4" customFormat="1" ht="71.25">
      <c r="A132" s="1290" t="s">
        <v>151</v>
      </c>
      <c r="B132" s="1291" t="s">
        <v>1389</v>
      </c>
      <c r="C132" s="1292" t="s">
        <v>3</v>
      </c>
      <c r="D132" s="1293">
        <v>10</v>
      </c>
      <c r="E132" s="1294">
        <v>686.52</v>
      </c>
      <c r="F132" s="1293">
        <v>6865.2</v>
      </c>
      <c r="G132" s="1295" t="s">
        <v>4530</v>
      </c>
      <c r="H132" s="1296" t="s">
        <v>5716</v>
      </c>
      <c r="I132" s="1297">
        <v>124</v>
      </c>
      <c r="J132" s="4" t="str">
        <f t="shared" si="2"/>
        <v>1.124</v>
      </c>
    </row>
    <row r="133" spans="1:10" s="4" customFormat="1" ht="42.75">
      <c r="A133" s="1290" t="s">
        <v>152</v>
      </c>
      <c r="B133" s="1291" t="s">
        <v>4531</v>
      </c>
      <c r="C133" s="1292" t="s">
        <v>3</v>
      </c>
      <c r="D133" s="1293">
        <v>10</v>
      </c>
      <c r="E133" s="1294">
        <v>1091.1199999999999</v>
      </c>
      <c r="F133" s="1293">
        <v>10911.2</v>
      </c>
      <c r="G133" s="1295" t="s">
        <v>4532</v>
      </c>
      <c r="H133" s="1296" t="s">
        <v>5717</v>
      </c>
      <c r="I133" s="1297">
        <v>125</v>
      </c>
      <c r="J133" s="4" t="str">
        <f t="shared" si="2"/>
        <v>1.125</v>
      </c>
    </row>
    <row r="134" spans="1:10" s="4" customFormat="1" ht="57">
      <c r="A134" s="1290" t="s">
        <v>153</v>
      </c>
      <c r="B134" s="1291" t="s">
        <v>1357</v>
      </c>
      <c r="C134" s="1292" t="s">
        <v>3</v>
      </c>
      <c r="D134" s="1293">
        <v>10</v>
      </c>
      <c r="E134" s="1294">
        <v>653.63</v>
      </c>
      <c r="F134" s="1293">
        <v>6536.3</v>
      </c>
      <c r="G134" s="1295" t="s">
        <v>4533</v>
      </c>
      <c r="H134" s="1296" t="s">
        <v>5718</v>
      </c>
      <c r="I134" s="1297">
        <v>126</v>
      </c>
      <c r="J134" s="4" t="str">
        <f t="shared" si="2"/>
        <v>1.126</v>
      </c>
    </row>
    <row r="135" spans="1:10" s="4" customFormat="1" ht="99.75">
      <c r="A135" s="1290" t="s">
        <v>154</v>
      </c>
      <c r="B135" s="1291" t="s">
        <v>1392</v>
      </c>
      <c r="C135" s="1292" t="s">
        <v>3</v>
      </c>
      <c r="D135" s="1293">
        <v>10</v>
      </c>
      <c r="E135" s="1294">
        <v>821.92</v>
      </c>
      <c r="F135" s="1293">
        <v>8219.2000000000007</v>
      </c>
      <c r="G135" s="1295" t="s">
        <v>4534</v>
      </c>
      <c r="H135" s="1296" t="s">
        <v>5719</v>
      </c>
      <c r="I135" s="1297">
        <v>127</v>
      </c>
      <c r="J135" s="4" t="str">
        <f t="shared" si="2"/>
        <v>1.127</v>
      </c>
    </row>
    <row r="136" spans="1:10" s="4" customFormat="1" ht="57">
      <c r="A136" s="1290" t="s">
        <v>155</v>
      </c>
      <c r="B136" s="1291" t="s">
        <v>1360</v>
      </c>
      <c r="C136" s="1292" t="s">
        <v>3</v>
      </c>
      <c r="D136" s="1293">
        <v>10</v>
      </c>
      <c r="E136" s="1294">
        <v>416.42</v>
      </c>
      <c r="F136" s="1293">
        <v>4164.2</v>
      </c>
      <c r="G136" s="1295" t="s">
        <v>4535</v>
      </c>
      <c r="H136" s="1296" t="s">
        <v>5720</v>
      </c>
      <c r="I136" s="1297">
        <v>128</v>
      </c>
      <c r="J136" s="4" t="str">
        <f t="shared" si="2"/>
        <v>1.128</v>
      </c>
    </row>
    <row r="137" spans="1:10" s="4" customFormat="1" ht="85.5">
      <c r="A137" s="1290" t="s">
        <v>156</v>
      </c>
      <c r="B137" s="1291" t="s">
        <v>1395</v>
      </c>
      <c r="C137" s="1292" t="s">
        <v>3</v>
      </c>
      <c r="D137" s="1293">
        <v>10</v>
      </c>
      <c r="E137" s="1294">
        <v>524.52</v>
      </c>
      <c r="F137" s="1293">
        <v>5245.2</v>
      </c>
      <c r="G137" s="1295" t="s">
        <v>4536</v>
      </c>
      <c r="H137" s="1296" t="s">
        <v>5721</v>
      </c>
      <c r="I137" s="1297">
        <v>129</v>
      </c>
      <c r="J137" s="4" t="str">
        <f t="shared" si="2"/>
        <v>1.129</v>
      </c>
    </row>
    <row r="138" spans="1:10" s="4" customFormat="1" ht="57">
      <c r="A138" s="1290" t="s">
        <v>157</v>
      </c>
      <c r="B138" s="1291" t="s">
        <v>4537</v>
      </c>
      <c r="C138" s="1292" t="s">
        <v>3</v>
      </c>
      <c r="D138" s="1293">
        <v>10</v>
      </c>
      <c r="E138" s="1294">
        <v>841.49</v>
      </c>
      <c r="F138" s="1293">
        <v>8414.9</v>
      </c>
      <c r="G138" s="1295" t="s">
        <v>4538</v>
      </c>
      <c r="H138" s="1296" t="s">
        <v>5722</v>
      </c>
      <c r="I138" s="1297">
        <v>130</v>
      </c>
      <c r="J138" s="4" t="str">
        <f t="shared" si="2"/>
        <v>1.130</v>
      </c>
    </row>
    <row r="139" spans="1:10" s="4" customFormat="1" ht="42.75">
      <c r="A139" s="1290" t="s">
        <v>158</v>
      </c>
      <c r="B139" s="1291" t="s">
        <v>404</v>
      </c>
      <c r="C139" s="1292" t="s">
        <v>17</v>
      </c>
      <c r="D139" s="1293">
        <v>10</v>
      </c>
      <c r="E139" s="1294">
        <v>637.04999999999995</v>
      </c>
      <c r="F139" s="1293">
        <v>6370.5</v>
      </c>
      <c r="G139" s="1295" t="s">
        <v>4539</v>
      </c>
      <c r="H139" s="1296" t="s">
        <v>5723</v>
      </c>
      <c r="I139" s="1297">
        <v>131</v>
      </c>
      <c r="J139" s="4" t="str">
        <f t="shared" si="2"/>
        <v>1.131</v>
      </c>
    </row>
    <row r="140" spans="1:10" s="4" customFormat="1" ht="42.75">
      <c r="A140" s="1290" t="s">
        <v>159</v>
      </c>
      <c r="B140" s="1291" t="s">
        <v>1369</v>
      </c>
      <c r="C140" s="1292" t="s">
        <v>3</v>
      </c>
      <c r="D140" s="1293">
        <v>10</v>
      </c>
      <c r="E140" s="1294">
        <v>380.07</v>
      </c>
      <c r="F140" s="1293">
        <v>3800.7</v>
      </c>
      <c r="G140" s="1295" t="s">
        <v>4540</v>
      </c>
      <c r="H140" s="1296" t="s">
        <v>5724</v>
      </c>
      <c r="I140" s="1297">
        <v>132</v>
      </c>
      <c r="J140" s="4" t="str">
        <f t="shared" si="2"/>
        <v>1.132</v>
      </c>
    </row>
    <row r="141" spans="1:10" s="4" customFormat="1" ht="42.75">
      <c r="A141" s="1290" t="s">
        <v>160</v>
      </c>
      <c r="B141" s="1291" t="s">
        <v>1372</v>
      </c>
      <c r="C141" s="1292" t="s">
        <v>17</v>
      </c>
      <c r="D141" s="1293">
        <v>10</v>
      </c>
      <c r="E141" s="1294">
        <v>775.08</v>
      </c>
      <c r="F141" s="1293">
        <v>7750.8</v>
      </c>
      <c r="G141" s="1295" t="s">
        <v>4541</v>
      </c>
      <c r="H141" s="1296" t="s">
        <v>5725</v>
      </c>
      <c r="I141" s="1297">
        <v>133</v>
      </c>
      <c r="J141" s="4" t="str">
        <f t="shared" si="2"/>
        <v>1.133</v>
      </c>
    </row>
    <row r="142" spans="1:10" s="4" customFormat="1" ht="42.75">
      <c r="A142" s="1290" t="s">
        <v>161</v>
      </c>
      <c r="B142" s="1291" t="s">
        <v>1375</v>
      </c>
      <c r="C142" s="1292" t="s">
        <v>3</v>
      </c>
      <c r="D142" s="1293">
        <v>10</v>
      </c>
      <c r="E142" s="1294">
        <v>459.31</v>
      </c>
      <c r="F142" s="1293">
        <v>4593.1000000000004</v>
      </c>
      <c r="G142" s="1295" t="s">
        <v>4542</v>
      </c>
      <c r="H142" s="1296" t="s">
        <v>5726</v>
      </c>
      <c r="I142" s="1297">
        <v>134</v>
      </c>
      <c r="J142" s="4" t="str">
        <f t="shared" si="2"/>
        <v>1.134</v>
      </c>
    </row>
    <row r="143" spans="1:10" s="4" customFormat="1" ht="42.75">
      <c r="A143" s="1290" t="s">
        <v>162</v>
      </c>
      <c r="B143" s="1291" t="s">
        <v>1378</v>
      </c>
      <c r="C143" s="1292" t="s">
        <v>17</v>
      </c>
      <c r="D143" s="1293">
        <v>10</v>
      </c>
      <c r="E143" s="1294">
        <v>900.33</v>
      </c>
      <c r="F143" s="1293">
        <v>9003.2999999999993</v>
      </c>
      <c r="G143" s="1295" t="s">
        <v>4543</v>
      </c>
      <c r="H143" s="1296" t="s">
        <v>5727</v>
      </c>
      <c r="I143" s="1297">
        <v>135</v>
      </c>
      <c r="J143" s="4" t="str">
        <f t="shared" si="2"/>
        <v>1.135</v>
      </c>
    </row>
    <row r="144" spans="1:10" s="4" customFormat="1" ht="42.75">
      <c r="A144" s="1290" t="s">
        <v>163</v>
      </c>
      <c r="B144" s="1291" t="s">
        <v>1381</v>
      </c>
      <c r="C144" s="1292" t="s">
        <v>3</v>
      </c>
      <c r="D144" s="1293">
        <v>10</v>
      </c>
      <c r="E144" s="1294">
        <v>534.51</v>
      </c>
      <c r="F144" s="1293">
        <v>5345.1</v>
      </c>
      <c r="G144" s="1295" t="s">
        <v>4544</v>
      </c>
      <c r="H144" s="1296" t="s">
        <v>5728</v>
      </c>
      <c r="I144" s="1297">
        <v>136</v>
      </c>
      <c r="J144" s="4" t="str">
        <f t="shared" si="2"/>
        <v>1.136</v>
      </c>
    </row>
    <row r="145" spans="1:10" s="4" customFormat="1" ht="71.25">
      <c r="A145" s="1290" t="s">
        <v>164</v>
      </c>
      <c r="B145" s="1291" t="s">
        <v>404</v>
      </c>
      <c r="C145" s="1292" t="s">
        <v>17</v>
      </c>
      <c r="D145" s="1293">
        <v>10</v>
      </c>
      <c r="E145" s="1294">
        <v>805.34</v>
      </c>
      <c r="F145" s="1293">
        <v>8053.4</v>
      </c>
      <c r="G145" s="1295" t="s">
        <v>4545</v>
      </c>
      <c r="H145" s="1296" t="s">
        <v>5729</v>
      </c>
      <c r="I145" s="1297">
        <v>137</v>
      </c>
      <c r="J145" s="4" t="str">
        <f t="shared" si="2"/>
        <v>1.137</v>
      </c>
    </row>
    <row r="146" spans="1:10" s="4" customFormat="1" ht="71.25">
      <c r="A146" s="1290" t="s">
        <v>165</v>
      </c>
      <c r="B146" s="1291" t="s">
        <v>1369</v>
      </c>
      <c r="C146" s="1292" t="s">
        <v>3</v>
      </c>
      <c r="D146" s="1293">
        <v>10</v>
      </c>
      <c r="E146" s="1294">
        <v>473.41</v>
      </c>
      <c r="F146" s="1293">
        <v>4734.1000000000004</v>
      </c>
      <c r="G146" s="1295" t="s">
        <v>4546</v>
      </c>
      <c r="H146" s="1296" t="s">
        <v>5730</v>
      </c>
      <c r="I146" s="1297">
        <v>138</v>
      </c>
      <c r="J146" s="4" t="str">
        <f t="shared" si="2"/>
        <v>1.138</v>
      </c>
    </row>
    <row r="147" spans="1:10" s="4" customFormat="1" ht="71.25">
      <c r="A147" s="1290" t="s">
        <v>166</v>
      </c>
      <c r="B147" s="1291" t="s">
        <v>1372</v>
      </c>
      <c r="C147" s="1292" t="s">
        <v>17</v>
      </c>
      <c r="D147" s="1293">
        <v>10</v>
      </c>
      <c r="E147" s="1294">
        <v>988.8</v>
      </c>
      <c r="F147" s="1293">
        <v>9888</v>
      </c>
      <c r="G147" s="1295" t="s">
        <v>4547</v>
      </c>
      <c r="H147" s="1296" t="s">
        <v>5731</v>
      </c>
      <c r="I147" s="1297">
        <v>139</v>
      </c>
      <c r="J147" s="4" t="str">
        <f t="shared" si="2"/>
        <v>1.139</v>
      </c>
    </row>
    <row r="148" spans="1:10" s="4" customFormat="1" ht="71.25">
      <c r="A148" s="1290" t="s">
        <v>167</v>
      </c>
      <c r="B148" s="1291" t="s">
        <v>1375</v>
      </c>
      <c r="C148" s="1292" t="s">
        <v>3</v>
      </c>
      <c r="D148" s="1293">
        <v>10</v>
      </c>
      <c r="E148" s="1294">
        <v>575.37</v>
      </c>
      <c r="F148" s="1293">
        <v>5753.7</v>
      </c>
      <c r="G148" s="1295" t="s">
        <v>4548</v>
      </c>
      <c r="H148" s="1296" t="s">
        <v>5732</v>
      </c>
      <c r="I148" s="1297">
        <v>140</v>
      </c>
      <c r="J148" s="4" t="str">
        <f t="shared" si="2"/>
        <v>1.140</v>
      </c>
    </row>
    <row r="149" spans="1:10" s="4" customFormat="1" ht="71.25">
      <c r="A149" s="1290" t="s">
        <v>168</v>
      </c>
      <c r="B149" s="1291" t="s">
        <v>1378</v>
      </c>
      <c r="C149" s="1292" t="s">
        <v>17</v>
      </c>
      <c r="D149" s="1293">
        <v>10</v>
      </c>
      <c r="E149" s="1294">
        <v>1152.02</v>
      </c>
      <c r="F149" s="1293">
        <v>11520.2</v>
      </c>
      <c r="G149" s="1295" t="s">
        <v>4549</v>
      </c>
      <c r="H149" s="1296" t="s">
        <v>5733</v>
      </c>
      <c r="I149" s="1297">
        <v>141</v>
      </c>
      <c r="J149" s="4" t="str">
        <f t="shared" si="2"/>
        <v>1.141</v>
      </c>
    </row>
    <row r="150" spans="1:10" s="4" customFormat="1" ht="71.25">
      <c r="A150" s="1290" t="s">
        <v>169</v>
      </c>
      <c r="B150" s="1291" t="s">
        <v>1381</v>
      </c>
      <c r="C150" s="1292" t="s">
        <v>3</v>
      </c>
      <c r="D150" s="1293">
        <v>10</v>
      </c>
      <c r="E150" s="1294">
        <v>672.18</v>
      </c>
      <c r="F150" s="1293">
        <v>6721.8</v>
      </c>
      <c r="G150" s="1295" t="s">
        <v>4550</v>
      </c>
      <c r="H150" s="1296" t="s">
        <v>5734</v>
      </c>
      <c r="I150" s="1297">
        <v>142</v>
      </c>
      <c r="J150" s="4" t="str">
        <f t="shared" si="2"/>
        <v>1.142</v>
      </c>
    </row>
    <row r="151" spans="1:10" s="4" customFormat="1" ht="42.75">
      <c r="A151" s="1290" t="s">
        <v>170</v>
      </c>
      <c r="B151" s="1291" t="s">
        <v>4551</v>
      </c>
      <c r="C151" s="1292" t="s">
        <v>17</v>
      </c>
      <c r="D151" s="1293">
        <v>10</v>
      </c>
      <c r="E151" s="1294">
        <v>1298.93</v>
      </c>
      <c r="F151" s="1293">
        <v>12989.3</v>
      </c>
      <c r="G151" s="1295" t="s">
        <v>4552</v>
      </c>
      <c r="H151" s="1296" t="s">
        <v>5735</v>
      </c>
      <c r="I151" s="1297">
        <v>143</v>
      </c>
      <c r="J151" s="4" t="str">
        <f t="shared" si="2"/>
        <v>1.143</v>
      </c>
    </row>
    <row r="152" spans="1:10" s="4" customFormat="1" ht="42.75">
      <c r="A152" s="1290" t="s">
        <v>171</v>
      </c>
      <c r="B152" s="1291" t="s">
        <v>4553</v>
      </c>
      <c r="C152" s="1292" t="s">
        <v>3</v>
      </c>
      <c r="D152" s="1293">
        <v>10</v>
      </c>
      <c r="E152" s="1294">
        <v>747.78</v>
      </c>
      <c r="F152" s="1293">
        <v>7477.8</v>
      </c>
      <c r="G152" s="1295" t="s">
        <v>4554</v>
      </c>
      <c r="H152" s="1296" t="s">
        <v>5736</v>
      </c>
      <c r="I152" s="1297">
        <v>144</v>
      </c>
      <c r="J152" s="4" t="str">
        <f t="shared" si="2"/>
        <v>1.144</v>
      </c>
    </row>
    <row r="153" spans="1:10" s="4" customFormat="1" ht="42.75">
      <c r="A153" s="1290" t="s">
        <v>172</v>
      </c>
      <c r="B153" s="1291" t="s">
        <v>4555</v>
      </c>
      <c r="C153" s="1292" t="s">
        <v>17</v>
      </c>
      <c r="D153" s="1293">
        <v>10</v>
      </c>
      <c r="E153" s="1294">
        <v>1616.39</v>
      </c>
      <c r="F153" s="1293">
        <v>16163.9</v>
      </c>
      <c r="G153" s="1295" t="s">
        <v>4556</v>
      </c>
      <c r="H153" s="1296" t="s">
        <v>5737</v>
      </c>
      <c r="I153" s="1297">
        <v>145</v>
      </c>
      <c r="J153" s="4" t="str">
        <f t="shared" si="2"/>
        <v>1.145</v>
      </c>
    </row>
    <row r="154" spans="1:10" s="4" customFormat="1" ht="42.75">
      <c r="A154" s="1290" t="s">
        <v>173</v>
      </c>
      <c r="B154" s="1291" t="s">
        <v>4557</v>
      </c>
      <c r="C154" s="1292" t="s">
        <v>3</v>
      </c>
      <c r="D154" s="1293">
        <v>10</v>
      </c>
      <c r="E154" s="1294">
        <v>916.74</v>
      </c>
      <c r="F154" s="1293">
        <v>9167.4</v>
      </c>
      <c r="G154" s="1295" t="s">
        <v>4558</v>
      </c>
      <c r="H154" s="1296" t="s">
        <v>5738</v>
      </c>
      <c r="I154" s="1297">
        <v>146</v>
      </c>
      <c r="J154" s="4" t="str">
        <f t="shared" si="2"/>
        <v>1.146</v>
      </c>
    </row>
    <row r="155" spans="1:10" s="4" customFormat="1" ht="42.75">
      <c r="A155" s="1290" t="s">
        <v>174</v>
      </c>
      <c r="B155" s="1291" t="s">
        <v>4559</v>
      </c>
      <c r="C155" s="1292" t="s">
        <v>17</v>
      </c>
      <c r="D155" s="1293">
        <v>10</v>
      </c>
      <c r="E155" s="1294">
        <v>1891.18</v>
      </c>
      <c r="F155" s="1293">
        <v>18911.8</v>
      </c>
      <c r="G155" s="1295" t="s">
        <v>4560</v>
      </c>
      <c r="H155" s="1296" t="s">
        <v>5739</v>
      </c>
      <c r="I155" s="1297">
        <v>147</v>
      </c>
      <c r="J155" s="4" t="str">
        <f t="shared" si="2"/>
        <v>1.147</v>
      </c>
    </row>
    <row r="156" spans="1:10" s="4" customFormat="1" ht="42.75">
      <c r="A156" s="1290" t="s">
        <v>175</v>
      </c>
      <c r="B156" s="1291" t="s">
        <v>4561</v>
      </c>
      <c r="C156" s="1292" t="s">
        <v>3</v>
      </c>
      <c r="D156" s="1293">
        <v>10</v>
      </c>
      <c r="E156" s="1294">
        <v>1076.3900000000001</v>
      </c>
      <c r="F156" s="1293">
        <v>10763.9</v>
      </c>
      <c r="G156" s="1295" t="s">
        <v>4562</v>
      </c>
      <c r="H156" s="1296" t="s">
        <v>5740</v>
      </c>
      <c r="I156" s="1297">
        <v>148</v>
      </c>
      <c r="J156" s="4" t="str">
        <f t="shared" si="2"/>
        <v>1.148</v>
      </c>
    </row>
    <row r="157" spans="1:10" s="4" customFormat="1" ht="42.75">
      <c r="A157" s="1290" t="s">
        <v>176</v>
      </c>
      <c r="B157" s="1291" t="s">
        <v>1472</v>
      </c>
      <c r="C157" s="1292" t="s">
        <v>4563</v>
      </c>
      <c r="D157" s="1293">
        <v>10</v>
      </c>
      <c r="E157" s="1294">
        <v>265.05</v>
      </c>
      <c r="F157" s="1293">
        <v>2650.5</v>
      </c>
      <c r="G157" s="1295" t="s">
        <v>4564</v>
      </c>
      <c r="H157" s="1296" t="s">
        <v>5741</v>
      </c>
      <c r="I157" s="1297">
        <v>149</v>
      </c>
      <c r="J157" s="4" t="str">
        <f t="shared" si="2"/>
        <v>1.149</v>
      </c>
    </row>
    <row r="158" spans="1:10" s="4" customFormat="1" ht="42.75">
      <c r="A158" s="1290" t="s">
        <v>177</v>
      </c>
      <c r="B158" s="1291" t="s">
        <v>4565</v>
      </c>
      <c r="C158" s="1292" t="s">
        <v>4563</v>
      </c>
      <c r="D158" s="1293">
        <v>10</v>
      </c>
      <c r="E158" s="1294">
        <v>483.22</v>
      </c>
      <c r="F158" s="1293">
        <v>4832.2</v>
      </c>
      <c r="G158" s="1295" t="s">
        <v>4566</v>
      </c>
      <c r="H158" s="1296" t="s">
        <v>5742</v>
      </c>
      <c r="I158" s="1297">
        <v>150</v>
      </c>
      <c r="J158" s="4" t="str">
        <f t="shared" si="2"/>
        <v>1.150</v>
      </c>
    </row>
    <row r="159" spans="1:10" s="4" customFormat="1" ht="57">
      <c r="A159" s="1290" t="s">
        <v>178</v>
      </c>
      <c r="B159" s="1291" t="s">
        <v>513</v>
      </c>
      <c r="C159" s="1292" t="s">
        <v>18</v>
      </c>
      <c r="D159" s="1293">
        <v>500</v>
      </c>
      <c r="E159" s="1294">
        <v>31.93</v>
      </c>
      <c r="F159" s="1293">
        <v>15965</v>
      </c>
      <c r="G159" s="1295" t="s">
        <v>4567</v>
      </c>
      <c r="H159" s="1296" t="s">
        <v>5743</v>
      </c>
      <c r="I159" s="1297">
        <v>151</v>
      </c>
      <c r="J159" s="4" t="str">
        <f t="shared" si="2"/>
        <v>1.151</v>
      </c>
    </row>
    <row r="160" spans="1:10" s="4" customFormat="1" ht="57">
      <c r="A160" s="1290" t="s">
        <v>179</v>
      </c>
      <c r="B160" s="1291" t="s">
        <v>1417</v>
      </c>
      <c r="C160" s="1292" t="s">
        <v>18</v>
      </c>
      <c r="D160" s="1293">
        <v>500</v>
      </c>
      <c r="E160" s="1294">
        <v>31.55</v>
      </c>
      <c r="F160" s="1293">
        <v>15775</v>
      </c>
      <c r="G160" s="1295" t="s">
        <v>4568</v>
      </c>
      <c r="H160" s="1296" t="s">
        <v>5744</v>
      </c>
      <c r="I160" s="1297">
        <v>152</v>
      </c>
      <c r="J160" s="4" t="str">
        <f t="shared" si="2"/>
        <v>1.152</v>
      </c>
    </row>
    <row r="161" spans="1:10" s="4" customFormat="1" ht="42.75">
      <c r="A161" s="1290" t="s">
        <v>180</v>
      </c>
      <c r="B161" s="1291" t="s">
        <v>1420</v>
      </c>
      <c r="C161" s="1292" t="s">
        <v>18</v>
      </c>
      <c r="D161" s="1293">
        <v>500</v>
      </c>
      <c r="E161" s="1294">
        <v>33.54</v>
      </c>
      <c r="F161" s="1293">
        <v>16770</v>
      </c>
      <c r="G161" s="1295" t="s">
        <v>4569</v>
      </c>
      <c r="H161" s="1296" t="s">
        <v>5745</v>
      </c>
      <c r="I161" s="1297">
        <v>153</v>
      </c>
      <c r="J161" s="4" t="str">
        <f t="shared" si="2"/>
        <v>1.153</v>
      </c>
    </row>
    <row r="162" spans="1:10" s="4" customFormat="1" ht="42.75">
      <c r="A162" s="1290" t="s">
        <v>181</v>
      </c>
      <c r="B162" s="1291" t="s">
        <v>1425</v>
      </c>
      <c r="C162" s="1292" t="s">
        <v>18</v>
      </c>
      <c r="D162" s="1293">
        <v>500</v>
      </c>
      <c r="E162" s="1294">
        <v>33.74</v>
      </c>
      <c r="F162" s="1293">
        <v>16870</v>
      </c>
      <c r="G162" s="1295" t="s">
        <v>4570</v>
      </c>
      <c r="H162" s="1296" t="s">
        <v>5746</v>
      </c>
      <c r="I162" s="1297">
        <v>154</v>
      </c>
      <c r="J162" s="4" t="str">
        <f t="shared" si="2"/>
        <v>1.154</v>
      </c>
    </row>
    <row r="163" spans="1:10" s="4" customFormat="1" ht="99.75">
      <c r="A163" s="1290" t="s">
        <v>182</v>
      </c>
      <c r="B163" s="1291" t="s">
        <v>1417</v>
      </c>
      <c r="C163" s="1292" t="s">
        <v>18</v>
      </c>
      <c r="D163" s="1293">
        <v>500</v>
      </c>
      <c r="E163" s="1294">
        <v>34.42</v>
      </c>
      <c r="F163" s="1293">
        <v>17210</v>
      </c>
      <c r="G163" s="1295" t="s">
        <v>4571</v>
      </c>
      <c r="H163" s="1296" t="s">
        <v>5747</v>
      </c>
      <c r="I163" s="1297">
        <v>155</v>
      </c>
      <c r="J163" s="4" t="str">
        <f t="shared" si="2"/>
        <v>1.155</v>
      </c>
    </row>
    <row r="164" spans="1:10" s="4" customFormat="1" ht="99.75">
      <c r="A164" s="1290" t="s">
        <v>183</v>
      </c>
      <c r="B164" s="1291" t="s">
        <v>513</v>
      </c>
      <c r="C164" s="1292" t="s">
        <v>18</v>
      </c>
      <c r="D164" s="1293">
        <v>500</v>
      </c>
      <c r="E164" s="1294">
        <v>34.81</v>
      </c>
      <c r="F164" s="1293">
        <v>17405</v>
      </c>
      <c r="G164" s="1295" t="s">
        <v>4572</v>
      </c>
      <c r="H164" s="1296" t="s">
        <v>5748</v>
      </c>
      <c r="I164" s="1297">
        <v>156</v>
      </c>
      <c r="J164" s="4" t="str">
        <f t="shared" si="2"/>
        <v>1.156</v>
      </c>
    </row>
    <row r="165" spans="1:10" s="4" customFormat="1" ht="71.25">
      <c r="A165" s="1290" t="s">
        <v>184</v>
      </c>
      <c r="B165" s="1291" t="s">
        <v>1420</v>
      </c>
      <c r="C165" s="1292" t="s">
        <v>18</v>
      </c>
      <c r="D165" s="1293">
        <v>500</v>
      </c>
      <c r="E165" s="1294">
        <v>36.31</v>
      </c>
      <c r="F165" s="1293">
        <v>18155</v>
      </c>
      <c r="G165" s="1295" t="s">
        <v>4573</v>
      </c>
      <c r="H165" s="1296" t="s">
        <v>5749</v>
      </c>
      <c r="I165" s="1297">
        <v>157</v>
      </c>
      <c r="J165" s="4" t="str">
        <f t="shared" si="2"/>
        <v>1.157</v>
      </c>
    </row>
    <row r="166" spans="1:10" s="4" customFormat="1" ht="71.25">
      <c r="A166" s="1290" t="s">
        <v>185</v>
      </c>
      <c r="B166" s="1291" t="s">
        <v>1425</v>
      </c>
      <c r="C166" s="1292" t="s">
        <v>18</v>
      </c>
      <c r="D166" s="1293">
        <v>500</v>
      </c>
      <c r="E166" s="1294">
        <v>36.51</v>
      </c>
      <c r="F166" s="1293">
        <v>18255</v>
      </c>
      <c r="G166" s="1295" t="s">
        <v>4574</v>
      </c>
      <c r="H166" s="1296" t="s">
        <v>5750</v>
      </c>
      <c r="I166" s="1297">
        <v>158</v>
      </c>
      <c r="J166" s="4" t="str">
        <f t="shared" si="2"/>
        <v>1.158</v>
      </c>
    </row>
    <row r="167" spans="1:10" s="4" customFormat="1" ht="57">
      <c r="A167" s="1290" t="s">
        <v>186</v>
      </c>
      <c r="B167" s="1291" t="s">
        <v>4575</v>
      </c>
      <c r="C167" s="1292" t="s">
        <v>18</v>
      </c>
      <c r="D167" s="1293">
        <v>500</v>
      </c>
      <c r="E167" s="1294">
        <v>43.28</v>
      </c>
      <c r="F167" s="1293">
        <v>21640</v>
      </c>
      <c r="G167" s="1295" t="s">
        <v>4576</v>
      </c>
      <c r="H167" s="1296" t="s">
        <v>5751</v>
      </c>
      <c r="I167" s="1297">
        <v>159</v>
      </c>
      <c r="J167" s="4" t="str">
        <f t="shared" si="2"/>
        <v>1.159</v>
      </c>
    </row>
    <row r="168" spans="1:10" s="4" customFormat="1" ht="42.75">
      <c r="A168" s="1290" t="s">
        <v>187</v>
      </c>
      <c r="B168" s="1291" t="s">
        <v>4577</v>
      </c>
      <c r="C168" s="1292" t="s">
        <v>18</v>
      </c>
      <c r="D168" s="1293">
        <v>500</v>
      </c>
      <c r="E168" s="1294">
        <v>44.65</v>
      </c>
      <c r="F168" s="1293">
        <v>22325</v>
      </c>
      <c r="G168" s="1295" t="s">
        <v>4578</v>
      </c>
      <c r="H168" s="1296" t="s">
        <v>5752</v>
      </c>
      <c r="I168" s="1297">
        <v>160</v>
      </c>
      <c r="J168" s="4" t="str">
        <f t="shared" si="2"/>
        <v>1.160</v>
      </c>
    </row>
    <row r="169" spans="1:10" s="4" customFormat="1" ht="42.75">
      <c r="A169" s="1290" t="s">
        <v>188</v>
      </c>
      <c r="B169" s="1291" t="s">
        <v>1437</v>
      </c>
      <c r="C169" s="1292" t="s">
        <v>18</v>
      </c>
      <c r="D169" s="1293">
        <v>50</v>
      </c>
      <c r="E169" s="1294">
        <v>35.340000000000003</v>
      </c>
      <c r="F169" s="1293">
        <v>1767</v>
      </c>
      <c r="G169" s="1295" t="s">
        <v>4579</v>
      </c>
      <c r="H169" s="1296" t="s">
        <v>5753</v>
      </c>
      <c r="I169" s="1297">
        <v>161</v>
      </c>
      <c r="J169" s="4" t="str">
        <f t="shared" si="2"/>
        <v>1.161</v>
      </c>
    </row>
    <row r="170" spans="1:10" s="4" customFormat="1" ht="28.5">
      <c r="A170" s="1290" t="s">
        <v>189</v>
      </c>
      <c r="B170" s="1291" t="s">
        <v>1445</v>
      </c>
      <c r="C170" s="1292" t="s">
        <v>18</v>
      </c>
      <c r="D170" s="1293">
        <v>50</v>
      </c>
      <c r="E170" s="1294">
        <v>21.86</v>
      </c>
      <c r="F170" s="1293">
        <v>1093</v>
      </c>
      <c r="G170" s="1295" t="s">
        <v>1446</v>
      </c>
      <c r="H170" s="1296" t="s">
        <v>5754</v>
      </c>
      <c r="I170" s="1297">
        <v>162</v>
      </c>
      <c r="J170" s="4" t="str">
        <f t="shared" si="2"/>
        <v>1.162</v>
      </c>
    </row>
    <row r="171" spans="1:10" s="4" customFormat="1" ht="28.5">
      <c r="A171" s="1290" t="s">
        <v>190</v>
      </c>
      <c r="B171" s="1291" t="s">
        <v>2049</v>
      </c>
      <c r="C171" s="1292" t="s">
        <v>18</v>
      </c>
      <c r="D171" s="1293">
        <v>200</v>
      </c>
      <c r="E171" s="1294">
        <v>31.79</v>
      </c>
      <c r="F171" s="1293">
        <v>6358</v>
      </c>
      <c r="G171" s="1295" t="s">
        <v>2050</v>
      </c>
      <c r="H171" s="1296" t="s">
        <v>5755</v>
      </c>
      <c r="I171" s="1297">
        <v>163</v>
      </c>
      <c r="J171" s="4" t="str">
        <f t="shared" si="2"/>
        <v>1.163</v>
      </c>
    </row>
    <row r="172" spans="1:10" s="4" customFormat="1" ht="42.75">
      <c r="A172" s="1290" t="s">
        <v>191</v>
      </c>
      <c r="B172" s="1291" t="s">
        <v>1448</v>
      </c>
      <c r="C172" s="1292" t="s">
        <v>18</v>
      </c>
      <c r="D172" s="1293">
        <v>10</v>
      </c>
      <c r="E172" s="1294">
        <v>276.3</v>
      </c>
      <c r="F172" s="1293">
        <v>2763</v>
      </c>
      <c r="G172" s="1295" t="s">
        <v>4580</v>
      </c>
      <c r="H172" s="1296" t="s">
        <v>5756</v>
      </c>
      <c r="I172" s="1297">
        <v>164</v>
      </c>
      <c r="J172" s="4" t="str">
        <f t="shared" si="2"/>
        <v>1.164</v>
      </c>
    </row>
    <row r="173" spans="1:10" s="4" customFormat="1" ht="42.75">
      <c r="A173" s="1290" t="s">
        <v>192</v>
      </c>
      <c r="B173" s="1291" t="s">
        <v>1455</v>
      </c>
      <c r="C173" s="1292" t="s">
        <v>18</v>
      </c>
      <c r="D173" s="1293">
        <v>10</v>
      </c>
      <c r="E173" s="1294">
        <v>317.24</v>
      </c>
      <c r="F173" s="1293">
        <v>3172.4</v>
      </c>
      <c r="G173" s="1295" t="s">
        <v>4581</v>
      </c>
      <c r="H173" s="1296" t="s">
        <v>5757</v>
      </c>
      <c r="I173" s="1297">
        <v>165</v>
      </c>
      <c r="J173" s="4" t="str">
        <f t="shared" si="2"/>
        <v>1.165</v>
      </c>
    </row>
    <row r="174" spans="1:10" s="4" customFormat="1" ht="31.5">
      <c r="A174" s="1290" t="s">
        <v>193</v>
      </c>
      <c r="B174" s="1291" t="s">
        <v>3122</v>
      </c>
      <c r="C174" s="1292" t="s">
        <v>3</v>
      </c>
      <c r="D174" s="1293">
        <v>20</v>
      </c>
      <c r="E174" s="1294">
        <v>78.489999999999995</v>
      </c>
      <c r="F174" s="1293">
        <v>1569.8</v>
      </c>
      <c r="G174" s="1295" t="s">
        <v>3123</v>
      </c>
      <c r="H174" s="1296" t="s">
        <v>5758</v>
      </c>
      <c r="I174" s="1297">
        <v>166</v>
      </c>
      <c r="J174" s="4" t="str">
        <f t="shared" si="2"/>
        <v>1.166</v>
      </c>
    </row>
    <row r="175" spans="1:10" s="4" customFormat="1" ht="31.5">
      <c r="A175" s="1290" t="s">
        <v>194</v>
      </c>
      <c r="B175" s="1291" t="s">
        <v>3124</v>
      </c>
      <c r="C175" s="1292" t="s">
        <v>3</v>
      </c>
      <c r="D175" s="1293">
        <v>20</v>
      </c>
      <c r="E175" s="1294">
        <v>87.43</v>
      </c>
      <c r="F175" s="1293">
        <v>1748.6</v>
      </c>
      <c r="G175" s="1295" t="s">
        <v>3125</v>
      </c>
      <c r="H175" s="1296" t="s">
        <v>5759</v>
      </c>
      <c r="I175" s="1297">
        <v>167</v>
      </c>
      <c r="J175" s="4" t="str">
        <f t="shared" si="2"/>
        <v>1.167</v>
      </c>
    </row>
    <row r="176" spans="1:10" s="4" customFormat="1" ht="42.75">
      <c r="A176" s="1290" t="s">
        <v>195</v>
      </c>
      <c r="B176" s="1291" t="s">
        <v>1460</v>
      </c>
      <c r="C176" s="1292" t="s">
        <v>3</v>
      </c>
      <c r="D176" s="1293">
        <v>5</v>
      </c>
      <c r="E176" s="1294">
        <v>863.21</v>
      </c>
      <c r="F176" s="1293">
        <v>4316.05</v>
      </c>
      <c r="G176" s="1295" t="s">
        <v>4582</v>
      </c>
      <c r="H176" s="1296" t="s">
        <v>5760</v>
      </c>
      <c r="I176" s="1297">
        <v>168</v>
      </c>
      <c r="J176" s="4" t="str">
        <f t="shared" si="2"/>
        <v>1.168</v>
      </c>
    </row>
    <row r="177" spans="1:10" s="4" customFormat="1" ht="42.75">
      <c r="A177" s="1290" t="s">
        <v>196</v>
      </c>
      <c r="B177" s="1291" t="s">
        <v>1469</v>
      </c>
      <c r="C177" s="1292" t="s">
        <v>3</v>
      </c>
      <c r="D177" s="1293">
        <v>5</v>
      </c>
      <c r="E177" s="1294">
        <v>1505.97</v>
      </c>
      <c r="F177" s="1293">
        <v>7529.85</v>
      </c>
      <c r="G177" s="1295" t="s">
        <v>4583</v>
      </c>
      <c r="H177" s="1296" t="s">
        <v>5761</v>
      </c>
      <c r="I177" s="1297">
        <v>169</v>
      </c>
      <c r="J177" s="4" t="str">
        <f t="shared" si="2"/>
        <v>1.169</v>
      </c>
    </row>
    <row r="178" spans="1:10" s="4" customFormat="1" ht="42.75">
      <c r="A178" s="1290" t="s">
        <v>197</v>
      </c>
      <c r="B178" s="1291" t="s">
        <v>1472</v>
      </c>
      <c r="C178" s="1292" t="s">
        <v>4563</v>
      </c>
      <c r="D178" s="1293">
        <v>5</v>
      </c>
      <c r="E178" s="1294">
        <v>265.05</v>
      </c>
      <c r="F178" s="1293">
        <v>1325.25</v>
      </c>
      <c r="G178" s="1295" t="s">
        <v>4564</v>
      </c>
      <c r="H178" s="1296" t="s">
        <v>5762</v>
      </c>
      <c r="I178" s="1297">
        <v>170</v>
      </c>
      <c r="J178" s="4" t="str">
        <f t="shared" si="2"/>
        <v>1.170</v>
      </c>
    </row>
    <row r="179" spans="1:10" s="4" customFormat="1" ht="31.5">
      <c r="A179" s="1290" t="s">
        <v>198</v>
      </c>
      <c r="B179" s="1291" t="s">
        <v>2817</v>
      </c>
      <c r="C179" s="1292" t="s">
        <v>2335</v>
      </c>
      <c r="D179" s="1293">
        <v>10</v>
      </c>
      <c r="E179" s="1294">
        <v>39.74</v>
      </c>
      <c r="F179" s="1293">
        <v>397.4</v>
      </c>
      <c r="G179" s="1295" t="s">
        <v>3129</v>
      </c>
      <c r="H179" s="1296" t="s">
        <v>5763</v>
      </c>
      <c r="I179" s="1297">
        <v>171</v>
      </c>
      <c r="J179" s="4" t="str">
        <f t="shared" si="2"/>
        <v>1.171</v>
      </c>
    </row>
    <row r="180" spans="1:10" s="4" customFormat="1" ht="31.5">
      <c r="A180" s="1290" t="s">
        <v>199</v>
      </c>
      <c r="B180" s="1291" t="s">
        <v>3130</v>
      </c>
      <c r="C180" s="1292" t="s">
        <v>2335</v>
      </c>
      <c r="D180" s="1293">
        <v>10</v>
      </c>
      <c r="E180" s="1294">
        <v>51.66</v>
      </c>
      <c r="F180" s="1293">
        <v>516.6</v>
      </c>
      <c r="G180" s="1295" t="s">
        <v>3131</v>
      </c>
      <c r="H180" s="1296" t="s">
        <v>5764</v>
      </c>
      <c r="I180" s="1297">
        <v>172</v>
      </c>
      <c r="J180" s="4" t="str">
        <f t="shared" si="2"/>
        <v>1.172</v>
      </c>
    </row>
    <row r="181" spans="1:10" s="4" customFormat="1" ht="31.5">
      <c r="A181" s="1290" t="s">
        <v>200</v>
      </c>
      <c r="B181" s="1291" t="s">
        <v>3132</v>
      </c>
      <c r="C181" s="1292" t="s">
        <v>2335</v>
      </c>
      <c r="D181" s="1293">
        <v>10</v>
      </c>
      <c r="E181" s="1294">
        <v>94.39</v>
      </c>
      <c r="F181" s="1293">
        <v>943.9</v>
      </c>
      <c r="G181" s="1295" t="s">
        <v>3133</v>
      </c>
      <c r="H181" s="1296" t="s">
        <v>5765</v>
      </c>
      <c r="I181" s="1297">
        <v>173</v>
      </c>
      <c r="J181" s="4" t="str">
        <f t="shared" si="2"/>
        <v>1.173</v>
      </c>
    </row>
    <row r="182" spans="1:10" s="4" customFormat="1" ht="31.5">
      <c r="A182" s="1290" t="s">
        <v>201</v>
      </c>
      <c r="B182" s="1291" t="s">
        <v>3134</v>
      </c>
      <c r="C182" s="1292" t="s">
        <v>2335</v>
      </c>
      <c r="D182" s="1293">
        <v>10</v>
      </c>
      <c r="E182" s="1294">
        <v>183.8</v>
      </c>
      <c r="F182" s="1293">
        <v>1838</v>
      </c>
      <c r="G182" s="1295" t="s">
        <v>3135</v>
      </c>
      <c r="H182" s="1296" t="s">
        <v>5766</v>
      </c>
      <c r="I182" s="1297">
        <v>174</v>
      </c>
      <c r="J182" s="4" t="str">
        <f t="shared" si="2"/>
        <v>1.174</v>
      </c>
    </row>
    <row r="183" spans="1:10" s="4" customFormat="1" ht="31.5">
      <c r="A183" s="1290" t="s">
        <v>202</v>
      </c>
      <c r="B183" s="1291" t="s">
        <v>3136</v>
      </c>
      <c r="C183" s="1292" t="s">
        <v>2335</v>
      </c>
      <c r="D183" s="1293">
        <v>10</v>
      </c>
      <c r="E183" s="1294">
        <v>293.08999999999997</v>
      </c>
      <c r="F183" s="1293">
        <v>2930.9</v>
      </c>
      <c r="G183" s="1295" t="s">
        <v>3137</v>
      </c>
      <c r="H183" s="1296" t="s">
        <v>5767</v>
      </c>
      <c r="I183" s="1297">
        <v>175</v>
      </c>
      <c r="J183" s="4" t="str">
        <f t="shared" si="2"/>
        <v>1.175</v>
      </c>
    </row>
    <row r="184" spans="1:10" s="4" customFormat="1" ht="31.5">
      <c r="A184" s="1290" t="s">
        <v>203</v>
      </c>
      <c r="B184" s="1291" t="s">
        <v>3138</v>
      </c>
      <c r="C184" s="1292" t="s">
        <v>2335</v>
      </c>
      <c r="D184" s="1293">
        <v>10</v>
      </c>
      <c r="E184" s="1294">
        <v>432.19</v>
      </c>
      <c r="F184" s="1293">
        <v>4321.8999999999996</v>
      </c>
      <c r="G184" s="1295" t="s">
        <v>3139</v>
      </c>
      <c r="H184" s="1296" t="s">
        <v>5768</v>
      </c>
      <c r="I184" s="1297">
        <v>176</v>
      </c>
      <c r="J184" s="4" t="str">
        <f t="shared" si="2"/>
        <v>1.176</v>
      </c>
    </row>
    <row r="185" spans="1:10" s="4" customFormat="1" ht="71.25">
      <c r="A185" s="1290" t="s">
        <v>204</v>
      </c>
      <c r="B185" s="1291" t="s">
        <v>1475</v>
      </c>
      <c r="C185" s="1292" t="s">
        <v>17</v>
      </c>
      <c r="D185" s="1293">
        <v>5</v>
      </c>
      <c r="E185" s="1294">
        <v>1564.33</v>
      </c>
      <c r="F185" s="1293">
        <v>7821.65</v>
      </c>
      <c r="G185" s="1295" t="s">
        <v>4584</v>
      </c>
      <c r="H185" s="1296" t="s">
        <v>5769</v>
      </c>
      <c r="I185" s="1297">
        <v>177</v>
      </c>
      <c r="J185" s="4" t="str">
        <f t="shared" si="2"/>
        <v>1.177</v>
      </c>
    </row>
    <row r="186" spans="1:10" s="4" customFormat="1" ht="71.25">
      <c r="A186" s="1290" t="s">
        <v>205</v>
      </c>
      <c r="B186" s="1291" t="s">
        <v>1484</v>
      </c>
      <c r="C186" s="1292" t="s">
        <v>17</v>
      </c>
      <c r="D186" s="1293">
        <v>5</v>
      </c>
      <c r="E186" s="1294">
        <v>1918.27</v>
      </c>
      <c r="F186" s="1293">
        <v>9591.35</v>
      </c>
      <c r="G186" s="1295" t="s">
        <v>4585</v>
      </c>
      <c r="H186" s="1296" t="s">
        <v>5770</v>
      </c>
      <c r="I186" s="1297">
        <v>178</v>
      </c>
      <c r="J186" s="4" t="str">
        <f t="shared" si="2"/>
        <v>1.178</v>
      </c>
    </row>
    <row r="187" spans="1:10" s="4" customFormat="1" ht="71.25">
      <c r="A187" s="1290" t="s">
        <v>206</v>
      </c>
      <c r="B187" s="1291" t="s">
        <v>1489</v>
      </c>
      <c r="C187" s="1292" t="s">
        <v>17</v>
      </c>
      <c r="D187" s="1293">
        <v>5</v>
      </c>
      <c r="E187" s="1294">
        <v>2237.81</v>
      </c>
      <c r="F187" s="1293">
        <v>11189.05</v>
      </c>
      <c r="G187" s="1295" t="s">
        <v>4586</v>
      </c>
      <c r="H187" s="1296" t="s">
        <v>5771</v>
      </c>
      <c r="I187" s="1297">
        <v>179</v>
      </c>
      <c r="J187" s="4" t="str">
        <f t="shared" si="2"/>
        <v>1.179</v>
      </c>
    </row>
    <row r="188" spans="1:10" s="4" customFormat="1" ht="63">
      <c r="A188" s="1290" t="s">
        <v>207</v>
      </c>
      <c r="B188" s="1291" t="s">
        <v>1494</v>
      </c>
      <c r="C188" s="1292" t="s">
        <v>17</v>
      </c>
      <c r="D188" s="1293">
        <v>10</v>
      </c>
      <c r="E188" s="1294">
        <v>1516.94</v>
      </c>
      <c r="F188" s="1293">
        <v>15169.4</v>
      </c>
      <c r="G188" s="1295" t="s">
        <v>4587</v>
      </c>
      <c r="H188" s="1296" t="s">
        <v>5772</v>
      </c>
      <c r="I188" s="1297">
        <v>180</v>
      </c>
      <c r="J188" s="4" t="str">
        <f t="shared" si="2"/>
        <v>1.180</v>
      </c>
    </row>
    <row r="189" spans="1:10" s="4" customFormat="1" ht="63">
      <c r="A189" s="1290" t="s">
        <v>208</v>
      </c>
      <c r="B189" s="1291" t="s">
        <v>1508</v>
      </c>
      <c r="C189" s="1292" t="s">
        <v>17</v>
      </c>
      <c r="D189" s="1293">
        <v>10</v>
      </c>
      <c r="E189" s="1294">
        <v>1215.92</v>
      </c>
      <c r="F189" s="1293">
        <v>12159.2</v>
      </c>
      <c r="G189" s="1295" t="s">
        <v>4588</v>
      </c>
      <c r="H189" s="1296" t="s">
        <v>5773</v>
      </c>
      <c r="I189" s="1297">
        <v>181</v>
      </c>
      <c r="J189" s="4" t="str">
        <f t="shared" si="2"/>
        <v>1.181</v>
      </c>
    </row>
    <row r="190" spans="1:10" s="4" customFormat="1" ht="63">
      <c r="A190" s="1290" t="s">
        <v>209</v>
      </c>
      <c r="B190" s="1291" t="s">
        <v>1513</v>
      </c>
      <c r="C190" s="1292" t="s">
        <v>17</v>
      </c>
      <c r="D190" s="1293">
        <v>20</v>
      </c>
      <c r="E190" s="1294">
        <v>920.47</v>
      </c>
      <c r="F190" s="1293">
        <v>18409.400000000001</v>
      </c>
      <c r="G190" s="1295" t="s">
        <v>4589</v>
      </c>
      <c r="H190" s="1296" t="s">
        <v>5774</v>
      </c>
      <c r="I190" s="1297">
        <v>182</v>
      </c>
      <c r="J190" s="4" t="str">
        <f t="shared" si="2"/>
        <v>1.182</v>
      </c>
    </row>
    <row r="191" spans="1:10" s="4" customFormat="1" ht="42.75">
      <c r="A191" s="1290" t="s">
        <v>210</v>
      </c>
      <c r="B191" s="1291" t="s">
        <v>1518</v>
      </c>
      <c r="C191" s="1292" t="s">
        <v>17</v>
      </c>
      <c r="D191" s="1293">
        <v>5</v>
      </c>
      <c r="E191" s="1294">
        <v>3070.04</v>
      </c>
      <c r="F191" s="1293">
        <v>15350.2</v>
      </c>
      <c r="G191" s="1295" t="s">
        <v>4590</v>
      </c>
      <c r="H191" s="1296" t="s">
        <v>5775</v>
      </c>
      <c r="I191" s="1297">
        <v>183</v>
      </c>
      <c r="J191" s="4" t="str">
        <f t="shared" si="2"/>
        <v>1.183</v>
      </c>
    </row>
    <row r="192" spans="1:10" s="4" customFormat="1" ht="47.25">
      <c r="A192" s="1290" t="s">
        <v>211</v>
      </c>
      <c r="B192" s="1291" t="s">
        <v>1525</v>
      </c>
      <c r="C192" s="1292" t="s">
        <v>3</v>
      </c>
      <c r="D192" s="1293">
        <v>2</v>
      </c>
      <c r="E192" s="1294">
        <v>632.55999999999995</v>
      </c>
      <c r="F192" s="1293">
        <v>1265.1199999999999</v>
      </c>
      <c r="G192" s="1295" t="s">
        <v>4591</v>
      </c>
      <c r="H192" s="1296" t="s">
        <v>5776</v>
      </c>
      <c r="I192" s="1297">
        <v>184</v>
      </c>
      <c r="J192" s="4" t="str">
        <f t="shared" si="2"/>
        <v>1.184</v>
      </c>
    </row>
    <row r="193" spans="1:10" s="4" customFormat="1" ht="47.25">
      <c r="A193" s="1290" t="s">
        <v>212</v>
      </c>
      <c r="B193" s="1291" t="s">
        <v>1533</v>
      </c>
      <c r="C193" s="1292" t="s">
        <v>17</v>
      </c>
      <c r="D193" s="1293">
        <v>2</v>
      </c>
      <c r="E193" s="1294">
        <v>2338.34</v>
      </c>
      <c r="F193" s="1293">
        <v>4676.68</v>
      </c>
      <c r="G193" s="1295" t="s">
        <v>4592</v>
      </c>
      <c r="H193" s="1296" t="s">
        <v>5777</v>
      </c>
      <c r="I193" s="1297">
        <v>185</v>
      </c>
      <c r="J193" s="4" t="str">
        <f t="shared" si="2"/>
        <v>1.185</v>
      </c>
    </row>
    <row r="194" spans="1:10" s="4" customFormat="1" ht="47.25">
      <c r="A194" s="1290" t="s">
        <v>213</v>
      </c>
      <c r="B194" s="1291" t="s">
        <v>1543</v>
      </c>
      <c r="C194" s="1292" t="s">
        <v>17</v>
      </c>
      <c r="D194" s="1293">
        <v>2</v>
      </c>
      <c r="E194" s="1294">
        <v>2599.3000000000002</v>
      </c>
      <c r="F194" s="1293">
        <v>5198.6000000000004</v>
      </c>
      <c r="G194" s="1295" t="s">
        <v>4593</v>
      </c>
      <c r="H194" s="1296" t="s">
        <v>5778</v>
      </c>
      <c r="I194" s="1297">
        <v>186</v>
      </c>
      <c r="J194" s="4" t="str">
        <f t="shared" ref="J194:J257" si="3">A194</f>
        <v>1.186</v>
      </c>
    </row>
    <row r="195" spans="1:10" s="4" customFormat="1" ht="47.25">
      <c r="A195" s="1290" t="s">
        <v>214</v>
      </c>
      <c r="B195" s="1291" t="s">
        <v>1550</v>
      </c>
      <c r="C195" s="1292" t="s">
        <v>17</v>
      </c>
      <c r="D195" s="1293">
        <v>2</v>
      </c>
      <c r="E195" s="1294">
        <v>2765.59</v>
      </c>
      <c r="F195" s="1293">
        <v>5531.18</v>
      </c>
      <c r="G195" s="1295" t="s">
        <v>4594</v>
      </c>
      <c r="H195" s="1296" t="s">
        <v>5779</v>
      </c>
      <c r="I195" s="1297">
        <v>187</v>
      </c>
      <c r="J195" s="4" t="str">
        <f t="shared" si="3"/>
        <v>1.187</v>
      </c>
    </row>
    <row r="196" spans="1:10" s="4" customFormat="1" ht="47.25">
      <c r="A196" s="1290" t="s">
        <v>215</v>
      </c>
      <c r="B196" s="1291" t="s">
        <v>1557</v>
      </c>
      <c r="C196" s="1292" t="s">
        <v>17</v>
      </c>
      <c r="D196" s="1293">
        <v>2</v>
      </c>
      <c r="E196" s="1294">
        <v>3888.7</v>
      </c>
      <c r="F196" s="1293">
        <v>7777.4</v>
      </c>
      <c r="G196" s="1295" t="s">
        <v>4595</v>
      </c>
      <c r="H196" s="1296" t="s">
        <v>5780</v>
      </c>
      <c r="I196" s="1297">
        <v>188</v>
      </c>
      <c r="J196" s="4" t="str">
        <f t="shared" si="3"/>
        <v>1.188</v>
      </c>
    </row>
    <row r="197" spans="1:10" s="4" customFormat="1" ht="47.25">
      <c r="A197" s="1290" t="s">
        <v>216</v>
      </c>
      <c r="B197" s="1291" t="s">
        <v>1564</v>
      </c>
      <c r="C197" s="1292" t="s">
        <v>17</v>
      </c>
      <c r="D197" s="1293">
        <v>2</v>
      </c>
      <c r="E197" s="1294">
        <v>5687.24</v>
      </c>
      <c r="F197" s="1293">
        <v>11374.48</v>
      </c>
      <c r="G197" s="1295" t="s">
        <v>4596</v>
      </c>
      <c r="H197" s="1296" t="s">
        <v>5781</v>
      </c>
      <c r="I197" s="1297">
        <v>189</v>
      </c>
      <c r="J197" s="4" t="str">
        <f t="shared" si="3"/>
        <v>1.189</v>
      </c>
    </row>
    <row r="198" spans="1:10" s="4" customFormat="1" ht="47.25">
      <c r="A198" s="1290" t="s">
        <v>217</v>
      </c>
      <c r="B198" s="1291" t="s">
        <v>1571</v>
      </c>
      <c r="C198" s="1292" t="s">
        <v>17</v>
      </c>
      <c r="D198" s="1293">
        <v>2</v>
      </c>
      <c r="E198" s="1294">
        <v>8915.9</v>
      </c>
      <c r="F198" s="1293">
        <v>17831.8</v>
      </c>
      <c r="G198" s="1295" t="s">
        <v>4597</v>
      </c>
      <c r="H198" s="1296" t="s">
        <v>5782</v>
      </c>
      <c r="I198" s="1297">
        <v>190</v>
      </c>
      <c r="J198" s="4" t="str">
        <f t="shared" si="3"/>
        <v>1.190</v>
      </c>
    </row>
    <row r="199" spans="1:10" s="4" customFormat="1" ht="42.75">
      <c r="A199" s="1290" t="s">
        <v>218</v>
      </c>
      <c r="B199" s="1291" t="s">
        <v>1578</v>
      </c>
      <c r="C199" s="1292" t="s">
        <v>17</v>
      </c>
      <c r="D199" s="1293">
        <v>10</v>
      </c>
      <c r="E199" s="1294">
        <v>168.85</v>
      </c>
      <c r="F199" s="1293">
        <v>1688.5</v>
      </c>
      <c r="G199" s="1295" t="s">
        <v>4598</v>
      </c>
      <c r="H199" s="1296" t="s">
        <v>5783</v>
      </c>
      <c r="I199" s="1297">
        <v>191</v>
      </c>
      <c r="J199" s="4" t="str">
        <f t="shared" si="3"/>
        <v>1.191</v>
      </c>
    </row>
    <row r="200" spans="1:10" s="4" customFormat="1" ht="42.75">
      <c r="A200" s="1290" t="s">
        <v>219</v>
      </c>
      <c r="B200" s="1291" t="s">
        <v>1585</v>
      </c>
      <c r="C200" s="1292" t="s">
        <v>17</v>
      </c>
      <c r="D200" s="1293">
        <v>10</v>
      </c>
      <c r="E200" s="1294">
        <v>245.6</v>
      </c>
      <c r="F200" s="1293">
        <v>2456</v>
      </c>
      <c r="G200" s="1295" t="s">
        <v>4599</v>
      </c>
      <c r="H200" s="1296" t="s">
        <v>5784</v>
      </c>
      <c r="I200" s="1297">
        <v>192</v>
      </c>
      <c r="J200" s="4" t="str">
        <f t="shared" si="3"/>
        <v>1.192</v>
      </c>
    </row>
    <row r="201" spans="1:10" s="4" customFormat="1" ht="42.75">
      <c r="A201" s="1290" t="s">
        <v>220</v>
      </c>
      <c r="B201" s="1291" t="s">
        <v>1592</v>
      </c>
      <c r="C201" s="1292" t="s">
        <v>17</v>
      </c>
      <c r="D201" s="1293">
        <v>10</v>
      </c>
      <c r="E201" s="1294">
        <v>869.85</v>
      </c>
      <c r="F201" s="1293">
        <v>8698.5</v>
      </c>
      <c r="G201" s="1295" t="s">
        <v>4600</v>
      </c>
      <c r="H201" s="1296" t="s">
        <v>5785</v>
      </c>
      <c r="I201" s="1297">
        <v>193</v>
      </c>
      <c r="J201" s="4" t="str">
        <f t="shared" si="3"/>
        <v>1.193</v>
      </c>
    </row>
    <row r="202" spans="1:10" s="4" customFormat="1" ht="42.75">
      <c r="A202" s="1290" t="s">
        <v>221</v>
      </c>
      <c r="B202" s="1291" t="s">
        <v>1599</v>
      </c>
      <c r="C202" s="1292" t="s">
        <v>17</v>
      </c>
      <c r="D202" s="1293">
        <v>10</v>
      </c>
      <c r="E202" s="1294">
        <v>1192.2</v>
      </c>
      <c r="F202" s="1293">
        <v>11922</v>
      </c>
      <c r="G202" s="1295" t="s">
        <v>4601</v>
      </c>
      <c r="H202" s="1296" t="s">
        <v>5786</v>
      </c>
      <c r="I202" s="1297">
        <v>194</v>
      </c>
      <c r="J202" s="4" t="str">
        <f t="shared" si="3"/>
        <v>1.194</v>
      </c>
    </row>
    <row r="203" spans="1:10" s="4" customFormat="1" ht="42.75">
      <c r="A203" s="1290" t="s">
        <v>222</v>
      </c>
      <c r="B203" s="1291" t="s">
        <v>1606</v>
      </c>
      <c r="C203" s="1292" t="s">
        <v>17</v>
      </c>
      <c r="D203" s="1293">
        <v>10</v>
      </c>
      <c r="E203" s="1294">
        <v>370.12</v>
      </c>
      <c r="F203" s="1293">
        <v>3701.2</v>
      </c>
      <c r="G203" s="1295" t="s">
        <v>4602</v>
      </c>
      <c r="H203" s="1296" t="s">
        <v>5787</v>
      </c>
      <c r="I203" s="1297">
        <v>195</v>
      </c>
      <c r="J203" s="4" t="str">
        <f t="shared" si="3"/>
        <v>1.195</v>
      </c>
    </row>
    <row r="204" spans="1:10" s="4" customFormat="1" ht="42.75">
      <c r="A204" s="1290" t="s">
        <v>223</v>
      </c>
      <c r="B204" s="1291" t="s">
        <v>1613</v>
      </c>
      <c r="C204" s="1292" t="s">
        <v>17</v>
      </c>
      <c r="D204" s="1293">
        <v>10</v>
      </c>
      <c r="E204" s="1294">
        <v>1321.82</v>
      </c>
      <c r="F204" s="1293">
        <v>13218.2</v>
      </c>
      <c r="G204" s="1295" t="s">
        <v>4603</v>
      </c>
      <c r="H204" s="1296" t="s">
        <v>5788</v>
      </c>
      <c r="I204" s="1297">
        <v>196</v>
      </c>
      <c r="J204" s="4" t="str">
        <f t="shared" si="3"/>
        <v>1.196</v>
      </c>
    </row>
    <row r="205" spans="1:10" s="4" customFormat="1" ht="42.75">
      <c r="A205" s="1290" t="s">
        <v>224</v>
      </c>
      <c r="B205" s="1291" t="s">
        <v>1620</v>
      </c>
      <c r="C205" s="1292" t="s">
        <v>17</v>
      </c>
      <c r="D205" s="1293">
        <v>10</v>
      </c>
      <c r="E205" s="1294">
        <v>163.74</v>
      </c>
      <c r="F205" s="1293">
        <v>1637.4</v>
      </c>
      <c r="G205" s="1295" t="s">
        <v>4604</v>
      </c>
      <c r="H205" s="1296" t="s">
        <v>5789</v>
      </c>
      <c r="I205" s="1297">
        <v>197</v>
      </c>
      <c r="J205" s="4" t="str">
        <f t="shared" si="3"/>
        <v>1.197</v>
      </c>
    </row>
    <row r="206" spans="1:10" s="4" customFormat="1" ht="42.75">
      <c r="A206" s="1290" t="s">
        <v>225</v>
      </c>
      <c r="B206" s="1291" t="s">
        <v>1625</v>
      </c>
      <c r="C206" s="1292" t="s">
        <v>17</v>
      </c>
      <c r="D206" s="1293">
        <v>10</v>
      </c>
      <c r="E206" s="1294">
        <v>235.37</v>
      </c>
      <c r="F206" s="1293">
        <v>2353.6999999999998</v>
      </c>
      <c r="G206" s="1295" t="s">
        <v>4605</v>
      </c>
      <c r="H206" s="1296" t="s">
        <v>5790</v>
      </c>
      <c r="I206" s="1297">
        <v>198</v>
      </c>
      <c r="J206" s="4" t="str">
        <f t="shared" si="3"/>
        <v>1.198</v>
      </c>
    </row>
    <row r="207" spans="1:10" s="4" customFormat="1" ht="42.75">
      <c r="A207" s="1290" t="s">
        <v>226</v>
      </c>
      <c r="B207" s="1291" t="s">
        <v>1630</v>
      </c>
      <c r="C207" s="1292" t="s">
        <v>17</v>
      </c>
      <c r="D207" s="1293">
        <v>10</v>
      </c>
      <c r="E207" s="1294">
        <v>334.29</v>
      </c>
      <c r="F207" s="1293">
        <v>3342.9</v>
      </c>
      <c r="G207" s="1295" t="s">
        <v>4606</v>
      </c>
      <c r="H207" s="1296" t="s">
        <v>5791</v>
      </c>
      <c r="I207" s="1297">
        <v>199</v>
      </c>
      <c r="J207" s="4" t="str">
        <f t="shared" si="3"/>
        <v>1.199</v>
      </c>
    </row>
    <row r="208" spans="1:10" s="4" customFormat="1" ht="42.75">
      <c r="A208" s="1290" t="s">
        <v>227</v>
      </c>
      <c r="B208" s="1291" t="s">
        <v>1635</v>
      </c>
      <c r="C208" s="1292" t="s">
        <v>3</v>
      </c>
      <c r="D208" s="1293">
        <v>10</v>
      </c>
      <c r="E208" s="1294">
        <v>337.65</v>
      </c>
      <c r="F208" s="1293">
        <v>3376.5</v>
      </c>
      <c r="G208" s="1295" t="s">
        <v>4607</v>
      </c>
      <c r="H208" s="1296" t="s">
        <v>5792</v>
      </c>
      <c r="I208" s="1297">
        <v>200</v>
      </c>
      <c r="J208" s="4" t="str">
        <f t="shared" si="3"/>
        <v>1.200</v>
      </c>
    </row>
    <row r="209" spans="1:10" s="4" customFormat="1" ht="42.75">
      <c r="A209" s="1290" t="s">
        <v>228</v>
      </c>
      <c r="B209" s="1291" t="s">
        <v>1641</v>
      </c>
      <c r="C209" s="1292" t="s">
        <v>3</v>
      </c>
      <c r="D209" s="1293">
        <v>10</v>
      </c>
      <c r="E209" s="1294">
        <v>508.62</v>
      </c>
      <c r="F209" s="1293">
        <v>5086.2</v>
      </c>
      <c r="G209" s="1295" t="s">
        <v>4608</v>
      </c>
      <c r="H209" s="1296" t="s">
        <v>5793</v>
      </c>
      <c r="I209" s="1297">
        <v>201</v>
      </c>
      <c r="J209" s="4" t="str">
        <f t="shared" si="3"/>
        <v>1.201</v>
      </c>
    </row>
    <row r="210" spans="1:10" s="4" customFormat="1" ht="42.75">
      <c r="A210" s="1290" t="s">
        <v>229</v>
      </c>
      <c r="B210" s="1291" t="s">
        <v>1647</v>
      </c>
      <c r="C210" s="1292" t="s">
        <v>3</v>
      </c>
      <c r="D210" s="1293">
        <v>10</v>
      </c>
      <c r="E210" s="1294">
        <v>480.44</v>
      </c>
      <c r="F210" s="1293">
        <v>4804.3999999999996</v>
      </c>
      <c r="G210" s="1295" t="s">
        <v>4609</v>
      </c>
      <c r="H210" s="1296" t="s">
        <v>5794</v>
      </c>
      <c r="I210" s="1297">
        <v>202</v>
      </c>
      <c r="J210" s="4" t="str">
        <f t="shared" si="3"/>
        <v>1.202</v>
      </c>
    </row>
    <row r="211" spans="1:10" s="4" customFormat="1" ht="57">
      <c r="A211" s="1290" t="s">
        <v>230</v>
      </c>
      <c r="B211" s="1291" t="s">
        <v>1651</v>
      </c>
      <c r="C211" s="1292" t="s">
        <v>3</v>
      </c>
      <c r="D211" s="1293">
        <v>10</v>
      </c>
      <c r="E211" s="1294">
        <v>105.34</v>
      </c>
      <c r="F211" s="1293">
        <v>1053.4000000000001</v>
      </c>
      <c r="G211" s="1295" t="s">
        <v>4610</v>
      </c>
      <c r="H211" s="1296" t="s">
        <v>5795</v>
      </c>
      <c r="I211" s="1297">
        <v>203</v>
      </c>
      <c r="J211" s="4" t="str">
        <f t="shared" si="3"/>
        <v>1.203</v>
      </c>
    </row>
    <row r="212" spans="1:10" s="4" customFormat="1" ht="42.75">
      <c r="A212" s="1290" t="s">
        <v>231</v>
      </c>
      <c r="B212" s="1291" t="s">
        <v>1643</v>
      </c>
      <c r="C212" s="1292" t="s">
        <v>0</v>
      </c>
      <c r="D212" s="1293">
        <v>5</v>
      </c>
      <c r="E212" s="1294">
        <v>5106.05</v>
      </c>
      <c r="F212" s="1293">
        <v>25530.25</v>
      </c>
      <c r="G212" s="1295" t="s">
        <v>4611</v>
      </c>
      <c r="H212" s="1296" t="s">
        <v>5796</v>
      </c>
      <c r="I212" s="1297">
        <v>204</v>
      </c>
      <c r="J212" s="4" t="str">
        <f t="shared" si="3"/>
        <v>1.204</v>
      </c>
    </row>
    <row r="213" spans="1:10" s="4" customFormat="1" ht="42.75">
      <c r="A213" s="1290" t="s">
        <v>232</v>
      </c>
      <c r="B213" s="1291" t="s">
        <v>1649</v>
      </c>
      <c r="C213" s="1292" t="s">
        <v>0</v>
      </c>
      <c r="D213" s="1293">
        <v>5</v>
      </c>
      <c r="E213" s="1294">
        <v>3737.85</v>
      </c>
      <c r="F213" s="1293">
        <v>18689.25</v>
      </c>
      <c r="G213" s="1295" t="s">
        <v>4612</v>
      </c>
      <c r="H213" s="1296" t="s">
        <v>5797</v>
      </c>
      <c r="I213" s="1297">
        <v>205</v>
      </c>
      <c r="J213" s="4" t="str">
        <f t="shared" si="3"/>
        <v>1.205</v>
      </c>
    </row>
    <row r="214" spans="1:10" s="4" customFormat="1" ht="42.75">
      <c r="A214" s="1290" t="s">
        <v>233</v>
      </c>
      <c r="B214" s="1291" t="s">
        <v>1637</v>
      </c>
      <c r="C214" s="1292" t="s">
        <v>0</v>
      </c>
      <c r="D214" s="1293">
        <v>5</v>
      </c>
      <c r="E214" s="1294">
        <v>3547.09</v>
      </c>
      <c r="F214" s="1293">
        <v>17735.45</v>
      </c>
      <c r="G214" s="1295" t="s">
        <v>4613</v>
      </c>
      <c r="H214" s="1296" t="s">
        <v>5798</v>
      </c>
      <c r="I214" s="1297">
        <v>206</v>
      </c>
      <c r="J214" s="4" t="str">
        <f t="shared" si="3"/>
        <v>1.206</v>
      </c>
    </row>
    <row r="215" spans="1:10" s="4" customFormat="1" ht="42.75">
      <c r="A215" s="1290" t="s">
        <v>234</v>
      </c>
      <c r="B215" s="1291" t="s">
        <v>1666</v>
      </c>
      <c r="C215" s="1292" t="s">
        <v>3</v>
      </c>
      <c r="D215" s="1293">
        <v>10</v>
      </c>
      <c r="E215" s="1294">
        <v>1215.8399999999999</v>
      </c>
      <c r="F215" s="1293">
        <v>12158.4</v>
      </c>
      <c r="G215" s="1295" t="s">
        <v>4614</v>
      </c>
      <c r="H215" s="1296" t="s">
        <v>5799</v>
      </c>
      <c r="I215" s="1297">
        <v>207</v>
      </c>
      <c r="J215" s="4" t="str">
        <f t="shared" si="3"/>
        <v>1.207</v>
      </c>
    </row>
    <row r="216" spans="1:10" s="4" customFormat="1" ht="42.75">
      <c r="A216" s="1290" t="s">
        <v>235</v>
      </c>
      <c r="B216" s="1291" t="s">
        <v>1675</v>
      </c>
      <c r="C216" s="1292" t="s">
        <v>3</v>
      </c>
      <c r="D216" s="1293">
        <v>10</v>
      </c>
      <c r="E216" s="1294">
        <v>1398.66</v>
      </c>
      <c r="F216" s="1293">
        <v>13986.6</v>
      </c>
      <c r="G216" s="1295" t="s">
        <v>4615</v>
      </c>
      <c r="H216" s="1296" t="s">
        <v>5800</v>
      </c>
      <c r="I216" s="1297">
        <v>208</v>
      </c>
      <c r="J216" s="4" t="str">
        <f t="shared" si="3"/>
        <v>1.208</v>
      </c>
    </row>
    <row r="217" spans="1:10" s="4" customFormat="1" ht="42.75">
      <c r="A217" s="1290" t="s">
        <v>236</v>
      </c>
      <c r="B217" s="1291" t="s">
        <v>1680</v>
      </c>
      <c r="C217" s="1292" t="s">
        <v>3</v>
      </c>
      <c r="D217" s="1293">
        <v>10</v>
      </c>
      <c r="E217" s="1294">
        <v>1563.59</v>
      </c>
      <c r="F217" s="1293">
        <v>15635.9</v>
      </c>
      <c r="G217" s="1295" t="s">
        <v>4616</v>
      </c>
      <c r="H217" s="1296" t="s">
        <v>5801</v>
      </c>
      <c r="I217" s="1297">
        <v>209</v>
      </c>
      <c r="J217" s="4" t="str">
        <f t="shared" si="3"/>
        <v>1.209</v>
      </c>
    </row>
    <row r="218" spans="1:10" s="4" customFormat="1" ht="42.75">
      <c r="A218" s="1290" t="s">
        <v>237</v>
      </c>
      <c r="B218" s="1291" t="s">
        <v>1685</v>
      </c>
      <c r="C218" s="1292" t="s">
        <v>3</v>
      </c>
      <c r="D218" s="1293">
        <v>10</v>
      </c>
      <c r="E218" s="1294">
        <v>476.51</v>
      </c>
      <c r="F218" s="1293">
        <v>4765.1000000000004</v>
      </c>
      <c r="G218" s="1295" t="s">
        <v>4617</v>
      </c>
      <c r="H218" s="1296" t="s">
        <v>5802</v>
      </c>
      <c r="I218" s="1297">
        <v>210</v>
      </c>
      <c r="J218" s="4" t="str">
        <f t="shared" si="3"/>
        <v>1.210</v>
      </c>
    </row>
    <row r="219" spans="1:10" s="4" customFormat="1" ht="42.75">
      <c r="A219" s="1290" t="s">
        <v>238</v>
      </c>
      <c r="B219" s="1291" t="s">
        <v>1688</v>
      </c>
      <c r="C219" s="1292" t="s">
        <v>1689</v>
      </c>
      <c r="D219" s="1293">
        <v>1</v>
      </c>
      <c r="E219" s="1294">
        <v>8040.4</v>
      </c>
      <c r="F219" s="1293">
        <v>8040.4</v>
      </c>
      <c r="G219" s="1295" t="s">
        <v>4618</v>
      </c>
      <c r="H219" s="1296" t="s">
        <v>5803</v>
      </c>
      <c r="I219" s="1297">
        <v>211</v>
      </c>
      <c r="J219" s="4" t="str">
        <f t="shared" si="3"/>
        <v>1.211</v>
      </c>
    </row>
    <row r="220" spans="1:10" s="4" customFormat="1" ht="42.75">
      <c r="A220" s="1290" t="s">
        <v>239</v>
      </c>
      <c r="B220" s="1291" t="s">
        <v>1700</v>
      </c>
      <c r="C220" s="1292" t="s">
        <v>17</v>
      </c>
      <c r="D220" s="1293">
        <v>10</v>
      </c>
      <c r="E220" s="1294">
        <v>1612.01</v>
      </c>
      <c r="F220" s="1293">
        <v>16120.1</v>
      </c>
      <c r="G220" s="1295" t="s">
        <v>4619</v>
      </c>
      <c r="H220" s="1296" t="s">
        <v>5804</v>
      </c>
      <c r="I220" s="1297">
        <v>212</v>
      </c>
      <c r="J220" s="4" t="str">
        <f t="shared" si="3"/>
        <v>1.212</v>
      </c>
    </row>
    <row r="221" spans="1:10" s="4" customFormat="1" ht="42.75">
      <c r="A221" s="1290" t="s">
        <v>240</v>
      </c>
      <c r="B221" s="1291" t="s">
        <v>1697</v>
      </c>
      <c r="C221" s="1292" t="s">
        <v>15</v>
      </c>
      <c r="D221" s="1293">
        <v>10</v>
      </c>
      <c r="E221" s="1294">
        <v>1421.82</v>
      </c>
      <c r="F221" s="1293">
        <v>14218.2</v>
      </c>
      <c r="G221" s="1295" t="s">
        <v>4620</v>
      </c>
      <c r="H221" s="1296" t="s">
        <v>5805</v>
      </c>
      <c r="I221" s="1297">
        <v>213</v>
      </c>
      <c r="J221" s="4" t="str">
        <f t="shared" si="3"/>
        <v>1.213</v>
      </c>
    </row>
    <row r="222" spans="1:10" s="4" customFormat="1" ht="42.75">
      <c r="A222" s="1290" t="s">
        <v>241</v>
      </c>
      <c r="B222" s="1291" t="s">
        <v>1711</v>
      </c>
      <c r="C222" s="1292" t="s">
        <v>3</v>
      </c>
      <c r="D222" s="1293">
        <v>10</v>
      </c>
      <c r="E222" s="1294">
        <v>1643.96</v>
      </c>
      <c r="F222" s="1293">
        <v>16439.599999999999</v>
      </c>
      <c r="G222" s="1295" t="s">
        <v>4621</v>
      </c>
      <c r="H222" s="1296" t="s">
        <v>5806</v>
      </c>
      <c r="I222" s="1297">
        <v>214</v>
      </c>
      <c r="J222" s="4" t="str">
        <f t="shared" si="3"/>
        <v>1.214</v>
      </c>
    </row>
    <row r="223" spans="1:10" s="4" customFormat="1" ht="42.75">
      <c r="A223" s="1290" t="s">
        <v>242</v>
      </c>
      <c r="B223" s="1291" t="s">
        <v>1713</v>
      </c>
      <c r="C223" s="1292" t="s">
        <v>0</v>
      </c>
      <c r="D223" s="1293">
        <v>10</v>
      </c>
      <c r="E223" s="1294">
        <v>2451.42</v>
      </c>
      <c r="F223" s="1293">
        <v>24514.2</v>
      </c>
      <c r="G223" s="1295" t="s">
        <v>4622</v>
      </c>
      <c r="H223" s="1296" t="s">
        <v>5807</v>
      </c>
      <c r="I223" s="1297">
        <v>215</v>
      </c>
      <c r="J223" s="4" t="str">
        <f t="shared" si="3"/>
        <v>1.215</v>
      </c>
    </row>
    <row r="224" spans="1:10" s="4" customFormat="1" ht="42.75">
      <c r="A224" s="1290" t="s">
        <v>243</v>
      </c>
      <c r="B224" s="1291" t="s">
        <v>1714</v>
      </c>
      <c r="C224" s="1292" t="s">
        <v>3</v>
      </c>
      <c r="D224" s="1293">
        <v>10</v>
      </c>
      <c r="E224" s="1294">
        <v>416.21</v>
      </c>
      <c r="F224" s="1293">
        <v>4162.1000000000004</v>
      </c>
      <c r="G224" s="1295" t="s">
        <v>4623</v>
      </c>
      <c r="H224" s="1296" t="s">
        <v>5808</v>
      </c>
      <c r="I224" s="1297">
        <v>216</v>
      </c>
      <c r="J224" s="4" t="str">
        <f t="shared" si="3"/>
        <v>1.216</v>
      </c>
    </row>
    <row r="225" spans="1:10" s="4" customFormat="1" ht="47.25">
      <c r="A225" s="1290" t="s">
        <v>244</v>
      </c>
      <c r="B225" s="1291" t="s">
        <v>1719</v>
      </c>
      <c r="C225" s="1292" t="s">
        <v>1497</v>
      </c>
      <c r="D225" s="1293">
        <v>20</v>
      </c>
      <c r="E225" s="1294">
        <v>55.34</v>
      </c>
      <c r="F225" s="1293">
        <v>1106.8</v>
      </c>
      <c r="G225" s="1295" t="s">
        <v>4624</v>
      </c>
      <c r="H225" s="1296" t="s">
        <v>5809</v>
      </c>
      <c r="I225" s="1297">
        <v>217</v>
      </c>
      <c r="J225" s="4" t="str">
        <f t="shared" si="3"/>
        <v>1.217</v>
      </c>
    </row>
    <row r="226" spans="1:10" s="4" customFormat="1" ht="28.5">
      <c r="A226" s="1290" t="s">
        <v>245</v>
      </c>
      <c r="B226" s="1291" t="s">
        <v>3181</v>
      </c>
      <c r="C226" s="1292" t="s">
        <v>18</v>
      </c>
      <c r="D226" s="1293">
        <v>10</v>
      </c>
      <c r="E226" s="1294">
        <v>278.19</v>
      </c>
      <c r="F226" s="1293">
        <v>2781.9</v>
      </c>
      <c r="G226" s="1295" t="s">
        <v>3182</v>
      </c>
      <c r="H226" s="1296" t="s">
        <v>5810</v>
      </c>
      <c r="I226" s="1297">
        <v>218</v>
      </c>
      <c r="J226" s="4" t="str">
        <f t="shared" si="3"/>
        <v>1.218</v>
      </c>
    </row>
    <row r="227" spans="1:10" s="4" customFormat="1" ht="42.75">
      <c r="A227" s="1290" t="s">
        <v>246</v>
      </c>
      <c r="B227" s="1291" t="s">
        <v>1751</v>
      </c>
      <c r="C227" s="1292" t="s">
        <v>3</v>
      </c>
      <c r="D227" s="1293">
        <v>10</v>
      </c>
      <c r="E227" s="1294">
        <v>5580.08</v>
      </c>
      <c r="F227" s="1293">
        <v>55800.800000000003</v>
      </c>
      <c r="G227" s="1295" t="s">
        <v>4625</v>
      </c>
      <c r="H227" s="1296" t="s">
        <v>5811</v>
      </c>
      <c r="I227" s="1297">
        <v>219</v>
      </c>
      <c r="J227" s="4" t="str">
        <f t="shared" si="3"/>
        <v>1.219</v>
      </c>
    </row>
    <row r="228" spans="1:10" s="4" customFormat="1" ht="31.5">
      <c r="A228" s="1290" t="s">
        <v>247</v>
      </c>
      <c r="B228" s="1291" t="s">
        <v>3183</v>
      </c>
      <c r="C228" s="1292" t="s">
        <v>17</v>
      </c>
      <c r="D228" s="1293">
        <v>2</v>
      </c>
      <c r="E228" s="1294">
        <v>3962.23</v>
      </c>
      <c r="F228" s="1293">
        <v>7924.46</v>
      </c>
      <c r="G228" s="1295" t="s">
        <v>3184</v>
      </c>
      <c r="H228" s="1296" t="s">
        <v>5812</v>
      </c>
      <c r="I228" s="1297">
        <v>220</v>
      </c>
      <c r="J228" s="4" t="str">
        <f t="shared" si="3"/>
        <v>1.220</v>
      </c>
    </row>
    <row r="229" spans="1:10" s="4" customFormat="1" ht="31.5">
      <c r="A229" s="1290" t="s">
        <v>248</v>
      </c>
      <c r="B229" s="1291" t="s">
        <v>3186</v>
      </c>
      <c r="C229" s="1292" t="s">
        <v>2238</v>
      </c>
      <c r="D229" s="1293">
        <v>1</v>
      </c>
      <c r="E229" s="1294">
        <v>6506.68</v>
      </c>
      <c r="F229" s="1293">
        <v>6506.68</v>
      </c>
      <c r="G229" s="1295" t="s">
        <v>3187</v>
      </c>
      <c r="H229" s="1296" t="s">
        <v>5813</v>
      </c>
      <c r="I229" s="1297">
        <v>221</v>
      </c>
      <c r="J229" s="4" t="str">
        <f t="shared" si="3"/>
        <v>1.221</v>
      </c>
    </row>
    <row r="230" spans="1:10" s="4" customFormat="1" ht="31.5">
      <c r="A230" s="1290" t="s">
        <v>249</v>
      </c>
      <c r="B230" s="1291" t="s">
        <v>3188</v>
      </c>
      <c r="C230" s="1292" t="s">
        <v>17</v>
      </c>
      <c r="D230" s="1293">
        <v>1</v>
      </c>
      <c r="E230" s="1294">
        <v>5773.45</v>
      </c>
      <c r="F230" s="1293">
        <v>5773.45</v>
      </c>
      <c r="G230" s="1295" t="s">
        <v>3189</v>
      </c>
      <c r="H230" s="1296" t="s">
        <v>5814</v>
      </c>
      <c r="I230" s="1297">
        <v>222</v>
      </c>
      <c r="J230" s="4" t="str">
        <f t="shared" si="3"/>
        <v>1.222</v>
      </c>
    </row>
    <row r="231" spans="1:10" s="4" customFormat="1" ht="31.5">
      <c r="A231" s="1290" t="s">
        <v>250</v>
      </c>
      <c r="B231" s="1291" t="s">
        <v>3190</v>
      </c>
      <c r="C231" s="1292" t="s">
        <v>2238</v>
      </c>
      <c r="D231" s="1293">
        <v>1</v>
      </c>
      <c r="E231" s="1294">
        <v>10546.41</v>
      </c>
      <c r="F231" s="1293">
        <v>10546.41</v>
      </c>
      <c r="G231" s="1295" t="s">
        <v>3191</v>
      </c>
      <c r="H231" s="1296" t="s">
        <v>5815</v>
      </c>
      <c r="I231" s="1297">
        <v>223</v>
      </c>
      <c r="J231" s="4" t="str">
        <f t="shared" si="3"/>
        <v>1.223</v>
      </c>
    </row>
    <row r="232" spans="1:10" s="4" customFormat="1" ht="31.5">
      <c r="A232" s="1290" t="s">
        <v>251</v>
      </c>
      <c r="B232" s="1291" t="s">
        <v>3192</v>
      </c>
      <c r="C232" s="1292" t="s">
        <v>17</v>
      </c>
      <c r="D232" s="1293">
        <v>1</v>
      </c>
      <c r="E232" s="1294">
        <v>10037.719999999999</v>
      </c>
      <c r="F232" s="1293">
        <v>10037.719999999999</v>
      </c>
      <c r="G232" s="1295" t="s">
        <v>3193</v>
      </c>
      <c r="H232" s="1296" t="s">
        <v>5816</v>
      </c>
      <c r="I232" s="1297">
        <v>224</v>
      </c>
      <c r="J232" s="4" t="str">
        <f t="shared" si="3"/>
        <v>1.224</v>
      </c>
    </row>
    <row r="233" spans="1:10" s="4" customFormat="1" ht="31.5">
      <c r="A233" s="1290" t="s">
        <v>252</v>
      </c>
      <c r="B233" s="1291" t="s">
        <v>3194</v>
      </c>
      <c r="C233" s="1292" t="s">
        <v>2238</v>
      </c>
      <c r="D233" s="1293">
        <v>1</v>
      </c>
      <c r="E233" s="1294">
        <v>12316.89</v>
      </c>
      <c r="F233" s="1293">
        <v>12316.89</v>
      </c>
      <c r="G233" s="1295" t="s">
        <v>3195</v>
      </c>
      <c r="H233" s="1296" t="s">
        <v>5817</v>
      </c>
      <c r="I233" s="1297">
        <v>225</v>
      </c>
      <c r="J233" s="4" t="str">
        <f t="shared" si="3"/>
        <v>1.225</v>
      </c>
    </row>
    <row r="234" spans="1:10" s="4" customFormat="1" ht="47.25">
      <c r="A234" s="1290" t="s">
        <v>253</v>
      </c>
      <c r="B234" s="1291" t="s">
        <v>3196</v>
      </c>
      <c r="C234" s="1292" t="s">
        <v>17</v>
      </c>
      <c r="D234" s="1293">
        <v>1</v>
      </c>
      <c r="E234" s="1294">
        <v>14942.81</v>
      </c>
      <c r="F234" s="1293">
        <v>14942.81</v>
      </c>
      <c r="G234" s="1295" t="s">
        <v>3197</v>
      </c>
      <c r="H234" s="1296" t="s">
        <v>5818</v>
      </c>
      <c r="I234" s="1297">
        <v>226</v>
      </c>
      <c r="J234" s="4" t="str">
        <f t="shared" si="3"/>
        <v>1.226</v>
      </c>
    </row>
    <row r="235" spans="1:10" s="4" customFormat="1" ht="31.5">
      <c r="A235" s="1290" t="s">
        <v>254</v>
      </c>
      <c r="B235" s="1291" t="s">
        <v>3198</v>
      </c>
      <c r="C235" s="1292" t="s">
        <v>2238</v>
      </c>
      <c r="D235" s="1293">
        <v>1</v>
      </c>
      <c r="E235" s="1294">
        <v>16840.47</v>
      </c>
      <c r="F235" s="1293">
        <v>16840.47</v>
      </c>
      <c r="G235" s="1295" t="s">
        <v>3199</v>
      </c>
      <c r="H235" s="1296" t="s">
        <v>5819</v>
      </c>
      <c r="I235" s="1297">
        <v>227</v>
      </c>
      <c r="J235" s="4" t="str">
        <f t="shared" si="3"/>
        <v>1.227</v>
      </c>
    </row>
    <row r="236" spans="1:10" s="4" customFormat="1" ht="47.25">
      <c r="A236" s="1290" t="s">
        <v>255</v>
      </c>
      <c r="B236" s="1291" t="s">
        <v>3200</v>
      </c>
      <c r="C236" s="1292" t="s">
        <v>17</v>
      </c>
      <c r="D236" s="1293">
        <v>1</v>
      </c>
      <c r="E236" s="1294">
        <v>21323.32</v>
      </c>
      <c r="F236" s="1293">
        <v>21323.32</v>
      </c>
      <c r="G236" s="1295" t="s">
        <v>3201</v>
      </c>
      <c r="H236" s="1296" t="s">
        <v>5820</v>
      </c>
      <c r="I236" s="1297">
        <v>228</v>
      </c>
      <c r="J236" s="4" t="str">
        <f t="shared" si="3"/>
        <v>1.228</v>
      </c>
    </row>
    <row r="237" spans="1:10" s="4" customFormat="1" ht="31.5">
      <c r="A237" s="1290" t="s">
        <v>256</v>
      </c>
      <c r="B237" s="1291" t="s">
        <v>3202</v>
      </c>
      <c r="C237" s="1292" t="s">
        <v>2238</v>
      </c>
      <c r="D237" s="1293">
        <v>2</v>
      </c>
      <c r="E237" s="1294">
        <v>23549.84</v>
      </c>
      <c r="F237" s="1293">
        <v>47099.68</v>
      </c>
      <c r="G237" s="1295" t="s">
        <v>3203</v>
      </c>
      <c r="H237" s="1296" t="s">
        <v>5821</v>
      </c>
      <c r="I237" s="1297">
        <v>229</v>
      </c>
      <c r="J237" s="4" t="str">
        <f t="shared" si="3"/>
        <v>1.229</v>
      </c>
    </row>
    <row r="238" spans="1:10" s="4" customFormat="1" ht="47.25">
      <c r="A238" s="1290" t="s">
        <v>257</v>
      </c>
      <c r="B238" s="1291" t="s">
        <v>1770</v>
      </c>
      <c r="C238" s="1292" t="s">
        <v>17</v>
      </c>
      <c r="D238" s="1293">
        <v>2</v>
      </c>
      <c r="E238" s="1294">
        <v>3676.81</v>
      </c>
      <c r="F238" s="1293">
        <v>7353.62</v>
      </c>
      <c r="G238" s="1295" t="s">
        <v>4626</v>
      </c>
      <c r="H238" s="1296" t="s">
        <v>5822</v>
      </c>
      <c r="I238" s="1297">
        <v>230</v>
      </c>
      <c r="J238" s="4" t="str">
        <f t="shared" si="3"/>
        <v>1.230</v>
      </c>
    </row>
    <row r="239" spans="1:10" s="4" customFormat="1" ht="47.25">
      <c r="A239" s="1290" t="s">
        <v>258</v>
      </c>
      <c r="B239" s="1291" t="s">
        <v>1777</v>
      </c>
      <c r="C239" s="1292" t="s">
        <v>17</v>
      </c>
      <c r="D239" s="1293">
        <v>2</v>
      </c>
      <c r="E239" s="1294">
        <v>4786.3500000000004</v>
      </c>
      <c r="F239" s="1293">
        <v>9572.7000000000007</v>
      </c>
      <c r="G239" s="1295" t="s">
        <v>4627</v>
      </c>
      <c r="H239" s="1296" t="s">
        <v>5823</v>
      </c>
      <c r="I239" s="1297">
        <v>231</v>
      </c>
      <c r="J239" s="4" t="str">
        <f t="shared" si="3"/>
        <v>1.231</v>
      </c>
    </row>
    <row r="240" spans="1:10" s="4" customFormat="1" ht="47.25">
      <c r="A240" s="1290" t="s">
        <v>259</v>
      </c>
      <c r="B240" s="1291" t="s">
        <v>1782</v>
      </c>
      <c r="C240" s="1292" t="s">
        <v>17</v>
      </c>
      <c r="D240" s="1293">
        <v>2</v>
      </c>
      <c r="E240" s="1294">
        <v>6631.86</v>
      </c>
      <c r="F240" s="1293">
        <v>13263.72</v>
      </c>
      <c r="G240" s="1295" t="s">
        <v>4628</v>
      </c>
      <c r="H240" s="1296" t="s">
        <v>5824</v>
      </c>
      <c r="I240" s="1297">
        <v>232</v>
      </c>
      <c r="J240" s="4" t="str">
        <f t="shared" si="3"/>
        <v>1.232</v>
      </c>
    </row>
    <row r="241" spans="1:10" s="4" customFormat="1" ht="47.25">
      <c r="A241" s="1290" t="s">
        <v>260</v>
      </c>
      <c r="B241" s="1291" t="s">
        <v>1787</v>
      </c>
      <c r="C241" s="1292" t="s">
        <v>17</v>
      </c>
      <c r="D241" s="1293">
        <v>2</v>
      </c>
      <c r="E241" s="1294">
        <v>8642.57</v>
      </c>
      <c r="F241" s="1293">
        <v>17285.14</v>
      </c>
      <c r="G241" s="1295" t="s">
        <v>4629</v>
      </c>
      <c r="H241" s="1296" t="s">
        <v>5825</v>
      </c>
      <c r="I241" s="1297">
        <v>233</v>
      </c>
      <c r="J241" s="4" t="str">
        <f t="shared" si="3"/>
        <v>1.233</v>
      </c>
    </row>
    <row r="242" spans="1:10" s="4" customFormat="1" ht="47.25">
      <c r="A242" s="1290" t="s">
        <v>261</v>
      </c>
      <c r="B242" s="1291" t="s">
        <v>1792</v>
      </c>
      <c r="C242" s="1292" t="s">
        <v>17</v>
      </c>
      <c r="D242" s="1293">
        <v>2</v>
      </c>
      <c r="E242" s="1294">
        <v>10707.15</v>
      </c>
      <c r="F242" s="1293">
        <v>21414.3</v>
      </c>
      <c r="G242" s="1295" t="s">
        <v>4630</v>
      </c>
      <c r="H242" s="1296" t="s">
        <v>5826</v>
      </c>
      <c r="I242" s="1297">
        <v>234</v>
      </c>
      <c r="J242" s="4" t="str">
        <f t="shared" si="3"/>
        <v>1.234</v>
      </c>
    </row>
    <row r="243" spans="1:10" s="4" customFormat="1" ht="47.25">
      <c r="A243" s="1290" t="s">
        <v>262</v>
      </c>
      <c r="B243" s="1291" t="s">
        <v>1797</v>
      </c>
      <c r="C243" s="1292" t="s">
        <v>17</v>
      </c>
      <c r="D243" s="1293">
        <v>2</v>
      </c>
      <c r="E243" s="1294">
        <v>12894.13</v>
      </c>
      <c r="F243" s="1293">
        <v>25788.26</v>
      </c>
      <c r="G243" s="1295" t="s">
        <v>4631</v>
      </c>
      <c r="H243" s="1296" t="s">
        <v>5827</v>
      </c>
      <c r="I243" s="1297">
        <v>235</v>
      </c>
      <c r="J243" s="4" t="str">
        <f t="shared" si="3"/>
        <v>1.235</v>
      </c>
    </row>
    <row r="244" spans="1:10" s="4" customFormat="1" ht="47.25">
      <c r="A244" s="1290" t="s">
        <v>263</v>
      </c>
      <c r="B244" s="1291" t="s">
        <v>1802</v>
      </c>
      <c r="C244" s="1292" t="s">
        <v>17</v>
      </c>
      <c r="D244" s="1293">
        <v>2</v>
      </c>
      <c r="E244" s="1294">
        <v>16283.96</v>
      </c>
      <c r="F244" s="1293">
        <v>32567.919999999998</v>
      </c>
      <c r="G244" s="1295" t="s">
        <v>4632</v>
      </c>
      <c r="H244" s="1296" t="s">
        <v>5828</v>
      </c>
      <c r="I244" s="1297">
        <v>236</v>
      </c>
      <c r="J244" s="4" t="str">
        <f t="shared" si="3"/>
        <v>1.236</v>
      </c>
    </row>
    <row r="245" spans="1:10" s="4" customFormat="1" ht="47.25">
      <c r="A245" s="1290" t="s">
        <v>264</v>
      </c>
      <c r="B245" s="1291" t="s">
        <v>1807</v>
      </c>
      <c r="C245" s="1292" t="s">
        <v>17</v>
      </c>
      <c r="D245" s="1293">
        <v>2</v>
      </c>
      <c r="E245" s="1294">
        <v>20172.669999999998</v>
      </c>
      <c r="F245" s="1293">
        <v>40345.339999999997</v>
      </c>
      <c r="G245" s="1295" t="s">
        <v>4633</v>
      </c>
      <c r="H245" s="1296" t="s">
        <v>5829</v>
      </c>
      <c r="I245" s="1297">
        <v>237</v>
      </c>
      <c r="J245" s="4" t="str">
        <f t="shared" si="3"/>
        <v>1.237</v>
      </c>
    </row>
    <row r="246" spans="1:10" s="4" customFormat="1" ht="47.25">
      <c r="A246" s="1290" t="s">
        <v>265</v>
      </c>
      <c r="B246" s="1291" t="s">
        <v>1812</v>
      </c>
      <c r="C246" s="1292" t="s">
        <v>17</v>
      </c>
      <c r="D246" s="1293">
        <v>2</v>
      </c>
      <c r="E246" s="1294">
        <v>24205.97</v>
      </c>
      <c r="F246" s="1293">
        <v>48411.94</v>
      </c>
      <c r="G246" s="1295" t="s">
        <v>4634</v>
      </c>
      <c r="H246" s="1296" t="s">
        <v>2955</v>
      </c>
      <c r="I246" s="1297">
        <v>238</v>
      </c>
      <c r="J246" s="4" t="str">
        <f t="shared" si="3"/>
        <v>1.238</v>
      </c>
    </row>
    <row r="247" spans="1:10" s="4" customFormat="1" ht="42.75">
      <c r="A247" s="1290" t="s">
        <v>266</v>
      </c>
      <c r="B247" s="1291" t="s">
        <v>1817</v>
      </c>
      <c r="C247" s="1292" t="s">
        <v>1818</v>
      </c>
      <c r="D247" s="1293">
        <v>2</v>
      </c>
      <c r="E247" s="1294">
        <v>1167.6400000000001</v>
      </c>
      <c r="F247" s="1293">
        <v>2335.2800000000002</v>
      </c>
      <c r="G247" s="1295" t="s">
        <v>4635</v>
      </c>
      <c r="H247" s="1296" t="s">
        <v>5830</v>
      </c>
      <c r="I247" s="1297">
        <v>239</v>
      </c>
      <c r="J247" s="4" t="str">
        <f t="shared" si="3"/>
        <v>1.239</v>
      </c>
    </row>
    <row r="248" spans="1:10" s="4" customFormat="1" ht="42.75">
      <c r="A248" s="1290" t="s">
        <v>267</v>
      </c>
      <c r="B248" s="1291" t="s">
        <v>1825</v>
      </c>
      <c r="C248" s="1292" t="s">
        <v>1818</v>
      </c>
      <c r="D248" s="1293">
        <v>2</v>
      </c>
      <c r="E248" s="1294">
        <v>1303.74</v>
      </c>
      <c r="F248" s="1293">
        <v>2607.48</v>
      </c>
      <c r="G248" s="1295" t="s">
        <v>4636</v>
      </c>
      <c r="H248" s="1296" t="s">
        <v>5831</v>
      </c>
      <c r="I248" s="1297">
        <v>240</v>
      </c>
      <c r="J248" s="4" t="str">
        <f t="shared" si="3"/>
        <v>1.240</v>
      </c>
    </row>
    <row r="249" spans="1:10" s="4" customFormat="1" ht="42.75">
      <c r="A249" s="1290" t="s">
        <v>268</v>
      </c>
      <c r="B249" s="1291" t="s">
        <v>1832</v>
      </c>
      <c r="C249" s="1292" t="s">
        <v>1818</v>
      </c>
      <c r="D249" s="1293">
        <v>2</v>
      </c>
      <c r="E249" s="1294">
        <v>1587.2</v>
      </c>
      <c r="F249" s="1293">
        <v>3174.4</v>
      </c>
      <c r="G249" s="1295" t="s">
        <v>4637</v>
      </c>
      <c r="H249" s="1296" t="s">
        <v>5832</v>
      </c>
      <c r="I249" s="1297">
        <v>241</v>
      </c>
      <c r="J249" s="4" t="str">
        <f t="shared" si="3"/>
        <v>1.241</v>
      </c>
    </row>
    <row r="250" spans="1:10" s="4" customFormat="1" ht="42.75">
      <c r="A250" s="1290" t="s">
        <v>269</v>
      </c>
      <c r="B250" s="1291" t="s">
        <v>1839</v>
      </c>
      <c r="C250" s="1292" t="s">
        <v>1818</v>
      </c>
      <c r="D250" s="1293">
        <v>2</v>
      </c>
      <c r="E250" s="1294">
        <v>1628.14</v>
      </c>
      <c r="F250" s="1293">
        <v>3256.28</v>
      </c>
      <c r="G250" s="1295" t="s">
        <v>4638</v>
      </c>
      <c r="H250" s="1296" t="s">
        <v>5833</v>
      </c>
      <c r="I250" s="1297">
        <v>242</v>
      </c>
      <c r="J250" s="4" t="str">
        <f t="shared" si="3"/>
        <v>1.242</v>
      </c>
    </row>
    <row r="251" spans="1:10" s="4" customFormat="1" ht="42.75">
      <c r="A251" s="1290" t="s">
        <v>270</v>
      </c>
      <c r="B251" s="1291" t="s">
        <v>1846</v>
      </c>
      <c r="C251" s="1292" t="s">
        <v>1818</v>
      </c>
      <c r="D251" s="1293">
        <v>2</v>
      </c>
      <c r="E251" s="1294">
        <v>1831.78</v>
      </c>
      <c r="F251" s="1293">
        <v>3663.56</v>
      </c>
      <c r="G251" s="1295" t="s">
        <v>4639</v>
      </c>
      <c r="H251" s="1296" t="s">
        <v>5834</v>
      </c>
      <c r="I251" s="1297">
        <v>243</v>
      </c>
      <c r="J251" s="4" t="str">
        <f t="shared" si="3"/>
        <v>1.243</v>
      </c>
    </row>
    <row r="252" spans="1:10" s="4" customFormat="1" ht="42.75">
      <c r="A252" s="1290" t="s">
        <v>271</v>
      </c>
      <c r="B252" s="1291" t="s">
        <v>1853</v>
      </c>
      <c r="C252" s="1292" t="s">
        <v>1818</v>
      </c>
      <c r="D252" s="1293">
        <v>2</v>
      </c>
      <c r="E252" s="1294">
        <v>2118.33</v>
      </c>
      <c r="F252" s="1293">
        <v>4236.66</v>
      </c>
      <c r="G252" s="1295" t="s">
        <v>4640</v>
      </c>
      <c r="H252" s="1296" t="s">
        <v>5835</v>
      </c>
      <c r="I252" s="1297">
        <v>244</v>
      </c>
      <c r="J252" s="4" t="str">
        <f t="shared" si="3"/>
        <v>1.244</v>
      </c>
    </row>
    <row r="253" spans="1:10" s="4" customFormat="1" ht="42.75">
      <c r="A253" s="1290" t="s">
        <v>272</v>
      </c>
      <c r="B253" s="1291" t="s">
        <v>1860</v>
      </c>
      <c r="C253" s="1292" t="s">
        <v>1818</v>
      </c>
      <c r="D253" s="1293">
        <v>2</v>
      </c>
      <c r="E253" s="1294">
        <v>2273.88</v>
      </c>
      <c r="F253" s="1293">
        <v>4547.76</v>
      </c>
      <c r="G253" s="1295" t="s">
        <v>4641</v>
      </c>
      <c r="H253" s="1296" t="s">
        <v>5836</v>
      </c>
      <c r="I253" s="1297">
        <v>245</v>
      </c>
      <c r="J253" s="4" t="str">
        <f t="shared" si="3"/>
        <v>1.245</v>
      </c>
    </row>
    <row r="254" spans="1:10" s="4" customFormat="1" ht="42.75">
      <c r="A254" s="1290" t="s">
        <v>273</v>
      </c>
      <c r="B254" s="1291" t="s">
        <v>1867</v>
      </c>
      <c r="C254" s="1292" t="s">
        <v>1818</v>
      </c>
      <c r="D254" s="1293">
        <v>2</v>
      </c>
      <c r="E254" s="1294">
        <v>2409.9699999999998</v>
      </c>
      <c r="F254" s="1293">
        <v>4819.9399999999996</v>
      </c>
      <c r="G254" s="1295" t="s">
        <v>4642</v>
      </c>
      <c r="H254" s="1296" t="s">
        <v>5837</v>
      </c>
      <c r="I254" s="1297">
        <v>246</v>
      </c>
      <c r="J254" s="4" t="str">
        <f t="shared" si="3"/>
        <v>1.246</v>
      </c>
    </row>
    <row r="255" spans="1:10" s="4" customFormat="1" ht="47.25">
      <c r="A255" s="1290" t="s">
        <v>274</v>
      </c>
      <c r="B255" s="1291" t="s">
        <v>3221</v>
      </c>
      <c r="C255" s="1292" t="s">
        <v>17</v>
      </c>
      <c r="D255" s="1293">
        <v>10</v>
      </c>
      <c r="E255" s="1294">
        <v>150.74</v>
      </c>
      <c r="F255" s="1293">
        <v>1507.4</v>
      </c>
      <c r="G255" s="1295" t="s">
        <v>3222</v>
      </c>
      <c r="H255" s="1296" t="s">
        <v>5838</v>
      </c>
      <c r="I255" s="1297">
        <v>247</v>
      </c>
      <c r="J255" s="4" t="str">
        <f t="shared" si="3"/>
        <v>1.247</v>
      </c>
    </row>
    <row r="256" spans="1:10" s="4" customFormat="1" ht="47.25">
      <c r="A256" s="1290" t="s">
        <v>275</v>
      </c>
      <c r="B256" s="1291" t="s">
        <v>3223</v>
      </c>
      <c r="C256" s="1292" t="s">
        <v>17</v>
      </c>
      <c r="D256" s="1293">
        <v>10</v>
      </c>
      <c r="E256" s="1294">
        <v>187.48</v>
      </c>
      <c r="F256" s="1293">
        <v>1874.8</v>
      </c>
      <c r="G256" s="1295" t="s">
        <v>3224</v>
      </c>
      <c r="H256" s="1296" t="s">
        <v>5839</v>
      </c>
      <c r="I256" s="1297">
        <v>248</v>
      </c>
      <c r="J256" s="4" t="str">
        <f t="shared" si="3"/>
        <v>1.248</v>
      </c>
    </row>
    <row r="257" spans="1:10" s="4" customFormat="1" ht="47.25">
      <c r="A257" s="1290" t="s">
        <v>276</v>
      </c>
      <c r="B257" s="1291" t="s">
        <v>3225</v>
      </c>
      <c r="C257" s="1292" t="s">
        <v>17</v>
      </c>
      <c r="D257" s="1293">
        <v>10</v>
      </c>
      <c r="E257" s="1294">
        <v>233.32</v>
      </c>
      <c r="F257" s="1293">
        <v>2333.1999999999998</v>
      </c>
      <c r="G257" s="1295" t="s">
        <v>3226</v>
      </c>
      <c r="H257" s="1296" t="s">
        <v>5840</v>
      </c>
      <c r="I257" s="1297">
        <v>249</v>
      </c>
      <c r="J257" s="4" t="str">
        <f t="shared" si="3"/>
        <v>1.249</v>
      </c>
    </row>
    <row r="258" spans="1:10" s="4" customFormat="1" ht="42.75">
      <c r="A258" s="1290" t="s">
        <v>277</v>
      </c>
      <c r="B258" s="1291" t="s">
        <v>1874</v>
      </c>
      <c r="C258" s="1292" t="s">
        <v>1875</v>
      </c>
      <c r="D258" s="1293">
        <v>1</v>
      </c>
      <c r="E258" s="1294">
        <v>857.57</v>
      </c>
      <c r="F258" s="1293">
        <v>857.57</v>
      </c>
      <c r="G258" s="1295" t="s">
        <v>4643</v>
      </c>
      <c r="H258" s="1296" t="s">
        <v>5841</v>
      </c>
      <c r="I258" s="1297">
        <v>250</v>
      </c>
      <c r="J258" s="4" t="str">
        <f t="shared" ref="J258:J321" si="4">A258</f>
        <v>1.250</v>
      </c>
    </row>
    <row r="259" spans="1:10" s="4" customFormat="1" ht="42.75">
      <c r="A259" s="1290" t="s">
        <v>278</v>
      </c>
      <c r="B259" s="1291" t="s">
        <v>1882</v>
      </c>
      <c r="C259" s="1292" t="s">
        <v>1875</v>
      </c>
      <c r="D259" s="1293">
        <v>1</v>
      </c>
      <c r="E259" s="1294">
        <v>941.47</v>
      </c>
      <c r="F259" s="1293">
        <v>941.47</v>
      </c>
      <c r="G259" s="1295" t="s">
        <v>4644</v>
      </c>
      <c r="H259" s="1296" t="s">
        <v>5842</v>
      </c>
      <c r="I259" s="1297">
        <v>251</v>
      </c>
      <c r="J259" s="4" t="str">
        <f t="shared" si="4"/>
        <v>1.251</v>
      </c>
    </row>
    <row r="260" spans="1:10" s="4" customFormat="1" ht="42.75">
      <c r="A260" s="1290" t="s">
        <v>279</v>
      </c>
      <c r="B260" s="1291" t="s">
        <v>1889</v>
      </c>
      <c r="C260" s="1292" t="s">
        <v>1875</v>
      </c>
      <c r="D260" s="1293">
        <v>1</v>
      </c>
      <c r="E260" s="1294">
        <v>1057.1199999999999</v>
      </c>
      <c r="F260" s="1293">
        <v>1057.1199999999999</v>
      </c>
      <c r="G260" s="1295" t="s">
        <v>4645</v>
      </c>
      <c r="H260" s="1296" t="s">
        <v>5843</v>
      </c>
      <c r="I260" s="1297">
        <v>252</v>
      </c>
      <c r="J260" s="4" t="str">
        <f t="shared" si="4"/>
        <v>1.252</v>
      </c>
    </row>
    <row r="261" spans="1:10" s="4" customFormat="1" ht="42.75">
      <c r="A261" s="1290" t="s">
        <v>280</v>
      </c>
      <c r="B261" s="1291" t="s">
        <v>1896</v>
      </c>
      <c r="C261" s="1292" t="s">
        <v>1875</v>
      </c>
      <c r="D261" s="1293">
        <v>1</v>
      </c>
      <c r="E261" s="1294">
        <v>1141.02</v>
      </c>
      <c r="F261" s="1293">
        <v>1141.02</v>
      </c>
      <c r="G261" s="1295" t="s">
        <v>4646</v>
      </c>
      <c r="H261" s="1296" t="s">
        <v>5844</v>
      </c>
      <c r="I261" s="1297">
        <v>253</v>
      </c>
      <c r="J261" s="4" t="str">
        <f t="shared" si="4"/>
        <v>1.253</v>
      </c>
    </row>
    <row r="262" spans="1:10" s="4" customFormat="1" ht="42.75">
      <c r="A262" s="1290" t="s">
        <v>281</v>
      </c>
      <c r="B262" s="1291" t="s">
        <v>1903</v>
      </c>
      <c r="C262" s="1292" t="s">
        <v>1875</v>
      </c>
      <c r="D262" s="1293">
        <v>1</v>
      </c>
      <c r="E262" s="1294">
        <v>2056.92</v>
      </c>
      <c r="F262" s="1293">
        <v>2056.92</v>
      </c>
      <c r="G262" s="1295" t="s">
        <v>4647</v>
      </c>
      <c r="H262" s="1296" t="s">
        <v>5845</v>
      </c>
      <c r="I262" s="1297">
        <v>254</v>
      </c>
      <c r="J262" s="4" t="str">
        <f t="shared" si="4"/>
        <v>1.254</v>
      </c>
    </row>
    <row r="263" spans="1:10" s="4" customFormat="1" ht="42.75">
      <c r="A263" s="1290" t="s">
        <v>282</v>
      </c>
      <c r="B263" s="1291" t="s">
        <v>1910</v>
      </c>
      <c r="C263" s="1292" t="s">
        <v>1875</v>
      </c>
      <c r="D263" s="1293">
        <v>1</v>
      </c>
      <c r="E263" s="1294">
        <v>3863.13</v>
      </c>
      <c r="F263" s="1293">
        <v>3863.13</v>
      </c>
      <c r="G263" s="1295" t="s">
        <v>4648</v>
      </c>
      <c r="H263" s="1296" t="s">
        <v>5846</v>
      </c>
      <c r="I263" s="1297">
        <v>255</v>
      </c>
      <c r="J263" s="4" t="str">
        <f t="shared" si="4"/>
        <v>1.255</v>
      </c>
    </row>
    <row r="264" spans="1:10" s="4" customFormat="1" ht="42.75">
      <c r="A264" s="1290" t="s">
        <v>283</v>
      </c>
      <c r="B264" s="1291" t="s">
        <v>1917</v>
      </c>
      <c r="C264" s="1292" t="s">
        <v>1875</v>
      </c>
      <c r="D264" s="1293">
        <v>1</v>
      </c>
      <c r="E264" s="1294">
        <v>4487.3599999999997</v>
      </c>
      <c r="F264" s="1293">
        <v>4487.3599999999997</v>
      </c>
      <c r="G264" s="1295" t="s">
        <v>4649</v>
      </c>
      <c r="H264" s="1296" t="s">
        <v>5847</v>
      </c>
      <c r="I264" s="1297">
        <v>256</v>
      </c>
      <c r="J264" s="4" t="str">
        <f t="shared" si="4"/>
        <v>1.256</v>
      </c>
    </row>
    <row r="265" spans="1:10" s="4" customFormat="1" ht="42.75">
      <c r="A265" s="1290" t="s">
        <v>284</v>
      </c>
      <c r="B265" s="1291" t="s">
        <v>1924</v>
      </c>
      <c r="C265" s="1292" t="s">
        <v>1875</v>
      </c>
      <c r="D265" s="1293">
        <v>1</v>
      </c>
      <c r="E265" s="1294">
        <v>5705.14</v>
      </c>
      <c r="F265" s="1293">
        <v>5705.14</v>
      </c>
      <c r="G265" s="1295" t="s">
        <v>4650</v>
      </c>
      <c r="H265" s="1296" t="s">
        <v>5848</v>
      </c>
      <c r="I265" s="1297">
        <v>257</v>
      </c>
      <c r="J265" s="4" t="str">
        <f t="shared" si="4"/>
        <v>1.257</v>
      </c>
    </row>
    <row r="266" spans="1:10" s="4" customFormat="1" ht="42.75">
      <c r="A266" s="1290" t="s">
        <v>285</v>
      </c>
      <c r="B266" s="1291" t="s">
        <v>1931</v>
      </c>
      <c r="C266" s="1292" t="s">
        <v>1875</v>
      </c>
      <c r="D266" s="1293">
        <v>1</v>
      </c>
      <c r="E266" s="1294">
        <v>5091.1400000000003</v>
      </c>
      <c r="F266" s="1293">
        <v>5091.1400000000003</v>
      </c>
      <c r="G266" s="1295" t="s">
        <v>4651</v>
      </c>
      <c r="H266" s="1296" t="s">
        <v>5849</v>
      </c>
      <c r="I266" s="1297">
        <v>258</v>
      </c>
      <c r="J266" s="4" t="str">
        <f t="shared" si="4"/>
        <v>1.258</v>
      </c>
    </row>
    <row r="267" spans="1:10" s="4" customFormat="1" ht="47.25">
      <c r="A267" s="1290" t="s">
        <v>286</v>
      </c>
      <c r="B267" s="1291" t="s">
        <v>1938</v>
      </c>
      <c r="C267" s="1292" t="s">
        <v>1875</v>
      </c>
      <c r="D267" s="1293">
        <v>1</v>
      </c>
      <c r="E267" s="1294">
        <v>2236.0100000000002</v>
      </c>
      <c r="F267" s="1293">
        <v>2236.0100000000002</v>
      </c>
      <c r="G267" s="1295" t="s">
        <v>4652</v>
      </c>
      <c r="H267" s="1296" t="s">
        <v>5850</v>
      </c>
      <c r="I267" s="1297">
        <v>259</v>
      </c>
      <c r="J267" s="4" t="str">
        <f t="shared" si="4"/>
        <v>1.259</v>
      </c>
    </row>
    <row r="268" spans="1:10" s="4" customFormat="1" ht="47.25">
      <c r="A268" s="1290" t="s">
        <v>287</v>
      </c>
      <c r="B268" s="1291" t="s">
        <v>1945</v>
      </c>
      <c r="C268" s="1292" t="s">
        <v>1875</v>
      </c>
      <c r="D268" s="1293">
        <v>1</v>
      </c>
      <c r="E268" s="1294">
        <v>2461.14</v>
      </c>
      <c r="F268" s="1293">
        <v>2461.14</v>
      </c>
      <c r="G268" s="1295" t="s">
        <v>4653</v>
      </c>
      <c r="H268" s="1296" t="s">
        <v>5851</v>
      </c>
      <c r="I268" s="1297">
        <v>260</v>
      </c>
      <c r="J268" s="4" t="str">
        <f t="shared" si="4"/>
        <v>1.260</v>
      </c>
    </row>
    <row r="269" spans="1:10" s="4" customFormat="1" ht="47.25">
      <c r="A269" s="1290" t="s">
        <v>288</v>
      </c>
      <c r="B269" s="1291" t="s">
        <v>1952</v>
      </c>
      <c r="C269" s="1292" t="s">
        <v>1875</v>
      </c>
      <c r="D269" s="1293">
        <v>1</v>
      </c>
      <c r="E269" s="1294">
        <v>2481.61</v>
      </c>
      <c r="F269" s="1293">
        <v>2481.61</v>
      </c>
      <c r="G269" s="1295" t="s">
        <v>4654</v>
      </c>
      <c r="H269" s="1296" t="s">
        <v>5852</v>
      </c>
      <c r="I269" s="1297">
        <v>261</v>
      </c>
      <c r="J269" s="4" t="str">
        <f t="shared" si="4"/>
        <v>1.261</v>
      </c>
    </row>
    <row r="270" spans="1:10" s="4" customFormat="1" ht="47.25">
      <c r="A270" s="1290" t="s">
        <v>289</v>
      </c>
      <c r="B270" s="1291" t="s">
        <v>1959</v>
      </c>
      <c r="C270" s="1292" t="s">
        <v>1875</v>
      </c>
      <c r="D270" s="1293">
        <v>1</v>
      </c>
      <c r="E270" s="1294">
        <v>2358.81</v>
      </c>
      <c r="F270" s="1293">
        <v>2358.81</v>
      </c>
      <c r="G270" s="1295" t="s">
        <v>4655</v>
      </c>
      <c r="H270" s="1296" t="s">
        <v>5853</v>
      </c>
      <c r="I270" s="1297">
        <v>262</v>
      </c>
      <c r="J270" s="4" t="str">
        <f t="shared" si="4"/>
        <v>1.262</v>
      </c>
    </row>
    <row r="271" spans="1:10" s="4" customFormat="1" ht="47.25">
      <c r="A271" s="1290" t="s">
        <v>290</v>
      </c>
      <c r="B271" s="1291" t="s">
        <v>1966</v>
      </c>
      <c r="C271" s="1292" t="s">
        <v>1875</v>
      </c>
      <c r="D271" s="1293">
        <v>1</v>
      </c>
      <c r="E271" s="1294">
        <v>2522.5500000000002</v>
      </c>
      <c r="F271" s="1293">
        <v>2522.5500000000002</v>
      </c>
      <c r="G271" s="1295" t="s">
        <v>4656</v>
      </c>
      <c r="H271" s="1296" t="s">
        <v>5854</v>
      </c>
      <c r="I271" s="1297">
        <v>263</v>
      </c>
      <c r="J271" s="4" t="str">
        <f t="shared" si="4"/>
        <v>1.263</v>
      </c>
    </row>
    <row r="272" spans="1:10" s="4" customFormat="1" ht="47.25">
      <c r="A272" s="1290" t="s">
        <v>291</v>
      </c>
      <c r="B272" s="1291" t="s">
        <v>1973</v>
      </c>
      <c r="C272" s="1292" t="s">
        <v>1875</v>
      </c>
      <c r="D272" s="1293">
        <v>1</v>
      </c>
      <c r="E272" s="1294">
        <v>2645.35</v>
      </c>
      <c r="F272" s="1293">
        <v>2645.35</v>
      </c>
      <c r="G272" s="1295" t="s">
        <v>4657</v>
      </c>
      <c r="H272" s="1296" t="s">
        <v>5855</v>
      </c>
      <c r="I272" s="1297">
        <v>264</v>
      </c>
      <c r="J272" s="4" t="str">
        <f t="shared" si="4"/>
        <v>1.264</v>
      </c>
    </row>
    <row r="273" spans="1:10" s="4" customFormat="1" ht="47.25">
      <c r="A273" s="1290" t="s">
        <v>292</v>
      </c>
      <c r="B273" s="1291" t="s">
        <v>1980</v>
      </c>
      <c r="C273" s="1292" t="s">
        <v>1875</v>
      </c>
      <c r="D273" s="1293">
        <v>1</v>
      </c>
      <c r="E273" s="1294">
        <v>4599.93</v>
      </c>
      <c r="F273" s="1293">
        <v>4599.93</v>
      </c>
      <c r="G273" s="1295" t="s">
        <v>4658</v>
      </c>
      <c r="H273" s="1296">
        <v>991002002</v>
      </c>
      <c r="I273" s="1297">
        <v>265</v>
      </c>
      <c r="J273" s="4" t="str">
        <f t="shared" si="4"/>
        <v>1.265</v>
      </c>
    </row>
    <row r="274" spans="1:10" s="4" customFormat="1" ht="47.25">
      <c r="A274" s="1290" t="s">
        <v>293</v>
      </c>
      <c r="B274" s="1291" t="s">
        <v>1987</v>
      </c>
      <c r="C274" s="1292" t="s">
        <v>1875</v>
      </c>
      <c r="D274" s="1293">
        <v>1</v>
      </c>
      <c r="E274" s="1294">
        <v>5101.3599999999997</v>
      </c>
      <c r="F274" s="1293">
        <v>5101.3599999999997</v>
      </c>
      <c r="G274" s="1295" t="s">
        <v>4659</v>
      </c>
      <c r="H274" s="1296" t="s">
        <v>5856</v>
      </c>
      <c r="I274" s="1297">
        <v>266</v>
      </c>
      <c r="J274" s="4" t="str">
        <f t="shared" si="4"/>
        <v>1.266</v>
      </c>
    </row>
    <row r="275" spans="1:10" s="4" customFormat="1" ht="47.25">
      <c r="A275" s="1290" t="s">
        <v>294</v>
      </c>
      <c r="B275" s="1291" t="s">
        <v>1994</v>
      </c>
      <c r="C275" s="1292" t="s">
        <v>1875</v>
      </c>
      <c r="D275" s="1293">
        <v>1</v>
      </c>
      <c r="E275" s="1294">
        <v>5705.15</v>
      </c>
      <c r="F275" s="1293">
        <v>5705.15</v>
      </c>
      <c r="G275" s="1295" t="s">
        <v>4660</v>
      </c>
      <c r="H275" s="1296" t="s">
        <v>5857</v>
      </c>
      <c r="I275" s="1297">
        <v>267</v>
      </c>
      <c r="J275" s="4" t="str">
        <f t="shared" si="4"/>
        <v>1.267</v>
      </c>
    </row>
    <row r="276" spans="1:10" s="4" customFormat="1" ht="47.25">
      <c r="A276" s="1290" t="s">
        <v>295</v>
      </c>
      <c r="B276" s="1291" t="s">
        <v>2001</v>
      </c>
      <c r="C276" s="1292" t="s">
        <v>1875</v>
      </c>
      <c r="D276" s="1293">
        <v>1</v>
      </c>
      <c r="E276" s="1294">
        <v>4651.1000000000004</v>
      </c>
      <c r="F276" s="1293">
        <v>4651.1000000000004</v>
      </c>
      <c r="G276" s="1295" t="s">
        <v>4661</v>
      </c>
      <c r="H276" s="1296" t="s">
        <v>5858</v>
      </c>
      <c r="I276" s="1297">
        <v>268</v>
      </c>
      <c r="J276" s="4" t="str">
        <f t="shared" si="4"/>
        <v>1.268</v>
      </c>
    </row>
    <row r="277" spans="1:10" s="4" customFormat="1" ht="47.25">
      <c r="A277" s="1290" t="s">
        <v>296</v>
      </c>
      <c r="B277" s="1291" t="s">
        <v>2008</v>
      </c>
      <c r="C277" s="1292" t="s">
        <v>1875</v>
      </c>
      <c r="D277" s="1293">
        <v>1</v>
      </c>
      <c r="E277" s="1294">
        <v>5224.17</v>
      </c>
      <c r="F277" s="1293">
        <v>5224.17</v>
      </c>
      <c r="G277" s="1295" t="s">
        <v>4662</v>
      </c>
      <c r="H277" s="1296" t="s">
        <v>5859</v>
      </c>
      <c r="I277" s="1297">
        <v>269</v>
      </c>
      <c r="J277" s="4" t="str">
        <f t="shared" si="4"/>
        <v>1.269</v>
      </c>
    </row>
    <row r="278" spans="1:10" s="4" customFormat="1" ht="47.25">
      <c r="A278" s="1290" t="s">
        <v>297</v>
      </c>
      <c r="B278" s="1291" t="s">
        <v>2015</v>
      </c>
      <c r="C278" s="1292" t="s">
        <v>1875</v>
      </c>
      <c r="D278" s="1293">
        <v>1</v>
      </c>
      <c r="E278" s="1294">
        <v>6042.85</v>
      </c>
      <c r="F278" s="1293">
        <v>6042.85</v>
      </c>
      <c r="G278" s="1295" t="s">
        <v>4663</v>
      </c>
      <c r="H278" s="1296" t="s">
        <v>5860</v>
      </c>
      <c r="I278" s="1297">
        <v>270</v>
      </c>
      <c r="J278" s="4" t="str">
        <f t="shared" si="4"/>
        <v>1.270</v>
      </c>
    </row>
    <row r="279" spans="1:10" s="4" customFormat="1" ht="47.25">
      <c r="A279" s="1290" t="s">
        <v>298</v>
      </c>
      <c r="B279" s="1291" t="s">
        <v>4664</v>
      </c>
      <c r="C279" s="1292" t="s">
        <v>1689</v>
      </c>
      <c r="D279" s="1293">
        <v>1</v>
      </c>
      <c r="E279" s="1294">
        <v>6606.72</v>
      </c>
      <c r="F279" s="1293">
        <v>6606.72</v>
      </c>
      <c r="G279" s="1295" t="s">
        <v>4665</v>
      </c>
      <c r="H279" s="1296" t="s">
        <v>5861</v>
      </c>
      <c r="I279" s="1297">
        <v>271</v>
      </c>
      <c r="J279" s="4" t="str">
        <f t="shared" si="4"/>
        <v>1.271</v>
      </c>
    </row>
    <row r="280" spans="1:10" s="4" customFormat="1" ht="47.25">
      <c r="A280" s="1290" t="s">
        <v>299</v>
      </c>
      <c r="B280" s="1291" t="s">
        <v>4666</v>
      </c>
      <c r="C280" s="1292" t="s">
        <v>1689</v>
      </c>
      <c r="D280" s="1293">
        <v>1</v>
      </c>
      <c r="E280" s="1294">
        <v>7785.61</v>
      </c>
      <c r="F280" s="1293">
        <v>7785.61</v>
      </c>
      <c r="G280" s="1295" t="s">
        <v>4667</v>
      </c>
      <c r="H280" s="1296" t="s">
        <v>5862</v>
      </c>
      <c r="I280" s="1297">
        <v>272</v>
      </c>
      <c r="J280" s="4" t="str">
        <f t="shared" si="4"/>
        <v>1.272</v>
      </c>
    </row>
    <row r="281" spans="1:10" s="4" customFormat="1" ht="47.25">
      <c r="A281" s="1290" t="s">
        <v>300</v>
      </c>
      <c r="B281" s="1291" t="s">
        <v>4668</v>
      </c>
      <c r="C281" s="1292" t="s">
        <v>1689</v>
      </c>
      <c r="D281" s="1293">
        <v>1</v>
      </c>
      <c r="E281" s="1294">
        <v>8964.5</v>
      </c>
      <c r="F281" s="1293">
        <v>8964.5</v>
      </c>
      <c r="G281" s="1295" t="s">
        <v>4669</v>
      </c>
      <c r="H281" s="1296" t="s">
        <v>5863</v>
      </c>
      <c r="I281" s="1297">
        <v>273</v>
      </c>
      <c r="J281" s="4" t="str">
        <f t="shared" si="4"/>
        <v>1.273</v>
      </c>
    </row>
    <row r="282" spans="1:10" s="4" customFormat="1" ht="42.75">
      <c r="A282" s="1290" t="s">
        <v>301</v>
      </c>
      <c r="B282" s="1291" t="s">
        <v>2022</v>
      </c>
      <c r="C282" s="1292" t="s">
        <v>1689</v>
      </c>
      <c r="D282" s="1293">
        <v>1</v>
      </c>
      <c r="E282" s="1294">
        <v>2256.02</v>
      </c>
      <c r="F282" s="1293">
        <v>2256.02</v>
      </c>
      <c r="G282" s="1295" t="s">
        <v>4670</v>
      </c>
      <c r="H282" s="1296" t="s">
        <v>5864</v>
      </c>
      <c r="I282" s="1297">
        <v>274</v>
      </c>
      <c r="J282" s="4" t="str">
        <f t="shared" si="4"/>
        <v>1.274</v>
      </c>
    </row>
    <row r="283" spans="1:10" s="4" customFormat="1" ht="42.75">
      <c r="A283" s="1290" t="s">
        <v>302</v>
      </c>
      <c r="B283" s="1291" t="s">
        <v>2029</v>
      </c>
      <c r="C283" s="1292" t="s">
        <v>1689</v>
      </c>
      <c r="D283" s="1293">
        <v>1</v>
      </c>
      <c r="E283" s="1294">
        <v>2843.63</v>
      </c>
      <c r="F283" s="1293">
        <v>2843.63</v>
      </c>
      <c r="G283" s="1295" t="s">
        <v>4671</v>
      </c>
      <c r="H283" s="1296" t="s">
        <v>5865</v>
      </c>
      <c r="I283" s="1297">
        <v>275</v>
      </c>
      <c r="J283" s="4" t="str">
        <f t="shared" si="4"/>
        <v>1.275</v>
      </c>
    </row>
    <row r="284" spans="1:10" s="4" customFormat="1" ht="42.75">
      <c r="A284" s="1290" t="s">
        <v>303</v>
      </c>
      <c r="B284" s="1291" t="s">
        <v>2032</v>
      </c>
      <c r="C284" s="1292" t="s">
        <v>1689</v>
      </c>
      <c r="D284" s="1293">
        <v>1</v>
      </c>
      <c r="E284" s="1294">
        <v>3110.97</v>
      </c>
      <c r="F284" s="1293">
        <v>3110.97</v>
      </c>
      <c r="G284" s="1295" t="s">
        <v>4672</v>
      </c>
      <c r="H284" s="1296" t="s">
        <v>5866</v>
      </c>
      <c r="I284" s="1297">
        <v>276</v>
      </c>
      <c r="J284" s="4" t="str">
        <f t="shared" si="4"/>
        <v>1.276</v>
      </c>
    </row>
    <row r="285" spans="1:10" s="4" customFormat="1" ht="42.75">
      <c r="A285" s="1290" t="s">
        <v>304</v>
      </c>
      <c r="B285" s="1291" t="s">
        <v>2037</v>
      </c>
      <c r="C285" s="1292" t="s">
        <v>1689</v>
      </c>
      <c r="D285" s="1293">
        <v>1</v>
      </c>
      <c r="E285" s="1294">
        <v>3581.71</v>
      </c>
      <c r="F285" s="1293">
        <v>3581.71</v>
      </c>
      <c r="G285" s="1295" t="s">
        <v>4673</v>
      </c>
      <c r="H285" s="1296" t="s">
        <v>5867</v>
      </c>
      <c r="I285" s="1297">
        <v>277</v>
      </c>
      <c r="J285" s="4" t="str">
        <f t="shared" si="4"/>
        <v>1.277</v>
      </c>
    </row>
    <row r="286" spans="1:10" s="4" customFormat="1" ht="42.75">
      <c r="A286" s="1290" t="s">
        <v>305</v>
      </c>
      <c r="B286" s="1291" t="s">
        <v>2042</v>
      </c>
      <c r="C286" s="1292" t="s">
        <v>1689</v>
      </c>
      <c r="D286" s="1293">
        <v>1</v>
      </c>
      <c r="E286" s="1294">
        <v>3919.42</v>
      </c>
      <c r="F286" s="1293">
        <v>3919.42</v>
      </c>
      <c r="G286" s="1295" t="s">
        <v>4674</v>
      </c>
      <c r="H286" s="1296" t="s">
        <v>5868</v>
      </c>
      <c r="I286" s="1297">
        <v>278</v>
      </c>
      <c r="J286" s="4" t="str">
        <f t="shared" si="4"/>
        <v>1.278</v>
      </c>
    </row>
    <row r="287" spans="1:10" s="4" customFormat="1" ht="42.75">
      <c r="A287" s="1290" t="s">
        <v>306</v>
      </c>
      <c r="B287" s="1291" t="s">
        <v>2047</v>
      </c>
      <c r="C287" s="1292" t="s">
        <v>18</v>
      </c>
      <c r="D287" s="1293">
        <v>100</v>
      </c>
      <c r="E287" s="1294">
        <v>88.24</v>
      </c>
      <c r="F287" s="1293">
        <v>8824</v>
      </c>
      <c r="G287" s="1295" t="s">
        <v>4675</v>
      </c>
      <c r="H287" s="1296" t="s">
        <v>5869</v>
      </c>
      <c r="I287" s="1297">
        <v>279</v>
      </c>
      <c r="J287" s="4" t="str">
        <f t="shared" si="4"/>
        <v>1.279</v>
      </c>
    </row>
    <row r="288" spans="1:10" s="4" customFormat="1" ht="42.75">
      <c r="A288" s="1290" t="s">
        <v>307</v>
      </c>
      <c r="B288" s="1291" t="s">
        <v>2054</v>
      </c>
      <c r="C288" s="1292" t="s">
        <v>1689</v>
      </c>
      <c r="D288" s="1293">
        <v>1</v>
      </c>
      <c r="E288" s="1294">
        <v>3591.94</v>
      </c>
      <c r="F288" s="1293">
        <v>3591.94</v>
      </c>
      <c r="G288" s="1295" t="s">
        <v>4676</v>
      </c>
      <c r="H288" s="1296" t="s">
        <v>5870</v>
      </c>
      <c r="I288" s="1297">
        <v>280</v>
      </c>
      <c r="J288" s="4" t="str">
        <f t="shared" si="4"/>
        <v>1.280</v>
      </c>
    </row>
    <row r="289" spans="1:10" s="4" customFormat="1" ht="42.75">
      <c r="A289" s="1290" t="s">
        <v>308</v>
      </c>
      <c r="B289" s="1291" t="s">
        <v>2059</v>
      </c>
      <c r="C289" s="1292" t="s">
        <v>1689</v>
      </c>
      <c r="D289" s="1293">
        <v>1</v>
      </c>
      <c r="E289" s="1294">
        <v>4103.6099999999997</v>
      </c>
      <c r="F289" s="1293">
        <v>4103.6099999999997</v>
      </c>
      <c r="G289" s="1295" t="s">
        <v>4677</v>
      </c>
      <c r="H289" s="1296" t="s">
        <v>5871</v>
      </c>
      <c r="I289" s="1297">
        <v>281</v>
      </c>
      <c r="J289" s="4" t="str">
        <f t="shared" si="4"/>
        <v>1.281</v>
      </c>
    </row>
    <row r="290" spans="1:10" s="4" customFormat="1" ht="42.75">
      <c r="A290" s="1290" t="s">
        <v>309</v>
      </c>
      <c r="B290" s="1291" t="s">
        <v>2064</v>
      </c>
      <c r="C290" s="1292" t="s">
        <v>1689</v>
      </c>
      <c r="D290" s="1293">
        <v>1</v>
      </c>
      <c r="E290" s="1294">
        <v>4717.62</v>
      </c>
      <c r="F290" s="1293">
        <v>4717.62</v>
      </c>
      <c r="G290" s="1295" t="s">
        <v>4678</v>
      </c>
      <c r="H290" s="1296" t="s">
        <v>5872</v>
      </c>
      <c r="I290" s="1297">
        <v>282</v>
      </c>
      <c r="J290" s="4" t="str">
        <f t="shared" si="4"/>
        <v>1.282</v>
      </c>
    </row>
    <row r="291" spans="1:10" s="4" customFormat="1" ht="47.25">
      <c r="A291" s="1290" t="s">
        <v>310</v>
      </c>
      <c r="B291" s="1291" t="s">
        <v>2069</v>
      </c>
      <c r="C291" s="1292" t="s">
        <v>1875</v>
      </c>
      <c r="D291" s="1293">
        <v>1</v>
      </c>
      <c r="E291" s="1294">
        <v>6713.14</v>
      </c>
      <c r="F291" s="1293">
        <v>6713.14</v>
      </c>
      <c r="G291" s="1295" t="s">
        <v>4679</v>
      </c>
      <c r="H291" s="1296" t="s">
        <v>5873</v>
      </c>
      <c r="I291" s="1297">
        <v>283</v>
      </c>
      <c r="J291" s="4" t="str">
        <f t="shared" si="4"/>
        <v>1.283</v>
      </c>
    </row>
    <row r="292" spans="1:10" s="4" customFormat="1" ht="47.25">
      <c r="A292" s="1290" t="s">
        <v>311</v>
      </c>
      <c r="B292" s="1291" t="s">
        <v>2076</v>
      </c>
      <c r="C292" s="1292" t="s">
        <v>1875</v>
      </c>
      <c r="D292" s="1293">
        <v>1</v>
      </c>
      <c r="E292" s="1294">
        <v>4165.01</v>
      </c>
      <c r="F292" s="1293">
        <v>4165.01</v>
      </c>
      <c r="G292" s="1295" t="s">
        <v>4680</v>
      </c>
      <c r="H292" s="1296" t="s">
        <v>5874</v>
      </c>
      <c r="I292" s="1297">
        <v>284</v>
      </c>
      <c r="J292" s="4" t="str">
        <f t="shared" si="4"/>
        <v>1.284</v>
      </c>
    </row>
    <row r="293" spans="1:10" s="4" customFormat="1" ht="42.75">
      <c r="A293" s="1290" t="s">
        <v>312</v>
      </c>
      <c r="B293" s="1291" t="s">
        <v>2083</v>
      </c>
      <c r="C293" s="1292" t="s">
        <v>1875</v>
      </c>
      <c r="D293" s="1293">
        <v>1</v>
      </c>
      <c r="E293" s="1294">
        <v>15994.87</v>
      </c>
      <c r="F293" s="1293">
        <v>15994.87</v>
      </c>
      <c r="G293" s="1295" t="s">
        <v>4681</v>
      </c>
      <c r="H293" s="1296" t="s">
        <v>5875</v>
      </c>
      <c r="I293" s="1297">
        <v>285</v>
      </c>
      <c r="J293" s="4" t="str">
        <f t="shared" si="4"/>
        <v>1.285</v>
      </c>
    </row>
    <row r="294" spans="1:10" s="4" customFormat="1" ht="42.75">
      <c r="A294" s="1290" t="s">
        <v>313</v>
      </c>
      <c r="B294" s="1291" t="s">
        <v>2090</v>
      </c>
      <c r="C294" s="1292" t="s">
        <v>1875</v>
      </c>
      <c r="D294" s="1293">
        <v>1</v>
      </c>
      <c r="E294" s="1294">
        <v>10734.88</v>
      </c>
      <c r="F294" s="1293">
        <v>10734.88</v>
      </c>
      <c r="G294" s="1295" t="s">
        <v>4682</v>
      </c>
      <c r="H294" s="1296" t="s">
        <v>5876</v>
      </c>
      <c r="I294" s="1297">
        <v>286</v>
      </c>
      <c r="J294" s="4" t="str">
        <f t="shared" si="4"/>
        <v>1.286</v>
      </c>
    </row>
    <row r="295" spans="1:10" s="4" customFormat="1" ht="42.75">
      <c r="A295" s="1290" t="s">
        <v>314</v>
      </c>
      <c r="B295" s="1291" t="s">
        <v>2097</v>
      </c>
      <c r="C295" s="1292" t="s">
        <v>1875</v>
      </c>
      <c r="D295" s="1293">
        <v>1</v>
      </c>
      <c r="E295" s="1294">
        <v>10059.469999999999</v>
      </c>
      <c r="F295" s="1293">
        <v>10059.469999999999</v>
      </c>
      <c r="G295" s="1295" t="s">
        <v>4683</v>
      </c>
      <c r="H295" s="1296" t="s">
        <v>5877</v>
      </c>
      <c r="I295" s="1297">
        <v>287</v>
      </c>
      <c r="J295" s="4" t="str">
        <f t="shared" si="4"/>
        <v>1.287</v>
      </c>
    </row>
    <row r="296" spans="1:10" s="4" customFormat="1" ht="47.25">
      <c r="A296" s="1290" t="s">
        <v>315</v>
      </c>
      <c r="B296" s="1291" t="s">
        <v>2102</v>
      </c>
      <c r="C296" s="1292" t="s">
        <v>1818</v>
      </c>
      <c r="D296" s="1293">
        <v>1</v>
      </c>
      <c r="E296" s="1294">
        <v>24182.720000000001</v>
      </c>
      <c r="F296" s="1293">
        <v>24182.720000000001</v>
      </c>
      <c r="G296" s="1295" t="s">
        <v>4684</v>
      </c>
      <c r="H296" s="1296" t="s">
        <v>5878</v>
      </c>
      <c r="I296" s="1297">
        <v>288</v>
      </c>
      <c r="J296" s="4" t="str">
        <f t="shared" si="4"/>
        <v>1.288</v>
      </c>
    </row>
    <row r="297" spans="1:10" s="4" customFormat="1" ht="42.75">
      <c r="A297" s="1290" t="s">
        <v>316</v>
      </c>
      <c r="B297" s="1291" t="s">
        <v>2112</v>
      </c>
      <c r="C297" s="1292" t="s">
        <v>1818</v>
      </c>
      <c r="D297" s="1293">
        <v>1</v>
      </c>
      <c r="E297" s="1294">
        <v>23395.84</v>
      </c>
      <c r="F297" s="1293">
        <v>23395.84</v>
      </c>
      <c r="G297" s="1295" t="s">
        <v>4685</v>
      </c>
      <c r="H297" s="1296" t="s">
        <v>5879</v>
      </c>
      <c r="I297" s="1297">
        <v>289</v>
      </c>
      <c r="J297" s="4" t="str">
        <f t="shared" si="4"/>
        <v>1.289</v>
      </c>
    </row>
    <row r="298" spans="1:10" s="4" customFormat="1" ht="42.75">
      <c r="A298" s="1290" t="s">
        <v>317</v>
      </c>
      <c r="B298" s="1291" t="s">
        <v>2115</v>
      </c>
      <c r="C298" s="1292" t="s">
        <v>1875</v>
      </c>
      <c r="D298" s="1293">
        <v>1</v>
      </c>
      <c r="E298" s="1294">
        <v>4629.6099999999997</v>
      </c>
      <c r="F298" s="1293">
        <v>4629.6099999999997</v>
      </c>
      <c r="G298" s="1295" t="s">
        <v>4686</v>
      </c>
      <c r="H298" s="1296" t="s">
        <v>5880</v>
      </c>
      <c r="I298" s="1297">
        <v>290</v>
      </c>
      <c r="J298" s="4" t="str">
        <f t="shared" si="4"/>
        <v>1.290</v>
      </c>
    </row>
    <row r="299" spans="1:10" s="4" customFormat="1" ht="42.75">
      <c r="A299" s="1290" t="s">
        <v>318</v>
      </c>
      <c r="B299" s="1291" t="s">
        <v>2124</v>
      </c>
      <c r="C299" s="1292" t="s">
        <v>1875</v>
      </c>
      <c r="D299" s="1293">
        <v>1</v>
      </c>
      <c r="E299" s="1294">
        <v>7560.47</v>
      </c>
      <c r="F299" s="1293">
        <v>7560.47</v>
      </c>
      <c r="G299" s="1295" t="s">
        <v>4687</v>
      </c>
      <c r="H299" s="1296" t="s">
        <v>5881</v>
      </c>
      <c r="I299" s="1297">
        <v>291</v>
      </c>
      <c r="J299" s="4" t="str">
        <f t="shared" si="4"/>
        <v>1.291</v>
      </c>
    </row>
    <row r="300" spans="1:10" s="4" customFormat="1" ht="42.75">
      <c r="A300" s="1290" t="s">
        <v>319</v>
      </c>
      <c r="B300" s="1291" t="s">
        <v>2129</v>
      </c>
      <c r="C300" s="1292" t="s">
        <v>1875</v>
      </c>
      <c r="D300" s="1293">
        <v>1</v>
      </c>
      <c r="E300" s="1294">
        <v>3810.94</v>
      </c>
      <c r="F300" s="1293">
        <v>3810.94</v>
      </c>
      <c r="G300" s="1295" t="s">
        <v>4688</v>
      </c>
      <c r="H300" s="1296" t="s">
        <v>5882</v>
      </c>
      <c r="I300" s="1297">
        <v>292</v>
      </c>
      <c r="J300" s="4" t="str">
        <f t="shared" si="4"/>
        <v>1.292</v>
      </c>
    </row>
    <row r="301" spans="1:10" s="4" customFormat="1" ht="42.75">
      <c r="A301" s="1290" t="s">
        <v>320</v>
      </c>
      <c r="B301" s="1291" t="s">
        <v>2134</v>
      </c>
      <c r="C301" s="1292" t="s">
        <v>1875</v>
      </c>
      <c r="D301" s="1293">
        <v>1</v>
      </c>
      <c r="E301" s="1294">
        <v>4639.84</v>
      </c>
      <c r="F301" s="1293">
        <v>4639.84</v>
      </c>
      <c r="G301" s="1295" t="s">
        <v>4689</v>
      </c>
      <c r="H301" s="1296" t="s">
        <v>5883</v>
      </c>
      <c r="I301" s="1297">
        <v>293</v>
      </c>
      <c r="J301" s="4" t="str">
        <f t="shared" si="4"/>
        <v>1.293</v>
      </c>
    </row>
    <row r="302" spans="1:10" s="4" customFormat="1" ht="42.75">
      <c r="A302" s="1290" t="s">
        <v>321</v>
      </c>
      <c r="B302" s="1291" t="s">
        <v>2141</v>
      </c>
      <c r="C302" s="1292" t="s">
        <v>3</v>
      </c>
      <c r="D302" s="1293">
        <v>5</v>
      </c>
      <c r="E302" s="1294">
        <v>1626.81</v>
      </c>
      <c r="F302" s="1293">
        <v>8134.05</v>
      </c>
      <c r="G302" s="1295" t="s">
        <v>4690</v>
      </c>
      <c r="H302" s="1296" t="s">
        <v>5884</v>
      </c>
      <c r="I302" s="1297">
        <v>294</v>
      </c>
      <c r="J302" s="4" t="str">
        <f t="shared" si="4"/>
        <v>1.294</v>
      </c>
    </row>
    <row r="303" spans="1:10" s="4" customFormat="1" ht="42.75">
      <c r="A303" s="1290" t="s">
        <v>322</v>
      </c>
      <c r="B303" s="1291" t="s">
        <v>3641</v>
      </c>
      <c r="C303" s="1292" t="s">
        <v>1875</v>
      </c>
      <c r="D303" s="1293">
        <v>5</v>
      </c>
      <c r="E303" s="1294">
        <v>3417.96</v>
      </c>
      <c r="F303" s="1293">
        <v>17089.8</v>
      </c>
      <c r="G303" s="1295" t="s">
        <v>4691</v>
      </c>
      <c r="H303" s="1296" t="s">
        <v>5885</v>
      </c>
      <c r="I303" s="1297">
        <v>295</v>
      </c>
      <c r="J303" s="4" t="str">
        <f t="shared" si="4"/>
        <v>1.295</v>
      </c>
    </row>
    <row r="304" spans="1:10" s="4" customFormat="1" ht="31.5">
      <c r="A304" s="1290" t="s">
        <v>323</v>
      </c>
      <c r="B304" s="1291" t="s">
        <v>3271</v>
      </c>
      <c r="C304" s="1292" t="s">
        <v>3</v>
      </c>
      <c r="D304" s="1293">
        <v>2</v>
      </c>
      <c r="E304" s="1294">
        <v>1490.31</v>
      </c>
      <c r="F304" s="1293">
        <v>2980.62</v>
      </c>
      <c r="G304" s="1295" t="s">
        <v>3272</v>
      </c>
      <c r="H304" s="1296" t="s">
        <v>5886</v>
      </c>
      <c r="I304" s="1297">
        <v>296</v>
      </c>
      <c r="J304" s="4" t="str">
        <f t="shared" si="4"/>
        <v>1.296</v>
      </c>
    </row>
    <row r="305" spans="1:10" s="4" customFormat="1" ht="31.5">
      <c r="A305" s="1290" t="s">
        <v>324</v>
      </c>
      <c r="B305" s="1291" t="s">
        <v>3273</v>
      </c>
      <c r="C305" s="1292" t="s">
        <v>3</v>
      </c>
      <c r="D305" s="1293">
        <v>5</v>
      </c>
      <c r="E305" s="1294">
        <v>144.06</v>
      </c>
      <c r="F305" s="1293">
        <v>720.3</v>
      </c>
      <c r="G305" s="1295" t="s">
        <v>3274</v>
      </c>
      <c r="H305" s="1296" t="s">
        <v>5887</v>
      </c>
      <c r="I305" s="1297">
        <v>297</v>
      </c>
      <c r="J305" s="4" t="str">
        <f t="shared" si="4"/>
        <v>1.297</v>
      </c>
    </row>
    <row r="306" spans="1:10" s="4" customFormat="1" ht="42.75">
      <c r="A306" s="1290" t="s">
        <v>325</v>
      </c>
      <c r="B306" s="1291" t="s">
        <v>2146</v>
      </c>
      <c r="C306" s="1292" t="s">
        <v>3</v>
      </c>
      <c r="D306" s="1293">
        <v>3</v>
      </c>
      <c r="E306" s="1294">
        <v>2479.56</v>
      </c>
      <c r="F306" s="1293">
        <v>7438.68</v>
      </c>
      <c r="G306" s="1295" t="s">
        <v>4692</v>
      </c>
      <c r="H306" s="1296" t="s">
        <v>5888</v>
      </c>
      <c r="I306" s="1297">
        <v>298</v>
      </c>
      <c r="J306" s="4" t="str">
        <f t="shared" si="4"/>
        <v>1.298</v>
      </c>
    </row>
    <row r="307" spans="1:10" s="4" customFormat="1" ht="42.75">
      <c r="A307" s="1290" t="s">
        <v>326</v>
      </c>
      <c r="B307" s="1291" t="s">
        <v>2158</v>
      </c>
      <c r="C307" s="1292" t="s">
        <v>1497</v>
      </c>
      <c r="D307" s="1293">
        <v>10</v>
      </c>
      <c r="E307" s="1294">
        <v>270.16000000000003</v>
      </c>
      <c r="F307" s="1293">
        <v>2701.6</v>
      </c>
      <c r="G307" s="1295" t="s">
        <v>4693</v>
      </c>
      <c r="H307" s="1296" t="s">
        <v>5889</v>
      </c>
      <c r="I307" s="1297">
        <v>299</v>
      </c>
      <c r="J307" s="4" t="str">
        <f t="shared" si="4"/>
        <v>1.299</v>
      </c>
    </row>
    <row r="308" spans="1:10" s="4" customFormat="1" ht="42.75">
      <c r="A308" s="1290" t="s">
        <v>327</v>
      </c>
      <c r="B308" s="1291" t="s">
        <v>912</v>
      </c>
      <c r="C308" s="1292" t="s">
        <v>3</v>
      </c>
      <c r="D308" s="1293">
        <v>10</v>
      </c>
      <c r="E308" s="1294">
        <v>698.94</v>
      </c>
      <c r="F308" s="1293">
        <v>6989.4</v>
      </c>
      <c r="G308" s="1295" t="s">
        <v>4694</v>
      </c>
      <c r="H308" s="1296" t="s">
        <v>5890</v>
      </c>
      <c r="I308" s="1297">
        <v>300</v>
      </c>
      <c r="J308" s="4" t="str">
        <f t="shared" si="4"/>
        <v>1.300</v>
      </c>
    </row>
    <row r="309" spans="1:10" ht="28.5">
      <c r="A309" s="1290" t="s">
        <v>328</v>
      </c>
      <c r="B309" s="1291" t="s">
        <v>3278</v>
      </c>
      <c r="C309" s="1292" t="s">
        <v>2149</v>
      </c>
      <c r="D309" s="1293">
        <v>10</v>
      </c>
      <c r="E309" s="1294">
        <v>248.38</v>
      </c>
      <c r="F309" s="1293">
        <v>2483.8000000000002</v>
      </c>
      <c r="G309" s="1295" t="s">
        <v>3279</v>
      </c>
      <c r="H309" s="1296" t="s">
        <v>5891</v>
      </c>
      <c r="I309" s="1297">
        <v>301</v>
      </c>
      <c r="J309" t="str">
        <f t="shared" si="4"/>
        <v>1.301</v>
      </c>
    </row>
    <row r="310" spans="1:10" ht="42.75">
      <c r="A310" s="1290" t="s">
        <v>329</v>
      </c>
      <c r="B310" s="1291" t="s">
        <v>2169</v>
      </c>
      <c r="C310" s="1292" t="s">
        <v>17</v>
      </c>
      <c r="D310" s="1293">
        <v>10</v>
      </c>
      <c r="E310" s="1294">
        <v>138.11000000000001</v>
      </c>
      <c r="F310" s="1293">
        <v>1381.1</v>
      </c>
      <c r="G310" s="1295" t="s">
        <v>4695</v>
      </c>
      <c r="H310" s="1296" t="s">
        <v>5892</v>
      </c>
      <c r="I310" s="1297">
        <v>302</v>
      </c>
      <c r="J310" t="str">
        <f t="shared" si="4"/>
        <v>1.302</v>
      </c>
    </row>
    <row r="311" spans="1:10" ht="42.75">
      <c r="A311" s="1290" t="s">
        <v>330</v>
      </c>
      <c r="B311" s="1291" t="s">
        <v>3642</v>
      </c>
      <c r="C311" s="1292" t="s">
        <v>17</v>
      </c>
      <c r="D311" s="1293">
        <v>10</v>
      </c>
      <c r="E311" s="1294">
        <v>117.64</v>
      </c>
      <c r="F311" s="1293">
        <v>1176.4000000000001</v>
      </c>
      <c r="G311" s="1295" t="s">
        <v>4696</v>
      </c>
      <c r="H311" s="1296" t="s">
        <v>5893</v>
      </c>
      <c r="I311" s="1297">
        <v>303</v>
      </c>
      <c r="J311" t="str">
        <f t="shared" si="4"/>
        <v>1.303</v>
      </c>
    </row>
    <row r="312" spans="1:10" ht="42.75">
      <c r="A312" s="1290" t="s">
        <v>331</v>
      </c>
      <c r="B312" s="1291" t="s">
        <v>4697</v>
      </c>
      <c r="C312" s="1292" t="s">
        <v>17</v>
      </c>
      <c r="D312" s="1293">
        <v>10</v>
      </c>
      <c r="E312" s="1294">
        <v>177.46</v>
      </c>
      <c r="F312" s="1293">
        <v>1774.6</v>
      </c>
      <c r="G312" s="1295" t="s">
        <v>4698</v>
      </c>
      <c r="H312" s="1296" t="s">
        <v>5894</v>
      </c>
      <c r="I312" s="1297">
        <v>304</v>
      </c>
      <c r="J312" t="str">
        <f t="shared" si="4"/>
        <v>1.304</v>
      </c>
    </row>
    <row r="313" spans="1:10" ht="42.75">
      <c r="A313" s="1290" t="s">
        <v>332</v>
      </c>
      <c r="B313" s="1291" t="s">
        <v>2180</v>
      </c>
      <c r="C313" s="1292" t="s">
        <v>3</v>
      </c>
      <c r="D313" s="1293">
        <v>10</v>
      </c>
      <c r="E313" s="1294">
        <v>1259.93</v>
      </c>
      <c r="F313" s="1293">
        <v>12599.3</v>
      </c>
      <c r="G313" s="1295" t="s">
        <v>4699</v>
      </c>
      <c r="H313" s="1296" t="s">
        <v>5895</v>
      </c>
      <c r="I313" s="1297">
        <v>305</v>
      </c>
      <c r="J313" t="str">
        <f t="shared" si="4"/>
        <v>1.305</v>
      </c>
    </row>
    <row r="314" spans="1:10" ht="42.75">
      <c r="A314" s="1290" t="s">
        <v>333</v>
      </c>
      <c r="B314" s="1291" t="s">
        <v>2191</v>
      </c>
      <c r="C314" s="1292" t="s">
        <v>3</v>
      </c>
      <c r="D314" s="1293">
        <v>10</v>
      </c>
      <c r="E314" s="1294">
        <v>1816.22</v>
      </c>
      <c r="F314" s="1293">
        <v>18162.2</v>
      </c>
      <c r="G314" s="1295" t="s">
        <v>4700</v>
      </c>
      <c r="H314" s="1296" t="s">
        <v>5896</v>
      </c>
      <c r="I314" s="1297">
        <v>306</v>
      </c>
      <c r="J314" t="str">
        <f t="shared" si="4"/>
        <v>1.306</v>
      </c>
    </row>
    <row r="315" spans="1:10" ht="42.75">
      <c r="A315" s="1290" t="s">
        <v>334</v>
      </c>
      <c r="B315" s="1291" t="s">
        <v>2195</v>
      </c>
      <c r="C315" s="1292" t="s">
        <v>3</v>
      </c>
      <c r="D315" s="1293">
        <v>10</v>
      </c>
      <c r="E315" s="1294">
        <v>1494.08</v>
      </c>
      <c r="F315" s="1293">
        <v>14940.8</v>
      </c>
      <c r="G315" s="1295" t="s">
        <v>4701</v>
      </c>
      <c r="H315" s="1296" t="s">
        <v>5897</v>
      </c>
      <c r="I315" s="1297">
        <v>307</v>
      </c>
      <c r="J315" t="str">
        <f t="shared" si="4"/>
        <v>1.307</v>
      </c>
    </row>
    <row r="316" spans="1:10" ht="42.75">
      <c r="A316" s="1290" t="s">
        <v>335</v>
      </c>
      <c r="B316" s="1291" t="s">
        <v>2204</v>
      </c>
      <c r="C316" s="1292" t="s">
        <v>1818</v>
      </c>
      <c r="D316" s="1293">
        <v>1</v>
      </c>
      <c r="E316" s="1294">
        <v>2733.17</v>
      </c>
      <c r="F316" s="1293">
        <v>2733.17</v>
      </c>
      <c r="G316" s="1295" t="s">
        <v>4702</v>
      </c>
      <c r="H316" s="1296" t="s">
        <v>5898</v>
      </c>
      <c r="I316" s="1297">
        <v>308</v>
      </c>
      <c r="J316" t="str">
        <f t="shared" si="4"/>
        <v>1.308</v>
      </c>
    </row>
    <row r="317" spans="1:10" ht="42.75">
      <c r="A317" s="1290" t="s">
        <v>336</v>
      </c>
      <c r="B317" s="1291" t="s">
        <v>2212</v>
      </c>
      <c r="C317" s="1292" t="s">
        <v>1818</v>
      </c>
      <c r="D317" s="1293">
        <v>1</v>
      </c>
      <c r="E317" s="1294">
        <v>2923</v>
      </c>
      <c r="F317" s="1293">
        <v>2923</v>
      </c>
      <c r="G317" s="1295" t="s">
        <v>4703</v>
      </c>
      <c r="H317" s="1296" t="s">
        <v>5899</v>
      </c>
      <c r="I317" s="1297">
        <v>309</v>
      </c>
      <c r="J317" t="str">
        <f t="shared" si="4"/>
        <v>1.309</v>
      </c>
    </row>
    <row r="318" spans="1:10" ht="42.75">
      <c r="A318" s="1290" t="s">
        <v>405</v>
      </c>
      <c r="B318" s="1291" t="s">
        <v>2219</v>
      </c>
      <c r="C318" s="1292" t="s">
        <v>1818</v>
      </c>
      <c r="D318" s="1293">
        <v>1</v>
      </c>
      <c r="E318" s="1294">
        <v>15013.3</v>
      </c>
      <c r="F318" s="1293">
        <v>15013.3</v>
      </c>
      <c r="G318" s="1295" t="s">
        <v>4704</v>
      </c>
      <c r="H318" s="1296" t="s">
        <v>5900</v>
      </c>
      <c r="I318" s="1297">
        <v>310</v>
      </c>
      <c r="J318" t="str">
        <f t="shared" si="4"/>
        <v>1.310</v>
      </c>
    </row>
    <row r="319" spans="1:10" ht="42.75">
      <c r="A319" s="1290" t="s">
        <v>406</v>
      </c>
      <c r="B319" s="1291" t="s">
        <v>2226</v>
      </c>
      <c r="C319" s="1292" t="s">
        <v>1818</v>
      </c>
      <c r="D319" s="1293">
        <v>1</v>
      </c>
      <c r="E319" s="1294">
        <v>15203.13</v>
      </c>
      <c r="F319" s="1293">
        <v>15203.13</v>
      </c>
      <c r="G319" s="1295" t="s">
        <v>4705</v>
      </c>
      <c r="H319" s="1296" t="s">
        <v>5901</v>
      </c>
      <c r="I319" s="1297">
        <v>311</v>
      </c>
      <c r="J319" t="str">
        <f t="shared" si="4"/>
        <v>1.311</v>
      </c>
    </row>
    <row r="320" spans="1:10" ht="47.25">
      <c r="A320" s="1290" t="s">
        <v>407</v>
      </c>
      <c r="B320" s="1291" t="s">
        <v>2229</v>
      </c>
      <c r="C320" s="1292" t="s">
        <v>1818</v>
      </c>
      <c r="D320" s="1293">
        <v>1</v>
      </c>
      <c r="E320" s="1294">
        <v>15990.24</v>
      </c>
      <c r="F320" s="1293">
        <v>15990.24</v>
      </c>
      <c r="G320" s="1295" t="s">
        <v>4706</v>
      </c>
      <c r="H320" s="1296" t="s">
        <v>5902</v>
      </c>
      <c r="I320" s="1297">
        <v>312</v>
      </c>
      <c r="J320" t="str">
        <f t="shared" si="4"/>
        <v>1.312</v>
      </c>
    </row>
    <row r="321" spans="1:10" ht="47.25">
      <c r="A321" s="1290" t="s">
        <v>408</v>
      </c>
      <c r="B321" s="1291" t="s">
        <v>2232</v>
      </c>
      <c r="C321" s="1292" t="s">
        <v>1818</v>
      </c>
      <c r="D321" s="1293">
        <v>1</v>
      </c>
      <c r="E321" s="1294">
        <v>17449.650000000001</v>
      </c>
      <c r="F321" s="1293">
        <v>17449.650000000001</v>
      </c>
      <c r="G321" s="1295" t="s">
        <v>4707</v>
      </c>
      <c r="H321" s="1296" t="s">
        <v>5903</v>
      </c>
      <c r="I321" s="1297">
        <v>313</v>
      </c>
      <c r="J321" t="str">
        <f t="shared" si="4"/>
        <v>1.313</v>
      </c>
    </row>
    <row r="322" spans="1:10" ht="42.75">
      <c r="A322" s="1290" t="s">
        <v>409</v>
      </c>
      <c r="B322" s="1291" t="s">
        <v>2237</v>
      </c>
      <c r="C322" s="1292" t="s">
        <v>2238</v>
      </c>
      <c r="D322" s="1293">
        <v>20</v>
      </c>
      <c r="E322" s="1294">
        <v>1157.4000000000001</v>
      </c>
      <c r="F322" s="1293">
        <v>23148</v>
      </c>
      <c r="G322" s="1295" t="s">
        <v>4708</v>
      </c>
      <c r="H322" s="1296" t="s">
        <v>5904</v>
      </c>
      <c r="I322" s="1297">
        <v>314</v>
      </c>
      <c r="J322" t="str">
        <f t="shared" ref="J322:J385" si="5">A322</f>
        <v>1.314</v>
      </c>
    </row>
    <row r="323" spans="1:10" ht="42.75">
      <c r="A323" s="1290" t="s">
        <v>410</v>
      </c>
      <c r="B323" s="1291" t="s">
        <v>2245</v>
      </c>
      <c r="C323" s="1292" t="s">
        <v>17</v>
      </c>
      <c r="D323" s="1293">
        <v>1</v>
      </c>
      <c r="E323" s="1294">
        <v>2926.62</v>
      </c>
      <c r="F323" s="1293">
        <v>2926.62</v>
      </c>
      <c r="G323" s="1295" t="s">
        <v>4709</v>
      </c>
      <c r="H323" s="1296" t="s">
        <v>5905</v>
      </c>
      <c r="I323" s="1297">
        <v>315</v>
      </c>
      <c r="J323" t="str">
        <f t="shared" si="5"/>
        <v>1.315</v>
      </c>
    </row>
    <row r="324" spans="1:10" ht="42.75">
      <c r="A324" s="1290" t="s">
        <v>411</v>
      </c>
      <c r="B324" s="1291" t="s">
        <v>2256</v>
      </c>
      <c r="C324" s="1292" t="s">
        <v>17</v>
      </c>
      <c r="D324" s="1293">
        <v>1</v>
      </c>
      <c r="E324" s="1294">
        <v>3766.75</v>
      </c>
      <c r="F324" s="1293">
        <v>3766.75</v>
      </c>
      <c r="G324" s="1295" t="s">
        <v>4710</v>
      </c>
      <c r="H324" s="1296" t="s">
        <v>5906</v>
      </c>
      <c r="I324" s="1297">
        <v>316</v>
      </c>
      <c r="J324" t="str">
        <f t="shared" si="5"/>
        <v>1.316</v>
      </c>
    </row>
    <row r="325" spans="1:10" ht="42.75">
      <c r="A325" s="1290" t="s">
        <v>412</v>
      </c>
      <c r="B325" s="1291" t="s">
        <v>2259</v>
      </c>
      <c r="C325" s="1292" t="s">
        <v>17</v>
      </c>
      <c r="D325" s="1293">
        <v>1</v>
      </c>
      <c r="E325" s="1294">
        <v>2926.62</v>
      </c>
      <c r="F325" s="1293">
        <v>2926.62</v>
      </c>
      <c r="G325" s="1295" t="s">
        <v>4711</v>
      </c>
      <c r="H325" s="1296" t="s">
        <v>5907</v>
      </c>
      <c r="I325" s="1297">
        <v>317</v>
      </c>
      <c r="J325" t="str">
        <f t="shared" si="5"/>
        <v>1.317</v>
      </c>
    </row>
    <row r="326" spans="1:10" ht="42.75">
      <c r="A326" s="1290" t="s">
        <v>413</v>
      </c>
      <c r="B326" s="1291" t="s">
        <v>2262</v>
      </c>
      <c r="C326" s="1292" t="s">
        <v>17</v>
      </c>
      <c r="D326" s="1293">
        <v>1</v>
      </c>
      <c r="E326" s="1294">
        <v>3271.33</v>
      </c>
      <c r="F326" s="1293">
        <v>3271.33</v>
      </c>
      <c r="G326" s="1295" t="s">
        <v>4712</v>
      </c>
      <c r="H326" s="1296" t="s">
        <v>5908</v>
      </c>
      <c r="I326" s="1297">
        <v>318</v>
      </c>
      <c r="J326" t="str">
        <f t="shared" si="5"/>
        <v>1.318</v>
      </c>
    </row>
    <row r="327" spans="1:10" ht="47.25">
      <c r="A327" s="1290" t="s">
        <v>414</v>
      </c>
      <c r="B327" s="1291" t="s">
        <v>3295</v>
      </c>
      <c r="C327" s="1292" t="s">
        <v>17</v>
      </c>
      <c r="D327" s="1293">
        <v>10</v>
      </c>
      <c r="E327" s="1294">
        <v>34.770000000000003</v>
      </c>
      <c r="F327" s="1293">
        <v>347.7</v>
      </c>
      <c r="G327" s="1295" t="s">
        <v>3643</v>
      </c>
      <c r="H327" s="1296" t="s">
        <v>5909</v>
      </c>
      <c r="I327" s="1297">
        <v>319</v>
      </c>
      <c r="J327" t="str">
        <f t="shared" si="5"/>
        <v>1.319</v>
      </c>
    </row>
    <row r="328" spans="1:10" ht="47.25">
      <c r="A328" s="1290" t="s">
        <v>415</v>
      </c>
      <c r="B328" s="1291" t="s">
        <v>2937</v>
      </c>
      <c r="C328" s="1292" t="s">
        <v>17</v>
      </c>
      <c r="D328" s="1293">
        <v>10</v>
      </c>
      <c r="E328" s="1294">
        <v>39.74</v>
      </c>
      <c r="F328" s="1293">
        <v>397.4</v>
      </c>
      <c r="G328" s="1295" t="s">
        <v>3644</v>
      </c>
      <c r="H328" s="1296" t="s">
        <v>5910</v>
      </c>
      <c r="I328" s="1297">
        <v>320</v>
      </c>
      <c r="J328" t="str">
        <f t="shared" si="5"/>
        <v>1.320</v>
      </c>
    </row>
    <row r="329" spans="1:10" ht="47.25">
      <c r="A329" s="1290" t="s">
        <v>416</v>
      </c>
      <c r="B329" s="1291" t="s">
        <v>3298</v>
      </c>
      <c r="C329" s="1292" t="s">
        <v>17</v>
      </c>
      <c r="D329" s="1293">
        <v>10</v>
      </c>
      <c r="E329" s="1294">
        <v>44.71</v>
      </c>
      <c r="F329" s="1293">
        <v>447.1</v>
      </c>
      <c r="G329" s="1295" t="s">
        <v>3645</v>
      </c>
      <c r="H329" s="1296" t="s">
        <v>5911</v>
      </c>
      <c r="I329" s="1297">
        <v>321</v>
      </c>
      <c r="J329" t="str">
        <f t="shared" si="5"/>
        <v>1.321</v>
      </c>
    </row>
    <row r="330" spans="1:10" ht="47.25">
      <c r="A330" s="1290" t="s">
        <v>417</v>
      </c>
      <c r="B330" s="1291" t="s">
        <v>3300</v>
      </c>
      <c r="C330" s="1292" t="s">
        <v>17</v>
      </c>
      <c r="D330" s="1293">
        <v>10</v>
      </c>
      <c r="E330" s="1294">
        <v>49.68</v>
      </c>
      <c r="F330" s="1293">
        <v>496.8</v>
      </c>
      <c r="G330" s="1295" t="s">
        <v>3646</v>
      </c>
      <c r="H330" s="1296" t="s">
        <v>5912</v>
      </c>
      <c r="I330" s="1297">
        <v>322</v>
      </c>
      <c r="J330" t="str">
        <f t="shared" si="5"/>
        <v>1.322</v>
      </c>
    </row>
    <row r="331" spans="1:10" ht="47.25">
      <c r="A331" s="1290" t="s">
        <v>418</v>
      </c>
      <c r="B331" s="1291" t="s">
        <v>3302</v>
      </c>
      <c r="C331" s="1292" t="s">
        <v>17</v>
      </c>
      <c r="D331" s="1293">
        <v>10</v>
      </c>
      <c r="E331" s="1294">
        <v>54.64</v>
      </c>
      <c r="F331" s="1293">
        <v>546.4</v>
      </c>
      <c r="G331" s="1295" t="s">
        <v>3647</v>
      </c>
      <c r="H331" s="1296" t="s">
        <v>5913</v>
      </c>
      <c r="I331" s="1297">
        <v>323</v>
      </c>
      <c r="J331" t="str">
        <f t="shared" si="5"/>
        <v>1.323</v>
      </c>
    </row>
    <row r="332" spans="1:10" ht="47.25">
      <c r="A332" s="1290" t="s">
        <v>419</v>
      </c>
      <c r="B332" s="1291" t="s">
        <v>3304</v>
      </c>
      <c r="C332" s="1292" t="s">
        <v>17</v>
      </c>
      <c r="D332" s="1293">
        <v>10</v>
      </c>
      <c r="E332" s="1294">
        <v>59.61</v>
      </c>
      <c r="F332" s="1293">
        <v>596.1</v>
      </c>
      <c r="G332" s="1295" t="s">
        <v>3648</v>
      </c>
      <c r="H332" s="1296" t="s">
        <v>5914</v>
      </c>
      <c r="I332" s="1297">
        <v>324</v>
      </c>
      <c r="J332" t="str">
        <f t="shared" si="5"/>
        <v>1.324</v>
      </c>
    </row>
    <row r="333" spans="1:10" ht="47.25">
      <c r="A333" s="1290" t="s">
        <v>420</v>
      </c>
      <c r="B333" s="1291" t="s">
        <v>3306</v>
      </c>
      <c r="C333" s="1292" t="s">
        <v>17</v>
      </c>
      <c r="D333" s="1293">
        <v>10</v>
      </c>
      <c r="E333" s="1294">
        <v>436.66</v>
      </c>
      <c r="F333" s="1293">
        <v>4366.6000000000004</v>
      </c>
      <c r="G333" s="1295" t="s">
        <v>3307</v>
      </c>
      <c r="H333" s="1296" t="s">
        <v>5915</v>
      </c>
      <c r="I333" s="1297">
        <v>325</v>
      </c>
      <c r="J333" t="str">
        <f t="shared" si="5"/>
        <v>1.325</v>
      </c>
    </row>
    <row r="334" spans="1:10" ht="47.25">
      <c r="A334" s="1290" t="s">
        <v>421</v>
      </c>
      <c r="B334" s="1291" t="s">
        <v>3308</v>
      </c>
      <c r="C334" s="1292" t="s">
        <v>17</v>
      </c>
      <c r="D334" s="1293">
        <v>10</v>
      </c>
      <c r="E334" s="1294">
        <v>660.77</v>
      </c>
      <c r="F334" s="1293">
        <v>6607.7</v>
      </c>
      <c r="G334" s="1295" t="s">
        <v>3309</v>
      </c>
      <c r="H334" s="1296" t="s">
        <v>5916</v>
      </c>
      <c r="I334" s="1297">
        <v>326</v>
      </c>
      <c r="J334" t="str">
        <f t="shared" si="5"/>
        <v>1.326</v>
      </c>
    </row>
    <row r="335" spans="1:10" ht="47.25">
      <c r="A335" s="1290" t="s">
        <v>422</v>
      </c>
      <c r="B335" s="1291" t="s">
        <v>3310</v>
      </c>
      <c r="C335" s="1292" t="s">
        <v>17</v>
      </c>
      <c r="D335" s="1293">
        <v>10</v>
      </c>
      <c r="E335" s="1294">
        <v>761.05</v>
      </c>
      <c r="F335" s="1293">
        <v>7610.5</v>
      </c>
      <c r="G335" s="1295" t="s">
        <v>3311</v>
      </c>
      <c r="H335" s="1296" t="s">
        <v>5917</v>
      </c>
      <c r="I335" s="1297">
        <v>327</v>
      </c>
      <c r="J335" t="str">
        <f t="shared" si="5"/>
        <v>1.327</v>
      </c>
    </row>
    <row r="336" spans="1:10" ht="47.25">
      <c r="A336" s="1290" t="s">
        <v>423</v>
      </c>
      <c r="B336" s="1291" t="s">
        <v>3312</v>
      </c>
      <c r="C336" s="1292" t="s">
        <v>17</v>
      </c>
      <c r="D336" s="1293">
        <v>10</v>
      </c>
      <c r="E336" s="1294">
        <v>1208.1400000000001</v>
      </c>
      <c r="F336" s="1293">
        <v>12081.4</v>
      </c>
      <c r="G336" s="1295" t="s">
        <v>3313</v>
      </c>
      <c r="H336" s="1296" t="s">
        <v>5918</v>
      </c>
      <c r="I336" s="1297">
        <v>328</v>
      </c>
      <c r="J336" t="str">
        <f t="shared" si="5"/>
        <v>1.328</v>
      </c>
    </row>
    <row r="337" spans="1:10" ht="47.25">
      <c r="A337" s="1290" t="s">
        <v>424</v>
      </c>
      <c r="B337" s="1291" t="s">
        <v>3314</v>
      </c>
      <c r="C337" s="1292" t="s">
        <v>17</v>
      </c>
      <c r="D337" s="1293">
        <v>10</v>
      </c>
      <c r="E337" s="1294">
        <v>1526.07</v>
      </c>
      <c r="F337" s="1293">
        <v>15260.7</v>
      </c>
      <c r="G337" s="1295" t="s">
        <v>3315</v>
      </c>
      <c r="H337" s="1296" t="s">
        <v>5919</v>
      </c>
      <c r="I337" s="1297">
        <v>329</v>
      </c>
      <c r="J337" t="str">
        <f t="shared" si="5"/>
        <v>1.329</v>
      </c>
    </row>
    <row r="338" spans="1:10" ht="42.75">
      <c r="A338" s="1290" t="s">
        <v>425</v>
      </c>
      <c r="B338" s="1291" t="s">
        <v>2265</v>
      </c>
      <c r="C338" s="1292" t="s">
        <v>3</v>
      </c>
      <c r="D338" s="1293">
        <v>10</v>
      </c>
      <c r="E338" s="1294">
        <v>399.09</v>
      </c>
      <c r="F338" s="1293">
        <v>3990.9</v>
      </c>
      <c r="G338" s="1295" t="s">
        <v>4713</v>
      </c>
      <c r="H338" s="1296" t="s">
        <v>5920</v>
      </c>
      <c r="I338" s="1297">
        <v>330</v>
      </c>
      <c r="J338" t="str">
        <f t="shared" si="5"/>
        <v>1.330</v>
      </c>
    </row>
    <row r="339" spans="1:10" ht="57">
      <c r="A339" s="1290" t="s">
        <v>426</v>
      </c>
      <c r="B339" s="1291" t="s">
        <v>2274</v>
      </c>
      <c r="C339" s="1292" t="s">
        <v>3</v>
      </c>
      <c r="D339" s="1293">
        <v>10</v>
      </c>
      <c r="E339" s="1294">
        <v>687.68</v>
      </c>
      <c r="F339" s="1293">
        <v>6876.8</v>
      </c>
      <c r="G339" s="1295" t="s">
        <v>4714</v>
      </c>
      <c r="H339" s="1296" t="s">
        <v>5921</v>
      </c>
      <c r="I339" s="1297">
        <v>331</v>
      </c>
      <c r="J339" t="str">
        <f t="shared" si="5"/>
        <v>1.331</v>
      </c>
    </row>
    <row r="340" spans="1:10" ht="47.25">
      <c r="A340" s="1290" t="s">
        <v>427</v>
      </c>
      <c r="B340" s="1291" t="s">
        <v>2281</v>
      </c>
      <c r="C340" s="1292" t="s">
        <v>3</v>
      </c>
      <c r="D340" s="1293">
        <v>2</v>
      </c>
      <c r="E340" s="1294">
        <v>4067.8</v>
      </c>
      <c r="F340" s="1293">
        <v>8135.6</v>
      </c>
      <c r="G340" s="1295" t="s">
        <v>4715</v>
      </c>
      <c r="H340" s="1296" t="s">
        <v>5922</v>
      </c>
      <c r="I340" s="1297">
        <v>332</v>
      </c>
      <c r="J340" t="str">
        <f t="shared" si="5"/>
        <v>1.332</v>
      </c>
    </row>
    <row r="341" spans="1:10" ht="47.25">
      <c r="A341" s="1290" t="s">
        <v>428</v>
      </c>
      <c r="B341" s="1291" t="s">
        <v>2292</v>
      </c>
      <c r="C341" s="1292" t="s">
        <v>3</v>
      </c>
      <c r="D341" s="1293">
        <v>10</v>
      </c>
      <c r="E341" s="1294">
        <v>250.72</v>
      </c>
      <c r="F341" s="1293">
        <v>2507.1999999999998</v>
      </c>
      <c r="G341" s="1295" t="s">
        <v>4716</v>
      </c>
      <c r="H341" s="1296" t="s">
        <v>5923</v>
      </c>
      <c r="I341" s="1297">
        <v>333</v>
      </c>
      <c r="J341" t="str">
        <f t="shared" si="5"/>
        <v>1.333</v>
      </c>
    </row>
    <row r="342" spans="1:10" ht="42.75">
      <c r="A342" s="1290" t="s">
        <v>429</v>
      </c>
      <c r="B342" s="1291" t="s">
        <v>3654</v>
      </c>
      <c r="C342" s="1292" t="s">
        <v>1689</v>
      </c>
      <c r="D342" s="1293">
        <v>10</v>
      </c>
      <c r="E342" s="1294">
        <v>495.51</v>
      </c>
      <c r="F342" s="1293">
        <v>4955.1000000000004</v>
      </c>
      <c r="G342" s="1295" t="s">
        <v>4717</v>
      </c>
      <c r="H342" s="1296" t="s">
        <v>5924</v>
      </c>
      <c r="I342" s="1297">
        <v>334</v>
      </c>
      <c r="J342" t="str">
        <f t="shared" si="5"/>
        <v>1.334</v>
      </c>
    </row>
    <row r="343" spans="1:10" ht="42.75">
      <c r="A343" s="1290" t="s">
        <v>430</v>
      </c>
      <c r="B343" s="1291" t="s">
        <v>3652</v>
      </c>
      <c r="C343" s="1292" t="s">
        <v>1689</v>
      </c>
      <c r="D343" s="1293">
        <v>10</v>
      </c>
      <c r="E343" s="1294">
        <v>636.42999999999995</v>
      </c>
      <c r="F343" s="1293">
        <v>6364.3</v>
      </c>
      <c r="G343" s="1295" t="s">
        <v>4718</v>
      </c>
      <c r="H343" s="1296" t="s">
        <v>5925</v>
      </c>
      <c r="I343" s="1297">
        <v>335</v>
      </c>
      <c r="J343" t="str">
        <f t="shared" si="5"/>
        <v>1.335</v>
      </c>
    </row>
    <row r="344" spans="1:10" ht="42.75">
      <c r="A344" s="1290" t="s">
        <v>431</v>
      </c>
      <c r="B344" s="1291" t="s">
        <v>3649</v>
      </c>
      <c r="C344" s="1292" t="s">
        <v>3</v>
      </c>
      <c r="D344" s="1293">
        <v>10</v>
      </c>
      <c r="E344" s="1294">
        <v>781.62</v>
      </c>
      <c r="F344" s="1293">
        <v>7816.2</v>
      </c>
      <c r="G344" s="1295" t="s">
        <v>4719</v>
      </c>
      <c r="H344" s="1296" t="s">
        <v>5926</v>
      </c>
      <c r="I344" s="1297">
        <v>336</v>
      </c>
      <c r="J344" t="str">
        <f t="shared" si="5"/>
        <v>1.336</v>
      </c>
    </row>
    <row r="345" spans="1:10" ht="42.75">
      <c r="A345" s="1290" t="s">
        <v>432</v>
      </c>
      <c r="B345" s="1291" t="s">
        <v>3650</v>
      </c>
      <c r="C345" s="1292" t="s">
        <v>3</v>
      </c>
      <c r="D345" s="1293">
        <v>10</v>
      </c>
      <c r="E345" s="1294">
        <v>865.83</v>
      </c>
      <c r="F345" s="1293">
        <v>8658.2999999999993</v>
      </c>
      <c r="G345" s="1295" t="s">
        <v>4720</v>
      </c>
      <c r="H345" s="1296" t="s">
        <v>5927</v>
      </c>
      <c r="I345" s="1297">
        <v>337</v>
      </c>
      <c r="J345" t="str">
        <f t="shared" si="5"/>
        <v>1.337</v>
      </c>
    </row>
    <row r="346" spans="1:10" ht="42.75">
      <c r="A346" s="1290" t="s">
        <v>433</v>
      </c>
      <c r="B346" s="1291" t="s">
        <v>3651</v>
      </c>
      <c r="C346" s="1292" t="s">
        <v>3</v>
      </c>
      <c r="D346" s="1293">
        <v>10</v>
      </c>
      <c r="E346" s="1294">
        <v>964.07</v>
      </c>
      <c r="F346" s="1293">
        <v>9640.7000000000007</v>
      </c>
      <c r="G346" s="1295" t="s">
        <v>4721</v>
      </c>
      <c r="H346" s="1296" t="s">
        <v>5928</v>
      </c>
      <c r="I346" s="1297">
        <v>338</v>
      </c>
      <c r="J346" t="str">
        <f t="shared" si="5"/>
        <v>1.338</v>
      </c>
    </row>
    <row r="347" spans="1:10" ht="42.75">
      <c r="A347" s="1290" t="s">
        <v>434</v>
      </c>
      <c r="B347" s="1291" t="s">
        <v>2299</v>
      </c>
      <c r="C347" s="1292" t="s">
        <v>1689</v>
      </c>
      <c r="D347" s="1293">
        <v>1</v>
      </c>
      <c r="E347" s="1294">
        <v>73169.119999999995</v>
      </c>
      <c r="F347" s="1293">
        <v>73169.119999999995</v>
      </c>
      <c r="G347" s="1295" t="s">
        <v>4722</v>
      </c>
      <c r="H347" s="1296" t="s">
        <v>5929</v>
      </c>
      <c r="I347" s="1297">
        <v>339</v>
      </c>
      <c r="J347" t="str">
        <f t="shared" si="5"/>
        <v>1.339</v>
      </c>
    </row>
    <row r="348" spans="1:10" ht="42.75">
      <c r="A348" s="1290" t="s">
        <v>435</v>
      </c>
      <c r="B348" s="1291" t="s">
        <v>2306</v>
      </c>
      <c r="C348" s="1292" t="s">
        <v>1497</v>
      </c>
      <c r="D348" s="1293">
        <v>20</v>
      </c>
      <c r="E348" s="1294">
        <v>527.02</v>
      </c>
      <c r="F348" s="1293">
        <v>10540.4</v>
      </c>
      <c r="G348" s="1295" t="s">
        <v>4723</v>
      </c>
      <c r="H348" s="1296" t="s">
        <v>5930</v>
      </c>
      <c r="I348" s="1297">
        <v>340</v>
      </c>
      <c r="J348" t="str">
        <f t="shared" si="5"/>
        <v>1.340</v>
      </c>
    </row>
    <row r="349" spans="1:10" ht="42.75">
      <c r="A349" s="1290" t="s">
        <v>436</v>
      </c>
      <c r="B349" s="1291" t="s">
        <v>2313</v>
      </c>
      <c r="C349" s="1292" t="s">
        <v>1497</v>
      </c>
      <c r="D349" s="1293">
        <v>20</v>
      </c>
      <c r="E349" s="1294">
        <v>699.97</v>
      </c>
      <c r="F349" s="1293">
        <v>13999.4</v>
      </c>
      <c r="G349" s="1295" t="s">
        <v>4724</v>
      </c>
      <c r="H349" s="1296" t="s">
        <v>5931</v>
      </c>
      <c r="I349" s="1297">
        <v>341</v>
      </c>
      <c r="J349" t="str">
        <f t="shared" si="5"/>
        <v>1.341</v>
      </c>
    </row>
    <row r="350" spans="1:10" ht="47.25">
      <c r="A350" s="1290" t="s">
        <v>437</v>
      </c>
      <c r="B350" s="1291" t="s">
        <v>2318</v>
      </c>
      <c r="C350" s="1292" t="s">
        <v>1497</v>
      </c>
      <c r="D350" s="1293">
        <v>10</v>
      </c>
      <c r="E350" s="1294">
        <v>710.21</v>
      </c>
      <c r="F350" s="1293">
        <v>7102.1</v>
      </c>
      <c r="G350" s="1295" t="s">
        <v>4725</v>
      </c>
      <c r="H350" s="1296" t="s">
        <v>5932</v>
      </c>
      <c r="I350" s="1297">
        <v>342</v>
      </c>
      <c r="J350" t="str">
        <f t="shared" si="5"/>
        <v>1.342</v>
      </c>
    </row>
    <row r="351" spans="1:10" ht="47.25">
      <c r="A351" s="1290" t="s">
        <v>438</v>
      </c>
      <c r="B351" s="1291" t="s">
        <v>2327</v>
      </c>
      <c r="C351" s="1292" t="s">
        <v>1497</v>
      </c>
      <c r="D351" s="1293">
        <v>10</v>
      </c>
      <c r="E351" s="1294">
        <v>488.11</v>
      </c>
      <c r="F351" s="1293">
        <v>4881.1000000000004</v>
      </c>
      <c r="G351" s="1295" t="s">
        <v>4726</v>
      </c>
      <c r="H351" s="1296" t="s">
        <v>5933</v>
      </c>
      <c r="I351" s="1297">
        <v>343</v>
      </c>
      <c r="J351" t="str">
        <f t="shared" si="5"/>
        <v>1.343</v>
      </c>
    </row>
    <row r="352" spans="1:10" ht="47.25">
      <c r="A352" s="1290" t="s">
        <v>439</v>
      </c>
      <c r="B352" s="1291" t="s">
        <v>2338</v>
      </c>
      <c r="C352" s="1292" t="s">
        <v>2238</v>
      </c>
      <c r="D352" s="1293">
        <v>10</v>
      </c>
      <c r="E352" s="1294">
        <v>1299.6500000000001</v>
      </c>
      <c r="F352" s="1293">
        <v>12996.5</v>
      </c>
      <c r="G352" s="1295" t="s">
        <v>4727</v>
      </c>
      <c r="H352" s="1296" t="s">
        <v>5934</v>
      </c>
      <c r="I352" s="1297">
        <v>344</v>
      </c>
      <c r="J352" t="str">
        <f t="shared" si="5"/>
        <v>1.344</v>
      </c>
    </row>
    <row r="353" spans="1:10" ht="57">
      <c r="A353" s="1290" t="s">
        <v>440</v>
      </c>
      <c r="B353" s="1291" t="s">
        <v>2341</v>
      </c>
      <c r="C353" s="1292" t="s">
        <v>15</v>
      </c>
      <c r="D353" s="1293">
        <v>10</v>
      </c>
      <c r="E353" s="1294">
        <v>700.69</v>
      </c>
      <c r="F353" s="1293">
        <v>7006.9</v>
      </c>
      <c r="G353" s="1295" t="s">
        <v>4728</v>
      </c>
      <c r="H353" s="1296" t="s">
        <v>5935</v>
      </c>
      <c r="I353" s="1297">
        <v>345</v>
      </c>
      <c r="J353" t="str">
        <f t="shared" si="5"/>
        <v>1.345</v>
      </c>
    </row>
    <row r="354" spans="1:10" ht="42.75">
      <c r="A354" s="1290" t="s">
        <v>441</v>
      </c>
      <c r="B354" s="1291" t="s">
        <v>2346</v>
      </c>
      <c r="C354" s="1292" t="s">
        <v>3</v>
      </c>
      <c r="D354" s="1293">
        <v>20</v>
      </c>
      <c r="E354" s="1294">
        <v>43.52</v>
      </c>
      <c r="F354" s="1293">
        <v>870.4</v>
      </c>
      <c r="G354" s="1295" t="s">
        <v>4729</v>
      </c>
      <c r="H354" s="1296" t="s">
        <v>5936</v>
      </c>
      <c r="I354" s="1297">
        <v>346</v>
      </c>
      <c r="J354" t="str">
        <f t="shared" si="5"/>
        <v>1.346</v>
      </c>
    </row>
    <row r="355" spans="1:10" ht="42.75">
      <c r="A355" s="1290" t="s">
        <v>442</v>
      </c>
      <c r="B355" s="1291" t="s">
        <v>2360</v>
      </c>
      <c r="C355" s="1292" t="s">
        <v>3</v>
      </c>
      <c r="D355" s="1293">
        <v>10</v>
      </c>
      <c r="E355" s="1294">
        <v>248.53</v>
      </c>
      <c r="F355" s="1293">
        <v>2485.3000000000002</v>
      </c>
      <c r="G355" s="1295" t="s">
        <v>4730</v>
      </c>
      <c r="H355" s="1296" t="s">
        <v>5937</v>
      </c>
      <c r="I355" s="1297">
        <v>347</v>
      </c>
      <c r="J355" t="str">
        <f t="shared" si="5"/>
        <v>1.347</v>
      </c>
    </row>
    <row r="356" spans="1:10" ht="42.75">
      <c r="A356" s="1290" t="s">
        <v>443</v>
      </c>
      <c r="B356" s="1291" t="s">
        <v>2372</v>
      </c>
      <c r="C356" s="1292" t="s">
        <v>3</v>
      </c>
      <c r="D356" s="1293">
        <v>10</v>
      </c>
      <c r="E356" s="1294">
        <v>682.48</v>
      </c>
      <c r="F356" s="1293">
        <v>6824.8</v>
      </c>
      <c r="G356" s="1295" t="s">
        <v>4731</v>
      </c>
      <c r="H356" s="1296" t="s">
        <v>5938</v>
      </c>
      <c r="I356" s="1297">
        <v>348</v>
      </c>
      <c r="J356" t="str">
        <f t="shared" si="5"/>
        <v>1.348</v>
      </c>
    </row>
    <row r="357" spans="1:10" ht="31.5">
      <c r="A357" s="1290" t="s">
        <v>444</v>
      </c>
      <c r="B357" s="1291" t="s">
        <v>3331</v>
      </c>
      <c r="C357" s="1292" t="s">
        <v>2400</v>
      </c>
      <c r="D357" s="1293">
        <v>50</v>
      </c>
      <c r="E357" s="1294">
        <v>23.16</v>
      </c>
      <c r="F357" s="1293">
        <v>1158</v>
      </c>
      <c r="G357" s="1295" t="s">
        <v>3332</v>
      </c>
      <c r="H357" s="1296" t="s">
        <v>5939</v>
      </c>
      <c r="I357" s="1297">
        <v>349</v>
      </c>
      <c r="J357" t="str">
        <f t="shared" si="5"/>
        <v>1.349</v>
      </c>
    </row>
    <row r="358" spans="1:10" ht="28.5">
      <c r="A358" s="1290" t="s">
        <v>445</v>
      </c>
      <c r="B358" s="1291" t="s">
        <v>4732</v>
      </c>
      <c r="C358" s="1292" t="s">
        <v>1497</v>
      </c>
      <c r="D358" s="1293">
        <v>1</v>
      </c>
      <c r="E358" s="1294">
        <v>290.11</v>
      </c>
      <c r="F358" s="1293">
        <v>290.11</v>
      </c>
      <c r="G358" s="1295" t="s">
        <v>4733</v>
      </c>
      <c r="H358" s="1296" t="s">
        <v>5940</v>
      </c>
      <c r="I358" s="1297">
        <v>350</v>
      </c>
      <c r="J358" t="str">
        <f t="shared" si="5"/>
        <v>1.350</v>
      </c>
    </row>
    <row r="359" spans="1:10" ht="42.75">
      <c r="A359" s="1290" t="s">
        <v>446</v>
      </c>
      <c r="B359" s="1291" t="s">
        <v>2379</v>
      </c>
      <c r="C359" s="1292" t="s">
        <v>3</v>
      </c>
      <c r="D359" s="1293">
        <v>50</v>
      </c>
      <c r="E359" s="1294">
        <v>22.37</v>
      </c>
      <c r="F359" s="1293">
        <v>1118.5</v>
      </c>
      <c r="G359" s="1295" t="s">
        <v>4734</v>
      </c>
      <c r="H359" s="1296" t="s">
        <v>5941</v>
      </c>
      <c r="I359" s="1297">
        <v>351</v>
      </c>
      <c r="J359" t="str">
        <f t="shared" si="5"/>
        <v>1.351</v>
      </c>
    </row>
    <row r="360" spans="1:10" ht="42.75">
      <c r="A360" s="1290" t="s">
        <v>447</v>
      </c>
      <c r="B360" s="1291" t="s">
        <v>2383</v>
      </c>
      <c r="C360" s="1292" t="s">
        <v>3</v>
      </c>
      <c r="D360" s="1293">
        <v>100</v>
      </c>
      <c r="E360" s="1294">
        <v>11.54</v>
      </c>
      <c r="F360" s="1293">
        <v>1154</v>
      </c>
      <c r="G360" s="1295" t="s">
        <v>4735</v>
      </c>
      <c r="H360" s="1296" t="s">
        <v>5942</v>
      </c>
      <c r="I360" s="1297">
        <v>352</v>
      </c>
      <c r="J360" t="str">
        <f t="shared" si="5"/>
        <v>1.352</v>
      </c>
    </row>
    <row r="361" spans="1:10" ht="42.75">
      <c r="A361" s="1290" t="s">
        <v>448</v>
      </c>
      <c r="B361" s="1291" t="s">
        <v>2390</v>
      </c>
      <c r="C361" s="1292" t="s">
        <v>3</v>
      </c>
      <c r="D361" s="1293">
        <v>100</v>
      </c>
      <c r="E361" s="1294">
        <v>20.13</v>
      </c>
      <c r="F361" s="1293">
        <v>2013</v>
      </c>
      <c r="G361" s="1295" t="s">
        <v>4736</v>
      </c>
      <c r="H361" s="1296" t="s">
        <v>5943</v>
      </c>
      <c r="I361" s="1297">
        <v>353</v>
      </c>
      <c r="J361" t="str">
        <f t="shared" si="5"/>
        <v>1.353</v>
      </c>
    </row>
    <row r="362" spans="1:10" s="7" customFormat="1" ht="42.75">
      <c r="A362" s="1290" t="s">
        <v>449</v>
      </c>
      <c r="B362" s="1291" t="s">
        <v>2393</v>
      </c>
      <c r="C362" s="1292" t="s">
        <v>2394</v>
      </c>
      <c r="D362" s="1293">
        <v>10</v>
      </c>
      <c r="E362" s="1294">
        <v>2473.94</v>
      </c>
      <c r="F362" s="1293">
        <v>24739.4</v>
      </c>
      <c r="G362" s="1295" t="s">
        <v>4737</v>
      </c>
      <c r="H362" s="1296" t="s">
        <v>5944</v>
      </c>
      <c r="I362" s="1297">
        <v>354</v>
      </c>
      <c r="J362" s="7" t="str">
        <f t="shared" si="5"/>
        <v>1.354</v>
      </c>
    </row>
    <row r="363" spans="1:10" s="7" customFormat="1" ht="57">
      <c r="A363" s="1290" t="s">
        <v>450</v>
      </c>
      <c r="B363" s="1291" t="s">
        <v>2399</v>
      </c>
      <c r="C363" s="1292" t="s">
        <v>2400</v>
      </c>
      <c r="D363" s="1293">
        <v>10</v>
      </c>
      <c r="E363" s="1294">
        <v>4542.75</v>
      </c>
      <c r="F363" s="1293">
        <v>45427.5</v>
      </c>
      <c r="G363" s="1295" t="s">
        <v>4738</v>
      </c>
      <c r="H363" s="1296" t="s">
        <v>5945</v>
      </c>
      <c r="I363" s="1297">
        <v>355</v>
      </c>
      <c r="J363" s="7" t="str">
        <f t="shared" si="5"/>
        <v>1.355</v>
      </c>
    </row>
    <row r="364" spans="1:10" s="7" customFormat="1" ht="42.75">
      <c r="A364" s="1290" t="s">
        <v>451</v>
      </c>
      <c r="B364" s="1291" t="s">
        <v>2405</v>
      </c>
      <c r="C364" s="1292" t="s">
        <v>3</v>
      </c>
      <c r="D364" s="1293">
        <v>50</v>
      </c>
      <c r="E364" s="1294">
        <v>34.51</v>
      </c>
      <c r="F364" s="1293">
        <v>1725.5</v>
      </c>
      <c r="G364" s="1295" t="s">
        <v>4739</v>
      </c>
      <c r="H364" s="1296" t="s">
        <v>5946</v>
      </c>
      <c r="I364" s="1297">
        <v>356</v>
      </c>
      <c r="J364" s="7" t="str">
        <f t="shared" si="5"/>
        <v>1.356</v>
      </c>
    </row>
    <row r="365" spans="1:10" s="9" customFormat="1" ht="42.75">
      <c r="A365" s="1290" t="s">
        <v>452</v>
      </c>
      <c r="B365" s="1291" t="s">
        <v>2410</v>
      </c>
      <c r="C365" s="1292" t="s">
        <v>0</v>
      </c>
      <c r="D365" s="1293">
        <v>10</v>
      </c>
      <c r="E365" s="1294">
        <v>2276.4499999999998</v>
      </c>
      <c r="F365" s="1293">
        <v>22764.5</v>
      </c>
      <c r="G365" s="1295" t="s">
        <v>4740</v>
      </c>
      <c r="H365" s="1296" t="s">
        <v>5947</v>
      </c>
      <c r="I365" s="1297">
        <v>357</v>
      </c>
      <c r="J365" s="9" t="str">
        <f t="shared" si="5"/>
        <v>1.357</v>
      </c>
    </row>
    <row r="366" spans="1:10" s="7" customFormat="1" ht="57">
      <c r="A366" s="1290" t="s">
        <v>455</v>
      </c>
      <c r="B366" s="1291" t="s">
        <v>4390</v>
      </c>
      <c r="C366" s="1292" t="s">
        <v>927</v>
      </c>
      <c r="D366" s="1293">
        <v>10</v>
      </c>
      <c r="E366" s="1294">
        <v>205.78</v>
      </c>
      <c r="F366" s="1293">
        <v>2057.8000000000002</v>
      </c>
      <c r="G366" s="1295" t="s">
        <v>4741</v>
      </c>
      <c r="H366" s="1296" t="s">
        <v>5948</v>
      </c>
      <c r="I366" s="1297">
        <v>358</v>
      </c>
      <c r="J366" s="7" t="str">
        <f t="shared" si="5"/>
        <v>1.358</v>
      </c>
    </row>
    <row r="367" spans="1:10" s="7" customFormat="1" ht="57">
      <c r="A367" s="1290" t="s">
        <v>456</v>
      </c>
      <c r="B367" s="1291" t="s">
        <v>4392</v>
      </c>
      <c r="C367" s="1292" t="s">
        <v>927</v>
      </c>
      <c r="D367" s="1293">
        <v>20</v>
      </c>
      <c r="E367" s="1294">
        <v>161.47</v>
      </c>
      <c r="F367" s="1293">
        <v>3229.4</v>
      </c>
      <c r="G367" s="1295" t="s">
        <v>4742</v>
      </c>
      <c r="H367" s="1296" t="s">
        <v>5949</v>
      </c>
      <c r="I367" s="1297">
        <v>359</v>
      </c>
      <c r="J367" s="7" t="str">
        <f t="shared" si="5"/>
        <v>1.359</v>
      </c>
    </row>
    <row r="368" spans="1:10" s="9" customFormat="1" ht="42.75">
      <c r="A368" s="1290" t="s">
        <v>457</v>
      </c>
      <c r="B368" s="1291" t="s">
        <v>2381</v>
      </c>
      <c r="C368" s="1292" t="s">
        <v>927</v>
      </c>
      <c r="D368" s="1293">
        <v>5</v>
      </c>
      <c r="E368" s="1294">
        <v>2152.3000000000002</v>
      </c>
      <c r="F368" s="1293">
        <v>10761.5</v>
      </c>
      <c r="G368" s="1295" t="s">
        <v>4743</v>
      </c>
      <c r="H368" s="1296" t="s">
        <v>5950</v>
      </c>
      <c r="I368" s="1297">
        <v>360</v>
      </c>
      <c r="J368" s="9" t="str">
        <f t="shared" si="5"/>
        <v>1.360</v>
      </c>
    </row>
    <row r="369" spans="1:10" s="7" customFormat="1" ht="42.75">
      <c r="A369" s="1290" t="s">
        <v>466</v>
      </c>
      <c r="B369" s="1291" t="s">
        <v>2422</v>
      </c>
      <c r="C369" s="1292" t="s">
        <v>927</v>
      </c>
      <c r="D369" s="1293">
        <v>5</v>
      </c>
      <c r="E369" s="1294">
        <v>3911.72</v>
      </c>
      <c r="F369" s="1293">
        <v>19558.599999999999</v>
      </c>
      <c r="G369" s="1295" t="s">
        <v>4744</v>
      </c>
      <c r="H369" s="1296" t="s">
        <v>5951</v>
      </c>
      <c r="I369" s="1297">
        <v>361</v>
      </c>
      <c r="J369" s="7" t="str">
        <f t="shared" si="5"/>
        <v>1.361</v>
      </c>
    </row>
    <row r="370" spans="1:10" s="7" customFormat="1" ht="42.75">
      <c r="A370" s="1290" t="s">
        <v>467</v>
      </c>
      <c r="B370" s="1291" t="s">
        <v>514</v>
      </c>
      <c r="C370" s="1292" t="s">
        <v>927</v>
      </c>
      <c r="D370" s="1293">
        <v>20</v>
      </c>
      <c r="E370" s="1294">
        <v>925.39</v>
      </c>
      <c r="F370" s="1293">
        <v>18507.8</v>
      </c>
      <c r="G370" s="1295" t="s">
        <v>4745</v>
      </c>
      <c r="H370" s="1296" t="s">
        <v>5952</v>
      </c>
      <c r="I370" s="1297">
        <v>362</v>
      </c>
      <c r="J370" s="7" t="str">
        <f t="shared" si="5"/>
        <v>1.362</v>
      </c>
    </row>
    <row r="371" spans="1:10" s="7" customFormat="1" ht="42.75">
      <c r="A371" s="1290" t="s">
        <v>468</v>
      </c>
      <c r="B371" s="1291" t="s">
        <v>2433</v>
      </c>
      <c r="C371" s="1292" t="s">
        <v>927</v>
      </c>
      <c r="D371" s="1293">
        <v>20</v>
      </c>
      <c r="E371" s="1294">
        <v>904.93</v>
      </c>
      <c r="F371" s="1293">
        <v>18098.599999999999</v>
      </c>
      <c r="G371" s="1295" t="s">
        <v>4746</v>
      </c>
      <c r="H371" s="1296" t="s">
        <v>5953</v>
      </c>
      <c r="I371" s="1297">
        <v>363</v>
      </c>
      <c r="J371" s="7" t="str">
        <f t="shared" si="5"/>
        <v>1.363</v>
      </c>
    </row>
    <row r="372" spans="1:10" s="7" customFormat="1" ht="42.75">
      <c r="A372" s="1290" t="s">
        <v>469</v>
      </c>
      <c r="B372" s="1291" t="s">
        <v>2438</v>
      </c>
      <c r="C372" s="1292" t="s">
        <v>927</v>
      </c>
      <c r="D372" s="1293">
        <v>20</v>
      </c>
      <c r="E372" s="1294">
        <v>802.6</v>
      </c>
      <c r="F372" s="1293">
        <v>16052</v>
      </c>
      <c r="G372" s="1295" t="s">
        <v>4747</v>
      </c>
      <c r="H372" s="1296" t="s">
        <v>5954</v>
      </c>
      <c r="I372" s="1297">
        <v>364</v>
      </c>
      <c r="J372" s="7" t="str">
        <f t="shared" si="5"/>
        <v>1.364</v>
      </c>
    </row>
    <row r="373" spans="1:10" s="7" customFormat="1" ht="42.75">
      <c r="A373" s="1290" t="s">
        <v>470</v>
      </c>
      <c r="B373" s="1291" t="s">
        <v>2443</v>
      </c>
      <c r="C373" s="1292" t="s">
        <v>4395</v>
      </c>
      <c r="D373" s="1293">
        <v>2</v>
      </c>
      <c r="E373" s="1294">
        <v>31166.95</v>
      </c>
      <c r="F373" s="1293">
        <v>62333.9</v>
      </c>
      <c r="G373" s="1295" t="s">
        <v>4748</v>
      </c>
      <c r="H373" s="1296" t="s">
        <v>5955</v>
      </c>
      <c r="I373" s="1297">
        <v>365</v>
      </c>
      <c r="J373" s="7" t="str">
        <f t="shared" si="5"/>
        <v>1.365</v>
      </c>
    </row>
    <row r="374" spans="1:10" s="7" customFormat="1" ht="42.75">
      <c r="A374" s="1290" t="s">
        <v>471</v>
      </c>
      <c r="B374" s="1291" t="s">
        <v>515</v>
      </c>
      <c r="C374" s="1292" t="s">
        <v>0</v>
      </c>
      <c r="D374" s="1293">
        <v>3</v>
      </c>
      <c r="E374" s="1294">
        <v>3341.03</v>
      </c>
      <c r="F374" s="1293">
        <v>10023.09</v>
      </c>
      <c r="G374" s="1295" t="s">
        <v>4749</v>
      </c>
      <c r="H374" s="1296" t="s">
        <v>5956</v>
      </c>
      <c r="I374" s="1297">
        <v>366</v>
      </c>
      <c r="J374" s="7" t="str">
        <f t="shared" si="5"/>
        <v>1.366</v>
      </c>
    </row>
    <row r="375" spans="1:10" s="7" customFormat="1" ht="31.5">
      <c r="A375" s="1290" t="s">
        <v>472</v>
      </c>
      <c r="B375" s="1291" t="s">
        <v>3349</v>
      </c>
      <c r="C375" s="1292" t="s">
        <v>1497</v>
      </c>
      <c r="D375" s="1293">
        <v>20</v>
      </c>
      <c r="E375" s="1294">
        <v>49.68</v>
      </c>
      <c r="F375" s="1293">
        <v>993.6</v>
      </c>
      <c r="G375" s="1295" t="s">
        <v>3350</v>
      </c>
      <c r="H375" s="1296" t="s">
        <v>5957</v>
      </c>
      <c r="I375" s="1297">
        <v>367</v>
      </c>
      <c r="J375" s="7" t="str">
        <f t="shared" si="5"/>
        <v>1.367</v>
      </c>
    </row>
    <row r="376" spans="1:10" s="7" customFormat="1" ht="31.5">
      <c r="A376" s="1290" t="s">
        <v>473</v>
      </c>
      <c r="B376" s="1291" t="s">
        <v>2333</v>
      </c>
      <c r="C376" s="1292" t="s">
        <v>1497</v>
      </c>
      <c r="D376" s="1293">
        <v>20</v>
      </c>
      <c r="E376" s="1294">
        <v>69.55</v>
      </c>
      <c r="F376" s="1293">
        <v>1391</v>
      </c>
      <c r="G376" s="1295" t="s">
        <v>2334</v>
      </c>
      <c r="H376" s="1296" t="s">
        <v>5958</v>
      </c>
      <c r="I376" s="1297">
        <v>368</v>
      </c>
      <c r="J376" s="7" t="str">
        <f t="shared" si="5"/>
        <v>1.368</v>
      </c>
    </row>
    <row r="377" spans="1:10" s="7" customFormat="1" ht="47.25">
      <c r="A377" s="1290" t="s">
        <v>474</v>
      </c>
      <c r="B377" s="1291" t="s">
        <v>3351</v>
      </c>
      <c r="C377" s="1292" t="s">
        <v>1818</v>
      </c>
      <c r="D377" s="1293">
        <v>2</v>
      </c>
      <c r="E377" s="1294">
        <v>4371.57</v>
      </c>
      <c r="F377" s="1293">
        <v>8743.14</v>
      </c>
      <c r="G377" s="1295" t="s">
        <v>3352</v>
      </c>
      <c r="H377" s="1296" t="s">
        <v>5959</v>
      </c>
      <c r="I377" s="1297">
        <v>369</v>
      </c>
      <c r="J377" s="7" t="str">
        <f t="shared" si="5"/>
        <v>1.369</v>
      </c>
    </row>
    <row r="378" spans="1:10" s="7" customFormat="1" ht="31.5">
      <c r="A378" s="1290" t="s">
        <v>475</v>
      </c>
      <c r="B378" s="1291" t="s">
        <v>3353</v>
      </c>
      <c r="C378" s="1292" t="s">
        <v>1689</v>
      </c>
      <c r="D378" s="1293">
        <v>1</v>
      </c>
      <c r="E378" s="1294">
        <v>8080.45</v>
      </c>
      <c r="F378" s="1293">
        <v>8080.45</v>
      </c>
      <c r="G378" s="1295" t="s">
        <v>3354</v>
      </c>
      <c r="H378" s="1296" t="s">
        <v>5960</v>
      </c>
      <c r="I378" s="1297">
        <v>370</v>
      </c>
      <c r="J378" s="7" t="str">
        <f t="shared" si="5"/>
        <v>1.370</v>
      </c>
    </row>
    <row r="379" spans="1:10" s="7" customFormat="1" ht="47.25">
      <c r="A379" s="1290" t="s">
        <v>476</v>
      </c>
      <c r="B379" s="1291" t="s">
        <v>3355</v>
      </c>
      <c r="C379" s="1292" t="s">
        <v>1497</v>
      </c>
      <c r="D379" s="1293">
        <v>35</v>
      </c>
      <c r="E379" s="1294">
        <v>58.62</v>
      </c>
      <c r="F379" s="1293">
        <v>2051.6999999999998</v>
      </c>
      <c r="G379" s="1295" t="s">
        <v>3356</v>
      </c>
      <c r="H379" s="1296" t="s">
        <v>5961</v>
      </c>
      <c r="I379" s="1297">
        <v>371</v>
      </c>
      <c r="J379" s="7" t="str">
        <f t="shared" si="5"/>
        <v>1.371</v>
      </c>
    </row>
    <row r="380" spans="1:10" s="7" customFormat="1" ht="31.5">
      <c r="A380" s="1290" t="s">
        <v>477</v>
      </c>
      <c r="B380" s="1291" t="s">
        <v>3357</v>
      </c>
      <c r="C380" s="1292" t="s">
        <v>17</v>
      </c>
      <c r="D380" s="1293">
        <v>115</v>
      </c>
      <c r="E380" s="1294">
        <v>7.95</v>
      </c>
      <c r="F380" s="1293">
        <v>914.25</v>
      </c>
      <c r="G380" s="1295" t="s">
        <v>3358</v>
      </c>
      <c r="H380" s="1296" t="s">
        <v>5962</v>
      </c>
      <c r="I380" s="1297">
        <v>372</v>
      </c>
      <c r="J380" s="7" t="str">
        <f t="shared" si="5"/>
        <v>1.372</v>
      </c>
    </row>
    <row r="381" spans="1:10" s="7" customFormat="1" ht="31.5">
      <c r="A381" s="1290" t="s">
        <v>478</v>
      </c>
      <c r="B381" s="1291" t="s">
        <v>3359</v>
      </c>
      <c r="C381" s="1292" t="s">
        <v>2679</v>
      </c>
      <c r="D381" s="1293">
        <v>1</v>
      </c>
      <c r="E381" s="1294">
        <v>21857.84</v>
      </c>
      <c r="F381" s="1293">
        <v>21857.84</v>
      </c>
      <c r="G381" s="1295" t="s">
        <v>3360</v>
      </c>
      <c r="H381" s="1296" t="s">
        <v>5963</v>
      </c>
      <c r="I381" s="1297">
        <v>373</v>
      </c>
      <c r="J381" s="7" t="str">
        <f t="shared" si="5"/>
        <v>1.373</v>
      </c>
    </row>
    <row r="382" spans="1:10" s="7" customFormat="1" ht="31.5">
      <c r="A382" s="1290" t="s">
        <v>479</v>
      </c>
      <c r="B382" s="1291" t="s">
        <v>3361</v>
      </c>
      <c r="C382" s="1292" t="s">
        <v>2679</v>
      </c>
      <c r="D382" s="1293">
        <v>1</v>
      </c>
      <c r="E382" s="1294">
        <v>24838.45</v>
      </c>
      <c r="F382" s="1293">
        <v>24838.45</v>
      </c>
      <c r="G382" s="1295" t="s">
        <v>3362</v>
      </c>
      <c r="H382" s="1296" t="s">
        <v>5964</v>
      </c>
      <c r="I382" s="1297">
        <v>374</v>
      </c>
      <c r="J382" s="7" t="str">
        <f t="shared" si="5"/>
        <v>1.374</v>
      </c>
    </row>
    <row r="383" spans="1:10" s="7" customFormat="1" ht="28.5">
      <c r="A383" s="1290" t="s">
        <v>480</v>
      </c>
      <c r="B383" s="1291" t="s">
        <v>3363</v>
      </c>
      <c r="C383" s="1292" t="s">
        <v>1875</v>
      </c>
      <c r="D383" s="1293">
        <v>10</v>
      </c>
      <c r="E383" s="1294">
        <v>41.73</v>
      </c>
      <c r="F383" s="1293">
        <v>417.3</v>
      </c>
      <c r="G383" s="1295" t="s">
        <v>3364</v>
      </c>
      <c r="H383" s="1296" t="s">
        <v>5965</v>
      </c>
      <c r="I383" s="1297">
        <v>375</v>
      </c>
      <c r="J383" s="7" t="str">
        <f t="shared" si="5"/>
        <v>1.375</v>
      </c>
    </row>
    <row r="384" spans="1:10" s="7" customFormat="1" ht="28.5">
      <c r="A384" s="1290" t="s">
        <v>481</v>
      </c>
      <c r="B384" s="1291" t="s">
        <v>3365</v>
      </c>
      <c r="C384" s="1292" t="s">
        <v>1875</v>
      </c>
      <c r="D384" s="1293">
        <v>10</v>
      </c>
      <c r="E384" s="1294">
        <v>36.76</v>
      </c>
      <c r="F384" s="1293">
        <v>367.6</v>
      </c>
      <c r="G384" s="1295" t="s">
        <v>3366</v>
      </c>
      <c r="H384" s="1296" t="s">
        <v>5966</v>
      </c>
      <c r="I384" s="1297">
        <v>376</v>
      </c>
      <c r="J384" s="7" t="str">
        <f t="shared" si="5"/>
        <v>1.376</v>
      </c>
    </row>
    <row r="385" spans="1:10" s="7" customFormat="1" ht="31.5">
      <c r="A385" s="1290" t="s">
        <v>482</v>
      </c>
      <c r="B385" s="1291" t="s">
        <v>3367</v>
      </c>
      <c r="C385" s="1292" t="s">
        <v>17</v>
      </c>
      <c r="D385" s="1293">
        <v>10</v>
      </c>
      <c r="E385" s="1294">
        <v>308.99</v>
      </c>
      <c r="F385" s="1293">
        <v>3089.9</v>
      </c>
      <c r="G385" s="1295" t="s">
        <v>3368</v>
      </c>
      <c r="H385" s="1296" t="s">
        <v>5967</v>
      </c>
      <c r="I385" s="1297">
        <v>377</v>
      </c>
      <c r="J385" s="7" t="str">
        <f t="shared" si="5"/>
        <v>1.377</v>
      </c>
    </row>
    <row r="386" spans="1:10" s="7" customFormat="1" ht="42.75">
      <c r="A386" s="1290" t="s">
        <v>483</v>
      </c>
      <c r="B386" s="1291" t="s">
        <v>2458</v>
      </c>
      <c r="C386" s="1292" t="s">
        <v>2335</v>
      </c>
      <c r="D386" s="1293">
        <v>5</v>
      </c>
      <c r="E386" s="1294">
        <v>821.06</v>
      </c>
      <c r="F386" s="1293">
        <v>4105.3</v>
      </c>
      <c r="G386" s="1295" t="s">
        <v>4750</v>
      </c>
      <c r="H386" s="1296" t="s">
        <v>5968</v>
      </c>
      <c r="I386" s="1297">
        <v>378</v>
      </c>
      <c r="J386" s="7" t="str">
        <f t="shared" ref="J386:J449" si="6">A386</f>
        <v>1.378</v>
      </c>
    </row>
    <row r="387" spans="1:10" s="7" customFormat="1" ht="31.5">
      <c r="A387" s="1290" t="s">
        <v>484</v>
      </c>
      <c r="B387" s="1291" t="s">
        <v>2954</v>
      </c>
      <c r="C387" s="1292" t="s">
        <v>2490</v>
      </c>
      <c r="D387" s="1293">
        <v>5</v>
      </c>
      <c r="E387" s="1294">
        <v>29806.15</v>
      </c>
      <c r="F387" s="1293">
        <v>149030.75</v>
      </c>
      <c r="G387" s="1295" t="s">
        <v>3370</v>
      </c>
      <c r="H387" s="1296" t="s">
        <v>5969</v>
      </c>
      <c r="I387" s="1297">
        <v>379</v>
      </c>
      <c r="J387" s="7" t="str">
        <f t="shared" si="6"/>
        <v>1.379</v>
      </c>
    </row>
    <row r="388" spans="1:10" s="7" customFormat="1" ht="31.5">
      <c r="A388" s="1290" t="s">
        <v>485</v>
      </c>
      <c r="B388" s="1291" t="s">
        <v>3371</v>
      </c>
      <c r="C388" s="1292" t="s">
        <v>2490</v>
      </c>
      <c r="D388" s="1293">
        <v>5</v>
      </c>
      <c r="E388" s="1294">
        <v>7451.54</v>
      </c>
      <c r="F388" s="1293">
        <v>37257.699999999997</v>
      </c>
      <c r="G388" s="1295" t="s">
        <v>3372</v>
      </c>
      <c r="H388" s="1296" t="s">
        <v>5970</v>
      </c>
      <c r="I388" s="1297">
        <v>380</v>
      </c>
      <c r="J388" s="7" t="str">
        <f t="shared" si="6"/>
        <v>1.380</v>
      </c>
    </row>
    <row r="389" spans="1:10" s="7" customFormat="1" ht="42.75">
      <c r="A389" s="1290" t="s">
        <v>486</v>
      </c>
      <c r="B389" s="1291" t="s">
        <v>2468</v>
      </c>
      <c r="C389" s="1292" t="s">
        <v>0</v>
      </c>
      <c r="D389" s="1293">
        <v>1</v>
      </c>
      <c r="E389" s="1294">
        <v>49474.07</v>
      </c>
      <c r="F389" s="1293">
        <v>49474.07</v>
      </c>
      <c r="G389" s="1295" t="s">
        <v>4751</v>
      </c>
      <c r="H389" s="1296" t="s">
        <v>5971</v>
      </c>
      <c r="I389" s="1297">
        <v>381</v>
      </c>
      <c r="J389" s="7" t="str">
        <f t="shared" si="6"/>
        <v>1.381</v>
      </c>
    </row>
    <row r="390" spans="1:10" s="7" customFormat="1" ht="42.75">
      <c r="A390" s="1290" t="s">
        <v>487</v>
      </c>
      <c r="B390" s="1291" t="s">
        <v>2475</v>
      </c>
      <c r="C390" s="1292" t="s">
        <v>2238</v>
      </c>
      <c r="D390" s="1293">
        <v>5</v>
      </c>
      <c r="E390" s="1294">
        <v>57993.41</v>
      </c>
      <c r="F390" s="1293">
        <v>289967.05</v>
      </c>
      <c r="G390" s="1295" t="s">
        <v>4752</v>
      </c>
      <c r="H390" s="1296" t="s">
        <v>5972</v>
      </c>
      <c r="I390" s="1297">
        <v>382</v>
      </c>
      <c r="J390" s="7" t="str">
        <f t="shared" si="6"/>
        <v>1.382</v>
      </c>
    </row>
    <row r="391" spans="1:10" s="7" customFormat="1" ht="42.75">
      <c r="A391" s="1290" t="s">
        <v>488</v>
      </c>
      <c r="B391" s="1291" t="s">
        <v>2480</v>
      </c>
      <c r="C391" s="1292" t="s">
        <v>2238</v>
      </c>
      <c r="D391" s="1293">
        <v>5</v>
      </c>
      <c r="E391" s="1294">
        <v>75367.37</v>
      </c>
      <c r="F391" s="1293">
        <v>376836.85</v>
      </c>
      <c r="G391" s="1295" t="s">
        <v>4753</v>
      </c>
      <c r="H391" s="1296" t="s">
        <v>5973</v>
      </c>
      <c r="I391" s="1297">
        <v>383</v>
      </c>
      <c r="J391" s="7" t="str">
        <f t="shared" si="6"/>
        <v>1.383</v>
      </c>
    </row>
    <row r="392" spans="1:10" s="7" customFormat="1" ht="42.75">
      <c r="A392" s="1290" t="s">
        <v>489</v>
      </c>
      <c r="B392" s="1291" t="s">
        <v>2483</v>
      </c>
      <c r="C392" s="1292" t="s">
        <v>2238</v>
      </c>
      <c r="D392" s="1293">
        <v>5</v>
      </c>
      <c r="E392" s="1294">
        <v>42062.63</v>
      </c>
      <c r="F392" s="1293">
        <v>210313.15</v>
      </c>
      <c r="G392" s="1295" t="s">
        <v>4754</v>
      </c>
      <c r="H392" s="1296" t="s">
        <v>5974</v>
      </c>
      <c r="I392" s="1297">
        <v>384</v>
      </c>
      <c r="J392" s="7" t="str">
        <f t="shared" si="6"/>
        <v>1.384</v>
      </c>
    </row>
    <row r="393" spans="1:10" s="7" customFormat="1" ht="42.75">
      <c r="A393" s="1290" t="s">
        <v>490</v>
      </c>
      <c r="B393" s="1291" t="s">
        <v>2486</v>
      </c>
      <c r="C393" s="1292" t="s">
        <v>2238</v>
      </c>
      <c r="D393" s="1293">
        <v>5</v>
      </c>
      <c r="E393" s="1294">
        <v>54016.04</v>
      </c>
      <c r="F393" s="1293">
        <v>270080.2</v>
      </c>
      <c r="G393" s="1295" t="s">
        <v>4755</v>
      </c>
      <c r="H393" s="1296" t="s">
        <v>5975</v>
      </c>
      <c r="I393" s="1297">
        <v>385</v>
      </c>
      <c r="J393" s="7" t="str">
        <f t="shared" si="6"/>
        <v>1.385</v>
      </c>
    </row>
    <row r="394" spans="1:10" s="7" customFormat="1" ht="31.5">
      <c r="A394" s="1290" t="s">
        <v>491</v>
      </c>
      <c r="B394" s="1291" t="s">
        <v>4756</v>
      </c>
      <c r="C394" s="1292" t="s">
        <v>2490</v>
      </c>
      <c r="D394" s="1293">
        <v>5</v>
      </c>
      <c r="E394" s="1294">
        <v>24838.45</v>
      </c>
      <c r="F394" s="1293">
        <v>124192.25</v>
      </c>
      <c r="G394" s="1295" t="s">
        <v>4757</v>
      </c>
      <c r="H394" s="1296" t="s">
        <v>5976</v>
      </c>
      <c r="I394" s="1297">
        <v>386</v>
      </c>
      <c r="J394" s="7" t="str">
        <f t="shared" si="6"/>
        <v>1.386</v>
      </c>
    </row>
    <row r="395" spans="1:10" s="7" customFormat="1" ht="47.25">
      <c r="A395" s="1290" t="s">
        <v>492</v>
      </c>
      <c r="B395" s="1291" t="s">
        <v>2938</v>
      </c>
      <c r="C395" s="1292" t="s">
        <v>2490</v>
      </c>
      <c r="D395" s="1293">
        <v>5</v>
      </c>
      <c r="E395" s="1294">
        <v>7203.15</v>
      </c>
      <c r="F395" s="1293">
        <v>36015.75</v>
      </c>
      <c r="G395" s="1295" t="s">
        <v>3378</v>
      </c>
      <c r="H395" s="1296" t="s">
        <v>5977</v>
      </c>
      <c r="I395" s="1297">
        <v>387</v>
      </c>
      <c r="J395" s="7" t="str">
        <f t="shared" si="6"/>
        <v>1.387</v>
      </c>
    </row>
    <row r="396" spans="1:10" s="7" customFormat="1" ht="47.25">
      <c r="A396" s="1290" t="s">
        <v>493</v>
      </c>
      <c r="B396" s="1291" t="s">
        <v>3379</v>
      </c>
      <c r="C396" s="1292" t="s">
        <v>2490</v>
      </c>
      <c r="D396" s="1293">
        <v>5</v>
      </c>
      <c r="E396" s="1294">
        <v>10730.21</v>
      </c>
      <c r="F396" s="1293">
        <v>53651.05</v>
      </c>
      <c r="G396" s="1295" t="s">
        <v>3380</v>
      </c>
      <c r="H396" s="1296" t="s">
        <v>5978</v>
      </c>
      <c r="I396" s="1297">
        <v>388</v>
      </c>
      <c r="J396" s="7" t="str">
        <f t="shared" si="6"/>
        <v>1.388</v>
      </c>
    </row>
    <row r="397" spans="1:10" s="7" customFormat="1" ht="47.25">
      <c r="A397" s="1290" t="s">
        <v>494</v>
      </c>
      <c r="B397" s="1291" t="s">
        <v>4758</v>
      </c>
      <c r="C397" s="1292" t="s">
        <v>2490</v>
      </c>
      <c r="D397" s="1293">
        <v>5</v>
      </c>
      <c r="E397" s="1294">
        <v>14903.07</v>
      </c>
      <c r="F397" s="1293">
        <v>74515.350000000006</v>
      </c>
      <c r="G397" s="1295" t="s">
        <v>4759</v>
      </c>
      <c r="H397" s="1296" t="s">
        <v>5979</v>
      </c>
      <c r="I397" s="1297">
        <v>389</v>
      </c>
      <c r="J397" s="7" t="str">
        <f t="shared" si="6"/>
        <v>1.389</v>
      </c>
    </row>
    <row r="398" spans="1:10" s="7" customFormat="1" ht="42.75">
      <c r="A398" s="1290" t="s">
        <v>495</v>
      </c>
      <c r="B398" s="1291" t="s">
        <v>2489</v>
      </c>
      <c r="C398" s="1292" t="s">
        <v>2490</v>
      </c>
      <c r="D398" s="1293">
        <v>5</v>
      </c>
      <c r="E398" s="1294">
        <v>3103.82</v>
      </c>
      <c r="F398" s="1293">
        <v>15519.1</v>
      </c>
      <c r="G398" s="1295" t="s">
        <v>4760</v>
      </c>
      <c r="H398" s="1296" t="s">
        <v>5980</v>
      </c>
      <c r="I398" s="1297">
        <v>390</v>
      </c>
      <c r="J398" s="7" t="str">
        <f t="shared" si="6"/>
        <v>1.390</v>
      </c>
    </row>
    <row r="399" spans="1:10" s="7" customFormat="1" ht="42.75">
      <c r="A399" s="1290" t="s">
        <v>496</v>
      </c>
      <c r="B399" s="1291" t="s">
        <v>2497</v>
      </c>
      <c r="C399" s="1292" t="s">
        <v>2490</v>
      </c>
      <c r="D399" s="1293">
        <v>5</v>
      </c>
      <c r="E399" s="1294">
        <v>776.95</v>
      </c>
      <c r="F399" s="1293">
        <v>3884.75</v>
      </c>
      <c r="G399" s="1295" t="s">
        <v>4761</v>
      </c>
      <c r="H399" s="1296" t="s">
        <v>5981</v>
      </c>
      <c r="I399" s="1297">
        <v>391</v>
      </c>
      <c r="J399" s="7" t="str">
        <f t="shared" si="6"/>
        <v>1.391</v>
      </c>
    </row>
    <row r="400" spans="1:10" s="7" customFormat="1" ht="42.75">
      <c r="A400" s="1290" t="s">
        <v>497</v>
      </c>
      <c r="B400" s="1291" t="s">
        <v>2506</v>
      </c>
      <c r="C400" s="1292" t="s">
        <v>2490</v>
      </c>
      <c r="D400" s="1293">
        <v>5</v>
      </c>
      <c r="E400" s="1294">
        <v>4220.55</v>
      </c>
      <c r="F400" s="1293">
        <v>21102.75</v>
      </c>
      <c r="G400" s="1295" t="s">
        <v>4762</v>
      </c>
      <c r="H400" s="1296" t="s">
        <v>5982</v>
      </c>
      <c r="I400" s="1297">
        <v>392</v>
      </c>
      <c r="J400" s="7" t="str">
        <f t="shared" si="6"/>
        <v>1.392</v>
      </c>
    </row>
    <row r="401" spans="1:10" s="7" customFormat="1" ht="42.75">
      <c r="A401" s="1290" t="s">
        <v>498</v>
      </c>
      <c r="B401" s="1291" t="s">
        <v>2509</v>
      </c>
      <c r="C401" s="1292" t="s">
        <v>2490</v>
      </c>
      <c r="D401" s="1293">
        <v>5</v>
      </c>
      <c r="E401" s="1294">
        <v>1349.22</v>
      </c>
      <c r="F401" s="1293">
        <v>6746.1</v>
      </c>
      <c r="G401" s="1295" t="s">
        <v>4763</v>
      </c>
      <c r="H401" s="1296" t="s">
        <v>5983</v>
      </c>
      <c r="I401" s="1297">
        <v>393</v>
      </c>
      <c r="J401" s="7" t="str">
        <f t="shared" si="6"/>
        <v>1.393</v>
      </c>
    </row>
    <row r="402" spans="1:10" s="7" customFormat="1" ht="31.5">
      <c r="A402" s="1290" t="s">
        <v>499</v>
      </c>
      <c r="B402" s="1291" t="s">
        <v>3385</v>
      </c>
      <c r="C402" s="1292" t="s">
        <v>2238</v>
      </c>
      <c r="D402" s="1293">
        <v>5</v>
      </c>
      <c r="E402" s="1294">
        <v>250.37</v>
      </c>
      <c r="F402" s="1293">
        <v>1251.8499999999999</v>
      </c>
      <c r="G402" s="1295" t="s">
        <v>3386</v>
      </c>
      <c r="H402" s="1296" t="s">
        <v>5984</v>
      </c>
      <c r="I402" s="1297">
        <v>394</v>
      </c>
      <c r="J402" s="7" t="str">
        <f t="shared" si="6"/>
        <v>1.394</v>
      </c>
    </row>
    <row r="403" spans="1:10" s="7" customFormat="1" ht="31.5">
      <c r="A403" s="1290" t="s">
        <v>521</v>
      </c>
      <c r="B403" s="1291" t="s">
        <v>3387</v>
      </c>
      <c r="C403" s="1292" t="s">
        <v>2238</v>
      </c>
      <c r="D403" s="1293">
        <v>5</v>
      </c>
      <c r="E403" s="1294">
        <v>120.71</v>
      </c>
      <c r="F403" s="1293">
        <v>603.54999999999995</v>
      </c>
      <c r="G403" s="1295" t="s">
        <v>3388</v>
      </c>
      <c r="H403" s="1296" t="s">
        <v>5985</v>
      </c>
      <c r="I403" s="1297">
        <v>395</v>
      </c>
      <c r="J403" s="7" t="str">
        <f t="shared" si="6"/>
        <v>1.395</v>
      </c>
    </row>
    <row r="404" spans="1:10" s="7" customFormat="1" ht="42.75">
      <c r="A404" s="1290" t="s">
        <v>522</v>
      </c>
      <c r="B404" s="1291" t="s">
        <v>2512</v>
      </c>
      <c r="C404" s="1292" t="s">
        <v>2238</v>
      </c>
      <c r="D404" s="1293">
        <v>2</v>
      </c>
      <c r="E404" s="1294">
        <v>22464.38</v>
      </c>
      <c r="F404" s="1293">
        <v>44928.76</v>
      </c>
      <c r="G404" s="1295" t="s">
        <v>4764</v>
      </c>
      <c r="H404" s="1296" t="s">
        <v>5986</v>
      </c>
      <c r="I404" s="1297">
        <v>396</v>
      </c>
      <c r="J404" s="7" t="str">
        <f t="shared" si="6"/>
        <v>1.396</v>
      </c>
    </row>
    <row r="405" spans="1:10" s="7" customFormat="1" ht="42.75">
      <c r="A405" s="1290" t="s">
        <v>523</v>
      </c>
      <c r="B405" s="1291" t="s">
        <v>2515</v>
      </c>
      <c r="C405" s="1292" t="s">
        <v>2238</v>
      </c>
      <c r="D405" s="1293">
        <v>2</v>
      </c>
      <c r="E405" s="1294">
        <v>32648.86</v>
      </c>
      <c r="F405" s="1293">
        <v>65297.72</v>
      </c>
      <c r="G405" s="1295" t="s">
        <v>4765</v>
      </c>
      <c r="H405" s="1296" t="s">
        <v>5987</v>
      </c>
      <c r="I405" s="1297">
        <v>397</v>
      </c>
      <c r="J405" s="7" t="str">
        <f t="shared" si="6"/>
        <v>1.397</v>
      </c>
    </row>
    <row r="406" spans="1:10" s="7" customFormat="1" ht="47.25">
      <c r="A406" s="1290" t="s">
        <v>524</v>
      </c>
      <c r="B406" s="1291" t="s">
        <v>2518</v>
      </c>
      <c r="C406" s="1292" t="s">
        <v>2238</v>
      </c>
      <c r="D406" s="1293">
        <v>2</v>
      </c>
      <c r="E406" s="1294">
        <v>10790.12</v>
      </c>
      <c r="F406" s="1293">
        <v>21580.240000000002</v>
      </c>
      <c r="G406" s="1295" t="s">
        <v>4766</v>
      </c>
      <c r="H406" s="1296" t="s">
        <v>5988</v>
      </c>
      <c r="I406" s="1297">
        <v>398</v>
      </c>
      <c r="J406" s="7" t="str">
        <f t="shared" si="6"/>
        <v>1.398</v>
      </c>
    </row>
    <row r="407" spans="1:10" s="7" customFormat="1" ht="47.25">
      <c r="A407" s="1290" t="s">
        <v>525</v>
      </c>
      <c r="B407" s="1291" t="s">
        <v>2527</v>
      </c>
      <c r="C407" s="1292" t="s">
        <v>2238</v>
      </c>
      <c r="D407" s="1293">
        <v>2</v>
      </c>
      <c r="E407" s="1294">
        <v>20430.009999999998</v>
      </c>
      <c r="F407" s="1293">
        <v>40860.019999999997</v>
      </c>
      <c r="G407" s="1295" t="s">
        <v>4767</v>
      </c>
      <c r="H407" s="1296" t="s">
        <v>5989</v>
      </c>
      <c r="I407" s="1297">
        <v>399</v>
      </c>
      <c r="J407" s="7" t="str">
        <f t="shared" si="6"/>
        <v>1.399</v>
      </c>
    </row>
    <row r="408" spans="1:10" s="7" customFormat="1" ht="47.25">
      <c r="A408" s="1290" t="s">
        <v>526</v>
      </c>
      <c r="B408" s="1291" t="s">
        <v>2530</v>
      </c>
      <c r="C408" s="1292" t="s">
        <v>2238</v>
      </c>
      <c r="D408" s="1293">
        <v>2</v>
      </c>
      <c r="E408" s="1294">
        <v>16373.54</v>
      </c>
      <c r="F408" s="1293">
        <v>32747.08</v>
      </c>
      <c r="G408" s="1295" t="s">
        <v>4768</v>
      </c>
      <c r="H408" s="1296" t="s">
        <v>5990</v>
      </c>
      <c r="I408" s="1297">
        <v>400</v>
      </c>
      <c r="J408" s="7" t="str">
        <f t="shared" si="6"/>
        <v>1.400</v>
      </c>
    </row>
    <row r="409" spans="1:10" s="7" customFormat="1" ht="47.25">
      <c r="A409" s="1290" t="s">
        <v>527</v>
      </c>
      <c r="B409" s="1291" t="s">
        <v>2537</v>
      </c>
      <c r="C409" s="1292" t="s">
        <v>2238</v>
      </c>
      <c r="D409" s="1293">
        <v>2</v>
      </c>
      <c r="E409" s="1294">
        <v>30446.59</v>
      </c>
      <c r="F409" s="1293">
        <v>60893.18</v>
      </c>
      <c r="G409" s="1295" t="s">
        <v>4769</v>
      </c>
      <c r="H409" s="1296" t="s">
        <v>5977</v>
      </c>
      <c r="I409" s="1297">
        <v>401</v>
      </c>
      <c r="J409" s="7" t="str">
        <f t="shared" si="6"/>
        <v>1.401</v>
      </c>
    </row>
    <row r="410" spans="1:10" s="7" customFormat="1" ht="63">
      <c r="A410" s="1290" t="s">
        <v>528</v>
      </c>
      <c r="B410" s="1291" t="s">
        <v>2540</v>
      </c>
      <c r="C410" s="1292" t="s">
        <v>0</v>
      </c>
      <c r="D410" s="1293">
        <v>10</v>
      </c>
      <c r="E410" s="1294">
        <v>7232.96</v>
      </c>
      <c r="F410" s="1293">
        <v>72329.600000000006</v>
      </c>
      <c r="G410" s="1295" t="s">
        <v>4770</v>
      </c>
      <c r="H410" s="1296" t="s">
        <v>5978</v>
      </c>
      <c r="I410" s="1297">
        <v>402</v>
      </c>
      <c r="J410" s="7" t="str">
        <f t="shared" si="6"/>
        <v>1.402</v>
      </c>
    </row>
    <row r="411" spans="1:10" ht="63">
      <c r="A411" s="1290" t="s">
        <v>2881</v>
      </c>
      <c r="B411" s="1291" t="s">
        <v>2544</v>
      </c>
      <c r="C411" s="1292" t="s">
        <v>0</v>
      </c>
      <c r="D411" s="1293">
        <v>10</v>
      </c>
      <c r="E411" s="1294">
        <v>7295.55</v>
      </c>
      <c r="F411" s="1293">
        <v>72955.5</v>
      </c>
      <c r="G411" s="1295" t="s">
        <v>4771</v>
      </c>
      <c r="H411" s="1296" t="s">
        <v>5979</v>
      </c>
      <c r="I411" s="1297">
        <v>403</v>
      </c>
      <c r="J411" t="str">
        <f t="shared" si="6"/>
        <v>1.403</v>
      </c>
    </row>
    <row r="412" spans="1:10" ht="47.25">
      <c r="A412" s="1290" t="s">
        <v>2882</v>
      </c>
      <c r="B412" s="1291" t="s">
        <v>2547</v>
      </c>
      <c r="C412" s="1292" t="s">
        <v>0</v>
      </c>
      <c r="D412" s="1293">
        <v>10</v>
      </c>
      <c r="E412" s="1294">
        <v>6330.41</v>
      </c>
      <c r="F412" s="1293">
        <v>63304.1</v>
      </c>
      <c r="G412" s="1295" t="s">
        <v>4772</v>
      </c>
      <c r="H412" s="1296" t="s">
        <v>5980</v>
      </c>
      <c r="I412" s="1297">
        <v>404</v>
      </c>
      <c r="J412" t="str">
        <f t="shared" si="6"/>
        <v>1.404</v>
      </c>
    </row>
    <row r="413" spans="1:10" ht="47.25">
      <c r="A413" s="1290" t="s">
        <v>3662</v>
      </c>
      <c r="B413" s="1291" t="s">
        <v>2550</v>
      </c>
      <c r="C413" s="1292" t="s">
        <v>0</v>
      </c>
      <c r="D413" s="1293">
        <v>10</v>
      </c>
      <c r="E413" s="1294">
        <v>6698.81</v>
      </c>
      <c r="F413" s="1293">
        <v>66988.100000000006</v>
      </c>
      <c r="G413" s="1295" t="s">
        <v>4773</v>
      </c>
      <c r="H413" s="1296" t="s">
        <v>5981</v>
      </c>
      <c r="I413" s="1297">
        <v>405</v>
      </c>
      <c r="J413" t="str">
        <f t="shared" si="6"/>
        <v>1.405</v>
      </c>
    </row>
    <row r="414" spans="1:10" ht="63">
      <c r="A414" s="1290" t="s">
        <v>3663</v>
      </c>
      <c r="B414" s="1291" t="s">
        <v>2553</v>
      </c>
      <c r="C414" s="1292" t="s">
        <v>0</v>
      </c>
      <c r="D414" s="1293">
        <v>10</v>
      </c>
      <c r="E414" s="1294">
        <v>7087.68</v>
      </c>
      <c r="F414" s="1293">
        <v>70876.800000000003</v>
      </c>
      <c r="G414" s="1295" t="s">
        <v>4774</v>
      </c>
      <c r="H414" s="1296" t="s">
        <v>5982</v>
      </c>
      <c r="I414" s="1297">
        <v>406</v>
      </c>
      <c r="J414" t="str">
        <f t="shared" si="6"/>
        <v>1.406</v>
      </c>
    </row>
    <row r="415" spans="1:10" ht="47.25">
      <c r="A415" s="1290" t="s">
        <v>3664</v>
      </c>
      <c r="B415" s="1291" t="s">
        <v>2556</v>
      </c>
      <c r="C415" s="1292" t="s">
        <v>2238</v>
      </c>
      <c r="D415" s="1293">
        <v>2</v>
      </c>
      <c r="E415" s="1294">
        <v>16516.71</v>
      </c>
      <c r="F415" s="1293">
        <v>33033.42</v>
      </c>
      <c r="G415" s="1295" t="s">
        <v>4775</v>
      </c>
      <c r="H415" s="1296" t="s">
        <v>5983</v>
      </c>
      <c r="I415" s="1297">
        <v>407</v>
      </c>
      <c r="J415" t="str">
        <f t="shared" si="6"/>
        <v>1.407</v>
      </c>
    </row>
    <row r="416" spans="1:10" ht="63">
      <c r="A416" s="1290" t="s">
        <v>3665</v>
      </c>
      <c r="B416" s="1291" t="s">
        <v>2561</v>
      </c>
      <c r="C416" s="1292" t="s">
        <v>2238</v>
      </c>
      <c r="D416" s="1293">
        <v>2</v>
      </c>
      <c r="E416" s="1294">
        <v>23250.400000000001</v>
      </c>
      <c r="F416" s="1293">
        <v>46500.800000000003</v>
      </c>
      <c r="G416" s="1295" t="s">
        <v>4776</v>
      </c>
      <c r="H416" s="1296" t="s">
        <v>5984</v>
      </c>
      <c r="I416" s="1297">
        <v>408</v>
      </c>
      <c r="J416" t="str">
        <f t="shared" si="6"/>
        <v>1.408</v>
      </c>
    </row>
    <row r="417" spans="1:10" ht="42.75">
      <c r="A417" s="1290" t="s">
        <v>3666</v>
      </c>
      <c r="B417" s="1291" t="s">
        <v>2570</v>
      </c>
      <c r="C417" s="1292" t="s">
        <v>17</v>
      </c>
      <c r="D417" s="1293">
        <v>5</v>
      </c>
      <c r="E417" s="1294">
        <v>6529.39</v>
      </c>
      <c r="F417" s="1293">
        <v>32646.95</v>
      </c>
      <c r="G417" s="1295" t="s">
        <v>4777</v>
      </c>
      <c r="H417" s="1296" t="s">
        <v>5985</v>
      </c>
      <c r="I417" s="1297">
        <v>409</v>
      </c>
      <c r="J417" t="str">
        <f t="shared" si="6"/>
        <v>1.409</v>
      </c>
    </row>
    <row r="418" spans="1:10" ht="42.75">
      <c r="A418" s="1290" t="s">
        <v>3667</v>
      </c>
      <c r="B418" s="1291" t="s">
        <v>2577</v>
      </c>
      <c r="C418" s="1292" t="s">
        <v>17</v>
      </c>
      <c r="D418" s="1293">
        <v>5</v>
      </c>
      <c r="E418" s="1294">
        <v>7123.58</v>
      </c>
      <c r="F418" s="1293">
        <v>35617.9</v>
      </c>
      <c r="G418" s="1295" t="s">
        <v>4778</v>
      </c>
      <c r="H418" s="1296" t="s">
        <v>5986</v>
      </c>
      <c r="I418" s="1297">
        <v>410</v>
      </c>
      <c r="J418" t="str">
        <f t="shared" si="6"/>
        <v>1.410</v>
      </c>
    </row>
    <row r="419" spans="1:10" ht="42.75">
      <c r="A419" s="1290" t="s">
        <v>3668</v>
      </c>
      <c r="B419" s="1291" t="s">
        <v>2584</v>
      </c>
      <c r="C419" s="1292" t="s">
        <v>17</v>
      </c>
      <c r="D419" s="1293">
        <v>5</v>
      </c>
      <c r="E419" s="1294">
        <v>8121.14</v>
      </c>
      <c r="F419" s="1293">
        <v>40605.699999999997</v>
      </c>
      <c r="G419" s="1295" t="s">
        <v>4779</v>
      </c>
      <c r="H419" s="1296" t="s">
        <v>5987</v>
      </c>
      <c r="I419" s="1297">
        <v>411</v>
      </c>
      <c r="J419" t="str">
        <f t="shared" si="6"/>
        <v>1.411</v>
      </c>
    </row>
    <row r="420" spans="1:10" s="108" customFormat="1" ht="42.75">
      <c r="A420" s="1290" t="s">
        <v>3976</v>
      </c>
      <c r="B420" s="1291" t="s">
        <v>2587</v>
      </c>
      <c r="C420" s="1292" t="s">
        <v>17</v>
      </c>
      <c r="D420" s="1293">
        <v>5</v>
      </c>
      <c r="E420" s="1294">
        <v>8961.34</v>
      </c>
      <c r="F420" s="1293">
        <v>44806.7</v>
      </c>
      <c r="G420" s="1295" t="s">
        <v>4780</v>
      </c>
      <c r="H420" s="1299" t="s">
        <v>5987</v>
      </c>
      <c r="I420" s="1297">
        <v>412</v>
      </c>
      <c r="J420" s="108" t="str">
        <f t="shared" si="6"/>
        <v>1.412</v>
      </c>
    </row>
    <row r="421" spans="1:10" ht="42.75">
      <c r="A421" s="1290" t="s">
        <v>3977</v>
      </c>
      <c r="B421" s="1291" t="s">
        <v>2590</v>
      </c>
      <c r="C421" s="1292" t="s">
        <v>17</v>
      </c>
      <c r="D421" s="1293">
        <v>5</v>
      </c>
      <c r="E421" s="1294">
        <v>9533.31</v>
      </c>
      <c r="F421" s="1293">
        <v>47666.55</v>
      </c>
      <c r="G421" s="1295" t="s">
        <v>4781</v>
      </c>
      <c r="H421" s="1300"/>
      <c r="I421" s="1297">
        <v>413</v>
      </c>
      <c r="J421" t="str">
        <f t="shared" si="6"/>
        <v>1.413</v>
      </c>
    </row>
    <row r="422" spans="1:10" ht="42.75">
      <c r="A422" s="1290" t="s">
        <v>3978</v>
      </c>
      <c r="B422" s="1291" t="s">
        <v>2593</v>
      </c>
      <c r="C422" s="1292" t="s">
        <v>17</v>
      </c>
      <c r="D422" s="1293">
        <v>5</v>
      </c>
      <c r="E422" s="1294">
        <v>10619.52</v>
      </c>
      <c r="F422" s="1293">
        <v>53097.599999999999</v>
      </c>
      <c r="G422" s="1295" t="s">
        <v>4782</v>
      </c>
      <c r="H422" s="1300" t="s">
        <v>5991</v>
      </c>
      <c r="I422" s="1297">
        <v>414</v>
      </c>
      <c r="J422" t="str">
        <f t="shared" si="6"/>
        <v>1.414</v>
      </c>
    </row>
    <row r="423" spans="1:10" ht="42.75">
      <c r="A423" s="1290" t="s">
        <v>4783</v>
      </c>
      <c r="B423" s="1291" t="s">
        <v>2596</v>
      </c>
      <c r="C423" s="1292" t="s">
        <v>17</v>
      </c>
      <c r="D423" s="1293">
        <v>5</v>
      </c>
      <c r="E423" s="1294">
        <v>15142.55</v>
      </c>
      <c r="F423" s="1293">
        <v>75712.75</v>
      </c>
      <c r="G423" s="1295" t="s">
        <v>4784</v>
      </c>
      <c r="H423" s="1300" t="s">
        <v>5992</v>
      </c>
      <c r="I423" s="1297">
        <v>415</v>
      </c>
      <c r="J423" t="str">
        <f t="shared" si="6"/>
        <v>1.415</v>
      </c>
    </row>
    <row r="424" spans="1:10" ht="42.75">
      <c r="A424" s="1290" t="s">
        <v>4785</v>
      </c>
      <c r="B424" s="1291" t="s">
        <v>2599</v>
      </c>
      <c r="C424" s="1292" t="s">
        <v>17</v>
      </c>
      <c r="D424" s="1293">
        <v>5</v>
      </c>
      <c r="E424" s="1294">
        <v>17273.29</v>
      </c>
      <c r="F424" s="1293">
        <v>86366.45</v>
      </c>
      <c r="G424" s="1295" t="s">
        <v>4786</v>
      </c>
      <c r="H424" s="1300" t="s">
        <v>5993</v>
      </c>
      <c r="I424" s="1297">
        <v>416</v>
      </c>
      <c r="J424" t="str">
        <f t="shared" si="6"/>
        <v>1.416</v>
      </c>
    </row>
    <row r="425" spans="1:10" ht="42.75">
      <c r="A425" s="1290" t="s">
        <v>4787</v>
      </c>
      <c r="B425" s="1291" t="s">
        <v>2602</v>
      </c>
      <c r="C425" s="1292" t="s">
        <v>17</v>
      </c>
      <c r="D425" s="1293">
        <v>5</v>
      </c>
      <c r="E425" s="1294">
        <v>17114.72</v>
      </c>
      <c r="F425" s="1293">
        <v>85573.6</v>
      </c>
      <c r="G425" s="1295" t="s">
        <v>4788</v>
      </c>
      <c r="H425" s="1300" t="s">
        <v>5994</v>
      </c>
      <c r="I425" s="1297">
        <v>417</v>
      </c>
      <c r="J425" t="str">
        <f t="shared" si="6"/>
        <v>1.417</v>
      </c>
    </row>
    <row r="426" spans="1:10" ht="42.75">
      <c r="A426" s="1290" t="s">
        <v>4789</v>
      </c>
      <c r="B426" s="1291" t="s">
        <v>2605</v>
      </c>
      <c r="C426" s="1292" t="s">
        <v>17</v>
      </c>
      <c r="D426" s="1293">
        <v>5</v>
      </c>
      <c r="E426" s="1294">
        <v>19639.07</v>
      </c>
      <c r="F426" s="1293">
        <v>98195.35</v>
      </c>
      <c r="G426" s="1295" t="s">
        <v>4790</v>
      </c>
      <c r="H426" s="1300" t="s">
        <v>5995</v>
      </c>
      <c r="I426" s="1297">
        <v>418</v>
      </c>
      <c r="J426" t="str">
        <f t="shared" si="6"/>
        <v>1.418</v>
      </c>
    </row>
    <row r="427" spans="1:10" ht="42.75">
      <c r="A427" s="1290" t="s">
        <v>4791</v>
      </c>
      <c r="B427" s="1291" t="s">
        <v>2608</v>
      </c>
      <c r="C427" s="1292" t="s">
        <v>3</v>
      </c>
      <c r="D427" s="1293">
        <v>20</v>
      </c>
      <c r="E427" s="1294">
        <v>16.91</v>
      </c>
      <c r="F427" s="1293">
        <v>338.2</v>
      </c>
      <c r="G427" s="1295" t="s">
        <v>4792</v>
      </c>
      <c r="H427" s="1300" t="s">
        <v>5996</v>
      </c>
      <c r="I427" s="1297">
        <v>419</v>
      </c>
      <c r="J427" t="str">
        <f t="shared" si="6"/>
        <v>1.419</v>
      </c>
    </row>
    <row r="428" spans="1:10" ht="142.5">
      <c r="A428" s="1290" t="s">
        <v>4793</v>
      </c>
      <c r="B428" s="1291" t="s">
        <v>2914</v>
      </c>
      <c r="C428" s="1292" t="s">
        <v>2490</v>
      </c>
      <c r="D428" s="1293">
        <v>2</v>
      </c>
      <c r="E428" s="1294">
        <v>14903.07</v>
      </c>
      <c r="F428" s="1293">
        <v>29806.14</v>
      </c>
      <c r="G428" s="1295" t="s">
        <v>3413</v>
      </c>
      <c r="H428" s="1300" t="s">
        <v>5997</v>
      </c>
      <c r="I428" s="1297">
        <v>420</v>
      </c>
      <c r="J428" t="str">
        <f t="shared" si="6"/>
        <v>1.420</v>
      </c>
    </row>
    <row r="429" spans="1:10" ht="71.25">
      <c r="A429" s="1290" t="s">
        <v>4794</v>
      </c>
      <c r="B429" s="1291" t="s">
        <v>2617</v>
      </c>
      <c r="C429" s="1292" t="s">
        <v>2618</v>
      </c>
      <c r="D429" s="1293">
        <v>10</v>
      </c>
      <c r="E429" s="1294">
        <v>763.52</v>
      </c>
      <c r="F429" s="1293">
        <v>7635.2</v>
      </c>
      <c r="G429" s="1295" t="s">
        <v>4795</v>
      </c>
      <c r="H429" s="1300" t="s">
        <v>5998</v>
      </c>
      <c r="I429" s="1297">
        <v>421</v>
      </c>
      <c r="J429" t="str">
        <f t="shared" si="6"/>
        <v>1.421</v>
      </c>
    </row>
    <row r="430" spans="1:10" ht="71.25">
      <c r="A430" s="1290" t="s">
        <v>4796</v>
      </c>
      <c r="B430" s="1291" t="s">
        <v>2626</v>
      </c>
      <c r="C430" s="1292" t="s">
        <v>2618</v>
      </c>
      <c r="D430" s="1293">
        <v>10</v>
      </c>
      <c r="E430" s="1294">
        <v>803.26</v>
      </c>
      <c r="F430" s="1293">
        <v>8032.6</v>
      </c>
      <c r="G430" s="1295" t="s">
        <v>4797</v>
      </c>
      <c r="H430" s="1300" t="s">
        <v>5999</v>
      </c>
      <c r="I430" s="1297">
        <v>422</v>
      </c>
      <c r="J430" t="str">
        <f t="shared" si="6"/>
        <v>1.422</v>
      </c>
    </row>
    <row r="431" spans="1:10" ht="42.75">
      <c r="A431" s="1290" t="s">
        <v>4798</v>
      </c>
      <c r="B431" s="1291" t="s">
        <v>2631</v>
      </c>
      <c r="C431" s="1292" t="s">
        <v>17</v>
      </c>
      <c r="D431" s="1293">
        <v>1</v>
      </c>
      <c r="E431" s="1294">
        <v>3638.57</v>
      </c>
      <c r="F431" s="1293">
        <v>3638.57</v>
      </c>
      <c r="G431" s="1295" t="s">
        <v>4799</v>
      </c>
      <c r="H431" s="1300" t="s">
        <v>6000</v>
      </c>
      <c r="I431" s="1297">
        <v>423</v>
      </c>
      <c r="J431" t="str">
        <f t="shared" si="6"/>
        <v>1.423</v>
      </c>
    </row>
    <row r="432" spans="1:10" ht="42.75">
      <c r="A432" s="1290" t="s">
        <v>4800</v>
      </c>
      <c r="B432" s="1291" t="s">
        <v>2642</v>
      </c>
      <c r="C432" s="1292" t="s">
        <v>17</v>
      </c>
      <c r="D432" s="1293">
        <v>1</v>
      </c>
      <c r="E432" s="1294">
        <v>2561.54</v>
      </c>
      <c r="F432" s="1293">
        <v>2561.54</v>
      </c>
      <c r="G432" s="1295" t="s">
        <v>4801</v>
      </c>
      <c r="H432" s="1300" t="s">
        <v>6001</v>
      </c>
      <c r="I432" s="1297">
        <v>424</v>
      </c>
      <c r="J432" t="str">
        <f t="shared" si="6"/>
        <v>1.424</v>
      </c>
    </row>
    <row r="433" spans="1:10" ht="47.25">
      <c r="A433" s="1290" t="s">
        <v>4802</v>
      </c>
      <c r="B433" s="1291" t="s">
        <v>3418</v>
      </c>
      <c r="C433" s="1292" t="s">
        <v>3</v>
      </c>
      <c r="D433" s="1293">
        <v>10</v>
      </c>
      <c r="E433" s="1294">
        <v>350.72</v>
      </c>
      <c r="F433" s="1293">
        <v>3507.2</v>
      </c>
      <c r="G433" s="1295" t="s">
        <v>3419</v>
      </c>
      <c r="H433" s="1300" t="s">
        <v>6002</v>
      </c>
      <c r="I433" s="1297">
        <v>425</v>
      </c>
      <c r="J433" t="str">
        <f t="shared" si="6"/>
        <v>1.425</v>
      </c>
    </row>
    <row r="434" spans="1:10" ht="71.25">
      <c r="A434" s="1290" t="s">
        <v>4803</v>
      </c>
      <c r="B434" s="1291" t="s">
        <v>3420</v>
      </c>
      <c r="C434" s="1292" t="s">
        <v>2490</v>
      </c>
      <c r="D434" s="1293">
        <v>2</v>
      </c>
      <c r="E434" s="1294">
        <v>4967.6899999999996</v>
      </c>
      <c r="F434" s="1293">
        <v>9935.3799999999992</v>
      </c>
      <c r="G434" s="1295" t="s">
        <v>3421</v>
      </c>
      <c r="H434" s="1300" t="s">
        <v>6003</v>
      </c>
      <c r="I434" s="1297">
        <v>426</v>
      </c>
      <c r="J434" t="str">
        <f t="shared" si="6"/>
        <v>1.426</v>
      </c>
    </row>
    <row r="435" spans="1:10" ht="31.5">
      <c r="A435" s="1290" t="s">
        <v>4804</v>
      </c>
      <c r="B435" s="1291" t="s">
        <v>3655</v>
      </c>
      <c r="C435" s="1292" t="s">
        <v>3</v>
      </c>
      <c r="D435" s="1293">
        <v>20</v>
      </c>
      <c r="E435" s="1294">
        <v>59.49</v>
      </c>
      <c r="F435" s="1293">
        <v>1189.8</v>
      </c>
      <c r="G435" s="1295" t="s">
        <v>3656</v>
      </c>
      <c r="H435" s="1300" t="s">
        <v>6004</v>
      </c>
      <c r="I435" s="1297">
        <v>427</v>
      </c>
      <c r="J435" t="str">
        <f t="shared" si="6"/>
        <v>1.427</v>
      </c>
    </row>
    <row r="436" spans="1:10" ht="42.75">
      <c r="A436" s="1290" t="s">
        <v>4805</v>
      </c>
      <c r="B436" s="1291" t="s">
        <v>3657</v>
      </c>
      <c r="C436" s="1292" t="s">
        <v>3658</v>
      </c>
      <c r="D436" s="1293">
        <v>2</v>
      </c>
      <c r="E436" s="1294">
        <v>2618.7399999999998</v>
      </c>
      <c r="F436" s="1293">
        <v>5237.4799999999996</v>
      </c>
      <c r="G436" s="1295" t="s">
        <v>4806</v>
      </c>
      <c r="H436" s="1300" t="s">
        <v>6005</v>
      </c>
      <c r="I436" s="1297">
        <v>428</v>
      </c>
      <c r="J436" t="str">
        <f t="shared" si="6"/>
        <v>1.428</v>
      </c>
    </row>
    <row r="437" spans="1:10" ht="31.5">
      <c r="A437" s="1290" t="s">
        <v>4807</v>
      </c>
      <c r="B437" s="1291" t="s">
        <v>2860</v>
      </c>
      <c r="C437" s="1292" t="s">
        <v>927</v>
      </c>
      <c r="D437" s="1293">
        <v>20</v>
      </c>
      <c r="E437" s="1294">
        <v>280</v>
      </c>
      <c r="F437" s="1293">
        <v>5600</v>
      </c>
      <c r="G437" s="1295" t="s">
        <v>3422</v>
      </c>
      <c r="H437" s="1300" t="s">
        <v>6006</v>
      </c>
      <c r="I437" s="1297">
        <v>429</v>
      </c>
      <c r="J437" t="str">
        <f t="shared" si="6"/>
        <v>1.429</v>
      </c>
    </row>
    <row r="438" spans="1:10" ht="31.5">
      <c r="A438" s="1290" t="s">
        <v>4808</v>
      </c>
      <c r="B438" s="1291" t="s">
        <v>3423</v>
      </c>
      <c r="C438" s="1292" t="s">
        <v>927</v>
      </c>
      <c r="D438" s="1293">
        <v>20</v>
      </c>
      <c r="E438" s="1294">
        <v>350</v>
      </c>
      <c r="F438" s="1293">
        <v>7000</v>
      </c>
      <c r="G438" s="1295" t="s">
        <v>3424</v>
      </c>
      <c r="H438" s="1300" t="s">
        <v>6007</v>
      </c>
      <c r="I438" s="1297">
        <v>430</v>
      </c>
      <c r="J438" t="str">
        <f t="shared" si="6"/>
        <v>1.430</v>
      </c>
    </row>
    <row r="439" spans="1:10" ht="31.5">
      <c r="A439" s="1290" t="s">
        <v>4809</v>
      </c>
      <c r="B439" s="1291" t="s">
        <v>3425</v>
      </c>
      <c r="C439" s="1292" t="s">
        <v>2490</v>
      </c>
      <c r="D439" s="1293">
        <v>1</v>
      </c>
      <c r="E439" s="1294">
        <v>49676.91</v>
      </c>
      <c r="F439" s="1293">
        <v>49676.91</v>
      </c>
      <c r="G439" s="1295" t="s">
        <v>3426</v>
      </c>
      <c r="H439" s="1300" t="s">
        <v>6008</v>
      </c>
      <c r="I439" s="1297">
        <v>431</v>
      </c>
      <c r="J439" t="str">
        <f t="shared" si="6"/>
        <v>1.431</v>
      </c>
    </row>
    <row r="440" spans="1:10" ht="42.75">
      <c r="A440" s="1290" t="s">
        <v>4810</v>
      </c>
      <c r="B440" s="1291" t="s">
        <v>2653</v>
      </c>
      <c r="C440" s="1292" t="s">
        <v>17</v>
      </c>
      <c r="D440" s="1293">
        <v>100</v>
      </c>
      <c r="E440" s="1294">
        <v>291.83999999999997</v>
      </c>
      <c r="F440" s="1293">
        <v>29184</v>
      </c>
      <c r="G440" s="1295" t="s">
        <v>4811</v>
      </c>
      <c r="H440" s="1300" t="s">
        <v>6009</v>
      </c>
      <c r="I440" s="1297">
        <v>432</v>
      </c>
      <c r="J440" t="str">
        <f t="shared" si="6"/>
        <v>1.432</v>
      </c>
    </row>
    <row r="441" spans="1:10" ht="42.75">
      <c r="A441" s="1290" t="s">
        <v>4812</v>
      </c>
      <c r="B441" s="1291" t="s">
        <v>2663</v>
      </c>
      <c r="C441" s="1292" t="s">
        <v>17</v>
      </c>
      <c r="D441" s="1293">
        <v>50</v>
      </c>
      <c r="E441" s="1294">
        <v>253.64</v>
      </c>
      <c r="F441" s="1293">
        <v>12682</v>
      </c>
      <c r="G441" s="1295" t="s">
        <v>4813</v>
      </c>
      <c r="H441" s="1300" t="s">
        <v>6010</v>
      </c>
      <c r="I441" s="1297">
        <v>433</v>
      </c>
      <c r="J441" t="str">
        <f t="shared" si="6"/>
        <v>1.433</v>
      </c>
    </row>
    <row r="442" spans="1:10" ht="42.75">
      <c r="A442" s="1290" t="s">
        <v>4814</v>
      </c>
      <c r="B442" s="1291" t="s">
        <v>2670</v>
      </c>
      <c r="C442" s="1292" t="s">
        <v>3</v>
      </c>
      <c r="D442" s="1293">
        <v>1</v>
      </c>
      <c r="E442" s="1294">
        <v>1185.55</v>
      </c>
      <c r="F442" s="1293">
        <v>1185.55</v>
      </c>
      <c r="G442" s="1295" t="s">
        <v>4815</v>
      </c>
      <c r="H442" s="1300" t="s">
        <v>6011</v>
      </c>
      <c r="I442" s="1297">
        <v>434</v>
      </c>
      <c r="J442" t="str">
        <f t="shared" si="6"/>
        <v>1.434</v>
      </c>
    </row>
    <row r="443" spans="1:10" ht="42.75">
      <c r="A443" s="1290" t="s">
        <v>4816</v>
      </c>
      <c r="B443" s="1291" t="s">
        <v>2678</v>
      </c>
      <c r="C443" s="1292" t="s">
        <v>2679</v>
      </c>
      <c r="D443" s="1293">
        <v>1</v>
      </c>
      <c r="E443" s="1294">
        <v>659.99</v>
      </c>
      <c r="F443" s="1293">
        <v>659.99</v>
      </c>
      <c r="G443" s="1295" t="s">
        <v>4817</v>
      </c>
      <c r="H443" s="1300" t="s">
        <v>6012</v>
      </c>
      <c r="I443" s="1297">
        <v>435</v>
      </c>
      <c r="J443" t="str">
        <f t="shared" si="6"/>
        <v>1.435</v>
      </c>
    </row>
    <row r="444" spans="1:10" ht="42.75">
      <c r="A444" s="1290" t="s">
        <v>4818</v>
      </c>
      <c r="B444" s="1291" t="s">
        <v>2684</v>
      </c>
      <c r="C444" s="1292" t="s">
        <v>3</v>
      </c>
      <c r="D444" s="1293">
        <v>1</v>
      </c>
      <c r="E444" s="1294">
        <v>2305.84</v>
      </c>
      <c r="F444" s="1293">
        <v>2305.84</v>
      </c>
      <c r="G444" s="1295" t="s">
        <v>4819</v>
      </c>
      <c r="H444" s="1300" t="s">
        <v>6013</v>
      </c>
      <c r="I444" s="1297">
        <v>436</v>
      </c>
      <c r="J444" t="str">
        <f t="shared" si="6"/>
        <v>1.436</v>
      </c>
    </row>
    <row r="445" spans="1:10" ht="42.75">
      <c r="A445" s="1290" t="s">
        <v>4820</v>
      </c>
      <c r="B445" s="1291" t="s">
        <v>2693</v>
      </c>
      <c r="C445" s="1292" t="s">
        <v>2694</v>
      </c>
      <c r="D445" s="1293">
        <v>1</v>
      </c>
      <c r="E445" s="1294">
        <v>159.63999999999999</v>
      </c>
      <c r="F445" s="1293">
        <v>159.63999999999999</v>
      </c>
      <c r="G445" s="1295" t="s">
        <v>4821</v>
      </c>
      <c r="H445" s="1300"/>
      <c r="I445" s="1297">
        <v>437</v>
      </c>
      <c r="J445" t="str">
        <f t="shared" si="6"/>
        <v>1.437</v>
      </c>
    </row>
    <row r="446" spans="1:10" ht="42.75">
      <c r="A446" s="1290" t="s">
        <v>4822</v>
      </c>
      <c r="B446" s="1291" t="s">
        <v>2702</v>
      </c>
      <c r="C446" s="1292" t="s">
        <v>17</v>
      </c>
      <c r="D446" s="1293">
        <v>1</v>
      </c>
      <c r="E446" s="1294">
        <v>308.08</v>
      </c>
      <c r="F446" s="1293">
        <v>308.08</v>
      </c>
      <c r="G446" s="1295" t="s">
        <v>4823</v>
      </c>
      <c r="H446" s="1300" t="s">
        <v>6014</v>
      </c>
      <c r="I446" s="1297">
        <v>438</v>
      </c>
      <c r="J446" t="str">
        <f t="shared" si="6"/>
        <v>1.438</v>
      </c>
    </row>
    <row r="447" spans="1:10" ht="42.75">
      <c r="A447" s="1290" t="s">
        <v>4824</v>
      </c>
      <c r="B447" s="1291" t="s">
        <v>2707</v>
      </c>
      <c r="C447" s="1292" t="s">
        <v>17</v>
      </c>
      <c r="D447" s="1293">
        <v>1</v>
      </c>
      <c r="E447" s="1294">
        <v>309.81</v>
      </c>
      <c r="F447" s="1293">
        <v>309.81</v>
      </c>
      <c r="G447" s="1295" t="s">
        <v>4825</v>
      </c>
      <c r="H447" s="1300" t="s">
        <v>6015</v>
      </c>
      <c r="I447" s="1297">
        <v>439</v>
      </c>
      <c r="J447" t="str">
        <f t="shared" si="6"/>
        <v>1.439</v>
      </c>
    </row>
    <row r="448" spans="1:10" ht="42.75">
      <c r="A448" s="1290" t="s">
        <v>4826</v>
      </c>
      <c r="B448" s="1291" t="s">
        <v>2712</v>
      </c>
      <c r="C448" s="1292" t="s">
        <v>3</v>
      </c>
      <c r="D448" s="1293">
        <v>5</v>
      </c>
      <c r="E448" s="1294">
        <v>668.13</v>
      </c>
      <c r="F448" s="1293">
        <v>3340.65</v>
      </c>
      <c r="G448" s="1295" t="s">
        <v>4827</v>
      </c>
      <c r="H448" s="1300"/>
      <c r="I448" s="1297">
        <v>440</v>
      </c>
      <c r="J448" t="str">
        <f t="shared" si="6"/>
        <v>1.440</v>
      </c>
    </row>
    <row r="449" spans="1:10" ht="42.75">
      <c r="A449" s="1290" t="s">
        <v>4828</v>
      </c>
      <c r="B449" s="1291" t="s">
        <v>3659</v>
      </c>
      <c r="C449" s="1292" t="s">
        <v>3</v>
      </c>
      <c r="D449" s="1293">
        <v>5</v>
      </c>
      <c r="E449" s="1294">
        <v>1701.92</v>
      </c>
      <c r="F449" s="1293">
        <v>8509.6</v>
      </c>
      <c r="G449" s="1295" t="s">
        <v>4829</v>
      </c>
      <c r="H449" s="1300" t="s">
        <v>6016</v>
      </c>
      <c r="I449" s="1297">
        <v>441</v>
      </c>
      <c r="J449" t="str">
        <f t="shared" si="6"/>
        <v>1.441</v>
      </c>
    </row>
    <row r="450" spans="1:10" ht="28.5">
      <c r="A450" s="1290" t="s">
        <v>4830</v>
      </c>
      <c r="B450" s="1291" t="s">
        <v>3660</v>
      </c>
      <c r="C450" s="1292" t="s">
        <v>3</v>
      </c>
      <c r="D450" s="1293">
        <v>1</v>
      </c>
      <c r="E450" s="1294">
        <v>364.3</v>
      </c>
      <c r="F450" s="1293">
        <v>364.3</v>
      </c>
      <c r="G450" s="1295" t="s">
        <v>3661</v>
      </c>
      <c r="H450" s="1300" t="s">
        <v>6017</v>
      </c>
      <c r="I450" s="1297">
        <v>442</v>
      </c>
      <c r="J450" t="str">
        <f t="shared" ref="J450:J505" si="7">A450</f>
        <v>1.442</v>
      </c>
    </row>
    <row r="451" spans="1:10" ht="84.6" customHeight="1">
      <c r="A451" s="1290" t="s">
        <v>4831</v>
      </c>
      <c r="B451" s="1291" t="s">
        <v>2725</v>
      </c>
      <c r="C451" s="1292" t="s">
        <v>2679</v>
      </c>
      <c r="D451" s="1293">
        <v>1</v>
      </c>
      <c r="E451" s="1294">
        <v>250.38</v>
      </c>
      <c r="F451" s="1293">
        <v>250.38</v>
      </c>
      <c r="G451" s="1295" t="s">
        <v>4832</v>
      </c>
      <c r="H451" s="1300" t="s">
        <v>6018</v>
      </c>
      <c r="I451" s="1297">
        <v>443</v>
      </c>
      <c r="J451" t="str">
        <f t="shared" si="7"/>
        <v>1.443</v>
      </c>
    </row>
    <row r="452" spans="1:10" ht="57">
      <c r="A452" s="1290" t="s">
        <v>4833</v>
      </c>
      <c r="B452" s="1291" t="s">
        <v>2732</v>
      </c>
      <c r="C452" s="1292" t="s">
        <v>1818</v>
      </c>
      <c r="D452" s="1293">
        <v>1</v>
      </c>
      <c r="E452" s="1294">
        <v>841.67</v>
      </c>
      <c r="F452" s="1293">
        <v>841.67</v>
      </c>
      <c r="G452" s="1295" t="s">
        <v>4834</v>
      </c>
      <c r="H452" s="1300"/>
      <c r="I452" s="1297">
        <v>444</v>
      </c>
      <c r="J452" t="str">
        <f t="shared" si="7"/>
        <v>1.444</v>
      </c>
    </row>
    <row r="453" spans="1:10" ht="42.75">
      <c r="A453" s="1290" t="s">
        <v>4835</v>
      </c>
      <c r="B453" s="1291" t="s">
        <v>2737</v>
      </c>
      <c r="C453" s="1292" t="s">
        <v>1818</v>
      </c>
      <c r="D453" s="1293">
        <v>1</v>
      </c>
      <c r="E453" s="1294">
        <v>1228.49</v>
      </c>
      <c r="F453" s="1293">
        <v>1228.49</v>
      </c>
      <c r="G453" s="1295" t="s">
        <v>4836</v>
      </c>
      <c r="H453" s="1300" t="s">
        <v>6019</v>
      </c>
      <c r="I453" s="1297">
        <v>445</v>
      </c>
      <c r="J453" t="str">
        <f t="shared" si="7"/>
        <v>1.445</v>
      </c>
    </row>
    <row r="454" spans="1:10" ht="42.75">
      <c r="A454" s="1290" t="s">
        <v>4837</v>
      </c>
      <c r="B454" s="1291" t="s">
        <v>2750</v>
      </c>
      <c r="C454" s="1292" t="s">
        <v>1818</v>
      </c>
      <c r="D454" s="1293">
        <v>1</v>
      </c>
      <c r="E454" s="1294">
        <v>2442.1799999999998</v>
      </c>
      <c r="F454" s="1293">
        <v>2442.1799999999998</v>
      </c>
      <c r="G454" s="1295" t="s">
        <v>4838</v>
      </c>
      <c r="H454" s="1300" t="s">
        <v>6020</v>
      </c>
      <c r="I454" s="1297">
        <v>446</v>
      </c>
      <c r="J454" t="str">
        <f t="shared" si="7"/>
        <v>1.446</v>
      </c>
    </row>
    <row r="455" spans="1:10" ht="42.75">
      <c r="A455" s="1290" t="s">
        <v>4839</v>
      </c>
      <c r="B455" s="1291" t="s">
        <v>2755</v>
      </c>
      <c r="C455" s="1292" t="s">
        <v>2679</v>
      </c>
      <c r="D455" s="1293">
        <v>10</v>
      </c>
      <c r="E455" s="1294">
        <v>328.3</v>
      </c>
      <c r="F455" s="1293">
        <v>3283</v>
      </c>
      <c r="G455" s="1295" t="s">
        <v>4840</v>
      </c>
      <c r="H455" s="1300" t="s">
        <v>6021</v>
      </c>
      <c r="I455" s="1297">
        <v>447</v>
      </c>
      <c r="J455" t="str">
        <f t="shared" si="7"/>
        <v>1.447</v>
      </c>
    </row>
    <row r="456" spans="1:10" ht="47.25">
      <c r="A456" s="1290" t="s">
        <v>4841</v>
      </c>
      <c r="B456" s="1291" t="s">
        <v>913</v>
      </c>
      <c r="C456" s="1292" t="s">
        <v>3</v>
      </c>
      <c r="D456" s="1293">
        <v>10</v>
      </c>
      <c r="E456" s="1294">
        <v>913.96</v>
      </c>
      <c r="F456" s="1293">
        <v>9139.6</v>
      </c>
      <c r="G456" s="1295" t="s">
        <v>4842</v>
      </c>
      <c r="H456" s="1300" t="s">
        <v>6022</v>
      </c>
      <c r="I456" s="1297">
        <v>448</v>
      </c>
      <c r="J456" t="str">
        <f t="shared" si="7"/>
        <v>1.448</v>
      </c>
    </row>
    <row r="457" spans="1:10" ht="47.25">
      <c r="A457" s="1290" t="s">
        <v>4843</v>
      </c>
      <c r="B457" s="1291" t="s">
        <v>2778</v>
      </c>
      <c r="C457" s="1292" t="s">
        <v>3</v>
      </c>
      <c r="D457" s="1293">
        <v>10</v>
      </c>
      <c r="E457" s="1294">
        <v>649.07000000000005</v>
      </c>
      <c r="F457" s="1293">
        <v>6490.7</v>
      </c>
      <c r="G457" s="1295" t="s">
        <v>4844</v>
      </c>
      <c r="H457" s="1300" t="s">
        <v>6023</v>
      </c>
      <c r="I457" s="1297">
        <v>449</v>
      </c>
      <c r="J457" t="str">
        <f t="shared" si="7"/>
        <v>1.449</v>
      </c>
    </row>
    <row r="458" spans="1:10" ht="28.5">
      <c r="A458" s="1290" t="s">
        <v>4845</v>
      </c>
      <c r="B458" s="1291" t="s">
        <v>3443</v>
      </c>
      <c r="C458" s="1292" t="s">
        <v>3444</v>
      </c>
      <c r="D458" s="1293">
        <v>2</v>
      </c>
      <c r="E458" s="1294">
        <v>1987.08</v>
      </c>
      <c r="F458" s="1293">
        <v>3974.16</v>
      </c>
      <c r="G458" s="1295" t="s">
        <v>3445</v>
      </c>
      <c r="H458" s="1300" t="s">
        <v>6024</v>
      </c>
      <c r="I458" s="1297">
        <v>450</v>
      </c>
      <c r="J458" t="str">
        <f t="shared" si="7"/>
        <v>1.450</v>
      </c>
    </row>
    <row r="459" spans="1:10" ht="28.5">
      <c r="A459" s="1290" t="s">
        <v>4846</v>
      </c>
      <c r="B459" s="1291" t="s">
        <v>3446</v>
      </c>
      <c r="C459" s="1292" t="s">
        <v>2447</v>
      </c>
      <c r="D459" s="1293">
        <v>1</v>
      </c>
      <c r="E459" s="1294">
        <v>14903.07</v>
      </c>
      <c r="F459" s="1293">
        <v>14903.07</v>
      </c>
      <c r="G459" s="1295" t="s">
        <v>3447</v>
      </c>
      <c r="H459" s="1300" t="s">
        <v>6025</v>
      </c>
      <c r="I459" s="1297">
        <v>451</v>
      </c>
      <c r="J459" t="str">
        <f t="shared" si="7"/>
        <v>1.451</v>
      </c>
    </row>
    <row r="460" spans="1:10" ht="28.5">
      <c r="A460" s="1290" t="s">
        <v>4847</v>
      </c>
      <c r="B460" s="1291" t="s">
        <v>2462</v>
      </c>
      <c r="C460" s="1292" t="s">
        <v>927</v>
      </c>
      <c r="D460" s="1293">
        <v>10</v>
      </c>
      <c r="E460" s="1294">
        <v>178.84</v>
      </c>
      <c r="F460" s="1293">
        <v>1788.4</v>
      </c>
      <c r="G460" s="1295" t="s">
        <v>2463</v>
      </c>
      <c r="H460" s="1300" t="s">
        <v>6026</v>
      </c>
      <c r="I460" s="1297">
        <v>452</v>
      </c>
      <c r="J460" t="str">
        <f t="shared" si="7"/>
        <v>1.452</v>
      </c>
    </row>
    <row r="461" spans="1:10" ht="28.5">
      <c r="A461" s="1290" t="s">
        <v>3448</v>
      </c>
      <c r="B461" s="1291" t="s">
        <v>3449</v>
      </c>
      <c r="C461" s="1292" t="s">
        <v>14</v>
      </c>
      <c r="D461" s="1293">
        <v>1</v>
      </c>
      <c r="E461" s="1294"/>
      <c r="F461" s="1293">
        <v>216748.35</v>
      </c>
      <c r="G461" s="1295" t="s">
        <v>3450</v>
      </c>
      <c r="H461" s="1300" t="s">
        <v>5557</v>
      </c>
      <c r="I461" s="1297">
        <v>453</v>
      </c>
      <c r="J461" t="str">
        <f t="shared" si="7"/>
        <v>　二</v>
      </c>
    </row>
    <row r="462" spans="1:10" ht="47.25">
      <c r="A462" s="1290" t="s">
        <v>337</v>
      </c>
      <c r="B462" s="1291" t="s">
        <v>3451</v>
      </c>
      <c r="C462" s="1292" t="s">
        <v>1689</v>
      </c>
      <c r="D462" s="1293">
        <v>5</v>
      </c>
      <c r="E462" s="1294">
        <v>1937.4</v>
      </c>
      <c r="F462" s="1293">
        <v>9687</v>
      </c>
      <c r="G462" s="1295" t="s">
        <v>3452</v>
      </c>
      <c r="H462" s="1300" t="s">
        <v>5558</v>
      </c>
      <c r="I462" s="1297">
        <v>454</v>
      </c>
      <c r="J462" t="str">
        <f t="shared" si="7"/>
        <v>2.1</v>
      </c>
    </row>
    <row r="463" spans="1:10" ht="63">
      <c r="A463" s="1290" t="s">
        <v>338</v>
      </c>
      <c r="B463" s="1291" t="s">
        <v>3453</v>
      </c>
      <c r="C463" s="1292" t="s">
        <v>2679</v>
      </c>
      <c r="D463" s="1293">
        <v>10</v>
      </c>
      <c r="E463" s="1294">
        <v>298.06</v>
      </c>
      <c r="F463" s="1293">
        <v>2980.6</v>
      </c>
      <c r="G463" s="1295" t="s">
        <v>3454</v>
      </c>
      <c r="H463" s="1300" t="s">
        <v>5559</v>
      </c>
      <c r="I463" s="1297">
        <v>455</v>
      </c>
      <c r="J463" t="str">
        <f t="shared" si="7"/>
        <v>2.2</v>
      </c>
    </row>
    <row r="464" spans="1:10" ht="63">
      <c r="A464" s="1290" t="s">
        <v>339</v>
      </c>
      <c r="B464" s="1291" t="s">
        <v>3455</v>
      </c>
      <c r="C464" s="1292" t="s">
        <v>1689</v>
      </c>
      <c r="D464" s="1293">
        <v>5</v>
      </c>
      <c r="E464" s="1294">
        <v>1490.31</v>
      </c>
      <c r="F464" s="1293">
        <v>7451.55</v>
      </c>
      <c r="G464" s="1295" t="s">
        <v>3456</v>
      </c>
      <c r="H464" s="1300" t="s">
        <v>5560</v>
      </c>
      <c r="I464" s="1297">
        <v>456</v>
      </c>
      <c r="J464" t="str">
        <f t="shared" si="7"/>
        <v>2.3</v>
      </c>
    </row>
    <row r="465" spans="1:10" ht="63">
      <c r="A465" s="1290" t="s">
        <v>340</v>
      </c>
      <c r="B465" s="1291" t="s">
        <v>3457</v>
      </c>
      <c r="C465" s="1292" t="s">
        <v>1689</v>
      </c>
      <c r="D465" s="1293">
        <v>5</v>
      </c>
      <c r="E465" s="1294">
        <v>1490.31</v>
      </c>
      <c r="F465" s="1293">
        <v>7451.55</v>
      </c>
      <c r="G465" s="1295" t="s">
        <v>3458</v>
      </c>
      <c r="H465" s="1300" t="s">
        <v>5561</v>
      </c>
      <c r="I465" s="1297">
        <v>457</v>
      </c>
      <c r="J465" t="str">
        <f t="shared" si="7"/>
        <v>2.4</v>
      </c>
    </row>
    <row r="466" spans="1:10" ht="63">
      <c r="A466" s="1290" t="s">
        <v>341</v>
      </c>
      <c r="B466" s="1291" t="s">
        <v>3459</v>
      </c>
      <c r="C466" s="1292" t="s">
        <v>1689</v>
      </c>
      <c r="D466" s="1293">
        <v>2</v>
      </c>
      <c r="E466" s="1294">
        <v>2980.61</v>
      </c>
      <c r="F466" s="1293">
        <v>5961.22</v>
      </c>
      <c r="G466" s="1295" t="s">
        <v>3460</v>
      </c>
      <c r="H466" s="1300" t="s">
        <v>5562</v>
      </c>
      <c r="I466" s="1297">
        <v>458</v>
      </c>
      <c r="J466" t="str">
        <f t="shared" si="7"/>
        <v>2.5</v>
      </c>
    </row>
    <row r="467" spans="1:10" ht="63">
      <c r="A467" s="1290" t="s">
        <v>342</v>
      </c>
      <c r="B467" s="1291" t="s">
        <v>3461</v>
      </c>
      <c r="C467" s="1292" t="s">
        <v>1689</v>
      </c>
      <c r="D467" s="1293">
        <v>1</v>
      </c>
      <c r="E467" s="1294">
        <v>5961.23</v>
      </c>
      <c r="F467" s="1293">
        <v>5961.23</v>
      </c>
      <c r="G467" s="1295" t="s">
        <v>3462</v>
      </c>
      <c r="H467" s="1300" t="s">
        <v>5563</v>
      </c>
      <c r="I467" s="1297">
        <v>459</v>
      </c>
      <c r="J467" t="str">
        <f t="shared" si="7"/>
        <v>2.6</v>
      </c>
    </row>
    <row r="468" spans="1:10" ht="63">
      <c r="A468" s="1290" t="s">
        <v>343</v>
      </c>
      <c r="B468" s="1291" t="s">
        <v>3463</v>
      </c>
      <c r="C468" s="1292" t="s">
        <v>1689</v>
      </c>
      <c r="D468" s="1293">
        <v>1</v>
      </c>
      <c r="E468" s="1294">
        <v>11922.46</v>
      </c>
      <c r="F468" s="1293">
        <v>11922.46</v>
      </c>
      <c r="G468" s="1295" t="s">
        <v>3464</v>
      </c>
      <c r="H468" s="1300" t="s">
        <v>5564</v>
      </c>
      <c r="I468" s="1297">
        <v>460</v>
      </c>
      <c r="J468" t="str">
        <f t="shared" si="7"/>
        <v>2.7</v>
      </c>
    </row>
    <row r="469" spans="1:10" ht="63">
      <c r="A469" s="1290" t="s">
        <v>344</v>
      </c>
      <c r="B469" s="1291" t="s">
        <v>3465</v>
      </c>
      <c r="C469" s="1292" t="s">
        <v>2238</v>
      </c>
      <c r="D469" s="1293">
        <v>1</v>
      </c>
      <c r="E469" s="1294">
        <v>993.54</v>
      </c>
      <c r="F469" s="1293">
        <v>993.54</v>
      </c>
      <c r="G469" s="1295" t="s">
        <v>3466</v>
      </c>
      <c r="H469" s="1300" t="s">
        <v>5565</v>
      </c>
      <c r="I469" s="1297">
        <v>461</v>
      </c>
      <c r="J469" t="str">
        <f t="shared" si="7"/>
        <v>2.8</v>
      </c>
    </row>
    <row r="470" spans="1:10" ht="47.25">
      <c r="A470" s="1290" t="s">
        <v>345</v>
      </c>
      <c r="B470" s="1291" t="s">
        <v>4848</v>
      </c>
      <c r="C470" s="1292" t="s">
        <v>1689</v>
      </c>
      <c r="D470" s="1293">
        <v>1</v>
      </c>
      <c r="E470" s="1294">
        <v>1490.31</v>
      </c>
      <c r="F470" s="1293">
        <v>1490.31</v>
      </c>
      <c r="G470" s="1295" t="s">
        <v>4849</v>
      </c>
      <c r="H470" s="1300"/>
      <c r="I470" s="1301"/>
      <c r="J470" t="str">
        <f t="shared" si="7"/>
        <v>2.9</v>
      </c>
    </row>
    <row r="471" spans="1:10" ht="63">
      <c r="A471" s="1290" t="s">
        <v>346</v>
      </c>
      <c r="B471" s="1291" t="s">
        <v>4850</v>
      </c>
      <c r="C471" s="1292" t="s">
        <v>1689</v>
      </c>
      <c r="D471" s="1293">
        <v>1</v>
      </c>
      <c r="E471" s="1294">
        <v>3974.15</v>
      </c>
      <c r="F471" s="1293">
        <v>3974.15</v>
      </c>
      <c r="G471" s="1295" t="s">
        <v>4851</v>
      </c>
      <c r="H471" s="1300" t="s">
        <v>5566</v>
      </c>
      <c r="I471" s="1301"/>
      <c r="J471" t="str">
        <f t="shared" si="7"/>
        <v>2.10</v>
      </c>
    </row>
    <row r="472" spans="1:10" ht="47.25">
      <c r="A472" s="1290" t="s">
        <v>347</v>
      </c>
      <c r="B472" s="1291" t="s">
        <v>4852</v>
      </c>
      <c r="C472" s="1292" t="s">
        <v>1689</v>
      </c>
      <c r="D472" s="1293">
        <v>1</v>
      </c>
      <c r="E472" s="1294">
        <v>43715.68</v>
      </c>
      <c r="F472" s="1293">
        <v>43715.68</v>
      </c>
      <c r="G472" s="1295" t="s">
        <v>4853</v>
      </c>
      <c r="H472" s="1300" t="s">
        <v>5567</v>
      </c>
      <c r="I472" s="1301"/>
      <c r="J472" t="str">
        <f t="shared" si="7"/>
        <v>2.11</v>
      </c>
    </row>
    <row r="473" spans="1:10" ht="47.25">
      <c r="A473" s="1290" t="s">
        <v>348</v>
      </c>
      <c r="B473" s="1291" t="s">
        <v>3467</v>
      </c>
      <c r="C473" s="1292" t="s">
        <v>1689</v>
      </c>
      <c r="D473" s="1293">
        <v>1</v>
      </c>
      <c r="E473" s="1294">
        <v>7948.31</v>
      </c>
      <c r="F473" s="1293">
        <v>7948.31</v>
      </c>
      <c r="G473" s="1295" t="s">
        <v>3468</v>
      </c>
      <c r="H473" s="1300" t="s">
        <v>5568</v>
      </c>
      <c r="I473" s="1301"/>
      <c r="J473" t="str">
        <f t="shared" si="7"/>
        <v>2.12</v>
      </c>
    </row>
    <row r="474" spans="1:10" ht="47.25">
      <c r="A474" s="1290" t="s">
        <v>349</v>
      </c>
      <c r="B474" s="1291" t="s">
        <v>3469</v>
      </c>
      <c r="C474" s="1292" t="s">
        <v>1689</v>
      </c>
      <c r="D474" s="1293">
        <v>1</v>
      </c>
      <c r="E474" s="1294">
        <v>3974.15</v>
      </c>
      <c r="F474" s="1293">
        <v>3974.15</v>
      </c>
      <c r="G474" s="1295" t="s">
        <v>3470</v>
      </c>
      <c r="H474" s="1300" t="s">
        <v>5569</v>
      </c>
      <c r="I474" s="1301"/>
      <c r="J474" t="str">
        <f t="shared" si="7"/>
        <v>2.13</v>
      </c>
    </row>
    <row r="475" spans="1:10" ht="63">
      <c r="A475" s="1290" t="s">
        <v>350</v>
      </c>
      <c r="B475" s="1291" t="s">
        <v>3471</v>
      </c>
      <c r="C475" s="1292" t="s">
        <v>1689</v>
      </c>
      <c r="D475" s="1293">
        <v>1</v>
      </c>
      <c r="E475" s="1294">
        <v>1987.08</v>
      </c>
      <c r="F475" s="1293">
        <v>1987.08</v>
      </c>
      <c r="G475" s="1295" t="s">
        <v>3472</v>
      </c>
      <c r="H475" s="1300" t="s">
        <v>5570</v>
      </c>
      <c r="I475" s="1301"/>
      <c r="J475" t="str">
        <f t="shared" si="7"/>
        <v>2.14</v>
      </c>
    </row>
    <row r="476" spans="1:10" ht="63">
      <c r="A476" s="1290" t="s">
        <v>351</v>
      </c>
      <c r="B476" s="1291" t="s">
        <v>3475</v>
      </c>
      <c r="C476" s="1292" t="s">
        <v>1689</v>
      </c>
      <c r="D476" s="1293">
        <v>2</v>
      </c>
      <c r="E476" s="1294">
        <v>5961.23</v>
      </c>
      <c r="F476" s="1293">
        <v>11922.46</v>
      </c>
      <c r="G476" s="1295" t="s">
        <v>3476</v>
      </c>
      <c r="H476" s="1300" t="s">
        <v>5571</v>
      </c>
      <c r="I476" s="1301"/>
      <c r="J476" t="str">
        <f t="shared" si="7"/>
        <v>2.15</v>
      </c>
    </row>
    <row r="477" spans="1:10" ht="47.25">
      <c r="A477" s="1290" t="s">
        <v>352</v>
      </c>
      <c r="B477" s="1291" t="s">
        <v>3477</v>
      </c>
      <c r="C477" s="1292" t="s">
        <v>3478</v>
      </c>
      <c r="D477" s="1293">
        <v>2</v>
      </c>
      <c r="E477" s="1294">
        <v>1569.79</v>
      </c>
      <c r="F477" s="1293">
        <v>3139.58</v>
      </c>
      <c r="G477" s="1295" t="s">
        <v>3479</v>
      </c>
      <c r="H477" s="1300" t="s">
        <v>5572</v>
      </c>
      <c r="I477" s="1301"/>
      <c r="J477" t="str">
        <f t="shared" si="7"/>
        <v>2.16</v>
      </c>
    </row>
    <row r="478" spans="1:10" ht="47.25">
      <c r="A478" s="1290" t="s">
        <v>353</v>
      </c>
      <c r="B478" s="1291" t="s">
        <v>3480</v>
      </c>
      <c r="C478" s="1292" t="s">
        <v>2490</v>
      </c>
      <c r="D478" s="1293">
        <v>1</v>
      </c>
      <c r="E478" s="1294">
        <v>11922.46</v>
      </c>
      <c r="F478" s="1293">
        <v>11922.46</v>
      </c>
      <c r="G478" s="1295" t="s">
        <v>3481</v>
      </c>
      <c r="H478" s="1300" t="s">
        <v>5573</v>
      </c>
      <c r="I478" s="1301"/>
      <c r="J478" t="str">
        <f t="shared" si="7"/>
        <v>2.17</v>
      </c>
    </row>
    <row r="479" spans="1:10" ht="47.25">
      <c r="A479" s="1290" t="s">
        <v>458</v>
      </c>
      <c r="B479" s="1291" t="s">
        <v>4854</v>
      </c>
      <c r="C479" s="1292" t="s">
        <v>1689</v>
      </c>
      <c r="D479" s="1293">
        <v>1</v>
      </c>
      <c r="E479" s="1294">
        <v>5961.23</v>
      </c>
      <c r="F479" s="1293">
        <v>5961.23</v>
      </c>
      <c r="G479" s="1295" t="s">
        <v>4855</v>
      </c>
      <c r="H479" s="1300" t="s">
        <v>5574</v>
      </c>
      <c r="I479" s="1301"/>
      <c r="J479" t="str">
        <f t="shared" si="7"/>
        <v>2.18</v>
      </c>
    </row>
    <row r="480" spans="1:10" ht="47.25">
      <c r="A480" s="1290" t="s">
        <v>459</v>
      </c>
      <c r="B480" s="1291" t="s">
        <v>4856</v>
      </c>
      <c r="C480" s="1292" t="s">
        <v>1689</v>
      </c>
      <c r="D480" s="1293">
        <v>1</v>
      </c>
      <c r="E480" s="1294">
        <v>993.54</v>
      </c>
      <c r="F480" s="1293">
        <v>993.54</v>
      </c>
      <c r="G480" s="1295" t="s">
        <v>4857</v>
      </c>
      <c r="H480" s="1300" t="s">
        <v>5575</v>
      </c>
      <c r="I480" s="1301"/>
      <c r="J480" t="str">
        <f t="shared" si="7"/>
        <v>2.19</v>
      </c>
    </row>
    <row r="481" spans="1:10" ht="47.25">
      <c r="A481" s="1290" t="s">
        <v>460</v>
      </c>
      <c r="B481" s="1291" t="s">
        <v>4858</v>
      </c>
      <c r="C481" s="1292" t="s">
        <v>1689</v>
      </c>
      <c r="D481" s="1293">
        <v>1</v>
      </c>
      <c r="E481" s="1294">
        <v>4967.6899999999996</v>
      </c>
      <c r="F481" s="1293">
        <v>4967.6899999999996</v>
      </c>
      <c r="G481" s="1295" t="s">
        <v>4859</v>
      </c>
      <c r="H481" s="1300" t="s">
        <v>5576</v>
      </c>
      <c r="I481" s="1301"/>
      <c r="J481" t="str">
        <f t="shared" si="7"/>
        <v>2.20</v>
      </c>
    </row>
    <row r="482" spans="1:10" ht="47.25">
      <c r="A482" s="1290" t="s">
        <v>529</v>
      </c>
      <c r="B482" s="1291" t="s">
        <v>3473</v>
      </c>
      <c r="C482" s="1292" t="s">
        <v>1875</v>
      </c>
      <c r="D482" s="1293">
        <v>2</v>
      </c>
      <c r="E482" s="1294">
        <v>3974.15</v>
      </c>
      <c r="F482" s="1293">
        <v>7948.3</v>
      </c>
      <c r="G482" s="1295" t="s">
        <v>3474</v>
      </c>
      <c r="H482" s="1300" t="s">
        <v>5577</v>
      </c>
      <c r="I482" s="1301"/>
      <c r="J482" t="str">
        <f t="shared" si="7"/>
        <v>2.21</v>
      </c>
    </row>
    <row r="483" spans="1:10" ht="31.5">
      <c r="A483" s="1290" t="s">
        <v>530</v>
      </c>
      <c r="B483" s="1291" t="s">
        <v>3482</v>
      </c>
      <c r="C483" s="1292" t="s">
        <v>1689</v>
      </c>
      <c r="D483" s="1293">
        <v>2</v>
      </c>
      <c r="E483" s="1294">
        <v>5961.23</v>
      </c>
      <c r="F483" s="1293">
        <v>11922.46</v>
      </c>
      <c r="G483" s="1295" t="s">
        <v>3483</v>
      </c>
      <c r="H483" s="1300" t="s">
        <v>5578</v>
      </c>
      <c r="I483" s="1301"/>
      <c r="J483" t="str">
        <f t="shared" si="7"/>
        <v>2.22</v>
      </c>
    </row>
    <row r="484" spans="1:10" ht="42.75">
      <c r="A484" s="1290" t="s">
        <v>531</v>
      </c>
      <c r="B484" s="1291" t="s">
        <v>3482</v>
      </c>
      <c r="C484" s="1292" t="s">
        <v>1497</v>
      </c>
      <c r="D484" s="1293">
        <v>5</v>
      </c>
      <c r="E484" s="1294">
        <v>1490.31</v>
      </c>
      <c r="F484" s="1293">
        <v>7451.55</v>
      </c>
      <c r="G484" s="1295" t="s">
        <v>3484</v>
      </c>
      <c r="H484" s="1300" t="s">
        <v>5579</v>
      </c>
      <c r="I484" s="1301"/>
      <c r="J484" t="str">
        <f t="shared" si="7"/>
        <v>2.23</v>
      </c>
    </row>
    <row r="485" spans="1:10" ht="31.5">
      <c r="A485" s="1290" t="s">
        <v>3669</v>
      </c>
      <c r="B485" s="1291" t="s">
        <v>3485</v>
      </c>
      <c r="C485" s="1292" t="s">
        <v>1689</v>
      </c>
      <c r="D485" s="1293">
        <v>2</v>
      </c>
      <c r="E485" s="1294">
        <v>5961.23</v>
      </c>
      <c r="F485" s="1293">
        <v>11922.46</v>
      </c>
      <c r="G485" s="1295" t="s">
        <v>3486</v>
      </c>
      <c r="H485" s="1300" t="s">
        <v>5580</v>
      </c>
      <c r="I485" s="1301"/>
      <c r="J485" t="str">
        <f t="shared" si="7"/>
        <v>2.24</v>
      </c>
    </row>
    <row r="486" spans="1:10" ht="42.75">
      <c r="A486" s="1290" t="s">
        <v>4860</v>
      </c>
      <c r="B486" s="1291" t="s">
        <v>3485</v>
      </c>
      <c r="C486" s="1292" t="s">
        <v>1497</v>
      </c>
      <c r="D486" s="1293">
        <v>5</v>
      </c>
      <c r="E486" s="1294">
        <v>993.54</v>
      </c>
      <c r="F486" s="1293">
        <v>4967.7</v>
      </c>
      <c r="G486" s="1295" t="s">
        <v>3487</v>
      </c>
      <c r="H486" s="1300" t="s">
        <v>5581</v>
      </c>
      <c r="I486" s="1301"/>
      <c r="J486" t="str">
        <f t="shared" si="7"/>
        <v>2.25</v>
      </c>
    </row>
    <row r="487" spans="1:10" ht="28.5">
      <c r="A487" s="1290" t="s">
        <v>4861</v>
      </c>
      <c r="B487" s="1291" t="s">
        <v>3488</v>
      </c>
      <c r="C487" s="1292" t="s">
        <v>1689</v>
      </c>
      <c r="D487" s="1293">
        <v>2</v>
      </c>
      <c r="E487" s="1294">
        <v>5961.23</v>
      </c>
      <c r="F487" s="1293">
        <v>11922.46</v>
      </c>
      <c r="G487" s="1295" t="s">
        <v>3489</v>
      </c>
      <c r="H487" s="1300" t="s">
        <v>5582</v>
      </c>
      <c r="I487" s="1301"/>
      <c r="J487" t="str">
        <f t="shared" si="7"/>
        <v>2.26</v>
      </c>
    </row>
    <row r="488" spans="1:10" ht="31.5">
      <c r="A488" s="1290" t="s">
        <v>4862</v>
      </c>
      <c r="B488" s="1291" t="s">
        <v>1772</v>
      </c>
      <c r="C488" s="1292" t="s">
        <v>1497</v>
      </c>
      <c r="D488" s="1293">
        <v>1</v>
      </c>
      <c r="E488" s="1294">
        <v>6207.63</v>
      </c>
      <c r="F488" s="1293">
        <v>6207.63</v>
      </c>
      <c r="G488" s="1295" t="s">
        <v>1773</v>
      </c>
      <c r="H488" s="1300" t="s">
        <v>5583</v>
      </c>
      <c r="I488" s="1301"/>
      <c r="J488" t="str">
        <f t="shared" si="7"/>
        <v>2.27</v>
      </c>
    </row>
    <row r="489" spans="1:10">
      <c r="A489" s="1290" t="s">
        <v>3494</v>
      </c>
      <c r="B489" s="1291" t="s">
        <v>3495</v>
      </c>
      <c r="C489" s="1292" t="s">
        <v>14</v>
      </c>
      <c r="D489" s="1293">
        <v>1</v>
      </c>
      <c r="E489" s="1294"/>
      <c r="F489" s="1293">
        <v>268013.65999999997</v>
      </c>
      <c r="G489" s="1295" t="s">
        <v>3496</v>
      </c>
      <c r="H489" s="1300" t="s">
        <v>5584</v>
      </c>
      <c r="I489" s="1301"/>
      <c r="J489" t="str">
        <f t="shared" si="7"/>
        <v>　三</v>
      </c>
    </row>
    <row r="490" spans="1:10" ht="42.75">
      <c r="A490" s="1290" t="s">
        <v>354</v>
      </c>
      <c r="B490" s="1291" t="s">
        <v>2781</v>
      </c>
      <c r="C490" s="1292" t="s">
        <v>2782</v>
      </c>
      <c r="D490" s="1293">
        <v>1141</v>
      </c>
      <c r="E490" s="1294">
        <v>54.41</v>
      </c>
      <c r="F490" s="1293">
        <v>62081.81</v>
      </c>
      <c r="G490" s="1295" t="s">
        <v>4863</v>
      </c>
      <c r="H490" s="1300" t="s">
        <v>5585</v>
      </c>
      <c r="I490" s="1301"/>
      <c r="J490" t="str">
        <f t="shared" si="7"/>
        <v>3.1</v>
      </c>
    </row>
    <row r="491" spans="1:10" ht="42.75">
      <c r="A491" s="1290" t="s">
        <v>355</v>
      </c>
      <c r="B491" s="1291" t="s">
        <v>2785</v>
      </c>
      <c r="C491" s="1292" t="s">
        <v>2786</v>
      </c>
      <c r="D491" s="1293">
        <v>15</v>
      </c>
      <c r="E491" s="1294">
        <v>13728.79</v>
      </c>
      <c r="F491" s="1293">
        <v>205931.85</v>
      </c>
      <c r="G491" s="1295" t="s">
        <v>4864</v>
      </c>
      <c r="H491" s="1300"/>
      <c r="I491" s="1301"/>
      <c r="J491" t="str">
        <f t="shared" si="7"/>
        <v>3.2</v>
      </c>
    </row>
    <row r="492" spans="1:10" ht="16.5" customHeight="1">
      <c r="A492" s="1290" t="s">
        <v>3499</v>
      </c>
      <c r="B492" s="1291" t="s">
        <v>3500</v>
      </c>
      <c r="C492" s="1292" t="s">
        <v>14</v>
      </c>
      <c r="D492" s="1293">
        <v>1</v>
      </c>
      <c r="E492" s="1294"/>
      <c r="F492" s="1293">
        <v>7650</v>
      </c>
      <c r="G492" s="1295" t="s">
        <v>3501</v>
      </c>
      <c r="H492" s="1300" t="s">
        <v>5586</v>
      </c>
      <c r="I492" s="1301"/>
      <c r="J492" t="str">
        <f t="shared" si="7"/>
        <v>　四</v>
      </c>
    </row>
    <row r="493" spans="1:10" ht="31.5">
      <c r="A493" s="1290" t="s">
        <v>356</v>
      </c>
      <c r="B493" s="1291" t="s">
        <v>3502</v>
      </c>
      <c r="C493" s="1292" t="s">
        <v>3503</v>
      </c>
      <c r="D493" s="1293">
        <v>1</v>
      </c>
      <c r="E493" s="1294">
        <v>2300</v>
      </c>
      <c r="F493" s="1293">
        <v>2300</v>
      </c>
      <c r="G493" s="1295" t="s">
        <v>3504</v>
      </c>
      <c r="H493" s="1302" t="s">
        <v>5587</v>
      </c>
      <c r="I493" s="1301"/>
      <c r="J493" t="str">
        <f t="shared" si="7"/>
        <v>4.1</v>
      </c>
    </row>
    <row r="494" spans="1:10" ht="31.5">
      <c r="A494" s="1290" t="s">
        <v>357</v>
      </c>
      <c r="B494" s="1291" t="s">
        <v>3505</v>
      </c>
      <c r="C494" s="1292" t="s">
        <v>3503</v>
      </c>
      <c r="D494" s="1293">
        <v>1</v>
      </c>
      <c r="E494" s="1294">
        <v>4100</v>
      </c>
      <c r="F494" s="1293">
        <v>4100</v>
      </c>
      <c r="G494" s="1295" t="s">
        <v>3506</v>
      </c>
      <c r="H494" s="1303" t="s">
        <v>5588</v>
      </c>
      <c r="I494" s="1301"/>
      <c r="J494" t="str">
        <f t="shared" si="7"/>
        <v>4.2</v>
      </c>
    </row>
    <row r="495" spans="1:10" ht="16.5" customHeight="1">
      <c r="A495" s="1290" t="s">
        <v>358</v>
      </c>
      <c r="B495" s="1291" t="s">
        <v>3507</v>
      </c>
      <c r="C495" s="1292" t="s">
        <v>3503</v>
      </c>
      <c r="D495" s="1293">
        <v>1</v>
      </c>
      <c r="E495" s="1294">
        <v>1250</v>
      </c>
      <c r="F495" s="1293">
        <v>1250</v>
      </c>
      <c r="G495" s="1295" t="s">
        <v>3508</v>
      </c>
      <c r="H495" s="1303" t="s">
        <v>5589</v>
      </c>
      <c r="I495" s="1301"/>
      <c r="J495" t="str">
        <f t="shared" si="7"/>
        <v>4.3</v>
      </c>
    </row>
    <row r="496" spans="1:10" ht="71.25">
      <c r="A496" s="1290" t="s">
        <v>3509</v>
      </c>
      <c r="B496" s="1291" t="s">
        <v>3510</v>
      </c>
      <c r="C496" s="1292" t="s">
        <v>14</v>
      </c>
      <c r="D496" s="1293">
        <v>1</v>
      </c>
      <c r="E496" s="1294"/>
      <c r="F496" s="1293">
        <v>528484.30000000005</v>
      </c>
      <c r="G496" s="1295" t="s">
        <v>3511</v>
      </c>
      <c r="H496" s="1303" t="s">
        <v>5590</v>
      </c>
      <c r="I496" s="1301"/>
      <c r="J496" t="str">
        <f t="shared" si="7"/>
        <v>　五</v>
      </c>
    </row>
    <row r="497" spans="1:10" ht="47.25">
      <c r="A497" s="1290" t="s">
        <v>359</v>
      </c>
      <c r="B497" s="1291" t="s">
        <v>3512</v>
      </c>
      <c r="C497" s="1292" t="s">
        <v>3513</v>
      </c>
      <c r="D497" s="1293">
        <v>20</v>
      </c>
      <c r="E497" s="1294">
        <v>204.67</v>
      </c>
      <c r="F497" s="1293">
        <v>4093.4</v>
      </c>
      <c r="G497" s="1295" t="s">
        <v>3514</v>
      </c>
      <c r="H497" s="1303"/>
      <c r="I497" s="1301"/>
      <c r="J497" t="str">
        <f t="shared" si="7"/>
        <v>5.1</v>
      </c>
    </row>
    <row r="498" spans="1:10" ht="71.25">
      <c r="A498" s="1290" t="s">
        <v>360</v>
      </c>
      <c r="B498" s="1291" t="s">
        <v>3515</v>
      </c>
      <c r="C498" s="1292" t="s">
        <v>3513</v>
      </c>
      <c r="D498" s="1293">
        <v>20</v>
      </c>
      <c r="E498" s="1294">
        <v>583.30999999999995</v>
      </c>
      <c r="F498" s="1293">
        <v>11666.2</v>
      </c>
      <c r="G498" s="1295" t="s">
        <v>3516</v>
      </c>
      <c r="H498" s="1303"/>
      <c r="I498" s="1301"/>
      <c r="J498" t="str">
        <f t="shared" si="7"/>
        <v>5.2</v>
      </c>
    </row>
    <row r="499" spans="1:10" ht="47.25">
      <c r="A499" s="1290" t="s">
        <v>361</v>
      </c>
      <c r="B499" s="1291" t="s">
        <v>3517</v>
      </c>
      <c r="C499" s="1292" t="s">
        <v>1818</v>
      </c>
      <c r="D499" s="1293">
        <v>20</v>
      </c>
      <c r="E499" s="1294">
        <v>5935.4</v>
      </c>
      <c r="F499" s="1293">
        <v>118708</v>
      </c>
      <c r="G499" s="1295" t="s">
        <v>3518</v>
      </c>
      <c r="H499" s="1303" t="s">
        <v>2</v>
      </c>
      <c r="I499" s="1301"/>
      <c r="J499" t="str">
        <f t="shared" si="7"/>
        <v>5.3</v>
      </c>
    </row>
    <row r="500" spans="1:10" ht="28.5">
      <c r="A500" s="1290" t="s">
        <v>362</v>
      </c>
      <c r="B500" s="1291" t="s">
        <v>3519</v>
      </c>
      <c r="C500" s="1292" t="s">
        <v>1818</v>
      </c>
      <c r="D500" s="1293">
        <v>20</v>
      </c>
      <c r="E500" s="1294">
        <v>1253.5</v>
      </c>
      <c r="F500" s="1293">
        <v>25070</v>
      </c>
      <c r="G500" s="1295" t="s">
        <v>3520</v>
      </c>
      <c r="H500" s="1303" t="s">
        <v>5591</v>
      </c>
      <c r="I500" s="1301"/>
      <c r="J500" t="str">
        <f t="shared" si="7"/>
        <v>5.4</v>
      </c>
    </row>
    <row r="501" spans="1:10" ht="28.5">
      <c r="A501" s="1290" t="s">
        <v>363</v>
      </c>
      <c r="B501" s="1291" t="s">
        <v>3521</v>
      </c>
      <c r="C501" s="1292" t="s">
        <v>2679</v>
      </c>
      <c r="D501" s="1293">
        <v>120</v>
      </c>
      <c r="E501" s="1294">
        <v>224.83</v>
      </c>
      <c r="F501" s="1293">
        <v>26979.599999999999</v>
      </c>
      <c r="G501" s="1295" t="s">
        <v>3522</v>
      </c>
      <c r="H501" s="1304"/>
      <c r="I501" s="1301"/>
      <c r="J501" t="str">
        <f t="shared" si="7"/>
        <v>5.5</v>
      </c>
    </row>
    <row r="502" spans="1:10" ht="16.5" customHeight="1">
      <c r="A502" s="1290" t="s">
        <v>364</v>
      </c>
      <c r="B502" s="1291" t="s">
        <v>3523</v>
      </c>
      <c r="C502" s="1292" t="s">
        <v>2679</v>
      </c>
      <c r="D502" s="1293">
        <v>120</v>
      </c>
      <c r="E502" s="1294">
        <v>224.83</v>
      </c>
      <c r="F502" s="1293">
        <v>26979.599999999999</v>
      </c>
      <c r="G502" s="1295" t="s">
        <v>3524</v>
      </c>
      <c r="H502" s="1305"/>
      <c r="I502" s="1301"/>
      <c r="J502" t="str">
        <f t="shared" si="7"/>
        <v>5.6</v>
      </c>
    </row>
    <row r="503" spans="1:10" ht="28.5">
      <c r="A503" s="1290" t="s">
        <v>365</v>
      </c>
      <c r="B503" s="1291" t="s">
        <v>3525</v>
      </c>
      <c r="C503" s="1292" t="s">
        <v>1497</v>
      </c>
      <c r="D503" s="1293">
        <v>100</v>
      </c>
      <c r="E503" s="1294">
        <v>49.68</v>
      </c>
      <c r="F503" s="1293">
        <v>4968</v>
      </c>
      <c r="G503" s="1295" t="s">
        <v>3526</v>
      </c>
      <c r="H503" s="1306"/>
      <c r="I503" s="1301"/>
      <c r="J503" t="str">
        <f t="shared" si="7"/>
        <v>5.7</v>
      </c>
    </row>
    <row r="504" spans="1:10" ht="28.5">
      <c r="A504" s="1290" t="s">
        <v>366</v>
      </c>
      <c r="B504" s="1291" t="s">
        <v>3527</v>
      </c>
      <c r="C504" s="1292" t="s">
        <v>1818</v>
      </c>
      <c r="D504" s="1293">
        <v>20</v>
      </c>
      <c r="E504" s="1294">
        <v>2027.86</v>
      </c>
      <c r="F504" s="1293">
        <v>40557.199999999997</v>
      </c>
      <c r="G504" s="1295" t="s">
        <v>3528</v>
      </c>
      <c r="H504" s="1306"/>
      <c r="I504" s="1301"/>
      <c r="J504" t="str">
        <f t="shared" si="7"/>
        <v>5.8</v>
      </c>
    </row>
    <row r="505" spans="1:10" ht="31.5">
      <c r="A505" s="1290" t="s">
        <v>367</v>
      </c>
      <c r="B505" s="1291" t="s">
        <v>3529</v>
      </c>
      <c r="C505" s="1292" t="s">
        <v>1818</v>
      </c>
      <c r="D505" s="1293">
        <v>20</v>
      </c>
      <c r="E505" s="1294">
        <v>2645.96</v>
      </c>
      <c r="F505" s="1293">
        <v>52919.199999999997</v>
      </c>
      <c r="G505" s="1295" t="s">
        <v>3530</v>
      </c>
      <c r="H505" s="1306"/>
      <c r="I505" s="1301"/>
      <c r="J505" t="str">
        <f t="shared" si="7"/>
        <v>5.9</v>
      </c>
    </row>
    <row r="506" spans="1:10" ht="31.5">
      <c r="A506" s="1290" t="s">
        <v>368</v>
      </c>
      <c r="B506" s="1291" t="s">
        <v>3531</v>
      </c>
      <c r="C506" s="1292" t="s">
        <v>1818</v>
      </c>
      <c r="D506" s="1293">
        <v>20</v>
      </c>
      <c r="E506" s="1294">
        <v>3075.77</v>
      </c>
      <c r="F506" s="1293">
        <v>61515.4</v>
      </c>
      <c r="G506" s="1295" t="s">
        <v>3532</v>
      </c>
      <c r="H506" s="1306"/>
      <c r="I506" s="1301"/>
    </row>
    <row r="507" spans="1:10" ht="31.5">
      <c r="A507" s="1290" t="s">
        <v>369</v>
      </c>
      <c r="B507" s="1291" t="s">
        <v>3533</v>
      </c>
      <c r="C507" s="1292" t="s">
        <v>1818</v>
      </c>
      <c r="D507" s="1293">
        <v>10</v>
      </c>
      <c r="E507" s="1294">
        <v>3894.44</v>
      </c>
      <c r="F507" s="1293">
        <v>38944.400000000001</v>
      </c>
      <c r="G507" s="1295" t="s">
        <v>3534</v>
      </c>
      <c r="H507" s="1306"/>
      <c r="I507" s="1301"/>
    </row>
    <row r="508" spans="1:10" ht="28.5">
      <c r="A508" s="1290" t="s">
        <v>370</v>
      </c>
      <c r="B508" s="1291" t="s">
        <v>3535</v>
      </c>
      <c r="C508" s="1292" t="s">
        <v>1818</v>
      </c>
      <c r="D508" s="1293">
        <v>20</v>
      </c>
      <c r="E508" s="1294">
        <v>1655.34</v>
      </c>
      <c r="F508" s="1293">
        <v>33106.800000000003</v>
      </c>
      <c r="G508" s="1295" t="s">
        <v>3536</v>
      </c>
      <c r="H508" s="1306"/>
      <c r="I508" s="1301"/>
    </row>
    <row r="509" spans="1:10" ht="28.5">
      <c r="A509" s="1290" t="s">
        <v>371</v>
      </c>
      <c r="B509" s="1291" t="s">
        <v>3537</v>
      </c>
      <c r="C509" s="1292" t="s">
        <v>1689</v>
      </c>
      <c r="D509" s="1293">
        <v>20</v>
      </c>
      <c r="E509" s="1294">
        <v>755.09</v>
      </c>
      <c r="F509" s="1293">
        <v>15101.8</v>
      </c>
      <c r="G509" s="1295" t="s">
        <v>3538</v>
      </c>
      <c r="H509" s="1306"/>
      <c r="I509" s="1301"/>
    </row>
    <row r="510" spans="1:10" ht="28.5">
      <c r="A510" s="1290" t="s">
        <v>372</v>
      </c>
      <c r="B510" s="1291" t="s">
        <v>3539</v>
      </c>
      <c r="C510" s="1292" t="s">
        <v>1220</v>
      </c>
      <c r="D510" s="1293">
        <v>60</v>
      </c>
      <c r="E510" s="1294">
        <v>320.31</v>
      </c>
      <c r="F510" s="1293">
        <v>19218.599999999999</v>
      </c>
      <c r="G510" s="1295" t="s">
        <v>3540</v>
      </c>
      <c r="H510" s="1306"/>
      <c r="I510" s="1301"/>
    </row>
    <row r="511" spans="1:10" ht="28.5">
      <c r="A511" s="1290" t="s">
        <v>373</v>
      </c>
      <c r="B511" s="1291" t="s">
        <v>3541</v>
      </c>
      <c r="C511" s="1292" t="s">
        <v>1220</v>
      </c>
      <c r="D511" s="1293">
        <v>40</v>
      </c>
      <c r="E511" s="1294">
        <v>89.29</v>
      </c>
      <c r="F511" s="1293">
        <v>3571.6</v>
      </c>
      <c r="G511" s="1295" t="s">
        <v>3542</v>
      </c>
      <c r="H511" s="1306"/>
      <c r="I511" s="1301"/>
    </row>
    <row r="512" spans="1:10" ht="28.5">
      <c r="A512" s="1290" t="s">
        <v>374</v>
      </c>
      <c r="B512" s="1291" t="s">
        <v>3543</v>
      </c>
      <c r="C512" s="1292" t="s">
        <v>2679</v>
      </c>
      <c r="D512" s="1293">
        <v>10</v>
      </c>
      <c r="E512" s="1294">
        <v>1923.89</v>
      </c>
      <c r="F512" s="1293">
        <v>19238.900000000001</v>
      </c>
      <c r="G512" s="1295" t="s">
        <v>3544</v>
      </c>
      <c r="H512" s="1306"/>
      <c r="I512" s="1301"/>
    </row>
    <row r="513" spans="1:9" ht="28.5">
      <c r="A513" s="1290" t="s">
        <v>375</v>
      </c>
      <c r="B513" s="1291" t="s">
        <v>3545</v>
      </c>
      <c r="C513" s="1292" t="s">
        <v>1818</v>
      </c>
      <c r="D513" s="1293">
        <v>10</v>
      </c>
      <c r="E513" s="1294">
        <v>2584.56</v>
      </c>
      <c r="F513" s="1293">
        <v>25845.599999999999</v>
      </c>
      <c r="G513" s="1295" t="s">
        <v>3546</v>
      </c>
      <c r="H513" s="1306"/>
      <c r="I513" s="1301"/>
    </row>
    <row r="514" spans="1:9" ht="199.5">
      <c r="A514" s="1290" t="s">
        <v>3547</v>
      </c>
      <c r="B514" s="1291" t="s">
        <v>3548</v>
      </c>
      <c r="C514" s="1292" t="s">
        <v>14</v>
      </c>
      <c r="D514" s="1293">
        <v>1</v>
      </c>
      <c r="E514" s="1294"/>
      <c r="F514" s="1293">
        <v>303771.09999999998</v>
      </c>
      <c r="G514" s="1295" t="s">
        <v>4865</v>
      </c>
      <c r="H514" s="1306"/>
      <c r="I514" s="1301"/>
    </row>
    <row r="515" spans="1:9" ht="31.5">
      <c r="A515" s="1290" t="s">
        <v>376</v>
      </c>
      <c r="B515" s="1291" t="s">
        <v>3550</v>
      </c>
      <c r="C515" s="1292" t="s">
        <v>2238</v>
      </c>
      <c r="D515" s="1293">
        <v>20</v>
      </c>
      <c r="E515" s="1294">
        <v>765.02</v>
      </c>
      <c r="F515" s="1293">
        <v>15300.4</v>
      </c>
      <c r="G515" s="1295" t="s">
        <v>532</v>
      </c>
      <c r="H515" s="1306"/>
      <c r="I515" s="1301"/>
    </row>
    <row r="516" spans="1:9" ht="47.25">
      <c r="A516" s="1290" t="s">
        <v>377</v>
      </c>
      <c r="B516" s="1291" t="s">
        <v>3551</v>
      </c>
      <c r="C516" s="1292" t="s">
        <v>3513</v>
      </c>
      <c r="D516" s="1293">
        <v>20</v>
      </c>
      <c r="E516" s="1294">
        <v>124.19</v>
      </c>
      <c r="F516" s="1293">
        <v>2483.8000000000002</v>
      </c>
      <c r="G516" s="1295" t="s">
        <v>3552</v>
      </c>
      <c r="H516" s="1306"/>
      <c r="I516" s="1301"/>
    </row>
    <row r="517" spans="1:9" ht="47.25">
      <c r="A517" s="1290" t="s">
        <v>378</v>
      </c>
      <c r="B517" s="1291" t="s">
        <v>3553</v>
      </c>
      <c r="C517" s="1292" t="s">
        <v>3513</v>
      </c>
      <c r="D517" s="1293">
        <v>20</v>
      </c>
      <c r="E517" s="1294">
        <v>124.19</v>
      </c>
      <c r="F517" s="1293">
        <v>2483.8000000000002</v>
      </c>
      <c r="G517" s="1295" t="s">
        <v>3554</v>
      </c>
      <c r="H517" s="1306"/>
      <c r="I517" s="1301"/>
    </row>
    <row r="518" spans="1:9" ht="47.25">
      <c r="A518" s="1290" t="s">
        <v>379</v>
      </c>
      <c r="B518" s="1291" t="s">
        <v>3555</v>
      </c>
      <c r="C518" s="1292" t="s">
        <v>3513</v>
      </c>
      <c r="D518" s="1293">
        <v>20</v>
      </c>
      <c r="E518" s="1294">
        <v>124.19</v>
      </c>
      <c r="F518" s="1293">
        <v>2483.8000000000002</v>
      </c>
      <c r="G518" s="1295" t="s">
        <v>3556</v>
      </c>
      <c r="H518" s="1306"/>
      <c r="I518" s="1301"/>
    </row>
    <row r="519" spans="1:9" ht="31.5">
      <c r="A519" s="1290" t="s">
        <v>380</v>
      </c>
      <c r="B519" s="1291" t="s">
        <v>3557</v>
      </c>
      <c r="C519" s="1292" t="s">
        <v>1689</v>
      </c>
      <c r="D519" s="1293">
        <v>10</v>
      </c>
      <c r="E519" s="1294">
        <v>1152.5</v>
      </c>
      <c r="F519" s="1293">
        <v>11525</v>
      </c>
      <c r="G519" s="1295" t="s">
        <v>3558</v>
      </c>
      <c r="H519" s="1306"/>
      <c r="I519" s="1301"/>
    </row>
    <row r="520" spans="1:9" ht="31.5">
      <c r="A520" s="1290" t="s">
        <v>381</v>
      </c>
      <c r="B520" s="1291" t="s">
        <v>3559</v>
      </c>
      <c r="C520" s="1292" t="s">
        <v>3560</v>
      </c>
      <c r="D520" s="1293">
        <v>50</v>
      </c>
      <c r="E520" s="1294">
        <v>199.7</v>
      </c>
      <c r="F520" s="1293">
        <v>9985</v>
      </c>
      <c r="G520" s="1295" t="s">
        <v>3561</v>
      </c>
      <c r="H520" s="1306"/>
      <c r="I520" s="1301"/>
    </row>
    <row r="521" spans="1:9" ht="31.5">
      <c r="A521" s="1290" t="s">
        <v>382</v>
      </c>
      <c r="B521" s="1291" t="s">
        <v>3562</v>
      </c>
      <c r="C521" s="1292" t="s">
        <v>3563</v>
      </c>
      <c r="D521" s="1293">
        <v>30</v>
      </c>
      <c r="E521" s="1294">
        <v>298.06</v>
      </c>
      <c r="F521" s="1293">
        <v>8941.7999999999993</v>
      </c>
      <c r="G521" s="1295" t="s">
        <v>3564</v>
      </c>
      <c r="H521" s="1306"/>
      <c r="I521" s="1301"/>
    </row>
    <row r="522" spans="1:9" ht="31.5">
      <c r="A522" s="1290" t="s">
        <v>383</v>
      </c>
      <c r="B522" s="1291" t="s">
        <v>3565</v>
      </c>
      <c r="C522" s="1292" t="s">
        <v>1689</v>
      </c>
      <c r="D522" s="1293">
        <v>30</v>
      </c>
      <c r="E522" s="1294">
        <v>151.02000000000001</v>
      </c>
      <c r="F522" s="1293">
        <v>4530.6000000000004</v>
      </c>
      <c r="G522" s="1295" t="s">
        <v>3566</v>
      </c>
      <c r="H522" s="1306"/>
      <c r="I522" s="1301"/>
    </row>
    <row r="523" spans="1:9" ht="31.5">
      <c r="A523" s="1290" t="s">
        <v>384</v>
      </c>
      <c r="B523" s="1291" t="s">
        <v>3567</v>
      </c>
      <c r="C523" s="1292" t="s">
        <v>3568</v>
      </c>
      <c r="D523" s="1293">
        <v>100</v>
      </c>
      <c r="E523" s="1294">
        <v>29.81</v>
      </c>
      <c r="F523" s="1293">
        <v>2981</v>
      </c>
      <c r="G523" s="1295" t="s">
        <v>3569</v>
      </c>
      <c r="H523" s="1306"/>
      <c r="I523" s="1301"/>
    </row>
    <row r="524" spans="1:9" ht="31.5">
      <c r="A524" s="1290" t="s">
        <v>385</v>
      </c>
      <c r="B524" s="1291" t="s">
        <v>3570</v>
      </c>
      <c r="C524" s="1292" t="s">
        <v>3568</v>
      </c>
      <c r="D524" s="1293">
        <v>50</v>
      </c>
      <c r="E524" s="1294">
        <v>499.75</v>
      </c>
      <c r="F524" s="1293">
        <v>24987.5</v>
      </c>
      <c r="G524" s="1295" t="s">
        <v>3571</v>
      </c>
      <c r="H524" s="1306"/>
      <c r="I524" s="1301"/>
    </row>
    <row r="525" spans="1:9" ht="31.5">
      <c r="A525" s="1290" t="s">
        <v>386</v>
      </c>
      <c r="B525" s="1291" t="s">
        <v>3572</v>
      </c>
      <c r="C525" s="1292" t="s">
        <v>2694</v>
      </c>
      <c r="D525" s="1293">
        <v>20</v>
      </c>
      <c r="E525" s="1294">
        <v>278.19</v>
      </c>
      <c r="F525" s="1293">
        <v>5563.8</v>
      </c>
      <c r="G525" s="1295" t="s">
        <v>3573</v>
      </c>
      <c r="H525" s="1306"/>
      <c r="I525" s="1301"/>
    </row>
    <row r="526" spans="1:9" ht="47.25">
      <c r="A526" s="1290" t="s">
        <v>387</v>
      </c>
      <c r="B526" s="1291" t="s">
        <v>3574</v>
      </c>
      <c r="C526" s="1292" t="s">
        <v>1689</v>
      </c>
      <c r="D526" s="1293">
        <v>10</v>
      </c>
      <c r="E526" s="1294">
        <v>556.38</v>
      </c>
      <c r="F526" s="1293">
        <v>5563.8</v>
      </c>
      <c r="G526" s="1295" t="s">
        <v>3575</v>
      </c>
      <c r="H526" s="1306"/>
      <c r="I526" s="1301"/>
    </row>
    <row r="527" spans="1:9" ht="47.25">
      <c r="A527" s="1290" t="s">
        <v>388</v>
      </c>
      <c r="B527" s="1291" t="s">
        <v>3576</v>
      </c>
      <c r="C527" s="1292" t="s">
        <v>1689</v>
      </c>
      <c r="D527" s="1293">
        <v>10</v>
      </c>
      <c r="E527" s="1294">
        <v>1788.37</v>
      </c>
      <c r="F527" s="1293">
        <v>17883.7</v>
      </c>
      <c r="G527" s="1295" t="s">
        <v>3577</v>
      </c>
      <c r="H527" s="1306"/>
      <c r="I527" s="1301"/>
    </row>
    <row r="528" spans="1:9" ht="31.5">
      <c r="A528" s="1290" t="s">
        <v>389</v>
      </c>
      <c r="B528" s="1291" t="s">
        <v>3578</v>
      </c>
      <c r="C528" s="1292" t="s">
        <v>2679</v>
      </c>
      <c r="D528" s="1293">
        <v>10</v>
      </c>
      <c r="E528" s="1294">
        <v>248.38</v>
      </c>
      <c r="F528" s="1293">
        <v>2483.8000000000002</v>
      </c>
      <c r="G528" s="1295" t="s">
        <v>3579</v>
      </c>
      <c r="H528" s="1306"/>
      <c r="I528" s="1301"/>
    </row>
    <row r="529" spans="1:9" ht="47.25">
      <c r="A529" s="1290" t="s">
        <v>390</v>
      </c>
      <c r="B529" s="1291" t="s">
        <v>3580</v>
      </c>
      <c r="C529" s="1292" t="s">
        <v>2694</v>
      </c>
      <c r="D529" s="1293">
        <v>20</v>
      </c>
      <c r="E529" s="1294">
        <v>347.74</v>
      </c>
      <c r="F529" s="1293">
        <v>6954.8</v>
      </c>
      <c r="G529" s="1295" t="s">
        <v>3581</v>
      </c>
      <c r="H529" s="1306"/>
      <c r="I529" s="1301"/>
    </row>
    <row r="530" spans="1:9" ht="47.25">
      <c r="A530" s="1290" t="s">
        <v>391</v>
      </c>
      <c r="B530" s="1291" t="s">
        <v>3582</v>
      </c>
      <c r="C530" s="1292" t="s">
        <v>1689</v>
      </c>
      <c r="D530" s="1293">
        <v>20</v>
      </c>
      <c r="E530" s="1294">
        <v>596.12</v>
      </c>
      <c r="F530" s="1293">
        <v>11922.4</v>
      </c>
      <c r="G530" s="1295" t="s">
        <v>3583</v>
      </c>
      <c r="H530" s="1306"/>
      <c r="I530" s="1301"/>
    </row>
    <row r="531" spans="1:9" ht="31.5">
      <c r="A531" s="1290" t="s">
        <v>392</v>
      </c>
      <c r="B531" s="1291" t="s">
        <v>3584</v>
      </c>
      <c r="C531" s="1292" t="s">
        <v>3</v>
      </c>
      <c r="D531" s="1293">
        <v>10</v>
      </c>
      <c r="E531" s="1294">
        <v>248.38</v>
      </c>
      <c r="F531" s="1293">
        <v>2483.8000000000002</v>
      </c>
      <c r="G531" s="1295" t="s">
        <v>3585</v>
      </c>
      <c r="H531" s="1306"/>
      <c r="I531" s="1301"/>
    </row>
    <row r="532" spans="1:9" ht="28.5">
      <c r="A532" s="1290" t="s">
        <v>393</v>
      </c>
      <c r="B532" s="1291" t="s">
        <v>3586</v>
      </c>
      <c r="C532" s="1292" t="s">
        <v>14</v>
      </c>
      <c r="D532" s="1293">
        <v>1</v>
      </c>
      <c r="E532" s="1294">
        <v>105600</v>
      </c>
      <c r="F532" s="1293">
        <v>105600</v>
      </c>
      <c r="G532" s="1295" t="s">
        <v>3587</v>
      </c>
      <c r="H532" s="1306"/>
      <c r="I532" s="1301"/>
    </row>
    <row r="533" spans="1:9" ht="47.25">
      <c r="A533" s="1290" t="s">
        <v>394</v>
      </c>
      <c r="B533" s="1291" t="s">
        <v>3588</v>
      </c>
      <c r="C533" s="1292" t="s">
        <v>14</v>
      </c>
      <c r="D533" s="1293">
        <v>1</v>
      </c>
      <c r="E533" s="1294">
        <v>29806.15</v>
      </c>
      <c r="F533" s="1293">
        <v>29806.15</v>
      </c>
      <c r="G533" s="1295" t="s">
        <v>3589</v>
      </c>
      <c r="H533" s="1306"/>
      <c r="I533" s="1301"/>
    </row>
    <row r="534" spans="1:9" ht="31.5">
      <c r="A534" s="1290" t="s">
        <v>395</v>
      </c>
      <c r="B534" s="1291" t="s">
        <v>3590</v>
      </c>
      <c r="C534" s="1292" t="s">
        <v>14</v>
      </c>
      <c r="D534" s="1293">
        <v>1</v>
      </c>
      <c r="E534" s="1294">
        <v>29806.15</v>
      </c>
      <c r="F534" s="1293">
        <v>29806.15</v>
      </c>
      <c r="G534" s="1295" t="s">
        <v>3591</v>
      </c>
      <c r="H534" s="1306"/>
      <c r="I534" s="1301"/>
    </row>
    <row r="535" spans="1:9">
      <c r="A535" s="1290" t="s">
        <v>3592</v>
      </c>
      <c r="B535" s="1291" t="s">
        <v>3593</v>
      </c>
      <c r="C535" s="1292" t="s">
        <v>14</v>
      </c>
      <c r="D535" s="1293">
        <v>1</v>
      </c>
      <c r="E535" s="1294"/>
      <c r="F535" s="1293">
        <v>173372.54</v>
      </c>
      <c r="G535" s="1295" t="s">
        <v>4866</v>
      </c>
      <c r="H535" s="1306"/>
      <c r="I535" s="1301"/>
    </row>
    <row r="536" spans="1:9" ht="31.5">
      <c r="A536" s="1290" t="s">
        <v>396</v>
      </c>
      <c r="B536" s="1291" t="s">
        <v>3595</v>
      </c>
      <c r="C536" s="1292" t="s">
        <v>2238</v>
      </c>
      <c r="D536" s="1293">
        <v>30</v>
      </c>
      <c r="E536" s="1294">
        <v>2483.85</v>
      </c>
      <c r="F536" s="1293">
        <v>74515.5</v>
      </c>
      <c r="G536" s="1295" t="s">
        <v>3596</v>
      </c>
      <c r="H536" s="1306"/>
      <c r="I536" s="1301"/>
    </row>
    <row r="537" spans="1:9" ht="31.5">
      <c r="A537" s="1290" t="s">
        <v>397</v>
      </c>
      <c r="B537" s="1291" t="s">
        <v>3597</v>
      </c>
      <c r="C537" s="1292" t="s">
        <v>14</v>
      </c>
      <c r="D537" s="1293">
        <v>1</v>
      </c>
      <c r="E537" s="1294">
        <v>24838.45</v>
      </c>
      <c r="F537" s="1293">
        <v>24838.45</v>
      </c>
      <c r="G537" s="1295" t="s">
        <v>3598</v>
      </c>
      <c r="H537" s="1306"/>
      <c r="I537" s="1301"/>
    </row>
    <row r="538" spans="1:9" ht="31.5">
      <c r="A538" s="1290" t="s">
        <v>398</v>
      </c>
      <c r="B538" s="1291" t="s">
        <v>3599</v>
      </c>
      <c r="C538" s="1292" t="s">
        <v>14</v>
      </c>
      <c r="D538" s="1293">
        <v>1</v>
      </c>
      <c r="E538" s="1294">
        <v>24838.45</v>
      </c>
      <c r="F538" s="1293">
        <v>24838.45</v>
      </c>
      <c r="G538" s="1295" t="s">
        <v>3600</v>
      </c>
      <c r="H538" s="1306"/>
      <c r="I538" s="1301"/>
    </row>
    <row r="539" spans="1:9" ht="28.5">
      <c r="A539" s="1290" t="s">
        <v>399</v>
      </c>
      <c r="B539" s="1291" t="s">
        <v>3601</v>
      </c>
      <c r="C539" s="1292" t="s">
        <v>14</v>
      </c>
      <c r="D539" s="1293">
        <v>1</v>
      </c>
      <c r="E539" s="1294">
        <v>24838.45</v>
      </c>
      <c r="F539" s="1293">
        <v>24838.45</v>
      </c>
      <c r="G539" s="1295" t="s">
        <v>3602</v>
      </c>
      <c r="H539" s="1306"/>
      <c r="I539" s="1301"/>
    </row>
    <row r="540" spans="1:9" ht="31.5">
      <c r="A540" s="1290" t="s">
        <v>400</v>
      </c>
      <c r="B540" s="1291" t="s">
        <v>3603</v>
      </c>
      <c r="C540" s="1292" t="s">
        <v>14</v>
      </c>
      <c r="D540" s="1293">
        <v>1</v>
      </c>
      <c r="E540" s="1294">
        <v>24341.69</v>
      </c>
      <c r="F540" s="1293">
        <v>24341.69</v>
      </c>
      <c r="G540" s="1295" t="s">
        <v>533</v>
      </c>
      <c r="H540" s="1306"/>
      <c r="I540" s="1301"/>
    </row>
    <row r="541" spans="1:9">
      <c r="A541" s="1290" t="s">
        <v>3604</v>
      </c>
      <c r="B541" s="1291" t="s">
        <v>3605</v>
      </c>
      <c r="C541" s="1292" t="s">
        <v>14</v>
      </c>
      <c r="D541" s="1293">
        <v>1</v>
      </c>
      <c r="E541" s="1294"/>
      <c r="F541" s="1293">
        <v>208480</v>
      </c>
      <c r="G541" s="1295" t="s">
        <v>4867</v>
      </c>
      <c r="H541" s="1306"/>
      <c r="I541" s="1301"/>
    </row>
    <row r="542" spans="1:9" ht="31.5">
      <c r="A542" s="1290" t="s">
        <v>3607</v>
      </c>
      <c r="B542" s="1291" t="s">
        <v>3608</v>
      </c>
      <c r="C542" s="1292" t="s">
        <v>14</v>
      </c>
      <c r="D542" s="1293">
        <v>1</v>
      </c>
      <c r="E542" s="1294"/>
      <c r="F542" s="1293">
        <v>1351102.01</v>
      </c>
      <c r="G542" s="1295" t="s">
        <v>5592</v>
      </c>
      <c r="H542" s="1306"/>
      <c r="I542" s="1301"/>
    </row>
    <row r="543" spans="1:9">
      <c r="A543" s="1290" t="s">
        <v>3610</v>
      </c>
      <c r="B543" s="1291" t="s">
        <v>3611</v>
      </c>
      <c r="C543" s="1292" t="s">
        <v>14</v>
      </c>
      <c r="D543" s="1293">
        <v>1</v>
      </c>
      <c r="E543" s="1294"/>
      <c r="F543" s="1293">
        <v>5600</v>
      </c>
      <c r="G543" s="1295" t="s">
        <v>2</v>
      </c>
      <c r="H543" s="1306"/>
      <c r="I543" s="1301"/>
    </row>
    <row r="544" spans="1:9" ht="99.75">
      <c r="A544" s="1290" t="s">
        <v>534</v>
      </c>
      <c r="B544" s="1291" t="s">
        <v>3612</v>
      </c>
      <c r="C544" s="1292" t="s">
        <v>3</v>
      </c>
      <c r="D544" s="1293">
        <v>100</v>
      </c>
      <c r="E544" s="1294">
        <v>56</v>
      </c>
      <c r="F544" s="1293">
        <v>5600</v>
      </c>
      <c r="G544" s="1295" t="s">
        <v>3613</v>
      </c>
      <c r="H544" s="1306"/>
      <c r="I544" s="1301"/>
    </row>
    <row r="545" spans="1:9">
      <c r="A545" s="1290"/>
      <c r="B545" s="1307" t="s">
        <v>3614</v>
      </c>
      <c r="C545" s="1292"/>
      <c r="D545" s="1293"/>
      <c r="E545" s="1294"/>
      <c r="F545" s="1293">
        <v>13700000</v>
      </c>
      <c r="G545" s="1295"/>
      <c r="H545" s="1306"/>
      <c r="I545" s="1301"/>
    </row>
    <row r="546" spans="1:9">
      <c r="A546" s="1290"/>
      <c r="B546" s="1307" t="s">
        <v>3615</v>
      </c>
      <c r="C546" s="1292"/>
      <c r="D546" s="1293"/>
      <c r="E546" s="1294"/>
      <c r="F546" s="1293">
        <v>13700000</v>
      </c>
      <c r="G546" s="1295"/>
      <c r="H546" s="1306"/>
      <c r="I546" s="1301"/>
    </row>
    <row r="547" spans="1:9">
      <c r="A547" s="1662" t="s">
        <v>3616</v>
      </c>
      <c r="B547" s="1663"/>
      <c r="C547" s="1663"/>
      <c r="D547" s="1663"/>
      <c r="E547" s="1663"/>
      <c r="F547" s="1663"/>
      <c r="G547" s="1664"/>
      <c r="H547" s="1306"/>
      <c r="I547" s="1301"/>
    </row>
    <row r="548" spans="1:9">
      <c r="A548" s="1665" t="s">
        <v>4868</v>
      </c>
      <c r="B548" s="1666"/>
      <c r="C548" s="1666"/>
      <c r="D548" s="1666"/>
      <c r="E548" s="1666"/>
      <c r="F548" s="1666"/>
      <c r="G548" s="1667"/>
      <c r="H548" s="1306"/>
      <c r="I548" s="1301"/>
    </row>
    <row r="549" spans="1:9">
      <c r="A549" s="1308"/>
      <c r="B549" s="1309"/>
      <c r="C549" s="1309"/>
      <c r="D549" s="1310"/>
      <c r="E549" s="1309"/>
      <c r="F549" s="1311"/>
      <c r="G549" s="1312"/>
      <c r="H549" s="1306"/>
      <c r="I549" s="1301"/>
    </row>
  </sheetData>
  <mergeCells count="8">
    <mergeCell ref="A547:G547"/>
    <mergeCell ref="A548:G548"/>
    <mergeCell ref="A1:G1"/>
    <mergeCell ref="A2:G2"/>
    <mergeCell ref="A3:G3"/>
    <mergeCell ref="A4:G4"/>
    <mergeCell ref="A5:E5"/>
    <mergeCell ref="F5:G5"/>
  </mergeCells>
  <phoneticPr fontId="3" type="noConversion"/>
  <printOptions horizontalCentered="1" gridLines="1"/>
  <pageMargins left="0.30000000000000004" right="0.30000000000000004" top="0.75" bottom="0.75" header="0.5" footer="0.5"/>
  <pageSetup paperSize="9" scale="92" orientation="portrait" r:id="rId1"/>
  <headerFooter alignWithMargins="0">
    <oddFooter xml:space="preserve">&amp;C&amp;"標楷體,標準&amp;10"第&amp;"Times New Roman,標準"&amp;P&amp;"標楷體,標準"頁,共&amp;N頁&amp;"Times New Roman,標準"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12">
    <tabColor theme="5" tint="0.39997558519241921"/>
  </sheetPr>
  <dimension ref="A1:M555"/>
  <sheetViews>
    <sheetView zoomScale="130" zoomScaleNormal="130" workbookViewId="0">
      <selection activeCell="A6" sqref="A1:I1048576"/>
    </sheetView>
  </sheetViews>
  <sheetFormatPr defaultRowHeight="16.5"/>
  <cols>
    <col min="1" max="1" width="5.25" style="162" customWidth="1"/>
    <col min="2" max="2" width="26.25" style="162" customWidth="1"/>
    <col min="3" max="3" width="5.5" style="162" customWidth="1"/>
    <col min="4" max="4" width="8.5" style="163" customWidth="1"/>
    <col min="5" max="5" width="10.875" style="162" customWidth="1"/>
    <col min="6" max="6" width="10.875" style="164" customWidth="1"/>
    <col min="7" max="7" width="15.25" style="165" customWidth="1"/>
    <col min="8" max="8" width="14.375" style="1271" customWidth="1"/>
    <col min="9" max="9" width="9" style="664" customWidth="1"/>
    <col min="10" max="10" width="0" hidden="1" customWidth="1"/>
  </cols>
  <sheetData>
    <row r="1" spans="1:13" s="4" customFormat="1" ht="16.5" customHeight="1">
      <c r="A1" s="1654" t="s">
        <v>914</v>
      </c>
      <c r="B1" s="1654"/>
      <c r="C1" s="1654"/>
      <c r="D1" s="1654"/>
      <c r="E1" s="1654"/>
      <c r="F1" s="1654"/>
      <c r="G1" s="1654"/>
      <c r="H1" s="1275"/>
      <c r="I1" s="1276"/>
      <c r="J1" t="str">
        <f>A1</f>
        <v>臺北市政府工務局水利工程處</v>
      </c>
      <c r="K1"/>
      <c r="L1"/>
      <c r="M1"/>
    </row>
    <row r="2" spans="1:13" s="4" customFormat="1" ht="16.5" customHeight="1">
      <c r="A2" s="1654" t="s">
        <v>2989</v>
      </c>
      <c r="B2" s="1654"/>
      <c r="C2" s="1654"/>
      <c r="D2" s="1654"/>
      <c r="E2" s="1654"/>
      <c r="F2" s="1654"/>
      <c r="G2" s="1654"/>
      <c r="H2" s="1275"/>
      <c r="I2" s="1276"/>
      <c r="J2" t="str">
        <f t="shared" ref="J2:J65" si="0">A2</f>
        <v>詳 細 價 目 表</v>
      </c>
      <c r="K2"/>
      <c r="L2"/>
      <c r="M2"/>
    </row>
    <row r="3" spans="1:13" s="4" customFormat="1" ht="16.5" customHeight="1">
      <c r="A3" s="1655"/>
      <c r="B3" s="1655"/>
      <c r="C3" s="1655"/>
      <c r="D3" s="1655"/>
      <c r="E3" s="1655"/>
      <c r="F3" s="1655"/>
      <c r="G3" s="1655"/>
      <c r="H3" s="1275"/>
      <c r="I3" s="1276"/>
      <c r="J3">
        <f t="shared" si="0"/>
        <v>0</v>
      </c>
      <c r="K3"/>
      <c r="L3"/>
      <c r="M3"/>
    </row>
    <row r="4" spans="1:13" s="4" customFormat="1" ht="17.100000000000001" customHeight="1">
      <c r="A4" s="1656" t="s">
        <v>5529</v>
      </c>
      <c r="B4" s="1656"/>
      <c r="C4" s="1656"/>
      <c r="D4" s="1656"/>
      <c r="E4" s="1656"/>
      <c r="F4" s="1656"/>
      <c r="G4" s="1656"/>
      <c r="H4" s="963" t="s">
        <v>5530</v>
      </c>
      <c r="I4" s="1276"/>
      <c r="J4" t="str">
        <f t="shared" si="0"/>
        <v>工程名稱：114年度續約-113年度雨水下水道緊急搶修預約維護工程(北區)</v>
      </c>
      <c r="K4"/>
      <c r="L4"/>
      <c r="M4"/>
    </row>
    <row r="5" spans="1:13" s="5" customFormat="1" ht="18" customHeight="1">
      <c r="A5" s="1656" t="s">
        <v>5527</v>
      </c>
      <c r="B5" s="1656"/>
      <c r="C5" s="1656"/>
      <c r="D5" s="1656"/>
      <c r="E5" s="1656"/>
      <c r="F5" s="1657" t="s">
        <v>5528</v>
      </c>
      <c r="G5" s="1657"/>
      <c r="H5" s="1277"/>
      <c r="I5" s="1278"/>
      <c r="J5" s="5" t="str">
        <f t="shared" si="0"/>
        <v>施工地點：臺北市中山、松山、士林、大同、北投區</v>
      </c>
    </row>
    <row r="6" spans="1:13" s="4" customFormat="1">
      <c r="A6" s="151" t="s">
        <v>10</v>
      </c>
      <c r="B6" s="152" t="s">
        <v>917</v>
      </c>
      <c r="C6" s="152" t="s">
        <v>12</v>
      </c>
      <c r="D6" s="153" t="s">
        <v>11</v>
      </c>
      <c r="E6" s="154" t="s">
        <v>918</v>
      </c>
      <c r="F6" s="155" t="s">
        <v>919</v>
      </c>
      <c r="G6" s="152" t="s">
        <v>920</v>
      </c>
      <c r="H6" s="1273"/>
      <c r="I6" s="1274"/>
      <c r="J6" t="str">
        <f t="shared" si="0"/>
        <v>項次</v>
      </c>
      <c r="K6"/>
      <c r="L6"/>
      <c r="M6"/>
    </row>
    <row r="7" spans="1:13" s="4" customFormat="1">
      <c r="A7" s="156" t="s">
        <v>2991</v>
      </c>
      <c r="B7" s="8" t="s">
        <v>2992</v>
      </c>
      <c r="C7" s="157" t="s">
        <v>14</v>
      </c>
      <c r="D7" s="158">
        <v>1</v>
      </c>
      <c r="E7" s="159"/>
      <c r="F7" s="158">
        <v>25109800</v>
      </c>
      <c r="G7" s="160" t="s">
        <v>2</v>
      </c>
      <c r="H7" s="1271"/>
      <c r="I7" s="664"/>
      <c r="J7" t="str">
        <f t="shared" si="0"/>
        <v>壹</v>
      </c>
      <c r="K7"/>
      <c r="L7"/>
      <c r="M7"/>
    </row>
    <row r="8" spans="1:13" s="4" customFormat="1">
      <c r="A8" s="156" t="s">
        <v>2993</v>
      </c>
      <c r="B8" s="8" t="s">
        <v>2994</v>
      </c>
      <c r="C8" s="157" t="s">
        <v>14</v>
      </c>
      <c r="D8" s="158">
        <v>1</v>
      </c>
      <c r="E8" s="159"/>
      <c r="F8" s="158">
        <v>19697139.57</v>
      </c>
      <c r="G8" s="160" t="s">
        <v>2995</v>
      </c>
      <c r="H8" s="1271" t="s">
        <v>2995</v>
      </c>
      <c r="I8" s="664"/>
      <c r="J8" t="str">
        <f t="shared" si="0"/>
        <v>　一</v>
      </c>
      <c r="K8"/>
      <c r="L8"/>
      <c r="M8"/>
    </row>
    <row r="9" spans="1:13" s="4" customFormat="1" ht="31.5">
      <c r="A9" s="161" t="s">
        <v>28</v>
      </c>
      <c r="B9" s="8" t="s">
        <v>2996</v>
      </c>
      <c r="C9" s="157" t="s">
        <v>927</v>
      </c>
      <c r="D9" s="158">
        <v>200</v>
      </c>
      <c r="E9" s="159">
        <v>401</v>
      </c>
      <c r="F9" s="158">
        <v>80200</v>
      </c>
      <c r="G9" s="160" t="s">
        <v>4364</v>
      </c>
      <c r="H9" s="1272" t="str">
        <f>G9</f>
        <v>[人力工項不打折]</v>
      </c>
      <c r="I9" s="667">
        <v>1</v>
      </c>
      <c r="J9" t="str">
        <f t="shared" si="0"/>
        <v>1.1</v>
      </c>
      <c r="K9"/>
      <c r="L9"/>
      <c r="M9"/>
    </row>
    <row r="10" spans="1:13" s="4" customFormat="1" ht="31.5">
      <c r="A10" s="161" t="s">
        <v>29</v>
      </c>
      <c r="B10" s="8" t="s">
        <v>2998</v>
      </c>
      <c r="C10" s="157" t="s">
        <v>927</v>
      </c>
      <c r="D10" s="158">
        <v>200</v>
      </c>
      <c r="E10" s="159">
        <v>401</v>
      </c>
      <c r="F10" s="158">
        <v>80200</v>
      </c>
      <c r="G10" s="160" t="s">
        <v>4364</v>
      </c>
      <c r="H10" s="1272" t="str">
        <f>G10</f>
        <v>[人力工項不打折]</v>
      </c>
      <c r="I10" s="667">
        <v>2</v>
      </c>
      <c r="J10" t="str">
        <f t="shared" si="0"/>
        <v>1.2</v>
      </c>
      <c r="K10"/>
      <c r="L10"/>
      <c r="M10"/>
    </row>
    <row r="11" spans="1:13" s="4" customFormat="1" ht="31.5">
      <c r="A11" s="161" t="s">
        <v>30</v>
      </c>
      <c r="B11" s="8" t="s">
        <v>1078</v>
      </c>
      <c r="C11" s="157" t="s">
        <v>927</v>
      </c>
      <c r="D11" s="158">
        <v>200</v>
      </c>
      <c r="E11" s="159">
        <v>401</v>
      </c>
      <c r="F11" s="158">
        <v>80200</v>
      </c>
      <c r="G11" s="160" t="s">
        <v>4364</v>
      </c>
      <c r="H11" s="1272" t="str">
        <f t="shared" ref="H11:H74" si="1">G11</f>
        <v>[人力工項不打折]</v>
      </c>
      <c r="I11" s="667">
        <v>3</v>
      </c>
      <c r="J11" t="str">
        <f t="shared" si="0"/>
        <v>1.3</v>
      </c>
      <c r="K11"/>
      <c r="L11"/>
      <c r="M11"/>
    </row>
    <row r="12" spans="1:13" s="4" customFormat="1" ht="31.5">
      <c r="A12" s="161" t="s">
        <v>31</v>
      </c>
      <c r="B12" s="8" t="s">
        <v>3001</v>
      </c>
      <c r="C12" s="157" t="s">
        <v>927</v>
      </c>
      <c r="D12" s="158">
        <v>200</v>
      </c>
      <c r="E12" s="159">
        <v>281</v>
      </c>
      <c r="F12" s="158">
        <v>56200</v>
      </c>
      <c r="G12" s="160" t="s">
        <v>4364</v>
      </c>
      <c r="H12" s="1272" t="str">
        <f t="shared" si="1"/>
        <v>[人力工項不打折]</v>
      </c>
      <c r="I12" s="667">
        <v>4</v>
      </c>
      <c r="J12" t="str">
        <f t="shared" si="0"/>
        <v>1.4</v>
      </c>
      <c r="K12"/>
      <c r="L12"/>
      <c r="M12"/>
    </row>
    <row r="13" spans="1:13" s="4" customFormat="1" ht="31.5">
      <c r="A13" s="161" t="s">
        <v>32</v>
      </c>
      <c r="B13" s="8" t="s">
        <v>3003</v>
      </c>
      <c r="C13" s="157" t="s">
        <v>927</v>
      </c>
      <c r="D13" s="158">
        <v>200</v>
      </c>
      <c r="E13" s="159">
        <v>410</v>
      </c>
      <c r="F13" s="158">
        <v>82000</v>
      </c>
      <c r="G13" s="160" t="s">
        <v>4364</v>
      </c>
      <c r="H13" s="1272" t="str">
        <f t="shared" si="1"/>
        <v>[人力工項不打折]</v>
      </c>
      <c r="I13" s="667">
        <v>5</v>
      </c>
      <c r="J13" t="str">
        <f t="shared" si="0"/>
        <v>1.5</v>
      </c>
      <c r="K13"/>
      <c r="L13"/>
      <c r="M13"/>
    </row>
    <row r="14" spans="1:13" s="4" customFormat="1" ht="31.5">
      <c r="A14" s="161" t="s">
        <v>33</v>
      </c>
      <c r="B14" s="8" t="s">
        <v>4408</v>
      </c>
      <c r="C14" s="157" t="s">
        <v>927</v>
      </c>
      <c r="D14" s="158">
        <v>200</v>
      </c>
      <c r="E14" s="159">
        <v>820</v>
      </c>
      <c r="F14" s="158">
        <v>164000</v>
      </c>
      <c r="G14" s="160" t="s">
        <v>4364</v>
      </c>
      <c r="H14" s="1272" t="str">
        <f t="shared" si="1"/>
        <v>[人力工項不打折]</v>
      </c>
      <c r="I14" s="667">
        <v>6</v>
      </c>
      <c r="J14" t="str">
        <f t="shared" si="0"/>
        <v>1.6</v>
      </c>
      <c r="K14"/>
      <c r="L14"/>
      <c r="M14"/>
    </row>
    <row r="15" spans="1:13" s="4" customFormat="1" ht="31.5">
      <c r="A15" s="161" t="s">
        <v>34</v>
      </c>
      <c r="B15" s="8" t="s">
        <v>4410</v>
      </c>
      <c r="C15" s="157" t="s">
        <v>927</v>
      </c>
      <c r="D15" s="158">
        <v>200</v>
      </c>
      <c r="E15" s="159">
        <v>802</v>
      </c>
      <c r="F15" s="158">
        <v>160400</v>
      </c>
      <c r="G15" s="160" t="s">
        <v>4364</v>
      </c>
      <c r="H15" s="1272" t="str">
        <f t="shared" si="1"/>
        <v>[人力工項不打折]</v>
      </c>
      <c r="I15" s="667">
        <v>7</v>
      </c>
      <c r="J15" t="str">
        <f t="shared" si="0"/>
        <v>1.7</v>
      </c>
      <c r="K15"/>
      <c r="L15"/>
      <c r="M15"/>
    </row>
    <row r="16" spans="1:13" s="4" customFormat="1" ht="31.5">
      <c r="A16" s="161" t="s">
        <v>35</v>
      </c>
      <c r="B16" s="8" t="s">
        <v>4412</v>
      </c>
      <c r="C16" s="157" t="s">
        <v>927</v>
      </c>
      <c r="D16" s="158">
        <v>200</v>
      </c>
      <c r="E16" s="159">
        <v>802</v>
      </c>
      <c r="F16" s="158">
        <v>160400</v>
      </c>
      <c r="G16" s="160" t="s">
        <v>4364</v>
      </c>
      <c r="H16" s="1272" t="str">
        <f t="shared" si="1"/>
        <v>[人力工項不打折]</v>
      </c>
      <c r="I16" s="667">
        <v>8</v>
      </c>
      <c r="J16" t="str">
        <f t="shared" si="0"/>
        <v>1.8</v>
      </c>
      <c r="K16"/>
      <c r="L16"/>
      <c r="M16"/>
    </row>
    <row r="17" spans="1:13" s="4" customFormat="1" ht="31.5">
      <c r="A17" s="161" t="s">
        <v>36</v>
      </c>
      <c r="B17" s="8" t="s">
        <v>4414</v>
      </c>
      <c r="C17" s="157" t="s">
        <v>927</v>
      </c>
      <c r="D17" s="158">
        <v>200</v>
      </c>
      <c r="E17" s="159">
        <v>562</v>
      </c>
      <c r="F17" s="158">
        <v>112400</v>
      </c>
      <c r="G17" s="160" t="s">
        <v>4364</v>
      </c>
      <c r="H17" s="1272" t="str">
        <f t="shared" si="1"/>
        <v>[人力工項不打折]</v>
      </c>
      <c r="I17" s="667">
        <v>9</v>
      </c>
      <c r="J17" t="str">
        <f t="shared" si="0"/>
        <v>1.9</v>
      </c>
      <c r="K17"/>
      <c r="L17"/>
      <c r="M17"/>
    </row>
    <row r="18" spans="1:13" s="4" customFormat="1">
      <c r="A18" s="161" t="s">
        <v>37</v>
      </c>
      <c r="B18" s="8" t="s">
        <v>3005</v>
      </c>
      <c r="C18" s="157" t="s">
        <v>927</v>
      </c>
      <c r="D18" s="158">
        <v>50</v>
      </c>
      <c r="E18" s="159">
        <v>1045.93</v>
      </c>
      <c r="F18" s="158">
        <v>52296.5</v>
      </c>
      <c r="G18" s="160" t="s">
        <v>2</v>
      </c>
      <c r="H18" s="1272" t="str">
        <f t="shared" si="1"/>
        <v/>
      </c>
      <c r="I18" s="667">
        <v>10</v>
      </c>
      <c r="J18" t="str">
        <f t="shared" si="0"/>
        <v>1.10</v>
      </c>
      <c r="K18"/>
      <c r="L18"/>
      <c r="M18"/>
    </row>
    <row r="19" spans="1:13" s="4" customFormat="1">
      <c r="A19" s="161" t="s">
        <v>38</v>
      </c>
      <c r="B19" s="8" t="s">
        <v>4065</v>
      </c>
      <c r="C19" s="157" t="s">
        <v>927</v>
      </c>
      <c r="D19" s="158">
        <v>50</v>
      </c>
      <c r="E19" s="159">
        <v>714.56</v>
      </c>
      <c r="F19" s="158">
        <v>35728</v>
      </c>
      <c r="G19" s="160" t="s">
        <v>2</v>
      </c>
      <c r="H19" s="1272" t="str">
        <f t="shared" si="1"/>
        <v/>
      </c>
      <c r="I19" s="667">
        <v>11</v>
      </c>
      <c r="J19" t="str">
        <f t="shared" si="0"/>
        <v>1.11</v>
      </c>
      <c r="K19"/>
      <c r="L19"/>
      <c r="M19"/>
    </row>
    <row r="20" spans="1:13" s="4" customFormat="1">
      <c r="A20" s="161" t="s">
        <v>39</v>
      </c>
      <c r="B20" s="8" t="s">
        <v>5475</v>
      </c>
      <c r="C20" s="157" t="s">
        <v>927</v>
      </c>
      <c r="D20" s="158">
        <v>50</v>
      </c>
      <c r="E20" s="159">
        <v>370.24</v>
      </c>
      <c r="F20" s="158">
        <v>18512</v>
      </c>
      <c r="G20" s="160" t="s">
        <v>2</v>
      </c>
      <c r="H20" s="1272" t="str">
        <f t="shared" si="1"/>
        <v/>
      </c>
      <c r="I20" s="667">
        <v>12</v>
      </c>
      <c r="J20" t="str">
        <f t="shared" si="0"/>
        <v>1.12</v>
      </c>
      <c r="K20"/>
      <c r="L20"/>
      <c r="M20"/>
    </row>
    <row r="21" spans="1:13" s="4" customFormat="1">
      <c r="A21" s="161" t="s">
        <v>40</v>
      </c>
      <c r="B21" s="8" t="s">
        <v>1084</v>
      </c>
      <c r="C21" s="157" t="s">
        <v>927</v>
      </c>
      <c r="D21" s="158">
        <v>50</v>
      </c>
      <c r="E21" s="159">
        <v>638.66999999999996</v>
      </c>
      <c r="F21" s="158">
        <v>31933.5</v>
      </c>
      <c r="G21" s="160" t="s">
        <v>2</v>
      </c>
      <c r="H21" s="1272" t="str">
        <f t="shared" si="1"/>
        <v/>
      </c>
      <c r="I21" s="667">
        <v>13</v>
      </c>
      <c r="J21" t="str">
        <f t="shared" si="0"/>
        <v>1.13</v>
      </c>
      <c r="K21"/>
      <c r="L21"/>
      <c r="M21"/>
    </row>
    <row r="22" spans="1:13" s="4" customFormat="1">
      <c r="A22" s="161" t="s">
        <v>41</v>
      </c>
      <c r="B22" s="8" t="s">
        <v>997</v>
      </c>
      <c r="C22" s="157" t="s">
        <v>927</v>
      </c>
      <c r="D22" s="158">
        <v>50</v>
      </c>
      <c r="E22" s="159">
        <v>1073.7</v>
      </c>
      <c r="F22" s="158">
        <v>53685</v>
      </c>
      <c r="G22" s="160" t="s">
        <v>2</v>
      </c>
      <c r="H22" s="1272" t="str">
        <f t="shared" si="1"/>
        <v/>
      </c>
      <c r="I22" s="667">
        <v>14</v>
      </c>
      <c r="J22" t="str">
        <f t="shared" si="0"/>
        <v>1.14</v>
      </c>
      <c r="K22"/>
      <c r="L22"/>
      <c r="M22"/>
    </row>
    <row r="23" spans="1:13" s="4" customFormat="1">
      <c r="A23" s="161" t="s">
        <v>42</v>
      </c>
      <c r="B23" s="8" t="s">
        <v>1093</v>
      </c>
      <c r="C23" s="157" t="s">
        <v>927</v>
      </c>
      <c r="D23" s="158">
        <v>50</v>
      </c>
      <c r="E23" s="159">
        <v>1462.45</v>
      </c>
      <c r="F23" s="158">
        <v>73122.5</v>
      </c>
      <c r="G23" s="160" t="s">
        <v>2</v>
      </c>
      <c r="H23" s="1272" t="str">
        <f t="shared" si="1"/>
        <v/>
      </c>
      <c r="I23" s="667">
        <v>15</v>
      </c>
      <c r="J23" t="str">
        <f t="shared" si="0"/>
        <v>1.15</v>
      </c>
      <c r="K23"/>
      <c r="L23"/>
      <c r="M23"/>
    </row>
    <row r="24" spans="1:13" s="4" customFormat="1">
      <c r="A24" s="161" t="s">
        <v>43</v>
      </c>
      <c r="B24" s="8" t="s">
        <v>1774</v>
      </c>
      <c r="C24" s="157" t="s">
        <v>927</v>
      </c>
      <c r="D24" s="158">
        <v>50</v>
      </c>
      <c r="E24" s="159">
        <v>1314.35</v>
      </c>
      <c r="F24" s="158">
        <v>65717.5</v>
      </c>
      <c r="G24" s="160" t="s">
        <v>2</v>
      </c>
      <c r="H24" s="1272" t="str">
        <f t="shared" si="1"/>
        <v/>
      </c>
      <c r="I24" s="667">
        <v>16</v>
      </c>
      <c r="J24" t="str">
        <f t="shared" si="0"/>
        <v>1.16</v>
      </c>
      <c r="K24"/>
      <c r="L24"/>
      <c r="M24"/>
    </row>
    <row r="25" spans="1:13" s="4" customFormat="1">
      <c r="A25" s="161" t="s">
        <v>44</v>
      </c>
      <c r="B25" s="8" t="s">
        <v>5476</v>
      </c>
      <c r="C25" s="157" t="s">
        <v>927</v>
      </c>
      <c r="D25" s="158">
        <v>50</v>
      </c>
      <c r="E25" s="159">
        <v>1295.8399999999999</v>
      </c>
      <c r="F25" s="158">
        <v>64792</v>
      </c>
      <c r="G25" s="160" t="s">
        <v>2</v>
      </c>
      <c r="H25" s="1272" t="str">
        <f t="shared" si="1"/>
        <v/>
      </c>
      <c r="I25" s="667">
        <v>17</v>
      </c>
      <c r="J25" t="str">
        <f t="shared" si="0"/>
        <v>1.17</v>
      </c>
      <c r="K25"/>
      <c r="L25"/>
      <c r="M25"/>
    </row>
    <row r="26" spans="1:13" s="4" customFormat="1">
      <c r="A26" s="161" t="s">
        <v>45</v>
      </c>
      <c r="B26" s="8" t="s">
        <v>3634</v>
      </c>
      <c r="C26" s="157" t="s">
        <v>927</v>
      </c>
      <c r="D26" s="158">
        <v>50</v>
      </c>
      <c r="E26" s="159">
        <v>1388.4</v>
      </c>
      <c r="F26" s="158">
        <v>69420</v>
      </c>
      <c r="G26" s="160" t="s">
        <v>2</v>
      </c>
      <c r="H26" s="1272" t="str">
        <f t="shared" si="1"/>
        <v/>
      </c>
      <c r="I26" s="667">
        <v>18</v>
      </c>
      <c r="J26" t="str">
        <f t="shared" si="0"/>
        <v>1.18</v>
      </c>
      <c r="K26"/>
      <c r="L26"/>
      <c r="M26"/>
    </row>
    <row r="27" spans="1:13" s="4" customFormat="1">
      <c r="A27" s="161" t="s">
        <v>46</v>
      </c>
      <c r="B27" s="8" t="s">
        <v>3007</v>
      </c>
      <c r="C27" s="157" t="s">
        <v>927</v>
      </c>
      <c r="D27" s="158">
        <v>50</v>
      </c>
      <c r="E27" s="159">
        <v>662.73</v>
      </c>
      <c r="F27" s="158">
        <v>33136.5</v>
      </c>
      <c r="G27" s="160" t="s">
        <v>2</v>
      </c>
      <c r="H27" s="1272" t="str">
        <f t="shared" si="1"/>
        <v/>
      </c>
      <c r="I27" s="667">
        <v>19</v>
      </c>
      <c r="J27" t="str">
        <f t="shared" si="0"/>
        <v>1.19</v>
      </c>
      <c r="K27"/>
      <c r="L27"/>
      <c r="M27"/>
    </row>
    <row r="28" spans="1:13" s="4" customFormat="1" ht="31.5">
      <c r="A28" s="161" t="s">
        <v>47</v>
      </c>
      <c r="B28" s="8" t="s">
        <v>923</v>
      </c>
      <c r="C28" s="157" t="s">
        <v>0</v>
      </c>
      <c r="D28" s="158">
        <v>20</v>
      </c>
      <c r="E28" s="159">
        <v>980.39</v>
      </c>
      <c r="F28" s="158">
        <v>19607.8</v>
      </c>
      <c r="G28" s="160" t="s">
        <v>5062</v>
      </c>
      <c r="H28" s="1272" t="str">
        <f t="shared" si="1"/>
        <v xml:space="preserve">分析表1_x000D_
</v>
      </c>
      <c r="I28" s="667">
        <v>20</v>
      </c>
      <c r="J28" t="str">
        <f t="shared" si="0"/>
        <v>1.20</v>
      </c>
      <c r="K28"/>
      <c r="L28"/>
      <c r="M28"/>
    </row>
    <row r="29" spans="1:13" s="4" customFormat="1" ht="31.5">
      <c r="A29" s="161" t="s">
        <v>48</v>
      </c>
      <c r="B29" s="8" t="s">
        <v>936</v>
      </c>
      <c r="C29" s="157" t="s">
        <v>0</v>
      </c>
      <c r="D29" s="158">
        <v>20</v>
      </c>
      <c r="E29" s="159">
        <v>635.20000000000005</v>
      </c>
      <c r="F29" s="158">
        <v>12704</v>
      </c>
      <c r="G29" s="160" t="s">
        <v>5063</v>
      </c>
      <c r="H29" s="1272" t="str">
        <f t="shared" si="1"/>
        <v xml:space="preserve">分析表2_x000D_
</v>
      </c>
      <c r="I29" s="667">
        <v>21</v>
      </c>
      <c r="J29" t="str">
        <f t="shared" si="0"/>
        <v>1.21</v>
      </c>
      <c r="K29"/>
      <c r="L29"/>
      <c r="M29"/>
    </row>
    <row r="30" spans="1:13" s="4" customFormat="1" ht="31.5">
      <c r="A30" s="161" t="s">
        <v>49</v>
      </c>
      <c r="B30" s="8" t="s">
        <v>4416</v>
      </c>
      <c r="C30" s="157" t="s">
        <v>0</v>
      </c>
      <c r="D30" s="158">
        <v>20</v>
      </c>
      <c r="E30" s="159">
        <v>1602.57</v>
      </c>
      <c r="F30" s="158">
        <v>32051.4</v>
      </c>
      <c r="G30" s="160" t="s">
        <v>5064</v>
      </c>
      <c r="H30" s="1272" t="str">
        <f t="shared" si="1"/>
        <v xml:space="preserve">分析表3_x000D_
</v>
      </c>
      <c r="I30" s="667">
        <v>22</v>
      </c>
      <c r="J30" t="str">
        <f t="shared" si="0"/>
        <v>1.22</v>
      </c>
      <c r="K30"/>
      <c r="L30"/>
      <c r="M30"/>
    </row>
    <row r="31" spans="1:13" s="4" customFormat="1" ht="31.5">
      <c r="A31" s="161" t="s">
        <v>50</v>
      </c>
      <c r="B31" s="8" t="s">
        <v>953</v>
      </c>
      <c r="C31" s="157" t="s">
        <v>0</v>
      </c>
      <c r="D31" s="158">
        <v>20</v>
      </c>
      <c r="E31" s="159">
        <v>4071.97</v>
      </c>
      <c r="F31" s="158">
        <v>81439.399999999994</v>
      </c>
      <c r="G31" s="160" t="s">
        <v>5065</v>
      </c>
      <c r="H31" s="1272" t="str">
        <f t="shared" si="1"/>
        <v xml:space="preserve">分析表4_x000D_
</v>
      </c>
      <c r="I31" s="667">
        <v>23</v>
      </c>
      <c r="J31" t="str">
        <f t="shared" si="0"/>
        <v>1.23</v>
      </c>
      <c r="K31"/>
      <c r="L31"/>
      <c r="M31"/>
    </row>
    <row r="32" spans="1:13" s="4" customFormat="1" ht="63">
      <c r="A32" s="161" t="s">
        <v>51</v>
      </c>
      <c r="B32" s="8" t="s">
        <v>535</v>
      </c>
      <c r="C32" s="157" t="s">
        <v>0</v>
      </c>
      <c r="D32" s="158">
        <v>20</v>
      </c>
      <c r="E32" s="159">
        <v>5416.79</v>
      </c>
      <c r="F32" s="158">
        <v>108335.8</v>
      </c>
      <c r="G32" s="160" t="s">
        <v>5066</v>
      </c>
      <c r="H32" s="1272" t="str">
        <f t="shared" si="1"/>
        <v>分析表5_x000D_
經機關核定每日施工期間未達7小時適用</v>
      </c>
      <c r="I32" s="667">
        <v>24</v>
      </c>
      <c r="J32" t="str">
        <f t="shared" si="0"/>
        <v>1.24</v>
      </c>
      <c r="K32"/>
      <c r="L32"/>
      <c r="M32"/>
    </row>
    <row r="33" spans="1:13" s="4" customFormat="1" ht="31.5">
      <c r="A33" s="161" t="s">
        <v>52</v>
      </c>
      <c r="B33" s="8" t="s">
        <v>453</v>
      </c>
      <c r="C33" s="157" t="s">
        <v>0</v>
      </c>
      <c r="D33" s="158">
        <v>20</v>
      </c>
      <c r="E33" s="159">
        <v>5250.69</v>
      </c>
      <c r="F33" s="158">
        <v>105013.8</v>
      </c>
      <c r="G33" s="160" t="s">
        <v>5067</v>
      </c>
      <c r="H33" s="1272" t="str">
        <f t="shared" si="1"/>
        <v xml:space="preserve">分析表6_x000D_
</v>
      </c>
      <c r="I33" s="667">
        <v>25</v>
      </c>
      <c r="J33" t="str">
        <f t="shared" si="0"/>
        <v>1.25</v>
      </c>
      <c r="K33"/>
      <c r="L33"/>
      <c r="M33"/>
    </row>
    <row r="34" spans="1:13" s="4" customFormat="1" ht="63">
      <c r="A34" s="161" t="s">
        <v>53</v>
      </c>
      <c r="B34" s="8" t="s">
        <v>564</v>
      </c>
      <c r="C34" s="157" t="s">
        <v>0</v>
      </c>
      <c r="D34" s="158">
        <v>20</v>
      </c>
      <c r="E34" s="159">
        <v>6983.97</v>
      </c>
      <c r="F34" s="158">
        <v>139679.4</v>
      </c>
      <c r="G34" s="160" t="s">
        <v>5068</v>
      </c>
      <c r="H34" s="1272" t="str">
        <f t="shared" si="1"/>
        <v>分析表7_x000D_
經機關核定每日施工期間未達7小時適用</v>
      </c>
      <c r="I34" s="667">
        <v>26</v>
      </c>
      <c r="J34" t="str">
        <f t="shared" si="0"/>
        <v>1.26</v>
      </c>
      <c r="K34"/>
      <c r="L34"/>
      <c r="M34"/>
    </row>
    <row r="35" spans="1:13" s="4" customFormat="1" ht="31.5">
      <c r="A35" s="161" t="s">
        <v>54</v>
      </c>
      <c r="B35" s="8" t="s">
        <v>2234</v>
      </c>
      <c r="C35" s="157" t="s">
        <v>0</v>
      </c>
      <c r="D35" s="158">
        <v>20</v>
      </c>
      <c r="E35" s="159">
        <v>12076.83</v>
      </c>
      <c r="F35" s="158">
        <v>241536.6</v>
      </c>
      <c r="G35" s="160" t="s">
        <v>5069</v>
      </c>
      <c r="H35" s="1272" t="str">
        <f t="shared" si="1"/>
        <v xml:space="preserve">分析表8_x000D_
</v>
      </c>
      <c r="I35" s="667">
        <v>27</v>
      </c>
      <c r="J35" t="str">
        <f t="shared" si="0"/>
        <v>1.27</v>
      </c>
      <c r="K35"/>
      <c r="L35"/>
      <c r="M35"/>
    </row>
    <row r="36" spans="1:13" s="4" customFormat="1" ht="47.25">
      <c r="A36" s="161" t="s">
        <v>55</v>
      </c>
      <c r="B36" s="8" t="s">
        <v>939</v>
      </c>
      <c r="C36" s="157" t="s">
        <v>1</v>
      </c>
      <c r="D36" s="158">
        <v>20</v>
      </c>
      <c r="E36" s="159">
        <v>1305.76</v>
      </c>
      <c r="F36" s="158">
        <v>26115.200000000001</v>
      </c>
      <c r="G36" s="160" t="s">
        <v>5070</v>
      </c>
      <c r="H36" s="1272" t="str">
        <f t="shared" si="1"/>
        <v xml:space="preserve">分析表9_x000D_
</v>
      </c>
      <c r="I36" s="667">
        <v>28</v>
      </c>
      <c r="J36" t="str">
        <f t="shared" si="0"/>
        <v>1.28</v>
      </c>
      <c r="K36"/>
      <c r="L36"/>
      <c r="M36"/>
    </row>
    <row r="37" spans="1:13" s="4" customFormat="1" ht="31.5">
      <c r="A37" s="161" t="s">
        <v>56</v>
      </c>
      <c r="B37" s="8" t="s">
        <v>958</v>
      </c>
      <c r="C37" s="157" t="s">
        <v>1</v>
      </c>
      <c r="D37" s="158">
        <v>20</v>
      </c>
      <c r="E37" s="159">
        <v>3321.87</v>
      </c>
      <c r="F37" s="158">
        <v>66437.399999999994</v>
      </c>
      <c r="G37" s="160" t="s">
        <v>5071</v>
      </c>
      <c r="H37" s="1272" t="str">
        <f t="shared" si="1"/>
        <v xml:space="preserve">分析表10_x000D_
</v>
      </c>
      <c r="I37" s="667">
        <v>29</v>
      </c>
      <c r="J37" t="str">
        <f t="shared" si="0"/>
        <v>1.29</v>
      </c>
      <c r="K37"/>
      <c r="L37"/>
      <c r="M37"/>
    </row>
    <row r="38" spans="1:13" s="4" customFormat="1" ht="47.25">
      <c r="A38" s="161" t="s">
        <v>57</v>
      </c>
      <c r="B38" s="8" t="s">
        <v>5477</v>
      </c>
      <c r="C38" s="157" t="s">
        <v>1</v>
      </c>
      <c r="D38" s="158">
        <v>100</v>
      </c>
      <c r="E38" s="159">
        <v>45.31</v>
      </c>
      <c r="F38" s="158">
        <v>4531</v>
      </c>
      <c r="G38" s="160" t="s">
        <v>5072</v>
      </c>
      <c r="H38" s="1272" t="str">
        <f t="shared" si="1"/>
        <v xml:space="preserve">分析表11_x000D_
</v>
      </c>
      <c r="I38" s="667">
        <v>30</v>
      </c>
      <c r="J38" t="str">
        <f t="shared" si="0"/>
        <v>1.30</v>
      </c>
      <c r="K38"/>
      <c r="L38"/>
      <c r="M38"/>
    </row>
    <row r="39" spans="1:13" s="4" customFormat="1" ht="63">
      <c r="A39" s="161" t="s">
        <v>58</v>
      </c>
      <c r="B39" s="8" t="s">
        <v>4012</v>
      </c>
      <c r="C39" s="157" t="s">
        <v>1</v>
      </c>
      <c r="D39" s="158">
        <v>50</v>
      </c>
      <c r="E39" s="159">
        <v>60.35</v>
      </c>
      <c r="F39" s="158">
        <v>3017.5</v>
      </c>
      <c r="G39" s="160" t="s">
        <v>5073</v>
      </c>
      <c r="H39" s="1272" t="str">
        <f t="shared" si="1"/>
        <v>分析表12_x000D_
經機關核定每日施工期間未達7小時適用</v>
      </c>
      <c r="I39" s="667">
        <v>31</v>
      </c>
      <c r="J39" t="str">
        <f t="shared" si="0"/>
        <v>1.31</v>
      </c>
      <c r="K39"/>
      <c r="L39"/>
      <c r="M39"/>
    </row>
    <row r="40" spans="1:13" s="4" customFormat="1" ht="47.25">
      <c r="A40" s="161" t="s">
        <v>59</v>
      </c>
      <c r="B40" s="8" t="s">
        <v>5478</v>
      </c>
      <c r="C40" s="157" t="s">
        <v>1</v>
      </c>
      <c r="D40" s="158">
        <v>50</v>
      </c>
      <c r="E40" s="159">
        <v>63.21</v>
      </c>
      <c r="F40" s="158">
        <v>3160.5</v>
      </c>
      <c r="G40" s="160" t="s">
        <v>5074</v>
      </c>
      <c r="H40" s="1272" t="str">
        <f t="shared" si="1"/>
        <v xml:space="preserve">分析表13_x000D_
</v>
      </c>
      <c r="I40" s="667">
        <v>32</v>
      </c>
      <c r="J40" t="str">
        <f t="shared" si="0"/>
        <v>1.32</v>
      </c>
      <c r="K40"/>
      <c r="L40"/>
      <c r="M40"/>
    </row>
    <row r="41" spans="1:13" s="4" customFormat="1" ht="31.5">
      <c r="A41" s="161" t="s">
        <v>60</v>
      </c>
      <c r="B41" s="8" t="s">
        <v>964</v>
      </c>
      <c r="C41" s="157" t="s">
        <v>1</v>
      </c>
      <c r="D41" s="158">
        <v>20</v>
      </c>
      <c r="E41" s="159">
        <v>4607.76</v>
      </c>
      <c r="F41" s="158">
        <v>92155.199999999997</v>
      </c>
      <c r="G41" s="160" t="s">
        <v>5075</v>
      </c>
      <c r="H41" s="1272" t="str">
        <f t="shared" si="1"/>
        <v xml:space="preserve">分析表14_x000D_
</v>
      </c>
      <c r="I41" s="667">
        <v>33</v>
      </c>
      <c r="J41" t="str">
        <f t="shared" si="0"/>
        <v>1.33</v>
      </c>
      <c r="K41"/>
      <c r="L41"/>
      <c r="M41"/>
    </row>
    <row r="42" spans="1:13" s="4" customFormat="1" ht="47.25">
      <c r="A42" s="161" t="s">
        <v>61</v>
      </c>
      <c r="B42" s="8" t="s">
        <v>961</v>
      </c>
      <c r="C42" s="157" t="s">
        <v>1</v>
      </c>
      <c r="D42" s="158">
        <v>20</v>
      </c>
      <c r="E42" s="159">
        <v>439.12</v>
      </c>
      <c r="F42" s="158">
        <v>8782.4</v>
      </c>
      <c r="G42" s="160" t="s">
        <v>5076</v>
      </c>
      <c r="H42" s="1272" t="str">
        <f t="shared" si="1"/>
        <v xml:space="preserve">分析表15_x000D_
</v>
      </c>
      <c r="I42" s="667">
        <v>34</v>
      </c>
      <c r="J42" t="str">
        <f t="shared" si="0"/>
        <v>1.34</v>
      </c>
      <c r="K42"/>
      <c r="L42"/>
      <c r="M42"/>
    </row>
    <row r="43" spans="1:13" s="4" customFormat="1" ht="31.5">
      <c r="A43" s="161" t="s">
        <v>62</v>
      </c>
      <c r="B43" s="8" t="s">
        <v>985</v>
      </c>
      <c r="C43" s="157" t="s">
        <v>1</v>
      </c>
      <c r="D43" s="158">
        <v>20</v>
      </c>
      <c r="E43" s="159">
        <v>600.08000000000004</v>
      </c>
      <c r="F43" s="158">
        <v>12001.6</v>
      </c>
      <c r="G43" s="160" t="s">
        <v>5077</v>
      </c>
      <c r="H43" s="1272" t="str">
        <f t="shared" si="1"/>
        <v xml:space="preserve">分析表16_x000D_
</v>
      </c>
      <c r="I43" s="667">
        <v>35</v>
      </c>
      <c r="J43" t="str">
        <f t="shared" si="0"/>
        <v>1.35</v>
      </c>
      <c r="K43"/>
      <c r="L43"/>
      <c r="M43"/>
    </row>
    <row r="44" spans="1:13" s="4" customFormat="1" ht="31.5">
      <c r="A44" s="161" t="s">
        <v>63</v>
      </c>
      <c r="B44" s="8" t="s">
        <v>2214</v>
      </c>
      <c r="C44" s="157" t="s">
        <v>1</v>
      </c>
      <c r="D44" s="158">
        <v>20</v>
      </c>
      <c r="E44" s="159">
        <v>1382.35</v>
      </c>
      <c r="F44" s="158">
        <v>27647</v>
      </c>
      <c r="G44" s="160" t="s">
        <v>5078</v>
      </c>
      <c r="H44" s="1272" t="str">
        <f t="shared" si="1"/>
        <v xml:space="preserve">分析表17_x000D_
</v>
      </c>
      <c r="I44" s="667">
        <v>36</v>
      </c>
      <c r="J44" t="str">
        <f t="shared" si="0"/>
        <v>1.36</v>
      </c>
      <c r="K44"/>
      <c r="L44"/>
      <c r="M44"/>
    </row>
    <row r="45" spans="1:13" s="4" customFormat="1" ht="63">
      <c r="A45" s="161" t="s">
        <v>64</v>
      </c>
      <c r="B45" s="8" t="s">
        <v>566</v>
      </c>
      <c r="C45" s="157" t="s">
        <v>0</v>
      </c>
      <c r="D45" s="158">
        <v>10</v>
      </c>
      <c r="E45" s="159">
        <v>844.82</v>
      </c>
      <c r="F45" s="158">
        <v>8448.2000000000007</v>
      </c>
      <c r="G45" s="160" t="s">
        <v>5079</v>
      </c>
      <c r="H45" s="1272" t="str">
        <f t="shared" si="1"/>
        <v>分析表18_x000D_
經機關核定每日施工期間未達7小時適用</v>
      </c>
      <c r="I45" s="667">
        <v>37</v>
      </c>
      <c r="J45" t="str">
        <f t="shared" si="0"/>
        <v>1.37</v>
      </c>
      <c r="K45"/>
      <c r="L45"/>
      <c r="M45"/>
    </row>
    <row r="46" spans="1:13" s="4" customFormat="1" ht="63">
      <c r="A46" s="161" t="s">
        <v>65</v>
      </c>
      <c r="B46" s="8" t="s">
        <v>568</v>
      </c>
      <c r="C46" s="157" t="s">
        <v>0</v>
      </c>
      <c r="D46" s="158">
        <v>10</v>
      </c>
      <c r="E46" s="159">
        <v>1303.92</v>
      </c>
      <c r="F46" s="158">
        <v>13039.2</v>
      </c>
      <c r="G46" s="160" t="s">
        <v>5080</v>
      </c>
      <c r="H46" s="1272" t="str">
        <f t="shared" si="1"/>
        <v>分析表19_x000D_
經機關核定每日施工期間未達7小時適用</v>
      </c>
      <c r="I46" s="667">
        <v>38</v>
      </c>
      <c r="J46" t="str">
        <f t="shared" si="0"/>
        <v>1.38</v>
      </c>
      <c r="K46"/>
      <c r="L46"/>
      <c r="M46"/>
    </row>
    <row r="47" spans="1:13" s="4" customFormat="1" ht="63">
      <c r="A47" s="161" t="s">
        <v>66</v>
      </c>
      <c r="B47" s="8" t="s">
        <v>536</v>
      </c>
      <c r="C47" s="157" t="s">
        <v>1</v>
      </c>
      <c r="D47" s="158">
        <v>10</v>
      </c>
      <c r="E47" s="159">
        <v>4417.55</v>
      </c>
      <c r="F47" s="158">
        <v>44175.5</v>
      </c>
      <c r="G47" s="160" t="s">
        <v>5081</v>
      </c>
      <c r="H47" s="1272" t="str">
        <f t="shared" si="1"/>
        <v>分析表20_x000D_
經機關核定每日施工期間未達7小時適用</v>
      </c>
      <c r="I47" s="667">
        <v>39</v>
      </c>
      <c r="J47" t="str">
        <f t="shared" si="0"/>
        <v>1.39</v>
      </c>
      <c r="K47"/>
      <c r="L47"/>
      <c r="M47"/>
    </row>
    <row r="48" spans="1:13" s="4" customFormat="1" ht="63">
      <c r="A48" s="161" t="s">
        <v>67</v>
      </c>
      <c r="B48" s="8" t="s">
        <v>3628</v>
      </c>
      <c r="C48" s="157" t="s">
        <v>1</v>
      </c>
      <c r="D48" s="158">
        <v>10</v>
      </c>
      <c r="E48" s="159">
        <v>584.03</v>
      </c>
      <c r="F48" s="158">
        <v>5840.3</v>
      </c>
      <c r="G48" s="160" t="s">
        <v>5082</v>
      </c>
      <c r="H48" s="1272" t="str">
        <f t="shared" si="1"/>
        <v>分析表21_x000D_
經機關核定每日施工期間未達7小時適用</v>
      </c>
      <c r="I48" s="667">
        <v>40</v>
      </c>
      <c r="J48" t="str">
        <f t="shared" si="0"/>
        <v>1.40</v>
      </c>
      <c r="K48"/>
      <c r="L48"/>
      <c r="M48"/>
    </row>
    <row r="49" spans="1:13" s="4" customFormat="1" ht="63">
      <c r="A49" s="161" t="s">
        <v>68</v>
      </c>
      <c r="B49" s="8" t="s">
        <v>571</v>
      </c>
      <c r="C49" s="157" t="s">
        <v>1</v>
      </c>
      <c r="D49" s="158">
        <v>10</v>
      </c>
      <c r="E49" s="159">
        <v>6129.39</v>
      </c>
      <c r="F49" s="158">
        <v>61293.9</v>
      </c>
      <c r="G49" s="160" t="s">
        <v>5083</v>
      </c>
      <c r="H49" s="1272" t="str">
        <f t="shared" si="1"/>
        <v>分析表22_x000D_
經機關核定每日施工期間未達7小時適用</v>
      </c>
      <c r="I49" s="667">
        <v>41</v>
      </c>
      <c r="J49" t="str">
        <f t="shared" si="0"/>
        <v>1.41</v>
      </c>
      <c r="K49"/>
      <c r="L49"/>
      <c r="M49"/>
    </row>
    <row r="50" spans="1:13" s="4" customFormat="1" ht="63">
      <c r="A50" s="161" t="s">
        <v>69</v>
      </c>
      <c r="B50" s="8" t="s">
        <v>3627</v>
      </c>
      <c r="C50" s="157" t="s">
        <v>1</v>
      </c>
      <c r="D50" s="158">
        <v>10</v>
      </c>
      <c r="E50" s="159">
        <v>1736.66</v>
      </c>
      <c r="F50" s="158">
        <v>17366.599999999999</v>
      </c>
      <c r="G50" s="160" t="s">
        <v>5084</v>
      </c>
      <c r="H50" s="1272" t="str">
        <f t="shared" si="1"/>
        <v>分析表23_x000D_
經機關核定每日施工期間未達7小時適用</v>
      </c>
      <c r="I50" s="667">
        <v>42</v>
      </c>
      <c r="J50" t="str">
        <f t="shared" si="0"/>
        <v>1.42</v>
      </c>
      <c r="K50"/>
      <c r="L50"/>
      <c r="M50"/>
    </row>
    <row r="51" spans="1:13" s="4" customFormat="1" ht="63">
      <c r="A51" s="161" t="s">
        <v>70</v>
      </c>
      <c r="B51" s="8" t="s">
        <v>3626</v>
      </c>
      <c r="C51" s="157" t="s">
        <v>1</v>
      </c>
      <c r="D51" s="158">
        <v>10</v>
      </c>
      <c r="E51" s="159">
        <v>798.32</v>
      </c>
      <c r="F51" s="158">
        <v>7983.2</v>
      </c>
      <c r="G51" s="160" t="s">
        <v>5085</v>
      </c>
      <c r="H51" s="1272" t="str">
        <f t="shared" si="1"/>
        <v>分析表24_x000D_
經機關核定每日施工期間未達7小時適用</v>
      </c>
      <c r="I51" s="667">
        <v>43</v>
      </c>
      <c r="J51" t="str">
        <f t="shared" si="0"/>
        <v>1.43</v>
      </c>
      <c r="K51"/>
      <c r="L51"/>
      <c r="M51"/>
    </row>
    <row r="52" spans="1:13" s="4" customFormat="1" ht="31.5">
      <c r="A52" s="161" t="s">
        <v>71</v>
      </c>
      <c r="B52" s="8" t="s">
        <v>990</v>
      </c>
      <c r="C52" s="157" t="s">
        <v>17</v>
      </c>
      <c r="D52" s="158">
        <v>10</v>
      </c>
      <c r="E52" s="159">
        <v>83.21</v>
      </c>
      <c r="F52" s="158">
        <v>832.1</v>
      </c>
      <c r="G52" s="160" t="s">
        <v>5086</v>
      </c>
      <c r="H52" s="1272" t="str">
        <f t="shared" si="1"/>
        <v xml:space="preserve">分析表25_x000D_
</v>
      </c>
      <c r="I52" s="667">
        <v>44</v>
      </c>
      <c r="J52" t="str">
        <f t="shared" si="0"/>
        <v>1.44</v>
      </c>
      <c r="K52"/>
      <c r="L52"/>
      <c r="M52"/>
    </row>
    <row r="53" spans="1:13" s="4" customFormat="1" ht="63">
      <c r="A53" s="161" t="s">
        <v>72</v>
      </c>
      <c r="B53" s="8" t="s">
        <v>990</v>
      </c>
      <c r="C53" s="157" t="s">
        <v>17</v>
      </c>
      <c r="D53" s="158">
        <v>10</v>
      </c>
      <c r="E53" s="159">
        <v>110.67</v>
      </c>
      <c r="F53" s="158">
        <v>1106.7</v>
      </c>
      <c r="G53" s="160" t="s">
        <v>5087</v>
      </c>
      <c r="H53" s="1272" t="str">
        <f t="shared" si="1"/>
        <v>分析表26_x000D_
經機關核定每日施工期間未達7小時適用</v>
      </c>
      <c r="I53" s="667">
        <v>45</v>
      </c>
      <c r="J53" t="str">
        <f t="shared" si="0"/>
        <v>1.45</v>
      </c>
      <c r="K53"/>
      <c r="L53"/>
      <c r="M53"/>
    </row>
    <row r="54" spans="1:13" s="4" customFormat="1" ht="31.5">
      <c r="A54" s="161" t="s">
        <v>73</v>
      </c>
      <c r="B54" s="8" t="s">
        <v>995</v>
      </c>
      <c r="C54" s="157" t="s">
        <v>0</v>
      </c>
      <c r="D54" s="158">
        <v>20</v>
      </c>
      <c r="E54" s="159">
        <v>550.19000000000005</v>
      </c>
      <c r="F54" s="158">
        <v>11003.8</v>
      </c>
      <c r="G54" s="160" t="s">
        <v>5088</v>
      </c>
      <c r="H54" s="1272" t="str">
        <f t="shared" si="1"/>
        <v xml:space="preserve">分析表27_x000D_
</v>
      </c>
      <c r="I54" s="667">
        <v>46</v>
      </c>
      <c r="J54" t="str">
        <f t="shared" si="0"/>
        <v>1.46</v>
      </c>
      <c r="K54"/>
      <c r="L54"/>
      <c r="M54"/>
    </row>
    <row r="55" spans="1:13" s="4" customFormat="1" ht="63">
      <c r="A55" s="161" t="s">
        <v>74</v>
      </c>
      <c r="B55" s="8" t="s">
        <v>578</v>
      </c>
      <c r="C55" s="157" t="s">
        <v>0</v>
      </c>
      <c r="D55" s="158">
        <v>20</v>
      </c>
      <c r="E55" s="159">
        <v>731.76</v>
      </c>
      <c r="F55" s="158">
        <v>14635.2</v>
      </c>
      <c r="G55" s="160" t="s">
        <v>5089</v>
      </c>
      <c r="H55" s="1272" t="str">
        <f t="shared" si="1"/>
        <v>分析表28_x000D_
經機關核定每日施工期間未達7小時適用</v>
      </c>
      <c r="I55" s="667">
        <v>47</v>
      </c>
      <c r="J55" t="str">
        <f t="shared" si="0"/>
        <v>1.47</v>
      </c>
      <c r="K55"/>
      <c r="L55"/>
      <c r="M55"/>
    </row>
    <row r="56" spans="1:13" s="4" customFormat="1" ht="31.5">
      <c r="A56" s="161" t="s">
        <v>75</v>
      </c>
      <c r="B56" s="8" t="s">
        <v>4443</v>
      </c>
      <c r="C56" s="157" t="s">
        <v>0</v>
      </c>
      <c r="D56" s="158">
        <v>20</v>
      </c>
      <c r="E56" s="159">
        <v>795.34</v>
      </c>
      <c r="F56" s="158">
        <v>15906.8</v>
      </c>
      <c r="G56" s="160" t="s">
        <v>5090</v>
      </c>
      <c r="H56" s="1272" t="str">
        <f t="shared" si="1"/>
        <v xml:space="preserve">分析表29_x000D_
</v>
      </c>
      <c r="I56" s="667">
        <v>48</v>
      </c>
      <c r="J56" t="str">
        <f t="shared" si="0"/>
        <v>1.48</v>
      </c>
      <c r="K56"/>
      <c r="L56"/>
      <c r="M56"/>
    </row>
    <row r="57" spans="1:13" s="4" customFormat="1" ht="31.5">
      <c r="A57" s="161" t="s">
        <v>76</v>
      </c>
      <c r="B57" s="8" t="s">
        <v>1003</v>
      </c>
      <c r="C57" s="157" t="s">
        <v>1</v>
      </c>
      <c r="D57" s="158">
        <v>20</v>
      </c>
      <c r="E57" s="159">
        <v>91.42</v>
      </c>
      <c r="F57" s="158">
        <v>1828.4</v>
      </c>
      <c r="G57" s="160" t="s">
        <v>5091</v>
      </c>
      <c r="H57" s="1272" t="str">
        <f t="shared" si="1"/>
        <v xml:space="preserve">分析表30_x000D_
</v>
      </c>
      <c r="I57" s="667">
        <v>49</v>
      </c>
      <c r="J57" t="str">
        <f t="shared" si="0"/>
        <v>1.49</v>
      </c>
      <c r="K57"/>
      <c r="L57"/>
      <c r="M57"/>
    </row>
    <row r="58" spans="1:13" s="4" customFormat="1" ht="31.5">
      <c r="A58" s="161" t="s">
        <v>77</v>
      </c>
      <c r="B58" s="8" t="s">
        <v>1010</v>
      </c>
      <c r="C58" s="157" t="s">
        <v>1</v>
      </c>
      <c r="D58" s="158">
        <v>10</v>
      </c>
      <c r="E58" s="159">
        <v>557.71</v>
      </c>
      <c r="F58" s="158">
        <v>5577.1</v>
      </c>
      <c r="G58" s="160" t="s">
        <v>5092</v>
      </c>
      <c r="H58" s="1272" t="str">
        <f t="shared" si="1"/>
        <v xml:space="preserve">分析表31_x000D_
</v>
      </c>
      <c r="I58" s="667">
        <v>50</v>
      </c>
      <c r="J58" t="str">
        <f t="shared" si="0"/>
        <v>1.50</v>
      </c>
      <c r="K58"/>
      <c r="L58"/>
      <c r="M58"/>
    </row>
    <row r="59" spans="1:13" s="4" customFormat="1" ht="31.5">
      <c r="A59" s="161" t="s">
        <v>78</v>
      </c>
      <c r="B59" s="8" t="s">
        <v>1019</v>
      </c>
      <c r="C59" s="157" t="s">
        <v>1</v>
      </c>
      <c r="D59" s="158">
        <v>10</v>
      </c>
      <c r="E59" s="159">
        <v>128.66</v>
      </c>
      <c r="F59" s="158">
        <v>1286.5999999999999</v>
      </c>
      <c r="G59" s="160" t="s">
        <v>5093</v>
      </c>
      <c r="H59" s="1272" t="str">
        <f t="shared" si="1"/>
        <v xml:space="preserve">分析表32_x000D_
</v>
      </c>
      <c r="I59" s="667">
        <v>51</v>
      </c>
      <c r="J59" t="str">
        <f t="shared" si="0"/>
        <v>1.51</v>
      </c>
      <c r="K59"/>
      <c r="L59"/>
      <c r="M59"/>
    </row>
    <row r="60" spans="1:13" s="4" customFormat="1" ht="31.5">
      <c r="A60" s="161" t="s">
        <v>79</v>
      </c>
      <c r="B60" s="8" t="s">
        <v>1033</v>
      </c>
      <c r="C60" s="157" t="s">
        <v>17</v>
      </c>
      <c r="D60" s="158">
        <v>10</v>
      </c>
      <c r="E60" s="159">
        <v>56.26</v>
      </c>
      <c r="F60" s="158">
        <v>562.6</v>
      </c>
      <c r="G60" s="160" t="s">
        <v>5094</v>
      </c>
      <c r="H60" s="1272" t="str">
        <f t="shared" si="1"/>
        <v xml:space="preserve">分析表33_x000D_
</v>
      </c>
      <c r="I60" s="667">
        <v>52</v>
      </c>
      <c r="J60" t="str">
        <f t="shared" si="0"/>
        <v>1.52</v>
      </c>
      <c r="K60"/>
      <c r="L60"/>
      <c r="M60"/>
    </row>
    <row r="61" spans="1:13" s="4" customFormat="1" ht="31.5">
      <c r="A61" s="161" t="s">
        <v>80</v>
      </c>
      <c r="B61" s="8" t="s">
        <v>1014</v>
      </c>
      <c r="C61" s="157" t="s">
        <v>1</v>
      </c>
      <c r="D61" s="158">
        <v>10</v>
      </c>
      <c r="E61" s="159">
        <v>647.91999999999996</v>
      </c>
      <c r="F61" s="158">
        <v>6479.2</v>
      </c>
      <c r="G61" s="160" t="s">
        <v>2</v>
      </c>
      <c r="H61" s="1272" t="str">
        <f t="shared" si="1"/>
        <v/>
      </c>
      <c r="I61" s="667">
        <v>53</v>
      </c>
      <c r="J61" t="str">
        <f t="shared" si="0"/>
        <v>1.53</v>
      </c>
      <c r="K61"/>
      <c r="L61"/>
      <c r="M61"/>
    </row>
    <row r="62" spans="1:13" s="4" customFormat="1" ht="31.5">
      <c r="A62" s="161" t="s">
        <v>81</v>
      </c>
      <c r="B62" s="8" t="s">
        <v>1036</v>
      </c>
      <c r="C62" s="157" t="s">
        <v>3</v>
      </c>
      <c r="D62" s="158">
        <v>50</v>
      </c>
      <c r="E62" s="159">
        <v>13.99</v>
      </c>
      <c r="F62" s="158">
        <v>699.5</v>
      </c>
      <c r="G62" s="160" t="s">
        <v>5095</v>
      </c>
      <c r="H62" s="1272" t="str">
        <f t="shared" si="1"/>
        <v xml:space="preserve">分析表34_x000D_
</v>
      </c>
      <c r="I62" s="667">
        <v>54</v>
      </c>
      <c r="J62" t="str">
        <f t="shared" si="0"/>
        <v>1.54</v>
      </c>
      <c r="K62"/>
      <c r="L62"/>
      <c r="M62"/>
    </row>
    <row r="63" spans="1:13" s="4" customFormat="1" ht="31.5">
      <c r="A63" s="161" t="s">
        <v>82</v>
      </c>
      <c r="B63" s="8" t="s">
        <v>454</v>
      </c>
      <c r="C63" s="157" t="s">
        <v>0</v>
      </c>
      <c r="D63" s="158">
        <v>50</v>
      </c>
      <c r="E63" s="159">
        <v>285.08999999999997</v>
      </c>
      <c r="F63" s="158">
        <v>14254.5</v>
      </c>
      <c r="G63" s="160" t="s">
        <v>5096</v>
      </c>
      <c r="H63" s="1272" t="str">
        <f t="shared" si="1"/>
        <v xml:space="preserve">分析表35_x000D_
</v>
      </c>
      <c r="I63" s="667">
        <v>55</v>
      </c>
      <c r="J63" t="str">
        <f t="shared" si="0"/>
        <v>1.55</v>
      </c>
      <c r="K63"/>
      <c r="L63"/>
      <c r="M63"/>
    </row>
    <row r="64" spans="1:13" s="4" customFormat="1" ht="31.5">
      <c r="A64" s="161" t="s">
        <v>83</v>
      </c>
      <c r="B64" s="8" t="s">
        <v>1048</v>
      </c>
      <c r="C64" s="157" t="s">
        <v>15</v>
      </c>
      <c r="D64" s="158">
        <v>50</v>
      </c>
      <c r="E64" s="159">
        <v>54.06</v>
      </c>
      <c r="F64" s="158">
        <v>2703</v>
      </c>
      <c r="G64" s="160" t="s">
        <v>5097</v>
      </c>
      <c r="H64" s="1272" t="str">
        <f t="shared" si="1"/>
        <v xml:space="preserve">分析表36_x000D_
</v>
      </c>
      <c r="I64" s="667">
        <v>56</v>
      </c>
      <c r="J64" t="str">
        <f t="shared" si="0"/>
        <v>1.56</v>
      </c>
      <c r="K64"/>
      <c r="L64"/>
      <c r="M64"/>
    </row>
    <row r="65" spans="1:13" s="4" customFormat="1" ht="31.5">
      <c r="A65" s="161" t="s">
        <v>84</v>
      </c>
      <c r="B65" s="8" t="s">
        <v>1067</v>
      </c>
      <c r="C65" s="157" t="s">
        <v>15</v>
      </c>
      <c r="D65" s="158">
        <v>50</v>
      </c>
      <c r="E65" s="159">
        <v>302.58999999999997</v>
      </c>
      <c r="F65" s="158">
        <v>15129.5</v>
      </c>
      <c r="G65" s="160" t="s">
        <v>5098</v>
      </c>
      <c r="H65" s="1272" t="str">
        <f t="shared" si="1"/>
        <v xml:space="preserve">分析表37_x000D_
</v>
      </c>
      <c r="I65" s="667">
        <v>57</v>
      </c>
      <c r="J65" t="str">
        <f t="shared" si="0"/>
        <v>1.57</v>
      </c>
      <c r="K65"/>
      <c r="L65"/>
      <c r="M65"/>
    </row>
    <row r="66" spans="1:13" s="4" customFormat="1" ht="31.5">
      <c r="A66" s="161" t="s">
        <v>85</v>
      </c>
      <c r="B66" s="8" t="s">
        <v>1072</v>
      </c>
      <c r="C66" s="157" t="s">
        <v>0</v>
      </c>
      <c r="D66" s="158">
        <v>50</v>
      </c>
      <c r="E66" s="159">
        <v>97.63</v>
      </c>
      <c r="F66" s="158">
        <v>4881.5</v>
      </c>
      <c r="G66" s="160" t="s">
        <v>5099</v>
      </c>
      <c r="H66" s="1272" t="str">
        <f t="shared" si="1"/>
        <v xml:space="preserve">分析表38_x000D_
</v>
      </c>
      <c r="I66" s="667">
        <v>58</v>
      </c>
      <c r="J66" t="str">
        <f t="shared" ref="J66:J129" si="2">A66</f>
        <v>1.58</v>
      </c>
      <c r="K66"/>
      <c r="L66"/>
      <c r="M66"/>
    </row>
    <row r="67" spans="1:13" s="4" customFormat="1" ht="47.25">
      <c r="A67" s="161" t="s">
        <v>86</v>
      </c>
      <c r="B67" s="8" t="s">
        <v>543</v>
      </c>
      <c r="C67" s="157" t="s">
        <v>1</v>
      </c>
      <c r="D67" s="158">
        <v>50</v>
      </c>
      <c r="E67" s="159">
        <v>1107.06</v>
      </c>
      <c r="F67" s="158">
        <v>55353</v>
      </c>
      <c r="G67" s="160" t="s">
        <v>5100</v>
      </c>
      <c r="H67" s="1272" t="str">
        <f t="shared" si="1"/>
        <v>分析表39_x000D_
每日產出餘土量≤2M3使用</v>
      </c>
      <c r="I67" s="667">
        <v>59</v>
      </c>
      <c r="J67" t="str">
        <f t="shared" si="2"/>
        <v>1.59</v>
      </c>
      <c r="K67"/>
      <c r="L67"/>
      <c r="M67"/>
    </row>
    <row r="68" spans="1:13" s="4" customFormat="1" ht="31.5">
      <c r="A68" s="161" t="s">
        <v>87</v>
      </c>
      <c r="B68" s="8" t="s">
        <v>3971</v>
      </c>
      <c r="C68" s="157" t="s">
        <v>1</v>
      </c>
      <c r="D68" s="158">
        <v>50</v>
      </c>
      <c r="E68" s="159">
        <v>992.08</v>
      </c>
      <c r="F68" s="158">
        <v>49604</v>
      </c>
      <c r="G68" s="160" t="s">
        <v>5101</v>
      </c>
      <c r="H68" s="1272" t="str">
        <f t="shared" si="1"/>
        <v xml:space="preserve">分析表40_x000D_
</v>
      </c>
      <c r="I68" s="667">
        <v>60</v>
      </c>
      <c r="J68" t="str">
        <f t="shared" si="2"/>
        <v>1.60</v>
      </c>
      <c r="K68"/>
      <c r="L68"/>
      <c r="M68"/>
    </row>
    <row r="69" spans="1:13" s="4" customFormat="1" ht="31.5">
      <c r="A69" s="161" t="s">
        <v>88</v>
      </c>
      <c r="B69" s="8" t="s">
        <v>26</v>
      </c>
      <c r="C69" s="157" t="s">
        <v>1</v>
      </c>
      <c r="D69" s="158">
        <v>50</v>
      </c>
      <c r="E69" s="159">
        <v>663.18</v>
      </c>
      <c r="F69" s="158">
        <v>33159</v>
      </c>
      <c r="G69" s="160" t="s">
        <v>5102</v>
      </c>
      <c r="H69" s="1272" t="str">
        <f t="shared" si="1"/>
        <v xml:space="preserve">分析表41_x000D_
</v>
      </c>
      <c r="I69" s="667">
        <v>61</v>
      </c>
      <c r="J69" t="str">
        <f t="shared" si="2"/>
        <v>1.61</v>
      </c>
      <c r="K69"/>
      <c r="L69"/>
      <c r="M69"/>
    </row>
    <row r="70" spans="1:13" s="4" customFormat="1" ht="31.5">
      <c r="A70" s="161" t="s">
        <v>89</v>
      </c>
      <c r="B70" s="8" t="s">
        <v>1091</v>
      </c>
      <c r="C70" s="157" t="s">
        <v>1</v>
      </c>
      <c r="D70" s="158">
        <v>50</v>
      </c>
      <c r="E70" s="159">
        <v>440.54</v>
      </c>
      <c r="F70" s="158">
        <v>22027</v>
      </c>
      <c r="G70" s="160" t="s">
        <v>5103</v>
      </c>
      <c r="H70" s="1272" t="str">
        <f t="shared" si="1"/>
        <v xml:space="preserve">分析表42_x000D_
</v>
      </c>
      <c r="I70" s="667">
        <v>62</v>
      </c>
      <c r="J70" t="str">
        <f t="shared" si="2"/>
        <v>1.62</v>
      </c>
      <c r="K70"/>
      <c r="L70"/>
      <c r="M70"/>
    </row>
    <row r="71" spans="1:13" s="4" customFormat="1" ht="31.5">
      <c r="A71" s="161" t="s">
        <v>90</v>
      </c>
      <c r="B71" s="8" t="s">
        <v>1096</v>
      </c>
      <c r="C71" s="157" t="s">
        <v>1</v>
      </c>
      <c r="D71" s="158">
        <v>10</v>
      </c>
      <c r="E71" s="159">
        <v>472.51</v>
      </c>
      <c r="F71" s="158">
        <v>4725.1000000000004</v>
      </c>
      <c r="G71" s="160" t="s">
        <v>5104</v>
      </c>
      <c r="H71" s="1272" t="str">
        <f t="shared" si="1"/>
        <v>分析表43_x000D_
無棄土費用</v>
      </c>
      <c r="I71" s="667">
        <v>63</v>
      </c>
      <c r="J71" t="str">
        <f t="shared" si="2"/>
        <v>1.63</v>
      </c>
      <c r="K71"/>
      <c r="L71"/>
      <c r="M71"/>
    </row>
    <row r="72" spans="1:13" s="4" customFormat="1" ht="31.5">
      <c r="A72" s="161" t="s">
        <v>91</v>
      </c>
      <c r="B72" s="8" t="s">
        <v>1099</v>
      </c>
      <c r="C72" s="157" t="s">
        <v>0</v>
      </c>
      <c r="D72" s="158">
        <v>10</v>
      </c>
      <c r="E72" s="159">
        <v>882.46</v>
      </c>
      <c r="F72" s="158">
        <v>8824.6</v>
      </c>
      <c r="G72" s="160" t="s">
        <v>5105</v>
      </c>
      <c r="H72" s="1272" t="str">
        <f t="shared" si="1"/>
        <v xml:space="preserve">分析表44_x000D_
</v>
      </c>
      <c r="I72" s="667">
        <v>64</v>
      </c>
      <c r="J72" t="str">
        <f t="shared" si="2"/>
        <v>1.64</v>
      </c>
      <c r="K72"/>
      <c r="L72"/>
      <c r="M72"/>
    </row>
    <row r="73" spans="1:13" s="4" customFormat="1" ht="31.5">
      <c r="A73" s="161" t="s">
        <v>92</v>
      </c>
      <c r="B73" s="8" t="s">
        <v>1104</v>
      </c>
      <c r="C73" s="157" t="s">
        <v>0</v>
      </c>
      <c r="D73" s="158">
        <v>10</v>
      </c>
      <c r="E73" s="159">
        <v>1378.09</v>
      </c>
      <c r="F73" s="158">
        <v>13780.9</v>
      </c>
      <c r="G73" s="160" t="s">
        <v>5106</v>
      </c>
      <c r="H73" s="1272" t="str">
        <f t="shared" si="1"/>
        <v xml:space="preserve">分析表45_x000D_
</v>
      </c>
      <c r="I73" s="667">
        <v>65</v>
      </c>
      <c r="J73" t="str">
        <f t="shared" si="2"/>
        <v>1.65</v>
      </c>
      <c r="K73"/>
      <c r="L73"/>
      <c r="M73"/>
    </row>
    <row r="74" spans="1:13" s="4" customFormat="1" ht="31.5">
      <c r="A74" s="161" t="s">
        <v>93</v>
      </c>
      <c r="B74" s="8" t="s">
        <v>1111</v>
      </c>
      <c r="C74" s="157" t="s">
        <v>3</v>
      </c>
      <c r="D74" s="158">
        <v>50</v>
      </c>
      <c r="E74" s="159">
        <v>11.06</v>
      </c>
      <c r="F74" s="158">
        <v>553</v>
      </c>
      <c r="G74" s="160" t="s">
        <v>5107</v>
      </c>
      <c r="H74" s="1272" t="str">
        <f t="shared" si="1"/>
        <v xml:space="preserve">分析表46_x000D_
</v>
      </c>
      <c r="I74" s="667">
        <v>66</v>
      </c>
      <c r="J74" t="str">
        <f t="shared" si="2"/>
        <v>1.66</v>
      </c>
      <c r="K74"/>
      <c r="L74"/>
      <c r="M74"/>
    </row>
    <row r="75" spans="1:13" s="4" customFormat="1" ht="31.5">
      <c r="A75" s="161" t="s">
        <v>94</v>
      </c>
      <c r="B75" s="8" t="s">
        <v>1118</v>
      </c>
      <c r="C75" s="157" t="s">
        <v>15</v>
      </c>
      <c r="D75" s="158">
        <v>50</v>
      </c>
      <c r="E75" s="159">
        <v>1201.9000000000001</v>
      </c>
      <c r="F75" s="158">
        <v>60095</v>
      </c>
      <c r="G75" s="160" t="s">
        <v>5108</v>
      </c>
      <c r="H75" s="1272" t="str">
        <f t="shared" ref="H75:H138" si="3">G75</f>
        <v xml:space="preserve">分析表47_x000D_
</v>
      </c>
      <c r="I75" s="667">
        <v>67</v>
      </c>
      <c r="J75" t="str">
        <f t="shared" si="2"/>
        <v>1.67</v>
      </c>
      <c r="K75"/>
      <c r="L75"/>
      <c r="M75"/>
    </row>
    <row r="76" spans="1:13" s="4" customFormat="1" ht="31.5">
      <c r="A76" s="161" t="s">
        <v>95</v>
      </c>
      <c r="B76" s="8" t="s">
        <v>1130</v>
      </c>
      <c r="C76" s="157" t="s">
        <v>15</v>
      </c>
      <c r="D76" s="158">
        <v>10</v>
      </c>
      <c r="E76" s="159">
        <v>1358.08</v>
      </c>
      <c r="F76" s="158">
        <v>13580.8</v>
      </c>
      <c r="G76" s="160" t="s">
        <v>5109</v>
      </c>
      <c r="H76" s="1272" t="str">
        <f t="shared" si="3"/>
        <v xml:space="preserve">分析表48_x000D_
</v>
      </c>
      <c r="I76" s="667">
        <v>68</v>
      </c>
      <c r="J76" t="str">
        <f t="shared" si="2"/>
        <v>1.68</v>
      </c>
      <c r="K76"/>
      <c r="L76"/>
      <c r="M76"/>
    </row>
    <row r="77" spans="1:13" s="4" customFormat="1" ht="31.5">
      <c r="A77" s="161" t="s">
        <v>96</v>
      </c>
      <c r="B77" s="8" t="s">
        <v>1135</v>
      </c>
      <c r="C77" s="157" t="s">
        <v>15</v>
      </c>
      <c r="D77" s="158">
        <v>10</v>
      </c>
      <c r="E77" s="159">
        <v>1236.04</v>
      </c>
      <c r="F77" s="158">
        <v>12360.4</v>
      </c>
      <c r="G77" s="160" t="s">
        <v>5110</v>
      </c>
      <c r="H77" s="1272" t="str">
        <f t="shared" si="3"/>
        <v xml:space="preserve">分析表49_x000D_
</v>
      </c>
      <c r="I77" s="667">
        <v>69</v>
      </c>
      <c r="J77" t="str">
        <f t="shared" si="2"/>
        <v>1.69</v>
      </c>
      <c r="K77"/>
      <c r="L77"/>
      <c r="M77"/>
    </row>
    <row r="78" spans="1:13" s="4" customFormat="1" ht="31.5">
      <c r="A78" s="161" t="s">
        <v>97</v>
      </c>
      <c r="B78" s="8" t="s">
        <v>1140</v>
      </c>
      <c r="C78" s="157" t="s">
        <v>3</v>
      </c>
      <c r="D78" s="158">
        <v>50</v>
      </c>
      <c r="E78" s="159">
        <v>41.08</v>
      </c>
      <c r="F78" s="158">
        <v>2054</v>
      </c>
      <c r="G78" s="160" t="s">
        <v>5111</v>
      </c>
      <c r="H78" s="1272" t="str">
        <f t="shared" si="3"/>
        <v xml:space="preserve">分析表50_x000D_
</v>
      </c>
      <c r="I78" s="667">
        <v>70</v>
      </c>
      <c r="J78" t="str">
        <f t="shared" si="2"/>
        <v>1.70</v>
      </c>
      <c r="K78"/>
      <c r="L78"/>
      <c r="M78"/>
    </row>
    <row r="79" spans="1:13" s="4" customFormat="1" ht="31.5">
      <c r="A79" s="161" t="s">
        <v>98</v>
      </c>
      <c r="B79" s="8" t="s">
        <v>1149</v>
      </c>
      <c r="C79" s="157" t="s">
        <v>3</v>
      </c>
      <c r="D79" s="158">
        <v>50</v>
      </c>
      <c r="E79" s="159">
        <v>16.329999999999998</v>
      </c>
      <c r="F79" s="158">
        <v>816.5</v>
      </c>
      <c r="G79" s="160" t="s">
        <v>5112</v>
      </c>
      <c r="H79" s="1272" t="str">
        <f t="shared" si="3"/>
        <v xml:space="preserve">分析表51_x000D_
</v>
      </c>
      <c r="I79" s="667">
        <v>71</v>
      </c>
      <c r="J79" t="str">
        <f t="shared" si="2"/>
        <v>1.71</v>
      </c>
      <c r="K79"/>
      <c r="L79"/>
      <c r="M79"/>
    </row>
    <row r="80" spans="1:13" s="4" customFormat="1" ht="31.5">
      <c r="A80" s="161" t="s">
        <v>99</v>
      </c>
      <c r="B80" s="8" t="s">
        <v>4467</v>
      </c>
      <c r="C80" s="157" t="s">
        <v>3</v>
      </c>
      <c r="D80" s="158">
        <v>50</v>
      </c>
      <c r="E80" s="159">
        <v>19.13</v>
      </c>
      <c r="F80" s="158">
        <v>956.5</v>
      </c>
      <c r="G80" s="160" t="s">
        <v>5113</v>
      </c>
      <c r="H80" s="1272" t="str">
        <f t="shared" si="3"/>
        <v xml:space="preserve">分析表52_x000D_
</v>
      </c>
      <c r="I80" s="667">
        <v>72</v>
      </c>
      <c r="J80" t="str">
        <f t="shared" si="2"/>
        <v>1.72</v>
      </c>
      <c r="K80"/>
      <c r="L80"/>
      <c r="M80"/>
    </row>
    <row r="81" spans="1:13" s="4" customFormat="1" ht="31.5">
      <c r="A81" s="161" t="s">
        <v>100</v>
      </c>
      <c r="B81" s="8" t="s">
        <v>1154</v>
      </c>
      <c r="C81" s="157" t="s">
        <v>0</v>
      </c>
      <c r="D81" s="158">
        <v>20</v>
      </c>
      <c r="E81" s="159">
        <v>7177.05</v>
      </c>
      <c r="F81" s="158">
        <v>143541</v>
      </c>
      <c r="G81" s="160" t="s">
        <v>5114</v>
      </c>
      <c r="H81" s="1272" t="str">
        <f t="shared" si="3"/>
        <v xml:space="preserve">分析表53_x000D_
</v>
      </c>
      <c r="I81" s="667">
        <v>73</v>
      </c>
      <c r="J81" t="str">
        <f t="shared" si="2"/>
        <v>1.73</v>
      </c>
      <c r="K81"/>
      <c r="L81"/>
      <c r="M81"/>
    </row>
    <row r="82" spans="1:13" s="4" customFormat="1" ht="47.25">
      <c r="A82" s="161" t="s">
        <v>101</v>
      </c>
      <c r="B82" s="8" t="s">
        <v>3639</v>
      </c>
      <c r="C82" s="157" t="s">
        <v>0</v>
      </c>
      <c r="D82" s="158">
        <v>20</v>
      </c>
      <c r="E82" s="159">
        <v>7642.97</v>
      </c>
      <c r="F82" s="158">
        <v>152859.4</v>
      </c>
      <c r="G82" s="160" t="s">
        <v>5115</v>
      </c>
      <c r="H82" s="1272" t="str">
        <f t="shared" si="3"/>
        <v xml:space="preserve">分析表54_x000D_
</v>
      </c>
      <c r="I82" s="667">
        <v>74</v>
      </c>
      <c r="J82" t="str">
        <f t="shared" si="2"/>
        <v>1.74</v>
      </c>
      <c r="K82"/>
      <c r="L82"/>
      <c r="M82"/>
    </row>
    <row r="83" spans="1:13" s="4" customFormat="1" ht="47.25">
      <c r="A83" s="161" t="s">
        <v>102</v>
      </c>
      <c r="B83" s="8" t="s">
        <v>4049</v>
      </c>
      <c r="C83" s="157" t="s">
        <v>0</v>
      </c>
      <c r="D83" s="158">
        <v>20</v>
      </c>
      <c r="E83" s="159">
        <v>8102.76</v>
      </c>
      <c r="F83" s="158">
        <v>162055.20000000001</v>
      </c>
      <c r="G83" s="160" t="s">
        <v>5116</v>
      </c>
      <c r="H83" s="1272" t="str">
        <f t="shared" si="3"/>
        <v>分析表55_x000D_
零星工程用</v>
      </c>
      <c r="I83" s="667">
        <v>75</v>
      </c>
      <c r="J83" t="str">
        <f t="shared" si="2"/>
        <v>1.75</v>
      </c>
      <c r="K83"/>
      <c r="L83"/>
      <c r="M83"/>
    </row>
    <row r="84" spans="1:13" s="4" customFormat="1" ht="31.5">
      <c r="A84" s="161" t="s">
        <v>103</v>
      </c>
      <c r="B84" s="8" t="s">
        <v>1162</v>
      </c>
      <c r="C84" s="157" t="s">
        <v>0</v>
      </c>
      <c r="D84" s="158">
        <v>20</v>
      </c>
      <c r="E84" s="159">
        <v>7119.84</v>
      </c>
      <c r="F84" s="158">
        <v>142396.79999999999</v>
      </c>
      <c r="G84" s="160" t="s">
        <v>5117</v>
      </c>
      <c r="H84" s="1272" t="str">
        <f t="shared" si="3"/>
        <v xml:space="preserve">分析表56_x000D_
</v>
      </c>
      <c r="I84" s="667">
        <v>76</v>
      </c>
      <c r="J84" t="str">
        <f t="shared" si="2"/>
        <v>1.76</v>
      </c>
      <c r="K84"/>
      <c r="L84"/>
      <c r="M84"/>
    </row>
    <row r="85" spans="1:13" s="4" customFormat="1" ht="47.25">
      <c r="A85" s="161" t="s">
        <v>104</v>
      </c>
      <c r="B85" s="8" t="s">
        <v>3640</v>
      </c>
      <c r="C85" s="157" t="s">
        <v>0</v>
      </c>
      <c r="D85" s="158">
        <v>20</v>
      </c>
      <c r="E85" s="159">
        <v>7585.76</v>
      </c>
      <c r="F85" s="158">
        <v>151715.20000000001</v>
      </c>
      <c r="G85" s="160" t="s">
        <v>5118</v>
      </c>
      <c r="H85" s="1272" t="str">
        <f t="shared" si="3"/>
        <v xml:space="preserve">分析表57_x000D_
</v>
      </c>
      <c r="I85" s="667">
        <v>77</v>
      </c>
      <c r="J85" t="str">
        <f t="shared" si="2"/>
        <v>1.77</v>
      </c>
      <c r="K85"/>
      <c r="L85"/>
      <c r="M85"/>
    </row>
    <row r="86" spans="1:13" s="4" customFormat="1" ht="47.25">
      <c r="A86" s="161" t="s">
        <v>105</v>
      </c>
      <c r="B86" s="8" t="s">
        <v>4048</v>
      </c>
      <c r="C86" s="157" t="s">
        <v>0</v>
      </c>
      <c r="D86" s="158">
        <v>20</v>
      </c>
      <c r="E86" s="159">
        <v>8045.56</v>
      </c>
      <c r="F86" s="158">
        <v>160911.20000000001</v>
      </c>
      <c r="G86" s="160" t="s">
        <v>5119</v>
      </c>
      <c r="H86" s="1272" t="str">
        <f t="shared" si="3"/>
        <v xml:space="preserve">分析表58_x000D_
</v>
      </c>
      <c r="I86" s="667">
        <v>78</v>
      </c>
      <c r="J86" t="str">
        <f t="shared" si="2"/>
        <v>1.78</v>
      </c>
      <c r="K86"/>
      <c r="L86"/>
      <c r="M86"/>
    </row>
    <row r="87" spans="1:13" s="4" customFormat="1" ht="31.5">
      <c r="A87" s="161" t="s">
        <v>106</v>
      </c>
      <c r="B87" s="8" t="s">
        <v>1174</v>
      </c>
      <c r="C87" s="157" t="s">
        <v>0</v>
      </c>
      <c r="D87" s="158">
        <v>20</v>
      </c>
      <c r="E87" s="159">
        <v>6957.77</v>
      </c>
      <c r="F87" s="158">
        <v>139155.4</v>
      </c>
      <c r="G87" s="160" t="s">
        <v>5120</v>
      </c>
      <c r="H87" s="1272" t="str">
        <f t="shared" si="3"/>
        <v xml:space="preserve">分析表59_x000D_
</v>
      </c>
      <c r="I87" s="667">
        <v>79</v>
      </c>
      <c r="J87" t="str">
        <f t="shared" si="2"/>
        <v>1.79</v>
      </c>
      <c r="K87"/>
      <c r="L87"/>
      <c r="M87"/>
    </row>
    <row r="88" spans="1:13" s="4" customFormat="1" ht="47.25">
      <c r="A88" s="161" t="s">
        <v>107</v>
      </c>
      <c r="B88" s="8" t="s">
        <v>1179</v>
      </c>
      <c r="C88" s="157" t="s">
        <v>0</v>
      </c>
      <c r="D88" s="158">
        <v>20</v>
      </c>
      <c r="E88" s="159">
        <v>7423.69</v>
      </c>
      <c r="F88" s="158">
        <v>148473.79999999999</v>
      </c>
      <c r="G88" s="160" t="s">
        <v>5121</v>
      </c>
      <c r="H88" s="1272" t="str">
        <f t="shared" si="3"/>
        <v xml:space="preserve">分析表60_x000D_
</v>
      </c>
      <c r="I88" s="667">
        <v>80</v>
      </c>
      <c r="J88" t="str">
        <f t="shared" si="2"/>
        <v>1.80</v>
      </c>
      <c r="K88"/>
      <c r="L88"/>
      <c r="M88"/>
    </row>
    <row r="89" spans="1:13" s="4" customFormat="1" ht="47.25">
      <c r="A89" s="161" t="s">
        <v>108</v>
      </c>
      <c r="B89" s="8" t="s">
        <v>4477</v>
      </c>
      <c r="C89" s="157" t="s">
        <v>0</v>
      </c>
      <c r="D89" s="158">
        <v>20</v>
      </c>
      <c r="E89" s="159">
        <v>7883.49</v>
      </c>
      <c r="F89" s="158">
        <v>157669.79999999999</v>
      </c>
      <c r="G89" s="160" t="s">
        <v>5122</v>
      </c>
      <c r="H89" s="1272" t="str">
        <f t="shared" si="3"/>
        <v xml:space="preserve">分析表61_x000D_
</v>
      </c>
      <c r="I89" s="667">
        <v>81</v>
      </c>
      <c r="J89" t="str">
        <f t="shared" si="2"/>
        <v>1.81</v>
      </c>
      <c r="K89"/>
      <c r="L89"/>
      <c r="M89"/>
    </row>
    <row r="90" spans="1:13" s="4" customFormat="1" ht="31.5">
      <c r="A90" s="161" t="s">
        <v>109</v>
      </c>
      <c r="B90" s="8" t="s">
        <v>1182</v>
      </c>
      <c r="C90" s="157" t="s">
        <v>0</v>
      </c>
      <c r="D90" s="158">
        <v>20</v>
      </c>
      <c r="E90" s="159">
        <v>7434.46</v>
      </c>
      <c r="F90" s="158">
        <v>148689.20000000001</v>
      </c>
      <c r="G90" s="160" t="s">
        <v>5123</v>
      </c>
      <c r="H90" s="1272" t="str">
        <f t="shared" si="3"/>
        <v xml:space="preserve">分析表62_x000D_
</v>
      </c>
      <c r="I90" s="667">
        <v>82</v>
      </c>
      <c r="J90" t="str">
        <f t="shared" si="2"/>
        <v>1.82</v>
      </c>
      <c r="K90"/>
      <c r="L90"/>
      <c r="M90"/>
    </row>
    <row r="91" spans="1:13" s="4" customFormat="1" ht="47.25">
      <c r="A91" s="161" t="s">
        <v>110</v>
      </c>
      <c r="B91" s="8" t="s">
        <v>1187</v>
      </c>
      <c r="C91" s="157" t="s">
        <v>0</v>
      </c>
      <c r="D91" s="158">
        <v>20</v>
      </c>
      <c r="E91" s="159">
        <v>6595.49</v>
      </c>
      <c r="F91" s="158">
        <v>131909.79999999999</v>
      </c>
      <c r="G91" s="160" t="s">
        <v>5124</v>
      </c>
      <c r="H91" s="1272" t="str">
        <f t="shared" si="3"/>
        <v xml:space="preserve">分析表63_x000D_
</v>
      </c>
      <c r="I91" s="667">
        <v>83</v>
      </c>
      <c r="J91" t="str">
        <f t="shared" si="2"/>
        <v>1.83</v>
      </c>
      <c r="K91"/>
      <c r="L91"/>
      <c r="M91"/>
    </row>
    <row r="92" spans="1:13" s="4" customFormat="1" ht="47.25">
      <c r="A92" s="161" t="s">
        <v>111</v>
      </c>
      <c r="B92" s="8" t="s">
        <v>1192</v>
      </c>
      <c r="C92" s="157" t="s">
        <v>0</v>
      </c>
      <c r="D92" s="158">
        <v>20</v>
      </c>
      <c r="E92" s="159">
        <v>7061.41</v>
      </c>
      <c r="F92" s="158">
        <v>141228.20000000001</v>
      </c>
      <c r="G92" s="160" t="s">
        <v>5125</v>
      </c>
      <c r="H92" s="1272" t="str">
        <f t="shared" si="3"/>
        <v xml:space="preserve">分析表64_x000D_
</v>
      </c>
      <c r="I92" s="667">
        <v>84</v>
      </c>
      <c r="J92" t="str">
        <f t="shared" si="2"/>
        <v>1.84</v>
      </c>
      <c r="K92"/>
      <c r="L92"/>
      <c r="M92"/>
    </row>
    <row r="93" spans="1:13" s="4" customFormat="1" ht="47.25">
      <c r="A93" s="161" t="s">
        <v>112</v>
      </c>
      <c r="B93" s="8" t="s">
        <v>4482</v>
      </c>
      <c r="C93" s="157" t="s">
        <v>0</v>
      </c>
      <c r="D93" s="158">
        <v>20</v>
      </c>
      <c r="E93" s="159">
        <v>7521.2</v>
      </c>
      <c r="F93" s="158">
        <v>150424</v>
      </c>
      <c r="G93" s="160" t="s">
        <v>5126</v>
      </c>
      <c r="H93" s="1272" t="str">
        <f t="shared" si="3"/>
        <v xml:space="preserve">分析表65_x000D_
</v>
      </c>
      <c r="I93" s="667">
        <v>85</v>
      </c>
      <c r="J93" t="str">
        <f t="shared" si="2"/>
        <v>1.85</v>
      </c>
      <c r="K93"/>
      <c r="L93"/>
      <c r="M93"/>
    </row>
    <row r="94" spans="1:13" s="4" customFormat="1" ht="47.25">
      <c r="A94" s="161" t="s">
        <v>113</v>
      </c>
      <c r="B94" s="8" t="s">
        <v>1195</v>
      </c>
      <c r="C94" s="157" t="s">
        <v>0</v>
      </c>
      <c r="D94" s="158">
        <v>20</v>
      </c>
      <c r="E94" s="159">
        <v>6252.29</v>
      </c>
      <c r="F94" s="158">
        <v>125045.8</v>
      </c>
      <c r="G94" s="160" t="s">
        <v>5127</v>
      </c>
      <c r="H94" s="1272" t="str">
        <f t="shared" si="3"/>
        <v xml:space="preserve">分析表66_x000D_
</v>
      </c>
      <c r="I94" s="667">
        <v>86</v>
      </c>
      <c r="J94" t="str">
        <f t="shared" si="2"/>
        <v>1.86</v>
      </c>
      <c r="K94"/>
      <c r="L94"/>
      <c r="M94"/>
    </row>
    <row r="95" spans="1:13" s="4" customFormat="1" ht="47.25">
      <c r="A95" s="161" t="s">
        <v>114</v>
      </c>
      <c r="B95" s="8" t="s">
        <v>1200</v>
      </c>
      <c r="C95" s="157" t="s">
        <v>0</v>
      </c>
      <c r="D95" s="158">
        <v>20</v>
      </c>
      <c r="E95" s="159">
        <v>6718.21</v>
      </c>
      <c r="F95" s="158">
        <v>134364.20000000001</v>
      </c>
      <c r="G95" s="160" t="s">
        <v>5128</v>
      </c>
      <c r="H95" s="1272" t="str">
        <f t="shared" si="3"/>
        <v xml:space="preserve">分析表67_x000D_
</v>
      </c>
      <c r="I95" s="667">
        <v>87</v>
      </c>
      <c r="J95" t="str">
        <f t="shared" si="2"/>
        <v>1.87</v>
      </c>
      <c r="K95"/>
      <c r="L95"/>
      <c r="M95"/>
    </row>
    <row r="96" spans="1:13" s="4" customFormat="1" ht="47.25">
      <c r="A96" s="161" t="s">
        <v>115</v>
      </c>
      <c r="B96" s="8" t="s">
        <v>4486</v>
      </c>
      <c r="C96" s="157" t="s">
        <v>0</v>
      </c>
      <c r="D96" s="158">
        <v>20</v>
      </c>
      <c r="E96" s="159">
        <v>7178</v>
      </c>
      <c r="F96" s="158">
        <v>143560</v>
      </c>
      <c r="G96" s="160" t="s">
        <v>5129</v>
      </c>
      <c r="H96" s="1272" t="str">
        <f t="shared" si="3"/>
        <v xml:space="preserve">分析表68_x000D_
</v>
      </c>
      <c r="I96" s="667">
        <v>88</v>
      </c>
      <c r="J96" t="str">
        <f t="shared" si="2"/>
        <v>1.88</v>
      </c>
      <c r="K96"/>
      <c r="L96"/>
      <c r="M96"/>
    </row>
    <row r="97" spans="1:13" s="4" customFormat="1" ht="31.5">
      <c r="A97" s="161" t="s">
        <v>116</v>
      </c>
      <c r="B97" s="8" t="s">
        <v>1203</v>
      </c>
      <c r="C97" s="157" t="s">
        <v>0</v>
      </c>
      <c r="D97" s="158">
        <v>3</v>
      </c>
      <c r="E97" s="159">
        <v>53166.43</v>
      </c>
      <c r="F97" s="158">
        <v>159499.29</v>
      </c>
      <c r="G97" s="160" t="s">
        <v>5130</v>
      </c>
      <c r="H97" s="1272" t="str">
        <f t="shared" si="3"/>
        <v xml:space="preserve">分析表69_x000D_
</v>
      </c>
      <c r="I97" s="667">
        <v>89</v>
      </c>
      <c r="J97" t="str">
        <f t="shared" si="2"/>
        <v>1.89</v>
      </c>
      <c r="K97"/>
      <c r="L97"/>
      <c r="M97"/>
    </row>
    <row r="98" spans="1:13" s="4" customFormat="1" ht="31.5">
      <c r="A98" s="161" t="s">
        <v>117</v>
      </c>
      <c r="B98" s="8" t="s">
        <v>1215</v>
      </c>
      <c r="C98" s="157" t="s">
        <v>3</v>
      </c>
      <c r="D98" s="158">
        <v>100</v>
      </c>
      <c r="E98" s="159">
        <v>23.68</v>
      </c>
      <c r="F98" s="158">
        <v>2368</v>
      </c>
      <c r="G98" s="160" t="s">
        <v>5131</v>
      </c>
      <c r="H98" s="1272" t="str">
        <f t="shared" si="3"/>
        <v xml:space="preserve">分析表70_x000D_
</v>
      </c>
      <c r="I98" s="667">
        <v>90</v>
      </c>
      <c r="J98" t="str">
        <f t="shared" si="2"/>
        <v>1.90</v>
      </c>
      <c r="K98"/>
      <c r="L98"/>
      <c r="M98"/>
    </row>
    <row r="99" spans="1:13" s="4" customFormat="1" ht="47.25">
      <c r="A99" s="161" t="s">
        <v>118</v>
      </c>
      <c r="B99" s="8" t="s">
        <v>4490</v>
      </c>
      <c r="C99" s="157" t="s">
        <v>3</v>
      </c>
      <c r="D99" s="158">
        <v>100</v>
      </c>
      <c r="E99" s="159">
        <v>37.9</v>
      </c>
      <c r="F99" s="158">
        <v>3790</v>
      </c>
      <c r="G99" s="160" t="s">
        <v>5132</v>
      </c>
      <c r="H99" s="1272" t="str">
        <f t="shared" si="3"/>
        <v xml:space="preserve">分析表71_x000D_
</v>
      </c>
      <c r="I99" s="667">
        <v>91</v>
      </c>
      <c r="J99" t="str">
        <f t="shared" si="2"/>
        <v>1.91</v>
      </c>
      <c r="K99"/>
      <c r="L99"/>
      <c r="M99"/>
    </row>
    <row r="100" spans="1:13" s="4" customFormat="1" ht="31.5">
      <c r="A100" s="161" t="s">
        <v>119</v>
      </c>
      <c r="B100" s="8" t="s">
        <v>1231</v>
      </c>
      <c r="C100" s="157" t="s">
        <v>3</v>
      </c>
      <c r="D100" s="158">
        <v>100</v>
      </c>
      <c r="E100" s="159">
        <v>15.43</v>
      </c>
      <c r="F100" s="158">
        <v>1543</v>
      </c>
      <c r="G100" s="160" t="s">
        <v>5133</v>
      </c>
      <c r="H100" s="1272" t="str">
        <f t="shared" si="3"/>
        <v xml:space="preserve">分析表72_x000D_
</v>
      </c>
      <c r="I100" s="667">
        <v>92</v>
      </c>
      <c r="J100" t="str">
        <f t="shared" si="2"/>
        <v>1.92</v>
      </c>
      <c r="K100"/>
      <c r="L100"/>
      <c r="M100"/>
    </row>
    <row r="101" spans="1:13" s="4" customFormat="1" ht="47.25">
      <c r="A101" s="161" t="s">
        <v>120</v>
      </c>
      <c r="B101" s="8" t="s">
        <v>1236</v>
      </c>
      <c r="C101" s="157" t="s">
        <v>3</v>
      </c>
      <c r="D101" s="158">
        <v>100</v>
      </c>
      <c r="E101" s="159">
        <v>40.43</v>
      </c>
      <c r="F101" s="158">
        <v>4043</v>
      </c>
      <c r="G101" s="160" t="s">
        <v>5134</v>
      </c>
      <c r="H101" s="1272" t="str">
        <f t="shared" si="3"/>
        <v xml:space="preserve">分析表73_x000D_
</v>
      </c>
      <c r="I101" s="667">
        <v>93</v>
      </c>
      <c r="J101" t="str">
        <f t="shared" si="2"/>
        <v>1.93</v>
      </c>
      <c r="K101"/>
      <c r="L101"/>
      <c r="M101"/>
    </row>
    <row r="102" spans="1:13" s="4" customFormat="1" ht="47.25">
      <c r="A102" s="161" t="s">
        <v>121</v>
      </c>
      <c r="B102" s="8" t="s">
        <v>4494</v>
      </c>
      <c r="C102" s="157" t="s">
        <v>3</v>
      </c>
      <c r="D102" s="158">
        <v>100</v>
      </c>
      <c r="E102" s="159">
        <v>64.11</v>
      </c>
      <c r="F102" s="158">
        <v>6411</v>
      </c>
      <c r="G102" s="160" t="s">
        <v>5135</v>
      </c>
      <c r="H102" s="1272" t="str">
        <f t="shared" si="3"/>
        <v xml:space="preserve">分析表74_x000D_
</v>
      </c>
      <c r="I102" s="667">
        <v>94</v>
      </c>
      <c r="J102" t="str">
        <f t="shared" si="2"/>
        <v>1.94</v>
      </c>
      <c r="K102"/>
      <c r="L102"/>
      <c r="M102"/>
    </row>
    <row r="103" spans="1:13" s="4" customFormat="1" ht="47.25">
      <c r="A103" s="161" t="s">
        <v>122</v>
      </c>
      <c r="B103" s="8" t="s">
        <v>1239</v>
      </c>
      <c r="C103" s="157" t="s">
        <v>3</v>
      </c>
      <c r="D103" s="158">
        <v>100</v>
      </c>
      <c r="E103" s="159">
        <v>26.61</v>
      </c>
      <c r="F103" s="158">
        <v>2661</v>
      </c>
      <c r="G103" s="160" t="s">
        <v>5136</v>
      </c>
      <c r="H103" s="1272" t="str">
        <f t="shared" si="3"/>
        <v xml:space="preserve">分析表75_x000D_
</v>
      </c>
      <c r="I103" s="667">
        <v>95</v>
      </c>
      <c r="J103" t="str">
        <f t="shared" si="2"/>
        <v>1.95</v>
      </c>
      <c r="K103"/>
      <c r="L103"/>
      <c r="M103"/>
    </row>
    <row r="104" spans="1:13" s="4" customFormat="1" ht="31.5">
      <c r="A104" s="161" t="s">
        <v>123</v>
      </c>
      <c r="B104" s="8" t="s">
        <v>462</v>
      </c>
      <c r="C104" s="157" t="s">
        <v>17</v>
      </c>
      <c r="D104" s="158">
        <v>100</v>
      </c>
      <c r="E104" s="159">
        <v>61.27</v>
      </c>
      <c r="F104" s="158">
        <v>6127</v>
      </c>
      <c r="G104" s="160" t="s">
        <v>5137</v>
      </c>
      <c r="H104" s="1272" t="str">
        <f t="shared" si="3"/>
        <v xml:space="preserve">分析表76_x000D_
</v>
      </c>
      <c r="I104" s="667">
        <v>96</v>
      </c>
      <c r="J104" t="str">
        <f t="shared" si="2"/>
        <v>1.96</v>
      </c>
      <c r="K104"/>
      <c r="L104"/>
      <c r="M104"/>
    </row>
    <row r="105" spans="1:13" s="4" customFormat="1" ht="31.5">
      <c r="A105" s="161" t="s">
        <v>124</v>
      </c>
      <c r="B105" s="8" t="s">
        <v>1250</v>
      </c>
      <c r="C105" s="157" t="s">
        <v>17</v>
      </c>
      <c r="D105" s="158">
        <v>100</v>
      </c>
      <c r="E105" s="159">
        <v>71.48</v>
      </c>
      <c r="F105" s="158">
        <v>7148</v>
      </c>
      <c r="G105" s="160" t="s">
        <v>5138</v>
      </c>
      <c r="H105" s="1272" t="str">
        <f t="shared" si="3"/>
        <v xml:space="preserve">分析表77_x000D_
</v>
      </c>
      <c r="I105" s="667">
        <v>97</v>
      </c>
      <c r="J105" t="str">
        <f t="shared" si="2"/>
        <v>1.97</v>
      </c>
      <c r="K105"/>
      <c r="L105"/>
      <c r="M105"/>
    </row>
    <row r="106" spans="1:13" s="4" customFormat="1" ht="31.5">
      <c r="A106" s="161" t="s">
        <v>125</v>
      </c>
      <c r="B106" s="8" t="s">
        <v>1253</v>
      </c>
      <c r="C106" s="157" t="s">
        <v>17</v>
      </c>
      <c r="D106" s="158">
        <v>50</v>
      </c>
      <c r="E106" s="159">
        <v>129.68</v>
      </c>
      <c r="F106" s="158">
        <v>6484</v>
      </c>
      <c r="G106" s="160" t="s">
        <v>5139</v>
      </c>
      <c r="H106" s="1272" t="str">
        <f t="shared" si="3"/>
        <v xml:space="preserve">分析表78_x000D_
</v>
      </c>
      <c r="I106" s="667">
        <v>98</v>
      </c>
      <c r="J106" t="str">
        <f t="shared" si="2"/>
        <v>1.98</v>
      </c>
      <c r="K106"/>
      <c r="L106"/>
      <c r="M106"/>
    </row>
    <row r="107" spans="1:13" s="4" customFormat="1" ht="31.5">
      <c r="A107" s="161" t="s">
        <v>126</v>
      </c>
      <c r="B107" s="8" t="s">
        <v>464</v>
      </c>
      <c r="C107" s="157" t="s">
        <v>0</v>
      </c>
      <c r="D107" s="158">
        <v>100</v>
      </c>
      <c r="E107" s="159">
        <v>3092.05</v>
      </c>
      <c r="F107" s="158">
        <v>309205</v>
      </c>
      <c r="G107" s="160" t="s">
        <v>5140</v>
      </c>
      <c r="H107" s="1272" t="str">
        <f t="shared" si="3"/>
        <v xml:space="preserve">分析表79_x000D_
</v>
      </c>
      <c r="I107" s="667">
        <v>99</v>
      </c>
      <c r="J107" t="str">
        <f t="shared" si="2"/>
        <v>1.99</v>
      </c>
      <c r="K107"/>
      <c r="L107"/>
      <c r="M107"/>
    </row>
    <row r="108" spans="1:13" s="4" customFormat="1" ht="31.5">
      <c r="A108" s="161" t="s">
        <v>127</v>
      </c>
      <c r="B108" s="8" t="s">
        <v>4501</v>
      </c>
      <c r="C108" s="157" t="s">
        <v>0</v>
      </c>
      <c r="D108" s="158">
        <v>100</v>
      </c>
      <c r="E108" s="159">
        <v>3383.23</v>
      </c>
      <c r="F108" s="158">
        <v>338323</v>
      </c>
      <c r="G108" s="160" t="s">
        <v>5141</v>
      </c>
      <c r="H108" s="1272" t="str">
        <f t="shared" si="3"/>
        <v xml:space="preserve">分析表80_x000D_
</v>
      </c>
      <c r="I108" s="667">
        <v>100</v>
      </c>
      <c r="J108" t="str">
        <f t="shared" si="2"/>
        <v>1.100</v>
      </c>
      <c r="K108"/>
      <c r="L108"/>
      <c r="M108"/>
    </row>
    <row r="109" spans="1:13" s="4" customFormat="1" ht="31.5">
      <c r="A109" s="161" t="s">
        <v>128</v>
      </c>
      <c r="B109" s="8" t="s">
        <v>1270</v>
      </c>
      <c r="C109" s="157" t="s">
        <v>0</v>
      </c>
      <c r="D109" s="158">
        <v>100</v>
      </c>
      <c r="E109" s="159">
        <v>3177.86</v>
      </c>
      <c r="F109" s="158">
        <v>317786</v>
      </c>
      <c r="G109" s="160" t="s">
        <v>5142</v>
      </c>
      <c r="H109" s="1272" t="str">
        <f t="shared" si="3"/>
        <v xml:space="preserve">分析表81_x000D_
</v>
      </c>
      <c r="I109" s="667">
        <v>101</v>
      </c>
      <c r="J109" t="str">
        <f t="shared" si="2"/>
        <v>1.101</v>
      </c>
      <c r="K109"/>
      <c r="L109"/>
      <c r="M109"/>
    </row>
    <row r="110" spans="1:13" s="4" customFormat="1" ht="78.75">
      <c r="A110" s="161" t="s">
        <v>129</v>
      </c>
      <c r="B110" s="8" t="s">
        <v>1275</v>
      </c>
      <c r="C110" s="157" t="s">
        <v>0</v>
      </c>
      <c r="D110" s="158">
        <v>100</v>
      </c>
      <c r="E110" s="159">
        <v>3273.2</v>
      </c>
      <c r="F110" s="158">
        <v>327320</v>
      </c>
      <c r="G110" s="160" t="s">
        <v>5143</v>
      </c>
      <c r="H110" s="1272" t="str">
        <f t="shared" si="3"/>
        <v>分析表82_x000D_
本項納入「水泥及其製品類」物價指數調整</v>
      </c>
      <c r="I110" s="667">
        <v>102</v>
      </c>
      <c r="J110" t="str">
        <f t="shared" si="2"/>
        <v>1.102</v>
      </c>
      <c r="K110"/>
      <c r="L110"/>
      <c r="M110"/>
    </row>
    <row r="111" spans="1:13" s="4" customFormat="1" ht="78.75">
      <c r="A111" s="161" t="s">
        <v>130</v>
      </c>
      <c r="B111" s="8" t="s">
        <v>4505</v>
      </c>
      <c r="C111" s="157" t="s">
        <v>0</v>
      </c>
      <c r="D111" s="158">
        <v>100</v>
      </c>
      <c r="E111" s="159">
        <v>3564.38</v>
      </c>
      <c r="F111" s="158">
        <v>356438</v>
      </c>
      <c r="G111" s="160" t="s">
        <v>5144</v>
      </c>
      <c r="H111" s="1272" t="str">
        <f t="shared" si="3"/>
        <v>分析表83_x000D_
本項納入「水泥及其製品類」物價指數調整</v>
      </c>
      <c r="I111" s="667">
        <v>103</v>
      </c>
      <c r="J111" t="str">
        <f t="shared" si="2"/>
        <v>1.103</v>
      </c>
      <c r="K111"/>
      <c r="L111"/>
      <c r="M111"/>
    </row>
    <row r="112" spans="1:13" s="4" customFormat="1" ht="31.5">
      <c r="A112" s="161" t="s">
        <v>131</v>
      </c>
      <c r="B112" s="8" t="s">
        <v>1280</v>
      </c>
      <c r="C112" s="157" t="s">
        <v>0</v>
      </c>
      <c r="D112" s="158">
        <v>100</v>
      </c>
      <c r="E112" s="159">
        <v>3430.46</v>
      </c>
      <c r="F112" s="158">
        <v>343046</v>
      </c>
      <c r="G112" s="160" t="s">
        <v>5145</v>
      </c>
      <c r="H112" s="1272" t="str">
        <f t="shared" si="3"/>
        <v xml:space="preserve">分析表84_x000D_
</v>
      </c>
      <c r="I112" s="667">
        <v>104</v>
      </c>
      <c r="J112" t="str">
        <f t="shared" si="2"/>
        <v>1.104</v>
      </c>
      <c r="K112"/>
      <c r="L112"/>
      <c r="M112"/>
    </row>
    <row r="113" spans="1:13" s="4" customFormat="1" ht="78.75">
      <c r="A113" s="161" t="s">
        <v>132</v>
      </c>
      <c r="B113" s="8" t="s">
        <v>16</v>
      </c>
      <c r="C113" s="157" t="s">
        <v>0</v>
      </c>
      <c r="D113" s="158">
        <v>100</v>
      </c>
      <c r="E113" s="159">
        <v>3574.67</v>
      </c>
      <c r="F113" s="158">
        <v>357467</v>
      </c>
      <c r="G113" s="160" t="s">
        <v>5146</v>
      </c>
      <c r="H113" s="1272" t="str">
        <f t="shared" si="3"/>
        <v>分析表85_x000D_
本項納入「水泥及其製品類」物價指數調整</v>
      </c>
      <c r="I113" s="667">
        <v>105</v>
      </c>
      <c r="J113" t="str">
        <f t="shared" si="2"/>
        <v>1.105</v>
      </c>
      <c r="K113"/>
      <c r="L113"/>
      <c r="M113"/>
    </row>
    <row r="114" spans="1:13" s="4" customFormat="1" ht="78.75">
      <c r="A114" s="161" t="s">
        <v>133</v>
      </c>
      <c r="B114" s="8" t="s">
        <v>4509</v>
      </c>
      <c r="C114" s="157" t="s">
        <v>0</v>
      </c>
      <c r="D114" s="158">
        <v>100</v>
      </c>
      <c r="E114" s="159">
        <v>3990.67</v>
      </c>
      <c r="F114" s="158">
        <v>399067</v>
      </c>
      <c r="G114" s="160" t="s">
        <v>5147</v>
      </c>
      <c r="H114" s="1272" t="str">
        <f t="shared" si="3"/>
        <v>分析表86_x000D_
本項納入「水泥及其製品類」物價指數調整</v>
      </c>
      <c r="I114" s="667">
        <v>106</v>
      </c>
      <c r="J114" t="str">
        <f t="shared" si="2"/>
        <v>1.106</v>
      </c>
      <c r="K114"/>
      <c r="L114"/>
      <c r="M114"/>
    </row>
    <row r="115" spans="1:13" s="4" customFormat="1" ht="31.5">
      <c r="A115" s="161" t="s">
        <v>134</v>
      </c>
      <c r="B115" s="8" t="s">
        <v>1287</v>
      </c>
      <c r="C115" s="157" t="s">
        <v>0</v>
      </c>
      <c r="D115" s="158">
        <v>100</v>
      </c>
      <c r="E115" s="159">
        <v>3824.73</v>
      </c>
      <c r="F115" s="158">
        <v>382473</v>
      </c>
      <c r="G115" s="160" t="s">
        <v>5148</v>
      </c>
      <c r="H115" s="1272" t="str">
        <f t="shared" si="3"/>
        <v xml:space="preserve">分析表87_x000D_
</v>
      </c>
      <c r="I115" s="667">
        <v>107</v>
      </c>
      <c r="J115" t="str">
        <f t="shared" si="2"/>
        <v>1.107</v>
      </c>
      <c r="K115"/>
      <c r="L115"/>
      <c r="M115"/>
    </row>
    <row r="116" spans="1:13" s="4" customFormat="1" ht="78.75">
      <c r="A116" s="161" t="s">
        <v>135</v>
      </c>
      <c r="B116" s="8" t="s">
        <v>1292</v>
      </c>
      <c r="C116" s="157" t="s">
        <v>0</v>
      </c>
      <c r="D116" s="158">
        <v>10</v>
      </c>
      <c r="E116" s="159">
        <v>4068.69</v>
      </c>
      <c r="F116" s="158">
        <v>40686.9</v>
      </c>
      <c r="G116" s="160" t="s">
        <v>5149</v>
      </c>
      <c r="H116" s="1272" t="str">
        <f t="shared" si="3"/>
        <v>分析表88_x000D_
本項零星工料包含鋼筋混凝土所需之墊塊費用</v>
      </c>
      <c r="I116" s="667">
        <v>108</v>
      </c>
      <c r="J116" t="str">
        <f t="shared" si="2"/>
        <v>1.108</v>
      </c>
      <c r="K116"/>
      <c r="L116"/>
      <c r="M116"/>
    </row>
    <row r="117" spans="1:13" s="4" customFormat="1" ht="78.75">
      <c r="A117" s="161" t="s">
        <v>136</v>
      </c>
      <c r="B117" s="8" t="s">
        <v>1306</v>
      </c>
      <c r="C117" s="157" t="s">
        <v>0</v>
      </c>
      <c r="D117" s="158">
        <v>10</v>
      </c>
      <c r="E117" s="159">
        <v>4214.1400000000003</v>
      </c>
      <c r="F117" s="158">
        <v>42141.4</v>
      </c>
      <c r="G117" s="160" t="s">
        <v>5150</v>
      </c>
      <c r="H117" s="1272" t="str">
        <f t="shared" si="3"/>
        <v>分析表89_x000D_
本項零星工料包含鋼筋混凝土所需之墊塊費用</v>
      </c>
      <c r="I117" s="667">
        <v>109</v>
      </c>
      <c r="J117" t="str">
        <f t="shared" si="2"/>
        <v>1.109</v>
      </c>
      <c r="K117"/>
      <c r="L117"/>
      <c r="M117"/>
    </row>
    <row r="118" spans="1:13" s="4" customFormat="1" ht="78.75">
      <c r="A118" s="161" t="s">
        <v>137</v>
      </c>
      <c r="B118" s="8" t="s">
        <v>1309</v>
      </c>
      <c r="C118" s="157" t="s">
        <v>0</v>
      </c>
      <c r="D118" s="158">
        <v>10</v>
      </c>
      <c r="E118" s="159">
        <v>4366.54</v>
      </c>
      <c r="F118" s="158">
        <v>43665.4</v>
      </c>
      <c r="G118" s="160" t="s">
        <v>5151</v>
      </c>
      <c r="H118" s="1272" t="str">
        <f t="shared" si="3"/>
        <v>分析表90_x000D_
本項零星工料包含鋼筋混凝土所需之墊塊費用</v>
      </c>
      <c r="I118" s="667">
        <v>110</v>
      </c>
      <c r="J118" t="str">
        <f t="shared" si="2"/>
        <v>1.110</v>
      </c>
      <c r="K118"/>
      <c r="L118"/>
      <c r="M118"/>
    </row>
    <row r="119" spans="1:13" s="4" customFormat="1" ht="78.75">
      <c r="A119" s="161" t="s">
        <v>138</v>
      </c>
      <c r="B119" s="8" t="s">
        <v>1312</v>
      </c>
      <c r="C119" s="157" t="s">
        <v>0</v>
      </c>
      <c r="D119" s="158">
        <v>10</v>
      </c>
      <c r="E119" s="159">
        <v>4439.33</v>
      </c>
      <c r="F119" s="158">
        <v>44393.3</v>
      </c>
      <c r="G119" s="160" t="s">
        <v>5152</v>
      </c>
      <c r="H119" s="1272" t="str">
        <f t="shared" si="3"/>
        <v>分析表91_x000D_
本項零星工料包含鋼筋混凝土所需之墊塊費用</v>
      </c>
      <c r="I119" s="667">
        <v>111</v>
      </c>
      <c r="J119" t="str">
        <f t="shared" si="2"/>
        <v>1.111</v>
      </c>
      <c r="K119"/>
      <c r="L119"/>
      <c r="M119"/>
    </row>
    <row r="120" spans="1:13" s="4" customFormat="1" ht="78.75">
      <c r="A120" s="161" t="s">
        <v>139</v>
      </c>
      <c r="B120" s="8" t="s">
        <v>1315</v>
      </c>
      <c r="C120" s="157" t="s">
        <v>0</v>
      </c>
      <c r="D120" s="158">
        <v>10</v>
      </c>
      <c r="E120" s="159">
        <v>6364.97</v>
      </c>
      <c r="F120" s="158">
        <v>63649.7</v>
      </c>
      <c r="G120" s="160" t="s">
        <v>5153</v>
      </c>
      <c r="H120" s="1272" t="str">
        <f t="shared" si="3"/>
        <v>分析表92_x000D_
本項零星工料包含鋼筋混凝土所需之墊塊費用</v>
      </c>
      <c r="I120" s="667">
        <v>112</v>
      </c>
      <c r="J120" t="str">
        <f t="shared" si="2"/>
        <v>1.112</v>
      </c>
      <c r="K120"/>
      <c r="L120"/>
      <c r="M120"/>
    </row>
    <row r="121" spans="1:13" s="4" customFormat="1" ht="78.75">
      <c r="A121" s="161" t="s">
        <v>140</v>
      </c>
      <c r="B121" s="8" t="s">
        <v>4517</v>
      </c>
      <c r="C121" s="157" t="s">
        <v>0</v>
      </c>
      <c r="D121" s="158">
        <v>10</v>
      </c>
      <c r="E121" s="159">
        <v>7948.38</v>
      </c>
      <c r="F121" s="158">
        <v>79483.8</v>
      </c>
      <c r="G121" s="160" t="s">
        <v>5154</v>
      </c>
      <c r="H121" s="1272" t="str">
        <f t="shared" si="3"/>
        <v>分析表93_x000D_
本項零星工料包含鋼筋混凝土所需之墊塊費用</v>
      </c>
      <c r="I121" s="667">
        <v>113</v>
      </c>
      <c r="J121" t="str">
        <f t="shared" si="2"/>
        <v>1.113</v>
      </c>
      <c r="K121"/>
      <c r="L121"/>
      <c r="M121"/>
    </row>
    <row r="122" spans="1:13" s="4" customFormat="1" ht="63">
      <c r="A122" s="161" t="s">
        <v>141</v>
      </c>
      <c r="B122" s="8" t="s">
        <v>4519</v>
      </c>
      <c r="C122" s="157" t="s">
        <v>0</v>
      </c>
      <c r="D122" s="158">
        <v>10</v>
      </c>
      <c r="E122" s="159">
        <v>1625.82</v>
      </c>
      <c r="F122" s="158">
        <v>16258.2</v>
      </c>
      <c r="G122" s="160" t="s">
        <v>5155</v>
      </c>
      <c r="H122" s="1272" t="str">
        <f t="shared" si="3"/>
        <v>分析表94_x000D_
原名稱「控制性低強度回填材料及澆置」</v>
      </c>
      <c r="I122" s="667">
        <v>114</v>
      </c>
      <c r="J122" t="str">
        <f t="shared" si="2"/>
        <v>1.114</v>
      </c>
      <c r="K122"/>
      <c r="L122"/>
      <c r="M122"/>
    </row>
    <row r="123" spans="1:13" s="4" customFormat="1" ht="63">
      <c r="A123" s="161" t="s">
        <v>142</v>
      </c>
      <c r="B123" s="8" t="s">
        <v>4521</v>
      </c>
      <c r="C123" s="157" t="s">
        <v>0</v>
      </c>
      <c r="D123" s="158">
        <v>10</v>
      </c>
      <c r="E123" s="159">
        <v>1860.17</v>
      </c>
      <c r="F123" s="158">
        <v>18601.7</v>
      </c>
      <c r="G123" s="160" t="s">
        <v>5156</v>
      </c>
      <c r="H123" s="1272" t="str">
        <f t="shared" si="3"/>
        <v>分析表95_x000D_
原名稱「控制性低強度回填材料及澆置」</v>
      </c>
      <c r="I123" s="667">
        <v>115</v>
      </c>
      <c r="J123" t="str">
        <f t="shared" si="2"/>
        <v>1.115</v>
      </c>
      <c r="K123"/>
      <c r="L123"/>
      <c r="M123"/>
    </row>
    <row r="124" spans="1:13" s="4" customFormat="1" ht="31.5">
      <c r="A124" s="161" t="s">
        <v>143</v>
      </c>
      <c r="B124" s="8" t="s">
        <v>1320</v>
      </c>
      <c r="C124" s="157" t="s">
        <v>0</v>
      </c>
      <c r="D124" s="158">
        <v>10</v>
      </c>
      <c r="E124" s="159">
        <v>4716.5200000000004</v>
      </c>
      <c r="F124" s="158">
        <v>47165.2</v>
      </c>
      <c r="G124" s="160" t="s">
        <v>5157</v>
      </c>
      <c r="H124" s="1272" t="str">
        <f t="shared" si="3"/>
        <v xml:space="preserve">分析表96_x000D_
</v>
      </c>
      <c r="I124" s="667">
        <v>116</v>
      </c>
      <c r="J124" t="str">
        <f t="shared" si="2"/>
        <v>1.116</v>
      </c>
      <c r="K124"/>
      <c r="L124"/>
      <c r="M124"/>
    </row>
    <row r="125" spans="1:13" s="4" customFormat="1" ht="31.5">
      <c r="A125" s="161" t="s">
        <v>144</v>
      </c>
      <c r="B125" s="8" t="s">
        <v>3086</v>
      </c>
      <c r="C125" s="157" t="s">
        <v>0</v>
      </c>
      <c r="D125" s="158">
        <v>20</v>
      </c>
      <c r="E125" s="159">
        <v>185.12</v>
      </c>
      <c r="F125" s="158">
        <v>3702.4</v>
      </c>
      <c r="G125" s="160" t="s">
        <v>2</v>
      </c>
      <c r="H125" s="1272" t="str">
        <f t="shared" si="3"/>
        <v/>
      </c>
      <c r="I125" s="667">
        <v>117</v>
      </c>
      <c r="J125" t="str">
        <f t="shared" si="2"/>
        <v>1.117</v>
      </c>
      <c r="K125"/>
      <c r="L125"/>
      <c r="M125"/>
    </row>
    <row r="126" spans="1:13" s="4" customFormat="1" ht="31.5">
      <c r="A126" s="161" t="s">
        <v>145</v>
      </c>
      <c r="B126" s="8" t="s">
        <v>1328</v>
      </c>
      <c r="C126" s="157" t="s">
        <v>3</v>
      </c>
      <c r="D126" s="158">
        <v>10</v>
      </c>
      <c r="E126" s="159">
        <v>246.17</v>
      </c>
      <c r="F126" s="158">
        <v>2461.6999999999998</v>
      </c>
      <c r="G126" s="160" t="s">
        <v>5158</v>
      </c>
      <c r="H126" s="1272" t="str">
        <f t="shared" si="3"/>
        <v xml:space="preserve">分析表97_x000D_
</v>
      </c>
      <c r="I126" s="667">
        <v>118</v>
      </c>
      <c r="J126" t="str">
        <f t="shared" si="2"/>
        <v>1.118</v>
      </c>
      <c r="K126"/>
      <c r="L126"/>
      <c r="M126"/>
    </row>
    <row r="127" spans="1:13" s="4" customFormat="1" ht="31.5">
      <c r="A127" s="161" t="s">
        <v>146</v>
      </c>
      <c r="B127" s="8" t="s">
        <v>1333</v>
      </c>
      <c r="C127" s="157" t="s">
        <v>3</v>
      </c>
      <c r="D127" s="158">
        <v>10</v>
      </c>
      <c r="E127" s="159">
        <v>889.16</v>
      </c>
      <c r="F127" s="158">
        <v>8891.6</v>
      </c>
      <c r="G127" s="160" t="s">
        <v>5159</v>
      </c>
      <c r="H127" s="1272" t="str">
        <f t="shared" si="3"/>
        <v>分析表98_x000D_
橋面</v>
      </c>
      <c r="I127" s="667">
        <v>119</v>
      </c>
      <c r="J127" t="str">
        <f t="shared" si="2"/>
        <v>1.119</v>
      </c>
      <c r="K127"/>
      <c r="L127"/>
      <c r="M127"/>
    </row>
    <row r="128" spans="1:13" s="4" customFormat="1" ht="63">
      <c r="A128" s="161" t="s">
        <v>147</v>
      </c>
      <c r="B128" s="8" t="s">
        <v>3625</v>
      </c>
      <c r="C128" s="157" t="s">
        <v>3</v>
      </c>
      <c r="D128" s="158">
        <v>10</v>
      </c>
      <c r="E128" s="159">
        <v>1112.19</v>
      </c>
      <c r="F128" s="158">
        <v>11121.9</v>
      </c>
      <c r="G128" s="160" t="s">
        <v>5160</v>
      </c>
      <c r="H128" s="1272" t="str">
        <f t="shared" si="3"/>
        <v>分析表99_x000D_
經機關核定每日施工期間未達7小時適用</v>
      </c>
      <c r="I128" s="667">
        <v>120</v>
      </c>
      <c r="J128" t="str">
        <f t="shared" si="2"/>
        <v>1.120</v>
      </c>
      <c r="K128"/>
      <c r="L128"/>
      <c r="M128"/>
    </row>
    <row r="129" spans="1:13" s="4" customFormat="1" ht="94.5">
      <c r="A129" s="161" t="s">
        <v>148</v>
      </c>
      <c r="B129" s="8" t="s">
        <v>1347</v>
      </c>
      <c r="C129" s="157" t="s">
        <v>3</v>
      </c>
      <c r="D129" s="158">
        <v>10</v>
      </c>
      <c r="E129" s="159">
        <v>744.92</v>
      </c>
      <c r="F129" s="158">
        <v>7449.2</v>
      </c>
      <c r="G129" s="160" t="s">
        <v>5161</v>
      </c>
      <c r="H129" s="1272" t="str">
        <f t="shared" si="3"/>
        <v>分析表100_x000D_
場鑄結構混凝土用模板，(乙種，擋土牆，橋台，車行箱涵等)</v>
      </c>
      <c r="I129" s="667">
        <v>121</v>
      </c>
      <c r="J129" t="str">
        <f t="shared" si="2"/>
        <v>1.121</v>
      </c>
      <c r="K129"/>
      <c r="L129"/>
      <c r="M129"/>
    </row>
    <row r="130" spans="1:13" s="4" customFormat="1" ht="141.75">
      <c r="A130" s="161" t="s">
        <v>149</v>
      </c>
      <c r="B130" s="8" t="s">
        <v>5493</v>
      </c>
      <c r="C130" s="157" t="s">
        <v>3</v>
      </c>
      <c r="D130" s="158">
        <v>10</v>
      </c>
      <c r="E130" s="159">
        <v>936.23</v>
      </c>
      <c r="F130" s="158">
        <v>9362.2999999999993</v>
      </c>
      <c r="G130" s="160" t="s">
        <v>5162</v>
      </c>
      <c r="H130" s="1272" t="str">
        <f t="shared" si="3"/>
        <v>分析表101_x000D_
場鑄結構混凝土用模板，(乙種，擋土牆，橋台，車行箱涵等)，經機關核定每日施工期間未達7小時適用</v>
      </c>
      <c r="I130" s="667">
        <v>122</v>
      </c>
      <c r="J130" t="str">
        <f t="shared" ref="J130:J193" si="4">A130</f>
        <v>1.122</v>
      </c>
      <c r="K130"/>
      <c r="L130"/>
      <c r="M130"/>
    </row>
    <row r="131" spans="1:13" s="4" customFormat="1" ht="31.5">
      <c r="A131" s="161" t="s">
        <v>150</v>
      </c>
      <c r="B131" s="8" t="s">
        <v>1352</v>
      </c>
      <c r="C131" s="157" t="s">
        <v>3</v>
      </c>
      <c r="D131" s="158">
        <v>10</v>
      </c>
      <c r="E131" s="159">
        <v>511.34</v>
      </c>
      <c r="F131" s="158">
        <v>5113.3999999999996</v>
      </c>
      <c r="G131" s="160" t="s">
        <v>5163</v>
      </c>
      <c r="H131" s="1272" t="str">
        <f t="shared" si="3"/>
        <v xml:space="preserve">分析表102_x000D_
</v>
      </c>
      <c r="I131" s="667">
        <v>123</v>
      </c>
      <c r="J131" t="str">
        <f t="shared" si="4"/>
        <v>1.123</v>
      </c>
      <c r="K131"/>
      <c r="L131"/>
      <c r="M131"/>
    </row>
    <row r="132" spans="1:13" s="4" customFormat="1" ht="63">
      <c r="A132" s="161" t="s">
        <v>151</v>
      </c>
      <c r="B132" s="8" t="s">
        <v>3624</v>
      </c>
      <c r="C132" s="157" t="s">
        <v>3</v>
      </c>
      <c r="D132" s="158">
        <v>10</v>
      </c>
      <c r="E132" s="159">
        <v>639.58000000000004</v>
      </c>
      <c r="F132" s="158">
        <v>6395.8</v>
      </c>
      <c r="G132" s="160" t="s">
        <v>5164</v>
      </c>
      <c r="H132" s="1272" t="str">
        <f t="shared" si="3"/>
        <v>分析表103_x000D_
經機關核定每日施工期間未達7小時適用</v>
      </c>
      <c r="I132" s="667">
        <v>124</v>
      </c>
      <c r="J132" t="str">
        <f t="shared" si="4"/>
        <v>1.124</v>
      </c>
      <c r="K132"/>
      <c r="L132"/>
      <c r="M132"/>
    </row>
    <row r="133" spans="1:13" s="4" customFormat="1" ht="31.5">
      <c r="A133" s="161" t="s">
        <v>152</v>
      </c>
      <c r="B133" s="8" t="s">
        <v>4531</v>
      </c>
      <c r="C133" s="157" t="s">
        <v>3</v>
      </c>
      <c r="D133" s="158">
        <v>10</v>
      </c>
      <c r="E133" s="159">
        <v>1016.51</v>
      </c>
      <c r="F133" s="158">
        <v>10165.1</v>
      </c>
      <c r="G133" s="160" t="s">
        <v>5165</v>
      </c>
      <c r="H133" s="1272" t="str">
        <f t="shared" si="3"/>
        <v xml:space="preserve">分析表104_x000D_
</v>
      </c>
      <c r="I133" s="667">
        <v>125</v>
      </c>
      <c r="J133" t="str">
        <f t="shared" si="4"/>
        <v>1.125</v>
      </c>
      <c r="K133"/>
      <c r="L133"/>
      <c r="M133"/>
    </row>
    <row r="134" spans="1:13" s="4" customFormat="1" ht="47.25">
      <c r="A134" s="161" t="s">
        <v>153</v>
      </c>
      <c r="B134" s="8" t="s">
        <v>1357</v>
      </c>
      <c r="C134" s="157" t="s">
        <v>3</v>
      </c>
      <c r="D134" s="158">
        <v>10</v>
      </c>
      <c r="E134" s="159">
        <v>608.94000000000005</v>
      </c>
      <c r="F134" s="158">
        <v>6089.4</v>
      </c>
      <c r="G134" s="160" t="s">
        <v>5166</v>
      </c>
      <c r="H134" s="1272" t="str">
        <f t="shared" si="3"/>
        <v>分析表105_x000D_
擋土牆，橋台，車行箱涵等</v>
      </c>
      <c r="I134" s="667">
        <v>126</v>
      </c>
      <c r="J134" t="str">
        <f t="shared" si="4"/>
        <v>1.126</v>
      </c>
      <c r="K134"/>
      <c r="L134"/>
      <c r="M134"/>
    </row>
    <row r="135" spans="1:13" s="4" customFormat="1" ht="110.25">
      <c r="A135" s="161" t="s">
        <v>154</v>
      </c>
      <c r="B135" s="8" t="s">
        <v>3623</v>
      </c>
      <c r="C135" s="157" t="s">
        <v>3</v>
      </c>
      <c r="D135" s="158">
        <v>10</v>
      </c>
      <c r="E135" s="159">
        <v>765.73</v>
      </c>
      <c r="F135" s="158">
        <v>7657.3</v>
      </c>
      <c r="G135" s="160" t="s">
        <v>5167</v>
      </c>
      <c r="H135" s="1272" t="str">
        <f t="shared" si="3"/>
        <v>分析表106_x000D_
擋土牆，橋台，車行箱涵等，經機關核定每日施工期間未達7小時適用適用</v>
      </c>
      <c r="I135" s="667">
        <v>127</v>
      </c>
      <c r="J135" t="str">
        <f t="shared" si="4"/>
        <v>1.127</v>
      </c>
      <c r="K135"/>
      <c r="L135"/>
      <c r="M135"/>
    </row>
    <row r="136" spans="1:13" s="4" customFormat="1" ht="47.25">
      <c r="A136" s="161" t="s">
        <v>155</v>
      </c>
      <c r="B136" s="8" t="s">
        <v>1360</v>
      </c>
      <c r="C136" s="157" t="s">
        <v>3</v>
      </c>
      <c r="D136" s="158">
        <v>50</v>
      </c>
      <c r="E136" s="159">
        <v>387.95</v>
      </c>
      <c r="F136" s="158">
        <v>19397.5</v>
      </c>
      <c r="G136" s="160" t="s">
        <v>5168</v>
      </c>
      <c r="H136" s="1272" t="str">
        <f t="shared" si="3"/>
        <v>分析表107_x000D_
U型構，集水井，排水箱涵等</v>
      </c>
      <c r="I136" s="667">
        <v>128</v>
      </c>
      <c r="J136" t="str">
        <f t="shared" si="4"/>
        <v>1.128</v>
      </c>
      <c r="K136"/>
      <c r="L136"/>
      <c r="M136"/>
    </row>
    <row r="137" spans="1:13" s="4" customFormat="1" ht="94.5">
      <c r="A137" s="161" t="s">
        <v>156</v>
      </c>
      <c r="B137" s="8" t="s">
        <v>2973</v>
      </c>
      <c r="C137" s="157" t="s">
        <v>3</v>
      </c>
      <c r="D137" s="158">
        <v>50</v>
      </c>
      <c r="E137" s="159">
        <v>488.66</v>
      </c>
      <c r="F137" s="158">
        <v>24433</v>
      </c>
      <c r="G137" s="160" t="s">
        <v>5169</v>
      </c>
      <c r="H137" s="1272" t="str">
        <f t="shared" si="3"/>
        <v>分析表108_x000D_
U型構，集水井，排水箱涵等，經機關核定每日施工期間未達7小時適用</v>
      </c>
      <c r="I137" s="667">
        <v>129</v>
      </c>
      <c r="J137" t="str">
        <f t="shared" si="4"/>
        <v>1.129</v>
      </c>
      <c r="K137"/>
      <c r="L137"/>
      <c r="M137"/>
    </row>
    <row r="138" spans="1:13" s="4" customFormat="1" ht="47.25">
      <c r="A138" s="161" t="s">
        <v>157</v>
      </c>
      <c r="B138" s="8" t="s">
        <v>4537</v>
      </c>
      <c r="C138" s="157" t="s">
        <v>3</v>
      </c>
      <c r="D138" s="158">
        <v>50</v>
      </c>
      <c r="E138" s="159">
        <v>783.95</v>
      </c>
      <c r="F138" s="158">
        <v>39197.5</v>
      </c>
      <c r="G138" s="160" t="s">
        <v>5170</v>
      </c>
      <c r="H138" s="1272" t="str">
        <f t="shared" si="3"/>
        <v>分析表109_x000D_
U型構，集水井，排水箱涵等</v>
      </c>
      <c r="I138" s="667">
        <v>130</v>
      </c>
      <c r="J138" t="str">
        <f t="shared" si="4"/>
        <v>1.130</v>
      </c>
      <c r="K138"/>
      <c r="L138"/>
      <c r="M138"/>
    </row>
    <row r="139" spans="1:13" s="4" customFormat="1" ht="31.5">
      <c r="A139" s="161" t="s">
        <v>158</v>
      </c>
      <c r="B139" s="8" t="s">
        <v>404</v>
      </c>
      <c r="C139" s="157" t="s">
        <v>17</v>
      </c>
      <c r="D139" s="158">
        <v>50</v>
      </c>
      <c r="E139" s="159">
        <v>593.49</v>
      </c>
      <c r="F139" s="158">
        <v>29674.5</v>
      </c>
      <c r="G139" s="160" t="s">
        <v>5171</v>
      </c>
      <c r="H139" s="1272" t="str">
        <f t="shared" ref="H139:H202" si="5">G139</f>
        <v xml:space="preserve">分析表110_x000D_
</v>
      </c>
      <c r="I139" s="667">
        <v>131</v>
      </c>
      <c r="J139" t="str">
        <f t="shared" si="4"/>
        <v>1.131</v>
      </c>
      <c r="K139"/>
      <c r="L139"/>
      <c r="M139"/>
    </row>
    <row r="140" spans="1:13" s="4" customFormat="1" ht="31.5">
      <c r="A140" s="161" t="s">
        <v>159</v>
      </c>
      <c r="B140" s="8" t="s">
        <v>1369</v>
      </c>
      <c r="C140" s="157" t="s">
        <v>3</v>
      </c>
      <c r="D140" s="158">
        <v>50</v>
      </c>
      <c r="E140" s="159">
        <v>354.08</v>
      </c>
      <c r="F140" s="158">
        <v>17704</v>
      </c>
      <c r="G140" s="160" t="s">
        <v>5172</v>
      </c>
      <c r="H140" s="1272" t="str">
        <f t="shared" si="5"/>
        <v xml:space="preserve">分析表111_x000D_
</v>
      </c>
      <c r="I140" s="667">
        <v>132</v>
      </c>
      <c r="J140" t="str">
        <f t="shared" si="4"/>
        <v>1.132</v>
      </c>
      <c r="K140"/>
      <c r="L140"/>
      <c r="M140"/>
    </row>
    <row r="141" spans="1:13" s="4" customFormat="1" ht="31.5">
      <c r="A141" s="161" t="s">
        <v>160</v>
      </c>
      <c r="B141" s="8" t="s">
        <v>1372</v>
      </c>
      <c r="C141" s="157" t="s">
        <v>17</v>
      </c>
      <c r="D141" s="158">
        <v>50</v>
      </c>
      <c r="E141" s="159">
        <v>722.08</v>
      </c>
      <c r="F141" s="158">
        <v>36104</v>
      </c>
      <c r="G141" s="160" t="s">
        <v>5173</v>
      </c>
      <c r="H141" s="1272" t="str">
        <f t="shared" si="5"/>
        <v xml:space="preserve">分析表112_x000D_
</v>
      </c>
      <c r="I141" s="667">
        <v>133</v>
      </c>
      <c r="J141" t="str">
        <f t="shared" si="4"/>
        <v>1.133</v>
      </c>
      <c r="K141"/>
      <c r="L141"/>
      <c r="M141"/>
    </row>
    <row r="142" spans="1:13" s="4" customFormat="1" ht="31.5">
      <c r="A142" s="161" t="s">
        <v>161</v>
      </c>
      <c r="B142" s="8" t="s">
        <v>1375</v>
      </c>
      <c r="C142" s="157" t="s">
        <v>3</v>
      </c>
      <c r="D142" s="158">
        <v>50</v>
      </c>
      <c r="E142" s="159">
        <v>427.91</v>
      </c>
      <c r="F142" s="158">
        <v>21395.5</v>
      </c>
      <c r="G142" s="160" t="s">
        <v>5174</v>
      </c>
      <c r="H142" s="1272" t="str">
        <f t="shared" si="5"/>
        <v xml:space="preserve">分析表113_x000D_
</v>
      </c>
      <c r="I142" s="667">
        <v>134</v>
      </c>
      <c r="J142" t="str">
        <f t="shared" si="4"/>
        <v>1.134</v>
      </c>
      <c r="K142"/>
      <c r="L142"/>
      <c r="M142"/>
    </row>
    <row r="143" spans="1:13" s="4" customFormat="1" ht="31.5">
      <c r="A143" s="161" t="s">
        <v>162</v>
      </c>
      <c r="B143" s="8" t="s">
        <v>1378</v>
      </c>
      <c r="C143" s="157" t="s">
        <v>17</v>
      </c>
      <c r="D143" s="158">
        <v>50</v>
      </c>
      <c r="E143" s="159">
        <v>838.77</v>
      </c>
      <c r="F143" s="158">
        <v>41938.5</v>
      </c>
      <c r="G143" s="160" t="s">
        <v>5175</v>
      </c>
      <c r="H143" s="1272" t="str">
        <f t="shared" si="5"/>
        <v xml:space="preserve">分析表114_x000D_
</v>
      </c>
      <c r="I143" s="667">
        <v>135</v>
      </c>
      <c r="J143" t="str">
        <f t="shared" si="4"/>
        <v>1.135</v>
      </c>
      <c r="K143"/>
      <c r="L143"/>
      <c r="M143"/>
    </row>
    <row r="144" spans="1:13" s="4" customFormat="1" ht="31.5">
      <c r="A144" s="161" t="s">
        <v>163</v>
      </c>
      <c r="B144" s="8" t="s">
        <v>1381</v>
      </c>
      <c r="C144" s="157" t="s">
        <v>3</v>
      </c>
      <c r="D144" s="158">
        <v>50</v>
      </c>
      <c r="E144" s="159">
        <v>497.96</v>
      </c>
      <c r="F144" s="158">
        <v>24898</v>
      </c>
      <c r="G144" s="160" t="s">
        <v>5176</v>
      </c>
      <c r="H144" s="1272" t="str">
        <f t="shared" si="5"/>
        <v xml:space="preserve">分析表115_x000D_
</v>
      </c>
      <c r="I144" s="667">
        <v>136</v>
      </c>
      <c r="J144" t="str">
        <f t="shared" si="4"/>
        <v>1.136</v>
      </c>
      <c r="K144"/>
      <c r="L144"/>
      <c r="M144"/>
    </row>
    <row r="145" spans="1:13" s="4" customFormat="1" ht="63">
      <c r="A145" s="161" t="s">
        <v>164</v>
      </c>
      <c r="B145" s="8" t="s">
        <v>3618</v>
      </c>
      <c r="C145" s="157" t="s">
        <v>17</v>
      </c>
      <c r="D145" s="158">
        <v>50</v>
      </c>
      <c r="E145" s="159">
        <v>750.28</v>
      </c>
      <c r="F145" s="158">
        <v>37514</v>
      </c>
      <c r="G145" s="160" t="s">
        <v>5177</v>
      </c>
      <c r="H145" s="1272" t="str">
        <f t="shared" si="5"/>
        <v>分析表116_x000D_
經機關核定每日施工期間未達7小時適用</v>
      </c>
      <c r="I145" s="667">
        <v>137</v>
      </c>
      <c r="J145" t="str">
        <f t="shared" si="4"/>
        <v>1.137</v>
      </c>
      <c r="K145"/>
      <c r="L145"/>
      <c r="M145"/>
    </row>
    <row r="146" spans="1:13" s="4" customFormat="1" ht="63">
      <c r="A146" s="161" t="s">
        <v>165</v>
      </c>
      <c r="B146" s="8" t="s">
        <v>3619</v>
      </c>
      <c r="C146" s="157" t="s">
        <v>3</v>
      </c>
      <c r="D146" s="158">
        <v>50</v>
      </c>
      <c r="E146" s="159">
        <v>441.04</v>
      </c>
      <c r="F146" s="158">
        <v>22052</v>
      </c>
      <c r="G146" s="160" t="s">
        <v>5178</v>
      </c>
      <c r="H146" s="1272" t="str">
        <f t="shared" si="5"/>
        <v>分析表117_x000D_
經機關核定每日施工期間未達7小時適用</v>
      </c>
      <c r="I146" s="667">
        <v>138</v>
      </c>
      <c r="J146" t="str">
        <f t="shared" si="4"/>
        <v>1.138</v>
      </c>
      <c r="K146"/>
      <c r="L146"/>
      <c r="M146"/>
    </row>
    <row r="147" spans="1:13" s="4" customFormat="1" ht="63">
      <c r="A147" s="161" t="s">
        <v>166</v>
      </c>
      <c r="B147" s="8" t="s">
        <v>5485</v>
      </c>
      <c r="C147" s="157" t="s">
        <v>17</v>
      </c>
      <c r="D147" s="158">
        <v>50</v>
      </c>
      <c r="E147" s="159">
        <v>921.2</v>
      </c>
      <c r="F147" s="158">
        <v>46060</v>
      </c>
      <c r="G147" s="160" t="s">
        <v>5179</v>
      </c>
      <c r="H147" s="1272" t="str">
        <f t="shared" si="5"/>
        <v>分析表118_x000D_
經機關核定每日施工期間未達7小時適用</v>
      </c>
      <c r="I147" s="667">
        <v>139</v>
      </c>
      <c r="J147" t="str">
        <f t="shared" si="4"/>
        <v>1.139</v>
      </c>
      <c r="K147"/>
      <c r="L147"/>
      <c r="M147"/>
    </row>
    <row r="148" spans="1:13" s="4" customFormat="1" ht="63">
      <c r="A148" s="161" t="s">
        <v>167</v>
      </c>
      <c r="B148" s="8" t="s">
        <v>3620</v>
      </c>
      <c r="C148" s="157" t="s">
        <v>3</v>
      </c>
      <c r="D148" s="158">
        <v>50</v>
      </c>
      <c r="E148" s="159">
        <v>536.03</v>
      </c>
      <c r="F148" s="158">
        <v>26801.5</v>
      </c>
      <c r="G148" s="160" t="s">
        <v>5180</v>
      </c>
      <c r="H148" s="1272" t="str">
        <f t="shared" si="5"/>
        <v>分析表119_x000D_
經機關核定每日施工期間未達7小時適用</v>
      </c>
      <c r="I148" s="667">
        <v>140</v>
      </c>
      <c r="J148" t="str">
        <f t="shared" si="4"/>
        <v>1.140</v>
      </c>
      <c r="K148"/>
      <c r="L148"/>
      <c r="M148"/>
    </row>
    <row r="149" spans="1:13" s="4" customFormat="1" ht="63">
      <c r="A149" s="161" t="s">
        <v>168</v>
      </c>
      <c r="B149" s="8" t="s">
        <v>3621</v>
      </c>
      <c r="C149" s="157" t="s">
        <v>17</v>
      </c>
      <c r="D149" s="158">
        <v>50</v>
      </c>
      <c r="E149" s="159">
        <v>1073.25</v>
      </c>
      <c r="F149" s="158">
        <v>53662.5</v>
      </c>
      <c r="G149" s="160" t="s">
        <v>5181</v>
      </c>
      <c r="H149" s="1272" t="str">
        <f t="shared" si="5"/>
        <v>分析表120_x000D_
經機關核定每日施工期間未達7小時適用</v>
      </c>
      <c r="I149" s="667">
        <v>141</v>
      </c>
      <c r="J149" t="str">
        <f t="shared" si="4"/>
        <v>1.141</v>
      </c>
      <c r="K149"/>
      <c r="L149"/>
      <c r="M149"/>
    </row>
    <row r="150" spans="1:13" s="4" customFormat="1" ht="63">
      <c r="A150" s="161" t="s">
        <v>169</v>
      </c>
      <c r="B150" s="8" t="s">
        <v>3622</v>
      </c>
      <c r="C150" s="157" t="s">
        <v>3</v>
      </c>
      <c r="D150" s="158">
        <v>50</v>
      </c>
      <c r="E150" s="159">
        <v>626.22</v>
      </c>
      <c r="F150" s="158">
        <v>31311</v>
      </c>
      <c r="G150" s="160" t="s">
        <v>5182</v>
      </c>
      <c r="H150" s="1272" t="str">
        <f t="shared" si="5"/>
        <v>分析表121_x000D_
經機關核定每日施工期間未達7小時適用</v>
      </c>
      <c r="I150" s="667">
        <v>142</v>
      </c>
      <c r="J150" t="str">
        <f t="shared" si="4"/>
        <v>1.142</v>
      </c>
      <c r="K150"/>
      <c r="L150"/>
      <c r="M150"/>
    </row>
    <row r="151" spans="1:13" s="4" customFormat="1" ht="31.5">
      <c r="A151" s="161" t="s">
        <v>170</v>
      </c>
      <c r="B151" s="8" t="s">
        <v>4551</v>
      </c>
      <c r="C151" s="157" t="s">
        <v>17</v>
      </c>
      <c r="D151" s="158">
        <v>50</v>
      </c>
      <c r="E151" s="159">
        <v>1210.1099999999999</v>
      </c>
      <c r="F151" s="158">
        <v>60505.5</v>
      </c>
      <c r="G151" s="160" t="s">
        <v>5183</v>
      </c>
      <c r="H151" s="1272" t="str">
        <f t="shared" si="5"/>
        <v xml:space="preserve">分析表122_x000D_
</v>
      </c>
      <c r="I151" s="667">
        <v>143</v>
      </c>
      <c r="J151" t="str">
        <f t="shared" si="4"/>
        <v>1.143</v>
      </c>
      <c r="K151"/>
      <c r="L151"/>
      <c r="M151"/>
    </row>
    <row r="152" spans="1:13" s="4" customFormat="1" ht="31.5">
      <c r="A152" s="161" t="s">
        <v>171</v>
      </c>
      <c r="B152" s="8" t="s">
        <v>4553</v>
      </c>
      <c r="C152" s="157" t="s">
        <v>3</v>
      </c>
      <c r="D152" s="158">
        <v>50</v>
      </c>
      <c r="E152" s="159">
        <v>696.65</v>
      </c>
      <c r="F152" s="158">
        <v>34832.5</v>
      </c>
      <c r="G152" s="160" t="s">
        <v>5184</v>
      </c>
      <c r="H152" s="1272" t="str">
        <f t="shared" si="5"/>
        <v xml:space="preserve">分析表123_x000D_
</v>
      </c>
      <c r="I152" s="667">
        <v>144</v>
      </c>
      <c r="J152" t="str">
        <f t="shared" si="4"/>
        <v>1.144</v>
      </c>
      <c r="K152"/>
      <c r="L152"/>
      <c r="M152"/>
    </row>
    <row r="153" spans="1:13" s="4" customFormat="1" ht="31.5">
      <c r="A153" s="161" t="s">
        <v>172</v>
      </c>
      <c r="B153" s="8" t="s">
        <v>4555</v>
      </c>
      <c r="C153" s="157" t="s">
        <v>17</v>
      </c>
      <c r="D153" s="158">
        <v>50</v>
      </c>
      <c r="E153" s="159">
        <v>1505.87</v>
      </c>
      <c r="F153" s="158">
        <v>75293.5</v>
      </c>
      <c r="G153" s="160" t="s">
        <v>5185</v>
      </c>
      <c r="H153" s="1272" t="str">
        <f t="shared" si="5"/>
        <v xml:space="preserve">分析表124_x000D_
</v>
      </c>
      <c r="I153" s="667">
        <v>145</v>
      </c>
      <c r="J153" t="str">
        <f t="shared" si="4"/>
        <v>1.145</v>
      </c>
      <c r="K153"/>
      <c r="L153"/>
      <c r="M153"/>
    </row>
    <row r="154" spans="1:13" s="4" customFormat="1" ht="31.5">
      <c r="A154" s="161" t="s">
        <v>173</v>
      </c>
      <c r="B154" s="8" t="s">
        <v>4557</v>
      </c>
      <c r="C154" s="157" t="s">
        <v>3</v>
      </c>
      <c r="D154" s="158">
        <v>50</v>
      </c>
      <c r="E154" s="159">
        <v>854.06</v>
      </c>
      <c r="F154" s="158">
        <v>42703</v>
      </c>
      <c r="G154" s="160" t="s">
        <v>5186</v>
      </c>
      <c r="H154" s="1272" t="str">
        <f t="shared" si="5"/>
        <v xml:space="preserve">分析表125_x000D_
</v>
      </c>
      <c r="I154" s="667">
        <v>146</v>
      </c>
      <c r="J154" t="str">
        <f t="shared" si="4"/>
        <v>1.146</v>
      </c>
      <c r="K154"/>
      <c r="L154"/>
      <c r="M154"/>
    </row>
    <row r="155" spans="1:13" s="4" customFormat="1" ht="31.5">
      <c r="A155" s="161" t="s">
        <v>174</v>
      </c>
      <c r="B155" s="8" t="s">
        <v>4559</v>
      </c>
      <c r="C155" s="157" t="s">
        <v>17</v>
      </c>
      <c r="D155" s="158">
        <v>50</v>
      </c>
      <c r="E155" s="159">
        <v>1761.87</v>
      </c>
      <c r="F155" s="158">
        <v>88093.5</v>
      </c>
      <c r="G155" s="160" t="s">
        <v>5187</v>
      </c>
      <c r="H155" s="1272" t="str">
        <f t="shared" si="5"/>
        <v xml:space="preserve">分析表126_x000D_
</v>
      </c>
      <c r="I155" s="667">
        <v>147</v>
      </c>
      <c r="J155" t="str">
        <f t="shared" si="4"/>
        <v>1.147</v>
      </c>
      <c r="K155"/>
      <c r="L155"/>
      <c r="M155"/>
    </row>
    <row r="156" spans="1:13" s="4" customFormat="1" ht="31.5">
      <c r="A156" s="161" t="s">
        <v>175</v>
      </c>
      <c r="B156" s="8" t="s">
        <v>4561</v>
      </c>
      <c r="C156" s="157" t="s">
        <v>3</v>
      </c>
      <c r="D156" s="158">
        <v>50</v>
      </c>
      <c r="E156" s="159">
        <v>1002.79</v>
      </c>
      <c r="F156" s="158">
        <v>50139.5</v>
      </c>
      <c r="G156" s="160" t="s">
        <v>5188</v>
      </c>
      <c r="H156" s="1272" t="str">
        <f t="shared" si="5"/>
        <v xml:space="preserve">分析表127_x000D_
</v>
      </c>
      <c r="I156" s="667">
        <v>148</v>
      </c>
      <c r="J156" t="str">
        <f t="shared" si="4"/>
        <v>1.148</v>
      </c>
      <c r="K156"/>
      <c r="L156"/>
      <c r="M156"/>
    </row>
    <row r="157" spans="1:13" s="4" customFormat="1" ht="31.5">
      <c r="A157" s="161" t="s">
        <v>176</v>
      </c>
      <c r="B157" s="8" t="s">
        <v>1472</v>
      </c>
      <c r="C157" s="157" t="s">
        <v>4563</v>
      </c>
      <c r="D157" s="158">
        <v>10</v>
      </c>
      <c r="E157" s="159">
        <v>246.92</v>
      </c>
      <c r="F157" s="158">
        <v>2469.1999999999998</v>
      </c>
      <c r="G157" s="160" t="s">
        <v>5189</v>
      </c>
      <c r="H157" s="1272" t="str">
        <f t="shared" si="5"/>
        <v xml:space="preserve">分析表128_x000D_
</v>
      </c>
      <c r="I157" s="667">
        <v>149</v>
      </c>
      <c r="J157" t="str">
        <f t="shared" si="4"/>
        <v>1.149</v>
      </c>
      <c r="K157"/>
      <c r="L157"/>
      <c r="M157"/>
    </row>
    <row r="158" spans="1:13" s="4" customFormat="1" ht="31.5">
      <c r="A158" s="161" t="s">
        <v>177</v>
      </c>
      <c r="B158" s="8" t="s">
        <v>4565</v>
      </c>
      <c r="C158" s="157" t="s">
        <v>4563</v>
      </c>
      <c r="D158" s="158">
        <v>10</v>
      </c>
      <c r="E158" s="159">
        <v>450.18</v>
      </c>
      <c r="F158" s="158">
        <v>4501.8</v>
      </c>
      <c r="G158" s="160" t="s">
        <v>5190</v>
      </c>
      <c r="H158" s="1272" t="str">
        <f t="shared" si="5"/>
        <v xml:space="preserve">分析表129_x000D_
</v>
      </c>
      <c r="I158" s="667">
        <v>150</v>
      </c>
      <c r="J158" t="str">
        <f t="shared" si="4"/>
        <v>1.150</v>
      </c>
      <c r="K158"/>
      <c r="L158"/>
      <c r="M158"/>
    </row>
    <row r="159" spans="1:13" s="4" customFormat="1" ht="63">
      <c r="A159" s="161" t="s">
        <v>178</v>
      </c>
      <c r="B159" s="8" t="s">
        <v>513</v>
      </c>
      <c r="C159" s="157" t="s">
        <v>18</v>
      </c>
      <c r="D159" s="158">
        <v>1000</v>
      </c>
      <c r="E159" s="159">
        <v>29.75</v>
      </c>
      <c r="F159" s="158">
        <v>29750</v>
      </c>
      <c r="G159" s="160" t="s">
        <v>5191</v>
      </c>
      <c r="H159" s="1272" t="str">
        <f t="shared" si="5"/>
        <v>分析表130_x000D_
本項納入「鋼筋」物價指數調整</v>
      </c>
      <c r="I159" s="667">
        <v>151</v>
      </c>
      <c r="J159" t="str">
        <f t="shared" si="4"/>
        <v>1.151</v>
      </c>
      <c r="K159"/>
      <c r="L159"/>
      <c r="M159"/>
    </row>
    <row r="160" spans="1:13" s="4" customFormat="1" ht="63">
      <c r="A160" s="161" t="s">
        <v>179</v>
      </c>
      <c r="B160" s="8" t="s">
        <v>1417</v>
      </c>
      <c r="C160" s="157" t="s">
        <v>18</v>
      </c>
      <c r="D160" s="158">
        <v>1000</v>
      </c>
      <c r="E160" s="159">
        <v>29.39</v>
      </c>
      <c r="F160" s="158">
        <v>29390</v>
      </c>
      <c r="G160" s="160" t="s">
        <v>5192</v>
      </c>
      <c r="H160" s="1272" t="str">
        <f t="shared" si="5"/>
        <v>分析表131_x000D_
本項納入「鋼筋」物價指數調整</v>
      </c>
      <c r="I160" s="667">
        <v>152</v>
      </c>
      <c r="J160" t="str">
        <f t="shared" si="4"/>
        <v>1.152</v>
      </c>
      <c r="K160"/>
      <c r="L160"/>
      <c r="M160"/>
    </row>
    <row r="161" spans="1:13" s="4" customFormat="1" ht="31.5">
      <c r="A161" s="161" t="s">
        <v>180</v>
      </c>
      <c r="B161" s="8" t="s">
        <v>1420</v>
      </c>
      <c r="C161" s="157" t="s">
        <v>18</v>
      </c>
      <c r="D161" s="158">
        <v>1000</v>
      </c>
      <c r="E161" s="159">
        <v>31.25</v>
      </c>
      <c r="F161" s="158">
        <v>31250</v>
      </c>
      <c r="G161" s="160" t="s">
        <v>5193</v>
      </c>
      <c r="H161" s="1272" t="str">
        <f t="shared" si="5"/>
        <v xml:space="preserve">分析表132_x000D_
</v>
      </c>
      <c r="I161" s="667">
        <v>153</v>
      </c>
      <c r="J161" t="str">
        <f t="shared" si="4"/>
        <v>1.153</v>
      </c>
      <c r="K161"/>
      <c r="L161"/>
      <c r="M161"/>
    </row>
    <row r="162" spans="1:13" s="4" customFormat="1" ht="31.5">
      <c r="A162" s="161" t="s">
        <v>181</v>
      </c>
      <c r="B162" s="8" t="s">
        <v>1425</v>
      </c>
      <c r="C162" s="157" t="s">
        <v>18</v>
      </c>
      <c r="D162" s="158">
        <v>1000</v>
      </c>
      <c r="E162" s="159">
        <v>31.43</v>
      </c>
      <c r="F162" s="158">
        <v>31430</v>
      </c>
      <c r="G162" s="160" t="s">
        <v>5194</v>
      </c>
      <c r="H162" s="1272" t="str">
        <f t="shared" si="5"/>
        <v xml:space="preserve">分析表133_x000D_
</v>
      </c>
      <c r="I162" s="667">
        <v>154</v>
      </c>
      <c r="J162" t="str">
        <f t="shared" si="4"/>
        <v>1.154</v>
      </c>
      <c r="K162"/>
      <c r="L162"/>
      <c r="M162"/>
    </row>
    <row r="163" spans="1:13" s="4" customFormat="1" ht="110.25">
      <c r="A163" s="161" t="s">
        <v>182</v>
      </c>
      <c r="B163" s="8" t="s">
        <v>3629</v>
      </c>
      <c r="C163" s="157" t="s">
        <v>18</v>
      </c>
      <c r="D163" s="158">
        <v>1000</v>
      </c>
      <c r="E163" s="159">
        <v>32.07</v>
      </c>
      <c r="F163" s="158">
        <v>32070</v>
      </c>
      <c r="G163" s="160" t="s">
        <v>5195</v>
      </c>
      <c r="H163" s="1272" t="str">
        <f t="shared" si="5"/>
        <v>分析表134_x000D_
經機關核定每日施工期間未達7小時適用，本項納入「鋼筋」物價指數調整</v>
      </c>
      <c r="I163" s="667">
        <v>155</v>
      </c>
      <c r="J163" t="str">
        <f t="shared" si="4"/>
        <v>1.155</v>
      </c>
      <c r="K163"/>
      <c r="L163"/>
      <c r="M163"/>
    </row>
    <row r="164" spans="1:13" s="4" customFormat="1" ht="110.25">
      <c r="A164" s="161" t="s">
        <v>183</v>
      </c>
      <c r="B164" s="8" t="s">
        <v>2939</v>
      </c>
      <c r="C164" s="157" t="s">
        <v>18</v>
      </c>
      <c r="D164" s="158">
        <v>1000</v>
      </c>
      <c r="E164" s="159">
        <v>32.43</v>
      </c>
      <c r="F164" s="158">
        <v>32430</v>
      </c>
      <c r="G164" s="160" t="s">
        <v>5196</v>
      </c>
      <c r="H164" s="1272" t="str">
        <f t="shared" si="5"/>
        <v>分析表135_x000D_
經機關核定每日施工期間未達7小時適用，本項納入「鋼筋」物價指數調整</v>
      </c>
      <c r="I164" s="667">
        <v>156</v>
      </c>
      <c r="J164" t="str">
        <f t="shared" si="4"/>
        <v>1.156</v>
      </c>
      <c r="K164"/>
      <c r="L164"/>
      <c r="M164"/>
    </row>
    <row r="165" spans="1:13" s="4" customFormat="1" ht="63">
      <c r="A165" s="161" t="s">
        <v>184</v>
      </c>
      <c r="B165" s="8" t="s">
        <v>3630</v>
      </c>
      <c r="C165" s="157" t="s">
        <v>18</v>
      </c>
      <c r="D165" s="158">
        <v>1000</v>
      </c>
      <c r="E165" s="159">
        <v>33.83</v>
      </c>
      <c r="F165" s="158">
        <v>33830</v>
      </c>
      <c r="G165" s="160" t="s">
        <v>5197</v>
      </c>
      <c r="H165" s="1272" t="str">
        <f t="shared" si="5"/>
        <v>分析表136_x000D_
經機關核定每日施工期間未達7小時適用</v>
      </c>
      <c r="I165" s="667">
        <v>157</v>
      </c>
      <c r="J165" t="str">
        <f t="shared" si="4"/>
        <v>1.157</v>
      </c>
      <c r="K165"/>
      <c r="L165"/>
      <c r="M165"/>
    </row>
    <row r="166" spans="1:13" s="4" customFormat="1" ht="63">
      <c r="A166" s="161" t="s">
        <v>185</v>
      </c>
      <c r="B166" s="8" t="s">
        <v>2940</v>
      </c>
      <c r="C166" s="157" t="s">
        <v>18</v>
      </c>
      <c r="D166" s="158">
        <v>1000</v>
      </c>
      <c r="E166" s="159">
        <v>34.01</v>
      </c>
      <c r="F166" s="158">
        <v>34010</v>
      </c>
      <c r="G166" s="160" t="s">
        <v>5198</v>
      </c>
      <c r="H166" s="1272" t="str">
        <f t="shared" si="5"/>
        <v>分析表137_x000D_
經機關核定每日施工期間未達7小時適用</v>
      </c>
      <c r="I166" s="667">
        <v>158</v>
      </c>
      <c r="J166" t="str">
        <f t="shared" si="4"/>
        <v>1.158</v>
      </c>
      <c r="K166"/>
      <c r="L166"/>
      <c r="M166"/>
    </row>
    <row r="167" spans="1:13" s="4" customFormat="1" ht="63">
      <c r="A167" s="161" t="s">
        <v>186</v>
      </c>
      <c r="B167" s="8" t="s">
        <v>4575</v>
      </c>
      <c r="C167" s="157" t="s">
        <v>18</v>
      </c>
      <c r="D167" s="158">
        <v>1000</v>
      </c>
      <c r="E167" s="159">
        <v>40.32</v>
      </c>
      <c r="F167" s="158">
        <v>40320</v>
      </c>
      <c r="G167" s="160" t="s">
        <v>5199</v>
      </c>
      <c r="H167" s="1272" t="str">
        <f t="shared" si="5"/>
        <v>分析表138_x000D_
本項納入「鋼筋」物價指數調整</v>
      </c>
      <c r="I167" s="667">
        <v>159</v>
      </c>
      <c r="J167" t="str">
        <f t="shared" si="4"/>
        <v>1.159</v>
      </c>
      <c r="K167"/>
      <c r="L167"/>
      <c r="M167"/>
    </row>
    <row r="168" spans="1:13" s="4" customFormat="1" ht="31.5">
      <c r="A168" s="161" t="s">
        <v>187</v>
      </c>
      <c r="B168" s="8" t="s">
        <v>4577</v>
      </c>
      <c r="C168" s="157" t="s">
        <v>18</v>
      </c>
      <c r="D168" s="158">
        <v>1000</v>
      </c>
      <c r="E168" s="159">
        <v>41.6</v>
      </c>
      <c r="F168" s="158">
        <v>41600</v>
      </c>
      <c r="G168" s="160" t="s">
        <v>5200</v>
      </c>
      <c r="H168" s="1272" t="str">
        <f t="shared" si="5"/>
        <v xml:space="preserve">分析表139_x000D_
</v>
      </c>
      <c r="I168" s="667">
        <v>160</v>
      </c>
      <c r="J168" t="str">
        <f t="shared" si="4"/>
        <v>1.160</v>
      </c>
      <c r="K168"/>
      <c r="L168"/>
      <c r="M168"/>
    </row>
    <row r="169" spans="1:13" s="4" customFormat="1" ht="31.5">
      <c r="A169" s="161" t="s">
        <v>188</v>
      </c>
      <c r="B169" s="8" t="s">
        <v>1437</v>
      </c>
      <c r="C169" s="157" t="s">
        <v>18</v>
      </c>
      <c r="D169" s="158">
        <v>500</v>
      </c>
      <c r="E169" s="159">
        <v>32.92</v>
      </c>
      <c r="F169" s="158">
        <v>16460</v>
      </c>
      <c r="G169" s="160" t="s">
        <v>5201</v>
      </c>
      <c r="H169" s="1272" t="str">
        <f t="shared" si="5"/>
        <v xml:space="preserve">分析表140_x000D_
</v>
      </c>
      <c r="I169" s="667">
        <v>161</v>
      </c>
      <c r="J169" t="str">
        <f t="shared" si="4"/>
        <v>1.161</v>
      </c>
      <c r="K169"/>
      <c r="L169"/>
      <c r="M169"/>
    </row>
    <row r="170" spans="1:13" s="4" customFormat="1">
      <c r="A170" s="161" t="s">
        <v>189</v>
      </c>
      <c r="B170" s="8" t="s">
        <v>1445</v>
      </c>
      <c r="C170" s="157" t="s">
        <v>18</v>
      </c>
      <c r="D170" s="158">
        <v>500</v>
      </c>
      <c r="E170" s="159">
        <v>20.36</v>
      </c>
      <c r="F170" s="158">
        <v>10180</v>
      </c>
      <c r="G170" s="160" t="s">
        <v>2</v>
      </c>
      <c r="H170" s="1272" t="str">
        <f t="shared" si="5"/>
        <v/>
      </c>
      <c r="I170" s="667">
        <v>162</v>
      </c>
      <c r="J170" t="str">
        <f t="shared" si="4"/>
        <v>1.162</v>
      </c>
      <c r="K170"/>
      <c r="L170"/>
      <c r="M170"/>
    </row>
    <row r="171" spans="1:13" s="4" customFormat="1">
      <c r="A171" s="161" t="s">
        <v>190</v>
      </c>
      <c r="B171" s="8" t="s">
        <v>2049</v>
      </c>
      <c r="C171" s="157" t="s">
        <v>18</v>
      </c>
      <c r="D171" s="158">
        <v>200</v>
      </c>
      <c r="E171" s="159">
        <v>29.62</v>
      </c>
      <c r="F171" s="158">
        <v>5924</v>
      </c>
      <c r="G171" s="160" t="s">
        <v>2</v>
      </c>
      <c r="H171" s="1272" t="str">
        <f t="shared" si="5"/>
        <v/>
      </c>
      <c r="I171" s="667">
        <v>163</v>
      </c>
      <c r="J171" t="str">
        <f t="shared" si="4"/>
        <v>1.163</v>
      </c>
      <c r="K171"/>
      <c r="L171"/>
      <c r="M171"/>
    </row>
    <row r="172" spans="1:13" s="4" customFormat="1" ht="31.5">
      <c r="A172" s="161" t="s">
        <v>191</v>
      </c>
      <c r="B172" s="8" t="s">
        <v>1448</v>
      </c>
      <c r="C172" s="157" t="s">
        <v>18</v>
      </c>
      <c r="D172" s="158">
        <v>10</v>
      </c>
      <c r="E172" s="159">
        <v>257.41000000000003</v>
      </c>
      <c r="F172" s="158">
        <v>2574.1</v>
      </c>
      <c r="G172" s="160" t="s">
        <v>5202</v>
      </c>
      <c r="H172" s="1272" t="str">
        <f t="shared" si="5"/>
        <v xml:space="preserve">分析表141_x000D_
</v>
      </c>
      <c r="I172" s="667">
        <v>164</v>
      </c>
      <c r="J172" t="str">
        <f t="shared" si="4"/>
        <v>1.164</v>
      </c>
      <c r="K172"/>
      <c r="L172"/>
      <c r="M172"/>
    </row>
    <row r="173" spans="1:13" s="4" customFormat="1" ht="31.5">
      <c r="A173" s="161" t="s">
        <v>192</v>
      </c>
      <c r="B173" s="8" t="s">
        <v>1455</v>
      </c>
      <c r="C173" s="157" t="s">
        <v>18</v>
      </c>
      <c r="D173" s="158">
        <v>20</v>
      </c>
      <c r="E173" s="159">
        <v>295.55</v>
      </c>
      <c r="F173" s="158">
        <v>5911</v>
      </c>
      <c r="G173" s="160" t="s">
        <v>5203</v>
      </c>
      <c r="H173" s="1272" t="str">
        <f t="shared" si="5"/>
        <v xml:space="preserve">分析表142_x000D_
</v>
      </c>
      <c r="I173" s="667">
        <v>165</v>
      </c>
      <c r="J173" t="str">
        <f t="shared" si="4"/>
        <v>1.165</v>
      </c>
      <c r="K173"/>
      <c r="L173"/>
      <c r="M173"/>
    </row>
    <row r="174" spans="1:13" s="4" customFormat="1" ht="31.5">
      <c r="A174" s="161" t="s">
        <v>193</v>
      </c>
      <c r="B174" s="8" t="s">
        <v>3122</v>
      </c>
      <c r="C174" s="157" t="s">
        <v>3</v>
      </c>
      <c r="D174" s="158">
        <v>20</v>
      </c>
      <c r="E174" s="159">
        <v>73.12</v>
      </c>
      <c r="F174" s="158">
        <v>1462.4</v>
      </c>
      <c r="G174" s="160" t="s">
        <v>4379</v>
      </c>
      <c r="H174" s="1272" t="str">
        <f t="shared" si="5"/>
        <v>#</v>
      </c>
      <c r="I174" s="667">
        <v>166</v>
      </c>
      <c r="J174" t="str">
        <f t="shared" si="4"/>
        <v>1.166</v>
      </c>
      <c r="K174"/>
      <c r="L174"/>
      <c r="M174"/>
    </row>
    <row r="175" spans="1:13" s="4" customFormat="1" ht="31.5">
      <c r="A175" s="161" t="s">
        <v>194</v>
      </c>
      <c r="B175" s="8" t="s">
        <v>3124</v>
      </c>
      <c r="C175" s="157" t="s">
        <v>3</v>
      </c>
      <c r="D175" s="158">
        <v>20</v>
      </c>
      <c r="E175" s="159">
        <v>81.45</v>
      </c>
      <c r="F175" s="158">
        <v>1629</v>
      </c>
      <c r="G175" s="160" t="s">
        <v>2</v>
      </c>
      <c r="H175" s="1272" t="str">
        <f t="shared" si="5"/>
        <v/>
      </c>
      <c r="I175" s="667">
        <v>167</v>
      </c>
      <c r="J175" t="str">
        <f t="shared" si="4"/>
        <v>1.167</v>
      </c>
      <c r="K175"/>
      <c r="L175"/>
      <c r="M175"/>
    </row>
    <row r="176" spans="1:13" s="4" customFormat="1" ht="31.5">
      <c r="A176" s="161" t="s">
        <v>195</v>
      </c>
      <c r="B176" s="8" t="s">
        <v>1460</v>
      </c>
      <c r="C176" s="157" t="s">
        <v>3</v>
      </c>
      <c r="D176" s="158">
        <v>5</v>
      </c>
      <c r="E176" s="159">
        <v>804.29</v>
      </c>
      <c r="F176" s="158">
        <v>4021.45</v>
      </c>
      <c r="G176" s="160" t="s">
        <v>5204</v>
      </c>
      <c r="H176" s="1272" t="str">
        <f t="shared" si="5"/>
        <v xml:space="preserve">分析表143_x000D_
</v>
      </c>
      <c r="I176" s="667">
        <v>168</v>
      </c>
      <c r="J176" t="str">
        <f t="shared" si="4"/>
        <v>1.168</v>
      </c>
      <c r="K176"/>
      <c r="L176"/>
      <c r="M176"/>
    </row>
    <row r="177" spans="1:13" s="4" customFormat="1" ht="31.5">
      <c r="A177" s="161" t="s">
        <v>196</v>
      </c>
      <c r="B177" s="8" t="s">
        <v>1469</v>
      </c>
      <c r="C177" s="157" t="s">
        <v>3</v>
      </c>
      <c r="D177" s="158">
        <v>5</v>
      </c>
      <c r="E177" s="159">
        <v>1403.17</v>
      </c>
      <c r="F177" s="158">
        <v>7015.85</v>
      </c>
      <c r="G177" s="160" t="s">
        <v>5205</v>
      </c>
      <c r="H177" s="1272" t="str">
        <f t="shared" si="5"/>
        <v xml:space="preserve">分析表144_x000D_
</v>
      </c>
      <c r="I177" s="667">
        <v>169</v>
      </c>
      <c r="J177" t="str">
        <f t="shared" si="4"/>
        <v>1.169</v>
      </c>
      <c r="K177"/>
      <c r="L177"/>
      <c r="M177"/>
    </row>
    <row r="178" spans="1:13" s="4" customFormat="1" ht="31.5">
      <c r="A178" s="161" t="s">
        <v>197</v>
      </c>
      <c r="B178" s="8" t="s">
        <v>1472</v>
      </c>
      <c r="C178" s="157" t="s">
        <v>4563</v>
      </c>
      <c r="D178" s="158">
        <v>5</v>
      </c>
      <c r="E178" s="159">
        <v>246.92</v>
      </c>
      <c r="F178" s="158">
        <v>1234.5999999999999</v>
      </c>
      <c r="G178" s="160" t="s">
        <v>5189</v>
      </c>
      <c r="H178" s="1272" t="str">
        <f t="shared" si="5"/>
        <v xml:space="preserve">分析表128_x000D_
</v>
      </c>
      <c r="I178" s="667">
        <v>170</v>
      </c>
      <c r="J178" t="str">
        <f t="shared" si="4"/>
        <v>1.170</v>
      </c>
      <c r="K178"/>
      <c r="L178"/>
      <c r="M178"/>
    </row>
    <row r="179" spans="1:13" s="4" customFormat="1" ht="31.5">
      <c r="A179" s="161" t="s">
        <v>198</v>
      </c>
      <c r="B179" s="8" t="s">
        <v>2817</v>
      </c>
      <c r="C179" s="157" t="s">
        <v>2335</v>
      </c>
      <c r="D179" s="158">
        <v>10</v>
      </c>
      <c r="E179" s="159">
        <v>37.020000000000003</v>
      </c>
      <c r="F179" s="158">
        <v>370.2</v>
      </c>
      <c r="G179" s="160" t="s">
        <v>2</v>
      </c>
      <c r="H179" s="1272" t="str">
        <f t="shared" si="5"/>
        <v/>
      </c>
      <c r="I179" s="667">
        <v>171</v>
      </c>
      <c r="J179" t="str">
        <f t="shared" si="4"/>
        <v>1.171</v>
      </c>
      <c r="K179"/>
      <c r="L179"/>
      <c r="M179"/>
    </row>
    <row r="180" spans="1:13" s="4" customFormat="1" ht="31.5">
      <c r="A180" s="161" t="s">
        <v>199</v>
      </c>
      <c r="B180" s="8" t="s">
        <v>3130</v>
      </c>
      <c r="C180" s="157" t="s">
        <v>2335</v>
      </c>
      <c r="D180" s="158">
        <v>10</v>
      </c>
      <c r="E180" s="159">
        <v>48.13</v>
      </c>
      <c r="F180" s="158">
        <v>481.3</v>
      </c>
      <c r="G180" s="160" t="s">
        <v>2</v>
      </c>
      <c r="H180" s="1272" t="str">
        <f t="shared" si="5"/>
        <v/>
      </c>
      <c r="I180" s="667">
        <v>172</v>
      </c>
      <c r="J180" t="str">
        <f t="shared" si="4"/>
        <v>1.172</v>
      </c>
      <c r="K180"/>
      <c r="L180"/>
      <c r="M180"/>
    </row>
    <row r="181" spans="1:13" s="4" customFormat="1" ht="31.5">
      <c r="A181" s="161" t="s">
        <v>200</v>
      </c>
      <c r="B181" s="8" t="s">
        <v>3132</v>
      </c>
      <c r="C181" s="157" t="s">
        <v>2335</v>
      </c>
      <c r="D181" s="158">
        <v>10</v>
      </c>
      <c r="E181" s="159">
        <v>87.93</v>
      </c>
      <c r="F181" s="158">
        <v>879.3</v>
      </c>
      <c r="G181" s="160" t="s">
        <v>2</v>
      </c>
      <c r="H181" s="1272" t="str">
        <f t="shared" si="5"/>
        <v/>
      </c>
      <c r="I181" s="667">
        <v>173</v>
      </c>
      <c r="J181" t="str">
        <f t="shared" si="4"/>
        <v>1.173</v>
      </c>
      <c r="K181"/>
      <c r="L181"/>
      <c r="M181"/>
    </row>
    <row r="182" spans="1:13" s="4" customFormat="1" ht="31.5">
      <c r="A182" s="161" t="s">
        <v>201</v>
      </c>
      <c r="B182" s="8" t="s">
        <v>3134</v>
      </c>
      <c r="C182" s="157" t="s">
        <v>2335</v>
      </c>
      <c r="D182" s="158">
        <v>10</v>
      </c>
      <c r="E182" s="159">
        <v>171.24</v>
      </c>
      <c r="F182" s="158">
        <v>1712.4</v>
      </c>
      <c r="G182" s="160" t="s">
        <v>2</v>
      </c>
      <c r="H182" s="1272" t="str">
        <f t="shared" si="5"/>
        <v/>
      </c>
      <c r="I182" s="667">
        <v>174</v>
      </c>
      <c r="J182" t="str">
        <f t="shared" si="4"/>
        <v>1.174</v>
      </c>
      <c r="K182"/>
      <c r="L182"/>
      <c r="M182"/>
    </row>
    <row r="183" spans="1:13" s="4" customFormat="1" ht="31.5">
      <c r="A183" s="161" t="s">
        <v>202</v>
      </c>
      <c r="B183" s="8" t="s">
        <v>3136</v>
      </c>
      <c r="C183" s="157" t="s">
        <v>2335</v>
      </c>
      <c r="D183" s="158">
        <v>10</v>
      </c>
      <c r="E183" s="159">
        <v>273.05</v>
      </c>
      <c r="F183" s="158">
        <v>2730.5</v>
      </c>
      <c r="G183" s="160" t="s">
        <v>2</v>
      </c>
      <c r="H183" s="1272" t="str">
        <f t="shared" si="5"/>
        <v/>
      </c>
      <c r="I183" s="667">
        <v>175</v>
      </c>
      <c r="J183" t="str">
        <f t="shared" si="4"/>
        <v>1.175</v>
      </c>
      <c r="K183"/>
      <c r="L183"/>
      <c r="M183"/>
    </row>
    <row r="184" spans="1:13" s="4" customFormat="1" ht="31.5">
      <c r="A184" s="161" t="s">
        <v>203</v>
      </c>
      <c r="B184" s="8" t="s">
        <v>3138</v>
      </c>
      <c r="C184" s="157" t="s">
        <v>2335</v>
      </c>
      <c r="D184" s="158">
        <v>10</v>
      </c>
      <c r="E184" s="159">
        <v>402.64</v>
      </c>
      <c r="F184" s="158">
        <v>4026.4</v>
      </c>
      <c r="G184" s="160" t="s">
        <v>2</v>
      </c>
      <c r="H184" s="1272" t="str">
        <f t="shared" si="5"/>
        <v/>
      </c>
      <c r="I184" s="667">
        <v>176</v>
      </c>
      <c r="J184" t="str">
        <f t="shared" si="4"/>
        <v>1.176</v>
      </c>
      <c r="K184"/>
      <c r="L184"/>
      <c r="M184"/>
    </row>
    <row r="185" spans="1:13" s="4" customFormat="1" ht="78.75">
      <c r="A185" s="161" t="s">
        <v>204</v>
      </c>
      <c r="B185" s="8" t="s">
        <v>1475</v>
      </c>
      <c r="C185" s="157" t="s">
        <v>17</v>
      </c>
      <c r="D185" s="158">
        <v>5</v>
      </c>
      <c r="E185" s="159">
        <v>1457.4</v>
      </c>
      <c r="F185" s="158">
        <v>7287</v>
      </c>
      <c r="G185" s="160" t="s">
        <v>5206</v>
      </c>
      <c r="H185" s="1272" t="str">
        <f t="shared" si="5"/>
        <v>分析表145_x000D_
本項零星工料包含鋼筋籠外側所需之間隔片費用</v>
      </c>
      <c r="I185" s="667">
        <v>177</v>
      </c>
      <c r="J185" t="str">
        <f t="shared" si="4"/>
        <v>1.177</v>
      </c>
      <c r="K185"/>
      <c r="L185"/>
      <c r="M185"/>
    </row>
    <row r="186" spans="1:13" s="4" customFormat="1" ht="78.75">
      <c r="A186" s="161" t="s">
        <v>205</v>
      </c>
      <c r="B186" s="8" t="s">
        <v>1484</v>
      </c>
      <c r="C186" s="157" t="s">
        <v>17</v>
      </c>
      <c r="D186" s="158">
        <v>5</v>
      </c>
      <c r="E186" s="159">
        <v>1787.01</v>
      </c>
      <c r="F186" s="158">
        <v>8935.0499999999993</v>
      </c>
      <c r="G186" s="160" t="s">
        <v>5207</v>
      </c>
      <c r="H186" s="1272" t="str">
        <f t="shared" si="5"/>
        <v>分析表146_x000D_
本項零星工料包含鋼筋籠外側所需之間隔片費用</v>
      </c>
      <c r="I186" s="667">
        <v>178</v>
      </c>
      <c r="J186" t="str">
        <f t="shared" si="4"/>
        <v>1.178</v>
      </c>
      <c r="K186"/>
      <c r="L186"/>
      <c r="M186"/>
    </row>
    <row r="187" spans="1:13" s="4" customFormat="1" ht="78.75">
      <c r="A187" s="161" t="s">
        <v>206</v>
      </c>
      <c r="B187" s="8" t="s">
        <v>1489</v>
      </c>
      <c r="C187" s="157" t="s">
        <v>17</v>
      </c>
      <c r="D187" s="158">
        <v>5</v>
      </c>
      <c r="E187" s="159">
        <v>2084.6999999999998</v>
      </c>
      <c r="F187" s="158">
        <v>10423.5</v>
      </c>
      <c r="G187" s="160" t="s">
        <v>5208</v>
      </c>
      <c r="H187" s="1272" t="str">
        <f t="shared" si="5"/>
        <v>分析表147_x000D_
本項零星工料包含鋼筋籠外側所需之間隔片費用</v>
      </c>
      <c r="I187" s="667">
        <v>179</v>
      </c>
      <c r="J187" t="str">
        <f t="shared" si="4"/>
        <v>1.179</v>
      </c>
      <c r="K187"/>
      <c r="L187"/>
      <c r="M187"/>
    </row>
    <row r="188" spans="1:13" s="4" customFormat="1" ht="63">
      <c r="A188" s="161" t="s">
        <v>207</v>
      </c>
      <c r="B188" s="8" t="s">
        <v>1494</v>
      </c>
      <c r="C188" s="157" t="s">
        <v>17</v>
      </c>
      <c r="D188" s="158">
        <v>10</v>
      </c>
      <c r="E188" s="159">
        <v>1413.2</v>
      </c>
      <c r="F188" s="158">
        <v>14132</v>
      </c>
      <c r="G188" s="160" t="s">
        <v>5209</v>
      </c>
      <c r="H188" s="1272" t="str">
        <f t="shared" si="5"/>
        <v xml:space="preserve">分析表148_x000D_
</v>
      </c>
      <c r="I188" s="667">
        <v>180</v>
      </c>
      <c r="J188" t="str">
        <f t="shared" si="4"/>
        <v>1.180</v>
      </c>
      <c r="K188"/>
      <c r="L188"/>
      <c r="M188"/>
    </row>
    <row r="189" spans="1:13" s="4" customFormat="1" ht="63">
      <c r="A189" s="161" t="s">
        <v>208</v>
      </c>
      <c r="B189" s="8" t="s">
        <v>1508</v>
      </c>
      <c r="C189" s="157" t="s">
        <v>17</v>
      </c>
      <c r="D189" s="158">
        <v>10</v>
      </c>
      <c r="E189" s="159">
        <v>1132.81</v>
      </c>
      <c r="F189" s="158">
        <v>11328.1</v>
      </c>
      <c r="G189" s="160" t="s">
        <v>5210</v>
      </c>
      <c r="H189" s="1272" t="str">
        <f t="shared" si="5"/>
        <v xml:space="preserve">分析表149_x000D_
</v>
      </c>
      <c r="I189" s="667">
        <v>181</v>
      </c>
      <c r="J189" t="str">
        <f t="shared" si="4"/>
        <v>1.181</v>
      </c>
      <c r="K189"/>
      <c r="L189"/>
      <c r="M189"/>
    </row>
    <row r="190" spans="1:13" s="4" customFormat="1" ht="63">
      <c r="A190" s="161" t="s">
        <v>209</v>
      </c>
      <c r="B190" s="8" t="s">
        <v>1513</v>
      </c>
      <c r="C190" s="157" t="s">
        <v>17</v>
      </c>
      <c r="D190" s="158">
        <v>20</v>
      </c>
      <c r="E190" s="159">
        <v>857.52</v>
      </c>
      <c r="F190" s="158">
        <v>17150.400000000001</v>
      </c>
      <c r="G190" s="160" t="s">
        <v>5211</v>
      </c>
      <c r="H190" s="1272" t="str">
        <f t="shared" si="5"/>
        <v xml:space="preserve">分析表150_x000D_
</v>
      </c>
      <c r="I190" s="667">
        <v>182</v>
      </c>
      <c r="J190" t="str">
        <f t="shared" si="4"/>
        <v>1.182</v>
      </c>
      <c r="K190"/>
      <c r="L190"/>
      <c r="M190"/>
    </row>
    <row r="191" spans="1:13" s="4" customFormat="1" ht="31.5">
      <c r="A191" s="161" t="s">
        <v>210</v>
      </c>
      <c r="B191" s="8" t="s">
        <v>1518</v>
      </c>
      <c r="C191" s="157" t="s">
        <v>17</v>
      </c>
      <c r="D191" s="158">
        <v>5</v>
      </c>
      <c r="E191" s="159">
        <v>2860.1</v>
      </c>
      <c r="F191" s="158">
        <v>14300.5</v>
      </c>
      <c r="G191" s="160" t="s">
        <v>5212</v>
      </c>
      <c r="H191" s="1272" t="str">
        <f t="shared" si="5"/>
        <v xml:space="preserve">分析表151_x000D_
</v>
      </c>
      <c r="I191" s="667">
        <v>183</v>
      </c>
      <c r="J191" t="str">
        <f t="shared" si="4"/>
        <v>1.183</v>
      </c>
      <c r="K191"/>
      <c r="L191"/>
      <c r="M191"/>
    </row>
    <row r="192" spans="1:13" s="4" customFormat="1" ht="47.25">
      <c r="A192" s="161" t="s">
        <v>211</v>
      </c>
      <c r="B192" s="8" t="s">
        <v>1525</v>
      </c>
      <c r="C192" s="157" t="s">
        <v>3</v>
      </c>
      <c r="D192" s="158">
        <v>5</v>
      </c>
      <c r="E192" s="159">
        <v>589.29999999999995</v>
      </c>
      <c r="F192" s="158">
        <v>2946.5</v>
      </c>
      <c r="G192" s="160" t="s">
        <v>5213</v>
      </c>
      <c r="H192" s="1272" t="str">
        <f t="shared" si="5"/>
        <v xml:space="preserve">分析表152_x000D_
</v>
      </c>
      <c r="I192" s="667">
        <v>184</v>
      </c>
      <c r="J192" t="str">
        <f t="shared" si="4"/>
        <v>1.184</v>
      </c>
      <c r="K192"/>
      <c r="L192"/>
      <c r="M192"/>
    </row>
    <row r="193" spans="1:13" s="4" customFormat="1" ht="47.25">
      <c r="A193" s="161" t="s">
        <v>212</v>
      </c>
      <c r="B193" s="8" t="s">
        <v>1533</v>
      </c>
      <c r="C193" s="157" t="s">
        <v>17</v>
      </c>
      <c r="D193" s="158">
        <v>10</v>
      </c>
      <c r="E193" s="159">
        <v>2178.44</v>
      </c>
      <c r="F193" s="158">
        <v>21784.400000000001</v>
      </c>
      <c r="G193" s="160" t="s">
        <v>5214</v>
      </c>
      <c r="H193" s="1272" t="str">
        <f t="shared" si="5"/>
        <v>分析表153_x000D_
每M2.5片</v>
      </c>
      <c r="I193" s="667">
        <v>185</v>
      </c>
      <c r="J193" t="str">
        <f t="shared" si="4"/>
        <v>1.185</v>
      </c>
      <c r="K193"/>
      <c r="L193"/>
      <c r="M193"/>
    </row>
    <row r="194" spans="1:13" s="4" customFormat="1" ht="47.25">
      <c r="A194" s="161" t="s">
        <v>213</v>
      </c>
      <c r="B194" s="8" t="s">
        <v>1543</v>
      </c>
      <c r="C194" s="157" t="s">
        <v>17</v>
      </c>
      <c r="D194" s="158">
        <v>10</v>
      </c>
      <c r="E194" s="159">
        <v>2421.54</v>
      </c>
      <c r="F194" s="158">
        <v>24215.4</v>
      </c>
      <c r="G194" s="160" t="s">
        <v>5215</v>
      </c>
      <c r="H194" s="1272" t="str">
        <f t="shared" si="5"/>
        <v>分析表154_x000D_
每M2.5片</v>
      </c>
      <c r="I194" s="667">
        <v>186</v>
      </c>
      <c r="J194" t="str">
        <f t="shared" ref="J194:J257" si="6">A194</f>
        <v>1.186</v>
      </c>
      <c r="K194"/>
      <c r="L194"/>
      <c r="M194"/>
    </row>
    <row r="195" spans="1:13" s="4" customFormat="1" ht="47.25">
      <c r="A195" s="161" t="s">
        <v>214</v>
      </c>
      <c r="B195" s="8" t="s">
        <v>1550</v>
      </c>
      <c r="C195" s="157" t="s">
        <v>17</v>
      </c>
      <c r="D195" s="158">
        <v>10</v>
      </c>
      <c r="E195" s="159">
        <v>2576.48</v>
      </c>
      <c r="F195" s="158">
        <v>25764.799999999999</v>
      </c>
      <c r="G195" s="160" t="s">
        <v>5216</v>
      </c>
      <c r="H195" s="1272" t="str">
        <f t="shared" si="5"/>
        <v xml:space="preserve">分析表155_x000D_
</v>
      </c>
      <c r="I195" s="667">
        <v>187</v>
      </c>
      <c r="J195" t="str">
        <f t="shared" si="6"/>
        <v>1.187</v>
      </c>
      <c r="K195"/>
      <c r="L195"/>
      <c r="M195"/>
    </row>
    <row r="196" spans="1:13" s="4" customFormat="1" ht="47.25">
      <c r="A196" s="161" t="s">
        <v>215</v>
      </c>
      <c r="B196" s="8" t="s">
        <v>1557</v>
      </c>
      <c r="C196" s="157" t="s">
        <v>17</v>
      </c>
      <c r="D196" s="158">
        <v>10</v>
      </c>
      <c r="E196" s="159">
        <v>3622.81</v>
      </c>
      <c r="F196" s="158">
        <v>36228.1</v>
      </c>
      <c r="G196" s="160" t="s">
        <v>5217</v>
      </c>
      <c r="H196" s="1272" t="str">
        <f t="shared" si="5"/>
        <v xml:space="preserve">分析表156_x000D_
</v>
      </c>
      <c r="I196" s="667">
        <v>188</v>
      </c>
      <c r="J196" t="str">
        <f t="shared" si="6"/>
        <v>1.188</v>
      </c>
      <c r="K196"/>
      <c r="L196"/>
      <c r="M196"/>
    </row>
    <row r="197" spans="1:13" s="4" customFormat="1" ht="47.25">
      <c r="A197" s="161" t="s">
        <v>216</v>
      </c>
      <c r="B197" s="8" t="s">
        <v>1564</v>
      </c>
      <c r="C197" s="157" t="s">
        <v>17</v>
      </c>
      <c r="D197" s="158">
        <v>10</v>
      </c>
      <c r="E197" s="159">
        <v>5298.36</v>
      </c>
      <c r="F197" s="158">
        <v>52983.6</v>
      </c>
      <c r="G197" s="160" t="s">
        <v>5218</v>
      </c>
      <c r="H197" s="1272" t="str">
        <f t="shared" si="5"/>
        <v xml:space="preserve">分析表157_x000D_
</v>
      </c>
      <c r="I197" s="667">
        <v>189</v>
      </c>
      <c r="J197" t="str">
        <f t="shared" si="6"/>
        <v>1.189</v>
      </c>
      <c r="K197"/>
      <c r="L197"/>
      <c r="M197"/>
    </row>
    <row r="198" spans="1:13" s="4" customFormat="1" ht="47.25">
      <c r="A198" s="161" t="s">
        <v>217</v>
      </c>
      <c r="B198" s="8" t="s">
        <v>1571</v>
      </c>
      <c r="C198" s="157" t="s">
        <v>17</v>
      </c>
      <c r="D198" s="158">
        <v>10</v>
      </c>
      <c r="E198" s="159">
        <v>8306.2199999999993</v>
      </c>
      <c r="F198" s="158">
        <v>83062.2</v>
      </c>
      <c r="G198" s="160" t="s">
        <v>5219</v>
      </c>
      <c r="H198" s="1272" t="str">
        <f t="shared" si="5"/>
        <v xml:space="preserve">分析表158_x000D_
</v>
      </c>
      <c r="I198" s="667">
        <v>190</v>
      </c>
      <c r="J198" t="str">
        <f t="shared" si="6"/>
        <v>1.190</v>
      </c>
      <c r="K198"/>
      <c r="L198"/>
      <c r="M198"/>
    </row>
    <row r="199" spans="1:13" s="4" customFormat="1" ht="31.5">
      <c r="A199" s="161" t="s">
        <v>218</v>
      </c>
      <c r="B199" s="8" t="s">
        <v>1578</v>
      </c>
      <c r="C199" s="157" t="s">
        <v>17</v>
      </c>
      <c r="D199" s="158">
        <v>10</v>
      </c>
      <c r="E199" s="159">
        <v>157.31</v>
      </c>
      <c r="F199" s="158">
        <v>1573.1</v>
      </c>
      <c r="G199" s="160" t="s">
        <v>5220</v>
      </c>
      <c r="H199" s="1272" t="str">
        <f t="shared" si="5"/>
        <v>分析表159_x000D_
租用</v>
      </c>
      <c r="I199" s="667">
        <v>191</v>
      </c>
      <c r="J199" t="str">
        <f t="shared" si="6"/>
        <v>1.191</v>
      </c>
      <c r="K199"/>
      <c r="L199"/>
      <c r="M199"/>
    </row>
    <row r="200" spans="1:13" s="4" customFormat="1" ht="31.5">
      <c r="A200" s="161" t="s">
        <v>219</v>
      </c>
      <c r="B200" s="8" t="s">
        <v>1585</v>
      </c>
      <c r="C200" s="157" t="s">
        <v>17</v>
      </c>
      <c r="D200" s="158">
        <v>10</v>
      </c>
      <c r="E200" s="159">
        <v>228.8</v>
      </c>
      <c r="F200" s="158">
        <v>2288</v>
      </c>
      <c r="G200" s="160" t="s">
        <v>5221</v>
      </c>
      <c r="H200" s="1272" t="str">
        <f t="shared" si="5"/>
        <v>分析表160_x000D_
租用</v>
      </c>
      <c r="I200" s="667">
        <v>192</v>
      </c>
      <c r="J200" t="str">
        <f t="shared" si="6"/>
        <v>1.192</v>
      </c>
      <c r="K200"/>
      <c r="L200"/>
      <c r="M200"/>
    </row>
    <row r="201" spans="1:13" s="4" customFormat="1" ht="31.5">
      <c r="A201" s="161" t="s">
        <v>220</v>
      </c>
      <c r="B201" s="8" t="s">
        <v>1592</v>
      </c>
      <c r="C201" s="157" t="s">
        <v>17</v>
      </c>
      <c r="D201" s="158">
        <v>10</v>
      </c>
      <c r="E201" s="159">
        <v>810.36</v>
      </c>
      <c r="F201" s="158">
        <v>8103.6</v>
      </c>
      <c r="G201" s="160" t="s">
        <v>5222</v>
      </c>
      <c r="H201" s="1272" t="str">
        <f t="shared" si="5"/>
        <v xml:space="preserve">分析表161_x000D_
</v>
      </c>
      <c r="I201" s="667">
        <v>193</v>
      </c>
      <c r="J201" t="str">
        <f t="shared" si="6"/>
        <v>1.193</v>
      </c>
      <c r="K201"/>
      <c r="L201"/>
      <c r="M201"/>
    </row>
    <row r="202" spans="1:13" s="4" customFormat="1" ht="31.5">
      <c r="A202" s="161" t="s">
        <v>221</v>
      </c>
      <c r="B202" s="8" t="s">
        <v>1599</v>
      </c>
      <c r="C202" s="157" t="s">
        <v>17</v>
      </c>
      <c r="D202" s="158">
        <v>10</v>
      </c>
      <c r="E202" s="159">
        <v>1110.67</v>
      </c>
      <c r="F202" s="158">
        <v>11106.7</v>
      </c>
      <c r="G202" s="160" t="s">
        <v>5223</v>
      </c>
      <c r="H202" s="1272" t="str">
        <f t="shared" si="5"/>
        <v xml:space="preserve">分析表162_x000D_
</v>
      </c>
      <c r="I202" s="667">
        <v>194</v>
      </c>
      <c r="J202" t="str">
        <f t="shared" si="6"/>
        <v>1.194</v>
      </c>
      <c r="K202"/>
      <c r="L202"/>
      <c r="M202"/>
    </row>
    <row r="203" spans="1:13" s="4" customFormat="1" ht="31.5">
      <c r="A203" s="161" t="s">
        <v>222</v>
      </c>
      <c r="B203" s="8" t="s">
        <v>1606</v>
      </c>
      <c r="C203" s="157" t="s">
        <v>17</v>
      </c>
      <c r="D203" s="158">
        <v>10</v>
      </c>
      <c r="E203" s="159">
        <v>344.8</v>
      </c>
      <c r="F203" s="158">
        <v>3448</v>
      </c>
      <c r="G203" s="160" t="s">
        <v>5224</v>
      </c>
      <c r="H203" s="1272" t="str">
        <f t="shared" ref="H203:H266" si="7">G203</f>
        <v>分析表163_x000D_
含運費</v>
      </c>
      <c r="I203" s="667">
        <v>195</v>
      </c>
      <c r="J203" t="str">
        <f t="shared" si="6"/>
        <v>1.195</v>
      </c>
      <c r="K203"/>
      <c r="L203"/>
      <c r="M203"/>
    </row>
    <row r="204" spans="1:13" s="4" customFormat="1" ht="31.5">
      <c r="A204" s="161" t="s">
        <v>223</v>
      </c>
      <c r="B204" s="8" t="s">
        <v>1613</v>
      </c>
      <c r="C204" s="157" t="s">
        <v>17</v>
      </c>
      <c r="D204" s="158">
        <v>10</v>
      </c>
      <c r="E204" s="159">
        <v>1231.43</v>
      </c>
      <c r="F204" s="158">
        <v>12314.3</v>
      </c>
      <c r="G204" s="160" t="s">
        <v>5225</v>
      </c>
      <c r="H204" s="1272" t="str">
        <f t="shared" si="7"/>
        <v xml:space="preserve">分析表164_x000D_
</v>
      </c>
      <c r="I204" s="667">
        <v>196</v>
      </c>
      <c r="J204" t="str">
        <f t="shared" si="6"/>
        <v>1.196</v>
      </c>
      <c r="K204"/>
      <c r="L204"/>
      <c r="M204"/>
    </row>
    <row r="205" spans="1:13" s="4" customFormat="1" ht="31.5">
      <c r="A205" s="161" t="s">
        <v>224</v>
      </c>
      <c r="B205" s="8" t="s">
        <v>1620</v>
      </c>
      <c r="C205" s="157" t="s">
        <v>17</v>
      </c>
      <c r="D205" s="158">
        <v>10</v>
      </c>
      <c r="E205" s="159">
        <v>152.54</v>
      </c>
      <c r="F205" s="158">
        <v>1525.4</v>
      </c>
      <c r="G205" s="160" t="s">
        <v>5226</v>
      </c>
      <c r="H205" s="1272" t="str">
        <f t="shared" si="7"/>
        <v xml:space="preserve">分析表165_x000D_
</v>
      </c>
      <c r="I205" s="667">
        <v>197</v>
      </c>
      <c r="J205" t="str">
        <f t="shared" si="6"/>
        <v>1.197</v>
      </c>
      <c r="K205"/>
      <c r="L205"/>
      <c r="M205"/>
    </row>
    <row r="206" spans="1:13" s="4" customFormat="1" ht="31.5">
      <c r="A206" s="161" t="s">
        <v>225</v>
      </c>
      <c r="B206" s="8" t="s">
        <v>1625</v>
      </c>
      <c r="C206" s="157" t="s">
        <v>17</v>
      </c>
      <c r="D206" s="158">
        <v>10</v>
      </c>
      <c r="E206" s="159">
        <v>219.28</v>
      </c>
      <c r="F206" s="158">
        <v>2192.8000000000002</v>
      </c>
      <c r="G206" s="160" t="s">
        <v>5227</v>
      </c>
      <c r="H206" s="1272" t="str">
        <f t="shared" si="7"/>
        <v xml:space="preserve">分析表166_x000D_
</v>
      </c>
      <c r="I206" s="667">
        <v>198</v>
      </c>
      <c r="J206" t="str">
        <f t="shared" si="6"/>
        <v>1.198</v>
      </c>
      <c r="K206"/>
      <c r="L206"/>
      <c r="M206"/>
    </row>
    <row r="207" spans="1:13" s="4" customFormat="1" ht="31.5">
      <c r="A207" s="161" t="s">
        <v>226</v>
      </c>
      <c r="B207" s="8" t="s">
        <v>1630</v>
      </c>
      <c r="C207" s="157" t="s">
        <v>17</v>
      </c>
      <c r="D207" s="158">
        <v>10</v>
      </c>
      <c r="E207" s="159">
        <v>311.44</v>
      </c>
      <c r="F207" s="158">
        <v>3114.4</v>
      </c>
      <c r="G207" s="160" t="s">
        <v>5228</v>
      </c>
      <c r="H207" s="1272" t="str">
        <f t="shared" si="7"/>
        <v xml:space="preserve">分析表167_x000D_
</v>
      </c>
      <c r="I207" s="667">
        <v>199</v>
      </c>
      <c r="J207" t="str">
        <f t="shared" si="6"/>
        <v>1.199</v>
      </c>
      <c r="K207"/>
      <c r="L207"/>
      <c r="M207"/>
    </row>
    <row r="208" spans="1:13" s="4" customFormat="1" ht="31.5">
      <c r="A208" s="161" t="s">
        <v>227</v>
      </c>
      <c r="B208" s="8" t="s">
        <v>1635</v>
      </c>
      <c r="C208" s="157" t="s">
        <v>3</v>
      </c>
      <c r="D208" s="158">
        <v>10</v>
      </c>
      <c r="E208" s="159">
        <v>314.57</v>
      </c>
      <c r="F208" s="158">
        <v>3145.7</v>
      </c>
      <c r="G208" s="160" t="s">
        <v>5229</v>
      </c>
      <c r="H208" s="1272" t="str">
        <f t="shared" si="7"/>
        <v xml:space="preserve">分析表168_x000D_
</v>
      </c>
      <c r="I208" s="667">
        <v>200</v>
      </c>
      <c r="J208" t="str">
        <f t="shared" si="6"/>
        <v>1.200</v>
      </c>
      <c r="K208"/>
      <c r="L208"/>
      <c r="M208"/>
    </row>
    <row r="209" spans="1:13" s="4" customFormat="1" ht="31.5">
      <c r="A209" s="161" t="s">
        <v>228</v>
      </c>
      <c r="B209" s="8" t="s">
        <v>1641</v>
      </c>
      <c r="C209" s="157" t="s">
        <v>3</v>
      </c>
      <c r="D209" s="158">
        <v>10</v>
      </c>
      <c r="E209" s="159">
        <v>473.85</v>
      </c>
      <c r="F209" s="158">
        <v>4738.5</v>
      </c>
      <c r="G209" s="160" t="s">
        <v>5230</v>
      </c>
      <c r="H209" s="1272" t="str">
        <f t="shared" si="7"/>
        <v xml:space="preserve">分析表169_x000D_
</v>
      </c>
      <c r="I209" s="667">
        <v>201</v>
      </c>
      <c r="J209" t="str">
        <f t="shared" si="6"/>
        <v>1.201</v>
      </c>
      <c r="K209"/>
      <c r="L209"/>
      <c r="M209"/>
    </row>
    <row r="210" spans="1:13" s="4" customFormat="1" ht="31.5">
      <c r="A210" s="161" t="s">
        <v>229</v>
      </c>
      <c r="B210" s="8" t="s">
        <v>1647</v>
      </c>
      <c r="C210" s="157" t="s">
        <v>3</v>
      </c>
      <c r="D210" s="158">
        <v>10</v>
      </c>
      <c r="E210" s="159">
        <v>447.6</v>
      </c>
      <c r="F210" s="158">
        <v>4476</v>
      </c>
      <c r="G210" s="160" t="s">
        <v>5231</v>
      </c>
      <c r="H210" s="1272" t="str">
        <f t="shared" si="7"/>
        <v xml:space="preserve">分析表170_x000D_
</v>
      </c>
      <c r="I210" s="667">
        <v>202</v>
      </c>
      <c r="J210" t="str">
        <f t="shared" si="6"/>
        <v>1.202</v>
      </c>
      <c r="K210"/>
      <c r="L210"/>
      <c r="M210"/>
    </row>
    <row r="211" spans="1:13" s="4" customFormat="1" ht="47.25">
      <c r="A211" s="161" t="s">
        <v>230</v>
      </c>
      <c r="B211" s="8" t="s">
        <v>1651</v>
      </c>
      <c r="C211" s="157" t="s">
        <v>3</v>
      </c>
      <c r="D211" s="158">
        <v>10</v>
      </c>
      <c r="E211" s="159">
        <v>98.13</v>
      </c>
      <c r="F211" s="158">
        <v>981.3</v>
      </c>
      <c r="G211" s="160" t="s">
        <v>5232</v>
      </c>
      <c r="H211" s="1272" t="str">
        <f t="shared" si="7"/>
        <v>分析表171_x000D_
(適用施作面積200M2以上)</v>
      </c>
      <c r="I211" s="667">
        <v>203</v>
      </c>
      <c r="J211" t="str">
        <f t="shared" si="6"/>
        <v>1.203</v>
      </c>
      <c r="K211"/>
      <c r="L211"/>
      <c r="M211"/>
    </row>
    <row r="212" spans="1:13" s="4" customFormat="1" ht="31.5">
      <c r="A212" s="161" t="s">
        <v>231</v>
      </c>
      <c r="B212" s="8" t="s">
        <v>1643</v>
      </c>
      <c r="C212" s="157" t="s">
        <v>0</v>
      </c>
      <c r="D212" s="158">
        <v>10</v>
      </c>
      <c r="E212" s="159">
        <v>4757.01</v>
      </c>
      <c r="F212" s="158">
        <v>47570.1</v>
      </c>
      <c r="G212" s="160" t="s">
        <v>5233</v>
      </c>
      <c r="H212" s="1272" t="str">
        <f t="shared" si="7"/>
        <v xml:space="preserve">分析表172_x000D_
</v>
      </c>
      <c r="I212" s="667">
        <v>204</v>
      </c>
      <c r="J212" t="str">
        <f t="shared" si="6"/>
        <v>1.204</v>
      </c>
      <c r="K212"/>
      <c r="L212"/>
      <c r="M212"/>
    </row>
    <row r="213" spans="1:13" s="4" customFormat="1" ht="31.5">
      <c r="A213" s="161" t="s">
        <v>232</v>
      </c>
      <c r="B213" s="8" t="s">
        <v>1649</v>
      </c>
      <c r="C213" s="157" t="s">
        <v>0</v>
      </c>
      <c r="D213" s="158">
        <v>10</v>
      </c>
      <c r="E213" s="159">
        <v>3482.33</v>
      </c>
      <c r="F213" s="158">
        <v>34823.300000000003</v>
      </c>
      <c r="G213" s="160" t="s">
        <v>5234</v>
      </c>
      <c r="H213" s="1272" t="str">
        <f t="shared" si="7"/>
        <v xml:space="preserve">分析表173_x000D_
</v>
      </c>
      <c r="I213" s="667">
        <v>205</v>
      </c>
      <c r="J213" t="str">
        <f t="shared" si="6"/>
        <v>1.205</v>
      </c>
      <c r="K213"/>
      <c r="L213"/>
      <c r="M213"/>
    </row>
    <row r="214" spans="1:13" s="4" customFormat="1" ht="31.5">
      <c r="A214" s="161" t="s">
        <v>233</v>
      </c>
      <c r="B214" s="8" t="s">
        <v>1637</v>
      </c>
      <c r="C214" s="157" t="s">
        <v>0</v>
      </c>
      <c r="D214" s="158">
        <v>10</v>
      </c>
      <c r="E214" s="159">
        <v>3304.6</v>
      </c>
      <c r="F214" s="158">
        <v>33046</v>
      </c>
      <c r="G214" s="160" t="s">
        <v>5235</v>
      </c>
      <c r="H214" s="1272" t="str">
        <f t="shared" si="7"/>
        <v xml:space="preserve">分析表174_x000D_
</v>
      </c>
      <c r="I214" s="667">
        <v>206</v>
      </c>
      <c r="J214" t="str">
        <f t="shared" si="6"/>
        <v>1.206</v>
      </c>
      <c r="K214"/>
      <c r="L214"/>
      <c r="M214"/>
    </row>
    <row r="215" spans="1:13" s="4" customFormat="1" ht="31.5">
      <c r="A215" s="161" t="s">
        <v>234</v>
      </c>
      <c r="B215" s="8" t="s">
        <v>1666</v>
      </c>
      <c r="C215" s="157" t="s">
        <v>3</v>
      </c>
      <c r="D215" s="158">
        <v>10</v>
      </c>
      <c r="E215" s="159">
        <v>1132.71</v>
      </c>
      <c r="F215" s="158">
        <v>11327.1</v>
      </c>
      <c r="G215" s="160" t="s">
        <v>5236</v>
      </c>
      <c r="H215" s="1272" t="str">
        <f t="shared" si="7"/>
        <v xml:space="preserve">分析表175_x000D_
</v>
      </c>
      <c r="I215" s="667">
        <v>207</v>
      </c>
      <c r="J215" t="str">
        <f t="shared" si="6"/>
        <v>1.207</v>
      </c>
      <c r="K215"/>
      <c r="L215"/>
      <c r="M215"/>
    </row>
    <row r="216" spans="1:13" s="4" customFormat="1" ht="31.5">
      <c r="A216" s="161" t="s">
        <v>235</v>
      </c>
      <c r="B216" s="8" t="s">
        <v>1675</v>
      </c>
      <c r="C216" s="157" t="s">
        <v>3</v>
      </c>
      <c r="D216" s="158">
        <v>10</v>
      </c>
      <c r="E216" s="159">
        <v>1303.03</v>
      </c>
      <c r="F216" s="158">
        <v>13030.3</v>
      </c>
      <c r="G216" s="160" t="s">
        <v>5237</v>
      </c>
      <c r="H216" s="1272" t="str">
        <f t="shared" si="7"/>
        <v xml:space="preserve">分析表176_x000D_
</v>
      </c>
      <c r="I216" s="667">
        <v>208</v>
      </c>
      <c r="J216" t="str">
        <f t="shared" si="6"/>
        <v>1.208</v>
      </c>
      <c r="K216"/>
      <c r="L216"/>
      <c r="M216"/>
    </row>
    <row r="217" spans="1:13" s="4" customFormat="1" ht="31.5">
      <c r="A217" s="161" t="s">
        <v>236</v>
      </c>
      <c r="B217" s="8" t="s">
        <v>1680</v>
      </c>
      <c r="C217" s="157" t="s">
        <v>3</v>
      </c>
      <c r="D217" s="158">
        <v>10</v>
      </c>
      <c r="E217" s="159">
        <v>1456.68</v>
      </c>
      <c r="F217" s="158">
        <v>14566.8</v>
      </c>
      <c r="G217" s="160" t="s">
        <v>5238</v>
      </c>
      <c r="H217" s="1272" t="str">
        <f t="shared" si="7"/>
        <v xml:space="preserve">分析表177_x000D_
</v>
      </c>
      <c r="I217" s="667">
        <v>209</v>
      </c>
      <c r="J217" t="str">
        <f t="shared" si="6"/>
        <v>1.209</v>
      </c>
      <c r="K217"/>
      <c r="L217"/>
      <c r="M217"/>
    </row>
    <row r="218" spans="1:13" s="4" customFormat="1" ht="31.5">
      <c r="A218" s="161" t="s">
        <v>237</v>
      </c>
      <c r="B218" s="8" t="s">
        <v>1685</v>
      </c>
      <c r="C218" s="157" t="s">
        <v>3</v>
      </c>
      <c r="D218" s="158">
        <v>10</v>
      </c>
      <c r="E218" s="159">
        <v>443.93</v>
      </c>
      <c r="F218" s="158">
        <v>4439.3</v>
      </c>
      <c r="G218" s="160" t="s">
        <v>5239</v>
      </c>
      <c r="H218" s="1272" t="str">
        <f t="shared" si="7"/>
        <v xml:space="preserve">分析表178_x000D_
</v>
      </c>
      <c r="I218" s="667">
        <v>210</v>
      </c>
      <c r="J218" t="str">
        <f t="shared" si="6"/>
        <v>1.210</v>
      </c>
      <c r="K218"/>
      <c r="L218"/>
      <c r="M218"/>
    </row>
    <row r="219" spans="1:13" s="4" customFormat="1" ht="31.5">
      <c r="A219" s="161" t="s">
        <v>238</v>
      </c>
      <c r="B219" s="8" t="s">
        <v>1688</v>
      </c>
      <c r="C219" s="157" t="s">
        <v>1689</v>
      </c>
      <c r="D219" s="158">
        <v>2</v>
      </c>
      <c r="E219" s="159">
        <v>7490.61</v>
      </c>
      <c r="F219" s="158">
        <v>14981.22</v>
      </c>
      <c r="G219" s="160" t="s">
        <v>5240</v>
      </c>
      <c r="H219" s="1272" t="str">
        <f t="shared" si="7"/>
        <v xml:space="preserve">分析表179_x000D_
</v>
      </c>
      <c r="I219" s="667">
        <v>211</v>
      </c>
      <c r="J219" t="str">
        <f t="shared" si="6"/>
        <v>1.211</v>
      </c>
      <c r="K219"/>
      <c r="L219"/>
      <c r="M219"/>
    </row>
    <row r="220" spans="1:13" s="4" customFormat="1" ht="31.5">
      <c r="A220" s="161" t="s">
        <v>239</v>
      </c>
      <c r="B220" s="8" t="s">
        <v>1700</v>
      </c>
      <c r="C220" s="157" t="s">
        <v>17</v>
      </c>
      <c r="D220" s="158">
        <v>10</v>
      </c>
      <c r="E220" s="159">
        <v>1501.79</v>
      </c>
      <c r="F220" s="158">
        <v>15017.9</v>
      </c>
      <c r="G220" s="160" t="s">
        <v>5241</v>
      </c>
      <c r="H220" s="1272" t="str">
        <f t="shared" si="7"/>
        <v xml:space="preserve">分析表180_x000D_
</v>
      </c>
      <c r="I220" s="667">
        <v>212</v>
      </c>
      <c r="J220" t="str">
        <f t="shared" si="6"/>
        <v>1.212</v>
      </c>
      <c r="K220"/>
      <c r="L220"/>
      <c r="M220"/>
    </row>
    <row r="221" spans="1:13" s="4" customFormat="1" ht="31.5">
      <c r="A221" s="161" t="s">
        <v>240</v>
      </c>
      <c r="B221" s="8" t="s">
        <v>1697</v>
      </c>
      <c r="C221" s="157" t="s">
        <v>15</v>
      </c>
      <c r="D221" s="158">
        <v>10</v>
      </c>
      <c r="E221" s="159">
        <v>1324.6</v>
      </c>
      <c r="F221" s="158">
        <v>13246</v>
      </c>
      <c r="G221" s="160" t="s">
        <v>5242</v>
      </c>
      <c r="H221" s="1272" t="str">
        <f t="shared" si="7"/>
        <v xml:space="preserve">分析表181_x000D_
</v>
      </c>
      <c r="I221" s="667">
        <v>213</v>
      </c>
      <c r="J221" t="str">
        <f t="shared" si="6"/>
        <v>1.213</v>
      </c>
      <c r="K221"/>
      <c r="L221"/>
      <c r="M221"/>
    </row>
    <row r="222" spans="1:13" s="4" customFormat="1" ht="31.5">
      <c r="A222" s="161" t="s">
        <v>241</v>
      </c>
      <c r="B222" s="8" t="s">
        <v>1711</v>
      </c>
      <c r="C222" s="157" t="s">
        <v>3</v>
      </c>
      <c r="D222" s="158">
        <v>10</v>
      </c>
      <c r="E222" s="159">
        <v>1531.55</v>
      </c>
      <c r="F222" s="158">
        <v>15315.5</v>
      </c>
      <c r="G222" s="160" t="s">
        <v>5243</v>
      </c>
      <c r="H222" s="1272" t="str">
        <f t="shared" si="7"/>
        <v xml:space="preserve">分析表182_x000D_
</v>
      </c>
      <c r="I222" s="667">
        <v>214</v>
      </c>
      <c r="J222" t="str">
        <f t="shared" si="6"/>
        <v>1.214</v>
      </c>
      <c r="K222"/>
      <c r="L222"/>
      <c r="M222"/>
    </row>
    <row r="223" spans="1:13" s="4" customFormat="1" ht="31.5">
      <c r="A223" s="161" t="s">
        <v>242</v>
      </c>
      <c r="B223" s="8" t="s">
        <v>1713</v>
      </c>
      <c r="C223" s="157" t="s">
        <v>0</v>
      </c>
      <c r="D223" s="158">
        <v>10</v>
      </c>
      <c r="E223" s="159">
        <v>2283.83</v>
      </c>
      <c r="F223" s="158">
        <v>22838.3</v>
      </c>
      <c r="G223" s="160" t="s">
        <v>5244</v>
      </c>
      <c r="H223" s="1272" t="str">
        <f t="shared" si="7"/>
        <v xml:space="preserve">分析表183_x000D_
</v>
      </c>
      <c r="I223" s="667">
        <v>215</v>
      </c>
      <c r="J223" t="str">
        <f t="shared" si="6"/>
        <v>1.215</v>
      </c>
      <c r="K223"/>
      <c r="L223"/>
      <c r="M223"/>
    </row>
    <row r="224" spans="1:13" s="4" customFormat="1" ht="31.5">
      <c r="A224" s="161" t="s">
        <v>243</v>
      </c>
      <c r="B224" s="8" t="s">
        <v>1714</v>
      </c>
      <c r="C224" s="157" t="s">
        <v>3</v>
      </c>
      <c r="D224" s="158">
        <v>10</v>
      </c>
      <c r="E224" s="159">
        <v>387.75</v>
      </c>
      <c r="F224" s="158">
        <v>3877.5</v>
      </c>
      <c r="G224" s="160" t="s">
        <v>5245</v>
      </c>
      <c r="H224" s="1272" t="str">
        <f t="shared" si="7"/>
        <v xml:space="preserve">分析表184_x000D_
</v>
      </c>
      <c r="I224" s="667">
        <v>216</v>
      </c>
      <c r="J224" t="str">
        <f t="shared" si="6"/>
        <v>1.216</v>
      </c>
      <c r="K224"/>
      <c r="L224"/>
      <c r="M224"/>
    </row>
    <row r="225" spans="1:13" s="4" customFormat="1" ht="47.25">
      <c r="A225" s="161" t="s">
        <v>244</v>
      </c>
      <c r="B225" s="8" t="s">
        <v>1719</v>
      </c>
      <c r="C225" s="157" t="s">
        <v>1497</v>
      </c>
      <c r="D225" s="158">
        <v>20</v>
      </c>
      <c r="E225" s="159">
        <v>51.56</v>
      </c>
      <c r="F225" s="158">
        <v>1031.2</v>
      </c>
      <c r="G225" s="160" t="s">
        <v>5246</v>
      </c>
      <c r="H225" s="1272" t="str">
        <f t="shared" si="7"/>
        <v xml:space="preserve">分析表185_x000D_
</v>
      </c>
      <c r="I225" s="667">
        <v>217</v>
      </c>
      <c r="J225" t="str">
        <f t="shared" si="6"/>
        <v>1.217</v>
      </c>
      <c r="K225"/>
      <c r="L225"/>
      <c r="M225"/>
    </row>
    <row r="226" spans="1:13" s="4" customFormat="1">
      <c r="A226" s="161" t="s">
        <v>245</v>
      </c>
      <c r="B226" s="8" t="s">
        <v>3181</v>
      </c>
      <c r="C226" s="157" t="s">
        <v>18</v>
      </c>
      <c r="D226" s="158">
        <v>10</v>
      </c>
      <c r="E226" s="159">
        <v>259.17</v>
      </c>
      <c r="F226" s="158">
        <v>2591.6999999999998</v>
      </c>
      <c r="G226" s="160" t="s">
        <v>4379</v>
      </c>
      <c r="H226" s="1272" t="str">
        <f t="shared" si="7"/>
        <v>#</v>
      </c>
      <c r="I226" s="667">
        <v>218</v>
      </c>
      <c r="J226" t="str">
        <f t="shared" si="6"/>
        <v>1.218</v>
      </c>
      <c r="K226"/>
      <c r="L226"/>
      <c r="M226"/>
    </row>
    <row r="227" spans="1:13" s="4" customFormat="1" ht="31.5">
      <c r="A227" s="161" t="s">
        <v>246</v>
      </c>
      <c r="B227" s="8" t="s">
        <v>1751</v>
      </c>
      <c r="C227" s="157" t="s">
        <v>3</v>
      </c>
      <c r="D227" s="158">
        <v>5</v>
      </c>
      <c r="E227" s="159">
        <v>5198.51</v>
      </c>
      <c r="F227" s="158">
        <v>25992.55</v>
      </c>
      <c r="G227" s="160" t="s">
        <v>5247</v>
      </c>
      <c r="H227" s="1272" t="str">
        <f t="shared" si="7"/>
        <v xml:space="preserve">分析表186_x000D_
</v>
      </c>
      <c r="I227" s="667">
        <v>219</v>
      </c>
      <c r="J227" t="str">
        <f t="shared" si="6"/>
        <v>1.219</v>
      </c>
      <c r="K227"/>
      <c r="L227"/>
      <c r="M227"/>
    </row>
    <row r="228" spans="1:13" s="4" customFormat="1" ht="31.5">
      <c r="A228" s="161" t="s">
        <v>247</v>
      </c>
      <c r="B228" s="8" t="s">
        <v>3183</v>
      </c>
      <c r="C228" s="157" t="s">
        <v>17</v>
      </c>
      <c r="D228" s="158">
        <v>2</v>
      </c>
      <c r="E228" s="159">
        <v>3691.3</v>
      </c>
      <c r="F228" s="158">
        <v>7382.6</v>
      </c>
      <c r="G228" s="160" t="s">
        <v>4379</v>
      </c>
      <c r="H228" s="1272" t="str">
        <f t="shared" si="7"/>
        <v>#</v>
      </c>
      <c r="I228" s="667">
        <v>220</v>
      </c>
      <c r="J228" t="str">
        <f t="shared" si="6"/>
        <v>1.220</v>
      </c>
      <c r="K228"/>
      <c r="L228"/>
      <c r="M228"/>
    </row>
    <row r="229" spans="1:13" s="4" customFormat="1" ht="31.5">
      <c r="A229" s="161" t="s">
        <v>248</v>
      </c>
      <c r="B229" s="8" t="s">
        <v>3186</v>
      </c>
      <c r="C229" s="157" t="s">
        <v>2238</v>
      </c>
      <c r="D229" s="158">
        <v>1</v>
      </c>
      <c r="E229" s="159">
        <v>6061.77</v>
      </c>
      <c r="F229" s="158">
        <v>6061.77</v>
      </c>
      <c r="G229" s="160" t="s">
        <v>2</v>
      </c>
      <c r="H229" s="1272" t="str">
        <f t="shared" si="7"/>
        <v/>
      </c>
      <c r="I229" s="667">
        <v>221</v>
      </c>
      <c r="J229" t="str">
        <f t="shared" si="6"/>
        <v>1.221</v>
      </c>
      <c r="K229"/>
      <c r="L229"/>
      <c r="M229"/>
    </row>
    <row r="230" spans="1:13" s="4" customFormat="1" ht="31.5">
      <c r="A230" s="161" t="s">
        <v>249</v>
      </c>
      <c r="B230" s="8" t="s">
        <v>3188</v>
      </c>
      <c r="C230" s="157" t="s">
        <v>17</v>
      </c>
      <c r="D230" s="158">
        <v>1</v>
      </c>
      <c r="E230" s="159">
        <v>5378.67</v>
      </c>
      <c r="F230" s="158">
        <v>5378.67</v>
      </c>
      <c r="G230" s="160" t="s">
        <v>4379</v>
      </c>
      <c r="H230" s="1272" t="str">
        <f t="shared" si="7"/>
        <v>#</v>
      </c>
      <c r="I230" s="667">
        <v>222</v>
      </c>
      <c r="J230" t="str">
        <f t="shared" si="6"/>
        <v>1.222</v>
      </c>
      <c r="K230"/>
      <c r="L230"/>
      <c r="M230"/>
    </row>
    <row r="231" spans="1:13" s="4" customFormat="1" ht="31.5">
      <c r="A231" s="161" t="s">
        <v>250</v>
      </c>
      <c r="B231" s="8" t="s">
        <v>3190</v>
      </c>
      <c r="C231" s="157" t="s">
        <v>2238</v>
      </c>
      <c r="D231" s="158">
        <v>1</v>
      </c>
      <c r="E231" s="159">
        <v>9825.26</v>
      </c>
      <c r="F231" s="158">
        <v>9825.26</v>
      </c>
      <c r="G231" s="160" t="s">
        <v>2</v>
      </c>
      <c r="H231" s="1272" t="str">
        <f t="shared" si="7"/>
        <v/>
      </c>
      <c r="I231" s="667">
        <v>223</v>
      </c>
      <c r="J231" t="str">
        <f t="shared" si="6"/>
        <v>1.223</v>
      </c>
      <c r="K231"/>
      <c r="L231"/>
      <c r="M231"/>
    </row>
    <row r="232" spans="1:13" s="4" customFormat="1" ht="31.5">
      <c r="A232" s="161" t="s">
        <v>251</v>
      </c>
      <c r="B232" s="8" t="s">
        <v>3192</v>
      </c>
      <c r="C232" s="157" t="s">
        <v>17</v>
      </c>
      <c r="D232" s="158">
        <v>1</v>
      </c>
      <c r="E232" s="159">
        <v>9351.35</v>
      </c>
      <c r="F232" s="158">
        <v>9351.35</v>
      </c>
      <c r="G232" s="160" t="s">
        <v>4379</v>
      </c>
      <c r="H232" s="1272" t="str">
        <f t="shared" si="7"/>
        <v>#</v>
      </c>
      <c r="I232" s="667">
        <v>224</v>
      </c>
      <c r="J232" t="str">
        <f t="shared" si="6"/>
        <v>1.224</v>
      </c>
      <c r="K232"/>
      <c r="L232"/>
      <c r="M232"/>
    </row>
    <row r="233" spans="1:13" s="4" customFormat="1" ht="31.5">
      <c r="A233" s="161" t="s">
        <v>252</v>
      </c>
      <c r="B233" s="8" t="s">
        <v>3194</v>
      </c>
      <c r="C233" s="157" t="s">
        <v>2238</v>
      </c>
      <c r="D233" s="158">
        <v>1</v>
      </c>
      <c r="E233" s="159">
        <v>11474.68</v>
      </c>
      <c r="F233" s="158">
        <v>11474.68</v>
      </c>
      <c r="G233" s="160" t="s">
        <v>2</v>
      </c>
      <c r="H233" s="1272" t="str">
        <f t="shared" si="7"/>
        <v/>
      </c>
      <c r="I233" s="667">
        <v>225</v>
      </c>
      <c r="J233" t="str">
        <f t="shared" si="6"/>
        <v>1.225</v>
      </c>
      <c r="K233"/>
      <c r="L233"/>
      <c r="M233"/>
    </row>
    <row r="234" spans="1:13" s="4" customFormat="1" ht="47.25">
      <c r="A234" s="161" t="s">
        <v>253</v>
      </c>
      <c r="B234" s="8" t="s">
        <v>3196</v>
      </c>
      <c r="C234" s="157" t="s">
        <v>17</v>
      </c>
      <c r="D234" s="158">
        <v>1</v>
      </c>
      <c r="E234" s="159">
        <v>13921.05</v>
      </c>
      <c r="F234" s="158">
        <v>13921.05</v>
      </c>
      <c r="G234" s="160" t="s">
        <v>4379</v>
      </c>
      <c r="H234" s="1272" t="str">
        <f t="shared" si="7"/>
        <v>#</v>
      </c>
      <c r="I234" s="667">
        <v>226</v>
      </c>
      <c r="J234" t="str">
        <f t="shared" si="6"/>
        <v>1.226</v>
      </c>
      <c r="K234"/>
      <c r="L234"/>
      <c r="M234"/>
    </row>
    <row r="235" spans="1:13" s="4" customFormat="1" ht="31.5">
      <c r="A235" s="161" t="s">
        <v>254</v>
      </c>
      <c r="B235" s="8" t="s">
        <v>3198</v>
      </c>
      <c r="C235" s="157" t="s">
        <v>2238</v>
      </c>
      <c r="D235" s="158">
        <v>1</v>
      </c>
      <c r="E235" s="159">
        <v>15688.95</v>
      </c>
      <c r="F235" s="158">
        <v>15688.95</v>
      </c>
      <c r="G235" s="160" t="s">
        <v>2</v>
      </c>
      <c r="H235" s="1272" t="str">
        <f t="shared" si="7"/>
        <v/>
      </c>
      <c r="I235" s="667">
        <v>227</v>
      </c>
      <c r="J235" t="str">
        <f t="shared" si="6"/>
        <v>1.227</v>
      </c>
      <c r="K235"/>
      <c r="L235"/>
      <c r="M235"/>
    </row>
    <row r="236" spans="1:13" s="4" customFormat="1" ht="47.25">
      <c r="A236" s="161" t="s">
        <v>255</v>
      </c>
      <c r="B236" s="8" t="s">
        <v>3200</v>
      </c>
      <c r="C236" s="157" t="s">
        <v>17</v>
      </c>
      <c r="D236" s="158">
        <v>1</v>
      </c>
      <c r="E236" s="159">
        <v>19865.259999999998</v>
      </c>
      <c r="F236" s="158">
        <v>19865.259999999998</v>
      </c>
      <c r="G236" s="160" t="s">
        <v>4379</v>
      </c>
      <c r="H236" s="1272" t="str">
        <f t="shared" si="7"/>
        <v>#</v>
      </c>
      <c r="I236" s="667">
        <v>228</v>
      </c>
      <c r="J236" t="str">
        <f t="shared" si="6"/>
        <v>1.228</v>
      </c>
      <c r="K236"/>
      <c r="L236"/>
      <c r="M236"/>
    </row>
    <row r="237" spans="1:13" s="4" customFormat="1" ht="31.5">
      <c r="A237" s="161" t="s">
        <v>256</v>
      </c>
      <c r="B237" s="8" t="s">
        <v>3202</v>
      </c>
      <c r="C237" s="157" t="s">
        <v>2238</v>
      </c>
      <c r="D237" s="158">
        <v>2</v>
      </c>
      <c r="E237" s="159">
        <v>21939.54</v>
      </c>
      <c r="F237" s="158">
        <v>43879.08</v>
      </c>
      <c r="G237" s="160" t="s">
        <v>2</v>
      </c>
      <c r="H237" s="1272" t="str">
        <f t="shared" si="7"/>
        <v/>
      </c>
      <c r="I237" s="667">
        <v>229</v>
      </c>
      <c r="J237" t="str">
        <f t="shared" si="6"/>
        <v>1.229</v>
      </c>
      <c r="K237"/>
      <c r="L237"/>
      <c r="M237"/>
    </row>
    <row r="238" spans="1:13" s="4" customFormat="1" ht="47.25">
      <c r="A238" s="161" t="s">
        <v>257</v>
      </c>
      <c r="B238" s="8" t="s">
        <v>1770</v>
      </c>
      <c r="C238" s="157" t="s">
        <v>17</v>
      </c>
      <c r="D238" s="158">
        <v>2</v>
      </c>
      <c r="E238" s="159">
        <v>3425.4</v>
      </c>
      <c r="F238" s="158">
        <v>6850.8</v>
      </c>
      <c r="G238" s="160" t="s">
        <v>5248</v>
      </c>
      <c r="H238" s="1272" t="str">
        <f t="shared" si="7"/>
        <v xml:space="preserve">分析表187_x000D_
</v>
      </c>
      <c r="I238" s="667">
        <v>230</v>
      </c>
      <c r="J238" t="str">
        <f t="shared" si="6"/>
        <v>1.230</v>
      </c>
      <c r="K238"/>
      <c r="L238"/>
      <c r="M238"/>
    </row>
    <row r="239" spans="1:13" s="4" customFormat="1" ht="47.25">
      <c r="A239" s="161" t="s">
        <v>258</v>
      </c>
      <c r="B239" s="8" t="s">
        <v>1777</v>
      </c>
      <c r="C239" s="157" t="s">
        <v>17</v>
      </c>
      <c r="D239" s="158">
        <v>2</v>
      </c>
      <c r="E239" s="159">
        <v>4459.07</v>
      </c>
      <c r="F239" s="158">
        <v>8918.14</v>
      </c>
      <c r="G239" s="160" t="s">
        <v>5249</v>
      </c>
      <c r="H239" s="1272" t="str">
        <f t="shared" si="7"/>
        <v xml:space="preserve">分析表188_x000D_
</v>
      </c>
      <c r="I239" s="667">
        <v>231</v>
      </c>
      <c r="J239" t="str">
        <f t="shared" si="6"/>
        <v>1.231</v>
      </c>
      <c r="K239"/>
      <c r="L239"/>
      <c r="M239"/>
    </row>
    <row r="240" spans="1:13" s="4" customFormat="1" ht="47.25">
      <c r="A240" s="161" t="s">
        <v>259</v>
      </c>
      <c r="B240" s="8" t="s">
        <v>1782</v>
      </c>
      <c r="C240" s="157" t="s">
        <v>17</v>
      </c>
      <c r="D240" s="158">
        <v>2</v>
      </c>
      <c r="E240" s="159">
        <v>6178.39</v>
      </c>
      <c r="F240" s="158">
        <v>12356.78</v>
      </c>
      <c r="G240" s="160" t="s">
        <v>5250</v>
      </c>
      <c r="H240" s="1272" t="str">
        <f t="shared" si="7"/>
        <v xml:space="preserve">分析表189_x000D_
</v>
      </c>
      <c r="I240" s="667">
        <v>232</v>
      </c>
      <c r="J240" t="str">
        <f t="shared" si="6"/>
        <v>1.232</v>
      </c>
      <c r="K240"/>
      <c r="L240"/>
      <c r="M240"/>
    </row>
    <row r="241" spans="1:13" s="4" customFormat="1" ht="47.25">
      <c r="A241" s="161" t="s">
        <v>260</v>
      </c>
      <c r="B241" s="8" t="s">
        <v>1787</v>
      </c>
      <c r="C241" s="157" t="s">
        <v>17</v>
      </c>
      <c r="D241" s="158">
        <v>2</v>
      </c>
      <c r="E241" s="159">
        <v>8051.6</v>
      </c>
      <c r="F241" s="158">
        <v>16103.2</v>
      </c>
      <c r="G241" s="160" t="s">
        <v>5251</v>
      </c>
      <c r="H241" s="1272" t="str">
        <f t="shared" si="7"/>
        <v xml:space="preserve">分析表190_x000D_
</v>
      </c>
      <c r="I241" s="667">
        <v>233</v>
      </c>
      <c r="J241" t="str">
        <f t="shared" si="6"/>
        <v>1.233</v>
      </c>
      <c r="K241"/>
      <c r="L241"/>
      <c r="M241"/>
    </row>
    <row r="242" spans="1:13" s="4" customFormat="1" ht="47.25">
      <c r="A242" s="161" t="s">
        <v>261</v>
      </c>
      <c r="B242" s="8" t="s">
        <v>1792</v>
      </c>
      <c r="C242" s="157" t="s">
        <v>17</v>
      </c>
      <c r="D242" s="158">
        <v>2</v>
      </c>
      <c r="E242" s="159">
        <v>9975.0300000000007</v>
      </c>
      <c r="F242" s="158">
        <v>19950.060000000001</v>
      </c>
      <c r="G242" s="160" t="s">
        <v>5252</v>
      </c>
      <c r="H242" s="1272" t="str">
        <f t="shared" si="7"/>
        <v xml:space="preserve">分析表191_x000D_
</v>
      </c>
      <c r="I242" s="667">
        <v>234</v>
      </c>
      <c r="J242" t="str">
        <f t="shared" si="6"/>
        <v>1.234</v>
      </c>
      <c r="K242"/>
      <c r="L242"/>
      <c r="M242"/>
    </row>
    <row r="243" spans="1:13" s="4" customFormat="1" ht="47.25">
      <c r="A243" s="161" t="s">
        <v>262</v>
      </c>
      <c r="B243" s="8" t="s">
        <v>1797</v>
      </c>
      <c r="C243" s="157" t="s">
        <v>17</v>
      </c>
      <c r="D243" s="158">
        <v>2</v>
      </c>
      <c r="E243" s="159">
        <v>12012.46</v>
      </c>
      <c r="F243" s="158">
        <v>24024.92</v>
      </c>
      <c r="G243" s="160" t="s">
        <v>5253</v>
      </c>
      <c r="H243" s="1272" t="str">
        <f t="shared" si="7"/>
        <v xml:space="preserve">分析表192_x000D_
</v>
      </c>
      <c r="I243" s="667">
        <v>235</v>
      </c>
      <c r="J243" t="str">
        <f t="shared" si="6"/>
        <v>1.235</v>
      </c>
      <c r="K243"/>
      <c r="L243"/>
      <c r="M243"/>
    </row>
    <row r="244" spans="1:13" s="4" customFormat="1" ht="47.25">
      <c r="A244" s="161" t="s">
        <v>263</v>
      </c>
      <c r="B244" s="8" t="s">
        <v>1802</v>
      </c>
      <c r="C244" s="157" t="s">
        <v>17</v>
      </c>
      <c r="D244" s="158">
        <v>2</v>
      </c>
      <c r="E244" s="159">
        <v>15170.49</v>
      </c>
      <c r="F244" s="158">
        <v>30340.98</v>
      </c>
      <c r="G244" s="160" t="s">
        <v>5254</v>
      </c>
      <c r="H244" s="1272" t="str">
        <f t="shared" si="7"/>
        <v xml:space="preserve">分析表193_x000D_
</v>
      </c>
      <c r="I244" s="667">
        <v>236</v>
      </c>
      <c r="J244" t="str">
        <f t="shared" si="6"/>
        <v>1.236</v>
      </c>
      <c r="K244"/>
      <c r="L244"/>
      <c r="M244"/>
    </row>
    <row r="245" spans="1:13" s="4" customFormat="1" ht="47.25">
      <c r="A245" s="161" t="s">
        <v>264</v>
      </c>
      <c r="B245" s="8" t="s">
        <v>1807</v>
      </c>
      <c r="C245" s="157" t="s">
        <v>17</v>
      </c>
      <c r="D245" s="158">
        <v>2</v>
      </c>
      <c r="E245" s="159">
        <v>18793.3</v>
      </c>
      <c r="F245" s="158">
        <v>37586.6</v>
      </c>
      <c r="G245" s="160" t="s">
        <v>5255</v>
      </c>
      <c r="H245" s="1272" t="str">
        <f t="shared" si="7"/>
        <v xml:space="preserve">分析表194_x000D_
</v>
      </c>
      <c r="I245" s="667">
        <v>237</v>
      </c>
      <c r="J245" t="str">
        <f t="shared" si="6"/>
        <v>1.237</v>
      </c>
      <c r="K245"/>
      <c r="L245"/>
      <c r="M245"/>
    </row>
    <row r="246" spans="1:13" s="4" customFormat="1" ht="47.25">
      <c r="A246" s="161" t="s">
        <v>265</v>
      </c>
      <c r="B246" s="8" t="s">
        <v>1812</v>
      </c>
      <c r="C246" s="157" t="s">
        <v>17</v>
      </c>
      <c r="D246" s="158">
        <v>2</v>
      </c>
      <c r="E246" s="159">
        <v>22550.81</v>
      </c>
      <c r="F246" s="158">
        <v>45101.62</v>
      </c>
      <c r="G246" s="160" t="s">
        <v>5256</v>
      </c>
      <c r="H246" s="1272" t="str">
        <f t="shared" si="7"/>
        <v xml:space="preserve">分析表195_x000D_
</v>
      </c>
      <c r="I246" s="667">
        <v>238</v>
      </c>
      <c r="J246" t="str">
        <f t="shared" si="6"/>
        <v>1.238</v>
      </c>
      <c r="K246"/>
      <c r="L246"/>
      <c r="M246"/>
    </row>
    <row r="247" spans="1:13" s="4" customFormat="1" ht="31.5">
      <c r="A247" s="161" t="s">
        <v>266</v>
      </c>
      <c r="B247" s="8" t="s">
        <v>1817</v>
      </c>
      <c r="C247" s="157" t="s">
        <v>1818</v>
      </c>
      <c r="D247" s="158">
        <v>2</v>
      </c>
      <c r="E247" s="159">
        <v>1087.79</v>
      </c>
      <c r="F247" s="158">
        <v>2175.58</v>
      </c>
      <c r="G247" s="160" t="s">
        <v>5257</v>
      </c>
      <c r="H247" s="1272" t="str">
        <f t="shared" si="7"/>
        <v xml:space="preserve">分析表196_x000D_
</v>
      </c>
      <c r="I247" s="667">
        <v>239</v>
      </c>
      <c r="J247" t="str">
        <f t="shared" si="6"/>
        <v>1.239</v>
      </c>
      <c r="K247"/>
      <c r="L247"/>
      <c r="M247"/>
    </row>
    <row r="248" spans="1:13" s="4" customFormat="1" ht="31.5">
      <c r="A248" s="161" t="s">
        <v>267</v>
      </c>
      <c r="B248" s="8" t="s">
        <v>1825</v>
      </c>
      <c r="C248" s="157" t="s">
        <v>1818</v>
      </c>
      <c r="D248" s="158">
        <v>2</v>
      </c>
      <c r="E248" s="159">
        <v>1214.5999999999999</v>
      </c>
      <c r="F248" s="158">
        <v>2429.1999999999998</v>
      </c>
      <c r="G248" s="160" t="s">
        <v>5258</v>
      </c>
      <c r="H248" s="1272" t="str">
        <f t="shared" si="7"/>
        <v xml:space="preserve">分析表197_x000D_
</v>
      </c>
      <c r="I248" s="667">
        <v>240</v>
      </c>
      <c r="J248" t="str">
        <f t="shared" si="6"/>
        <v>1.240</v>
      </c>
      <c r="K248"/>
      <c r="L248"/>
      <c r="M248"/>
    </row>
    <row r="249" spans="1:13" s="4" customFormat="1" ht="31.5">
      <c r="A249" s="161" t="s">
        <v>268</v>
      </c>
      <c r="B249" s="8" t="s">
        <v>1832</v>
      </c>
      <c r="C249" s="157" t="s">
        <v>1818</v>
      </c>
      <c r="D249" s="158">
        <v>2</v>
      </c>
      <c r="E249" s="159">
        <v>1478.68</v>
      </c>
      <c r="F249" s="158">
        <v>2957.36</v>
      </c>
      <c r="G249" s="160" t="s">
        <v>5259</v>
      </c>
      <c r="H249" s="1272" t="str">
        <f t="shared" si="7"/>
        <v xml:space="preserve">分析表198_x000D_
</v>
      </c>
      <c r="I249" s="667">
        <v>241</v>
      </c>
      <c r="J249" t="str">
        <f t="shared" si="6"/>
        <v>1.241</v>
      </c>
      <c r="K249"/>
      <c r="L249"/>
      <c r="M249"/>
    </row>
    <row r="250" spans="1:13" s="4" customFormat="1" ht="31.5">
      <c r="A250" s="161" t="s">
        <v>269</v>
      </c>
      <c r="B250" s="8" t="s">
        <v>1839</v>
      </c>
      <c r="C250" s="157" t="s">
        <v>1818</v>
      </c>
      <c r="D250" s="158">
        <v>2</v>
      </c>
      <c r="E250" s="159">
        <v>1516.82</v>
      </c>
      <c r="F250" s="158">
        <v>3033.64</v>
      </c>
      <c r="G250" s="160" t="s">
        <v>5260</v>
      </c>
      <c r="H250" s="1272" t="str">
        <f t="shared" si="7"/>
        <v xml:space="preserve">分析表199_x000D_
</v>
      </c>
      <c r="I250" s="667">
        <v>242</v>
      </c>
      <c r="J250" t="str">
        <f t="shared" si="6"/>
        <v>1.242</v>
      </c>
      <c r="K250"/>
      <c r="L250"/>
      <c r="M250"/>
    </row>
    <row r="251" spans="1:13" s="4" customFormat="1" ht="31.5">
      <c r="A251" s="161" t="s">
        <v>270</v>
      </c>
      <c r="B251" s="8" t="s">
        <v>1846</v>
      </c>
      <c r="C251" s="157" t="s">
        <v>1818</v>
      </c>
      <c r="D251" s="158">
        <v>2</v>
      </c>
      <c r="E251" s="159">
        <v>1706.52</v>
      </c>
      <c r="F251" s="158">
        <v>3413.04</v>
      </c>
      <c r="G251" s="160" t="s">
        <v>5261</v>
      </c>
      <c r="H251" s="1272" t="str">
        <f t="shared" si="7"/>
        <v xml:space="preserve">分析表200_x000D_
</v>
      </c>
      <c r="I251" s="667">
        <v>243</v>
      </c>
      <c r="J251" t="str">
        <f t="shared" si="6"/>
        <v>1.243</v>
      </c>
      <c r="K251"/>
      <c r="L251"/>
      <c r="M251"/>
    </row>
    <row r="252" spans="1:13" s="4" customFormat="1" ht="31.5">
      <c r="A252" s="161" t="s">
        <v>271</v>
      </c>
      <c r="B252" s="8" t="s">
        <v>1853</v>
      </c>
      <c r="C252" s="157" t="s">
        <v>1818</v>
      </c>
      <c r="D252" s="158">
        <v>2</v>
      </c>
      <c r="E252" s="159">
        <v>1973.47</v>
      </c>
      <c r="F252" s="158">
        <v>3946.94</v>
      </c>
      <c r="G252" s="160" t="s">
        <v>5262</v>
      </c>
      <c r="H252" s="1272" t="str">
        <f t="shared" si="7"/>
        <v xml:space="preserve">分析表201_x000D_
</v>
      </c>
      <c r="I252" s="667">
        <v>244</v>
      </c>
      <c r="J252" t="str">
        <f t="shared" si="6"/>
        <v>1.244</v>
      </c>
      <c r="K252"/>
      <c r="L252"/>
      <c r="M252"/>
    </row>
    <row r="253" spans="1:13" s="4" customFormat="1" ht="31.5">
      <c r="A253" s="161" t="s">
        <v>272</v>
      </c>
      <c r="B253" s="8" t="s">
        <v>1860</v>
      </c>
      <c r="C253" s="157" t="s">
        <v>1818</v>
      </c>
      <c r="D253" s="158">
        <v>2</v>
      </c>
      <c r="E253" s="159">
        <v>2118.39</v>
      </c>
      <c r="F253" s="158">
        <v>4236.78</v>
      </c>
      <c r="G253" s="160" t="s">
        <v>5263</v>
      </c>
      <c r="H253" s="1272" t="str">
        <f t="shared" si="7"/>
        <v xml:space="preserve">分析表202_x000D_
</v>
      </c>
      <c r="I253" s="667">
        <v>245</v>
      </c>
      <c r="J253" t="str">
        <f t="shared" si="6"/>
        <v>1.245</v>
      </c>
      <c r="K253"/>
      <c r="L253"/>
      <c r="M253"/>
    </row>
    <row r="254" spans="1:13" s="4" customFormat="1" ht="31.5">
      <c r="A254" s="161" t="s">
        <v>273</v>
      </c>
      <c r="B254" s="8" t="s">
        <v>1867</v>
      </c>
      <c r="C254" s="157" t="s">
        <v>1818</v>
      </c>
      <c r="D254" s="158">
        <v>2</v>
      </c>
      <c r="E254" s="159">
        <v>2245.1799999999998</v>
      </c>
      <c r="F254" s="158">
        <v>4490.3599999999997</v>
      </c>
      <c r="G254" s="160" t="s">
        <v>5264</v>
      </c>
      <c r="H254" s="1272" t="str">
        <f t="shared" si="7"/>
        <v xml:space="preserve">分析表203_x000D_
</v>
      </c>
      <c r="I254" s="667">
        <v>246</v>
      </c>
      <c r="J254" t="str">
        <f t="shared" si="6"/>
        <v>1.246</v>
      </c>
      <c r="K254"/>
      <c r="L254"/>
      <c r="M254"/>
    </row>
    <row r="255" spans="1:13" s="4" customFormat="1" ht="47.25">
      <c r="A255" s="161" t="s">
        <v>274</v>
      </c>
      <c r="B255" s="8" t="s">
        <v>5479</v>
      </c>
      <c r="C255" s="157" t="s">
        <v>17</v>
      </c>
      <c r="D255" s="158">
        <v>10</v>
      </c>
      <c r="E255" s="159">
        <v>140.43</v>
      </c>
      <c r="F255" s="158">
        <v>1404.3</v>
      </c>
      <c r="G255" s="160" t="s">
        <v>2</v>
      </c>
      <c r="H255" s="1272" t="str">
        <f t="shared" si="7"/>
        <v/>
      </c>
      <c r="I255" s="667">
        <v>247</v>
      </c>
      <c r="J255" t="str">
        <f t="shared" si="6"/>
        <v>1.247</v>
      </c>
      <c r="K255"/>
      <c r="L255"/>
      <c r="M255"/>
    </row>
    <row r="256" spans="1:13" s="4" customFormat="1" ht="47.25">
      <c r="A256" s="161" t="s">
        <v>275</v>
      </c>
      <c r="B256" s="8" t="s">
        <v>5480</v>
      </c>
      <c r="C256" s="157" t="s">
        <v>17</v>
      </c>
      <c r="D256" s="158">
        <v>10</v>
      </c>
      <c r="E256" s="159">
        <v>174.66</v>
      </c>
      <c r="F256" s="158">
        <v>1746.6</v>
      </c>
      <c r="G256" s="160" t="s">
        <v>2</v>
      </c>
      <c r="H256" s="1272" t="str">
        <f t="shared" si="7"/>
        <v/>
      </c>
      <c r="I256" s="667">
        <v>248</v>
      </c>
      <c r="J256" t="str">
        <f t="shared" si="6"/>
        <v>1.248</v>
      </c>
      <c r="K256"/>
      <c r="L256"/>
      <c r="M256"/>
    </row>
    <row r="257" spans="1:13" s="4" customFormat="1" ht="47.25">
      <c r="A257" s="161" t="s">
        <v>276</v>
      </c>
      <c r="B257" s="8" t="s">
        <v>5481</v>
      </c>
      <c r="C257" s="157" t="s">
        <v>17</v>
      </c>
      <c r="D257" s="158">
        <v>10</v>
      </c>
      <c r="E257" s="159">
        <v>217.37</v>
      </c>
      <c r="F257" s="158">
        <v>2173.6999999999998</v>
      </c>
      <c r="G257" s="160" t="s">
        <v>2</v>
      </c>
      <c r="H257" s="1272" t="str">
        <f t="shared" si="7"/>
        <v/>
      </c>
      <c r="I257" s="667">
        <v>249</v>
      </c>
      <c r="J257" t="str">
        <f t="shared" si="6"/>
        <v>1.249</v>
      </c>
      <c r="K257"/>
      <c r="L257"/>
      <c r="M257"/>
    </row>
    <row r="258" spans="1:13" s="4" customFormat="1" ht="31.5">
      <c r="A258" s="161" t="s">
        <v>277</v>
      </c>
      <c r="B258" s="8" t="s">
        <v>1874</v>
      </c>
      <c r="C258" s="157" t="s">
        <v>1875</v>
      </c>
      <c r="D258" s="158">
        <v>1</v>
      </c>
      <c r="E258" s="159">
        <v>798.92</v>
      </c>
      <c r="F258" s="158">
        <v>798.92</v>
      </c>
      <c r="G258" s="160" t="s">
        <v>5265</v>
      </c>
      <c r="H258" s="1272" t="str">
        <f t="shared" si="7"/>
        <v xml:space="preserve">分析表204_x000D_
</v>
      </c>
      <c r="I258" s="667">
        <v>250</v>
      </c>
      <c r="J258" t="str">
        <f t="shared" ref="J258:J321" si="8">A258</f>
        <v>1.250</v>
      </c>
      <c r="K258"/>
      <c r="L258"/>
      <c r="M258"/>
    </row>
    <row r="259" spans="1:13" s="4" customFormat="1" ht="31.5">
      <c r="A259" s="161" t="s">
        <v>278</v>
      </c>
      <c r="B259" s="8" t="s">
        <v>1882</v>
      </c>
      <c r="C259" s="157" t="s">
        <v>1875</v>
      </c>
      <c r="D259" s="158">
        <v>1</v>
      </c>
      <c r="E259" s="159">
        <v>877.11</v>
      </c>
      <c r="F259" s="158">
        <v>877.11</v>
      </c>
      <c r="G259" s="160" t="s">
        <v>5266</v>
      </c>
      <c r="H259" s="1272" t="str">
        <f t="shared" si="7"/>
        <v xml:space="preserve">分析表205_x000D_
</v>
      </c>
      <c r="I259" s="667">
        <v>251</v>
      </c>
      <c r="J259" t="str">
        <f t="shared" si="8"/>
        <v>1.251</v>
      </c>
      <c r="K259"/>
      <c r="L259"/>
      <c r="M259"/>
    </row>
    <row r="260" spans="1:13" s="4" customFormat="1" ht="31.5">
      <c r="A260" s="161" t="s">
        <v>279</v>
      </c>
      <c r="B260" s="8" t="s">
        <v>1889</v>
      </c>
      <c r="C260" s="157" t="s">
        <v>1875</v>
      </c>
      <c r="D260" s="158">
        <v>1</v>
      </c>
      <c r="E260" s="159">
        <v>984.82</v>
      </c>
      <c r="F260" s="158">
        <v>984.82</v>
      </c>
      <c r="G260" s="160" t="s">
        <v>5267</v>
      </c>
      <c r="H260" s="1272" t="str">
        <f t="shared" si="7"/>
        <v xml:space="preserve">分析表206_x000D_
</v>
      </c>
      <c r="I260" s="667">
        <v>252</v>
      </c>
      <c r="J260" t="str">
        <f t="shared" si="8"/>
        <v>1.252</v>
      </c>
      <c r="K260"/>
      <c r="L260"/>
      <c r="M260"/>
    </row>
    <row r="261" spans="1:13" s="4" customFormat="1" ht="31.5">
      <c r="A261" s="161" t="s">
        <v>280</v>
      </c>
      <c r="B261" s="8" t="s">
        <v>1896</v>
      </c>
      <c r="C261" s="157" t="s">
        <v>1875</v>
      </c>
      <c r="D261" s="158">
        <v>1</v>
      </c>
      <c r="E261" s="159">
        <v>1063.01</v>
      </c>
      <c r="F261" s="158">
        <v>1063.01</v>
      </c>
      <c r="G261" s="160" t="s">
        <v>5268</v>
      </c>
      <c r="H261" s="1272" t="str">
        <f t="shared" si="7"/>
        <v xml:space="preserve">分析表207_x000D_
</v>
      </c>
      <c r="I261" s="667">
        <v>253</v>
      </c>
      <c r="J261" t="str">
        <f t="shared" si="8"/>
        <v>1.253</v>
      </c>
      <c r="K261"/>
      <c r="L261"/>
      <c r="M261"/>
    </row>
    <row r="262" spans="1:13" s="4" customFormat="1" ht="31.5">
      <c r="A262" s="161" t="s">
        <v>281</v>
      </c>
      <c r="B262" s="8" t="s">
        <v>1903</v>
      </c>
      <c r="C262" s="157" t="s">
        <v>1875</v>
      </c>
      <c r="D262" s="158">
        <v>1</v>
      </c>
      <c r="E262" s="159">
        <v>1916.27</v>
      </c>
      <c r="F262" s="158">
        <v>1916.27</v>
      </c>
      <c r="G262" s="160" t="s">
        <v>5269</v>
      </c>
      <c r="H262" s="1272" t="str">
        <f t="shared" si="7"/>
        <v xml:space="preserve">分析表208_x000D_
</v>
      </c>
      <c r="I262" s="667">
        <v>254</v>
      </c>
      <c r="J262" t="str">
        <f t="shared" si="8"/>
        <v>1.254</v>
      </c>
      <c r="K262"/>
      <c r="L262"/>
      <c r="M262"/>
    </row>
    <row r="263" spans="1:13" s="4" customFormat="1" ht="31.5">
      <c r="A263" s="161" t="s">
        <v>282</v>
      </c>
      <c r="B263" s="8" t="s">
        <v>1910</v>
      </c>
      <c r="C263" s="157" t="s">
        <v>1875</v>
      </c>
      <c r="D263" s="158">
        <v>1</v>
      </c>
      <c r="E263" s="159">
        <v>3598.97</v>
      </c>
      <c r="F263" s="158">
        <v>3598.97</v>
      </c>
      <c r="G263" s="160" t="s">
        <v>5270</v>
      </c>
      <c r="H263" s="1272" t="str">
        <f t="shared" si="7"/>
        <v xml:space="preserve">分析表209_x000D_
</v>
      </c>
      <c r="I263" s="667">
        <v>255</v>
      </c>
      <c r="J263" t="str">
        <f t="shared" si="8"/>
        <v>1.255</v>
      </c>
      <c r="K263"/>
      <c r="L263"/>
      <c r="M263"/>
    </row>
    <row r="264" spans="1:13" s="4" customFormat="1" ht="31.5">
      <c r="A264" s="161" t="s">
        <v>283</v>
      </c>
      <c r="B264" s="8" t="s">
        <v>1917</v>
      </c>
      <c r="C264" s="157" t="s">
        <v>1875</v>
      </c>
      <c r="D264" s="158">
        <v>1</v>
      </c>
      <c r="E264" s="159">
        <v>4180.5200000000004</v>
      </c>
      <c r="F264" s="158">
        <v>4180.5200000000004</v>
      </c>
      <c r="G264" s="160" t="s">
        <v>5271</v>
      </c>
      <c r="H264" s="1272" t="str">
        <f t="shared" si="7"/>
        <v xml:space="preserve">分析表210_x000D_
</v>
      </c>
      <c r="I264" s="667">
        <v>256</v>
      </c>
      <c r="J264" t="str">
        <f t="shared" si="8"/>
        <v>1.256</v>
      </c>
      <c r="K264"/>
      <c r="L264"/>
      <c r="M264"/>
    </row>
    <row r="265" spans="1:13" s="4" customFormat="1" ht="31.5">
      <c r="A265" s="161" t="s">
        <v>284</v>
      </c>
      <c r="B265" s="8" t="s">
        <v>1924</v>
      </c>
      <c r="C265" s="157" t="s">
        <v>1875</v>
      </c>
      <c r="D265" s="158">
        <v>1</v>
      </c>
      <c r="E265" s="159">
        <v>5315.04</v>
      </c>
      <c r="F265" s="158">
        <v>5315.04</v>
      </c>
      <c r="G265" s="160" t="s">
        <v>5272</v>
      </c>
      <c r="H265" s="1272" t="str">
        <f t="shared" si="7"/>
        <v xml:space="preserve">分析表211_x000D_
</v>
      </c>
      <c r="I265" s="667">
        <v>257</v>
      </c>
      <c r="J265" t="str">
        <f t="shared" si="8"/>
        <v>1.257</v>
      </c>
      <c r="K265"/>
      <c r="L265"/>
      <c r="M265"/>
    </row>
    <row r="266" spans="1:13" s="4" customFormat="1" ht="31.5">
      <c r="A266" s="161" t="s">
        <v>285</v>
      </c>
      <c r="B266" s="8" t="s">
        <v>1931</v>
      </c>
      <c r="C266" s="157" t="s">
        <v>1875</v>
      </c>
      <c r="D266" s="158">
        <v>1</v>
      </c>
      <c r="E266" s="159">
        <v>4743.0200000000004</v>
      </c>
      <c r="F266" s="158">
        <v>4743.0200000000004</v>
      </c>
      <c r="G266" s="160" t="s">
        <v>5273</v>
      </c>
      <c r="H266" s="1272" t="str">
        <f t="shared" si="7"/>
        <v xml:space="preserve">分析表212_x000D_
</v>
      </c>
      <c r="I266" s="667">
        <v>258</v>
      </c>
      <c r="J266" t="str">
        <f t="shared" si="8"/>
        <v>1.258</v>
      </c>
      <c r="K266"/>
      <c r="L266"/>
      <c r="M266"/>
    </row>
    <row r="267" spans="1:13" s="4" customFormat="1" ht="47.25">
      <c r="A267" s="161" t="s">
        <v>286</v>
      </c>
      <c r="B267" s="8" t="s">
        <v>1938</v>
      </c>
      <c r="C267" s="157" t="s">
        <v>1875</v>
      </c>
      <c r="D267" s="158">
        <v>1</v>
      </c>
      <c r="E267" s="159">
        <v>2083.11</v>
      </c>
      <c r="F267" s="158">
        <v>2083.11</v>
      </c>
      <c r="G267" s="160" t="s">
        <v>5274</v>
      </c>
      <c r="H267" s="1272" t="str">
        <f t="shared" ref="H267:H330" si="9">G267</f>
        <v xml:space="preserve">分析表213_x000D_
</v>
      </c>
      <c r="I267" s="667">
        <v>259</v>
      </c>
      <c r="J267" t="str">
        <f t="shared" si="8"/>
        <v>1.259</v>
      </c>
      <c r="K267"/>
      <c r="L267"/>
      <c r="M267"/>
    </row>
    <row r="268" spans="1:13" s="4" customFormat="1" ht="47.25">
      <c r="A268" s="161" t="s">
        <v>287</v>
      </c>
      <c r="B268" s="8" t="s">
        <v>1945</v>
      </c>
      <c r="C268" s="157" t="s">
        <v>1875</v>
      </c>
      <c r="D268" s="158">
        <v>1</v>
      </c>
      <c r="E268" s="159">
        <v>2292.85</v>
      </c>
      <c r="F268" s="158">
        <v>2292.85</v>
      </c>
      <c r="G268" s="160" t="s">
        <v>5275</v>
      </c>
      <c r="H268" s="1272" t="str">
        <f t="shared" si="9"/>
        <v xml:space="preserve">分析表214_x000D_
</v>
      </c>
      <c r="I268" s="667">
        <v>260</v>
      </c>
      <c r="J268" t="str">
        <f t="shared" si="8"/>
        <v>1.260</v>
      </c>
      <c r="K268"/>
      <c r="L268"/>
      <c r="M268"/>
    </row>
    <row r="269" spans="1:13" s="4" customFormat="1" ht="47.25">
      <c r="A269" s="161" t="s">
        <v>288</v>
      </c>
      <c r="B269" s="8" t="s">
        <v>1952</v>
      </c>
      <c r="C269" s="157" t="s">
        <v>1875</v>
      </c>
      <c r="D269" s="158">
        <v>1</v>
      </c>
      <c r="E269" s="159">
        <v>2311.92</v>
      </c>
      <c r="F269" s="158">
        <v>2311.92</v>
      </c>
      <c r="G269" s="160" t="s">
        <v>5276</v>
      </c>
      <c r="H269" s="1272" t="str">
        <f t="shared" si="9"/>
        <v xml:space="preserve">分析表215_x000D_
</v>
      </c>
      <c r="I269" s="667">
        <v>261</v>
      </c>
      <c r="J269" t="str">
        <f t="shared" si="8"/>
        <v>1.261</v>
      </c>
      <c r="K269"/>
      <c r="L269"/>
      <c r="M269"/>
    </row>
    <row r="270" spans="1:13" s="4" customFormat="1" ht="47.25">
      <c r="A270" s="161" t="s">
        <v>289</v>
      </c>
      <c r="B270" s="8" t="s">
        <v>1959</v>
      </c>
      <c r="C270" s="157" t="s">
        <v>1875</v>
      </c>
      <c r="D270" s="158">
        <v>1</v>
      </c>
      <c r="E270" s="159">
        <v>2197.52</v>
      </c>
      <c r="F270" s="158">
        <v>2197.52</v>
      </c>
      <c r="G270" s="160" t="s">
        <v>5277</v>
      </c>
      <c r="H270" s="1272" t="str">
        <f t="shared" si="9"/>
        <v xml:space="preserve">分析表216_x000D_
</v>
      </c>
      <c r="I270" s="667">
        <v>262</v>
      </c>
      <c r="J270" t="str">
        <f t="shared" si="8"/>
        <v>1.262</v>
      </c>
      <c r="K270"/>
      <c r="L270"/>
      <c r="M270"/>
    </row>
    <row r="271" spans="1:13" s="4" customFormat="1" ht="47.25">
      <c r="A271" s="161" t="s">
        <v>290</v>
      </c>
      <c r="B271" s="8" t="s">
        <v>1966</v>
      </c>
      <c r="C271" s="157" t="s">
        <v>1875</v>
      </c>
      <c r="D271" s="158">
        <v>1</v>
      </c>
      <c r="E271" s="159">
        <v>2350.06</v>
      </c>
      <c r="F271" s="158">
        <v>2350.06</v>
      </c>
      <c r="G271" s="160" t="s">
        <v>5278</v>
      </c>
      <c r="H271" s="1272" t="str">
        <f t="shared" si="9"/>
        <v xml:space="preserve">分析表217_x000D_
</v>
      </c>
      <c r="I271" s="667">
        <v>263</v>
      </c>
      <c r="J271" t="str">
        <f t="shared" si="8"/>
        <v>1.263</v>
      </c>
      <c r="K271"/>
      <c r="L271"/>
      <c r="M271"/>
    </row>
    <row r="272" spans="1:13" s="4" customFormat="1" ht="47.25">
      <c r="A272" s="161" t="s">
        <v>291</v>
      </c>
      <c r="B272" s="8" t="s">
        <v>1973</v>
      </c>
      <c r="C272" s="157" t="s">
        <v>1875</v>
      </c>
      <c r="D272" s="158">
        <v>1</v>
      </c>
      <c r="E272" s="159">
        <v>2464.46</v>
      </c>
      <c r="F272" s="158">
        <v>2464.46</v>
      </c>
      <c r="G272" s="160" t="s">
        <v>5279</v>
      </c>
      <c r="H272" s="1272" t="str">
        <f t="shared" si="9"/>
        <v xml:space="preserve">分析表218_x000D_
</v>
      </c>
      <c r="I272" s="667">
        <v>264</v>
      </c>
      <c r="J272" t="str">
        <f t="shared" si="8"/>
        <v>1.264</v>
      </c>
      <c r="K272"/>
      <c r="L272"/>
      <c r="M272"/>
    </row>
    <row r="273" spans="1:13" s="4" customFormat="1" ht="47.25">
      <c r="A273" s="161" t="s">
        <v>292</v>
      </c>
      <c r="B273" s="8" t="s">
        <v>1980</v>
      </c>
      <c r="C273" s="157" t="s">
        <v>1875</v>
      </c>
      <c r="D273" s="158">
        <v>1</v>
      </c>
      <c r="E273" s="159">
        <v>4285.3999999999996</v>
      </c>
      <c r="F273" s="158">
        <v>4285.3999999999996</v>
      </c>
      <c r="G273" s="160" t="s">
        <v>5280</v>
      </c>
      <c r="H273" s="1272" t="str">
        <f t="shared" si="9"/>
        <v xml:space="preserve">分析表219_x000D_
</v>
      </c>
      <c r="I273" s="667">
        <v>265</v>
      </c>
      <c r="J273" t="str">
        <f t="shared" si="8"/>
        <v>1.265</v>
      </c>
      <c r="K273"/>
      <c r="L273"/>
      <c r="M273"/>
    </row>
    <row r="274" spans="1:13" s="4" customFormat="1" ht="47.25">
      <c r="A274" s="161" t="s">
        <v>293</v>
      </c>
      <c r="B274" s="8" t="s">
        <v>1987</v>
      </c>
      <c r="C274" s="157" t="s">
        <v>1875</v>
      </c>
      <c r="D274" s="158">
        <v>1</v>
      </c>
      <c r="E274" s="159">
        <v>4752.55</v>
      </c>
      <c r="F274" s="158">
        <v>4752.55</v>
      </c>
      <c r="G274" s="160" t="s">
        <v>5281</v>
      </c>
      <c r="H274" s="1272" t="str">
        <f t="shared" si="9"/>
        <v xml:space="preserve">分析表220_x000D_
</v>
      </c>
      <c r="I274" s="667">
        <v>266</v>
      </c>
      <c r="J274" t="str">
        <f t="shared" si="8"/>
        <v>1.266</v>
      </c>
      <c r="K274"/>
      <c r="L274"/>
      <c r="M274"/>
    </row>
    <row r="275" spans="1:13" s="4" customFormat="1" ht="47.25">
      <c r="A275" s="161" t="s">
        <v>294</v>
      </c>
      <c r="B275" s="8" t="s">
        <v>1994</v>
      </c>
      <c r="C275" s="157" t="s">
        <v>1875</v>
      </c>
      <c r="D275" s="158">
        <v>1</v>
      </c>
      <c r="E275" s="159">
        <v>5315.04</v>
      </c>
      <c r="F275" s="158">
        <v>5315.04</v>
      </c>
      <c r="G275" s="160" t="s">
        <v>5282</v>
      </c>
      <c r="H275" s="1272" t="str">
        <f t="shared" si="9"/>
        <v xml:space="preserve">分析表221_x000D_
</v>
      </c>
      <c r="I275" s="667">
        <v>267</v>
      </c>
      <c r="J275" t="str">
        <f t="shared" si="8"/>
        <v>1.267</v>
      </c>
      <c r="K275"/>
      <c r="L275"/>
      <c r="M275"/>
    </row>
    <row r="276" spans="1:13" s="4" customFormat="1" ht="47.25">
      <c r="A276" s="161" t="s">
        <v>295</v>
      </c>
      <c r="B276" s="8" t="s">
        <v>2001</v>
      </c>
      <c r="C276" s="157" t="s">
        <v>1875</v>
      </c>
      <c r="D276" s="158">
        <v>1</v>
      </c>
      <c r="E276" s="159">
        <v>4333.07</v>
      </c>
      <c r="F276" s="158">
        <v>4333.07</v>
      </c>
      <c r="G276" s="160" t="s">
        <v>5283</v>
      </c>
      <c r="H276" s="1272" t="str">
        <f t="shared" si="9"/>
        <v xml:space="preserve">分析表222_x000D_
</v>
      </c>
      <c r="I276" s="667">
        <v>268</v>
      </c>
      <c r="J276" t="str">
        <f t="shared" si="8"/>
        <v>1.268</v>
      </c>
      <c r="K276"/>
      <c r="L276"/>
      <c r="M276"/>
    </row>
    <row r="277" spans="1:13" s="4" customFormat="1" ht="47.25">
      <c r="A277" s="161" t="s">
        <v>296</v>
      </c>
      <c r="B277" s="8" t="s">
        <v>2008</v>
      </c>
      <c r="C277" s="157" t="s">
        <v>1875</v>
      </c>
      <c r="D277" s="158">
        <v>1</v>
      </c>
      <c r="E277" s="159">
        <v>4866.96</v>
      </c>
      <c r="F277" s="158">
        <v>4866.96</v>
      </c>
      <c r="G277" s="160" t="s">
        <v>5284</v>
      </c>
      <c r="H277" s="1272" t="str">
        <f t="shared" si="9"/>
        <v xml:space="preserve">分析表223_x000D_
</v>
      </c>
      <c r="I277" s="667">
        <v>269</v>
      </c>
      <c r="J277" t="str">
        <f t="shared" si="8"/>
        <v>1.269</v>
      </c>
      <c r="K277"/>
      <c r="L277"/>
      <c r="M277"/>
    </row>
    <row r="278" spans="1:13" s="4" customFormat="1" ht="47.25">
      <c r="A278" s="161" t="s">
        <v>297</v>
      </c>
      <c r="B278" s="8" t="s">
        <v>2015</v>
      </c>
      <c r="C278" s="157" t="s">
        <v>1875</v>
      </c>
      <c r="D278" s="158">
        <v>1</v>
      </c>
      <c r="E278" s="159">
        <v>5629.65</v>
      </c>
      <c r="F278" s="158">
        <v>5629.65</v>
      </c>
      <c r="G278" s="160" t="s">
        <v>5285</v>
      </c>
      <c r="H278" s="1272" t="str">
        <f t="shared" si="9"/>
        <v xml:space="preserve">分析表224_x000D_
</v>
      </c>
      <c r="I278" s="667">
        <v>270</v>
      </c>
      <c r="J278" t="str">
        <f t="shared" si="8"/>
        <v>1.270</v>
      </c>
      <c r="K278"/>
      <c r="L278"/>
      <c r="M278"/>
    </row>
    <row r="279" spans="1:13" s="4" customFormat="1" ht="47.25">
      <c r="A279" s="161" t="s">
        <v>298</v>
      </c>
      <c r="B279" s="8" t="s">
        <v>4664</v>
      </c>
      <c r="C279" s="157" t="s">
        <v>1689</v>
      </c>
      <c r="D279" s="158">
        <v>20</v>
      </c>
      <c r="E279" s="159">
        <v>6154.96</v>
      </c>
      <c r="F279" s="158">
        <v>123099.2</v>
      </c>
      <c r="G279" s="160" t="s">
        <v>5286</v>
      </c>
      <c r="H279" s="1272" t="str">
        <f t="shared" si="9"/>
        <v xml:space="preserve">分析表225_x000D_
</v>
      </c>
      <c r="I279" s="667">
        <v>271</v>
      </c>
      <c r="J279" t="str">
        <f t="shared" si="8"/>
        <v>1.271</v>
      </c>
      <c r="K279"/>
      <c r="L279"/>
      <c r="M279"/>
    </row>
    <row r="280" spans="1:13" s="4" customFormat="1" ht="47.25">
      <c r="A280" s="161" t="s">
        <v>299</v>
      </c>
      <c r="B280" s="8" t="s">
        <v>4666</v>
      </c>
      <c r="C280" s="157" t="s">
        <v>1689</v>
      </c>
      <c r="D280" s="158">
        <v>20</v>
      </c>
      <c r="E280" s="159">
        <v>7253.24</v>
      </c>
      <c r="F280" s="158">
        <v>145064.79999999999</v>
      </c>
      <c r="G280" s="160" t="s">
        <v>5287</v>
      </c>
      <c r="H280" s="1272" t="str">
        <f t="shared" si="9"/>
        <v xml:space="preserve">分析表226_x000D_
</v>
      </c>
      <c r="I280" s="667">
        <v>272</v>
      </c>
      <c r="J280" t="str">
        <f t="shared" si="8"/>
        <v>1.272</v>
      </c>
      <c r="K280"/>
      <c r="L280"/>
      <c r="M280"/>
    </row>
    <row r="281" spans="1:13" s="4" customFormat="1" ht="47.25">
      <c r="A281" s="161" t="s">
        <v>300</v>
      </c>
      <c r="B281" s="8" t="s">
        <v>4668</v>
      </c>
      <c r="C281" s="157" t="s">
        <v>1689</v>
      </c>
      <c r="D281" s="158">
        <v>20</v>
      </c>
      <c r="E281" s="159">
        <v>8351.52</v>
      </c>
      <c r="F281" s="158">
        <v>167030.39999999999</v>
      </c>
      <c r="G281" s="160" t="s">
        <v>5288</v>
      </c>
      <c r="H281" s="1272" t="str">
        <f t="shared" si="9"/>
        <v xml:space="preserve">分析表227_x000D_
</v>
      </c>
      <c r="I281" s="667">
        <v>273</v>
      </c>
      <c r="J281" t="str">
        <f t="shared" si="8"/>
        <v>1.273</v>
      </c>
      <c r="K281"/>
      <c r="L281"/>
      <c r="M281"/>
    </row>
    <row r="282" spans="1:13" s="4" customFormat="1" ht="31.5">
      <c r="A282" s="161" t="s">
        <v>301</v>
      </c>
      <c r="B282" s="8" t="s">
        <v>2022</v>
      </c>
      <c r="C282" s="157" t="s">
        <v>1689</v>
      </c>
      <c r="D282" s="158">
        <v>20</v>
      </c>
      <c r="E282" s="159">
        <v>2101.7800000000002</v>
      </c>
      <c r="F282" s="158">
        <v>42035.6</v>
      </c>
      <c r="G282" s="160" t="s">
        <v>5289</v>
      </c>
      <c r="H282" s="1272" t="str">
        <f t="shared" si="9"/>
        <v xml:space="preserve">分析表228_x000D_
</v>
      </c>
      <c r="I282" s="667">
        <v>274</v>
      </c>
      <c r="J282" t="str">
        <f t="shared" si="8"/>
        <v>1.274</v>
      </c>
      <c r="K282"/>
      <c r="L282"/>
      <c r="M282"/>
    </row>
    <row r="283" spans="1:13" s="4" customFormat="1" ht="31.5">
      <c r="A283" s="161" t="s">
        <v>302</v>
      </c>
      <c r="B283" s="8" t="s">
        <v>2029</v>
      </c>
      <c r="C283" s="157" t="s">
        <v>1689</v>
      </c>
      <c r="D283" s="158">
        <v>20</v>
      </c>
      <c r="E283" s="159">
        <v>2649.21</v>
      </c>
      <c r="F283" s="158">
        <v>52984.2</v>
      </c>
      <c r="G283" s="160" t="s">
        <v>5290</v>
      </c>
      <c r="H283" s="1272" t="str">
        <f t="shared" si="9"/>
        <v xml:space="preserve">分析表229_x000D_
</v>
      </c>
      <c r="I283" s="667">
        <v>275</v>
      </c>
      <c r="J283" t="str">
        <f t="shared" si="8"/>
        <v>1.275</v>
      </c>
      <c r="K283"/>
      <c r="L283"/>
      <c r="M283"/>
    </row>
    <row r="284" spans="1:13" s="4" customFormat="1" ht="31.5">
      <c r="A284" s="161" t="s">
        <v>303</v>
      </c>
      <c r="B284" s="8" t="s">
        <v>2032</v>
      </c>
      <c r="C284" s="157" t="s">
        <v>1689</v>
      </c>
      <c r="D284" s="158">
        <v>20</v>
      </c>
      <c r="E284" s="159">
        <v>2898.24</v>
      </c>
      <c r="F284" s="158">
        <v>57964.800000000003</v>
      </c>
      <c r="G284" s="160" t="s">
        <v>5291</v>
      </c>
      <c r="H284" s="1272" t="str">
        <f t="shared" si="9"/>
        <v xml:space="preserve">分析表230_x000D_
</v>
      </c>
      <c r="I284" s="667">
        <v>276</v>
      </c>
      <c r="J284" t="str">
        <f t="shared" si="8"/>
        <v>1.276</v>
      </c>
      <c r="K284"/>
      <c r="L284"/>
      <c r="M284"/>
    </row>
    <row r="285" spans="1:13" s="4" customFormat="1" ht="31.5">
      <c r="A285" s="161" t="s">
        <v>304</v>
      </c>
      <c r="B285" s="8" t="s">
        <v>2037</v>
      </c>
      <c r="C285" s="157" t="s">
        <v>1689</v>
      </c>
      <c r="D285" s="158">
        <v>20</v>
      </c>
      <c r="E285" s="159">
        <v>3336.8</v>
      </c>
      <c r="F285" s="158">
        <v>66736</v>
      </c>
      <c r="G285" s="160" t="s">
        <v>5292</v>
      </c>
      <c r="H285" s="1272" t="str">
        <f t="shared" si="9"/>
        <v xml:space="preserve">分析表231_x000D_
</v>
      </c>
      <c r="I285" s="667">
        <v>277</v>
      </c>
      <c r="J285" t="str">
        <f t="shared" si="8"/>
        <v>1.277</v>
      </c>
      <c r="K285"/>
      <c r="L285"/>
      <c r="M285"/>
    </row>
    <row r="286" spans="1:13" s="4" customFormat="1" ht="31.5">
      <c r="A286" s="161" t="s">
        <v>305</v>
      </c>
      <c r="B286" s="8" t="s">
        <v>2042</v>
      </c>
      <c r="C286" s="157" t="s">
        <v>1689</v>
      </c>
      <c r="D286" s="158">
        <v>20</v>
      </c>
      <c r="E286" s="159">
        <v>3651.41</v>
      </c>
      <c r="F286" s="158">
        <v>73028.2</v>
      </c>
      <c r="G286" s="160" t="s">
        <v>5293</v>
      </c>
      <c r="H286" s="1272" t="str">
        <f t="shared" si="9"/>
        <v xml:space="preserve">分析表232_x000D_
</v>
      </c>
      <c r="I286" s="667">
        <v>278</v>
      </c>
      <c r="J286" t="str">
        <f t="shared" si="8"/>
        <v>1.278</v>
      </c>
      <c r="K286"/>
      <c r="L286"/>
      <c r="M286"/>
    </row>
    <row r="287" spans="1:13" s="4" customFormat="1" ht="31.5">
      <c r="A287" s="161" t="s">
        <v>306</v>
      </c>
      <c r="B287" s="8" t="s">
        <v>2047</v>
      </c>
      <c r="C287" s="157" t="s">
        <v>18</v>
      </c>
      <c r="D287" s="158">
        <v>100</v>
      </c>
      <c r="E287" s="159">
        <v>82.2</v>
      </c>
      <c r="F287" s="158">
        <v>8220</v>
      </c>
      <c r="G287" s="160" t="s">
        <v>5294</v>
      </c>
      <c r="H287" s="1272" t="str">
        <f t="shared" si="9"/>
        <v xml:space="preserve">分析表233_x000D_
</v>
      </c>
      <c r="I287" s="667">
        <v>279</v>
      </c>
      <c r="J287" t="str">
        <f t="shared" si="8"/>
        <v>1.279</v>
      </c>
      <c r="K287"/>
      <c r="L287"/>
      <c r="M287"/>
    </row>
    <row r="288" spans="1:13" s="4" customFormat="1" ht="31.5">
      <c r="A288" s="161" t="s">
        <v>307</v>
      </c>
      <c r="B288" s="8" t="s">
        <v>2054</v>
      </c>
      <c r="C288" s="157" t="s">
        <v>1689</v>
      </c>
      <c r="D288" s="158">
        <v>20</v>
      </c>
      <c r="E288" s="159">
        <v>3346.34</v>
      </c>
      <c r="F288" s="158">
        <v>66926.8</v>
      </c>
      <c r="G288" s="160" t="s">
        <v>5295</v>
      </c>
      <c r="H288" s="1272" t="str">
        <f t="shared" si="9"/>
        <v xml:space="preserve">分析表234_x000D_
</v>
      </c>
      <c r="I288" s="667">
        <v>280</v>
      </c>
      <c r="J288" t="str">
        <f t="shared" si="8"/>
        <v>1.280</v>
      </c>
      <c r="K288"/>
      <c r="L288"/>
      <c r="M288"/>
    </row>
    <row r="289" spans="1:13" s="4" customFormat="1" ht="31.5">
      <c r="A289" s="161" t="s">
        <v>308</v>
      </c>
      <c r="B289" s="8" t="s">
        <v>2059</v>
      </c>
      <c r="C289" s="157" t="s">
        <v>1689</v>
      </c>
      <c r="D289" s="158">
        <v>20</v>
      </c>
      <c r="E289" s="159">
        <v>3823.02</v>
      </c>
      <c r="F289" s="158">
        <v>76460.399999999994</v>
      </c>
      <c r="G289" s="160" t="s">
        <v>5296</v>
      </c>
      <c r="H289" s="1272" t="str">
        <f t="shared" si="9"/>
        <v xml:space="preserve">分析表235_x000D_
</v>
      </c>
      <c r="I289" s="667">
        <v>281</v>
      </c>
      <c r="J289" t="str">
        <f t="shared" si="8"/>
        <v>1.281</v>
      </c>
      <c r="K289"/>
      <c r="L289"/>
      <c r="M289"/>
    </row>
    <row r="290" spans="1:13" s="4" customFormat="1" ht="31.5">
      <c r="A290" s="161" t="s">
        <v>309</v>
      </c>
      <c r="B290" s="8" t="s">
        <v>2064</v>
      </c>
      <c r="C290" s="157" t="s">
        <v>1689</v>
      </c>
      <c r="D290" s="158">
        <v>20</v>
      </c>
      <c r="E290" s="159">
        <v>4395.04</v>
      </c>
      <c r="F290" s="158">
        <v>87900.800000000003</v>
      </c>
      <c r="G290" s="160" t="s">
        <v>5297</v>
      </c>
      <c r="H290" s="1272" t="str">
        <f t="shared" si="9"/>
        <v xml:space="preserve">分析表236_x000D_
</v>
      </c>
      <c r="I290" s="667">
        <v>282</v>
      </c>
      <c r="J290" t="str">
        <f t="shared" si="8"/>
        <v>1.282</v>
      </c>
      <c r="K290"/>
      <c r="L290"/>
      <c r="M290"/>
    </row>
    <row r="291" spans="1:13" s="4" customFormat="1" ht="47.25">
      <c r="A291" s="161" t="s">
        <v>310</v>
      </c>
      <c r="B291" s="8" t="s">
        <v>2069</v>
      </c>
      <c r="C291" s="157" t="s">
        <v>1875</v>
      </c>
      <c r="D291" s="158">
        <v>20</v>
      </c>
      <c r="E291" s="159">
        <v>6254.11</v>
      </c>
      <c r="F291" s="158">
        <v>125082.2</v>
      </c>
      <c r="G291" s="160" t="s">
        <v>5298</v>
      </c>
      <c r="H291" s="1272" t="str">
        <f t="shared" si="9"/>
        <v xml:space="preserve">分析表237_x000D_
</v>
      </c>
      <c r="I291" s="667">
        <v>283</v>
      </c>
      <c r="J291" t="str">
        <f t="shared" si="8"/>
        <v>1.283</v>
      </c>
      <c r="K291"/>
      <c r="L291"/>
      <c r="M291"/>
    </row>
    <row r="292" spans="1:13" s="4" customFormat="1" ht="47.25">
      <c r="A292" s="161" t="s">
        <v>311</v>
      </c>
      <c r="B292" s="8" t="s">
        <v>2076</v>
      </c>
      <c r="C292" s="157" t="s">
        <v>1875</v>
      </c>
      <c r="D292" s="158">
        <v>20</v>
      </c>
      <c r="E292" s="159">
        <v>3880.22</v>
      </c>
      <c r="F292" s="158">
        <v>77604.399999999994</v>
      </c>
      <c r="G292" s="160" t="s">
        <v>5299</v>
      </c>
      <c r="H292" s="1272" t="str">
        <f t="shared" si="9"/>
        <v xml:space="preserve">分析表238_x000D_
</v>
      </c>
      <c r="I292" s="667">
        <v>284</v>
      </c>
      <c r="J292" t="str">
        <f t="shared" si="8"/>
        <v>1.284</v>
      </c>
      <c r="K292"/>
      <c r="L292"/>
      <c r="M292"/>
    </row>
    <row r="293" spans="1:13" s="4" customFormat="1" ht="31.5">
      <c r="A293" s="161" t="s">
        <v>312</v>
      </c>
      <c r="B293" s="8" t="s">
        <v>2083</v>
      </c>
      <c r="C293" s="157" t="s">
        <v>1875</v>
      </c>
      <c r="D293" s="158">
        <v>1</v>
      </c>
      <c r="E293" s="159">
        <v>14901.17</v>
      </c>
      <c r="F293" s="158">
        <v>14901.17</v>
      </c>
      <c r="G293" s="160" t="s">
        <v>5300</v>
      </c>
      <c r="H293" s="1272" t="str">
        <f t="shared" si="9"/>
        <v xml:space="preserve">分析表239_x000D_
</v>
      </c>
      <c r="I293" s="667">
        <v>285</v>
      </c>
      <c r="J293" t="str">
        <f t="shared" si="8"/>
        <v>1.285</v>
      </c>
      <c r="K293"/>
      <c r="L293"/>
      <c r="M293"/>
    </row>
    <row r="294" spans="1:13" s="4" customFormat="1" ht="31.5">
      <c r="A294" s="161" t="s">
        <v>313</v>
      </c>
      <c r="B294" s="8" t="s">
        <v>2090</v>
      </c>
      <c r="C294" s="157" t="s">
        <v>1875</v>
      </c>
      <c r="D294" s="158">
        <v>1</v>
      </c>
      <c r="E294" s="159">
        <v>10000.85</v>
      </c>
      <c r="F294" s="158">
        <v>10000.85</v>
      </c>
      <c r="G294" s="160" t="s">
        <v>5301</v>
      </c>
      <c r="H294" s="1272" t="str">
        <f t="shared" si="9"/>
        <v xml:space="preserve">分析表240_x000D_
</v>
      </c>
      <c r="I294" s="667">
        <v>286</v>
      </c>
      <c r="J294" t="str">
        <f t="shared" si="8"/>
        <v>1.286</v>
      </c>
      <c r="K294"/>
      <c r="L294"/>
      <c r="M294"/>
    </row>
    <row r="295" spans="1:13" s="4" customFormat="1" ht="31.5">
      <c r="A295" s="161" t="s">
        <v>314</v>
      </c>
      <c r="B295" s="8" t="s">
        <v>2097</v>
      </c>
      <c r="C295" s="157" t="s">
        <v>1875</v>
      </c>
      <c r="D295" s="158">
        <v>1</v>
      </c>
      <c r="E295" s="159">
        <v>9371.6299999999992</v>
      </c>
      <c r="F295" s="158">
        <v>9371.6299999999992</v>
      </c>
      <c r="G295" s="160" t="s">
        <v>5302</v>
      </c>
      <c r="H295" s="1272" t="str">
        <f t="shared" si="9"/>
        <v xml:space="preserve">分析表241_x000D_
</v>
      </c>
      <c r="I295" s="667">
        <v>287</v>
      </c>
      <c r="J295" t="str">
        <f t="shared" si="8"/>
        <v>1.287</v>
      </c>
      <c r="K295"/>
      <c r="L295"/>
      <c r="M295"/>
    </row>
    <row r="296" spans="1:13" s="4" customFormat="1" ht="47.25">
      <c r="A296" s="161" t="s">
        <v>315</v>
      </c>
      <c r="B296" s="8" t="s">
        <v>2102</v>
      </c>
      <c r="C296" s="157" t="s">
        <v>1818</v>
      </c>
      <c r="D296" s="158">
        <v>1</v>
      </c>
      <c r="E296" s="159">
        <v>22529.14</v>
      </c>
      <c r="F296" s="158">
        <v>22529.14</v>
      </c>
      <c r="G296" s="160" t="s">
        <v>5303</v>
      </c>
      <c r="H296" s="1272" t="str">
        <f t="shared" si="9"/>
        <v xml:space="preserve">分析表242_x000D_
</v>
      </c>
      <c r="I296" s="667">
        <v>288</v>
      </c>
      <c r="J296" t="str">
        <f t="shared" si="8"/>
        <v>1.288</v>
      </c>
      <c r="K296"/>
      <c r="L296"/>
      <c r="M296"/>
    </row>
    <row r="297" spans="1:13" s="4" customFormat="1" ht="31.5">
      <c r="A297" s="161" t="s">
        <v>316</v>
      </c>
      <c r="B297" s="8" t="s">
        <v>2112</v>
      </c>
      <c r="C297" s="157" t="s">
        <v>1818</v>
      </c>
      <c r="D297" s="158">
        <v>1</v>
      </c>
      <c r="E297" s="159">
        <v>21796.07</v>
      </c>
      <c r="F297" s="158">
        <v>21796.07</v>
      </c>
      <c r="G297" s="160" t="s">
        <v>5304</v>
      </c>
      <c r="H297" s="1272" t="str">
        <f t="shared" si="9"/>
        <v xml:space="preserve">分析表243_x000D_
</v>
      </c>
      <c r="I297" s="667">
        <v>289</v>
      </c>
      <c r="J297" t="str">
        <f t="shared" si="8"/>
        <v>1.289</v>
      </c>
      <c r="K297"/>
      <c r="L297"/>
      <c r="M297"/>
    </row>
    <row r="298" spans="1:13" s="4" customFormat="1" ht="31.5">
      <c r="A298" s="161" t="s">
        <v>317</v>
      </c>
      <c r="B298" s="8" t="s">
        <v>2115</v>
      </c>
      <c r="C298" s="157" t="s">
        <v>1875</v>
      </c>
      <c r="D298" s="158">
        <v>1</v>
      </c>
      <c r="E298" s="159">
        <v>4313.05</v>
      </c>
      <c r="F298" s="158">
        <v>4313.05</v>
      </c>
      <c r="G298" s="160" t="s">
        <v>5305</v>
      </c>
      <c r="H298" s="1272" t="str">
        <f t="shared" si="9"/>
        <v xml:space="preserve">分析表244_x000D_
</v>
      </c>
      <c r="I298" s="667">
        <v>290</v>
      </c>
      <c r="J298" t="str">
        <f t="shared" si="8"/>
        <v>1.290</v>
      </c>
      <c r="K298"/>
      <c r="L298"/>
      <c r="M298"/>
    </row>
    <row r="299" spans="1:13" s="4" customFormat="1" ht="31.5">
      <c r="A299" s="161" t="s">
        <v>318</v>
      </c>
      <c r="B299" s="8" t="s">
        <v>2124</v>
      </c>
      <c r="C299" s="157" t="s">
        <v>1875</v>
      </c>
      <c r="D299" s="158">
        <v>1</v>
      </c>
      <c r="E299" s="159">
        <v>7043.5</v>
      </c>
      <c r="F299" s="158">
        <v>7043.5</v>
      </c>
      <c r="G299" s="160" t="s">
        <v>5306</v>
      </c>
      <c r="H299" s="1272" t="str">
        <f t="shared" si="9"/>
        <v xml:space="preserve">分析表245_x000D_
</v>
      </c>
      <c r="I299" s="667">
        <v>291</v>
      </c>
      <c r="J299" t="str">
        <f t="shared" si="8"/>
        <v>1.291</v>
      </c>
      <c r="K299"/>
      <c r="L299"/>
      <c r="M299"/>
    </row>
    <row r="300" spans="1:13" s="4" customFormat="1" ht="31.5">
      <c r="A300" s="161" t="s">
        <v>319</v>
      </c>
      <c r="B300" s="8" t="s">
        <v>2129</v>
      </c>
      <c r="C300" s="157" t="s">
        <v>1875</v>
      </c>
      <c r="D300" s="158">
        <v>1</v>
      </c>
      <c r="E300" s="159">
        <v>3550.36</v>
      </c>
      <c r="F300" s="158">
        <v>3550.36</v>
      </c>
      <c r="G300" s="160" t="s">
        <v>5307</v>
      </c>
      <c r="H300" s="1272" t="str">
        <f t="shared" si="9"/>
        <v xml:space="preserve">分析表246_x000D_
</v>
      </c>
      <c r="I300" s="667">
        <v>292</v>
      </c>
      <c r="J300" t="str">
        <f t="shared" si="8"/>
        <v>1.292</v>
      </c>
      <c r="K300"/>
      <c r="L300"/>
      <c r="M300"/>
    </row>
    <row r="301" spans="1:13" s="4" customFormat="1" ht="31.5">
      <c r="A301" s="161" t="s">
        <v>320</v>
      </c>
      <c r="B301" s="8" t="s">
        <v>2134</v>
      </c>
      <c r="C301" s="157" t="s">
        <v>1875</v>
      </c>
      <c r="D301" s="158">
        <v>1</v>
      </c>
      <c r="E301" s="159">
        <v>4322.58</v>
      </c>
      <c r="F301" s="158">
        <v>4322.58</v>
      </c>
      <c r="G301" s="160" t="s">
        <v>5308</v>
      </c>
      <c r="H301" s="1272" t="str">
        <f t="shared" si="9"/>
        <v xml:space="preserve">分析表247_x000D_
</v>
      </c>
      <c r="I301" s="667">
        <v>293</v>
      </c>
      <c r="J301" t="str">
        <f t="shared" si="8"/>
        <v>1.293</v>
      </c>
      <c r="K301"/>
      <c r="L301"/>
      <c r="M301"/>
    </row>
    <row r="302" spans="1:13" s="4" customFormat="1" ht="31.5">
      <c r="A302" s="161" t="s">
        <v>321</v>
      </c>
      <c r="B302" s="8" t="s">
        <v>2141</v>
      </c>
      <c r="C302" s="157" t="s">
        <v>3</v>
      </c>
      <c r="D302" s="158">
        <v>5</v>
      </c>
      <c r="E302" s="159">
        <v>1515.57</v>
      </c>
      <c r="F302" s="158">
        <v>7577.85</v>
      </c>
      <c r="G302" s="160" t="s">
        <v>5309</v>
      </c>
      <c r="H302" s="1272" t="str">
        <f t="shared" si="9"/>
        <v xml:space="preserve">分析表248_x000D_
</v>
      </c>
      <c r="I302" s="667">
        <v>294</v>
      </c>
      <c r="J302" t="str">
        <f t="shared" si="8"/>
        <v>1.294</v>
      </c>
      <c r="K302"/>
      <c r="L302"/>
      <c r="M302"/>
    </row>
    <row r="303" spans="1:13" s="4" customFormat="1" ht="31.5">
      <c r="A303" s="161" t="s">
        <v>322</v>
      </c>
      <c r="B303" s="8" t="s">
        <v>3641</v>
      </c>
      <c r="C303" s="157" t="s">
        <v>1875</v>
      </c>
      <c r="D303" s="158">
        <v>5</v>
      </c>
      <c r="E303" s="159">
        <v>3184.26</v>
      </c>
      <c r="F303" s="158">
        <v>15921.3</v>
      </c>
      <c r="G303" s="160" t="s">
        <v>5310</v>
      </c>
      <c r="H303" s="1272" t="str">
        <f t="shared" si="9"/>
        <v xml:space="preserve">分析表249_x000D_
</v>
      </c>
      <c r="I303" s="667">
        <v>295</v>
      </c>
      <c r="J303" t="str">
        <f t="shared" si="8"/>
        <v>1.295</v>
      </c>
      <c r="K303"/>
      <c r="L303"/>
      <c r="M303"/>
    </row>
    <row r="304" spans="1:13" s="4" customFormat="1" ht="31.5">
      <c r="A304" s="161" t="s">
        <v>323</v>
      </c>
      <c r="B304" s="8" t="s">
        <v>3271</v>
      </c>
      <c r="C304" s="157" t="s">
        <v>3</v>
      </c>
      <c r="D304" s="158">
        <v>2</v>
      </c>
      <c r="E304" s="159">
        <v>1388.4</v>
      </c>
      <c r="F304" s="158">
        <v>2776.8</v>
      </c>
      <c r="G304" s="160" t="s">
        <v>4379</v>
      </c>
      <c r="H304" s="1272" t="str">
        <f t="shared" si="9"/>
        <v>#</v>
      </c>
      <c r="I304" s="667">
        <v>296</v>
      </c>
      <c r="J304" t="str">
        <f t="shared" si="8"/>
        <v>1.296</v>
      </c>
      <c r="K304"/>
      <c r="L304"/>
      <c r="M304"/>
    </row>
    <row r="305" spans="1:13" s="4" customFormat="1" ht="31.5">
      <c r="A305" s="161" t="s">
        <v>324</v>
      </c>
      <c r="B305" s="8" t="s">
        <v>3273</v>
      </c>
      <c r="C305" s="157" t="s">
        <v>3</v>
      </c>
      <c r="D305" s="158">
        <v>5</v>
      </c>
      <c r="E305" s="159">
        <v>134.21</v>
      </c>
      <c r="F305" s="158">
        <v>671.05</v>
      </c>
      <c r="G305" s="160" t="s">
        <v>2</v>
      </c>
      <c r="H305" s="1272" t="str">
        <f t="shared" si="9"/>
        <v/>
      </c>
      <c r="I305" s="667">
        <v>297</v>
      </c>
      <c r="J305" t="str">
        <f t="shared" si="8"/>
        <v>1.297</v>
      </c>
      <c r="K305"/>
      <c r="L305"/>
      <c r="M305"/>
    </row>
    <row r="306" spans="1:13" s="4" customFormat="1" ht="47.25">
      <c r="A306" s="161" t="s">
        <v>325</v>
      </c>
      <c r="B306" s="8" t="s">
        <v>2146</v>
      </c>
      <c r="C306" s="157" t="s">
        <v>3</v>
      </c>
      <c r="D306" s="158">
        <v>5</v>
      </c>
      <c r="E306" s="159">
        <v>2310.04</v>
      </c>
      <c r="F306" s="158">
        <v>11550.2</v>
      </c>
      <c r="G306" s="160" t="s">
        <v>5311</v>
      </c>
      <c r="H306" s="1272" t="str">
        <f t="shared" si="9"/>
        <v>分析表250_x000D_
# T=4cm W=14cm</v>
      </c>
      <c r="I306" s="667">
        <v>298</v>
      </c>
      <c r="J306" t="str">
        <f t="shared" si="8"/>
        <v>1.298</v>
      </c>
      <c r="K306"/>
      <c r="L306"/>
      <c r="M306"/>
    </row>
    <row r="307" spans="1:13" s="4" customFormat="1" ht="47.25">
      <c r="A307" s="161" t="s">
        <v>326</v>
      </c>
      <c r="B307" s="8" t="s">
        <v>2158</v>
      </c>
      <c r="C307" s="157" t="s">
        <v>1497</v>
      </c>
      <c r="D307" s="158">
        <v>10</v>
      </c>
      <c r="E307" s="159">
        <v>251.69</v>
      </c>
      <c r="F307" s="158">
        <v>2516.9</v>
      </c>
      <c r="G307" s="160" t="s">
        <v>5312</v>
      </c>
      <c r="H307" s="1272" t="str">
        <f t="shared" si="9"/>
        <v>分析表251_x000D_
# T=4cm W=14cm</v>
      </c>
      <c r="I307" s="667">
        <v>299</v>
      </c>
      <c r="J307" t="str">
        <f t="shared" si="8"/>
        <v>1.299</v>
      </c>
      <c r="K307"/>
      <c r="L307"/>
      <c r="M307"/>
    </row>
    <row r="308" spans="1:13" s="4" customFormat="1" ht="31.5">
      <c r="A308" s="161" t="s">
        <v>327</v>
      </c>
      <c r="B308" s="8" t="s">
        <v>912</v>
      </c>
      <c r="C308" s="157" t="s">
        <v>3</v>
      </c>
      <c r="D308" s="158">
        <v>10</v>
      </c>
      <c r="E308" s="159">
        <v>651.15</v>
      </c>
      <c r="F308" s="158">
        <v>6511.5</v>
      </c>
      <c r="G308" s="160" t="s">
        <v>5313</v>
      </c>
      <c r="H308" s="1272" t="str">
        <f t="shared" si="9"/>
        <v>分析表252_x000D_
#</v>
      </c>
      <c r="I308" s="667">
        <v>300</v>
      </c>
      <c r="J308" t="str">
        <f t="shared" si="8"/>
        <v>1.300</v>
      </c>
      <c r="K308"/>
      <c r="L308"/>
      <c r="M308"/>
    </row>
    <row r="309" spans="1:13" s="4" customFormat="1">
      <c r="A309" s="161" t="s">
        <v>328</v>
      </c>
      <c r="B309" s="8" t="s">
        <v>3278</v>
      </c>
      <c r="C309" s="157" t="s">
        <v>2149</v>
      </c>
      <c r="D309" s="158">
        <v>10</v>
      </c>
      <c r="E309" s="159">
        <v>231.4</v>
      </c>
      <c r="F309" s="158">
        <v>2314</v>
      </c>
      <c r="G309" s="160" t="s">
        <v>2</v>
      </c>
      <c r="H309" s="1272" t="str">
        <f t="shared" si="9"/>
        <v/>
      </c>
      <c r="I309" s="667">
        <v>301</v>
      </c>
      <c r="J309" t="str">
        <f t="shared" si="8"/>
        <v>1.301</v>
      </c>
      <c r="K309"/>
      <c r="L309"/>
      <c r="M309"/>
    </row>
    <row r="310" spans="1:13" s="4" customFormat="1" ht="31.5">
      <c r="A310" s="161" t="s">
        <v>329</v>
      </c>
      <c r="B310" s="8" t="s">
        <v>2169</v>
      </c>
      <c r="C310" s="157" t="s">
        <v>17</v>
      </c>
      <c r="D310" s="158">
        <v>10</v>
      </c>
      <c r="E310" s="159">
        <v>128.66999999999999</v>
      </c>
      <c r="F310" s="158">
        <v>1286.7</v>
      </c>
      <c r="G310" s="160" t="s">
        <v>5314</v>
      </c>
      <c r="H310" s="1272" t="str">
        <f t="shared" si="9"/>
        <v xml:space="preserve">分析表253_x000D_
</v>
      </c>
      <c r="I310" s="667">
        <v>302</v>
      </c>
      <c r="J310" t="str">
        <f t="shared" si="8"/>
        <v>1.302</v>
      </c>
      <c r="K310"/>
      <c r="L310"/>
      <c r="M310"/>
    </row>
    <row r="311" spans="1:13" ht="31.5">
      <c r="A311" s="161" t="s">
        <v>330</v>
      </c>
      <c r="B311" s="8" t="s">
        <v>3642</v>
      </c>
      <c r="C311" s="157" t="s">
        <v>17</v>
      </c>
      <c r="D311" s="158">
        <v>10</v>
      </c>
      <c r="E311" s="159">
        <v>109.6</v>
      </c>
      <c r="F311" s="158">
        <v>1096</v>
      </c>
      <c r="G311" s="160" t="s">
        <v>5315</v>
      </c>
      <c r="H311" s="1272" t="str">
        <f t="shared" si="9"/>
        <v xml:space="preserve">分析表254_x000D_
</v>
      </c>
      <c r="I311" s="667">
        <v>303</v>
      </c>
      <c r="J311" t="str">
        <f t="shared" si="8"/>
        <v>1.303</v>
      </c>
    </row>
    <row r="312" spans="1:13" ht="31.5">
      <c r="A312" s="161" t="s">
        <v>331</v>
      </c>
      <c r="B312" s="8" t="s">
        <v>4697</v>
      </c>
      <c r="C312" s="157" t="s">
        <v>17</v>
      </c>
      <c r="D312" s="158">
        <v>10</v>
      </c>
      <c r="E312" s="159">
        <v>165.32</v>
      </c>
      <c r="F312" s="158">
        <v>1653.2</v>
      </c>
      <c r="G312" s="160" t="s">
        <v>5316</v>
      </c>
      <c r="H312" s="1272" t="str">
        <f t="shared" si="9"/>
        <v xml:space="preserve">分析表255_x000D_
</v>
      </c>
      <c r="I312" s="667">
        <v>304</v>
      </c>
      <c r="J312" t="str">
        <f t="shared" si="8"/>
        <v>1.304</v>
      </c>
    </row>
    <row r="313" spans="1:13" ht="31.5">
      <c r="A313" s="161" t="s">
        <v>332</v>
      </c>
      <c r="B313" s="8" t="s">
        <v>2180</v>
      </c>
      <c r="C313" s="157" t="s">
        <v>3</v>
      </c>
      <c r="D313" s="158">
        <v>10</v>
      </c>
      <c r="E313" s="159">
        <v>1173.79</v>
      </c>
      <c r="F313" s="158">
        <v>11737.9</v>
      </c>
      <c r="G313" s="160" t="s">
        <v>5317</v>
      </c>
      <c r="H313" s="1272" t="str">
        <f t="shared" si="9"/>
        <v xml:space="preserve">分析表256_x000D_
</v>
      </c>
      <c r="I313" s="667">
        <v>305</v>
      </c>
      <c r="J313" t="str">
        <f t="shared" si="8"/>
        <v>1.305</v>
      </c>
    </row>
    <row r="314" spans="1:13" ht="31.5">
      <c r="A314" s="161" t="s">
        <v>333</v>
      </c>
      <c r="B314" s="8" t="s">
        <v>2191</v>
      </c>
      <c r="C314" s="157" t="s">
        <v>3</v>
      </c>
      <c r="D314" s="158">
        <v>10</v>
      </c>
      <c r="E314" s="159">
        <v>1692.05</v>
      </c>
      <c r="F314" s="158">
        <v>16920.5</v>
      </c>
      <c r="G314" s="160" t="s">
        <v>5318</v>
      </c>
      <c r="H314" s="1272" t="str">
        <f t="shared" si="9"/>
        <v xml:space="preserve">分析表257_x000D_
</v>
      </c>
      <c r="I314" s="667">
        <v>306</v>
      </c>
      <c r="J314" t="str">
        <f t="shared" si="8"/>
        <v>1.306</v>
      </c>
    </row>
    <row r="315" spans="1:13" ht="31.5">
      <c r="A315" s="161" t="s">
        <v>334</v>
      </c>
      <c r="B315" s="8" t="s">
        <v>2195</v>
      </c>
      <c r="C315" s="157" t="s">
        <v>3</v>
      </c>
      <c r="D315" s="158">
        <v>10</v>
      </c>
      <c r="E315" s="159">
        <v>1391.92</v>
      </c>
      <c r="F315" s="158">
        <v>13919.2</v>
      </c>
      <c r="G315" s="160" t="s">
        <v>5319</v>
      </c>
      <c r="H315" s="1272" t="str">
        <f t="shared" si="9"/>
        <v xml:space="preserve">分析表258_x000D_
</v>
      </c>
      <c r="I315" s="667">
        <v>307</v>
      </c>
      <c r="J315" t="str">
        <f t="shared" si="8"/>
        <v>1.307</v>
      </c>
    </row>
    <row r="316" spans="1:13" ht="31.5">
      <c r="A316" s="161" t="s">
        <v>335</v>
      </c>
      <c r="B316" s="8" t="s">
        <v>2204</v>
      </c>
      <c r="C316" s="157" t="s">
        <v>1818</v>
      </c>
      <c r="D316" s="158">
        <v>5</v>
      </c>
      <c r="E316" s="159">
        <v>2546.37</v>
      </c>
      <c r="F316" s="158">
        <v>12731.85</v>
      </c>
      <c r="G316" s="160" t="s">
        <v>5320</v>
      </c>
      <c r="H316" s="1272" t="str">
        <f t="shared" si="9"/>
        <v xml:space="preserve">分析表259_x000D_
</v>
      </c>
      <c r="I316" s="667">
        <v>308</v>
      </c>
      <c r="J316" t="str">
        <f t="shared" si="8"/>
        <v>1.308</v>
      </c>
    </row>
    <row r="317" spans="1:13" ht="31.5">
      <c r="A317" s="161" t="s">
        <v>336</v>
      </c>
      <c r="B317" s="8" t="s">
        <v>2212</v>
      </c>
      <c r="C317" s="157" t="s">
        <v>1818</v>
      </c>
      <c r="D317" s="158">
        <v>5</v>
      </c>
      <c r="E317" s="159">
        <v>2723.22</v>
      </c>
      <c r="F317" s="158">
        <v>13616.1</v>
      </c>
      <c r="G317" s="160" t="s">
        <v>5321</v>
      </c>
      <c r="H317" s="1272" t="str">
        <f t="shared" si="9"/>
        <v xml:space="preserve">分析表260_x000D_
</v>
      </c>
      <c r="I317" s="667">
        <v>309</v>
      </c>
      <c r="J317" t="str">
        <f t="shared" si="8"/>
        <v>1.309</v>
      </c>
    </row>
    <row r="318" spans="1:13" ht="31.5">
      <c r="A318" s="161" t="s">
        <v>405</v>
      </c>
      <c r="B318" s="8" t="s">
        <v>2219</v>
      </c>
      <c r="C318" s="157" t="s">
        <v>1818</v>
      </c>
      <c r="D318" s="158">
        <v>5</v>
      </c>
      <c r="E318" s="159">
        <v>13986.8</v>
      </c>
      <c r="F318" s="158">
        <v>69934</v>
      </c>
      <c r="G318" s="160" t="s">
        <v>5322</v>
      </c>
      <c r="H318" s="1272" t="str">
        <f t="shared" si="9"/>
        <v xml:space="preserve">分析表261_x000D_
</v>
      </c>
      <c r="I318" s="667">
        <v>310</v>
      </c>
      <c r="J318" t="str">
        <f t="shared" si="8"/>
        <v>1.310</v>
      </c>
    </row>
    <row r="319" spans="1:13" ht="31.5">
      <c r="A319" s="161" t="s">
        <v>406</v>
      </c>
      <c r="B319" s="8" t="s">
        <v>2226</v>
      </c>
      <c r="C319" s="157" t="s">
        <v>1818</v>
      </c>
      <c r="D319" s="158">
        <v>5</v>
      </c>
      <c r="E319" s="159">
        <v>14163.65</v>
      </c>
      <c r="F319" s="158">
        <v>70818.25</v>
      </c>
      <c r="G319" s="160" t="s">
        <v>5323</v>
      </c>
      <c r="H319" s="1272" t="str">
        <f t="shared" si="9"/>
        <v xml:space="preserve">分析表262_x000D_
</v>
      </c>
      <c r="I319" s="667">
        <v>311</v>
      </c>
      <c r="J319" t="str">
        <f t="shared" si="8"/>
        <v>1.311</v>
      </c>
    </row>
    <row r="320" spans="1:13" ht="47.25">
      <c r="A320" s="161" t="s">
        <v>407</v>
      </c>
      <c r="B320" s="8" t="s">
        <v>2229</v>
      </c>
      <c r="C320" s="157" t="s">
        <v>1818</v>
      </c>
      <c r="D320" s="158">
        <v>5</v>
      </c>
      <c r="E320" s="159">
        <v>14896.92</v>
      </c>
      <c r="F320" s="158">
        <v>74484.600000000006</v>
      </c>
      <c r="G320" s="160" t="s">
        <v>5324</v>
      </c>
      <c r="H320" s="1272" t="str">
        <f t="shared" si="9"/>
        <v xml:space="preserve">分析表263_x000D_
</v>
      </c>
      <c r="I320" s="667">
        <v>312</v>
      </c>
      <c r="J320" t="str">
        <f t="shared" si="8"/>
        <v>1.312</v>
      </c>
    </row>
    <row r="321" spans="1:10" ht="47.25">
      <c r="A321" s="161" t="s">
        <v>408</v>
      </c>
      <c r="B321" s="8" t="s">
        <v>2232</v>
      </c>
      <c r="C321" s="157" t="s">
        <v>1818</v>
      </c>
      <c r="D321" s="158">
        <v>5</v>
      </c>
      <c r="E321" s="159">
        <v>16256.56</v>
      </c>
      <c r="F321" s="158">
        <v>81282.8</v>
      </c>
      <c r="G321" s="160" t="s">
        <v>5325</v>
      </c>
      <c r="H321" s="1272" t="str">
        <f t="shared" si="9"/>
        <v xml:space="preserve">分析表264_x000D_
</v>
      </c>
      <c r="I321" s="667">
        <v>313</v>
      </c>
      <c r="J321" t="str">
        <f t="shared" si="8"/>
        <v>1.313</v>
      </c>
    </row>
    <row r="322" spans="1:10" ht="31.5">
      <c r="A322" s="161" t="s">
        <v>409</v>
      </c>
      <c r="B322" s="8" t="s">
        <v>2237</v>
      </c>
      <c r="C322" s="157" t="s">
        <v>2238</v>
      </c>
      <c r="D322" s="158">
        <v>30</v>
      </c>
      <c r="E322" s="159">
        <v>1078.26</v>
      </c>
      <c r="F322" s="158">
        <v>32347.8</v>
      </c>
      <c r="G322" s="160" t="s">
        <v>5326</v>
      </c>
      <c r="H322" s="1272" t="str">
        <f t="shared" si="9"/>
        <v xml:space="preserve">分析表265_x000D_
</v>
      </c>
      <c r="I322" s="667">
        <v>314</v>
      </c>
      <c r="J322" t="str">
        <f t="shared" ref="J322:J385" si="10">A322</f>
        <v>1.314</v>
      </c>
    </row>
    <row r="323" spans="1:10" ht="31.5">
      <c r="A323" s="161" t="s">
        <v>410</v>
      </c>
      <c r="B323" s="8" t="s">
        <v>2245</v>
      </c>
      <c r="C323" s="157" t="s">
        <v>17</v>
      </c>
      <c r="D323" s="158">
        <v>1</v>
      </c>
      <c r="E323" s="159">
        <v>2726.58</v>
      </c>
      <c r="F323" s="158">
        <v>2726.58</v>
      </c>
      <c r="G323" s="160" t="s">
        <v>5327</v>
      </c>
      <c r="H323" s="1272" t="str">
        <f t="shared" si="9"/>
        <v xml:space="preserve">分析表266_x000D_
</v>
      </c>
      <c r="I323" s="667">
        <v>315</v>
      </c>
      <c r="J323" t="str">
        <f t="shared" si="10"/>
        <v>1.315</v>
      </c>
    </row>
    <row r="324" spans="1:10" ht="31.5">
      <c r="A324" s="161" t="s">
        <v>411</v>
      </c>
      <c r="B324" s="8" t="s">
        <v>2256</v>
      </c>
      <c r="C324" s="157" t="s">
        <v>17</v>
      </c>
      <c r="D324" s="158">
        <v>1</v>
      </c>
      <c r="E324" s="159">
        <v>3509.25</v>
      </c>
      <c r="F324" s="158">
        <v>3509.25</v>
      </c>
      <c r="G324" s="160" t="s">
        <v>5328</v>
      </c>
      <c r="H324" s="1272" t="str">
        <f t="shared" si="9"/>
        <v xml:space="preserve">分析表267_x000D_
</v>
      </c>
      <c r="I324" s="667">
        <v>316</v>
      </c>
      <c r="J324" t="str">
        <f t="shared" si="10"/>
        <v>1.316</v>
      </c>
    </row>
    <row r="325" spans="1:10" ht="31.5">
      <c r="A325" s="161" t="s">
        <v>412</v>
      </c>
      <c r="B325" s="8" t="s">
        <v>2259</v>
      </c>
      <c r="C325" s="157" t="s">
        <v>17</v>
      </c>
      <c r="D325" s="158">
        <v>1</v>
      </c>
      <c r="E325" s="159">
        <v>2726.58</v>
      </c>
      <c r="F325" s="158">
        <v>2726.58</v>
      </c>
      <c r="G325" s="160" t="s">
        <v>5329</v>
      </c>
      <c r="H325" s="1272" t="str">
        <f t="shared" si="9"/>
        <v xml:space="preserve">分析表268_x000D_
</v>
      </c>
      <c r="I325" s="667">
        <v>317</v>
      </c>
      <c r="J325" t="str">
        <f t="shared" si="10"/>
        <v>1.317</v>
      </c>
    </row>
    <row r="326" spans="1:10" ht="31.5">
      <c r="A326" s="161" t="s">
        <v>413</v>
      </c>
      <c r="B326" s="8" t="s">
        <v>2262</v>
      </c>
      <c r="C326" s="157" t="s">
        <v>17</v>
      </c>
      <c r="D326" s="158">
        <v>1</v>
      </c>
      <c r="E326" s="159">
        <v>3047.69</v>
      </c>
      <c r="F326" s="158">
        <v>3047.69</v>
      </c>
      <c r="G326" s="160" t="s">
        <v>5330</v>
      </c>
      <c r="H326" s="1272" t="str">
        <f t="shared" si="9"/>
        <v xml:space="preserve">分析表269_x000D_
</v>
      </c>
      <c r="I326" s="667">
        <v>318</v>
      </c>
      <c r="J326" t="str">
        <f t="shared" si="10"/>
        <v>1.318</v>
      </c>
    </row>
    <row r="327" spans="1:10" ht="47.25">
      <c r="A327" s="161" t="s">
        <v>414</v>
      </c>
      <c r="B327" s="8" t="s">
        <v>3295</v>
      </c>
      <c r="C327" s="157" t="s">
        <v>17</v>
      </c>
      <c r="D327" s="158">
        <v>10</v>
      </c>
      <c r="E327" s="159">
        <v>32.4</v>
      </c>
      <c r="F327" s="158">
        <v>324</v>
      </c>
      <c r="G327" s="160" t="s">
        <v>2</v>
      </c>
      <c r="H327" s="1272" t="str">
        <f t="shared" si="9"/>
        <v/>
      </c>
      <c r="I327" s="667">
        <v>319</v>
      </c>
      <c r="J327" t="str">
        <f t="shared" si="10"/>
        <v>1.319</v>
      </c>
    </row>
    <row r="328" spans="1:10" ht="47.25">
      <c r="A328" s="161" t="s">
        <v>415</v>
      </c>
      <c r="B328" s="8" t="s">
        <v>2937</v>
      </c>
      <c r="C328" s="157" t="s">
        <v>17</v>
      </c>
      <c r="D328" s="158">
        <v>10</v>
      </c>
      <c r="E328" s="159">
        <v>37.020000000000003</v>
      </c>
      <c r="F328" s="158">
        <v>370.2</v>
      </c>
      <c r="G328" s="160" t="s">
        <v>2</v>
      </c>
      <c r="H328" s="1272" t="str">
        <f t="shared" si="9"/>
        <v/>
      </c>
      <c r="I328" s="667">
        <v>320</v>
      </c>
      <c r="J328" t="str">
        <f t="shared" si="10"/>
        <v>1.320</v>
      </c>
    </row>
    <row r="329" spans="1:10" ht="47.25">
      <c r="A329" s="161" t="s">
        <v>416</v>
      </c>
      <c r="B329" s="8" t="s">
        <v>3298</v>
      </c>
      <c r="C329" s="157" t="s">
        <v>17</v>
      </c>
      <c r="D329" s="158">
        <v>10</v>
      </c>
      <c r="E329" s="159">
        <v>41.65</v>
      </c>
      <c r="F329" s="158">
        <v>416.5</v>
      </c>
      <c r="G329" s="160" t="s">
        <v>2</v>
      </c>
      <c r="H329" s="1272" t="str">
        <f t="shared" si="9"/>
        <v/>
      </c>
      <c r="I329" s="667">
        <v>321</v>
      </c>
      <c r="J329" t="str">
        <f t="shared" si="10"/>
        <v>1.321</v>
      </c>
    </row>
    <row r="330" spans="1:10" ht="47.25">
      <c r="A330" s="161" t="s">
        <v>417</v>
      </c>
      <c r="B330" s="8" t="s">
        <v>3300</v>
      </c>
      <c r="C330" s="157" t="s">
        <v>17</v>
      </c>
      <c r="D330" s="158">
        <v>10</v>
      </c>
      <c r="E330" s="159">
        <v>46.28</v>
      </c>
      <c r="F330" s="158">
        <v>462.8</v>
      </c>
      <c r="G330" s="160" t="s">
        <v>2</v>
      </c>
      <c r="H330" s="1272" t="str">
        <f t="shared" si="9"/>
        <v/>
      </c>
      <c r="I330" s="667">
        <v>322</v>
      </c>
      <c r="J330" t="str">
        <f t="shared" si="10"/>
        <v>1.322</v>
      </c>
    </row>
    <row r="331" spans="1:10" ht="47.25">
      <c r="A331" s="161" t="s">
        <v>418</v>
      </c>
      <c r="B331" s="8" t="s">
        <v>3302</v>
      </c>
      <c r="C331" s="157" t="s">
        <v>17</v>
      </c>
      <c r="D331" s="158">
        <v>10</v>
      </c>
      <c r="E331" s="159">
        <v>50.91</v>
      </c>
      <c r="F331" s="158">
        <v>509.1</v>
      </c>
      <c r="G331" s="160" t="s">
        <v>2</v>
      </c>
      <c r="H331" s="1272" t="str">
        <f t="shared" ref="H331:H394" si="11">G331</f>
        <v/>
      </c>
      <c r="I331" s="667">
        <v>323</v>
      </c>
      <c r="J331" t="str">
        <f t="shared" si="10"/>
        <v>1.323</v>
      </c>
    </row>
    <row r="332" spans="1:10" ht="47.25">
      <c r="A332" s="161" t="s">
        <v>419</v>
      </c>
      <c r="B332" s="8" t="s">
        <v>3304</v>
      </c>
      <c r="C332" s="157" t="s">
        <v>17</v>
      </c>
      <c r="D332" s="158">
        <v>10</v>
      </c>
      <c r="E332" s="159">
        <v>55.54</v>
      </c>
      <c r="F332" s="158">
        <v>555.4</v>
      </c>
      <c r="G332" s="160" t="s">
        <v>2</v>
      </c>
      <c r="H332" s="1272" t="str">
        <f t="shared" si="11"/>
        <v/>
      </c>
      <c r="I332" s="667">
        <v>324</v>
      </c>
      <c r="J332" t="str">
        <f t="shared" si="10"/>
        <v>1.324</v>
      </c>
    </row>
    <row r="333" spans="1:10" ht="47.25">
      <c r="A333" s="161" t="s">
        <v>420</v>
      </c>
      <c r="B333" s="8" t="s">
        <v>3306</v>
      </c>
      <c r="C333" s="157" t="s">
        <v>17</v>
      </c>
      <c r="D333" s="158">
        <v>10</v>
      </c>
      <c r="E333" s="159">
        <v>406.8</v>
      </c>
      <c r="F333" s="158">
        <v>4068</v>
      </c>
      <c r="G333" s="160" t="s">
        <v>2</v>
      </c>
      <c r="H333" s="1272" t="str">
        <f t="shared" si="11"/>
        <v/>
      </c>
      <c r="I333" s="667">
        <v>325</v>
      </c>
      <c r="J333" t="str">
        <f t="shared" si="10"/>
        <v>1.325</v>
      </c>
    </row>
    <row r="334" spans="1:10" ht="47.25">
      <c r="A334" s="161" t="s">
        <v>421</v>
      </c>
      <c r="B334" s="8" t="s">
        <v>3308</v>
      </c>
      <c r="C334" s="157" t="s">
        <v>17</v>
      </c>
      <c r="D334" s="158">
        <v>10</v>
      </c>
      <c r="E334" s="159">
        <v>615.59</v>
      </c>
      <c r="F334" s="158">
        <v>6155.9</v>
      </c>
      <c r="G334" s="160" t="s">
        <v>2</v>
      </c>
      <c r="H334" s="1272" t="str">
        <f t="shared" si="11"/>
        <v/>
      </c>
      <c r="I334" s="667">
        <v>326</v>
      </c>
      <c r="J334" t="str">
        <f t="shared" si="10"/>
        <v>1.326</v>
      </c>
    </row>
    <row r="335" spans="1:10" ht="47.25">
      <c r="A335" s="161" t="s">
        <v>422</v>
      </c>
      <c r="B335" s="8" t="s">
        <v>3310</v>
      </c>
      <c r="C335" s="157" t="s">
        <v>17</v>
      </c>
      <c r="D335" s="158">
        <v>10</v>
      </c>
      <c r="E335" s="159">
        <v>709.01</v>
      </c>
      <c r="F335" s="158">
        <v>7090.1</v>
      </c>
      <c r="G335" s="160" t="s">
        <v>2</v>
      </c>
      <c r="H335" s="1272" t="str">
        <f t="shared" si="11"/>
        <v/>
      </c>
      <c r="I335" s="667">
        <v>327</v>
      </c>
      <c r="J335" t="str">
        <f t="shared" si="10"/>
        <v>1.327</v>
      </c>
    </row>
    <row r="336" spans="1:10" ht="47.25">
      <c r="A336" s="161" t="s">
        <v>423</v>
      </c>
      <c r="B336" s="8" t="s">
        <v>3312</v>
      </c>
      <c r="C336" s="157" t="s">
        <v>17</v>
      </c>
      <c r="D336" s="158">
        <v>10</v>
      </c>
      <c r="E336" s="159">
        <v>1125.53</v>
      </c>
      <c r="F336" s="158">
        <v>11255.3</v>
      </c>
      <c r="G336" s="160" t="s">
        <v>2</v>
      </c>
      <c r="H336" s="1272" t="str">
        <f t="shared" si="11"/>
        <v/>
      </c>
      <c r="I336" s="667">
        <v>328</v>
      </c>
      <c r="J336" t="str">
        <f t="shared" si="10"/>
        <v>1.328</v>
      </c>
    </row>
    <row r="337" spans="1:10" ht="47.25">
      <c r="A337" s="161" t="s">
        <v>424</v>
      </c>
      <c r="B337" s="8" t="s">
        <v>3314</v>
      </c>
      <c r="C337" s="157" t="s">
        <v>17</v>
      </c>
      <c r="D337" s="158">
        <v>10</v>
      </c>
      <c r="E337" s="159">
        <v>1421.72</v>
      </c>
      <c r="F337" s="158">
        <v>14217.2</v>
      </c>
      <c r="G337" s="160" t="s">
        <v>2</v>
      </c>
      <c r="H337" s="1272" t="str">
        <f t="shared" si="11"/>
        <v/>
      </c>
      <c r="I337" s="667">
        <v>329</v>
      </c>
      <c r="J337" t="str">
        <f t="shared" si="10"/>
        <v>1.329</v>
      </c>
    </row>
    <row r="338" spans="1:10" ht="31.5">
      <c r="A338" s="161" t="s">
        <v>425</v>
      </c>
      <c r="B338" s="8" t="s">
        <v>2265</v>
      </c>
      <c r="C338" s="157" t="s">
        <v>3</v>
      </c>
      <c r="D338" s="158">
        <v>10</v>
      </c>
      <c r="E338" s="159">
        <v>371.81</v>
      </c>
      <c r="F338" s="158">
        <v>3718.1</v>
      </c>
      <c r="G338" s="160" t="s">
        <v>5331</v>
      </c>
      <c r="H338" s="1272" t="str">
        <f t="shared" si="11"/>
        <v xml:space="preserve">分析表270_x000D_
</v>
      </c>
      <c r="I338" s="667">
        <v>330</v>
      </c>
      <c r="J338" t="str">
        <f t="shared" si="10"/>
        <v>1.330</v>
      </c>
    </row>
    <row r="339" spans="1:10" ht="63">
      <c r="A339" s="161" t="s">
        <v>426</v>
      </c>
      <c r="B339" s="8" t="s">
        <v>2274</v>
      </c>
      <c r="C339" s="157" t="s">
        <v>3</v>
      </c>
      <c r="D339" s="158">
        <v>10</v>
      </c>
      <c r="E339" s="159">
        <v>640.66</v>
      </c>
      <c r="F339" s="158">
        <v>6406.6</v>
      </c>
      <c r="G339" s="160" t="s">
        <v>5332</v>
      </c>
      <c r="H339" s="1272" t="str">
        <f t="shared" si="11"/>
        <v>分析表271_x000D_
需符合中華民國國家標準4750</v>
      </c>
      <c r="I339" s="667">
        <v>331</v>
      </c>
      <c r="J339" t="str">
        <f t="shared" si="10"/>
        <v>1.331</v>
      </c>
    </row>
    <row r="340" spans="1:10" ht="47.25">
      <c r="A340" s="161" t="s">
        <v>427</v>
      </c>
      <c r="B340" s="8" t="s">
        <v>2281</v>
      </c>
      <c r="C340" s="157" t="s">
        <v>3</v>
      </c>
      <c r="D340" s="158">
        <v>2</v>
      </c>
      <c r="E340" s="159">
        <v>3789.64</v>
      </c>
      <c r="F340" s="158">
        <v>7579.28</v>
      </c>
      <c r="G340" s="160" t="s">
        <v>5333</v>
      </c>
      <c r="H340" s="1272" t="str">
        <f t="shared" si="11"/>
        <v xml:space="preserve">分析表272_x000D_
</v>
      </c>
      <c r="I340" s="667">
        <v>332</v>
      </c>
      <c r="J340" t="str">
        <f t="shared" si="10"/>
        <v>1.332</v>
      </c>
    </row>
    <row r="341" spans="1:10" ht="47.25">
      <c r="A341" s="161" t="s">
        <v>428</v>
      </c>
      <c r="B341" s="8" t="s">
        <v>2292</v>
      </c>
      <c r="C341" s="157" t="s">
        <v>3</v>
      </c>
      <c r="D341" s="158">
        <v>10</v>
      </c>
      <c r="E341" s="159">
        <v>233.57</v>
      </c>
      <c r="F341" s="158">
        <v>2335.6999999999998</v>
      </c>
      <c r="G341" s="160" t="s">
        <v>5334</v>
      </c>
      <c r="H341" s="1272" t="str">
        <f t="shared" si="11"/>
        <v xml:space="preserve">分析表273_x000D_
</v>
      </c>
      <c r="I341" s="667">
        <v>333</v>
      </c>
      <c r="J341" t="str">
        <f t="shared" si="10"/>
        <v>1.333</v>
      </c>
    </row>
    <row r="342" spans="1:10" ht="31.5">
      <c r="A342" s="161" t="s">
        <v>429</v>
      </c>
      <c r="B342" s="8" t="s">
        <v>3654</v>
      </c>
      <c r="C342" s="157" t="s">
        <v>1689</v>
      </c>
      <c r="D342" s="158">
        <v>10</v>
      </c>
      <c r="E342" s="159">
        <v>461.63</v>
      </c>
      <c r="F342" s="158">
        <v>4616.3</v>
      </c>
      <c r="G342" s="160" t="s">
        <v>5335</v>
      </c>
      <c r="H342" s="1272" t="str">
        <f t="shared" si="11"/>
        <v>分析表274_x000D_
通行寬度60cm</v>
      </c>
      <c r="I342" s="667">
        <v>334</v>
      </c>
      <c r="J342" t="str">
        <f t="shared" si="10"/>
        <v>1.334</v>
      </c>
    </row>
    <row r="343" spans="1:10" ht="31.5">
      <c r="A343" s="161" t="s">
        <v>430</v>
      </c>
      <c r="B343" s="8" t="s">
        <v>3652</v>
      </c>
      <c r="C343" s="157" t="s">
        <v>1689</v>
      </c>
      <c r="D343" s="158">
        <v>10</v>
      </c>
      <c r="E343" s="159">
        <v>592.91</v>
      </c>
      <c r="F343" s="158">
        <v>5929.1</v>
      </c>
      <c r="G343" s="160" t="s">
        <v>5336</v>
      </c>
      <c r="H343" s="1272" t="str">
        <f t="shared" si="11"/>
        <v>分析表275_x000D_
通行寬度90cm</v>
      </c>
      <c r="I343" s="667">
        <v>335</v>
      </c>
      <c r="J343" t="str">
        <f t="shared" si="10"/>
        <v>1.335</v>
      </c>
    </row>
    <row r="344" spans="1:10" ht="31.5">
      <c r="A344" s="161" t="s">
        <v>431</v>
      </c>
      <c r="B344" s="8" t="s">
        <v>3649</v>
      </c>
      <c r="C344" s="157" t="s">
        <v>3</v>
      </c>
      <c r="D344" s="158">
        <v>10</v>
      </c>
      <c r="E344" s="159">
        <v>728.18</v>
      </c>
      <c r="F344" s="158">
        <v>7281.8</v>
      </c>
      <c r="G344" s="160" t="s">
        <v>5337</v>
      </c>
      <c r="H344" s="1272" t="str">
        <f t="shared" si="11"/>
        <v xml:space="preserve">分析表276_x000D_
</v>
      </c>
      <c r="I344" s="667">
        <v>336</v>
      </c>
      <c r="J344" t="str">
        <f t="shared" si="10"/>
        <v>1.336</v>
      </c>
    </row>
    <row r="345" spans="1:10" ht="31.5">
      <c r="A345" s="161" t="s">
        <v>432</v>
      </c>
      <c r="B345" s="8" t="s">
        <v>3650</v>
      </c>
      <c r="C345" s="157" t="s">
        <v>3</v>
      </c>
      <c r="D345" s="158">
        <v>10</v>
      </c>
      <c r="E345" s="159">
        <v>806.62</v>
      </c>
      <c r="F345" s="158">
        <v>8066.2</v>
      </c>
      <c r="G345" s="160" t="s">
        <v>5338</v>
      </c>
      <c r="H345" s="1272" t="str">
        <f t="shared" si="11"/>
        <v xml:space="preserve">分析表277_x000D_
</v>
      </c>
      <c r="I345" s="667">
        <v>337</v>
      </c>
      <c r="J345" t="str">
        <f t="shared" si="10"/>
        <v>1.337</v>
      </c>
    </row>
    <row r="346" spans="1:10" ht="31.5">
      <c r="A346" s="161" t="s">
        <v>433</v>
      </c>
      <c r="B346" s="8" t="s">
        <v>3651</v>
      </c>
      <c r="C346" s="157" t="s">
        <v>3</v>
      </c>
      <c r="D346" s="158">
        <v>10</v>
      </c>
      <c r="E346" s="159">
        <v>898.16</v>
      </c>
      <c r="F346" s="158">
        <v>8981.6</v>
      </c>
      <c r="G346" s="160" t="s">
        <v>5339</v>
      </c>
      <c r="H346" s="1272" t="str">
        <f t="shared" si="11"/>
        <v xml:space="preserve">分析表278_x000D_
</v>
      </c>
      <c r="I346" s="667">
        <v>338</v>
      </c>
      <c r="J346" t="str">
        <f t="shared" si="10"/>
        <v>1.338</v>
      </c>
    </row>
    <row r="347" spans="1:10" ht="31.5">
      <c r="A347" s="161" t="s">
        <v>434</v>
      </c>
      <c r="B347" s="8" t="s">
        <v>2299</v>
      </c>
      <c r="C347" s="157" t="s">
        <v>1689</v>
      </c>
      <c r="D347" s="158">
        <v>1</v>
      </c>
      <c r="E347" s="159">
        <v>68165.94</v>
      </c>
      <c r="F347" s="158">
        <v>68165.94</v>
      </c>
      <c r="G347" s="160" t="s">
        <v>5340</v>
      </c>
      <c r="H347" s="1272" t="str">
        <f t="shared" si="11"/>
        <v xml:space="preserve">分析表279_x000D_
</v>
      </c>
      <c r="I347" s="667">
        <v>339</v>
      </c>
      <c r="J347" t="str">
        <f t="shared" si="10"/>
        <v>1.339</v>
      </c>
    </row>
    <row r="348" spans="1:10" ht="31.5">
      <c r="A348" s="161" t="s">
        <v>435</v>
      </c>
      <c r="B348" s="8" t="s">
        <v>2306</v>
      </c>
      <c r="C348" s="157" t="s">
        <v>1497</v>
      </c>
      <c r="D348" s="158">
        <v>20</v>
      </c>
      <c r="E348" s="159">
        <v>490.98</v>
      </c>
      <c r="F348" s="158">
        <v>9819.6</v>
      </c>
      <c r="G348" s="160" t="s">
        <v>5341</v>
      </c>
      <c r="H348" s="1272" t="str">
        <f t="shared" si="11"/>
        <v xml:space="preserve">分析表280_x000D_
</v>
      </c>
      <c r="I348" s="667">
        <v>340</v>
      </c>
      <c r="J348" t="str">
        <f t="shared" si="10"/>
        <v>1.340</v>
      </c>
    </row>
    <row r="349" spans="1:10" ht="31.5">
      <c r="A349" s="161" t="s">
        <v>436</v>
      </c>
      <c r="B349" s="8" t="s">
        <v>2313</v>
      </c>
      <c r="C349" s="157" t="s">
        <v>1497</v>
      </c>
      <c r="D349" s="158">
        <v>20</v>
      </c>
      <c r="E349" s="159">
        <v>652.1</v>
      </c>
      <c r="F349" s="158">
        <v>13042</v>
      </c>
      <c r="G349" s="160" t="s">
        <v>5342</v>
      </c>
      <c r="H349" s="1272" t="str">
        <f t="shared" si="11"/>
        <v xml:space="preserve">分析表281_x000D_
</v>
      </c>
      <c r="I349" s="667">
        <v>341</v>
      </c>
      <c r="J349" t="str">
        <f t="shared" si="10"/>
        <v>1.341</v>
      </c>
    </row>
    <row r="350" spans="1:10" ht="47.25">
      <c r="A350" s="161" t="s">
        <v>437</v>
      </c>
      <c r="B350" s="8" t="s">
        <v>2318</v>
      </c>
      <c r="C350" s="157" t="s">
        <v>1497</v>
      </c>
      <c r="D350" s="158">
        <v>10</v>
      </c>
      <c r="E350" s="159">
        <v>661.64</v>
      </c>
      <c r="F350" s="158">
        <v>6616.4</v>
      </c>
      <c r="G350" s="160" t="s">
        <v>5343</v>
      </c>
      <c r="H350" s="1272" t="str">
        <f t="shared" si="11"/>
        <v xml:space="preserve">分析表282_x000D_
</v>
      </c>
      <c r="I350" s="667">
        <v>342</v>
      </c>
      <c r="J350" t="str">
        <f t="shared" si="10"/>
        <v>1.342</v>
      </c>
    </row>
    <row r="351" spans="1:10" ht="47.25">
      <c r="A351" s="161" t="s">
        <v>438</v>
      </c>
      <c r="B351" s="8" t="s">
        <v>2327</v>
      </c>
      <c r="C351" s="157" t="s">
        <v>1497</v>
      </c>
      <c r="D351" s="158">
        <v>10</v>
      </c>
      <c r="E351" s="159">
        <v>454.72</v>
      </c>
      <c r="F351" s="158">
        <v>4547.2</v>
      </c>
      <c r="G351" s="160" t="s">
        <v>5344</v>
      </c>
      <c r="H351" s="1272" t="str">
        <f t="shared" si="11"/>
        <v>分析表283_x000D_
每M3.3支踏步計</v>
      </c>
      <c r="I351" s="667">
        <v>343</v>
      </c>
      <c r="J351" t="str">
        <f t="shared" si="10"/>
        <v>1.343</v>
      </c>
    </row>
    <row r="352" spans="1:10" ht="47.25">
      <c r="A352" s="161" t="s">
        <v>439</v>
      </c>
      <c r="B352" s="8" t="s">
        <v>2338</v>
      </c>
      <c r="C352" s="157" t="s">
        <v>2238</v>
      </c>
      <c r="D352" s="158">
        <v>10</v>
      </c>
      <c r="E352" s="159">
        <v>1210.78</v>
      </c>
      <c r="F352" s="158">
        <v>12107.8</v>
      </c>
      <c r="G352" s="160" t="s">
        <v>5345</v>
      </c>
      <c r="H352" s="1272" t="str">
        <f t="shared" si="11"/>
        <v xml:space="preserve">分析表284_x000D_
</v>
      </c>
      <c r="I352" s="667">
        <v>344</v>
      </c>
      <c r="J352" t="str">
        <f t="shared" si="10"/>
        <v>1.344</v>
      </c>
    </row>
    <row r="353" spans="1:13" ht="47.25">
      <c r="A353" s="161" t="s">
        <v>440</v>
      </c>
      <c r="B353" s="8" t="s">
        <v>2341</v>
      </c>
      <c r="C353" s="157" t="s">
        <v>15</v>
      </c>
      <c r="D353" s="158">
        <v>10</v>
      </c>
      <c r="E353" s="159">
        <v>652.76</v>
      </c>
      <c r="F353" s="158">
        <v>6527.6</v>
      </c>
      <c r="G353" s="160" t="s">
        <v>5346</v>
      </c>
      <c r="H353" s="1272" t="str">
        <f t="shared" si="11"/>
        <v>分析表285_x000D_
穴孔：D=20CM， H=20CM</v>
      </c>
      <c r="I353" s="667">
        <v>345</v>
      </c>
      <c r="J353" t="str">
        <f t="shared" si="10"/>
        <v>1.345</v>
      </c>
    </row>
    <row r="354" spans="1:13" ht="31.5">
      <c r="A354" s="161" t="s">
        <v>441</v>
      </c>
      <c r="B354" s="8" t="s">
        <v>2346</v>
      </c>
      <c r="C354" s="157" t="s">
        <v>3</v>
      </c>
      <c r="D354" s="158">
        <v>20</v>
      </c>
      <c r="E354" s="159">
        <v>40.54</v>
      </c>
      <c r="F354" s="158">
        <v>810.8</v>
      </c>
      <c r="G354" s="160" t="s">
        <v>5347</v>
      </c>
      <c r="H354" s="1272" t="str">
        <f t="shared" si="11"/>
        <v xml:space="preserve">分析表286_x000D_
</v>
      </c>
      <c r="I354" s="667">
        <v>346</v>
      </c>
      <c r="J354" t="str">
        <f t="shared" si="10"/>
        <v>1.346</v>
      </c>
    </row>
    <row r="355" spans="1:13" ht="31.5">
      <c r="A355" s="161" t="s">
        <v>442</v>
      </c>
      <c r="B355" s="8" t="s">
        <v>2360</v>
      </c>
      <c r="C355" s="157" t="s">
        <v>3</v>
      </c>
      <c r="D355" s="158">
        <v>10</v>
      </c>
      <c r="E355" s="159">
        <v>231.51</v>
      </c>
      <c r="F355" s="158">
        <v>2315.1</v>
      </c>
      <c r="G355" s="160" t="s">
        <v>5348</v>
      </c>
      <c r="H355" s="1272" t="str">
        <f t="shared" si="11"/>
        <v xml:space="preserve">分析表287_x000D_
</v>
      </c>
      <c r="I355" s="667">
        <v>347</v>
      </c>
      <c r="J355" t="str">
        <f t="shared" si="10"/>
        <v>1.347</v>
      </c>
    </row>
    <row r="356" spans="1:13" ht="31.5">
      <c r="A356" s="161" t="s">
        <v>443</v>
      </c>
      <c r="B356" s="8" t="s">
        <v>2372</v>
      </c>
      <c r="C356" s="157" t="s">
        <v>3</v>
      </c>
      <c r="D356" s="158">
        <v>10</v>
      </c>
      <c r="E356" s="159">
        <v>635.80999999999995</v>
      </c>
      <c r="F356" s="158">
        <v>6358.1</v>
      </c>
      <c r="G356" s="160" t="s">
        <v>5349</v>
      </c>
      <c r="H356" s="1272" t="str">
        <f t="shared" si="11"/>
        <v xml:space="preserve">分析表288_x000D_
</v>
      </c>
      <c r="I356" s="667">
        <v>348</v>
      </c>
      <c r="J356" t="str">
        <f t="shared" si="10"/>
        <v>1.348</v>
      </c>
    </row>
    <row r="357" spans="1:13" ht="31.5">
      <c r="A357" s="161" t="s">
        <v>444</v>
      </c>
      <c r="B357" s="8" t="s">
        <v>3331</v>
      </c>
      <c r="C357" s="157" t="s">
        <v>2400</v>
      </c>
      <c r="D357" s="158">
        <v>50</v>
      </c>
      <c r="E357" s="159">
        <v>21.58</v>
      </c>
      <c r="F357" s="158">
        <v>1079</v>
      </c>
      <c r="G357" s="160" t="s">
        <v>2</v>
      </c>
      <c r="H357" s="1272" t="str">
        <f t="shared" si="11"/>
        <v/>
      </c>
      <c r="I357" s="667">
        <v>349</v>
      </c>
      <c r="J357" t="str">
        <f t="shared" si="10"/>
        <v>1.349</v>
      </c>
    </row>
    <row r="358" spans="1:13">
      <c r="A358" s="161" t="s">
        <v>445</v>
      </c>
      <c r="B358" s="8" t="s">
        <v>4732</v>
      </c>
      <c r="C358" s="157" t="s">
        <v>1497</v>
      </c>
      <c r="D358" s="158">
        <v>50</v>
      </c>
      <c r="E358" s="159">
        <v>270.27999999999997</v>
      </c>
      <c r="F358" s="158">
        <v>13514</v>
      </c>
      <c r="G358" s="160" t="s">
        <v>2</v>
      </c>
      <c r="H358" s="1272" t="str">
        <f t="shared" si="11"/>
        <v/>
      </c>
      <c r="I358" s="667">
        <v>350</v>
      </c>
      <c r="J358" t="str">
        <f t="shared" si="10"/>
        <v>1.350</v>
      </c>
    </row>
    <row r="359" spans="1:13" ht="31.5">
      <c r="A359" s="161" t="s">
        <v>446</v>
      </c>
      <c r="B359" s="8" t="s">
        <v>2379</v>
      </c>
      <c r="C359" s="157" t="s">
        <v>3</v>
      </c>
      <c r="D359" s="158">
        <v>50</v>
      </c>
      <c r="E359" s="159">
        <v>20.84</v>
      </c>
      <c r="F359" s="158">
        <v>1042</v>
      </c>
      <c r="G359" s="160" t="s">
        <v>5350</v>
      </c>
      <c r="H359" s="1272" t="str">
        <f t="shared" si="11"/>
        <v xml:space="preserve">分析表289_x000D_
</v>
      </c>
      <c r="I359" s="667">
        <v>351</v>
      </c>
      <c r="J359" t="str">
        <f t="shared" si="10"/>
        <v>1.351</v>
      </c>
    </row>
    <row r="360" spans="1:13" ht="31.5">
      <c r="A360" s="161" t="s">
        <v>447</v>
      </c>
      <c r="B360" s="8" t="s">
        <v>2383</v>
      </c>
      <c r="C360" s="157" t="s">
        <v>3</v>
      </c>
      <c r="D360" s="158">
        <v>100</v>
      </c>
      <c r="E360" s="159">
        <v>10.76</v>
      </c>
      <c r="F360" s="158">
        <v>1076</v>
      </c>
      <c r="G360" s="160" t="s">
        <v>5351</v>
      </c>
      <c r="H360" s="1272" t="str">
        <f t="shared" si="11"/>
        <v xml:space="preserve">分析表290_x000D_
</v>
      </c>
      <c r="I360" s="667">
        <v>352</v>
      </c>
      <c r="J360" t="str">
        <f t="shared" si="10"/>
        <v>1.352</v>
      </c>
    </row>
    <row r="361" spans="1:13" ht="31.5">
      <c r="A361" s="161" t="s">
        <v>448</v>
      </c>
      <c r="B361" s="8" t="s">
        <v>2390</v>
      </c>
      <c r="C361" s="157" t="s">
        <v>3</v>
      </c>
      <c r="D361" s="158">
        <v>100</v>
      </c>
      <c r="E361" s="159">
        <v>18.75</v>
      </c>
      <c r="F361" s="158">
        <v>1875</v>
      </c>
      <c r="G361" s="160" t="s">
        <v>5352</v>
      </c>
      <c r="H361" s="1272" t="str">
        <f t="shared" si="11"/>
        <v xml:space="preserve">分析表291_x000D_
</v>
      </c>
      <c r="I361" s="667">
        <v>353</v>
      </c>
      <c r="J361" t="str">
        <f t="shared" si="10"/>
        <v>1.353</v>
      </c>
    </row>
    <row r="362" spans="1:13" ht="31.5">
      <c r="A362" s="161" t="s">
        <v>449</v>
      </c>
      <c r="B362" s="8" t="s">
        <v>2393</v>
      </c>
      <c r="C362" s="157" t="s">
        <v>2394</v>
      </c>
      <c r="D362" s="158">
        <v>10</v>
      </c>
      <c r="E362" s="159">
        <v>2304.79</v>
      </c>
      <c r="F362" s="158">
        <v>23047.9</v>
      </c>
      <c r="G362" s="160" t="s">
        <v>5353</v>
      </c>
      <c r="H362" s="1272" t="str">
        <f t="shared" si="11"/>
        <v xml:space="preserve">分析表292_x000D_
</v>
      </c>
      <c r="I362" s="667">
        <v>354</v>
      </c>
      <c r="J362" t="str">
        <f t="shared" si="10"/>
        <v>1.354</v>
      </c>
    </row>
    <row r="363" spans="1:13" ht="63">
      <c r="A363" s="161" t="s">
        <v>450</v>
      </c>
      <c r="B363" s="8" t="s">
        <v>2399</v>
      </c>
      <c r="C363" s="157" t="s">
        <v>2400</v>
      </c>
      <c r="D363" s="158">
        <v>10</v>
      </c>
      <c r="E363" s="159">
        <v>4232.16</v>
      </c>
      <c r="F363" s="158">
        <v>42321.599999999999</v>
      </c>
      <c r="G363" s="160" t="s">
        <v>5354</v>
      </c>
      <c r="H363" s="1272" t="str">
        <f t="shared" si="11"/>
        <v>分析表293_x000D_
樹高8-10公尺，修剪前樹寬3-5公尺</v>
      </c>
      <c r="I363" s="667">
        <v>355</v>
      </c>
      <c r="J363" t="str">
        <f t="shared" si="10"/>
        <v>1.355</v>
      </c>
    </row>
    <row r="364" spans="1:13" s="7" customFormat="1" ht="31.5">
      <c r="A364" s="161" t="s">
        <v>451</v>
      </c>
      <c r="B364" s="8" t="s">
        <v>2405</v>
      </c>
      <c r="C364" s="157" t="s">
        <v>3</v>
      </c>
      <c r="D364" s="158">
        <v>50</v>
      </c>
      <c r="E364" s="159">
        <v>32.15</v>
      </c>
      <c r="F364" s="158">
        <v>1607.5</v>
      </c>
      <c r="G364" s="160" t="s">
        <v>5355</v>
      </c>
      <c r="H364" s="1272" t="str">
        <f t="shared" si="11"/>
        <v xml:space="preserve">分析表294_x000D_
</v>
      </c>
      <c r="I364" s="667">
        <v>356</v>
      </c>
      <c r="J364" t="str">
        <f t="shared" si="10"/>
        <v>1.356</v>
      </c>
      <c r="K364"/>
      <c r="L364"/>
      <c r="M364"/>
    </row>
    <row r="365" spans="1:13" s="7" customFormat="1" ht="31.5">
      <c r="A365" s="161" t="s">
        <v>452</v>
      </c>
      <c r="B365" s="8" t="s">
        <v>2410</v>
      </c>
      <c r="C365" s="157" t="s">
        <v>0</v>
      </c>
      <c r="D365" s="158">
        <v>10</v>
      </c>
      <c r="E365" s="159">
        <v>2120.79</v>
      </c>
      <c r="F365" s="158">
        <v>21207.9</v>
      </c>
      <c r="G365" s="160" t="s">
        <v>5356</v>
      </c>
      <c r="H365" s="1272" t="str">
        <f t="shared" si="11"/>
        <v xml:space="preserve">分析表295_x000D_
</v>
      </c>
      <c r="I365" s="667">
        <v>357</v>
      </c>
      <c r="J365" t="str">
        <f t="shared" si="10"/>
        <v>1.357</v>
      </c>
      <c r="K365"/>
      <c r="L365"/>
      <c r="M365"/>
    </row>
    <row r="366" spans="1:13" s="7" customFormat="1" ht="63">
      <c r="A366" s="161" t="s">
        <v>455</v>
      </c>
      <c r="B366" s="8" t="s">
        <v>4390</v>
      </c>
      <c r="C366" s="157" t="s">
        <v>927</v>
      </c>
      <c r="D366" s="158">
        <v>10</v>
      </c>
      <c r="E366" s="159">
        <v>191.71</v>
      </c>
      <c r="F366" s="158">
        <v>1917.1</v>
      </c>
      <c r="G366" s="160" t="s">
        <v>5357</v>
      </c>
      <c r="H366" s="1272" t="str">
        <f t="shared" si="11"/>
        <v>分析表296_x000D_
原名稱：袪水，臨時排水，箱涵用</v>
      </c>
      <c r="I366" s="667">
        <v>358</v>
      </c>
      <c r="J366" t="str">
        <f t="shared" si="10"/>
        <v>1.358</v>
      </c>
      <c r="K366"/>
      <c r="L366"/>
      <c r="M366"/>
    </row>
    <row r="367" spans="1:13" s="9" customFormat="1" ht="63">
      <c r="A367" s="161" t="s">
        <v>456</v>
      </c>
      <c r="B367" s="8" t="s">
        <v>4392</v>
      </c>
      <c r="C367" s="157" t="s">
        <v>927</v>
      </c>
      <c r="D367" s="158">
        <v>20</v>
      </c>
      <c r="E367" s="159">
        <v>150.44</v>
      </c>
      <c r="F367" s="158">
        <v>3008.8</v>
      </c>
      <c r="G367" s="160" t="s">
        <v>5358</v>
      </c>
      <c r="H367" s="1272" t="str">
        <f t="shared" si="11"/>
        <v>分析表297_x000D_
原名稱：袪水，臨時排水，RCP用</v>
      </c>
      <c r="I367" s="667">
        <v>359</v>
      </c>
      <c r="J367" t="str">
        <f t="shared" si="10"/>
        <v>1.359</v>
      </c>
      <c r="K367"/>
      <c r="L367"/>
      <c r="M367"/>
    </row>
    <row r="368" spans="1:13" s="7" customFormat="1" ht="31.5">
      <c r="A368" s="161" t="s">
        <v>457</v>
      </c>
      <c r="B368" s="8" t="s">
        <v>2381</v>
      </c>
      <c r="C368" s="157" t="s">
        <v>927</v>
      </c>
      <c r="D368" s="158">
        <v>5</v>
      </c>
      <c r="E368" s="159">
        <v>2005.13</v>
      </c>
      <c r="F368" s="158">
        <v>10025.65</v>
      </c>
      <c r="G368" s="160" t="s">
        <v>5359</v>
      </c>
      <c r="H368" s="1272" t="str">
        <f t="shared" si="11"/>
        <v xml:space="preserve">分析表298_x000D_
</v>
      </c>
      <c r="I368" s="667">
        <v>360</v>
      </c>
      <c r="J368" t="str">
        <f t="shared" si="10"/>
        <v>1.360</v>
      </c>
      <c r="K368"/>
      <c r="L368"/>
      <c r="M368"/>
    </row>
    <row r="369" spans="1:13" s="7" customFormat="1" ht="31.5">
      <c r="A369" s="161" t="s">
        <v>466</v>
      </c>
      <c r="B369" s="8" t="s">
        <v>2422</v>
      </c>
      <c r="C369" s="157" t="s">
        <v>927</v>
      </c>
      <c r="D369" s="158">
        <v>5</v>
      </c>
      <c r="E369" s="159">
        <v>3644.26</v>
      </c>
      <c r="F369" s="158">
        <v>18221.3</v>
      </c>
      <c r="G369" s="160" t="s">
        <v>5360</v>
      </c>
      <c r="H369" s="1272" t="str">
        <f t="shared" si="11"/>
        <v xml:space="preserve">分析表299_x000D_
</v>
      </c>
      <c r="I369" s="667">
        <v>361</v>
      </c>
      <c r="J369" s="9" t="str">
        <f t="shared" si="10"/>
        <v>1.361</v>
      </c>
      <c r="K369" s="9"/>
      <c r="L369" s="9"/>
      <c r="M369" s="9"/>
    </row>
    <row r="370" spans="1:13" s="9" customFormat="1" ht="47.25">
      <c r="A370" s="161" t="s">
        <v>467</v>
      </c>
      <c r="B370" s="8" t="s">
        <v>514</v>
      </c>
      <c r="C370" s="157" t="s">
        <v>927</v>
      </c>
      <c r="D370" s="158">
        <v>20</v>
      </c>
      <c r="E370" s="159">
        <v>862.13</v>
      </c>
      <c r="F370" s="158">
        <v>17242.599999999999</v>
      </c>
      <c r="G370" s="160" t="s">
        <v>5361</v>
      </c>
      <c r="H370" s="1272" t="str">
        <f t="shared" si="11"/>
        <v>分析表300_x000D_
(含油料及運費)</v>
      </c>
      <c r="I370" s="667">
        <v>362</v>
      </c>
      <c r="J370" t="str">
        <f t="shared" si="10"/>
        <v>1.362</v>
      </c>
      <c r="K370"/>
      <c r="L370"/>
      <c r="M370"/>
    </row>
    <row r="371" spans="1:13" s="7" customFormat="1" ht="47.25">
      <c r="A371" s="161" t="s">
        <v>468</v>
      </c>
      <c r="B371" s="8" t="s">
        <v>2433</v>
      </c>
      <c r="C371" s="157" t="s">
        <v>927</v>
      </c>
      <c r="D371" s="158">
        <v>20</v>
      </c>
      <c r="E371" s="159">
        <v>843.07</v>
      </c>
      <c r="F371" s="158">
        <v>16861.400000000001</v>
      </c>
      <c r="G371" s="160" t="s">
        <v>5362</v>
      </c>
      <c r="H371" s="1272" t="str">
        <f t="shared" si="11"/>
        <v>分析表301_x000D_
(含油料及運費)</v>
      </c>
      <c r="I371" s="667">
        <v>363</v>
      </c>
      <c r="J371" t="str">
        <f t="shared" si="10"/>
        <v>1.363</v>
      </c>
      <c r="K371"/>
      <c r="L371"/>
      <c r="M371"/>
    </row>
    <row r="372" spans="1:13" s="7" customFormat="1" ht="47.25">
      <c r="A372" s="161" t="s">
        <v>469</v>
      </c>
      <c r="B372" s="8" t="s">
        <v>2438</v>
      </c>
      <c r="C372" s="157" t="s">
        <v>927</v>
      </c>
      <c r="D372" s="158">
        <v>20</v>
      </c>
      <c r="E372" s="159">
        <v>747.73</v>
      </c>
      <c r="F372" s="158">
        <v>14954.6</v>
      </c>
      <c r="G372" s="160" t="s">
        <v>5363</v>
      </c>
      <c r="H372" s="1272" t="str">
        <f t="shared" si="11"/>
        <v>分析表302_x000D_
(含油料及運費)</v>
      </c>
      <c r="I372" s="667">
        <v>364</v>
      </c>
      <c r="J372" s="9" t="str">
        <f t="shared" si="10"/>
        <v>1.364</v>
      </c>
      <c r="K372" s="9"/>
      <c r="L372" s="9"/>
      <c r="M372" s="9"/>
    </row>
    <row r="373" spans="1:13" s="7" customFormat="1" ht="31.5">
      <c r="A373" s="161" t="s">
        <v>470</v>
      </c>
      <c r="B373" s="8" t="s">
        <v>2443</v>
      </c>
      <c r="C373" s="157" t="s">
        <v>4395</v>
      </c>
      <c r="D373" s="158">
        <v>2</v>
      </c>
      <c r="E373" s="159">
        <v>29035.82</v>
      </c>
      <c r="F373" s="158">
        <v>58071.64</v>
      </c>
      <c r="G373" s="160" t="s">
        <v>5364</v>
      </c>
      <c r="H373" s="1272" t="str">
        <f t="shared" si="11"/>
        <v>分析表303_x000D_
廢方另計</v>
      </c>
      <c r="I373" s="667">
        <v>365</v>
      </c>
      <c r="J373" t="str">
        <f t="shared" si="10"/>
        <v>1.365</v>
      </c>
      <c r="K373"/>
      <c r="L373"/>
      <c r="M373"/>
    </row>
    <row r="374" spans="1:13" s="7" customFormat="1" ht="31.5">
      <c r="A374" s="161" t="s">
        <v>471</v>
      </c>
      <c r="B374" s="8" t="s">
        <v>515</v>
      </c>
      <c r="C374" s="157" t="s">
        <v>0</v>
      </c>
      <c r="D374" s="158">
        <v>5</v>
      </c>
      <c r="E374" s="159">
        <v>3112.58</v>
      </c>
      <c r="F374" s="158">
        <v>15562.9</v>
      </c>
      <c r="G374" s="160" t="s">
        <v>5365</v>
      </c>
      <c r="H374" s="1272" t="str">
        <f t="shared" si="11"/>
        <v xml:space="preserve">分析表304_x000D_
</v>
      </c>
      <c r="I374" s="667">
        <v>366</v>
      </c>
      <c r="J374" t="str">
        <f t="shared" si="10"/>
        <v>1.366</v>
      </c>
      <c r="K374"/>
      <c r="L374"/>
      <c r="M374"/>
    </row>
    <row r="375" spans="1:13" s="7" customFormat="1" ht="31.5">
      <c r="A375" s="161" t="s">
        <v>472</v>
      </c>
      <c r="B375" s="8" t="s">
        <v>3349</v>
      </c>
      <c r="C375" s="157" t="s">
        <v>1497</v>
      </c>
      <c r="D375" s="158">
        <v>20</v>
      </c>
      <c r="E375" s="159">
        <v>46.28</v>
      </c>
      <c r="F375" s="158">
        <v>925.6</v>
      </c>
      <c r="G375" s="160" t="s">
        <v>2</v>
      </c>
      <c r="H375" s="1272" t="str">
        <f t="shared" si="11"/>
        <v/>
      </c>
      <c r="I375" s="667">
        <v>367</v>
      </c>
      <c r="J375" t="str">
        <f t="shared" si="10"/>
        <v>1.367</v>
      </c>
      <c r="K375"/>
      <c r="L375"/>
      <c r="M375"/>
    </row>
    <row r="376" spans="1:13" s="7" customFormat="1" ht="31.5">
      <c r="A376" s="161" t="s">
        <v>473</v>
      </c>
      <c r="B376" s="8" t="s">
        <v>2333</v>
      </c>
      <c r="C376" s="157" t="s">
        <v>1497</v>
      </c>
      <c r="D376" s="158">
        <v>20</v>
      </c>
      <c r="E376" s="159">
        <v>64.790000000000006</v>
      </c>
      <c r="F376" s="158">
        <v>1295.8</v>
      </c>
      <c r="G376" s="160" t="s">
        <v>2</v>
      </c>
      <c r="H376" s="1272" t="str">
        <f t="shared" si="11"/>
        <v/>
      </c>
      <c r="I376" s="667">
        <v>368</v>
      </c>
      <c r="J376" t="str">
        <f t="shared" si="10"/>
        <v>1.368</v>
      </c>
      <c r="K376"/>
      <c r="L376"/>
      <c r="M376"/>
    </row>
    <row r="377" spans="1:13" s="7" customFormat="1" ht="47.25">
      <c r="A377" s="161" t="s">
        <v>474</v>
      </c>
      <c r="B377" s="8" t="s">
        <v>3351</v>
      </c>
      <c r="C377" s="157" t="s">
        <v>1818</v>
      </c>
      <c r="D377" s="158">
        <v>2</v>
      </c>
      <c r="E377" s="159">
        <v>4072.65</v>
      </c>
      <c r="F377" s="158">
        <v>8145.3</v>
      </c>
      <c r="G377" s="160" t="s">
        <v>2</v>
      </c>
      <c r="H377" s="1272" t="str">
        <f t="shared" si="11"/>
        <v/>
      </c>
      <c r="I377" s="667">
        <v>369</v>
      </c>
      <c r="J377" t="str">
        <f t="shared" si="10"/>
        <v>1.369</v>
      </c>
      <c r="K377"/>
      <c r="L377"/>
      <c r="M377"/>
    </row>
    <row r="378" spans="1:13" s="7" customFormat="1" ht="31.5">
      <c r="A378" s="161" t="s">
        <v>475</v>
      </c>
      <c r="B378" s="8" t="s">
        <v>3353</v>
      </c>
      <c r="C378" s="157" t="s">
        <v>1689</v>
      </c>
      <c r="D378" s="158">
        <v>1</v>
      </c>
      <c r="E378" s="159">
        <v>7527.92</v>
      </c>
      <c r="F378" s="158">
        <v>7527.92</v>
      </c>
      <c r="G378" s="160" t="s">
        <v>4397</v>
      </c>
      <c r="H378" s="1272" t="str">
        <f t="shared" si="11"/>
        <v># 過溝鑄鐵蓋板</v>
      </c>
      <c r="I378" s="667">
        <v>370</v>
      </c>
      <c r="J378" t="str">
        <f t="shared" si="10"/>
        <v>1.370</v>
      </c>
      <c r="K378"/>
      <c r="L378"/>
      <c r="M378"/>
    </row>
    <row r="379" spans="1:13" s="7" customFormat="1" ht="47.25">
      <c r="A379" s="161" t="s">
        <v>476</v>
      </c>
      <c r="B379" s="8" t="s">
        <v>3355</v>
      </c>
      <c r="C379" s="157" t="s">
        <v>1497</v>
      </c>
      <c r="D379" s="158">
        <v>50</v>
      </c>
      <c r="E379" s="159">
        <v>54.61</v>
      </c>
      <c r="F379" s="158">
        <v>2730.5</v>
      </c>
      <c r="G379" s="160" t="s">
        <v>4379</v>
      </c>
      <c r="H379" s="1272" t="str">
        <f t="shared" si="11"/>
        <v>#</v>
      </c>
      <c r="I379" s="667">
        <v>371</v>
      </c>
      <c r="J379" t="str">
        <f t="shared" si="10"/>
        <v>1.371</v>
      </c>
      <c r="K379"/>
      <c r="L379"/>
      <c r="M379"/>
    </row>
    <row r="380" spans="1:13" s="7" customFormat="1" ht="31.5">
      <c r="A380" s="161" t="s">
        <v>477</v>
      </c>
      <c r="B380" s="8" t="s">
        <v>3357</v>
      </c>
      <c r="C380" s="157" t="s">
        <v>17</v>
      </c>
      <c r="D380" s="158">
        <v>70</v>
      </c>
      <c r="E380" s="159">
        <v>7.4</v>
      </c>
      <c r="F380" s="158">
        <v>518</v>
      </c>
      <c r="G380" s="160" t="s">
        <v>2</v>
      </c>
      <c r="H380" s="1272" t="str">
        <f t="shared" si="11"/>
        <v/>
      </c>
      <c r="I380" s="667">
        <v>372</v>
      </c>
      <c r="J380" t="str">
        <f t="shared" si="10"/>
        <v>1.372</v>
      </c>
      <c r="K380"/>
      <c r="L380"/>
      <c r="M380"/>
    </row>
    <row r="381" spans="1:13" s="7" customFormat="1" ht="31.5">
      <c r="A381" s="161" t="s">
        <v>478</v>
      </c>
      <c r="B381" s="8" t="s">
        <v>3359</v>
      </c>
      <c r="C381" s="157" t="s">
        <v>2679</v>
      </c>
      <c r="D381" s="158">
        <v>1</v>
      </c>
      <c r="E381" s="159">
        <v>20363.240000000002</v>
      </c>
      <c r="F381" s="158">
        <v>20363.240000000002</v>
      </c>
      <c r="G381" s="160" t="s">
        <v>2</v>
      </c>
      <c r="H381" s="1272" t="str">
        <f t="shared" si="11"/>
        <v/>
      </c>
      <c r="I381" s="667">
        <v>373</v>
      </c>
      <c r="J381" t="str">
        <f t="shared" si="10"/>
        <v>1.373</v>
      </c>
      <c r="K381"/>
      <c r="L381"/>
      <c r="M381"/>
    </row>
    <row r="382" spans="1:13" s="7" customFormat="1" ht="31.5">
      <c r="A382" s="161" t="s">
        <v>479</v>
      </c>
      <c r="B382" s="8" t="s">
        <v>3361</v>
      </c>
      <c r="C382" s="157" t="s">
        <v>2679</v>
      </c>
      <c r="D382" s="158">
        <v>1</v>
      </c>
      <c r="E382" s="159">
        <v>23140.04</v>
      </c>
      <c r="F382" s="158">
        <v>23140.04</v>
      </c>
      <c r="G382" s="160" t="s">
        <v>2</v>
      </c>
      <c r="H382" s="1272" t="str">
        <f t="shared" si="11"/>
        <v/>
      </c>
      <c r="I382" s="667">
        <v>374</v>
      </c>
      <c r="J382" t="str">
        <f t="shared" si="10"/>
        <v>1.374</v>
      </c>
      <c r="K382"/>
      <c r="L382"/>
      <c r="M382"/>
    </row>
    <row r="383" spans="1:13" s="7" customFormat="1">
      <c r="A383" s="161" t="s">
        <v>480</v>
      </c>
      <c r="B383" s="8" t="s">
        <v>3363</v>
      </c>
      <c r="C383" s="157" t="s">
        <v>1875</v>
      </c>
      <c r="D383" s="158">
        <v>10</v>
      </c>
      <c r="E383" s="159">
        <v>38.880000000000003</v>
      </c>
      <c r="F383" s="158">
        <v>388.8</v>
      </c>
      <c r="G383" s="160" t="s">
        <v>2</v>
      </c>
      <c r="H383" s="1272" t="str">
        <f t="shared" si="11"/>
        <v/>
      </c>
      <c r="I383" s="667">
        <v>375</v>
      </c>
      <c r="J383" t="str">
        <f t="shared" si="10"/>
        <v>1.375</v>
      </c>
      <c r="K383"/>
      <c r="L383"/>
      <c r="M383"/>
    </row>
    <row r="384" spans="1:13" s="7" customFormat="1">
      <c r="A384" s="161" t="s">
        <v>481</v>
      </c>
      <c r="B384" s="8" t="s">
        <v>3365</v>
      </c>
      <c r="C384" s="157" t="s">
        <v>1875</v>
      </c>
      <c r="D384" s="158">
        <v>10</v>
      </c>
      <c r="E384" s="159">
        <v>34.25</v>
      </c>
      <c r="F384" s="158">
        <v>342.5</v>
      </c>
      <c r="G384" s="160" t="s">
        <v>2</v>
      </c>
      <c r="H384" s="1272" t="str">
        <f t="shared" si="11"/>
        <v/>
      </c>
      <c r="I384" s="667">
        <v>376</v>
      </c>
      <c r="J384" t="str">
        <f t="shared" si="10"/>
        <v>1.376</v>
      </c>
      <c r="K384"/>
      <c r="L384"/>
      <c r="M384"/>
    </row>
    <row r="385" spans="1:13" s="7" customFormat="1" ht="31.5">
      <c r="A385" s="161" t="s">
        <v>482</v>
      </c>
      <c r="B385" s="8" t="s">
        <v>3367</v>
      </c>
      <c r="C385" s="157" t="s">
        <v>17</v>
      </c>
      <c r="D385" s="158">
        <v>10</v>
      </c>
      <c r="E385" s="159">
        <v>287.86</v>
      </c>
      <c r="F385" s="158">
        <v>2878.6</v>
      </c>
      <c r="G385" s="160" t="s">
        <v>2</v>
      </c>
      <c r="H385" s="1272" t="str">
        <f t="shared" si="11"/>
        <v/>
      </c>
      <c r="I385" s="667">
        <v>377</v>
      </c>
      <c r="J385" t="str">
        <f t="shared" si="10"/>
        <v>1.377</v>
      </c>
      <c r="K385"/>
      <c r="L385"/>
      <c r="M385"/>
    </row>
    <row r="386" spans="1:13" s="7" customFormat="1" ht="31.5">
      <c r="A386" s="161" t="s">
        <v>483</v>
      </c>
      <c r="B386" s="8" t="s">
        <v>2458</v>
      </c>
      <c r="C386" s="157" t="s">
        <v>2335</v>
      </c>
      <c r="D386" s="158">
        <v>5</v>
      </c>
      <c r="E386" s="159">
        <v>764.92</v>
      </c>
      <c r="F386" s="158">
        <v>3824.6</v>
      </c>
      <c r="G386" s="160" t="s">
        <v>5366</v>
      </c>
      <c r="H386" s="1272" t="str">
        <f t="shared" si="11"/>
        <v xml:space="preserve">分析表305_x000D_
</v>
      </c>
      <c r="I386" s="667">
        <v>378</v>
      </c>
      <c r="J386" t="str">
        <f t="shared" ref="J386:J449" si="12">A386</f>
        <v>1.378</v>
      </c>
      <c r="K386"/>
      <c r="L386"/>
      <c r="M386"/>
    </row>
    <row r="387" spans="1:13" s="7" customFormat="1" ht="31.5">
      <c r="A387" s="161" t="s">
        <v>484</v>
      </c>
      <c r="B387" s="8" t="s">
        <v>2954</v>
      </c>
      <c r="C387" s="157" t="s">
        <v>2490</v>
      </c>
      <c r="D387" s="158">
        <v>2</v>
      </c>
      <c r="E387" s="159">
        <v>27768.05</v>
      </c>
      <c r="F387" s="158">
        <v>55536.1</v>
      </c>
      <c r="G387" s="160" t="s">
        <v>2</v>
      </c>
      <c r="H387" s="1272" t="str">
        <f t="shared" si="11"/>
        <v/>
      </c>
      <c r="I387" s="667">
        <v>379</v>
      </c>
      <c r="J387" t="str">
        <f t="shared" si="12"/>
        <v>1.379</v>
      </c>
      <c r="K387"/>
      <c r="L387"/>
      <c r="M387"/>
    </row>
    <row r="388" spans="1:13" s="7" customFormat="1" ht="31.5">
      <c r="A388" s="161" t="s">
        <v>485</v>
      </c>
      <c r="B388" s="8" t="s">
        <v>3371</v>
      </c>
      <c r="C388" s="157" t="s">
        <v>2490</v>
      </c>
      <c r="D388" s="158">
        <v>5</v>
      </c>
      <c r="E388" s="159">
        <v>6942.01</v>
      </c>
      <c r="F388" s="158">
        <v>34710.050000000003</v>
      </c>
      <c r="G388" s="160" t="s">
        <v>2</v>
      </c>
      <c r="H388" s="1272" t="str">
        <f t="shared" si="11"/>
        <v/>
      </c>
      <c r="I388" s="667">
        <v>380</v>
      </c>
      <c r="J388" t="str">
        <f t="shared" si="12"/>
        <v>1.380</v>
      </c>
      <c r="K388"/>
      <c r="L388"/>
      <c r="M388"/>
    </row>
    <row r="389" spans="1:13" s="7" customFormat="1" ht="31.5">
      <c r="A389" s="161" t="s">
        <v>486</v>
      </c>
      <c r="B389" s="8" t="s">
        <v>2468</v>
      </c>
      <c r="C389" s="157" t="s">
        <v>0</v>
      </c>
      <c r="D389" s="158">
        <v>1</v>
      </c>
      <c r="E389" s="159">
        <v>46087.839999999997</v>
      </c>
      <c r="F389" s="158">
        <v>46087.839999999997</v>
      </c>
      <c r="G389" s="160" t="s">
        <v>5367</v>
      </c>
      <c r="H389" s="1272" t="str">
        <f t="shared" si="11"/>
        <v>分析表306_x000D_
#</v>
      </c>
      <c r="I389" s="667">
        <v>381</v>
      </c>
      <c r="J389" t="str">
        <f t="shared" si="12"/>
        <v>1.381</v>
      </c>
      <c r="K389"/>
      <c r="L389"/>
      <c r="M389"/>
    </row>
    <row r="390" spans="1:13" s="7" customFormat="1" ht="31.5">
      <c r="A390" s="161" t="s">
        <v>487</v>
      </c>
      <c r="B390" s="8" t="s">
        <v>2475</v>
      </c>
      <c r="C390" s="157" t="s">
        <v>2238</v>
      </c>
      <c r="D390" s="158">
        <v>5</v>
      </c>
      <c r="E390" s="159">
        <v>54027.85</v>
      </c>
      <c r="F390" s="158">
        <v>270139.25</v>
      </c>
      <c r="G390" s="160" t="s">
        <v>5368</v>
      </c>
      <c r="H390" s="1272" t="str">
        <f t="shared" si="11"/>
        <v xml:space="preserve">分析表307_x000D_
</v>
      </c>
      <c r="I390" s="667">
        <v>382</v>
      </c>
      <c r="J390" t="str">
        <f t="shared" si="12"/>
        <v>1.382</v>
      </c>
      <c r="K390"/>
      <c r="L390"/>
      <c r="M390"/>
    </row>
    <row r="391" spans="1:13" s="7" customFormat="1" ht="31.5">
      <c r="A391" s="161" t="s">
        <v>488</v>
      </c>
      <c r="B391" s="8" t="s">
        <v>2480</v>
      </c>
      <c r="C391" s="157" t="s">
        <v>2238</v>
      </c>
      <c r="D391" s="158">
        <v>5</v>
      </c>
      <c r="E391" s="159">
        <v>70213.78</v>
      </c>
      <c r="F391" s="158">
        <v>351068.9</v>
      </c>
      <c r="G391" s="160" t="s">
        <v>5369</v>
      </c>
      <c r="H391" s="1272" t="str">
        <f t="shared" si="11"/>
        <v xml:space="preserve">分析表308_x000D_
</v>
      </c>
      <c r="I391" s="667">
        <v>383</v>
      </c>
      <c r="J391" t="str">
        <f t="shared" si="12"/>
        <v>1.383</v>
      </c>
      <c r="K391"/>
      <c r="L391"/>
      <c r="M391"/>
    </row>
    <row r="392" spans="1:13" s="7" customFormat="1" ht="31.5">
      <c r="A392" s="161" t="s">
        <v>489</v>
      </c>
      <c r="B392" s="8" t="s">
        <v>2483</v>
      </c>
      <c r="C392" s="157" t="s">
        <v>2238</v>
      </c>
      <c r="D392" s="158">
        <v>5</v>
      </c>
      <c r="E392" s="159">
        <v>39186.49</v>
      </c>
      <c r="F392" s="158">
        <v>195932.45</v>
      </c>
      <c r="G392" s="160" t="s">
        <v>5370</v>
      </c>
      <c r="H392" s="1272" t="str">
        <f t="shared" si="11"/>
        <v xml:space="preserve">分析表309_x000D_
</v>
      </c>
      <c r="I392" s="667">
        <v>384</v>
      </c>
      <c r="J392" t="str">
        <f t="shared" si="12"/>
        <v>1.384</v>
      </c>
      <c r="K392"/>
      <c r="L392"/>
      <c r="M392"/>
    </row>
    <row r="393" spans="1:13" s="7" customFormat="1" ht="31.5">
      <c r="A393" s="161" t="s">
        <v>490</v>
      </c>
      <c r="B393" s="8" t="s">
        <v>2486</v>
      </c>
      <c r="C393" s="157" t="s">
        <v>2238</v>
      </c>
      <c r="D393" s="158">
        <v>5</v>
      </c>
      <c r="E393" s="159">
        <v>50322.59</v>
      </c>
      <c r="F393" s="158">
        <v>251612.95</v>
      </c>
      <c r="G393" s="160" t="s">
        <v>5371</v>
      </c>
      <c r="H393" s="1272" t="str">
        <f t="shared" si="11"/>
        <v xml:space="preserve">分析表310_x000D_
</v>
      </c>
      <c r="I393" s="667">
        <v>385</v>
      </c>
      <c r="J393" t="str">
        <f t="shared" si="12"/>
        <v>1.385</v>
      </c>
      <c r="K393"/>
      <c r="L393"/>
      <c r="M393"/>
    </row>
    <row r="394" spans="1:13" s="7" customFormat="1" ht="31.5">
      <c r="A394" s="161" t="s">
        <v>491</v>
      </c>
      <c r="B394" s="8" t="s">
        <v>4756</v>
      </c>
      <c r="C394" s="157" t="s">
        <v>2490</v>
      </c>
      <c r="D394" s="158">
        <v>5</v>
      </c>
      <c r="E394" s="159">
        <v>23140.04</v>
      </c>
      <c r="F394" s="158">
        <v>115700.2</v>
      </c>
      <c r="G394" s="160" t="s">
        <v>2</v>
      </c>
      <c r="H394" s="1272" t="str">
        <f t="shared" si="11"/>
        <v/>
      </c>
      <c r="I394" s="667">
        <v>386</v>
      </c>
      <c r="J394" t="str">
        <f t="shared" si="12"/>
        <v>1.386</v>
      </c>
      <c r="K394"/>
      <c r="L394"/>
      <c r="M394"/>
    </row>
    <row r="395" spans="1:13" s="7" customFormat="1" ht="47.25">
      <c r="A395" s="161" t="s">
        <v>492</v>
      </c>
      <c r="B395" s="8" t="s">
        <v>2938</v>
      </c>
      <c r="C395" s="157" t="s">
        <v>2490</v>
      </c>
      <c r="D395" s="158">
        <v>10</v>
      </c>
      <c r="E395" s="159">
        <v>6710.61</v>
      </c>
      <c r="F395" s="158">
        <v>67106.100000000006</v>
      </c>
      <c r="G395" s="160" t="s">
        <v>4398</v>
      </c>
      <c r="H395" s="1272" t="str">
        <f t="shared" ref="H395:H458" si="13">G395</f>
        <v>未達8小時適用</v>
      </c>
      <c r="I395" s="667">
        <v>387</v>
      </c>
      <c r="J395" t="str">
        <f t="shared" si="12"/>
        <v>1.387</v>
      </c>
      <c r="K395"/>
      <c r="L395"/>
      <c r="M395"/>
    </row>
    <row r="396" spans="1:13" s="7" customFormat="1" ht="47.25">
      <c r="A396" s="161" t="s">
        <v>493</v>
      </c>
      <c r="B396" s="8" t="s">
        <v>3379</v>
      </c>
      <c r="C396" s="157" t="s">
        <v>2490</v>
      </c>
      <c r="D396" s="158">
        <v>10</v>
      </c>
      <c r="E396" s="159">
        <v>9996.5</v>
      </c>
      <c r="F396" s="158">
        <v>99965</v>
      </c>
      <c r="G396" s="160" t="s">
        <v>4398</v>
      </c>
      <c r="H396" s="1272" t="str">
        <f t="shared" si="13"/>
        <v>未達8小時適用</v>
      </c>
      <c r="I396" s="667">
        <v>388</v>
      </c>
      <c r="J396" t="str">
        <f t="shared" si="12"/>
        <v>1.388</v>
      </c>
      <c r="K396"/>
      <c r="L396"/>
      <c r="M396"/>
    </row>
    <row r="397" spans="1:13" s="7" customFormat="1" ht="47.25">
      <c r="A397" s="161" t="s">
        <v>494</v>
      </c>
      <c r="B397" s="8" t="s">
        <v>4758</v>
      </c>
      <c r="C397" s="157" t="s">
        <v>2490</v>
      </c>
      <c r="D397" s="158">
        <v>10</v>
      </c>
      <c r="E397" s="159">
        <v>13884.03</v>
      </c>
      <c r="F397" s="158">
        <v>138840.29999999999</v>
      </c>
      <c r="G397" s="160" t="s">
        <v>4398</v>
      </c>
      <c r="H397" s="1272" t="str">
        <f t="shared" si="13"/>
        <v>未達8小時適用</v>
      </c>
      <c r="I397" s="667">
        <v>389</v>
      </c>
      <c r="J397" t="str">
        <f t="shared" si="12"/>
        <v>1.389</v>
      </c>
      <c r="K397"/>
      <c r="L397"/>
      <c r="M397"/>
    </row>
    <row r="398" spans="1:13" s="7" customFormat="1" ht="31.5">
      <c r="A398" s="161" t="s">
        <v>495</v>
      </c>
      <c r="B398" s="8" t="s">
        <v>2489</v>
      </c>
      <c r="C398" s="157" t="s">
        <v>2490</v>
      </c>
      <c r="D398" s="158">
        <v>5</v>
      </c>
      <c r="E398" s="159">
        <v>2891.58</v>
      </c>
      <c r="F398" s="158">
        <v>14457.9</v>
      </c>
      <c r="G398" s="160" t="s">
        <v>5372</v>
      </c>
      <c r="H398" s="1272" t="str">
        <f t="shared" si="13"/>
        <v xml:space="preserve">分析表311_x000D_
</v>
      </c>
      <c r="I398" s="667">
        <v>390</v>
      </c>
      <c r="J398" t="str">
        <f t="shared" si="12"/>
        <v>1.390</v>
      </c>
      <c r="K398"/>
      <c r="L398"/>
      <c r="M398"/>
    </row>
    <row r="399" spans="1:13" s="7" customFormat="1" ht="31.5">
      <c r="A399" s="161" t="s">
        <v>496</v>
      </c>
      <c r="B399" s="8" t="s">
        <v>2497</v>
      </c>
      <c r="C399" s="157" t="s">
        <v>2490</v>
      </c>
      <c r="D399" s="158">
        <v>10</v>
      </c>
      <c r="E399" s="159">
        <v>723.82</v>
      </c>
      <c r="F399" s="158">
        <v>7238.2</v>
      </c>
      <c r="G399" s="160" t="s">
        <v>5373</v>
      </c>
      <c r="H399" s="1272" t="str">
        <f t="shared" si="13"/>
        <v xml:space="preserve">分析表312_x000D_
</v>
      </c>
      <c r="I399" s="667">
        <v>391</v>
      </c>
      <c r="J399" t="str">
        <f t="shared" si="12"/>
        <v>1.391</v>
      </c>
      <c r="K399"/>
      <c r="L399"/>
      <c r="M399"/>
    </row>
    <row r="400" spans="1:13" s="7" customFormat="1" ht="31.5">
      <c r="A400" s="161" t="s">
        <v>497</v>
      </c>
      <c r="B400" s="8" t="s">
        <v>2506</v>
      </c>
      <c r="C400" s="157" t="s">
        <v>2490</v>
      </c>
      <c r="D400" s="158">
        <v>10</v>
      </c>
      <c r="E400" s="159">
        <v>3931.95</v>
      </c>
      <c r="F400" s="158">
        <v>39319.5</v>
      </c>
      <c r="G400" s="160" t="s">
        <v>5374</v>
      </c>
      <c r="H400" s="1272" t="str">
        <f t="shared" si="13"/>
        <v xml:space="preserve">分析表313_x000D_
</v>
      </c>
      <c r="I400" s="667">
        <v>392</v>
      </c>
      <c r="J400" t="str">
        <f t="shared" si="12"/>
        <v>1.392</v>
      </c>
      <c r="K400"/>
      <c r="L400"/>
      <c r="M400"/>
    </row>
    <row r="401" spans="1:13" s="7" customFormat="1" ht="31.5">
      <c r="A401" s="161" t="s">
        <v>498</v>
      </c>
      <c r="B401" s="8" t="s">
        <v>2509</v>
      </c>
      <c r="C401" s="157" t="s">
        <v>2490</v>
      </c>
      <c r="D401" s="158">
        <v>10</v>
      </c>
      <c r="E401" s="159">
        <v>1256.97</v>
      </c>
      <c r="F401" s="158">
        <v>12569.7</v>
      </c>
      <c r="G401" s="160" t="s">
        <v>5375</v>
      </c>
      <c r="H401" s="1272" t="str">
        <f t="shared" si="13"/>
        <v xml:space="preserve">分析表314_x000D_
</v>
      </c>
      <c r="I401" s="667">
        <v>393</v>
      </c>
      <c r="J401" t="str">
        <f t="shared" si="12"/>
        <v>1.393</v>
      </c>
      <c r="K401"/>
      <c r="L401"/>
      <c r="M401"/>
    </row>
    <row r="402" spans="1:13" s="7" customFormat="1" ht="31.5">
      <c r="A402" s="161" t="s">
        <v>499</v>
      </c>
      <c r="B402" s="8" t="s">
        <v>3385</v>
      </c>
      <c r="C402" s="157" t="s">
        <v>2238</v>
      </c>
      <c r="D402" s="158">
        <v>10</v>
      </c>
      <c r="E402" s="159">
        <v>233.25</v>
      </c>
      <c r="F402" s="158">
        <v>2332.5</v>
      </c>
      <c r="G402" s="160" t="s">
        <v>2</v>
      </c>
      <c r="H402" s="1272" t="str">
        <f t="shared" si="13"/>
        <v/>
      </c>
      <c r="I402" s="667">
        <v>394</v>
      </c>
      <c r="J402" t="str">
        <f t="shared" si="12"/>
        <v>1.394</v>
      </c>
      <c r="K402"/>
      <c r="L402"/>
      <c r="M402"/>
    </row>
    <row r="403" spans="1:13" s="7" customFormat="1" ht="31.5">
      <c r="A403" s="161" t="s">
        <v>521</v>
      </c>
      <c r="B403" s="8" t="s">
        <v>3387</v>
      </c>
      <c r="C403" s="157" t="s">
        <v>2238</v>
      </c>
      <c r="D403" s="158">
        <v>10</v>
      </c>
      <c r="E403" s="159">
        <v>112.46</v>
      </c>
      <c r="F403" s="158">
        <v>1124.5999999999999</v>
      </c>
      <c r="G403" s="160" t="s">
        <v>2</v>
      </c>
      <c r="H403" s="1272" t="str">
        <f t="shared" si="13"/>
        <v/>
      </c>
      <c r="I403" s="667">
        <v>395</v>
      </c>
      <c r="J403" t="str">
        <f t="shared" si="12"/>
        <v>1.395</v>
      </c>
      <c r="K403"/>
      <c r="L403"/>
      <c r="M403"/>
    </row>
    <row r="404" spans="1:13" s="7" customFormat="1" ht="31.5">
      <c r="A404" s="161" t="s">
        <v>522</v>
      </c>
      <c r="B404" s="8" t="s">
        <v>2512</v>
      </c>
      <c r="C404" s="157" t="s">
        <v>2238</v>
      </c>
      <c r="D404" s="158">
        <v>10</v>
      </c>
      <c r="E404" s="159">
        <v>20928.28</v>
      </c>
      <c r="F404" s="158">
        <v>209282.8</v>
      </c>
      <c r="G404" s="160" t="s">
        <v>5376</v>
      </c>
      <c r="H404" s="1272" t="str">
        <f t="shared" si="13"/>
        <v xml:space="preserve">分析表315_x000D_
</v>
      </c>
      <c r="I404" s="667">
        <v>396</v>
      </c>
      <c r="J404" t="str">
        <f t="shared" si="12"/>
        <v>1.396</v>
      </c>
      <c r="K404"/>
      <c r="L404"/>
      <c r="M404"/>
    </row>
    <row r="405" spans="1:13" s="7" customFormat="1" ht="31.5">
      <c r="A405" s="161" t="s">
        <v>523</v>
      </c>
      <c r="B405" s="8" t="s">
        <v>2515</v>
      </c>
      <c r="C405" s="157" t="s">
        <v>2238</v>
      </c>
      <c r="D405" s="158">
        <v>10</v>
      </c>
      <c r="E405" s="159">
        <v>30416.31</v>
      </c>
      <c r="F405" s="158">
        <v>304163.09999999998</v>
      </c>
      <c r="G405" s="160" t="s">
        <v>5377</v>
      </c>
      <c r="H405" s="1272" t="str">
        <f t="shared" si="13"/>
        <v xml:space="preserve">分析表316_x000D_
</v>
      </c>
      <c r="I405" s="667">
        <v>397</v>
      </c>
      <c r="J405" t="str">
        <f t="shared" si="12"/>
        <v>1.397</v>
      </c>
      <c r="K405"/>
      <c r="L405"/>
      <c r="M405"/>
    </row>
    <row r="406" spans="1:13" s="7" customFormat="1" ht="47.25">
      <c r="A406" s="161" t="s">
        <v>524</v>
      </c>
      <c r="B406" s="8" t="s">
        <v>2518</v>
      </c>
      <c r="C406" s="157" t="s">
        <v>2238</v>
      </c>
      <c r="D406" s="158">
        <v>20</v>
      </c>
      <c r="E406" s="159">
        <v>10052.31</v>
      </c>
      <c r="F406" s="158">
        <v>201046.2</v>
      </c>
      <c r="G406" s="160" t="s">
        <v>5378</v>
      </c>
      <c r="H406" s="1272" t="str">
        <f t="shared" si="13"/>
        <v xml:space="preserve">分析表317_x000D_
</v>
      </c>
      <c r="I406" s="667">
        <v>398</v>
      </c>
      <c r="J406" t="str">
        <f t="shared" si="12"/>
        <v>1.398</v>
      </c>
      <c r="K406"/>
      <c r="L406"/>
      <c r="M406"/>
    </row>
    <row r="407" spans="1:13" s="7" customFormat="1" ht="47.25">
      <c r="A407" s="161" t="s">
        <v>525</v>
      </c>
      <c r="B407" s="8" t="s">
        <v>2527</v>
      </c>
      <c r="C407" s="157" t="s">
        <v>2238</v>
      </c>
      <c r="D407" s="158">
        <v>20</v>
      </c>
      <c r="E407" s="159">
        <v>19033.04</v>
      </c>
      <c r="F407" s="158">
        <v>380660.8</v>
      </c>
      <c r="G407" s="160" t="s">
        <v>5379</v>
      </c>
      <c r="H407" s="1272" t="str">
        <f t="shared" si="13"/>
        <v xml:space="preserve">分析表318_x000D_
</v>
      </c>
      <c r="I407" s="667">
        <v>399</v>
      </c>
      <c r="J407" t="str">
        <f t="shared" si="12"/>
        <v>1.399</v>
      </c>
      <c r="K407"/>
      <c r="L407"/>
      <c r="M407"/>
    </row>
    <row r="408" spans="1:13" s="7" customFormat="1" ht="47.25">
      <c r="A408" s="161" t="s">
        <v>526</v>
      </c>
      <c r="B408" s="8" t="s">
        <v>2530</v>
      </c>
      <c r="C408" s="157" t="s">
        <v>2238</v>
      </c>
      <c r="D408" s="158">
        <v>20</v>
      </c>
      <c r="E408" s="159">
        <v>15253.89</v>
      </c>
      <c r="F408" s="158">
        <v>305077.8</v>
      </c>
      <c r="G408" s="160" t="s">
        <v>5380</v>
      </c>
      <c r="H408" s="1272" t="str">
        <f t="shared" si="13"/>
        <v xml:space="preserve">分析表319_x000D_
</v>
      </c>
      <c r="I408" s="667">
        <v>400</v>
      </c>
      <c r="J408" t="str">
        <f t="shared" si="12"/>
        <v>1.400</v>
      </c>
      <c r="K408"/>
      <c r="L408"/>
      <c r="M408"/>
    </row>
    <row r="409" spans="1:13" s="7" customFormat="1" ht="47.25">
      <c r="A409" s="161" t="s">
        <v>527</v>
      </c>
      <c r="B409" s="8" t="s">
        <v>2537</v>
      </c>
      <c r="C409" s="157" t="s">
        <v>2238</v>
      </c>
      <c r="D409" s="158">
        <v>20</v>
      </c>
      <c r="E409" s="159">
        <v>28364.59</v>
      </c>
      <c r="F409" s="158">
        <v>567291.80000000005</v>
      </c>
      <c r="G409" s="160" t="s">
        <v>5381</v>
      </c>
      <c r="H409" s="1272" t="str">
        <f t="shared" si="13"/>
        <v xml:space="preserve">分析表320_x000D_
</v>
      </c>
      <c r="I409" s="667">
        <v>401</v>
      </c>
      <c r="J409" t="str">
        <f t="shared" si="12"/>
        <v>1.401</v>
      </c>
      <c r="K409"/>
      <c r="L409"/>
      <c r="M409"/>
    </row>
    <row r="410" spans="1:13" s="7" customFormat="1" ht="63">
      <c r="A410" s="161" t="s">
        <v>528</v>
      </c>
      <c r="B410" s="8" t="s">
        <v>2896</v>
      </c>
      <c r="C410" s="157" t="s">
        <v>0</v>
      </c>
      <c r="D410" s="158">
        <v>20</v>
      </c>
      <c r="E410" s="159">
        <v>6738.38</v>
      </c>
      <c r="F410" s="158">
        <v>134767.6</v>
      </c>
      <c r="G410" s="160" t="s">
        <v>5382</v>
      </c>
      <c r="H410" s="1272" t="str">
        <f t="shared" si="13"/>
        <v xml:space="preserve">分析表321_x000D_
</v>
      </c>
      <c r="I410" s="667">
        <v>402</v>
      </c>
      <c r="J410" t="str">
        <f t="shared" si="12"/>
        <v>1.402</v>
      </c>
      <c r="K410"/>
      <c r="L410"/>
      <c r="M410"/>
    </row>
    <row r="411" spans="1:13" s="7" customFormat="1" ht="63">
      <c r="A411" s="161" t="s">
        <v>2881</v>
      </c>
      <c r="B411" s="8" t="s">
        <v>2971</v>
      </c>
      <c r="C411" s="157" t="s">
        <v>0</v>
      </c>
      <c r="D411" s="158">
        <v>20</v>
      </c>
      <c r="E411" s="159">
        <v>6796.69</v>
      </c>
      <c r="F411" s="158">
        <v>135933.79999999999</v>
      </c>
      <c r="G411" s="160" t="s">
        <v>5383</v>
      </c>
      <c r="H411" s="1272" t="str">
        <f t="shared" si="13"/>
        <v xml:space="preserve">分析表322_x000D_
</v>
      </c>
      <c r="I411" s="667">
        <v>403</v>
      </c>
      <c r="J411" s="7" t="str">
        <f t="shared" si="12"/>
        <v>1.403</v>
      </c>
      <c r="K411"/>
      <c r="L411"/>
      <c r="M411"/>
    </row>
    <row r="412" spans="1:13" s="7" customFormat="1" ht="47.25">
      <c r="A412" s="161" t="s">
        <v>2882</v>
      </c>
      <c r="B412" s="8" t="s">
        <v>2547</v>
      </c>
      <c r="C412" s="157" t="s">
        <v>0</v>
      </c>
      <c r="D412" s="158">
        <v>20</v>
      </c>
      <c r="E412" s="159">
        <v>5897.55</v>
      </c>
      <c r="F412" s="158">
        <v>117951</v>
      </c>
      <c r="G412" s="160" t="s">
        <v>5384</v>
      </c>
      <c r="H412" s="1272" t="str">
        <f t="shared" si="13"/>
        <v xml:space="preserve">分析表323_x000D_
</v>
      </c>
      <c r="I412" s="667">
        <v>404</v>
      </c>
      <c r="J412" s="7" t="str">
        <f t="shared" si="12"/>
        <v>1.404</v>
      </c>
      <c r="K412"/>
      <c r="L412"/>
      <c r="M412"/>
    </row>
    <row r="413" spans="1:13" s="7" customFormat="1" ht="47.25">
      <c r="A413" s="161" t="s">
        <v>3662</v>
      </c>
      <c r="B413" s="8" t="s">
        <v>2550</v>
      </c>
      <c r="C413" s="157" t="s">
        <v>0</v>
      </c>
      <c r="D413" s="158">
        <v>20</v>
      </c>
      <c r="E413" s="159">
        <v>6240.76</v>
      </c>
      <c r="F413" s="158">
        <v>124815.2</v>
      </c>
      <c r="G413" s="160" t="s">
        <v>5385</v>
      </c>
      <c r="H413" s="1272" t="str">
        <f t="shared" si="13"/>
        <v xml:space="preserve">分析表324_x000D_
</v>
      </c>
      <c r="I413" s="667">
        <v>405</v>
      </c>
      <c r="J413" s="7" t="str">
        <f t="shared" si="12"/>
        <v>1.405</v>
      </c>
      <c r="K413"/>
      <c r="L413"/>
      <c r="M413"/>
    </row>
    <row r="414" spans="1:13" s="7" customFormat="1" ht="63">
      <c r="A414" s="161" t="s">
        <v>3663</v>
      </c>
      <c r="B414" s="8" t="s">
        <v>2553</v>
      </c>
      <c r="C414" s="157" t="s">
        <v>0</v>
      </c>
      <c r="D414" s="158">
        <v>20</v>
      </c>
      <c r="E414" s="159">
        <v>6603.04</v>
      </c>
      <c r="F414" s="158">
        <v>132060.79999999999</v>
      </c>
      <c r="G414" s="160" t="s">
        <v>5386</v>
      </c>
      <c r="H414" s="1272" t="str">
        <f t="shared" si="13"/>
        <v xml:space="preserve">分析表325_x000D_
</v>
      </c>
      <c r="I414" s="667">
        <v>406</v>
      </c>
      <c r="J414" s="7" t="str">
        <f t="shared" si="12"/>
        <v>1.406</v>
      </c>
      <c r="K414"/>
      <c r="M414"/>
    </row>
    <row r="415" spans="1:13" s="7" customFormat="1" ht="47.25">
      <c r="A415" s="161" t="s">
        <v>3664</v>
      </c>
      <c r="B415" s="8" t="s">
        <v>2556</v>
      </c>
      <c r="C415" s="157" t="s">
        <v>2238</v>
      </c>
      <c r="D415" s="158">
        <v>20</v>
      </c>
      <c r="E415" s="159">
        <v>15387.31</v>
      </c>
      <c r="F415" s="158">
        <v>307746.2</v>
      </c>
      <c r="G415" s="160" t="s">
        <v>5387</v>
      </c>
      <c r="H415" s="1272" t="str">
        <f t="shared" si="13"/>
        <v xml:space="preserve">分析表326_x000D_
</v>
      </c>
      <c r="I415" s="667">
        <v>407</v>
      </c>
      <c r="J415" s="7" t="str">
        <f t="shared" si="12"/>
        <v>1.407</v>
      </c>
      <c r="K415"/>
      <c r="M415"/>
    </row>
    <row r="416" spans="1:13" s="7" customFormat="1" ht="63">
      <c r="A416" s="161" t="s">
        <v>3665</v>
      </c>
      <c r="B416" s="8" t="s">
        <v>2561</v>
      </c>
      <c r="C416" s="157" t="s">
        <v>2238</v>
      </c>
      <c r="D416" s="158">
        <v>20</v>
      </c>
      <c r="E416" s="159">
        <v>21660.51</v>
      </c>
      <c r="F416" s="158">
        <v>433210.2</v>
      </c>
      <c r="G416" s="160" t="s">
        <v>5388</v>
      </c>
      <c r="H416" s="1272" t="str">
        <f t="shared" si="13"/>
        <v xml:space="preserve">分析表327_x000D_
</v>
      </c>
      <c r="I416" s="667">
        <v>408</v>
      </c>
      <c r="J416" s="7" t="str">
        <f t="shared" si="12"/>
        <v>1.408</v>
      </c>
      <c r="K416"/>
      <c r="L416"/>
      <c r="M416"/>
    </row>
    <row r="417" spans="1:13" s="7" customFormat="1" ht="31.5">
      <c r="A417" s="161" t="s">
        <v>3666</v>
      </c>
      <c r="B417" s="8" t="s">
        <v>2570</v>
      </c>
      <c r="C417" s="157" t="s">
        <v>17</v>
      </c>
      <c r="D417" s="158">
        <v>5</v>
      </c>
      <c r="E417" s="159">
        <v>6082.92</v>
      </c>
      <c r="F417" s="158">
        <v>30414.6</v>
      </c>
      <c r="G417" s="160" t="s">
        <v>5389</v>
      </c>
      <c r="H417" s="1272" t="str">
        <f t="shared" si="13"/>
        <v xml:space="preserve">分析表328_x000D_
</v>
      </c>
      <c r="I417" s="667">
        <v>409</v>
      </c>
      <c r="J417" s="7" t="str">
        <f t="shared" si="12"/>
        <v>1.409</v>
      </c>
      <c r="K417"/>
      <c r="L417"/>
      <c r="M417"/>
    </row>
    <row r="418" spans="1:13" s="7" customFormat="1" ht="31.5">
      <c r="A418" s="161" t="s">
        <v>3667</v>
      </c>
      <c r="B418" s="8" t="s">
        <v>2577</v>
      </c>
      <c r="C418" s="157" t="s">
        <v>17</v>
      </c>
      <c r="D418" s="158">
        <v>5</v>
      </c>
      <c r="E418" s="159">
        <v>6636.47</v>
      </c>
      <c r="F418" s="158">
        <v>33182.35</v>
      </c>
      <c r="G418" s="160" t="s">
        <v>5390</v>
      </c>
      <c r="H418" s="1272" t="str">
        <f t="shared" si="13"/>
        <v xml:space="preserve">分析表329_x000D_
</v>
      </c>
      <c r="I418" s="667">
        <v>410</v>
      </c>
      <c r="J418" s="7" t="str">
        <f t="shared" si="12"/>
        <v>1.410</v>
      </c>
      <c r="K418"/>
      <c r="L418"/>
      <c r="M418"/>
    </row>
    <row r="419" spans="1:13" s="7" customFormat="1" ht="31.5">
      <c r="A419" s="161" t="s">
        <v>3668</v>
      </c>
      <c r="B419" s="8" t="s">
        <v>2584</v>
      </c>
      <c r="C419" s="157" t="s">
        <v>17</v>
      </c>
      <c r="D419" s="158">
        <v>5</v>
      </c>
      <c r="E419" s="159">
        <v>7565.81</v>
      </c>
      <c r="F419" s="158">
        <v>37829.050000000003</v>
      </c>
      <c r="G419" s="160" t="s">
        <v>5391</v>
      </c>
      <c r="H419" s="1272" t="str">
        <f t="shared" si="13"/>
        <v xml:space="preserve">分析表330_x000D_
</v>
      </c>
      <c r="I419" s="667">
        <v>411</v>
      </c>
      <c r="J419" s="7" t="str">
        <f t="shared" si="12"/>
        <v>1.411</v>
      </c>
      <c r="K419"/>
      <c r="L419"/>
      <c r="M419"/>
    </row>
    <row r="420" spans="1:13" s="7" customFormat="1" ht="31.5">
      <c r="A420" s="161" t="s">
        <v>3976</v>
      </c>
      <c r="B420" s="8" t="s">
        <v>2587</v>
      </c>
      <c r="C420" s="157" t="s">
        <v>17</v>
      </c>
      <c r="D420" s="158">
        <v>5</v>
      </c>
      <c r="E420" s="159">
        <v>8348.57</v>
      </c>
      <c r="F420" s="158">
        <v>41742.85</v>
      </c>
      <c r="G420" s="160" t="s">
        <v>5392</v>
      </c>
      <c r="H420" s="1272" t="str">
        <f t="shared" si="13"/>
        <v xml:space="preserve">分析表331_x000D_
</v>
      </c>
      <c r="I420" s="667">
        <v>412</v>
      </c>
      <c r="J420" s="7" t="str">
        <f t="shared" si="12"/>
        <v>1.412</v>
      </c>
      <c r="K420"/>
      <c r="L420"/>
      <c r="M420"/>
    </row>
    <row r="421" spans="1:13" s="7" customFormat="1" ht="31.5">
      <c r="A421" s="161" t="s">
        <v>3977</v>
      </c>
      <c r="B421" s="8" t="s">
        <v>2590</v>
      </c>
      <c r="C421" s="157" t="s">
        <v>17</v>
      </c>
      <c r="D421" s="158">
        <v>5</v>
      </c>
      <c r="E421" s="159">
        <v>8881.42</v>
      </c>
      <c r="F421" s="158">
        <v>44407.1</v>
      </c>
      <c r="G421" s="160" t="s">
        <v>5393</v>
      </c>
      <c r="H421" s="1272" t="str">
        <f t="shared" si="13"/>
        <v xml:space="preserve">分析表332_x000D_
</v>
      </c>
      <c r="I421" s="667">
        <v>413</v>
      </c>
      <c r="J421" s="7" t="str">
        <f t="shared" si="12"/>
        <v>1.413</v>
      </c>
      <c r="K421"/>
      <c r="L421"/>
      <c r="M421"/>
    </row>
    <row r="422" spans="1:13" s="7" customFormat="1" ht="31.5">
      <c r="A422" s="161" t="s">
        <v>3978</v>
      </c>
      <c r="B422" s="8" t="s">
        <v>2593</v>
      </c>
      <c r="C422" s="157" t="s">
        <v>17</v>
      </c>
      <c r="D422" s="158">
        <v>5</v>
      </c>
      <c r="E422" s="159">
        <v>9893.3700000000008</v>
      </c>
      <c r="F422" s="158">
        <v>49466.85</v>
      </c>
      <c r="G422" s="160" t="s">
        <v>5394</v>
      </c>
      <c r="H422" s="1272" t="str">
        <f t="shared" si="13"/>
        <v xml:space="preserve">分析表333_x000D_
</v>
      </c>
      <c r="I422" s="667">
        <v>414</v>
      </c>
      <c r="J422" t="str">
        <f t="shared" si="12"/>
        <v>1.414</v>
      </c>
      <c r="K422"/>
      <c r="L422"/>
      <c r="M422"/>
    </row>
    <row r="423" spans="1:13" s="7" customFormat="1" ht="31.5">
      <c r="A423" s="161" t="s">
        <v>4783</v>
      </c>
      <c r="B423" s="8" t="s">
        <v>2596</v>
      </c>
      <c r="C423" s="157" t="s">
        <v>17</v>
      </c>
      <c r="D423" s="158">
        <v>5</v>
      </c>
      <c r="E423" s="159">
        <v>14107.11</v>
      </c>
      <c r="F423" s="158">
        <v>70535.55</v>
      </c>
      <c r="G423" s="160" t="s">
        <v>5395</v>
      </c>
      <c r="H423" s="1272" t="str">
        <f t="shared" si="13"/>
        <v xml:space="preserve">分析表334_x000D_
</v>
      </c>
      <c r="I423" s="667">
        <v>415</v>
      </c>
      <c r="J423" t="str">
        <f t="shared" si="12"/>
        <v>1.415</v>
      </c>
      <c r="K423"/>
      <c r="L423"/>
      <c r="M423"/>
    </row>
    <row r="424" spans="1:13" ht="31.5">
      <c r="A424" s="161" t="s">
        <v>4785</v>
      </c>
      <c r="B424" s="8" t="s">
        <v>2599</v>
      </c>
      <c r="C424" s="157" t="s">
        <v>17</v>
      </c>
      <c r="D424" s="158">
        <v>5</v>
      </c>
      <c r="E424" s="159">
        <v>16092.15</v>
      </c>
      <c r="F424" s="158">
        <v>80460.75</v>
      </c>
      <c r="G424" s="160" t="s">
        <v>5396</v>
      </c>
      <c r="H424" s="1272" t="str">
        <f t="shared" si="13"/>
        <v xml:space="preserve">分析表335_x000D_
</v>
      </c>
      <c r="I424" s="667">
        <v>416</v>
      </c>
      <c r="J424" t="str">
        <f t="shared" si="12"/>
        <v>1.416</v>
      </c>
    </row>
    <row r="425" spans="1:13" ht="31.5">
      <c r="A425" s="161" t="s">
        <v>4787</v>
      </c>
      <c r="B425" s="8" t="s">
        <v>2602</v>
      </c>
      <c r="C425" s="157" t="s">
        <v>17</v>
      </c>
      <c r="D425" s="158">
        <v>5</v>
      </c>
      <c r="E425" s="159">
        <v>15944.42</v>
      </c>
      <c r="F425" s="158">
        <v>79722.100000000006</v>
      </c>
      <c r="G425" s="160" t="s">
        <v>5397</v>
      </c>
      <c r="H425" s="1272" t="str">
        <f t="shared" si="13"/>
        <v xml:space="preserve">分析表336_x000D_
</v>
      </c>
      <c r="I425" s="667">
        <v>417</v>
      </c>
      <c r="J425" t="str">
        <f t="shared" si="12"/>
        <v>1.417</v>
      </c>
    </row>
    <row r="426" spans="1:13" ht="31.5">
      <c r="A426" s="161" t="s">
        <v>4789</v>
      </c>
      <c r="B426" s="8" t="s">
        <v>2605</v>
      </c>
      <c r="C426" s="157" t="s">
        <v>17</v>
      </c>
      <c r="D426" s="158">
        <v>5</v>
      </c>
      <c r="E426" s="159">
        <v>18296.16</v>
      </c>
      <c r="F426" s="158">
        <v>91480.8</v>
      </c>
      <c r="G426" s="160" t="s">
        <v>5398</v>
      </c>
      <c r="H426" s="1272" t="str">
        <f t="shared" si="13"/>
        <v xml:space="preserve">分析表337_x000D_
</v>
      </c>
      <c r="I426" s="667">
        <v>418</v>
      </c>
      <c r="J426" t="str">
        <f t="shared" si="12"/>
        <v>1.418</v>
      </c>
    </row>
    <row r="427" spans="1:13" ht="31.5">
      <c r="A427" s="161" t="s">
        <v>4791</v>
      </c>
      <c r="B427" s="8" t="s">
        <v>2608</v>
      </c>
      <c r="C427" s="157" t="s">
        <v>3</v>
      </c>
      <c r="D427" s="158">
        <v>10</v>
      </c>
      <c r="E427" s="159">
        <v>15.75</v>
      </c>
      <c r="F427" s="158">
        <v>157.5</v>
      </c>
      <c r="G427" s="160" t="s">
        <v>5399</v>
      </c>
      <c r="H427" s="1272" t="str">
        <f t="shared" si="13"/>
        <v xml:space="preserve">分析表338_x000D_
</v>
      </c>
      <c r="I427" s="667">
        <v>419</v>
      </c>
      <c r="J427" t="str">
        <f t="shared" si="12"/>
        <v>1.419</v>
      </c>
    </row>
    <row r="428" spans="1:13" ht="189">
      <c r="A428" s="161" t="s">
        <v>4793</v>
      </c>
      <c r="B428" s="8" t="s">
        <v>2914</v>
      </c>
      <c r="C428" s="157" t="s">
        <v>2490</v>
      </c>
      <c r="D428" s="158">
        <v>8</v>
      </c>
      <c r="E428" s="159">
        <v>13884.03</v>
      </c>
      <c r="F428" s="158">
        <v>111072.24</v>
      </c>
      <c r="G428" s="160" t="s">
        <v>5400</v>
      </c>
      <c r="H428" s="1272" t="str">
        <f t="shared" si="13"/>
        <v>1.依雨水下水道設施完工資料測量工作規範辦理。
2.施作暗溝、埋管等工項(過路)，即進行測繪作業，其測繪內容則依規範辦理，單張通報單給付1次。</v>
      </c>
      <c r="I428" s="667">
        <v>420</v>
      </c>
      <c r="J428" t="str">
        <f t="shared" si="12"/>
        <v>1.420</v>
      </c>
    </row>
    <row r="429" spans="1:13" ht="78.75">
      <c r="A429" s="161" t="s">
        <v>4794</v>
      </c>
      <c r="B429" s="8" t="s">
        <v>2617</v>
      </c>
      <c r="C429" s="157" t="s">
        <v>2618</v>
      </c>
      <c r="D429" s="158">
        <v>10</v>
      </c>
      <c r="E429" s="159">
        <v>711.32</v>
      </c>
      <c r="F429" s="158">
        <v>7113.2</v>
      </c>
      <c r="G429" s="160" t="s">
        <v>5401</v>
      </c>
      <c r="H429" s="1272" t="str">
        <f t="shared" si="13"/>
        <v>分析表339_x000D_
含路證申請、回報及配合道路挖掘之相關作業費用</v>
      </c>
      <c r="I429" s="667">
        <v>421</v>
      </c>
      <c r="J429" t="str">
        <f t="shared" si="12"/>
        <v>1.421</v>
      </c>
    </row>
    <row r="430" spans="1:13" ht="78.75">
      <c r="A430" s="161" t="s">
        <v>4796</v>
      </c>
      <c r="B430" s="8" t="s">
        <v>2626</v>
      </c>
      <c r="C430" s="157" t="s">
        <v>2618</v>
      </c>
      <c r="D430" s="158">
        <v>10</v>
      </c>
      <c r="E430" s="159">
        <v>748.34</v>
      </c>
      <c r="F430" s="158">
        <v>7483.4</v>
      </c>
      <c r="G430" s="160" t="s">
        <v>5402</v>
      </c>
      <c r="H430" s="1272" t="str">
        <f t="shared" si="13"/>
        <v>分析表340_x000D_
含路證申請、回報及配合道路挖掘之相關作業費用</v>
      </c>
      <c r="I430" s="667">
        <v>422</v>
      </c>
      <c r="J430" t="str">
        <f t="shared" si="12"/>
        <v>1.422</v>
      </c>
    </row>
    <row r="431" spans="1:13" ht="31.5">
      <c r="A431" s="161" t="s">
        <v>4798</v>
      </c>
      <c r="B431" s="8" t="s">
        <v>2631</v>
      </c>
      <c r="C431" s="157" t="s">
        <v>17</v>
      </c>
      <c r="D431" s="158">
        <v>1</v>
      </c>
      <c r="E431" s="159">
        <v>3389.77</v>
      </c>
      <c r="F431" s="158">
        <v>3389.77</v>
      </c>
      <c r="G431" s="160" t="s">
        <v>5403</v>
      </c>
      <c r="H431" s="1272" t="str">
        <f t="shared" si="13"/>
        <v>分析表341_x000D_
高度2.4m</v>
      </c>
      <c r="I431" s="667">
        <v>423</v>
      </c>
      <c r="J431" t="str">
        <f t="shared" si="12"/>
        <v>1.423</v>
      </c>
    </row>
    <row r="432" spans="1:13" ht="31.5">
      <c r="A432" s="161" t="s">
        <v>4800</v>
      </c>
      <c r="B432" s="8" t="s">
        <v>2642</v>
      </c>
      <c r="C432" s="157" t="s">
        <v>17</v>
      </c>
      <c r="D432" s="158">
        <v>1</v>
      </c>
      <c r="E432" s="159">
        <v>2386.38</v>
      </c>
      <c r="F432" s="158">
        <v>2386.38</v>
      </c>
      <c r="G432" s="160" t="s">
        <v>5404</v>
      </c>
      <c r="H432" s="1272" t="str">
        <f t="shared" si="13"/>
        <v>分析表342_x000D_
高度2.4m</v>
      </c>
      <c r="I432" s="667">
        <v>424</v>
      </c>
      <c r="J432" t="str">
        <f t="shared" si="12"/>
        <v>1.424</v>
      </c>
    </row>
    <row r="433" spans="1:10" ht="47.25">
      <c r="A433" s="161" t="s">
        <v>4802</v>
      </c>
      <c r="B433" s="8" t="s">
        <v>3418</v>
      </c>
      <c r="C433" s="157" t="s">
        <v>3</v>
      </c>
      <c r="D433" s="158">
        <v>10</v>
      </c>
      <c r="E433" s="159">
        <v>326.74</v>
      </c>
      <c r="F433" s="158">
        <v>3267.4</v>
      </c>
      <c r="G433" s="160" t="s">
        <v>4401</v>
      </c>
      <c r="H433" s="1272" t="str">
        <f t="shared" si="13"/>
        <v>需經審查後設置</v>
      </c>
      <c r="I433" s="667">
        <v>425</v>
      </c>
      <c r="J433" t="str">
        <f t="shared" si="12"/>
        <v>1.425</v>
      </c>
    </row>
    <row r="434" spans="1:10" ht="78.75">
      <c r="A434" s="161" t="s">
        <v>4803</v>
      </c>
      <c r="B434" s="8" t="s">
        <v>3420</v>
      </c>
      <c r="C434" s="157" t="s">
        <v>2490</v>
      </c>
      <c r="D434" s="158">
        <v>4</v>
      </c>
      <c r="E434" s="159">
        <v>4628.01</v>
      </c>
      <c r="F434" s="158">
        <v>18512.04</v>
      </c>
      <c r="G434" s="160" t="s">
        <v>4402</v>
      </c>
      <c r="H434" s="1272" t="str">
        <f t="shared" si="13"/>
        <v># 使用10次,適用於從事缺氧危險之作業(例箱涵或密閉環境中作業)</v>
      </c>
      <c r="I434" s="667">
        <v>426</v>
      </c>
      <c r="J434" t="str">
        <f t="shared" si="12"/>
        <v>1.426</v>
      </c>
    </row>
    <row r="435" spans="1:10" ht="31.5">
      <c r="A435" s="161" t="s">
        <v>4804</v>
      </c>
      <c r="B435" s="8" t="s">
        <v>3655</v>
      </c>
      <c r="C435" s="157" t="s">
        <v>3</v>
      </c>
      <c r="D435" s="158">
        <v>20</v>
      </c>
      <c r="E435" s="159">
        <v>55.43</v>
      </c>
      <c r="F435" s="158">
        <v>1108.5999999999999</v>
      </c>
      <c r="G435" s="160" t="s">
        <v>2</v>
      </c>
      <c r="H435" s="1272" t="str">
        <f t="shared" si="13"/>
        <v/>
      </c>
      <c r="I435" s="667">
        <v>427</v>
      </c>
      <c r="J435" t="str">
        <f t="shared" si="12"/>
        <v>1.427</v>
      </c>
    </row>
    <row r="436" spans="1:10" ht="31.5">
      <c r="A436" s="161" t="s">
        <v>4805</v>
      </c>
      <c r="B436" s="8" t="s">
        <v>3657</v>
      </c>
      <c r="C436" s="157" t="s">
        <v>3658</v>
      </c>
      <c r="D436" s="158">
        <v>2</v>
      </c>
      <c r="E436" s="159">
        <v>2439.69</v>
      </c>
      <c r="F436" s="158">
        <v>4879.38</v>
      </c>
      <c r="G436" s="160" t="s">
        <v>5405</v>
      </c>
      <c r="H436" s="1272" t="str">
        <f t="shared" si="13"/>
        <v xml:space="preserve">分析表343_x000D_
</v>
      </c>
      <c r="I436" s="667">
        <v>428</v>
      </c>
      <c r="J436" t="str">
        <f t="shared" si="12"/>
        <v>1.428</v>
      </c>
    </row>
    <row r="437" spans="1:10" ht="31.5">
      <c r="A437" s="161" t="s">
        <v>4807</v>
      </c>
      <c r="B437" s="8" t="s">
        <v>2860</v>
      </c>
      <c r="C437" s="157" t="s">
        <v>927</v>
      </c>
      <c r="D437" s="158">
        <v>20</v>
      </c>
      <c r="E437" s="159">
        <v>280</v>
      </c>
      <c r="F437" s="158">
        <v>5600</v>
      </c>
      <c r="G437" s="160" t="s">
        <v>4364</v>
      </c>
      <c r="H437" s="1272" t="str">
        <f t="shared" si="13"/>
        <v>[人力工項不打折]</v>
      </c>
      <c r="I437" s="667">
        <v>429</v>
      </c>
      <c r="J437" t="str">
        <f t="shared" si="12"/>
        <v>1.429</v>
      </c>
    </row>
    <row r="438" spans="1:10" ht="31.5">
      <c r="A438" s="161" t="s">
        <v>4808</v>
      </c>
      <c r="B438" s="8" t="s">
        <v>3423</v>
      </c>
      <c r="C438" s="157" t="s">
        <v>927</v>
      </c>
      <c r="D438" s="158">
        <v>20</v>
      </c>
      <c r="E438" s="159">
        <v>350</v>
      </c>
      <c r="F438" s="158">
        <v>7000</v>
      </c>
      <c r="G438" s="160" t="s">
        <v>4364</v>
      </c>
      <c r="H438" s="1272" t="str">
        <f t="shared" si="13"/>
        <v>[人力工項不打折]</v>
      </c>
      <c r="I438" s="667">
        <v>430</v>
      </c>
      <c r="J438" t="str">
        <f t="shared" si="12"/>
        <v>1.430</v>
      </c>
    </row>
    <row r="439" spans="1:10" ht="31.5">
      <c r="A439" s="161" t="s">
        <v>4809</v>
      </c>
      <c r="B439" s="8" t="s">
        <v>3425</v>
      </c>
      <c r="C439" s="157" t="s">
        <v>2490</v>
      </c>
      <c r="D439" s="158">
        <v>1</v>
      </c>
      <c r="E439" s="159">
        <v>46280.08</v>
      </c>
      <c r="F439" s="158">
        <v>46280.08</v>
      </c>
      <c r="G439" s="160" t="s">
        <v>2</v>
      </c>
      <c r="H439" s="1272" t="str">
        <f t="shared" si="13"/>
        <v/>
      </c>
      <c r="I439" s="667">
        <v>431</v>
      </c>
      <c r="J439" t="str">
        <f t="shared" si="12"/>
        <v>1.431</v>
      </c>
    </row>
    <row r="440" spans="1:10" ht="31.5">
      <c r="A440" s="161" t="s">
        <v>4810</v>
      </c>
      <c r="B440" s="8" t="s">
        <v>2653</v>
      </c>
      <c r="C440" s="157" t="s">
        <v>17</v>
      </c>
      <c r="D440" s="158">
        <v>100</v>
      </c>
      <c r="E440" s="159">
        <v>271.88</v>
      </c>
      <c r="F440" s="158">
        <v>27188</v>
      </c>
      <c r="G440" s="160" t="s">
        <v>5406</v>
      </c>
      <c r="H440" s="1272" t="str">
        <f t="shared" si="13"/>
        <v xml:space="preserve">分析表344_x000D_
</v>
      </c>
      <c r="I440" s="667">
        <v>432</v>
      </c>
      <c r="J440" t="str">
        <f t="shared" si="12"/>
        <v>1.432</v>
      </c>
    </row>
    <row r="441" spans="1:10" ht="31.5">
      <c r="A441" s="161" t="s">
        <v>4812</v>
      </c>
      <c r="B441" s="8" t="s">
        <v>2663</v>
      </c>
      <c r="C441" s="157" t="s">
        <v>17</v>
      </c>
      <c r="D441" s="158">
        <v>50</v>
      </c>
      <c r="E441" s="159">
        <v>236.35</v>
      </c>
      <c r="F441" s="158">
        <v>11817.5</v>
      </c>
      <c r="G441" s="160" t="s">
        <v>5407</v>
      </c>
      <c r="H441" s="1272" t="str">
        <f t="shared" si="13"/>
        <v>分析表345_x000D_
使用10次</v>
      </c>
      <c r="I441" s="667">
        <v>433</v>
      </c>
      <c r="J441" t="str">
        <f t="shared" si="12"/>
        <v>1.433</v>
      </c>
    </row>
    <row r="442" spans="1:10" ht="31.5">
      <c r="A442" s="161" t="s">
        <v>4814</v>
      </c>
      <c r="B442" s="8" t="s">
        <v>2670</v>
      </c>
      <c r="C442" s="157" t="s">
        <v>3</v>
      </c>
      <c r="D442" s="158">
        <v>1</v>
      </c>
      <c r="E442" s="159">
        <v>1104.48</v>
      </c>
      <c r="F442" s="158">
        <v>1104.48</v>
      </c>
      <c r="G442" s="160" t="s">
        <v>5408</v>
      </c>
      <c r="H442" s="1272" t="str">
        <f t="shared" si="13"/>
        <v xml:space="preserve">分析表346_x000D_
</v>
      </c>
      <c r="I442" s="667">
        <v>434</v>
      </c>
      <c r="J442" t="str">
        <f t="shared" si="12"/>
        <v>1.434</v>
      </c>
    </row>
    <row r="443" spans="1:10" ht="31.5">
      <c r="A443" s="161" t="s">
        <v>4816</v>
      </c>
      <c r="B443" s="8" t="s">
        <v>2678</v>
      </c>
      <c r="C443" s="157" t="s">
        <v>2679</v>
      </c>
      <c r="D443" s="158">
        <v>1</v>
      </c>
      <c r="E443" s="159">
        <v>614.91999999999996</v>
      </c>
      <c r="F443" s="158">
        <v>614.91999999999996</v>
      </c>
      <c r="G443" s="160" t="s">
        <v>5409</v>
      </c>
      <c r="H443" s="1272" t="str">
        <f t="shared" si="13"/>
        <v xml:space="preserve">分析表347_x000D_
</v>
      </c>
      <c r="I443" s="667">
        <v>435</v>
      </c>
      <c r="J443" t="str">
        <f t="shared" si="12"/>
        <v>1.435</v>
      </c>
    </row>
    <row r="444" spans="1:10" ht="31.5">
      <c r="A444" s="161" t="s">
        <v>4818</v>
      </c>
      <c r="B444" s="8" t="s">
        <v>2684</v>
      </c>
      <c r="C444" s="157" t="s">
        <v>3</v>
      </c>
      <c r="D444" s="158">
        <v>1</v>
      </c>
      <c r="E444" s="159">
        <v>2148.19</v>
      </c>
      <c r="F444" s="158">
        <v>2148.19</v>
      </c>
      <c r="G444" s="160" t="s">
        <v>5410</v>
      </c>
      <c r="H444" s="1272" t="str">
        <f t="shared" si="13"/>
        <v xml:space="preserve">分析表348_x000D_
</v>
      </c>
      <c r="I444" s="667">
        <v>436</v>
      </c>
      <c r="J444" t="str">
        <f t="shared" si="12"/>
        <v>1.436</v>
      </c>
    </row>
    <row r="445" spans="1:10" ht="31.5">
      <c r="A445" s="161" t="s">
        <v>4820</v>
      </c>
      <c r="B445" s="8" t="s">
        <v>2693</v>
      </c>
      <c r="C445" s="157" t="s">
        <v>2694</v>
      </c>
      <c r="D445" s="158">
        <v>1</v>
      </c>
      <c r="E445" s="159">
        <v>148.72999999999999</v>
      </c>
      <c r="F445" s="158">
        <v>148.72999999999999</v>
      </c>
      <c r="G445" s="160" t="s">
        <v>5411</v>
      </c>
      <c r="H445" s="1272" t="str">
        <f t="shared" si="13"/>
        <v xml:space="preserve">分析表349_x000D_
</v>
      </c>
      <c r="I445" s="667">
        <v>437</v>
      </c>
      <c r="J445" t="str">
        <f t="shared" si="12"/>
        <v>1.437</v>
      </c>
    </row>
    <row r="446" spans="1:10" ht="31.5">
      <c r="A446" s="161" t="s">
        <v>4822</v>
      </c>
      <c r="B446" s="8" t="s">
        <v>2702</v>
      </c>
      <c r="C446" s="157" t="s">
        <v>17</v>
      </c>
      <c r="D446" s="158">
        <v>1</v>
      </c>
      <c r="E446" s="159">
        <v>287.02</v>
      </c>
      <c r="F446" s="158">
        <v>287.02</v>
      </c>
      <c r="G446" s="160" t="s">
        <v>5412</v>
      </c>
      <c r="H446" s="1272" t="str">
        <f t="shared" si="13"/>
        <v xml:space="preserve">分析表350_x000D_
</v>
      </c>
      <c r="I446" s="667">
        <v>438</v>
      </c>
      <c r="J446" t="str">
        <f t="shared" si="12"/>
        <v>1.438</v>
      </c>
    </row>
    <row r="447" spans="1:10" ht="31.5">
      <c r="A447" s="161" t="s">
        <v>4824</v>
      </c>
      <c r="B447" s="8" t="s">
        <v>2707</v>
      </c>
      <c r="C447" s="157" t="s">
        <v>17</v>
      </c>
      <c r="D447" s="158">
        <v>1</v>
      </c>
      <c r="E447" s="159">
        <v>288.62</v>
      </c>
      <c r="F447" s="158">
        <v>288.62</v>
      </c>
      <c r="G447" s="160" t="s">
        <v>5413</v>
      </c>
      <c r="H447" s="1272" t="str">
        <f t="shared" si="13"/>
        <v xml:space="preserve">分析表351_x000D_
</v>
      </c>
      <c r="I447" s="667">
        <v>439</v>
      </c>
      <c r="J447" t="str">
        <f t="shared" si="12"/>
        <v>1.439</v>
      </c>
    </row>
    <row r="448" spans="1:10" ht="31.5">
      <c r="A448" s="161" t="s">
        <v>4826</v>
      </c>
      <c r="B448" s="8" t="s">
        <v>2712</v>
      </c>
      <c r="C448" s="157" t="s">
        <v>3</v>
      </c>
      <c r="D448" s="158">
        <v>5</v>
      </c>
      <c r="E448" s="159">
        <v>622.45000000000005</v>
      </c>
      <c r="F448" s="158">
        <v>3112.25</v>
      </c>
      <c r="G448" s="160" t="s">
        <v>5414</v>
      </c>
      <c r="H448" s="1272" t="str">
        <f t="shared" si="13"/>
        <v xml:space="preserve">分析表352_x000D_
</v>
      </c>
      <c r="I448" s="667">
        <v>440</v>
      </c>
      <c r="J448" t="str">
        <f t="shared" si="12"/>
        <v>1.440</v>
      </c>
    </row>
    <row r="449" spans="1:10" ht="31.5">
      <c r="A449" s="161" t="s">
        <v>4828</v>
      </c>
      <c r="B449" s="8" t="s">
        <v>3659</v>
      </c>
      <c r="C449" s="157" t="s">
        <v>3</v>
      </c>
      <c r="D449" s="158">
        <v>4</v>
      </c>
      <c r="E449" s="159">
        <v>1585.54</v>
      </c>
      <c r="F449" s="158">
        <v>6342.16</v>
      </c>
      <c r="G449" s="160" t="s">
        <v>5415</v>
      </c>
      <c r="H449" s="1272" t="str">
        <f t="shared" si="13"/>
        <v xml:space="preserve">分析表353_x000D_
</v>
      </c>
      <c r="I449" s="667">
        <v>441</v>
      </c>
      <c r="J449" t="str">
        <f t="shared" si="12"/>
        <v>1.441</v>
      </c>
    </row>
    <row r="450" spans="1:10">
      <c r="A450" s="161" t="s">
        <v>4830</v>
      </c>
      <c r="B450" s="8" t="s">
        <v>3660</v>
      </c>
      <c r="C450" s="157" t="s">
        <v>3</v>
      </c>
      <c r="D450" s="158">
        <v>1</v>
      </c>
      <c r="E450" s="159">
        <v>339.39</v>
      </c>
      <c r="F450" s="158">
        <v>339.39</v>
      </c>
      <c r="G450" s="160" t="s">
        <v>2</v>
      </c>
      <c r="H450" s="1272" t="str">
        <f t="shared" si="13"/>
        <v/>
      </c>
      <c r="I450" s="667">
        <v>442</v>
      </c>
      <c r="J450" t="str">
        <f t="shared" ref="J450:J512" si="14">A450</f>
        <v>1.442</v>
      </c>
    </row>
    <row r="451" spans="1:10" ht="31.5">
      <c r="A451" s="161" t="s">
        <v>4831</v>
      </c>
      <c r="B451" s="8" t="s">
        <v>2725</v>
      </c>
      <c r="C451" s="157" t="s">
        <v>2679</v>
      </c>
      <c r="D451" s="158">
        <v>1</v>
      </c>
      <c r="E451" s="159">
        <v>233.26</v>
      </c>
      <c r="F451" s="158">
        <v>233.26</v>
      </c>
      <c r="G451" s="160" t="s">
        <v>5416</v>
      </c>
      <c r="H451" s="1272" t="str">
        <f t="shared" si="13"/>
        <v>分析表354_x000D_
#</v>
      </c>
      <c r="I451" s="667">
        <v>443</v>
      </c>
      <c r="J451" t="str">
        <f t="shared" si="14"/>
        <v>1.443</v>
      </c>
    </row>
    <row r="452" spans="1:10" ht="47.25">
      <c r="A452" s="161" t="s">
        <v>4833</v>
      </c>
      <c r="B452" s="8" t="s">
        <v>2732</v>
      </c>
      <c r="C452" s="157" t="s">
        <v>1818</v>
      </c>
      <c r="D452" s="158">
        <v>1</v>
      </c>
      <c r="E452" s="159">
        <v>784.13</v>
      </c>
      <c r="F452" s="158">
        <v>784.13</v>
      </c>
      <c r="G452" s="160" t="s">
        <v>5417</v>
      </c>
      <c r="H452" s="1272" t="str">
        <f t="shared" si="13"/>
        <v>分析表355_x000D_
D=8cm ±5%，H=75cm ±5%</v>
      </c>
      <c r="I452" s="667">
        <v>444</v>
      </c>
      <c r="J452" t="str">
        <f t="shared" si="14"/>
        <v>1.444</v>
      </c>
    </row>
    <row r="453" spans="1:10" ht="31.5">
      <c r="A453" s="161" t="s">
        <v>4835</v>
      </c>
      <c r="B453" s="8" t="s">
        <v>2737</v>
      </c>
      <c r="C453" s="157" t="s">
        <v>1818</v>
      </c>
      <c r="D453" s="158">
        <v>1</v>
      </c>
      <c r="E453" s="159">
        <v>1144.53</v>
      </c>
      <c r="F453" s="158">
        <v>1144.53</v>
      </c>
      <c r="G453" s="160" t="s">
        <v>5418</v>
      </c>
      <c r="H453" s="1272" t="str">
        <f t="shared" si="13"/>
        <v xml:space="preserve">分析表356_x000D_
</v>
      </c>
      <c r="I453" s="667">
        <v>445</v>
      </c>
      <c r="J453" t="str">
        <f t="shared" si="14"/>
        <v>1.445</v>
      </c>
    </row>
    <row r="454" spans="1:10" ht="31.5">
      <c r="A454" s="161" t="s">
        <v>4837</v>
      </c>
      <c r="B454" s="8" t="s">
        <v>2750</v>
      </c>
      <c r="C454" s="157" t="s">
        <v>1818</v>
      </c>
      <c r="D454" s="158">
        <v>1</v>
      </c>
      <c r="E454" s="159">
        <v>2275.2199999999998</v>
      </c>
      <c r="F454" s="158">
        <v>2275.2199999999998</v>
      </c>
      <c r="G454" s="160" t="s">
        <v>5419</v>
      </c>
      <c r="H454" s="1272" t="str">
        <f t="shared" si="13"/>
        <v xml:space="preserve">分析表357_x000D_
</v>
      </c>
      <c r="I454" s="667">
        <v>446</v>
      </c>
      <c r="J454" t="str">
        <f t="shared" si="14"/>
        <v>1.446</v>
      </c>
    </row>
    <row r="455" spans="1:10" ht="31.5">
      <c r="A455" s="161" t="s">
        <v>4839</v>
      </c>
      <c r="B455" s="8" t="s">
        <v>2755</v>
      </c>
      <c r="C455" s="157" t="s">
        <v>2679</v>
      </c>
      <c r="D455" s="158">
        <v>10</v>
      </c>
      <c r="E455" s="159">
        <v>305.85000000000002</v>
      </c>
      <c r="F455" s="158">
        <v>3058.5</v>
      </c>
      <c r="G455" s="160" t="s">
        <v>5420</v>
      </c>
      <c r="H455" s="1272" t="str">
        <f t="shared" si="13"/>
        <v>分析表358_x000D_
#</v>
      </c>
      <c r="I455" s="667">
        <v>447</v>
      </c>
      <c r="J455" t="str">
        <f t="shared" si="14"/>
        <v>1.447</v>
      </c>
    </row>
    <row r="456" spans="1:10" ht="47.25">
      <c r="A456" s="161" t="s">
        <v>4841</v>
      </c>
      <c r="B456" s="8" t="s">
        <v>913</v>
      </c>
      <c r="C456" s="157" t="s">
        <v>3</v>
      </c>
      <c r="D456" s="158">
        <v>10</v>
      </c>
      <c r="E456" s="159">
        <v>851.5</v>
      </c>
      <c r="F456" s="158">
        <v>8515</v>
      </c>
      <c r="G456" s="160" t="s">
        <v>5421</v>
      </c>
      <c r="H456" s="1272" t="str">
        <f t="shared" si="13"/>
        <v xml:space="preserve">分析表359_x000D_
</v>
      </c>
      <c r="I456" s="667">
        <v>448</v>
      </c>
      <c r="J456" t="str">
        <f t="shared" si="14"/>
        <v>1.448</v>
      </c>
    </row>
    <row r="457" spans="1:10" ht="47.25">
      <c r="A457" s="161" t="s">
        <v>4843</v>
      </c>
      <c r="B457" s="8" t="s">
        <v>2778</v>
      </c>
      <c r="C457" s="157" t="s">
        <v>3</v>
      </c>
      <c r="D457" s="158">
        <v>10</v>
      </c>
      <c r="E457" s="159">
        <v>604.72</v>
      </c>
      <c r="F457" s="158">
        <v>6047.2</v>
      </c>
      <c r="G457" s="160" t="s">
        <v>5422</v>
      </c>
      <c r="H457" s="1272" t="str">
        <f t="shared" si="13"/>
        <v xml:space="preserve">分析表360_x000D_
</v>
      </c>
      <c r="I457" s="667">
        <v>449</v>
      </c>
      <c r="J457" t="str">
        <f t="shared" si="14"/>
        <v>1.449</v>
      </c>
    </row>
    <row r="458" spans="1:10">
      <c r="A458" s="161" t="s">
        <v>4845</v>
      </c>
      <c r="B458" s="8" t="s">
        <v>3443</v>
      </c>
      <c r="C458" s="157" t="s">
        <v>3444</v>
      </c>
      <c r="D458" s="158">
        <v>2</v>
      </c>
      <c r="E458" s="159">
        <v>1851.2</v>
      </c>
      <c r="F458" s="158">
        <v>3702.4</v>
      </c>
      <c r="G458" s="160" t="s">
        <v>2</v>
      </c>
      <c r="H458" s="1272" t="str">
        <f t="shared" si="13"/>
        <v/>
      </c>
      <c r="I458" s="667">
        <v>450</v>
      </c>
      <c r="J458" t="str">
        <f t="shared" si="14"/>
        <v>1.450</v>
      </c>
    </row>
    <row r="459" spans="1:10">
      <c r="A459" s="161" t="s">
        <v>4846</v>
      </c>
      <c r="B459" s="8" t="s">
        <v>3446</v>
      </c>
      <c r="C459" s="157" t="s">
        <v>2447</v>
      </c>
      <c r="D459" s="158">
        <v>1</v>
      </c>
      <c r="E459" s="159">
        <v>13884.03</v>
      </c>
      <c r="F459" s="158">
        <v>13884.03</v>
      </c>
      <c r="G459" s="160" t="s">
        <v>2</v>
      </c>
      <c r="H459" s="1272" t="str">
        <f t="shared" ref="H459:H467" si="15">G459</f>
        <v/>
      </c>
      <c r="I459" s="667">
        <v>451</v>
      </c>
      <c r="J459" t="str">
        <f t="shared" si="14"/>
        <v>1.451</v>
      </c>
    </row>
    <row r="460" spans="1:10">
      <c r="A460" s="161" t="s">
        <v>4847</v>
      </c>
      <c r="B460" s="8" t="s">
        <v>2462</v>
      </c>
      <c r="C460" s="157" t="s">
        <v>927</v>
      </c>
      <c r="D460" s="158">
        <v>10</v>
      </c>
      <c r="E460" s="159">
        <v>166.61</v>
      </c>
      <c r="F460" s="158">
        <v>1666.1</v>
      </c>
      <c r="G460" s="160" t="s">
        <v>2</v>
      </c>
      <c r="H460" s="1272" t="str">
        <f t="shared" si="15"/>
        <v/>
      </c>
      <c r="I460" s="667">
        <v>452</v>
      </c>
      <c r="J460" t="str">
        <f t="shared" si="14"/>
        <v>1.452</v>
      </c>
    </row>
    <row r="461" spans="1:10" s="1284" customFormat="1" ht="31.5">
      <c r="A461" s="1279" t="s">
        <v>5531</v>
      </c>
      <c r="B461" s="1280" t="s">
        <v>1761</v>
      </c>
      <c r="C461" s="1281" t="s">
        <v>0</v>
      </c>
      <c r="D461" s="678">
        <v>0</v>
      </c>
      <c r="E461" s="1282">
        <v>26160</v>
      </c>
      <c r="F461" s="678">
        <v>0</v>
      </c>
      <c r="G461" s="1283" t="s">
        <v>5532</v>
      </c>
      <c r="H461" s="1272" t="str">
        <f t="shared" si="15"/>
        <v xml:space="preserve">分析表361
</v>
      </c>
      <c r="I461" s="667">
        <v>453</v>
      </c>
    </row>
    <row r="462" spans="1:10" s="1284" customFormat="1">
      <c r="A462" s="1279" t="s">
        <v>5533</v>
      </c>
      <c r="B462" s="1280" t="s">
        <v>5534</v>
      </c>
      <c r="C462" s="1281" t="s">
        <v>2679</v>
      </c>
      <c r="D462" s="678">
        <v>0</v>
      </c>
      <c r="E462" s="1282">
        <v>105</v>
      </c>
      <c r="F462" s="678">
        <v>0</v>
      </c>
      <c r="G462" s="1283" t="s">
        <v>2</v>
      </c>
      <c r="H462" s="1272" t="str">
        <f t="shared" si="15"/>
        <v/>
      </c>
      <c r="I462" s="667">
        <v>454</v>
      </c>
    </row>
    <row r="463" spans="1:10" s="1284" customFormat="1" ht="31.5">
      <c r="A463" s="1279" t="s">
        <v>5535</v>
      </c>
      <c r="B463" s="1280" t="s">
        <v>5536</v>
      </c>
      <c r="C463" s="1281" t="s">
        <v>17</v>
      </c>
      <c r="D463" s="678">
        <v>0</v>
      </c>
      <c r="E463" s="1282">
        <v>260</v>
      </c>
      <c r="F463" s="678">
        <v>0</v>
      </c>
      <c r="G463" s="1283" t="s">
        <v>2</v>
      </c>
      <c r="H463" s="1272" t="str">
        <f t="shared" si="15"/>
        <v/>
      </c>
      <c r="I463" s="667">
        <v>455</v>
      </c>
    </row>
    <row r="464" spans="1:10" s="1284" customFormat="1" ht="47.25">
      <c r="A464" s="1279" t="s">
        <v>5537</v>
      </c>
      <c r="B464" s="1280" t="s">
        <v>5538</v>
      </c>
      <c r="C464" s="1281" t="s">
        <v>17</v>
      </c>
      <c r="D464" s="678">
        <v>0</v>
      </c>
      <c r="E464" s="1282">
        <v>355</v>
      </c>
      <c r="F464" s="678">
        <v>0</v>
      </c>
      <c r="G464" s="1283" t="s">
        <v>2</v>
      </c>
      <c r="H464" s="1272" t="str">
        <f t="shared" si="15"/>
        <v/>
      </c>
      <c r="I464" s="667">
        <v>456</v>
      </c>
    </row>
    <row r="465" spans="1:10" s="1284" customFormat="1" ht="31.5">
      <c r="A465" s="1279" t="s">
        <v>5539</v>
      </c>
      <c r="B465" s="1280" t="s">
        <v>1294</v>
      </c>
      <c r="C465" s="1281" t="s">
        <v>1295</v>
      </c>
      <c r="D465" s="678">
        <v>0</v>
      </c>
      <c r="E465" s="1282">
        <v>154.58000000000001</v>
      </c>
      <c r="F465" s="678">
        <v>0</v>
      </c>
      <c r="G465" s="1283" t="s">
        <v>2</v>
      </c>
      <c r="H465" s="1272" t="str">
        <f t="shared" si="15"/>
        <v/>
      </c>
      <c r="I465" s="667">
        <v>457</v>
      </c>
    </row>
    <row r="466" spans="1:10" s="1284" customFormat="1">
      <c r="A466" s="1279" t="s">
        <v>5540</v>
      </c>
      <c r="B466" s="1280" t="s">
        <v>5541</v>
      </c>
      <c r="C466" s="1281" t="s">
        <v>2665</v>
      </c>
      <c r="D466" s="678">
        <v>0</v>
      </c>
      <c r="E466" s="1282">
        <v>25</v>
      </c>
      <c r="F466" s="678">
        <v>0</v>
      </c>
      <c r="G466" s="1283" t="s">
        <v>2</v>
      </c>
      <c r="H466" s="1272" t="str">
        <f t="shared" si="15"/>
        <v/>
      </c>
      <c r="I466" s="667">
        <v>458</v>
      </c>
    </row>
    <row r="467" spans="1:10" s="1284" customFormat="1" ht="31.5">
      <c r="A467" s="1279" t="s">
        <v>5542</v>
      </c>
      <c r="B467" s="1280" t="s">
        <v>5543</v>
      </c>
      <c r="C467" s="1281" t="s">
        <v>17</v>
      </c>
      <c r="D467" s="678">
        <v>0</v>
      </c>
      <c r="E467" s="1282">
        <v>1925</v>
      </c>
      <c r="F467" s="678">
        <v>0</v>
      </c>
      <c r="G467" s="1283" t="s">
        <v>5544</v>
      </c>
      <c r="H467" s="1272" t="str">
        <f t="shared" si="15"/>
        <v xml:space="preserve">分析表362
</v>
      </c>
      <c r="I467" s="667">
        <v>459</v>
      </c>
    </row>
    <row r="468" spans="1:10" ht="31.5">
      <c r="A468" s="156" t="s">
        <v>3448</v>
      </c>
      <c r="B468" s="8" t="s">
        <v>3449</v>
      </c>
      <c r="C468" s="157" t="s">
        <v>14</v>
      </c>
      <c r="D468" s="158">
        <v>1</v>
      </c>
      <c r="E468" s="159"/>
      <c r="F468" s="158">
        <v>201927.35</v>
      </c>
      <c r="G468" s="160" t="s">
        <v>3450</v>
      </c>
      <c r="H468" s="1272" t="str">
        <f t="shared" ref="H468:H529" si="16">G468</f>
        <v>依實際檢驗項目支付</v>
      </c>
      <c r="I468" s="667">
        <v>460</v>
      </c>
      <c r="J468" t="str">
        <f t="shared" si="14"/>
        <v>　二</v>
      </c>
    </row>
    <row r="469" spans="1:10" ht="47.25">
      <c r="A469" s="161" t="s">
        <v>337</v>
      </c>
      <c r="B469" s="8" t="s">
        <v>3451</v>
      </c>
      <c r="C469" s="157" t="s">
        <v>1689</v>
      </c>
      <c r="D469" s="158">
        <v>5</v>
      </c>
      <c r="E469" s="159">
        <v>1804.92</v>
      </c>
      <c r="F469" s="158">
        <v>9024.6</v>
      </c>
      <c r="G469" s="160" t="s">
        <v>2</v>
      </c>
      <c r="H469" s="1272" t="str">
        <f t="shared" si="16"/>
        <v/>
      </c>
      <c r="I469" s="667">
        <v>461</v>
      </c>
      <c r="J469" t="str">
        <f t="shared" si="14"/>
        <v>2.1</v>
      </c>
    </row>
    <row r="470" spans="1:10" ht="84.6" customHeight="1">
      <c r="A470" s="161" t="s">
        <v>338</v>
      </c>
      <c r="B470" s="8" t="s">
        <v>3453</v>
      </c>
      <c r="C470" s="157" t="s">
        <v>2679</v>
      </c>
      <c r="D470" s="158">
        <v>10</v>
      </c>
      <c r="E470" s="159">
        <v>277.68</v>
      </c>
      <c r="F470" s="158">
        <v>2776.8</v>
      </c>
      <c r="G470" s="160" t="s">
        <v>2</v>
      </c>
      <c r="H470" s="1272" t="str">
        <f t="shared" si="16"/>
        <v/>
      </c>
      <c r="I470" s="667">
        <v>462</v>
      </c>
      <c r="J470" t="str">
        <f t="shared" si="14"/>
        <v>2.2</v>
      </c>
    </row>
    <row r="471" spans="1:10" ht="63">
      <c r="A471" s="161" t="s">
        <v>339</v>
      </c>
      <c r="B471" s="8" t="s">
        <v>3455</v>
      </c>
      <c r="C471" s="157" t="s">
        <v>1689</v>
      </c>
      <c r="D471" s="158">
        <v>5</v>
      </c>
      <c r="E471" s="159">
        <v>1388.4</v>
      </c>
      <c r="F471" s="158">
        <v>6942</v>
      </c>
      <c r="G471" s="160" t="s">
        <v>2</v>
      </c>
      <c r="H471" s="1272" t="str">
        <f t="shared" si="16"/>
        <v/>
      </c>
      <c r="I471" s="667">
        <v>463</v>
      </c>
      <c r="J471" t="str">
        <f t="shared" si="14"/>
        <v>2.3</v>
      </c>
    </row>
    <row r="472" spans="1:10" ht="63">
      <c r="A472" s="161" t="s">
        <v>340</v>
      </c>
      <c r="B472" s="8" t="s">
        <v>3457</v>
      </c>
      <c r="C472" s="157" t="s">
        <v>1689</v>
      </c>
      <c r="D472" s="158">
        <v>5</v>
      </c>
      <c r="E472" s="159">
        <v>1388.4</v>
      </c>
      <c r="F472" s="158">
        <v>6942</v>
      </c>
      <c r="G472" s="160" t="s">
        <v>2</v>
      </c>
      <c r="H472" s="1272" t="str">
        <f t="shared" si="16"/>
        <v/>
      </c>
      <c r="I472" s="667">
        <v>464</v>
      </c>
      <c r="J472" t="str">
        <f t="shared" si="14"/>
        <v>2.4</v>
      </c>
    </row>
    <row r="473" spans="1:10" ht="63">
      <c r="A473" s="161" t="s">
        <v>341</v>
      </c>
      <c r="B473" s="8" t="s">
        <v>3459</v>
      </c>
      <c r="C473" s="157" t="s">
        <v>1689</v>
      </c>
      <c r="D473" s="158">
        <v>2</v>
      </c>
      <c r="E473" s="159">
        <v>2776.81</v>
      </c>
      <c r="F473" s="158">
        <v>5553.62</v>
      </c>
      <c r="G473" s="160" t="s">
        <v>2</v>
      </c>
      <c r="H473" s="1272" t="str">
        <f t="shared" si="16"/>
        <v/>
      </c>
      <c r="I473" s="667">
        <v>465</v>
      </c>
      <c r="J473" t="str">
        <f t="shared" si="14"/>
        <v>2.5</v>
      </c>
    </row>
    <row r="474" spans="1:10" ht="63">
      <c r="A474" s="161" t="s">
        <v>342</v>
      </c>
      <c r="B474" s="8" t="s">
        <v>3461</v>
      </c>
      <c r="C474" s="157" t="s">
        <v>1689</v>
      </c>
      <c r="D474" s="158">
        <v>1</v>
      </c>
      <c r="E474" s="159">
        <v>5553.61</v>
      </c>
      <c r="F474" s="158">
        <v>5553.61</v>
      </c>
      <c r="G474" s="160" t="s">
        <v>2</v>
      </c>
      <c r="H474" s="1272" t="str">
        <f t="shared" si="16"/>
        <v/>
      </c>
      <c r="I474" s="667">
        <v>466</v>
      </c>
      <c r="J474" t="str">
        <f t="shared" si="14"/>
        <v>2.6</v>
      </c>
    </row>
    <row r="475" spans="1:10" ht="63">
      <c r="A475" s="161" t="s">
        <v>343</v>
      </c>
      <c r="B475" s="8" t="s">
        <v>3463</v>
      </c>
      <c r="C475" s="157" t="s">
        <v>1689</v>
      </c>
      <c r="D475" s="158">
        <v>1</v>
      </c>
      <c r="E475" s="159">
        <v>11107.22</v>
      </c>
      <c r="F475" s="158">
        <v>11107.22</v>
      </c>
      <c r="G475" s="160" t="s">
        <v>2</v>
      </c>
      <c r="H475" s="1272" t="str">
        <f t="shared" si="16"/>
        <v/>
      </c>
      <c r="I475" s="667">
        <v>467</v>
      </c>
      <c r="J475" t="str">
        <f t="shared" si="14"/>
        <v>2.7</v>
      </c>
    </row>
    <row r="476" spans="1:10" ht="63">
      <c r="A476" s="161" t="s">
        <v>344</v>
      </c>
      <c r="B476" s="8" t="s">
        <v>3465</v>
      </c>
      <c r="C476" s="157" t="s">
        <v>2238</v>
      </c>
      <c r="D476" s="158">
        <v>1</v>
      </c>
      <c r="E476" s="159">
        <v>925.6</v>
      </c>
      <c r="F476" s="158">
        <v>925.6</v>
      </c>
      <c r="G476" s="160" t="s">
        <v>2</v>
      </c>
      <c r="H476" s="1272" t="str">
        <f t="shared" si="16"/>
        <v/>
      </c>
      <c r="I476" s="667">
        <v>468</v>
      </c>
      <c r="J476" t="str">
        <f t="shared" si="14"/>
        <v>2.8</v>
      </c>
    </row>
    <row r="477" spans="1:10" ht="47.25">
      <c r="A477" s="161" t="s">
        <v>345</v>
      </c>
      <c r="B477" s="8" t="s">
        <v>4848</v>
      </c>
      <c r="C477" s="157" t="s">
        <v>1689</v>
      </c>
      <c r="D477" s="158">
        <v>1</v>
      </c>
      <c r="E477" s="159">
        <v>1388.4</v>
      </c>
      <c r="F477" s="158">
        <v>1388.4</v>
      </c>
      <c r="G477" s="160" t="s">
        <v>2</v>
      </c>
      <c r="H477" s="1272" t="str">
        <f t="shared" si="16"/>
        <v/>
      </c>
      <c r="I477" s="667">
        <v>469</v>
      </c>
      <c r="J477" t="str">
        <f t="shared" si="14"/>
        <v>2.9</v>
      </c>
    </row>
    <row r="478" spans="1:10" ht="63">
      <c r="A478" s="161" t="s">
        <v>346</v>
      </c>
      <c r="B478" s="8" t="s">
        <v>4850</v>
      </c>
      <c r="C478" s="157" t="s">
        <v>1689</v>
      </c>
      <c r="D478" s="158">
        <v>1</v>
      </c>
      <c r="E478" s="159">
        <v>3702.41</v>
      </c>
      <c r="F478" s="158">
        <v>3702.41</v>
      </c>
      <c r="G478" s="160" t="s">
        <v>2</v>
      </c>
      <c r="H478" s="1272" t="str">
        <f t="shared" si="16"/>
        <v/>
      </c>
      <c r="I478" s="667">
        <v>470</v>
      </c>
      <c r="J478" t="str">
        <f t="shared" si="14"/>
        <v>2.10</v>
      </c>
    </row>
    <row r="479" spans="1:10" ht="47.25">
      <c r="A479" s="161" t="s">
        <v>347</v>
      </c>
      <c r="B479" s="8" t="s">
        <v>4852</v>
      </c>
      <c r="C479" s="157" t="s">
        <v>1689</v>
      </c>
      <c r="D479" s="158">
        <v>1</v>
      </c>
      <c r="E479" s="159">
        <v>40726.47</v>
      </c>
      <c r="F479" s="158">
        <v>40726.47</v>
      </c>
      <c r="G479" s="160" t="s">
        <v>2</v>
      </c>
      <c r="H479" s="1272" t="str">
        <f t="shared" si="16"/>
        <v/>
      </c>
      <c r="I479" s="667">
        <v>471</v>
      </c>
      <c r="J479" t="str">
        <f t="shared" si="14"/>
        <v>2.11</v>
      </c>
    </row>
    <row r="480" spans="1:10" ht="47.25">
      <c r="A480" s="161" t="s">
        <v>348</v>
      </c>
      <c r="B480" s="8" t="s">
        <v>3467</v>
      </c>
      <c r="C480" s="157" t="s">
        <v>1689</v>
      </c>
      <c r="D480" s="158">
        <v>1</v>
      </c>
      <c r="E480" s="159">
        <v>7404.81</v>
      </c>
      <c r="F480" s="158">
        <v>7404.81</v>
      </c>
      <c r="G480" s="160" t="s">
        <v>2</v>
      </c>
      <c r="H480" s="1272" t="str">
        <f t="shared" si="16"/>
        <v/>
      </c>
      <c r="I480" s="667">
        <v>472</v>
      </c>
      <c r="J480" t="str">
        <f t="shared" si="14"/>
        <v>2.12</v>
      </c>
    </row>
    <row r="481" spans="1:10" ht="47.25">
      <c r="A481" s="161" t="s">
        <v>349</v>
      </c>
      <c r="B481" s="8" t="s">
        <v>3469</v>
      </c>
      <c r="C481" s="157" t="s">
        <v>1689</v>
      </c>
      <c r="D481" s="158">
        <v>1</v>
      </c>
      <c r="E481" s="159">
        <v>3702.41</v>
      </c>
      <c r="F481" s="158">
        <v>3702.41</v>
      </c>
      <c r="G481" s="160" t="s">
        <v>2</v>
      </c>
      <c r="H481" s="1272" t="str">
        <f t="shared" si="16"/>
        <v/>
      </c>
      <c r="I481" s="667">
        <v>473</v>
      </c>
      <c r="J481" t="str">
        <f t="shared" si="14"/>
        <v>2.13</v>
      </c>
    </row>
    <row r="482" spans="1:10" ht="63">
      <c r="A482" s="161" t="s">
        <v>350</v>
      </c>
      <c r="B482" s="8" t="s">
        <v>3471</v>
      </c>
      <c r="C482" s="157" t="s">
        <v>1689</v>
      </c>
      <c r="D482" s="158">
        <v>1</v>
      </c>
      <c r="E482" s="159">
        <v>1851.2</v>
      </c>
      <c r="F482" s="158">
        <v>1851.2</v>
      </c>
      <c r="G482" s="160" t="s">
        <v>2</v>
      </c>
      <c r="H482" s="1272" t="str">
        <f t="shared" si="16"/>
        <v/>
      </c>
      <c r="I482" s="667">
        <v>474</v>
      </c>
      <c r="J482" t="str">
        <f t="shared" si="14"/>
        <v>2.14</v>
      </c>
    </row>
    <row r="483" spans="1:10" ht="63">
      <c r="A483" s="161" t="s">
        <v>351</v>
      </c>
      <c r="B483" s="8" t="s">
        <v>3475</v>
      </c>
      <c r="C483" s="157" t="s">
        <v>1689</v>
      </c>
      <c r="D483" s="158">
        <v>2</v>
      </c>
      <c r="E483" s="159">
        <v>5553.61</v>
      </c>
      <c r="F483" s="158">
        <v>11107.22</v>
      </c>
      <c r="G483" s="160" t="s">
        <v>2</v>
      </c>
      <c r="H483" s="1272" t="str">
        <f t="shared" si="16"/>
        <v/>
      </c>
      <c r="I483" s="667">
        <v>475</v>
      </c>
      <c r="J483" t="str">
        <f t="shared" si="14"/>
        <v>2.15</v>
      </c>
    </row>
    <row r="484" spans="1:10" ht="47.25">
      <c r="A484" s="161" t="s">
        <v>352</v>
      </c>
      <c r="B484" s="8" t="s">
        <v>3477</v>
      </c>
      <c r="C484" s="157" t="s">
        <v>3478</v>
      </c>
      <c r="D484" s="158">
        <v>2</v>
      </c>
      <c r="E484" s="159">
        <v>1462.45</v>
      </c>
      <c r="F484" s="158">
        <v>2924.9</v>
      </c>
      <c r="G484" s="160" t="s">
        <v>2</v>
      </c>
      <c r="H484" s="1272" t="str">
        <f t="shared" si="16"/>
        <v/>
      </c>
      <c r="I484" s="667">
        <v>476</v>
      </c>
      <c r="J484" t="str">
        <f t="shared" si="14"/>
        <v>2.16</v>
      </c>
    </row>
    <row r="485" spans="1:10" ht="47.25">
      <c r="A485" s="161" t="s">
        <v>353</v>
      </c>
      <c r="B485" s="8" t="s">
        <v>3480</v>
      </c>
      <c r="C485" s="157" t="s">
        <v>2490</v>
      </c>
      <c r="D485" s="158">
        <v>1</v>
      </c>
      <c r="E485" s="159">
        <v>11107.22</v>
      </c>
      <c r="F485" s="158">
        <v>11107.22</v>
      </c>
      <c r="G485" s="160" t="s">
        <v>2</v>
      </c>
      <c r="H485" s="1272" t="str">
        <f t="shared" si="16"/>
        <v/>
      </c>
      <c r="I485" s="667">
        <v>477</v>
      </c>
      <c r="J485" t="str">
        <f t="shared" si="14"/>
        <v>2.17</v>
      </c>
    </row>
    <row r="486" spans="1:10" ht="47.25">
      <c r="A486" s="161" t="s">
        <v>458</v>
      </c>
      <c r="B486" s="8" t="s">
        <v>4854</v>
      </c>
      <c r="C486" s="157" t="s">
        <v>1689</v>
      </c>
      <c r="D486" s="158">
        <v>1</v>
      </c>
      <c r="E486" s="159">
        <v>5553.61</v>
      </c>
      <c r="F486" s="158">
        <v>5553.61</v>
      </c>
      <c r="G486" s="160" t="s">
        <v>2</v>
      </c>
      <c r="H486" s="1272" t="str">
        <f t="shared" si="16"/>
        <v/>
      </c>
      <c r="I486" s="667">
        <v>478</v>
      </c>
      <c r="J486" t="str">
        <f t="shared" si="14"/>
        <v>2.18</v>
      </c>
    </row>
    <row r="487" spans="1:10" ht="47.25">
      <c r="A487" s="161" t="s">
        <v>459</v>
      </c>
      <c r="B487" s="8" t="s">
        <v>4856</v>
      </c>
      <c r="C487" s="157" t="s">
        <v>1689</v>
      </c>
      <c r="D487" s="158">
        <v>1</v>
      </c>
      <c r="E487" s="159">
        <v>925.6</v>
      </c>
      <c r="F487" s="158">
        <v>925.6</v>
      </c>
      <c r="G487" s="160" t="s">
        <v>2</v>
      </c>
      <c r="H487" s="1272" t="str">
        <f t="shared" si="16"/>
        <v/>
      </c>
      <c r="I487" s="667">
        <v>479</v>
      </c>
      <c r="J487" t="str">
        <f t="shared" si="14"/>
        <v>2.19</v>
      </c>
    </row>
    <row r="488" spans="1:10" ht="47.25">
      <c r="A488" s="161" t="s">
        <v>460</v>
      </c>
      <c r="B488" s="8" t="s">
        <v>4858</v>
      </c>
      <c r="C488" s="157" t="s">
        <v>1689</v>
      </c>
      <c r="D488" s="158">
        <v>1</v>
      </c>
      <c r="E488" s="159">
        <v>4628.01</v>
      </c>
      <c r="F488" s="158">
        <v>4628.01</v>
      </c>
      <c r="G488" s="160" t="s">
        <v>2</v>
      </c>
      <c r="H488" s="1272" t="str">
        <f t="shared" si="16"/>
        <v/>
      </c>
      <c r="I488" s="667">
        <v>480</v>
      </c>
      <c r="J488" t="str">
        <f t="shared" si="14"/>
        <v>2.20</v>
      </c>
    </row>
    <row r="489" spans="1:10" ht="47.25">
      <c r="A489" s="161" t="s">
        <v>529</v>
      </c>
      <c r="B489" s="8" t="s">
        <v>3473</v>
      </c>
      <c r="C489" s="157" t="s">
        <v>1875</v>
      </c>
      <c r="D489" s="158">
        <v>2</v>
      </c>
      <c r="E489" s="159">
        <v>3702.41</v>
      </c>
      <c r="F489" s="158">
        <v>7404.82</v>
      </c>
      <c r="G489" s="160" t="s">
        <v>2</v>
      </c>
      <c r="H489" s="1272" t="str">
        <f t="shared" si="16"/>
        <v/>
      </c>
      <c r="I489" s="667">
        <v>481</v>
      </c>
      <c r="J489" t="str">
        <f t="shared" si="14"/>
        <v>2.21</v>
      </c>
    </row>
    <row r="490" spans="1:10" ht="31.5">
      <c r="A490" s="161" t="s">
        <v>530</v>
      </c>
      <c r="B490" s="8" t="s">
        <v>3482</v>
      </c>
      <c r="C490" s="157" t="s">
        <v>1689</v>
      </c>
      <c r="D490" s="158">
        <v>2</v>
      </c>
      <c r="E490" s="159">
        <v>5553.61</v>
      </c>
      <c r="F490" s="158">
        <v>11107.22</v>
      </c>
      <c r="G490" s="160" t="s">
        <v>5423</v>
      </c>
      <c r="H490" s="1272" t="str">
        <f t="shared" si="16"/>
        <v>每組2支</v>
      </c>
      <c r="I490" s="667">
        <v>482</v>
      </c>
      <c r="J490" t="str">
        <f t="shared" si="14"/>
        <v>2.22</v>
      </c>
    </row>
    <row r="491" spans="1:10" ht="31.5">
      <c r="A491" s="161" t="s">
        <v>531</v>
      </c>
      <c r="B491" s="8" t="s">
        <v>3482</v>
      </c>
      <c r="C491" s="157" t="s">
        <v>1497</v>
      </c>
      <c r="D491" s="158">
        <v>5</v>
      </c>
      <c r="E491" s="159">
        <v>1388.4</v>
      </c>
      <c r="F491" s="158">
        <v>6942</v>
      </c>
      <c r="G491" s="160" t="s">
        <v>5424</v>
      </c>
      <c r="H491" s="1272" t="str">
        <f t="shared" si="16"/>
        <v>超過1組檢驗數量另計</v>
      </c>
      <c r="I491" s="667">
        <v>483</v>
      </c>
      <c r="J491" t="str">
        <f t="shared" si="14"/>
        <v>2.23</v>
      </c>
    </row>
    <row r="492" spans="1:10" ht="31.5">
      <c r="A492" s="161" t="s">
        <v>3669</v>
      </c>
      <c r="B492" s="8" t="s">
        <v>3485</v>
      </c>
      <c r="C492" s="157" t="s">
        <v>1689</v>
      </c>
      <c r="D492" s="158">
        <v>2</v>
      </c>
      <c r="E492" s="159">
        <v>5553.61</v>
      </c>
      <c r="F492" s="158">
        <v>11107.22</v>
      </c>
      <c r="G492" s="160" t="s">
        <v>5425</v>
      </c>
      <c r="H492" s="1272" t="str">
        <f t="shared" si="16"/>
        <v>每組3支</v>
      </c>
      <c r="I492" s="667">
        <v>484</v>
      </c>
      <c r="J492" t="str">
        <f t="shared" si="14"/>
        <v>2.24</v>
      </c>
    </row>
    <row r="493" spans="1:10" ht="31.5">
      <c r="A493" s="161" t="s">
        <v>4860</v>
      </c>
      <c r="B493" s="8" t="s">
        <v>3485</v>
      </c>
      <c r="C493" s="157" t="s">
        <v>1497</v>
      </c>
      <c r="D493" s="158">
        <v>5</v>
      </c>
      <c r="E493" s="159">
        <v>925.6</v>
      </c>
      <c r="F493" s="158">
        <v>4628</v>
      </c>
      <c r="G493" s="160" t="s">
        <v>5424</v>
      </c>
      <c r="H493" s="1272" t="str">
        <f t="shared" si="16"/>
        <v>超過1組檢驗數量另計</v>
      </c>
      <c r="I493" s="667">
        <v>485</v>
      </c>
      <c r="J493" t="str">
        <f t="shared" si="14"/>
        <v>2.25</v>
      </c>
    </row>
    <row r="494" spans="1:10">
      <c r="A494" s="161" t="s">
        <v>4861</v>
      </c>
      <c r="B494" s="8" t="s">
        <v>3488</v>
      </c>
      <c r="C494" s="157" t="s">
        <v>1689</v>
      </c>
      <c r="D494" s="158">
        <v>2</v>
      </c>
      <c r="E494" s="159">
        <v>5553.61</v>
      </c>
      <c r="F494" s="158">
        <v>11107.22</v>
      </c>
      <c r="G494" s="160" t="s">
        <v>2</v>
      </c>
      <c r="H494" s="1272" t="str">
        <f t="shared" si="16"/>
        <v/>
      </c>
      <c r="I494" s="667">
        <v>486</v>
      </c>
      <c r="J494" t="str">
        <f t="shared" si="14"/>
        <v>2.26</v>
      </c>
    </row>
    <row r="495" spans="1:10" ht="31.5">
      <c r="A495" s="161" t="s">
        <v>4862</v>
      </c>
      <c r="B495" s="8" t="s">
        <v>1772</v>
      </c>
      <c r="C495" s="157" t="s">
        <v>1497</v>
      </c>
      <c r="D495" s="158">
        <v>1</v>
      </c>
      <c r="E495" s="159">
        <v>5783.16</v>
      </c>
      <c r="F495" s="158">
        <v>5783.16</v>
      </c>
      <c r="G495" s="160" t="s">
        <v>5426</v>
      </c>
      <c r="H495" s="1272" t="str">
        <f t="shared" si="16"/>
        <v>L=2.4</v>
      </c>
      <c r="I495" s="667">
        <v>487</v>
      </c>
      <c r="J495" t="str">
        <f t="shared" si="14"/>
        <v>2.27</v>
      </c>
    </row>
    <row r="496" spans="1:10" ht="31.5">
      <c r="A496" s="156" t="s">
        <v>3494</v>
      </c>
      <c r="B496" s="8" t="s">
        <v>3495</v>
      </c>
      <c r="C496" s="157" t="s">
        <v>14</v>
      </c>
      <c r="D496" s="158">
        <v>1</v>
      </c>
      <c r="E496" s="159"/>
      <c r="F496" s="158">
        <v>494203.3</v>
      </c>
      <c r="G496" s="160" t="s">
        <v>5427</v>
      </c>
      <c r="H496" s="1272" t="str">
        <f t="shared" si="16"/>
        <v>依工程費×2.51%</v>
      </c>
      <c r="I496" s="667">
        <v>488</v>
      </c>
      <c r="J496" t="str">
        <f t="shared" si="14"/>
        <v>　三</v>
      </c>
    </row>
    <row r="497" spans="1:10" ht="31.5">
      <c r="A497" s="161" t="s">
        <v>354</v>
      </c>
      <c r="B497" s="8" t="s">
        <v>2781</v>
      </c>
      <c r="C497" s="157" t="s">
        <v>2782</v>
      </c>
      <c r="D497" s="158">
        <v>2180</v>
      </c>
      <c r="E497" s="159">
        <v>50.69</v>
      </c>
      <c r="F497" s="158">
        <v>110504.2</v>
      </c>
      <c r="G497" s="160" t="s">
        <v>5545</v>
      </c>
      <c r="H497" s="1272" t="str">
        <f t="shared" si="16"/>
        <v xml:space="preserve">分析表363
</v>
      </c>
      <c r="I497" s="667">
        <v>489</v>
      </c>
      <c r="J497" t="str">
        <f t="shared" si="14"/>
        <v>3.1</v>
      </c>
    </row>
    <row r="498" spans="1:10" ht="31.5">
      <c r="A498" s="161" t="s">
        <v>355</v>
      </c>
      <c r="B498" s="8" t="s">
        <v>2785</v>
      </c>
      <c r="C498" s="157" t="s">
        <v>2786</v>
      </c>
      <c r="D498" s="158">
        <v>30</v>
      </c>
      <c r="E498" s="159">
        <v>12789.97</v>
      </c>
      <c r="F498" s="158">
        <v>383699.1</v>
      </c>
      <c r="G498" s="160" t="s">
        <v>5546</v>
      </c>
      <c r="H498" s="1272" t="str">
        <f t="shared" si="16"/>
        <v xml:space="preserve">分析表364
</v>
      </c>
      <c r="I498" s="667">
        <v>490</v>
      </c>
      <c r="J498" t="str">
        <f t="shared" si="14"/>
        <v>3.2</v>
      </c>
    </row>
    <row r="499" spans="1:10" ht="31.5">
      <c r="A499" s="156" t="s">
        <v>3499</v>
      </c>
      <c r="B499" s="8" t="s">
        <v>3500</v>
      </c>
      <c r="C499" s="157" t="s">
        <v>14</v>
      </c>
      <c r="D499" s="158">
        <v>1</v>
      </c>
      <c r="E499" s="159"/>
      <c r="F499" s="158">
        <v>7650</v>
      </c>
      <c r="G499" s="160" t="s">
        <v>3501</v>
      </c>
      <c r="H499" s="1272" t="str">
        <f t="shared" si="16"/>
        <v>需檢據核銷</v>
      </c>
      <c r="I499" s="667">
        <v>491</v>
      </c>
      <c r="J499" t="str">
        <f t="shared" si="14"/>
        <v>　四</v>
      </c>
    </row>
    <row r="500" spans="1:10" ht="31.5">
      <c r="A500" s="161" t="s">
        <v>356</v>
      </c>
      <c r="B500" s="8" t="s">
        <v>3502</v>
      </c>
      <c r="C500" s="157" t="s">
        <v>3503</v>
      </c>
      <c r="D500" s="158">
        <v>1</v>
      </c>
      <c r="E500" s="159">
        <v>2300</v>
      </c>
      <c r="F500" s="158">
        <v>2300</v>
      </c>
      <c r="G500" s="160" t="s">
        <v>4364</v>
      </c>
      <c r="H500" s="1272" t="str">
        <f t="shared" si="16"/>
        <v>[人力工項不打折]</v>
      </c>
      <c r="I500" s="667">
        <v>492</v>
      </c>
      <c r="J500" t="str">
        <f t="shared" si="14"/>
        <v>4.1</v>
      </c>
    </row>
    <row r="501" spans="1:10" ht="31.5">
      <c r="A501" s="161" t="s">
        <v>357</v>
      </c>
      <c r="B501" s="8" t="s">
        <v>3505</v>
      </c>
      <c r="C501" s="157" t="s">
        <v>3503</v>
      </c>
      <c r="D501" s="158">
        <v>1</v>
      </c>
      <c r="E501" s="159">
        <v>4100</v>
      </c>
      <c r="F501" s="158">
        <v>4100</v>
      </c>
      <c r="G501" s="160" t="s">
        <v>4364</v>
      </c>
      <c r="H501" s="1272" t="str">
        <f t="shared" si="16"/>
        <v>[人力工項不打折]</v>
      </c>
      <c r="I501" s="667">
        <v>493</v>
      </c>
      <c r="J501" t="str">
        <f t="shared" si="14"/>
        <v>4.2</v>
      </c>
    </row>
    <row r="502" spans="1:10" ht="31.5">
      <c r="A502" s="161" t="s">
        <v>358</v>
      </c>
      <c r="B502" s="8" t="s">
        <v>3507</v>
      </c>
      <c r="C502" s="157" t="s">
        <v>3503</v>
      </c>
      <c r="D502" s="158">
        <v>1</v>
      </c>
      <c r="E502" s="159">
        <v>1250</v>
      </c>
      <c r="F502" s="158">
        <v>1250</v>
      </c>
      <c r="G502" s="160" t="s">
        <v>4364</v>
      </c>
      <c r="H502" s="1272" t="str">
        <f t="shared" si="16"/>
        <v>[人力工項不打折]</v>
      </c>
      <c r="I502" s="667">
        <v>494</v>
      </c>
      <c r="J502" t="str">
        <f t="shared" si="14"/>
        <v>4.3</v>
      </c>
    </row>
    <row r="503" spans="1:10" ht="94.5">
      <c r="A503" s="156" t="s">
        <v>3509</v>
      </c>
      <c r="B503" s="8" t="s">
        <v>3510</v>
      </c>
      <c r="C503" s="157" t="s">
        <v>14</v>
      </c>
      <c r="D503" s="158">
        <v>1</v>
      </c>
      <c r="E503" s="159"/>
      <c r="F503" s="158">
        <v>974752.1</v>
      </c>
      <c r="G503" s="160" t="s">
        <v>5428</v>
      </c>
      <c r="H503" s="1272" t="str">
        <f t="shared" si="16"/>
        <v>依工程費×4.96%,以新製品或完整無缺（重新油漆或清理過後）之堪用品進場。</v>
      </c>
      <c r="I503" s="667">
        <v>495</v>
      </c>
      <c r="J503" t="str">
        <f t="shared" si="14"/>
        <v>　五</v>
      </c>
    </row>
    <row r="504" spans="1:10" ht="47.25">
      <c r="A504" s="161" t="s">
        <v>359</v>
      </c>
      <c r="B504" s="8" t="s">
        <v>3512</v>
      </c>
      <c r="C504" s="157" t="s">
        <v>3513</v>
      </c>
      <c r="D504" s="158">
        <v>20</v>
      </c>
      <c r="E504" s="159">
        <v>190.67</v>
      </c>
      <c r="F504" s="158">
        <v>3813.4</v>
      </c>
      <c r="G504" s="160" t="s">
        <v>2</v>
      </c>
      <c r="H504" s="1272" t="str">
        <f t="shared" si="16"/>
        <v/>
      </c>
      <c r="I504" s="667">
        <v>496</v>
      </c>
      <c r="J504" t="str">
        <f t="shared" si="14"/>
        <v>5.1</v>
      </c>
    </row>
    <row r="505" spans="1:10" ht="78.75">
      <c r="A505" s="161" t="s">
        <v>360</v>
      </c>
      <c r="B505" s="8" t="s">
        <v>3515</v>
      </c>
      <c r="C505" s="157" t="s">
        <v>3513</v>
      </c>
      <c r="D505" s="158">
        <v>20</v>
      </c>
      <c r="E505" s="159">
        <v>543.41999999999996</v>
      </c>
      <c r="F505" s="158">
        <v>10868.4</v>
      </c>
      <c r="G505" s="160" t="s">
        <v>5429</v>
      </c>
      <c r="H505" s="1272" t="str">
        <f t="shared" si="16"/>
        <v>創意柔性告示牌之圖案須依機關提供之電子檔依比例放大製作</v>
      </c>
      <c r="I505" s="667">
        <v>497</v>
      </c>
      <c r="J505" t="str">
        <f t="shared" si="14"/>
        <v>5.2</v>
      </c>
    </row>
    <row r="506" spans="1:10" ht="47.25">
      <c r="A506" s="161" t="s">
        <v>361</v>
      </c>
      <c r="B506" s="8" t="s">
        <v>3517</v>
      </c>
      <c r="C506" s="157" t="s">
        <v>1818</v>
      </c>
      <c r="D506" s="158">
        <v>20</v>
      </c>
      <c r="E506" s="159">
        <v>5529.54</v>
      </c>
      <c r="F506" s="158">
        <v>110590.8</v>
      </c>
      <c r="G506" s="160" t="s">
        <v>2</v>
      </c>
      <c r="H506" s="1272" t="str">
        <f t="shared" si="16"/>
        <v/>
      </c>
      <c r="I506" s="667">
        <v>498</v>
      </c>
      <c r="J506" t="str">
        <f t="shared" si="14"/>
        <v>5.3</v>
      </c>
    </row>
    <row r="507" spans="1:10">
      <c r="A507" s="161" t="s">
        <v>362</v>
      </c>
      <c r="B507" s="8" t="s">
        <v>3519</v>
      </c>
      <c r="C507" s="157" t="s">
        <v>1818</v>
      </c>
      <c r="D507" s="158">
        <v>20</v>
      </c>
      <c r="E507" s="159">
        <v>1167.79</v>
      </c>
      <c r="F507" s="158">
        <v>23355.8</v>
      </c>
      <c r="G507" s="160" t="s">
        <v>2</v>
      </c>
      <c r="H507" s="1272" t="str">
        <f t="shared" si="16"/>
        <v/>
      </c>
      <c r="I507" s="667">
        <v>499</v>
      </c>
      <c r="J507" t="str">
        <f t="shared" si="14"/>
        <v>5.4</v>
      </c>
    </row>
    <row r="508" spans="1:10" ht="16.5" customHeight="1">
      <c r="A508" s="161" t="s">
        <v>363</v>
      </c>
      <c r="B508" s="8" t="s">
        <v>3521</v>
      </c>
      <c r="C508" s="157" t="s">
        <v>2679</v>
      </c>
      <c r="D508" s="158">
        <v>200</v>
      </c>
      <c r="E508" s="159">
        <v>209.45</v>
      </c>
      <c r="F508" s="158">
        <v>41890</v>
      </c>
      <c r="G508" s="160" t="s">
        <v>2</v>
      </c>
      <c r="H508" s="1272" t="str">
        <f t="shared" si="16"/>
        <v/>
      </c>
      <c r="I508" s="667">
        <v>500</v>
      </c>
      <c r="J508" t="str">
        <f t="shared" si="14"/>
        <v>5.5</v>
      </c>
    </row>
    <row r="509" spans="1:10" ht="31.5">
      <c r="A509" s="161" t="s">
        <v>364</v>
      </c>
      <c r="B509" s="8" t="s">
        <v>3523</v>
      </c>
      <c r="C509" s="157" t="s">
        <v>2679</v>
      </c>
      <c r="D509" s="158">
        <v>200</v>
      </c>
      <c r="E509" s="159">
        <v>209.45</v>
      </c>
      <c r="F509" s="158">
        <v>41890</v>
      </c>
      <c r="G509" s="160" t="s">
        <v>2</v>
      </c>
      <c r="H509" s="1272" t="str">
        <f t="shared" si="16"/>
        <v/>
      </c>
      <c r="I509" s="667">
        <v>501</v>
      </c>
      <c r="J509" t="str">
        <f t="shared" si="14"/>
        <v>5.6</v>
      </c>
    </row>
    <row r="510" spans="1:10">
      <c r="A510" s="161" t="s">
        <v>365</v>
      </c>
      <c r="B510" s="8" t="s">
        <v>3525</v>
      </c>
      <c r="C510" s="157" t="s">
        <v>1497</v>
      </c>
      <c r="D510" s="158">
        <v>200</v>
      </c>
      <c r="E510" s="159">
        <v>46.28</v>
      </c>
      <c r="F510" s="158">
        <v>9256</v>
      </c>
      <c r="G510" s="160" t="s">
        <v>2</v>
      </c>
      <c r="H510" s="1272" t="str">
        <f t="shared" si="16"/>
        <v/>
      </c>
      <c r="I510" s="667">
        <v>502</v>
      </c>
      <c r="J510" t="str">
        <f t="shared" si="14"/>
        <v>5.7</v>
      </c>
    </row>
    <row r="511" spans="1:10" ht="16.5" customHeight="1">
      <c r="A511" s="161" t="s">
        <v>366</v>
      </c>
      <c r="B511" s="8" t="s">
        <v>3527</v>
      </c>
      <c r="C511" s="157" t="s">
        <v>1818</v>
      </c>
      <c r="D511" s="158">
        <v>50</v>
      </c>
      <c r="E511" s="159">
        <v>1889.2</v>
      </c>
      <c r="F511" s="158">
        <v>94460</v>
      </c>
      <c r="G511" s="160" t="s">
        <v>2</v>
      </c>
      <c r="H511" s="1272" t="str">
        <f t="shared" si="16"/>
        <v/>
      </c>
      <c r="I511" s="667">
        <v>503</v>
      </c>
      <c r="J511" t="str">
        <f t="shared" si="14"/>
        <v>5.8</v>
      </c>
    </row>
    <row r="512" spans="1:10" ht="16.5" customHeight="1">
      <c r="A512" s="161" t="s">
        <v>367</v>
      </c>
      <c r="B512" s="8" t="s">
        <v>3529</v>
      </c>
      <c r="C512" s="157" t="s">
        <v>1818</v>
      </c>
      <c r="D512" s="158">
        <v>50</v>
      </c>
      <c r="E512" s="159">
        <v>2465.0300000000002</v>
      </c>
      <c r="F512" s="158">
        <v>123251.5</v>
      </c>
      <c r="G512" s="160" t="s">
        <v>2</v>
      </c>
      <c r="H512" s="1272" t="str">
        <f t="shared" si="16"/>
        <v/>
      </c>
      <c r="I512" s="667">
        <v>504</v>
      </c>
      <c r="J512" t="str">
        <f t="shared" si="14"/>
        <v>5.9</v>
      </c>
    </row>
    <row r="513" spans="1:9" ht="31.5">
      <c r="A513" s="161" t="s">
        <v>368</v>
      </c>
      <c r="B513" s="8" t="s">
        <v>3531</v>
      </c>
      <c r="C513" s="157" t="s">
        <v>1818</v>
      </c>
      <c r="D513" s="158">
        <v>50</v>
      </c>
      <c r="E513" s="159">
        <v>2865.45</v>
      </c>
      <c r="F513" s="158">
        <v>143272.5</v>
      </c>
      <c r="G513" s="160" t="s">
        <v>2</v>
      </c>
      <c r="H513" s="1272" t="str">
        <f t="shared" si="16"/>
        <v/>
      </c>
      <c r="I513" s="667">
        <v>505</v>
      </c>
    </row>
    <row r="514" spans="1:9" ht="16.5" customHeight="1">
      <c r="A514" s="161" t="s">
        <v>369</v>
      </c>
      <c r="B514" s="8" t="s">
        <v>3533</v>
      </c>
      <c r="C514" s="157" t="s">
        <v>1818</v>
      </c>
      <c r="D514" s="158">
        <v>20</v>
      </c>
      <c r="E514" s="159">
        <v>3628.15</v>
      </c>
      <c r="F514" s="158">
        <v>72563</v>
      </c>
      <c r="G514" s="160" t="s">
        <v>2</v>
      </c>
      <c r="H514" s="1272" t="str">
        <f t="shared" si="16"/>
        <v/>
      </c>
      <c r="I514" s="667">
        <v>506</v>
      </c>
    </row>
    <row r="515" spans="1:9">
      <c r="A515" s="161" t="s">
        <v>370</v>
      </c>
      <c r="B515" s="8" t="s">
        <v>3535</v>
      </c>
      <c r="C515" s="157" t="s">
        <v>1818</v>
      </c>
      <c r="D515" s="158">
        <v>100</v>
      </c>
      <c r="E515" s="159">
        <v>1542.15</v>
      </c>
      <c r="F515" s="158">
        <v>154215</v>
      </c>
      <c r="G515" s="160" t="s">
        <v>2</v>
      </c>
      <c r="H515" s="1272" t="str">
        <f t="shared" si="16"/>
        <v/>
      </c>
      <c r="I515" s="667">
        <v>507</v>
      </c>
    </row>
    <row r="516" spans="1:9">
      <c r="A516" s="161" t="s">
        <v>371</v>
      </c>
      <c r="B516" s="8" t="s">
        <v>3537</v>
      </c>
      <c r="C516" s="157" t="s">
        <v>1689</v>
      </c>
      <c r="D516" s="158">
        <v>50</v>
      </c>
      <c r="E516" s="159">
        <v>703.46</v>
      </c>
      <c r="F516" s="158">
        <v>35173</v>
      </c>
      <c r="G516" s="160" t="s">
        <v>2</v>
      </c>
      <c r="H516" s="1272" t="str">
        <f t="shared" si="16"/>
        <v/>
      </c>
      <c r="I516" s="667">
        <v>508</v>
      </c>
    </row>
    <row r="517" spans="1:9">
      <c r="A517" s="161" t="s">
        <v>372</v>
      </c>
      <c r="B517" s="8" t="s">
        <v>3539</v>
      </c>
      <c r="C517" s="157" t="s">
        <v>1220</v>
      </c>
      <c r="D517" s="158">
        <v>50</v>
      </c>
      <c r="E517" s="159">
        <v>298.39999999999998</v>
      </c>
      <c r="F517" s="158">
        <v>14920</v>
      </c>
      <c r="G517" s="160" t="s">
        <v>2</v>
      </c>
      <c r="H517" s="1272" t="str">
        <f t="shared" si="16"/>
        <v/>
      </c>
      <c r="I517" s="667">
        <v>509</v>
      </c>
    </row>
    <row r="518" spans="1:9">
      <c r="A518" s="161" t="s">
        <v>373</v>
      </c>
      <c r="B518" s="8" t="s">
        <v>3541</v>
      </c>
      <c r="C518" s="157" t="s">
        <v>1220</v>
      </c>
      <c r="D518" s="158">
        <v>135</v>
      </c>
      <c r="E518" s="159">
        <v>83.18</v>
      </c>
      <c r="F518" s="158">
        <v>11229.3</v>
      </c>
      <c r="G518" s="160" t="s">
        <v>2</v>
      </c>
      <c r="H518" s="1272" t="str">
        <f t="shared" si="16"/>
        <v/>
      </c>
      <c r="I518" s="667">
        <v>510</v>
      </c>
    </row>
    <row r="519" spans="1:9">
      <c r="A519" s="161" t="s">
        <v>374</v>
      </c>
      <c r="B519" s="8" t="s">
        <v>3543</v>
      </c>
      <c r="C519" s="157" t="s">
        <v>2679</v>
      </c>
      <c r="D519" s="158">
        <v>20</v>
      </c>
      <c r="E519" s="159">
        <v>1792.34</v>
      </c>
      <c r="F519" s="158">
        <v>35846.800000000003</v>
      </c>
      <c r="G519" s="160" t="s">
        <v>2</v>
      </c>
      <c r="H519" s="1272" t="str">
        <f t="shared" si="16"/>
        <v/>
      </c>
      <c r="I519" s="667">
        <v>511</v>
      </c>
    </row>
    <row r="520" spans="1:9">
      <c r="A520" s="161" t="s">
        <v>375</v>
      </c>
      <c r="B520" s="8" t="s">
        <v>3545</v>
      </c>
      <c r="C520" s="157" t="s">
        <v>1818</v>
      </c>
      <c r="D520" s="158">
        <v>20</v>
      </c>
      <c r="E520" s="159">
        <v>2407.83</v>
      </c>
      <c r="F520" s="158">
        <v>48156.6</v>
      </c>
      <c r="G520" s="160" t="s">
        <v>2</v>
      </c>
      <c r="H520" s="1272" t="str">
        <f t="shared" si="16"/>
        <v/>
      </c>
      <c r="I520" s="667">
        <v>512</v>
      </c>
    </row>
    <row r="521" spans="1:9" ht="283.5">
      <c r="A521" s="156" t="s">
        <v>3547</v>
      </c>
      <c r="B521" s="8" t="s">
        <v>3548</v>
      </c>
      <c r="C521" s="157" t="s">
        <v>14</v>
      </c>
      <c r="D521" s="158">
        <v>1</v>
      </c>
      <c r="E521" s="159"/>
      <c r="F521" s="158">
        <v>603760.84</v>
      </c>
      <c r="G521" s="160" t="s">
        <v>5430</v>
      </c>
      <c r="H521" s="1272" t="str">
        <f t="shared" si="16"/>
        <v>依工程費×3.07%,以新製品或完整無缺（重新油漆或清理過後）之堪用品進場。（本項決標後依投標須知第八十四點規定，依本機關原列預算單價以核定底價與預算總價之比例調整之，不隨得標廠商標價調整，本欄所列百分比亦隨同調整）</v>
      </c>
      <c r="I521" s="667">
        <v>513</v>
      </c>
    </row>
    <row r="522" spans="1:9" ht="31.5">
      <c r="A522" s="161" t="s">
        <v>376</v>
      </c>
      <c r="B522" s="8" t="s">
        <v>3550</v>
      </c>
      <c r="C522" s="157" t="s">
        <v>2238</v>
      </c>
      <c r="D522" s="158">
        <v>30</v>
      </c>
      <c r="E522" s="159">
        <v>768.51</v>
      </c>
      <c r="F522" s="158">
        <v>23055.3</v>
      </c>
      <c r="G522" s="160" t="s">
        <v>2</v>
      </c>
      <c r="H522" s="1272" t="str">
        <f t="shared" si="16"/>
        <v/>
      </c>
      <c r="I522" s="667">
        <v>514</v>
      </c>
    </row>
    <row r="523" spans="1:9" ht="47.25">
      <c r="A523" s="161" t="s">
        <v>377</v>
      </c>
      <c r="B523" s="8" t="s">
        <v>3551</v>
      </c>
      <c r="C523" s="157" t="s">
        <v>3513</v>
      </c>
      <c r="D523" s="158">
        <v>30</v>
      </c>
      <c r="E523" s="159">
        <v>124.76</v>
      </c>
      <c r="F523" s="158">
        <v>3742.8</v>
      </c>
      <c r="G523" s="160" t="s">
        <v>4379</v>
      </c>
      <c r="H523" s="1272" t="str">
        <f t="shared" si="16"/>
        <v>#</v>
      </c>
      <c r="I523" s="667">
        <v>515</v>
      </c>
    </row>
    <row r="524" spans="1:9" ht="47.25">
      <c r="A524" s="161" t="s">
        <v>378</v>
      </c>
      <c r="B524" s="8" t="s">
        <v>3553</v>
      </c>
      <c r="C524" s="157" t="s">
        <v>3513</v>
      </c>
      <c r="D524" s="158">
        <v>30</v>
      </c>
      <c r="E524" s="159">
        <v>124.76</v>
      </c>
      <c r="F524" s="158">
        <v>3742.8</v>
      </c>
      <c r="G524" s="160" t="s">
        <v>4379</v>
      </c>
      <c r="H524" s="1272" t="str">
        <f t="shared" si="16"/>
        <v>#</v>
      </c>
      <c r="I524" s="667">
        <v>516</v>
      </c>
    </row>
    <row r="525" spans="1:9" ht="47.25">
      <c r="A525" s="161" t="s">
        <v>379</v>
      </c>
      <c r="B525" s="8" t="s">
        <v>3555</v>
      </c>
      <c r="C525" s="157" t="s">
        <v>3513</v>
      </c>
      <c r="D525" s="158">
        <v>30</v>
      </c>
      <c r="E525" s="159">
        <v>124.76</v>
      </c>
      <c r="F525" s="158">
        <v>3742.8</v>
      </c>
      <c r="G525" s="160" t="s">
        <v>4379</v>
      </c>
      <c r="H525" s="1272" t="str">
        <f t="shared" si="16"/>
        <v>#</v>
      </c>
      <c r="I525" s="667">
        <v>517</v>
      </c>
    </row>
    <row r="526" spans="1:9" ht="31.5">
      <c r="A526" s="161" t="s">
        <v>380</v>
      </c>
      <c r="B526" s="8" t="s">
        <v>3557</v>
      </c>
      <c r="C526" s="157" t="s">
        <v>1689</v>
      </c>
      <c r="D526" s="158">
        <v>20</v>
      </c>
      <c r="E526" s="159">
        <v>1157.76</v>
      </c>
      <c r="F526" s="158">
        <v>23155.200000000001</v>
      </c>
      <c r="G526" s="160" t="s">
        <v>2</v>
      </c>
      <c r="H526" s="1272" t="str">
        <f t="shared" si="16"/>
        <v/>
      </c>
      <c r="I526" s="667">
        <v>518</v>
      </c>
    </row>
    <row r="527" spans="1:9" ht="31.5">
      <c r="A527" s="161" t="s">
        <v>381</v>
      </c>
      <c r="B527" s="8" t="s">
        <v>3559</v>
      </c>
      <c r="C527" s="157" t="s">
        <v>3560</v>
      </c>
      <c r="D527" s="158">
        <v>120</v>
      </c>
      <c r="E527" s="159">
        <v>200.61</v>
      </c>
      <c r="F527" s="158">
        <v>24073.200000000001</v>
      </c>
      <c r="G527" s="160" t="s">
        <v>2</v>
      </c>
      <c r="H527" s="1272" t="str">
        <f t="shared" si="16"/>
        <v/>
      </c>
      <c r="I527" s="667">
        <v>519</v>
      </c>
    </row>
    <row r="528" spans="1:9" ht="31.5">
      <c r="A528" s="161" t="s">
        <v>382</v>
      </c>
      <c r="B528" s="8" t="s">
        <v>3562</v>
      </c>
      <c r="C528" s="157" t="s">
        <v>3563</v>
      </c>
      <c r="D528" s="158">
        <v>50</v>
      </c>
      <c r="E528" s="159">
        <v>299.42</v>
      </c>
      <c r="F528" s="158">
        <v>14971</v>
      </c>
      <c r="G528" s="160" t="s">
        <v>2</v>
      </c>
      <c r="H528" s="1272" t="str">
        <f t="shared" si="16"/>
        <v/>
      </c>
      <c r="I528" s="667">
        <v>520</v>
      </c>
    </row>
    <row r="529" spans="1:9" ht="31.5">
      <c r="A529" s="161" t="s">
        <v>383</v>
      </c>
      <c r="B529" s="8" t="s">
        <v>3565</v>
      </c>
      <c r="C529" s="157" t="s">
        <v>1689</v>
      </c>
      <c r="D529" s="158">
        <v>50</v>
      </c>
      <c r="E529" s="159">
        <v>151.71</v>
      </c>
      <c r="F529" s="158">
        <v>7585.5</v>
      </c>
      <c r="G529" s="160" t="s">
        <v>2</v>
      </c>
      <c r="H529" s="1272" t="str">
        <f t="shared" si="16"/>
        <v/>
      </c>
      <c r="I529" s="667">
        <v>521</v>
      </c>
    </row>
    <row r="530" spans="1:9" ht="31.5">
      <c r="A530" s="161" t="s">
        <v>384</v>
      </c>
      <c r="B530" s="8" t="s">
        <v>3567</v>
      </c>
      <c r="C530" s="157" t="s">
        <v>3568</v>
      </c>
      <c r="D530" s="158">
        <v>200</v>
      </c>
      <c r="E530" s="159">
        <v>29.94</v>
      </c>
      <c r="F530" s="158">
        <v>5988</v>
      </c>
      <c r="G530" s="160" t="s">
        <v>2</v>
      </c>
      <c r="H530" s="1272" t="str">
        <f t="shared" ref="H530:H551" si="17">G530</f>
        <v/>
      </c>
      <c r="I530" s="667">
        <v>522</v>
      </c>
    </row>
    <row r="531" spans="1:9" ht="31.5">
      <c r="A531" s="161" t="s">
        <v>385</v>
      </c>
      <c r="B531" s="8" t="s">
        <v>3570</v>
      </c>
      <c r="C531" s="157" t="s">
        <v>3568</v>
      </c>
      <c r="D531" s="158">
        <v>100</v>
      </c>
      <c r="E531" s="159">
        <v>502.03</v>
      </c>
      <c r="F531" s="158">
        <v>50203</v>
      </c>
      <c r="G531" s="160" t="s">
        <v>2</v>
      </c>
      <c r="H531" s="1272" t="str">
        <f t="shared" si="17"/>
        <v/>
      </c>
      <c r="I531" s="667">
        <v>523</v>
      </c>
    </row>
    <row r="532" spans="1:9" ht="31.5">
      <c r="A532" s="161" t="s">
        <v>386</v>
      </c>
      <c r="B532" s="8" t="s">
        <v>3572</v>
      </c>
      <c r="C532" s="157" t="s">
        <v>2694</v>
      </c>
      <c r="D532" s="158">
        <v>50</v>
      </c>
      <c r="E532" s="159">
        <v>279.45999999999998</v>
      </c>
      <c r="F532" s="158">
        <v>13973</v>
      </c>
      <c r="G532" s="160" t="s">
        <v>2</v>
      </c>
      <c r="H532" s="1272" t="str">
        <f t="shared" si="17"/>
        <v/>
      </c>
      <c r="I532" s="667">
        <v>524</v>
      </c>
    </row>
    <row r="533" spans="1:9" ht="47.25">
      <c r="A533" s="161" t="s">
        <v>387</v>
      </c>
      <c r="B533" s="8" t="s">
        <v>3574</v>
      </c>
      <c r="C533" s="157" t="s">
        <v>1689</v>
      </c>
      <c r="D533" s="158">
        <v>20</v>
      </c>
      <c r="E533" s="159">
        <v>558.91999999999996</v>
      </c>
      <c r="F533" s="158">
        <v>11178.4</v>
      </c>
      <c r="G533" s="160" t="s">
        <v>4379</v>
      </c>
      <c r="H533" s="1272" t="str">
        <f t="shared" si="17"/>
        <v>#</v>
      </c>
      <c r="I533" s="667">
        <v>525</v>
      </c>
    </row>
    <row r="534" spans="1:9" ht="47.25">
      <c r="A534" s="161" t="s">
        <v>388</v>
      </c>
      <c r="B534" s="8" t="s">
        <v>3576</v>
      </c>
      <c r="C534" s="157" t="s">
        <v>1689</v>
      </c>
      <c r="D534" s="158">
        <v>20</v>
      </c>
      <c r="E534" s="159">
        <v>1796.52</v>
      </c>
      <c r="F534" s="158">
        <v>35930.400000000001</v>
      </c>
      <c r="G534" s="160" t="s">
        <v>2</v>
      </c>
      <c r="H534" s="1272" t="str">
        <f t="shared" si="17"/>
        <v/>
      </c>
      <c r="I534" s="667">
        <v>526</v>
      </c>
    </row>
    <row r="535" spans="1:9" ht="31.5">
      <c r="A535" s="161" t="s">
        <v>389</v>
      </c>
      <c r="B535" s="8" t="s">
        <v>3578</v>
      </c>
      <c r="C535" s="157" t="s">
        <v>2679</v>
      </c>
      <c r="D535" s="158">
        <v>19</v>
      </c>
      <c r="E535" s="159">
        <v>249.52</v>
      </c>
      <c r="F535" s="158">
        <v>4740.88</v>
      </c>
      <c r="G535" s="160" t="s">
        <v>2</v>
      </c>
      <c r="H535" s="1272" t="str">
        <f t="shared" si="17"/>
        <v/>
      </c>
      <c r="I535" s="667">
        <v>527</v>
      </c>
    </row>
    <row r="536" spans="1:9" ht="47.25">
      <c r="A536" s="161" t="s">
        <v>390</v>
      </c>
      <c r="B536" s="8" t="s">
        <v>3580</v>
      </c>
      <c r="C536" s="157" t="s">
        <v>2694</v>
      </c>
      <c r="D536" s="158">
        <v>50</v>
      </c>
      <c r="E536" s="159">
        <v>349.32</v>
      </c>
      <c r="F536" s="158">
        <v>17466</v>
      </c>
      <c r="G536" s="160" t="s">
        <v>2</v>
      </c>
      <c r="H536" s="1272" t="str">
        <f t="shared" si="17"/>
        <v/>
      </c>
      <c r="I536" s="667">
        <v>528</v>
      </c>
    </row>
    <row r="537" spans="1:9" ht="47.25">
      <c r="A537" s="161" t="s">
        <v>391</v>
      </c>
      <c r="B537" s="8" t="s">
        <v>3582</v>
      </c>
      <c r="C537" s="157" t="s">
        <v>1689</v>
      </c>
      <c r="D537" s="158">
        <v>20</v>
      </c>
      <c r="E537" s="159">
        <v>598.84</v>
      </c>
      <c r="F537" s="158">
        <v>11976.8</v>
      </c>
      <c r="G537" s="160" t="s">
        <v>2</v>
      </c>
      <c r="H537" s="1272" t="str">
        <f t="shared" si="17"/>
        <v/>
      </c>
      <c r="I537" s="667">
        <v>529</v>
      </c>
    </row>
    <row r="538" spans="1:9" ht="31.5">
      <c r="A538" s="161" t="s">
        <v>392</v>
      </c>
      <c r="B538" s="8" t="s">
        <v>3584</v>
      </c>
      <c r="C538" s="157" t="s">
        <v>3</v>
      </c>
      <c r="D538" s="158">
        <v>100</v>
      </c>
      <c r="E538" s="159">
        <v>249.52</v>
      </c>
      <c r="F538" s="158">
        <v>24952</v>
      </c>
      <c r="G538" s="160" t="s">
        <v>2</v>
      </c>
      <c r="H538" s="1272" t="str">
        <f t="shared" si="17"/>
        <v/>
      </c>
      <c r="I538" s="667">
        <v>530</v>
      </c>
    </row>
    <row r="539" spans="1:9" ht="31.5">
      <c r="A539" s="161" t="s">
        <v>393</v>
      </c>
      <c r="B539" s="8" t="s">
        <v>3586</v>
      </c>
      <c r="C539" s="157" t="s">
        <v>14</v>
      </c>
      <c r="D539" s="158">
        <v>1</v>
      </c>
      <c r="E539" s="159">
        <v>211500</v>
      </c>
      <c r="F539" s="158">
        <v>211500</v>
      </c>
      <c r="G539" s="160" t="s">
        <v>4364</v>
      </c>
      <c r="H539" s="1272" t="str">
        <f t="shared" si="17"/>
        <v>[人力工項不打折]</v>
      </c>
      <c r="I539" s="667">
        <v>531</v>
      </c>
    </row>
    <row r="540" spans="1:9" ht="47.25">
      <c r="A540" s="161" t="s">
        <v>394</v>
      </c>
      <c r="B540" s="8" t="s">
        <v>3588</v>
      </c>
      <c r="C540" s="157" t="s">
        <v>14</v>
      </c>
      <c r="D540" s="158">
        <v>1</v>
      </c>
      <c r="E540" s="159">
        <v>59884.160000000003</v>
      </c>
      <c r="F540" s="158">
        <v>59884.160000000003</v>
      </c>
      <c r="G540" s="160" t="s">
        <v>4379</v>
      </c>
      <c r="H540" s="1272" t="str">
        <f t="shared" si="17"/>
        <v>#</v>
      </c>
      <c r="I540" s="667">
        <v>532</v>
      </c>
    </row>
    <row r="541" spans="1:9" ht="31.5">
      <c r="A541" s="161" t="s">
        <v>395</v>
      </c>
      <c r="B541" s="8" t="s">
        <v>3590</v>
      </c>
      <c r="C541" s="157" t="s">
        <v>14</v>
      </c>
      <c r="D541" s="158">
        <v>1</v>
      </c>
      <c r="E541" s="159">
        <v>51899.6</v>
      </c>
      <c r="F541" s="158">
        <v>51899.6</v>
      </c>
      <c r="G541" s="160" t="s">
        <v>4379</v>
      </c>
      <c r="H541" s="1272" t="str">
        <f t="shared" si="17"/>
        <v>#</v>
      </c>
      <c r="I541" s="667">
        <v>533</v>
      </c>
    </row>
    <row r="542" spans="1:9" ht="31.5">
      <c r="A542" s="156" t="s">
        <v>3592</v>
      </c>
      <c r="B542" s="8" t="s">
        <v>3593</v>
      </c>
      <c r="C542" s="157" t="s">
        <v>14</v>
      </c>
      <c r="D542" s="158">
        <v>1</v>
      </c>
      <c r="E542" s="159"/>
      <c r="F542" s="158">
        <v>319332.15000000002</v>
      </c>
      <c r="G542" s="160" t="s">
        <v>5431</v>
      </c>
      <c r="H542" s="1272" t="str">
        <f t="shared" si="17"/>
        <v>依工程費×1.62%</v>
      </c>
      <c r="I542" s="667">
        <v>534</v>
      </c>
    </row>
    <row r="543" spans="1:9" ht="31.5">
      <c r="A543" s="161" t="s">
        <v>396</v>
      </c>
      <c r="B543" s="8" t="s">
        <v>3595</v>
      </c>
      <c r="C543" s="157" t="s">
        <v>2238</v>
      </c>
      <c r="D543" s="158">
        <v>100</v>
      </c>
      <c r="E543" s="159">
        <v>2314</v>
      </c>
      <c r="F543" s="158">
        <v>231400</v>
      </c>
      <c r="G543" s="160" t="s">
        <v>2</v>
      </c>
      <c r="H543" s="1272" t="str">
        <f t="shared" si="17"/>
        <v/>
      </c>
      <c r="I543" s="667">
        <v>535</v>
      </c>
    </row>
    <row r="544" spans="1:9" ht="31.5">
      <c r="A544" s="161" t="s">
        <v>397</v>
      </c>
      <c r="B544" s="8" t="s">
        <v>3597</v>
      </c>
      <c r="C544" s="157" t="s">
        <v>14</v>
      </c>
      <c r="D544" s="158">
        <v>1</v>
      </c>
      <c r="E544" s="159">
        <v>23140.04</v>
      </c>
      <c r="F544" s="158">
        <v>23140.04</v>
      </c>
      <c r="G544" s="160" t="s">
        <v>2</v>
      </c>
      <c r="H544" s="1272" t="str">
        <f t="shared" si="17"/>
        <v/>
      </c>
      <c r="I544" s="667">
        <v>536</v>
      </c>
    </row>
    <row r="545" spans="1:9" ht="31.5">
      <c r="A545" s="161" t="s">
        <v>398</v>
      </c>
      <c r="B545" s="8" t="s">
        <v>3599</v>
      </c>
      <c r="C545" s="157" t="s">
        <v>14</v>
      </c>
      <c r="D545" s="158">
        <v>1</v>
      </c>
      <c r="E545" s="159">
        <v>23140.04</v>
      </c>
      <c r="F545" s="158">
        <v>23140.04</v>
      </c>
      <c r="G545" s="160" t="s">
        <v>2</v>
      </c>
      <c r="H545" s="1272" t="str">
        <f t="shared" si="17"/>
        <v/>
      </c>
      <c r="I545" s="667">
        <v>537</v>
      </c>
    </row>
    <row r="546" spans="1:9">
      <c r="A546" s="161" t="s">
        <v>399</v>
      </c>
      <c r="B546" s="8" t="s">
        <v>3601</v>
      </c>
      <c r="C546" s="157" t="s">
        <v>14</v>
      </c>
      <c r="D546" s="158">
        <v>1</v>
      </c>
      <c r="E546" s="159">
        <v>23140.04</v>
      </c>
      <c r="F546" s="158">
        <v>23140.04</v>
      </c>
      <c r="G546" s="160" t="s">
        <v>2</v>
      </c>
      <c r="H546" s="1272" t="str">
        <f t="shared" si="17"/>
        <v/>
      </c>
      <c r="I546" s="667">
        <v>538</v>
      </c>
    </row>
    <row r="547" spans="1:9" ht="31.5">
      <c r="A547" s="161" t="s">
        <v>400</v>
      </c>
      <c r="B547" s="8" t="s">
        <v>3603</v>
      </c>
      <c r="C547" s="157" t="s">
        <v>14</v>
      </c>
      <c r="D547" s="158">
        <v>1</v>
      </c>
      <c r="E547" s="159">
        <v>18512.03</v>
      </c>
      <c r="F547" s="158">
        <v>18512.03</v>
      </c>
      <c r="G547" s="160" t="s">
        <v>2</v>
      </c>
      <c r="H547" s="1272" t="str">
        <f t="shared" si="17"/>
        <v/>
      </c>
      <c r="I547" s="667">
        <v>539</v>
      </c>
    </row>
    <row r="548" spans="1:9">
      <c r="A548" s="156" t="s">
        <v>3604</v>
      </c>
      <c r="B548" s="8" t="s">
        <v>3605</v>
      </c>
      <c r="C548" s="157" t="s">
        <v>14</v>
      </c>
      <c r="D548" s="158">
        <v>1</v>
      </c>
      <c r="E548" s="159"/>
      <c r="F548" s="158">
        <v>340760</v>
      </c>
      <c r="G548" s="160" t="s">
        <v>5432</v>
      </c>
      <c r="H548" s="1272" t="str">
        <f t="shared" si="17"/>
        <v>依工程費×1.73</v>
      </c>
      <c r="I548" s="667">
        <v>540</v>
      </c>
    </row>
    <row r="549" spans="1:9" ht="63">
      <c r="A549" s="156" t="s">
        <v>3607</v>
      </c>
      <c r="B549" s="8" t="s">
        <v>3608</v>
      </c>
      <c r="C549" s="157" t="s">
        <v>14</v>
      </c>
      <c r="D549" s="158">
        <v>1</v>
      </c>
      <c r="E549" s="159"/>
      <c r="F549" s="158">
        <v>2464674.69</v>
      </c>
      <c r="G549" s="160" t="s">
        <v>5484</v>
      </c>
      <c r="H549" s="1272" t="str">
        <f t="shared" si="17"/>
        <v>(壹.一-壹.八*)_x000D_
[約10.88660056%]</v>
      </c>
      <c r="I549" s="667">
        <v>541</v>
      </c>
    </row>
    <row r="550" spans="1:9">
      <c r="A550" s="156" t="s">
        <v>3610</v>
      </c>
      <c r="B550" s="8" t="s">
        <v>3611</v>
      </c>
      <c r="C550" s="157" t="s">
        <v>14</v>
      </c>
      <c r="D550" s="158">
        <v>1</v>
      </c>
      <c r="E550" s="159"/>
      <c r="F550" s="158">
        <v>5600</v>
      </c>
      <c r="G550" s="160" t="s">
        <v>2</v>
      </c>
      <c r="H550" s="1272" t="str">
        <f t="shared" si="17"/>
        <v/>
      </c>
      <c r="I550" s="667">
        <v>542</v>
      </c>
    </row>
    <row r="551" spans="1:9" ht="126">
      <c r="A551" s="161" t="s">
        <v>534</v>
      </c>
      <c r="B551" s="8" t="s">
        <v>3612</v>
      </c>
      <c r="C551" s="157" t="s">
        <v>3</v>
      </c>
      <c r="D551" s="158">
        <v>100</v>
      </c>
      <c r="E551" s="159">
        <v>56</v>
      </c>
      <c r="F551" s="158">
        <v>5600</v>
      </c>
      <c r="G551" s="160" t="s">
        <v>5433</v>
      </c>
      <c r="H551" s="1272" t="str">
        <f t="shared" si="17"/>
        <v>本項單價為固定值(56元/M2)，訂約時不隨折數調整，依實際鑑定戶數計架並檢據核銷(費用不另計稅什費)</v>
      </c>
      <c r="I551" s="667">
        <v>543</v>
      </c>
    </row>
    <row r="552" spans="1:9">
      <c r="A552" s="156"/>
      <c r="B552" s="1266" t="s">
        <v>3614</v>
      </c>
      <c r="C552" s="157"/>
      <c r="D552" s="158"/>
      <c r="E552" s="159"/>
      <c r="F552" s="158">
        <v>25109800</v>
      </c>
      <c r="G552" s="160"/>
    </row>
    <row r="553" spans="1:9">
      <c r="A553" s="156"/>
      <c r="B553" s="1266" t="s">
        <v>3615</v>
      </c>
      <c r="C553" s="157"/>
      <c r="D553" s="158"/>
      <c r="E553" s="159"/>
      <c r="F553" s="158">
        <v>25109800</v>
      </c>
      <c r="G553" s="160"/>
    </row>
    <row r="554" spans="1:9">
      <c r="A554" s="1648" t="s">
        <v>3616</v>
      </c>
      <c r="B554" s="1649"/>
      <c r="C554" s="1649"/>
      <c r="D554" s="1649"/>
      <c r="E554" s="1649"/>
      <c r="F554" s="1649"/>
      <c r="G554" s="1650"/>
    </row>
    <row r="555" spans="1:9">
      <c r="A555" s="1651" t="s">
        <v>4868</v>
      </c>
      <c r="B555" s="1652"/>
      <c r="C555" s="1652"/>
      <c r="D555" s="1652"/>
      <c r="E555" s="1652"/>
      <c r="F555" s="1652"/>
      <c r="G555" s="1653"/>
    </row>
  </sheetData>
  <mergeCells count="8">
    <mergeCell ref="A554:G554"/>
    <mergeCell ref="A555:G555"/>
    <mergeCell ref="A1:G1"/>
    <mergeCell ref="A2:G2"/>
    <mergeCell ref="A3:G3"/>
    <mergeCell ref="A4:G4"/>
    <mergeCell ref="A5:E5"/>
    <mergeCell ref="F5:G5"/>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11">
    <tabColor theme="5" tint="0.39997558519241921"/>
  </sheetPr>
  <dimension ref="A1:M516"/>
  <sheetViews>
    <sheetView zoomScaleNormal="100" workbookViewId="0">
      <selection activeCell="A6" sqref="A1:I1048576"/>
    </sheetView>
  </sheetViews>
  <sheetFormatPr defaultRowHeight="16.5"/>
  <cols>
    <col min="1" max="1" width="5.25" style="162" customWidth="1"/>
    <col min="2" max="2" width="26.25" style="162" customWidth="1"/>
    <col min="3" max="3" width="5.5" style="162" customWidth="1"/>
    <col min="4" max="4" width="5.875" style="163" customWidth="1"/>
    <col min="5" max="5" width="10.875" style="162" customWidth="1"/>
    <col min="6" max="6" width="5.875" style="164" customWidth="1"/>
    <col min="7" max="7" width="15.25" style="165" customWidth="1"/>
    <col min="8" max="8" width="14.375" style="25" customWidth="1"/>
    <col min="9" max="9" width="9" style="11" customWidth="1"/>
  </cols>
  <sheetData>
    <row r="1" spans="1:9" s="4" customFormat="1" ht="16.5" customHeight="1">
      <c r="A1" s="1654" t="s">
        <v>914</v>
      </c>
      <c r="B1" s="1654"/>
      <c r="C1" s="1654"/>
      <c r="D1" s="1654"/>
      <c r="E1" s="1654"/>
      <c r="F1" s="1654"/>
      <c r="G1" s="1654"/>
      <c r="H1" s="25"/>
      <c r="I1" s="11"/>
    </row>
    <row r="2" spans="1:9" s="4" customFormat="1" ht="16.5" customHeight="1">
      <c r="A2" s="1654" t="s">
        <v>2989</v>
      </c>
      <c r="B2" s="1654"/>
      <c r="C2" s="1654"/>
      <c r="D2" s="1654"/>
      <c r="E2" s="1654"/>
      <c r="F2" s="1654"/>
      <c r="G2" s="1654"/>
      <c r="H2" s="25"/>
      <c r="I2" s="11"/>
    </row>
    <row r="3" spans="1:9" s="4" customFormat="1" ht="16.5" customHeight="1">
      <c r="A3" s="1655"/>
      <c r="B3" s="1655"/>
      <c r="C3" s="1655"/>
      <c r="D3" s="1655"/>
      <c r="E3" s="1655"/>
      <c r="F3" s="1655"/>
      <c r="G3" s="1655"/>
      <c r="H3" s="25"/>
      <c r="I3" s="11"/>
    </row>
    <row r="4" spans="1:9" s="4" customFormat="1" ht="17.100000000000001" customHeight="1">
      <c r="A4" s="1677" t="s">
        <v>4307</v>
      </c>
      <c r="B4" s="1677"/>
      <c r="C4" s="1677"/>
      <c r="D4" s="1677"/>
      <c r="E4" s="1677"/>
      <c r="F4" s="1677"/>
      <c r="G4" s="1677"/>
      <c r="H4" s="963"/>
      <c r="I4" s="11"/>
    </row>
    <row r="5" spans="1:9" s="5" customFormat="1" ht="18" customHeight="1">
      <c r="A5" s="1677" t="s">
        <v>4308</v>
      </c>
      <c r="B5" s="1677"/>
      <c r="C5" s="1677"/>
      <c r="D5" s="1677"/>
      <c r="E5" s="1677"/>
      <c r="F5" s="1678" t="s">
        <v>2990</v>
      </c>
      <c r="G5" s="1678"/>
      <c r="H5" s="12"/>
      <c r="I5" s="669"/>
    </row>
    <row r="6" spans="1:9" s="4" customFormat="1" ht="33">
      <c r="A6" s="151" t="s">
        <v>10</v>
      </c>
      <c r="B6" s="152" t="s">
        <v>917</v>
      </c>
      <c r="C6" s="152" t="s">
        <v>12</v>
      </c>
      <c r="D6" s="153" t="s">
        <v>11</v>
      </c>
      <c r="E6" s="154" t="s">
        <v>918</v>
      </c>
      <c r="F6" s="155" t="s">
        <v>919</v>
      </c>
      <c r="G6" s="152" t="s">
        <v>920</v>
      </c>
      <c r="H6" s="25"/>
      <c r="I6" s="11"/>
    </row>
    <row r="7" spans="1:9" s="4" customFormat="1">
      <c r="A7" s="156" t="s">
        <v>2991</v>
      </c>
      <c r="B7" s="8" t="s">
        <v>2992</v>
      </c>
      <c r="C7" s="157" t="s">
        <v>14</v>
      </c>
      <c r="D7" s="158">
        <v>1</v>
      </c>
      <c r="E7" s="159"/>
      <c r="F7" s="158">
        <v>23139623</v>
      </c>
      <c r="G7" s="160" t="s">
        <v>2</v>
      </c>
      <c r="H7" s="25"/>
      <c r="I7" s="11"/>
    </row>
    <row r="8" spans="1:9" s="4" customFormat="1">
      <c r="A8" s="156" t="s">
        <v>2993</v>
      </c>
      <c r="B8" s="8" t="s">
        <v>2994</v>
      </c>
      <c r="C8" s="157" t="s">
        <v>14</v>
      </c>
      <c r="D8" s="158">
        <v>1</v>
      </c>
      <c r="E8" s="159"/>
      <c r="F8" s="158">
        <v>18122146.850000001</v>
      </c>
      <c r="G8" s="160" t="s">
        <v>2995</v>
      </c>
      <c r="H8" s="25" t="s">
        <v>2894</v>
      </c>
      <c r="I8" s="11"/>
    </row>
    <row r="9" spans="1:9" s="4" customFormat="1" ht="28.5">
      <c r="A9" s="161" t="s">
        <v>28</v>
      </c>
      <c r="B9" s="8" t="s">
        <v>2996</v>
      </c>
      <c r="C9" s="157" t="s">
        <v>927</v>
      </c>
      <c r="D9" s="158">
        <v>50</v>
      </c>
      <c r="E9" s="159">
        <v>367</v>
      </c>
      <c r="F9" s="158">
        <v>18350</v>
      </c>
      <c r="G9" s="160" t="s">
        <v>2997</v>
      </c>
      <c r="H9" s="98" t="s">
        <v>544</v>
      </c>
      <c r="I9" s="670">
        <v>1</v>
      </c>
    </row>
    <row r="10" spans="1:9" s="4" customFormat="1" ht="28.5">
      <c r="A10" s="161" t="s">
        <v>29</v>
      </c>
      <c r="B10" s="8" t="s">
        <v>2998</v>
      </c>
      <c r="C10" s="157" t="s">
        <v>927</v>
      </c>
      <c r="D10" s="158">
        <v>50</v>
      </c>
      <c r="E10" s="159">
        <v>367</v>
      </c>
      <c r="F10" s="158">
        <v>18350</v>
      </c>
      <c r="G10" s="160" t="s">
        <v>2999</v>
      </c>
      <c r="H10" s="98" t="s">
        <v>809</v>
      </c>
      <c r="I10" s="670">
        <v>2</v>
      </c>
    </row>
    <row r="11" spans="1:9" s="4" customFormat="1" ht="28.5">
      <c r="A11" s="161" t="s">
        <v>30</v>
      </c>
      <c r="B11" s="8" t="s">
        <v>1078</v>
      </c>
      <c r="C11" s="157" t="s">
        <v>927</v>
      </c>
      <c r="D11" s="158">
        <v>50</v>
      </c>
      <c r="E11" s="159">
        <v>367</v>
      </c>
      <c r="F11" s="158">
        <v>18350</v>
      </c>
      <c r="G11" s="160" t="s">
        <v>3000</v>
      </c>
      <c r="H11" s="98" t="s">
        <v>545</v>
      </c>
      <c r="I11" s="670">
        <v>3</v>
      </c>
    </row>
    <row r="12" spans="1:9" s="4" customFormat="1" ht="28.5">
      <c r="A12" s="161" t="s">
        <v>31</v>
      </c>
      <c r="B12" s="8" t="s">
        <v>3001</v>
      </c>
      <c r="C12" s="157" t="s">
        <v>927</v>
      </c>
      <c r="D12" s="158">
        <v>200</v>
      </c>
      <c r="E12" s="159">
        <v>262</v>
      </c>
      <c r="F12" s="158">
        <v>52400</v>
      </c>
      <c r="G12" s="160" t="s">
        <v>3002</v>
      </c>
      <c r="H12" s="98" t="s">
        <v>546</v>
      </c>
      <c r="I12" s="670">
        <v>4</v>
      </c>
    </row>
    <row r="13" spans="1:9" s="4" customFormat="1" ht="28.5">
      <c r="A13" s="161" t="s">
        <v>32</v>
      </c>
      <c r="B13" s="8" t="s">
        <v>3003</v>
      </c>
      <c r="C13" s="157" t="s">
        <v>927</v>
      </c>
      <c r="D13" s="158">
        <v>200</v>
      </c>
      <c r="E13" s="159">
        <v>341</v>
      </c>
      <c r="F13" s="158">
        <v>68200</v>
      </c>
      <c r="G13" s="160" t="s">
        <v>3004</v>
      </c>
      <c r="H13" s="98" t="s">
        <v>547</v>
      </c>
      <c r="I13" s="670">
        <v>5</v>
      </c>
    </row>
    <row r="14" spans="1:9" s="4" customFormat="1" ht="28.5">
      <c r="A14" s="161" t="s">
        <v>33</v>
      </c>
      <c r="B14" s="8" t="s">
        <v>4306</v>
      </c>
      <c r="C14" s="157" t="s">
        <v>927</v>
      </c>
      <c r="D14" s="158">
        <v>50</v>
      </c>
      <c r="E14" s="159">
        <v>1130</v>
      </c>
      <c r="F14" s="158">
        <v>56500</v>
      </c>
      <c r="G14" s="160" t="s">
        <v>3006</v>
      </c>
      <c r="H14" s="98" t="s">
        <v>810</v>
      </c>
      <c r="I14" s="670">
        <v>6</v>
      </c>
    </row>
    <row r="15" spans="1:9" s="4" customFormat="1" ht="28.5">
      <c r="A15" s="161" t="s">
        <v>34</v>
      </c>
      <c r="B15" s="8" t="s">
        <v>794</v>
      </c>
      <c r="C15" s="157" t="s">
        <v>927</v>
      </c>
      <c r="D15" s="158">
        <v>50</v>
      </c>
      <c r="E15" s="159">
        <v>681</v>
      </c>
      <c r="F15" s="158">
        <v>34050</v>
      </c>
      <c r="G15" s="160" t="s">
        <v>1057</v>
      </c>
      <c r="H15" s="98" t="s">
        <v>548</v>
      </c>
      <c r="I15" s="670">
        <v>7</v>
      </c>
    </row>
    <row r="16" spans="1:9" s="4" customFormat="1" ht="28.5">
      <c r="A16" s="161" t="s">
        <v>35</v>
      </c>
      <c r="B16" s="8" t="s">
        <v>3632</v>
      </c>
      <c r="C16" s="157" t="s">
        <v>927</v>
      </c>
      <c r="D16" s="158">
        <v>50</v>
      </c>
      <c r="E16" s="159">
        <v>400</v>
      </c>
      <c r="F16" s="158">
        <v>20000</v>
      </c>
      <c r="G16" s="160" t="s">
        <v>1077</v>
      </c>
      <c r="H16" s="98" t="s">
        <v>549</v>
      </c>
      <c r="I16" s="670">
        <v>8</v>
      </c>
    </row>
    <row r="17" spans="1:9" s="4" customFormat="1" ht="28.5">
      <c r="A17" s="161" t="s">
        <v>36</v>
      </c>
      <c r="B17" s="8" t="s">
        <v>3633</v>
      </c>
      <c r="C17" s="157" t="s">
        <v>927</v>
      </c>
      <c r="D17" s="158">
        <v>50</v>
      </c>
      <c r="E17" s="159">
        <v>690</v>
      </c>
      <c r="F17" s="158">
        <v>34500</v>
      </c>
      <c r="G17" s="160" t="s">
        <v>1085</v>
      </c>
      <c r="H17" s="98" t="s">
        <v>811</v>
      </c>
      <c r="I17" s="670">
        <v>9</v>
      </c>
    </row>
    <row r="18" spans="1:9" s="4" customFormat="1" ht="28.5">
      <c r="A18" s="161" t="s">
        <v>37</v>
      </c>
      <c r="B18" s="8" t="s">
        <v>997</v>
      </c>
      <c r="C18" s="157" t="s">
        <v>927</v>
      </c>
      <c r="D18" s="158">
        <v>50</v>
      </c>
      <c r="E18" s="159">
        <v>1200</v>
      </c>
      <c r="F18" s="158">
        <v>60000</v>
      </c>
      <c r="G18" s="160" t="s">
        <v>998</v>
      </c>
      <c r="H18" s="98" t="s">
        <v>550</v>
      </c>
      <c r="I18" s="670">
        <v>10</v>
      </c>
    </row>
    <row r="19" spans="1:9" s="4" customFormat="1" ht="28.5">
      <c r="A19" s="161" t="s">
        <v>38</v>
      </c>
      <c r="B19" s="8" t="s">
        <v>1093</v>
      </c>
      <c r="C19" s="157" t="s">
        <v>927</v>
      </c>
      <c r="D19" s="158">
        <v>50</v>
      </c>
      <c r="E19" s="159">
        <v>1620</v>
      </c>
      <c r="F19" s="158">
        <v>81000</v>
      </c>
      <c r="G19" s="160" t="s">
        <v>1094</v>
      </c>
      <c r="H19" s="98" t="s">
        <v>551</v>
      </c>
      <c r="I19" s="670">
        <v>11</v>
      </c>
    </row>
    <row r="20" spans="1:9" s="4" customFormat="1" ht="28.5">
      <c r="A20" s="161" t="s">
        <v>39</v>
      </c>
      <c r="B20" s="8" t="s">
        <v>1774</v>
      </c>
      <c r="C20" s="157" t="s">
        <v>927</v>
      </c>
      <c r="D20" s="158">
        <v>50</v>
      </c>
      <c r="E20" s="159">
        <v>1300</v>
      </c>
      <c r="F20" s="158">
        <v>65000</v>
      </c>
      <c r="G20" s="160" t="s">
        <v>1775</v>
      </c>
      <c r="H20" s="98" t="s">
        <v>552</v>
      </c>
      <c r="I20" s="670">
        <v>12</v>
      </c>
    </row>
    <row r="21" spans="1:9" s="4" customFormat="1" ht="28.5">
      <c r="A21" s="161" t="s">
        <v>40</v>
      </c>
      <c r="B21" s="8" t="s">
        <v>3635</v>
      </c>
      <c r="C21" s="157" t="s">
        <v>927</v>
      </c>
      <c r="D21" s="158">
        <v>50</v>
      </c>
      <c r="E21" s="159">
        <v>1400</v>
      </c>
      <c r="F21" s="158">
        <v>70000</v>
      </c>
      <c r="G21" s="160" t="s">
        <v>1051</v>
      </c>
      <c r="H21" s="98" t="s">
        <v>553</v>
      </c>
      <c r="I21" s="670">
        <v>13</v>
      </c>
    </row>
    <row r="22" spans="1:9" s="4" customFormat="1" ht="28.5">
      <c r="A22" s="161" t="s">
        <v>41</v>
      </c>
      <c r="B22" s="8" t="s">
        <v>801</v>
      </c>
      <c r="C22" s="157" t="s">
        <v>927</v>
      </c>
      <c r="D22" s="158">
        <v>50</v>
      </c>
      <c r="E22" s="159">
        <v>1500</v>
      </c>
      <c r="F22" s="158">
        <v>75000</v>
      </c>
      <c r="G22" s="160" t="s">
        <v>930</v>
      </c>
      <c r="H22" s="98" t="s">
        <v>554</v>
      </c>
      <c r="I22" s="670">
        <v>14</v>
      </c>
    </row>
    <row r="23" spans="1:9" s="4" customFormat="1" ht="28.5">
      <c r="A23" s="161" t="s">
        <v>42</v>
      </c>
      <c r="B23" s="8" t="s">
        <v>3007</v>
      </c>
      <c r="C23" s="157" t="s">
        <v>927</v>
      </c>
      <c r="D23" s="158">
        <v>50</v>
      </c>
      <c r="E23" s="159">
        <v>716</v>
      </c>
      <c r="F23" s="158">
        <v>35800</v>
      </c>
      <c r="G23" s="160" t="s">
        <v>3008</v>
      </c>
      <c r="H23" s="98" t="s">
        <v>555</v>
      </c>
      <c r="I23" s="670">
        <v>15</v>
      </c>
    </row>
    <row r="24" spans="1:9" s="4" customFormat="1" ht="42.75">
      <c r="A24" s="161" t="s">
        <v>43</v>
      </c>
      <c r="B24" s="8" t="s">
        <v>923</v>
      </c>
      <c r="C24" s="157" t="s">
        <v>0</v>
      </c>
      <c r="D24" s="158">
        <v>50</v>
      </c>
      <c r="E24" s="159">
        <v>1025.83</v>
      </c>
      <c r="F24" s="158">
        <v>51291.5</v>
      </c>
      <c r="G24" s="160" t="s">
        <v>3009</v>
      </c>
      <c r="H24" s="98" t="s">
        <v>556</v>
      </c>
      <c r="I24" s="670">
        <v>16</v>
      </c>
    </row>
    <row r="25" spans="1:9" s="4" customFormat="1" ht="42.75">
      <c r="A25" s="161" t="s">
        <v>44</v>
      </c>
      <c r="B25" s="8" t="s">
        <v>936</v>
      </c>
      <c r="C25" s="157" t="s">
        <v>0</v>
      </c>
      <c r="D25" s="158">
        <v>50</v>
      </c>
      <c r="E25" s="159">
        <v>664.75</v>
      </c>
      <c r="F25" s="158">
        <v>33237.5</v>
      </c>
      <c r="G25" s="160" t="s">
        <v>3010</v>
      </c>
      <c r="H25" s="98" t="s">
        <v>557</v>
      </c>
      <c r="I25" s="670">
        <v>17</v>
      </c>
    </row>
    <row r="26" spans="1:9" s="4" customFormat="1" ht="47.25">
      <c r="A26" s="161" t="s">
        <v>45</v>
      </c>
      <c r="B26" s="8" t="s">
        <v>939</v>
      </c>
      <c r="C26" s="157" t="s">
        <v>1</v>
      </c>
      <c r="D26" s="158">
        <v>50</v>
      </c>
      <c r="E26" s="159">
        <v>1335.92</v>
      </c>
      <c r="F26" s="158">
        <v>66796</v>
      </c>
      <c r="G26" s="160" t="s">
        <v>3011</v>
      </c>
      <c r="H26" s="98" t="s">
        <v>558</v>
      </c>
      <c r="I26" s="670">
        <v>18</v>
      </c>
    </row>
    <row r="27" spans="1:9" s="4" customFormat="1" ht="47.25">
      <c r="A27" s="161" t="s">
        <v>46</v>
      </c>
      <c r="B27" s="8" t="s">
        <v>3671</v>
      </c>
      <c r="C27" s="157" t="s">
        <v>1</v>
      </c>
      <c r="D27" s="158">
        <v>50</v>
      </c>
      <c r="E27" s="159">
        <v>48.08</v>
      </c>
      <c r="F27" s="158">
        <v>2404</v>
      </c>
      <c r="G27" s="160" t="s">
        <v>3012</v>
      </c>
      <c r="H27" s="98" t="s">
        <v>559</v>
      </c>
      <c r="I27" s="670">
        <v>19</v>
      </c>
    </row>
    <row r="28" spans="1:9" s="4" customFormat="1" ht="42.75">
      <c r="A28" s="161" t="s">
        <v>47</v>
      </c>
      <c r="B28" s="8" t="s">
        <v>953</v>
      </c>
      <c r="C28" s="157" t="s">
        <v>0</v>
      </c>
      <c r="D28" s="158">
        <v>20</v>
      </c>
      <c r="E28" s="159">
        <v>4101.87</v>
      </c>
      <c r="F28" s="158">
        <v>82037.399999999994</v>
      </c>
      <c r="G28" s="160" t="s">
        <v>3013</v>
      </c>
      <c r="H28" s="98">
        <v>222020433</v>
      </c>
      <c r="I28" s="670">
        <v>20</v>
      </c>
    </row>
    <row r="29" spans="1:9" s="4" customFormat="1" ht="42.75">
      <c r="A29" s="161" t="s">
        <v>48</v>
      </c>
      <c r="B29" s="8" t="s">
        <v>958</v>
      </c>
      <c r="C29" s="157" t="s">
        <v>1</v>
      </c>
      <c r="D29" s="158">
        <v>20</v>
      </c>
      <c r="E29" s="159">
        <v>3346.26</v>
      </c>
      <c r="F29" s="158">
        <v>66925.2</v>
      </c>
      <c r="G29" s="160" t="s">
        <v>3014</v>
      </c>
      <c r="H29" s="98" t="s">
        <v>560</v>
      </c>
      <c r="I29" s="670">
        <v>21</v>
      </c>
    </row>
    <row r="30" spans="1:9" s="4" customFormat="1" ht="47.25">
      <c r="A30" s="161" t="s">
        <v>49</v>
      </c>
      <c r="B30" s="8" t="s">
        <v>961</v>
      </c>
      <c r="C30" s="157" t="s">
        <v>1</v>
      </c>
      <c r="D30" s="158">
        <v>20</v>
      </c>
      <c r="E30" s="159">
        <v>453.97</v>
      </c>
      <c r="F30" s="158">
        <v>9079.4</v>
      </c>
      <c r="G30" s="160" t="s">
        <v>3015</v>
      </c>
      <c r="H30" s="98" t="s">
        <v>561</v>
      </c>
      <c r="I30" s="670">
        <v>22</v>
      </c>
    </row>
    <row r="31" spans="1:9" s="4" customFormat="1" ht="42.75">
      <c r="A31" s="161" t="s">
        <v>50</v>
      </c>
      <c r="B31" s="8" t="s">
        <v>964</v>
      </c>
      <c r="C31" s="157" t="s">
        <v>1</v>
      </c>
      <c r="D31" s="158">
        <v>20</v>
      </c>
      <c r="E31" s="159">
        <v>4641.59</v>
      </c>
      <c r="F31" s="158">
        <v>92831.8</v>
      </c>
      <c r="G31" s="160" t="s">
        <v>3016</v>
      </c>
      <c r="H31" s="98" t="s">
        <v>562</v>
      </c>
      <c r="I31" s="670">
        <v>23</v>
      </c>
    </row>
    <row r="32" spans="1:9" s="4" customFormat="1" ht="31.5">
      <c r="A32" s="161" t="s">
        <v>51</v>
      </c>
      <c r="B32" s="8" t="s">
        <v>985</v>
      </c>
      <c r="C32" s="157" t="s">
        <v>1</v>
      </c>
      <c r="D32" s="158">
        <v>20</v>
      </c>
      <c r="E32" s="159">
        <v>604.49</v>
      </c>
      <c r="F32" s="158">
        <v>12089.8</v>
      </c>
      <c r="G32" s="160" t="s">
        <v>2206</v>
      </c>
      <c r="H32" s="98" t="s">
        <v>563</v>
      </c>
      <c r="I32" s="670">
        <v>24</v>
      </c>
    </row>
    <row r="33" spans="1:9" s="4" customFormat="1" ht="71.25">
      <c r="A33" s="161" t="s">
        <v>52</v>
      </c>
      <c r="B33" s="8" t="s">
        <v>564</v>
      </c>
      <c r="C33" s="157" t="s">
        <v>0</v>
      </c>
      <c r="D33" s="158">
        <v>20</v>
      </c>
      <c r="E33" s="159">
        <v>7035.25</v>
      </c>
      <c r="F33" s="158">
        <v>140705</v>
      </c>
      <c r="G33" s="160" t="s">
        <v>3017</v>
      </c>
      <c r="H33" s="98" t="s">
        <v>2886</v>
      </c>
      <c r="I33" s="670">
        <v>25</v>
      </c>
    </row>
    <row r="34" spans="1:9" s="4" customFormat="1" ht="71.25">
      <c r="A34" s="161" t="s">
        <v>53</v>
      </c>
      <c r="B34" s="8" t="s">
        <v>535</v>
      </c>
      <c r="C34" s="157" t="s">
        <v>0</v>
      </c>
      <c r="D34" s="158">
        <v>20</v>
      </c>
      <c r="E34" s="159">
        <v>5456.57</v>
      </c>
      <c r="F34" s="158">
        <v>109131.4</v>
      </c>
      <c r="G34" s="160" t="s">
        <v>3018</v>
      </c>
      <c r="H34" s="98" t="s">
        <v>565</v>
      </c>
      <c r="I34" s="670">
        <v>26</v>
      </c>
    </row>
    <row r="35" spans="1:9" s="4" customFormat="1" ht="71.25">
      <c r="A35" s="161" t="s">
        <v>54</v>
      </c>
      <c r="B35" s="8" t="s">
        <v>566</v>
      </c>
      <c r="C35" s="157" t="s">
        <v>0</v>
      </c>
      <c r="D35" s="158">
        <v>20</v>
      </c>
      <c r="E35" s="159">
        <v>884.12</v>
      </c>
      <c r="F35" s="158">
        <v>17682.400000000001</v>
      </c>
      <c r="G35" s="160" t="s">
        <v>3019</v>
      </c>
      <c r="H35" s="98" t="s">
        <v>567</v>
      </c>
      <c r="I35" s="670">
        <v>27</v>
      </c>
    </row>
    <row r="36" spans="1:9" s="4" customFormat="1" ht="71.25">
      <c r="A36" s="161" t="s">
        <v>55</v>
      </c>
      <c r="B36" s="8" t="s">
        <v>568</v>
      </c>
      <c r="C36" s="157" t="s">
        <v>0</v>
      </c>
      <c r="D36" s="158">
        <v>20</v>
      </c>
      <c r="E36" s="159">
        <v>1364.35</v>
      </c>
      <c r="F36" s="158">
        <v>27287</v>
      </c>
      <c r="G36" s="160" t="s">
        <v>3020</v>
      </c>
      <c r="H36" s="98" t="s">
        <v>2887</v>
      </c>
      <c r="I36" s="670">
        <v>28</v>
      </c>
    </row>
    <row r="37" spans="1:9" s="4" customFormat="1" ht="71.25">
      <c r="A37" s="161" t="s">
        <v>56</v>
      </c>
      <c r="B37" s="8" t="s">
        <v>536</v>
      </c>
      <c r="C37" s="157" t="s">
        <v>1</v>
      </c>
      <c r="D37" s="158">
        <v>20</v>
      </c>
      <c r="E37" s="159">
        <v>4449.99</v>
      </c>
      <c r="F37" s="158">
        <v>88999.8</v>
      </c>
      <c r="G37" s="160" t="s">
        <v>3021</v>
      </c>
      <c r="H37" s="98" t="s">
        <v>569</v>
      </c>
      <c r="I37" s="670">
        <v>29</v>
      </c>
    </row>
    <row r="38" spans="1:9" s="4" customFormat="1" ht="71.25">
      <c r="A38" s="161" t="s">
        <v>57</v>
      </c>
      <c r="B38" s="8" t="s">
        <v>3628</v>
      </c>
      <c r="C38" s="157" t="s">
        <v>1</v>
      </c>
      <c r="D38" s="158">
        <v>20</v>
      </c>
      <c r="E38" s="159">
        <v>603.78</v>
      </c>
      <c r="F38" s="158">
        <v>12075.6</v>
      </c>
      <c r="G38" s="160" t="s">
        <v>3022</v>
      </c>
      <c r="H38" s="98" t="s">
        <v>570</v>
      </c>
      <c r="I38" s="670">
        <v>30</v>
      </c>
    </row>
    <row r="39" spans="1:9" s="4" customFormat="1" ht="71.25">
      <c r="A39" s="161" t="s">
        <v>58</v>
      </c>
      <c r="B39" s="8" t="s">
        <v>571</v>
      </c>
      <c r="C39" s="157" t="s">
        <v>1</v>
      </c>
      <c r="D39" s="158">
        <v>20</v>
      </c>
      <c r="E39" s="159">
        <v>6174.4</v>
      </c>
      <c r="F39" s="158">
        <v>123488</v>
      </c>
      <c r="G39" s="160" t="s">
        <v>3023</v>
      </c>
      <c r="H39" s="98" t="s">
        <v>572</v>
      </c>
      <c r="I39" s="670">
        <v>31</v>
      </c>
    </row>
    <row r="40" spans="1:9" s="4" customFormat="1" ht="71.25">
      <c r="A40" s="161" t="s">
        <v>59</v>
      </c>
      <c r="B40" s="8" t="s">
        <v>3627</v>
      </c>
      <c r="C40" s="157" t="s">
        <v>1</v>
      </c>
      <c r="D40" s="158">
        <v>20</v>
      </c>
      <c r="E40" s="159">
        <v>1776.77</v>
      </c>
      <c r="F40" s="158">
        <v>35535.4</v>
      </c>
      <c r="G40" s="160" t="s">
        <v>3024</v>
      </c>
      <c r="H40" s="98" t="s">
        <v>573</v>
      </c>
      <c r="I40" s="670">
        <v>32</v>
      </c>
    </row>
    <row r="41" spans="1:9" s="4" customFormat="1" ht="71.25">
      <c r="A41" s="161" t="s">
        <v>60</v>
      </c>
      <c r="B41" s="8" t="s">
        <v>4012</v>
      </c>
      <c r="C41" s="157" t="s">
        <v>1</v>
      </c>
      <c r="D41" s="158">
        <v>125</v>
      </c>
      <c r="E41" s="159">
        <v>64.040000000000006</v>
      </c>
      <c r="F41" s="158">
        <v>8005</v>
      </c>
      <c r="G41" s="160" t="s">
        <v>3025</v>
      </c>
      <c r="H41" s="98" t="s">
        <v>574</v>
      </c>
      <c r="I41" s="670">
        <v>33</v>
      </c>
    </row>
    <row r="42" spans="1:9" s="4" customFormat="1" ht="71.25">
      <c r="A42" s="161" t="s">
        <v>61</v>
      </c>
      <c r="B42" s="8" t="s">
        <v>3626</v>
      </c>
      <c r="C42" s="157" t="s">
        <v>1</v>
      </c>
      <c r="D42" s="158">
        <v>10</v>
      </c>
      <c r="E42" s="159">
        <v>804.18</v>
      </c>
      <c r="F42" s="158">
        <v>8041.8</v>
      </c>
      <c r="G42" s="160" t="s">
        <v>3026</v>
      </c>
      <c r="H42" s="98" t="s">
        <v>575</v>
      </c>
      <c r="I42" s="670">
        <v>34</v>
      </c>
    </row>
    <row r="43" spans="1:9" s="4" customFormat="1" ht="42.75">
      <c r="A43" s="161" t="s">
        <v>62</v>
      </c>
      <c r="B43" s="8" t="s">
        <v>453</v>
      </c>
      <c r="C43" s="157" t="s">
        <v>0</v>
      </c>
      <c r="D43" s="158">
        <v>10</v>
      </c>
      <c r="E43" s="159">
        <v>5289.26</v>
      </c>
      <c r="F43" s="158">
        <v>52892.6</v>
      </c>
      <c r="G43" s="160" t="s">
        <v>3027</v>
      </c>
      <c r="H43" s="98" t="s">
        <v>576</v>
      </c>
      <c r="I43" s="670">
        <v>35</v>
      </c>
    </row>
    <row r="44" spans="1:9" s="4" customFormat="1" ht="42.75">
      <c r="A44" s="161" t="s">
        <v>63</v>
      </c>
      <c r="B44" s="8" t="s">
        <v>990</v>
      </c>
      <c r="C44" s="157" t="s">
        <v>17</v>
      </c>
      <c r="D44" s="158">
        <v>10</v>
      </c>
      <c r="E44" s="159">
        <v>87.71</v>
      </c>
      <c r="F44" s="158">
        <v>877.1</v>
      </c>
      <c r="G44" s="160" t="s">
        <v>3028</v>
      </c>
      <c r="H44" s="98" t="s">
        <v>2888</v>
      </c>
      <c r="I44" s="670">
        <v>36</v>
      </c>
    </row>
    <row r="45" spans="1:9" s="4" customFormat="1" ht="71.25">
      <c r="A45" s="161" t="s">
        <v>64</v>
      </c>
      <c r="B45" s="8" t="s">
        <v>537</v>
      </c>
      <c r="C45" s="157" t="s">
        <v>17</v>
      </c>
      <c r="D45" s="158">
        <v>10</v>
      </c>
      <c r="E45" s="159">
        <v>116.66</v>
      </c>
      <c r="F45" s="158">
        <v>1166.5999999999999</v>
      </c>
      <c r="G45" s="160" t="s">
        <v>3029</v>
      </c>
      <c r="H45" s="98" t="s">
        <v>2889</v>
      </c>
      <c r="I45" s="670">
        <v>37</v>
      </c>
    </row>
    <row r="46" spans="1:9" s="4" customFormat="1" ht="42.75">
      <c r="A46" s="161" t="s">
        <v>65</v>
      </c>
      <c r="B46" s="8" t="s">
        <v>995</v>
      </c>
      <c r="C46" s="157" t="s">
        <v>0</v>
      </c>
      <c r="D46" s="158">
        <v>20</v>
      </c>
      <c r="E46" s="159">
        <v>596.70000000000005</v>
      </c>
      <c r="F46" s="158">
        <v>11934</v>
      </c>
      <c r="G46" s="160" t="s">
        <v>3030</v>
      </c>
      <c r="H46" s="98" t="s">
        <v>577</v>
      </c>
      <c r="I46" s="670">
        <v>38</v>
      </c>
    </row>
    <row r="47" spans="1:9" s="4" customFormat="1" ht="71.25">
      <c r="A47" s="161" t="s">
        <v>66</v>
      </c>
      <c r="B47" s="8" t="s">
        <v>578</v>
      </c>
      <c r="C47" s="157" t="s">
        <v>0</v>
      </c>
      <c r="D47" s="158">
        <v>20</v>
      </c>
      <c r="E47" s="159">
        <v>793.61</v>
      </c>
      <c r="F47" s="158">
        <v>15872.2</v>
      </c>
      <c r="G47" s="160" t="s">
        <v>3031</v>
      </c>
      <c r="H47" s="98" t="s">
        <v>579</v>
      </c>
      <c r="I47" s="670">
        <v>39</v>
      </c>
    </row>
    <row r="48" spans="1:9" s="4" customFormat="1" ht="42.75">
      <c r="A48" s="161" t="s">
        <v>67</v>
      </c>
      <c r="B48" s="8" t="s">
        <v>1003</v>
      </c>
      <c r="C48" s="157" t="s">
        <v>1</v>
      </c>
      <c r="D48" s="158">
        <v>10</v>
      </c>
      <c r="E48" s="159">
        <v>92.24</v>
      </c>
      <c r="F48" s="158">
        <v>922.4</v>
      </c>
      <c r="G48" s="160" t="s">
        <v>3032</v>
      </c>
      <c r="H48" s="98" t="s">
        <v>580</v>
      </c>
      <c r="I48" s="670">
        <v>40</v>
      </c>
    </row>
    <row r="49" spans="1:9" s="4" customFormat="1" ht="42.75">
      <c r="A49" s="161" t="s">
        <v>68</v>
      </c>
      <c r="B49" s="8" t="s">
        <v>1010</v>
      </c>
      <c r="C49" s="157" t="s">
        <v>1</v>
      </c>
      <c r="D49" s="158">
        <v>10</v>
      </c>
      <c r="E49" s="159">
        <v>602.54999999999995</v>
      </c>
      <c r="F49" s="158">
        <v>6025.5</v>
      </c>
      <c r="G49" s="160" t="s">
        <v>3033</v>
      </c>
      <c r="H49" s="98" t="s">
        <v>581</v>
      </c>
      <c r="I49" s="670">
        <v>41</v>
      </c>
    </row>
    <row r="50" spans="1:9" s="4" customFormat="1" ht="42.75">
      <c r="A50" s="161" t="s">
        <v>69</v>
      </c>
      <c r="B50" s="8" t="s">
        <v>1019</v>
      </c>
      <c r="C50" s="157" t="s">
        <v>1</v>
      </c>
      <c r="D50" s="158">
        <v>10</v>
      </c>
      <c r="E50" s="159">
        <v>137.26</v>
      </c>
      <c r="F50" s="158">
        <v>1372.6</v>
      </c>
      <c r="G50" s="160" t="s">
        <v>3034</v>
      </c>
      <c r="H50" s="98" t="s">
        <v>582</v>
      </c>
      <c r="I50" s="670">
        <v>42</v>
      </c>
    </row>
    <row r="51" spans="1:9" s="4" customFormat="1" ht="42.75">
      <c r="A51" s="161" t="s">
        <v>70</v>
      </c>
      <c r="B51" s="8" t="s">
        <v>1033</v>
      </c>
      <c r="C51" s="157" t="s">
        <v>17</v>
      </c>
      <c r="D51" s="158">
        <v>10</v>
      </c>
      <c r="E51" s="159">
        <v>56.67</v>
      </c>
      <c r="F51" s="158">
        <v>566.70000000000005</v>
      </c>
      <c r="G51" s="160" t="s">
        <v>3035</v>
      </c>
      <c r="H51" s="98" t="s">
        <v>583</v>
      </c>
      <c r="I51" s="670">
        <v>43</v>
      </c>
    </row>
    <row r="52" spans="1:9" s="4" customFormat="1" ht="31.5">
      <c r="A52" s="161" t="s">
        <v>71</v>
      </c>
      <c r="B52" s="8" t="s">
        <v>1014</v>
      </c>
      <c r="C52" s="157" t="s">
        <v>1</v>
      </c>
      <c r="D52" s="158">
        <v>10</v>
      </c>
      <c r="E52" s="159">
        <v>700</v>
      </c>
      <c r="F52" s="158">
        <v>7000</v>
      </c>
      <c r="G52" s="160" t="s">
        <v>1015</v>
      </c>
      <c r="H52" s="98" t="s">
        <v>584</v>
      </c>
      <c r="I52" s="670">
        <v>44</v>
      </c>
    </row>
    <row r="53" spans="1:9" s="4" customFormat="1" ht="42.75">
      <c r="A53" s="161" t="s">
        <v>72</v>
      </c>
      <c r="B53" s="8" t="s">
        <v>1036</v>
      </c>
      <c r="C53" s="157" t="s">
        <v>3</v>
      </c>
      <c r="D53" s="158">
        <v>50</v>
      </c>
      <c r="E53" s="159">
        <v>14.18</v>
      </c>
      <c r="F53" s="158">
        <v>709</v>
      </c>
      <c r="G53" s="160" t="s">
        <v>3036</v>
      </c>
      <c r="H53" s="98" t="s">
        <v>585</v>
      </c>
      <c r="I53" s="670">
        <v>45</v>
      </c>
    </row>
    <row r="54" spans="1:9" s="4" customFormat="1" ht="42.75">
      <c r="A54" s="161" t="s">
        <v>73</v>
      </c>
      <c r="B54" s="8" t="s">
        <v>454</v>
      </c>
      <c r="C54" s="157" t="s">
        <v>0</v>
      </c>
      <c r="D54" s="158">
        <v>50</v>
      </c>
      <c r="E54" s="159">
        <v>289</v>
      </c>
      <c r="F54" s="158">
        <v>14450</v>
      </c>
      <c r="G54" s="160" t="s">
        <v>3037</v>
      </c>
      <c r="H54" s="98" t="s">
        <v>586</v>
      </c>
      <c r="I54" s="670">
        <v>46</v>
      </c>
    </row>
    <row r="55" spans="1:9" s="4" customFormat="1" ht="42.75">
      <c r="A55" s="161" t="s">
        <v>74</v>
      </c>
      <c r="B55" s="8" t="s">
        <v>1048</v>
      </c>
      <c r="C55" s="157" t="s">
        <v>15</v>
      </c>
      <c r="D55" s="158">
        <v>50</v>
      </c>
      <c r="E55" s="159">
        <v>53.23</v>
      </c>
      <c r="F55" s="158">
        <v>2661.5</v>
      </c>
      <c r="G55" s="160" t="s">
        <v>3038</v>
      </c>
      <c r="H55" s="98" t="s">
        <v>587</v>
      </c>
      <c r="I55" s="670">
        <v>47</v>
      </c>
    </row>
    <row r="56" spans="1:9" s="4" customFormat="1" ht="42.75">
      <c r="A56" s="161" t="s">
        <v>75</v>
      </c>
      <c r="B56" s="8" t="s">
        <v>1067</v>
      </c>
      <c r="C56" s="157" t="s">
        <v>15</v>
      </c>
      <c r="D56" s="158">
        <v>50</v>
      </c>
      <c r="E56" s="159">
        <v>304.26</v>
      </c>
      <c r="F56" s="158">
        <v>15213</v>
      </c>
      <c r="G56" s="160" t="s">
        <v>3039</v>
      </c>
      <c r="H56" s="98" t="s">
        <v>588</v>
      </c>
      <c r="I56" s="670">
        <v>48</v>
      </c>
    </row>
    <row r="57" spans="1:9" s="4" customFormat="1" ht="42.75">
      <c r="A57" s="161" t="s">
        <v>76</v>
      </c>
      <c r="B57" s="8" t="s">
        <v>1072</v>
      </c>
      <c r="C57" s="157" t="s">
        <v>0</v>
      </c>
      <c r="D57" s="158">
        <v>50</v>
      </c>
      <c r="E57" s="159">
        <v>101.47</v>
      </c>
      <c r="F57" s="158">
        <v>5073.5</v>
      </c>
      <c r="G57" s="160" t="s">
        <v>3040</v>
      </c>
      <c r="H57" s="98" t="s">
        <v>589</v>
      </c>
      <c r="I57" s="670">
        <v>49</v>
      </c>
    </row>
    <row r="58" spans="1:9" s="4" customFormat="1" ht="57">
      <c r="A58" s="161" t="s">
        <v>77</v>
      </c>
      <c r="B58" s="8" t="s">
        <v>543</v>
      </c>
      <c r="C58" s="157" t="s">
        <v>1</v>
      </c>
      <c r="D58" s="158">
        <v>50</v>
      </c>
      <c r="E58" s="159">
        <v>1154.01</v>
      </c>
      <c r="F58" s="158">
        <v>57700.5</v>
      </c>
      <c r="G58" s="160" t="s">
        <v>3041</v>
      </c>
      <c r="H58" s="98" t="s">
        <v>590</v>
      </c>
      <c r="I58" s="670">
        <v>50</v>
      </c>
    </row>
    <row r="59" spans="1:9" s="4" customFormat="1" ht="42.75">
      <c r="A59" s="161" t="s">
        <v>78</v>
      </c>
      <c r="B59" s="8" t="s">
        <v>1083</v>
      </c>
      <c r="C59" s="157" t="s">
        <v>0</v>
      </c>
      <c r="D59" s="158">
        <v>50</v>
      </c>
      <c r="E59" s="159">
        <v>859.23</v>
      </c>
      <c r="F59" s="158">
        <v>42961.5</v>
      </c>
      <c r="G59" s="160" t="s">
        <v>3042</v>
      </c>
      <c r="H59" s="98" t="s">
        <v>591</v>
      </c>
      <c r="I59" s="670">
        <v>51</v>
      </c>
    </row>
    <row r="60" spans="1:9" s="4" customFormat="1" ht="42.75">
      <c r="A60" s="161" t="s">
        <v>79</v>
      </c>
      <c r="B60" s="8" t="s">
        <v>26</v>
      </c>
      <c r="C60" s="157" t="s">
        <v>1</v>
      </c>
      <c r="D60" s="158">
        <v>50</v>
      </c>
      <c r="E60" s="159">
        <v>718.45</v>
      </c>
      <c r="F60" s="158">
        <v>35922.5</v>
      </c>
      <c r="G60" s="160" t="s">
        <v>3043</v>
      </c>
      <c r="H60" s="98" t="s">
        <v>592</v>
      </c>
      <c r="I60" s="670">
        <v>52</v>
      </c>
    </row>
    <row r="61" spans="1:9" s="4" customFormat="1" ht="42.75">
      <c r="A61" s="161" t="s">
        <v>80</v>
      </c>
      <c r="B61" s="8" t="s">
        <v>1091</v>
      </c>
      <c r="C61" s="157" t="s">
        <v>1</v>
      </c>
      <c r="D61" s="158">
        <v>20</v>
      </c>
      <c r="E61" s="159">
        <v>476.77</v>
      </c>
      <c r="F61" s="158">
        <v>9535.4</v>
      </c>
      <c r="G61" s="160" t="s">
        <v>3044</v>
      </c>
      <c r="H61" s="98" t="s">
        <v>593</v>
      </c>
      <c r="I61" s="670">
        <v>53</v>
      </c>
    </row>
    <row r="62" spans="1:9" s="4" customFormat="1" ht="42.75">
      <c r="A62" s="161" t="s">
        <v>81</v>
      </c>
      <c r="B62" s="8" t="s">
        <v>1096</v>
      </c>
      <c r="C62" s="157" t="s">
        <v>1</v>
      </c>
      <c r="D62" s="158">
        <v>50</v>
      </c>
      <c r="E62" s="159">
        <v>512.45000000000005</v>
      </c>
      <c r="F62" s="158">
        <v>25622.5</v>
      </c>
      <c r="G62" s="160" t="s">
        <v>3045</v>
      </c>
      <c r="H62" s="98" t="s">
        <v>594</v>
      </c>
      <c r="I62" s="670">
        <v>54</v>
      </c>
    </row>
    <row r="63" spans="1:9" s="4" customFormat="1" ht="42.75">
      <c r="A63" s="161" t="s">
        <v>82</v>
      </c>
      <c r="B63" s="8" t="s">
        <v>1099</v>
      </c>
      <c r="C63" s="157" t="s">
        <v>0</v>
      </c>
      <c r="D63" s="158">
        <v>50</v>
      </c>
      <c r="E63" s="159">
        <v>955.35</v>
      </c>
      <c r="F63" s="158">
        <v>47767.5</v>
      </c>
      <c r="G63" s="160" t="s">
        <v>3046</v>
      </c>
      <c r="H63" s="98" t="s">
        <v>595</v>
      </c>
      <c r="I63" s="670">
        <v>55</v>
      </c>
    </row>
    <row r="64" spans="1:9" s="4" customFormat="1" ht="42.75">
      <c r="A64" s="161" t="s">
        <v>83</v>
      </c>
      <c r="B64" s="8" t="s">
        <v>1104</v>
      </c>
      <c r="C64" s="157" t="s">
        <v>0</v>
      </c>
      <c r="D64" s="158">
        <v>15</v>
      </c>
      <c r="E64" s="159">
        <v>1475.22</v>
      </c>
      <c r="F64" s="158">
        <v>22128.3</v>
      </c>
      <c r="G64" s="160" t="s">
        <v>3047</v>
      </c>
      <c r="H64" s="98" t="s">
        <v>596</v>
      </c>
      <c r="I64" s="670">
        <v>56</v>
      </c>
    </row>
    <row r="65" spans="1:9" s="4" customFormat="1" ht="42.75">
      <c r="A65" s="161" t="s">
        <v>84</v>
      </c>
      <c r="B65" s="8" t="s">
        <v>1111</v>
      </c>
      <c r="C65" s="157" t="s">
        <v>3</v>
      </c>
      <c r="D65" s="158">
        <v>50</v>
      </c>
      <c r="E65" s="159">
        <v>11.16</v>
      </c>
      <c r="F65" s="158">
        <v>558</v>
      </c>
      <c r="G65" s="160" t="s">
        <v>3048</v>
      </c>
      <c r="H65" s="98" t="s">
        <v>597</v>
      </c>
      <c r="I65" s="670">
        <v>57</v>
      </c>
    </row>
    <row r="66" spans="1:9" s="4" customFormat="1" ht="42.75">
      <c r="A66" s="161" t="s">
        <v>85</v>
      </c>
      <c r="B66" s="8" t="s">
        <v>1118</v>
      </c>
      <c r="C66" s="157" t="s">
        <v>15</v>
      </c>
      <c r="D66" s="158">
        <v>50</v>
      </c>
      <c r="E66" s="159">
        <v>1239.5</v>
      </c>
      <c r="F66" s="158">
        <v>61975</v>
      </c>
      <c r="G66" s="160" t="s">
        <v>3049</v>
      </c>
      <c r="H66" s="98" t="s">
        <v>598</v>
      </c>
      <c r="I66" s="670">
        <v>58</v>
      </c>
    </row>
    <row r="67" spans="1:9" s="4" customFormat="1" ht="42.75">
      <c r="A67" s="161" t="s">
        <v>86</v>
      </c>
      <c r="B67" s="8" t="s">
        <v>1130</v>
      </c>
      <c r="C67" s="157" t="s">
        <v>15</v>
      </c>
      <c r="D67" s="158">
        <v>10</v>
      </c>
      <c r="E67" s="159">
        <v>1428.1</v>
      </c>
      <c r="F67" s="158">
        <v>14281</v>
      </c>
      <c r="G67" s="160" t="s">
        <v>3050</v>
      </c>
      <c r="H67" s="98" t="s">
        <v>599</v>
      </c>
      <c r="I67" s="670">
        <v>59</v>
      </c>
    </row>
    <row r="68" spans="1:9" s="4" customFormat="1" ht="42.75">
      <c r="A68" s="161" t="s">
        <v>87</v>
      </c>
      <c r="B68" s="8" t="s">
        <v>1135</v>
      </c>
      <c r="C68" s="157" t="s">
        <v>15</v>
      </c>
      <c r="D68" s="158">
        <v>10</v>
      </c>
      <c r="E68" s="159">
        <v>1306.04</v>
      </c>
      <c r="F68" s="158">
        <v>13060.4</v>
      </c>
      <c r="G68" s="160" t="s">
        <v>3051</v>
      </c>
      <c r="H68" s="98" t="s">
        <v>600</v>
      </c>
      <c r="I68" s="670">
        <v>60</v>
      </c>
    </row>
    <row r="69" spans="1:9" s="4" customFormat="1" ht="42.75">
      <c r="A69" s="161" t="s">
        <v>88</v>
      </c>
      <c r="B69" s="8" t="s">
        <v>1140</v>
      </c>
      <c r="C69" s="157" t="s">
        <v>3</v>
      </c>
      <c r="D69" s="158">
        <v>100</v>
      </c>
      <c r="E69" s="159">
        <v>40.61</v>
      </c>
      <c r="F69" s="158">
        <v>4061</v>
      </c>
      <c r="G69" s="160" t="s">
        <v>3052</v>
      </c>
      <c r="H69" s="98" t="s">
        <v>601</v>
      </c>
      <c r="I69" s="670">
        <v>61</v>
      </c>
    </row>
    <row r="70" spans="1:9" s="4" customFormat="1" ht="42.75">
      <c r="A70" s="161" t="s">
        <v>89</v>
      </c>
      <c r="B70" s="8" t="s">
        <v>1149</v>
      </c>
      <c r="C70" s="157" t="s">
        <v>3</v>
      </c>
      <c r="D70" s="158">
        <v>100</v>
      </c>
      <c r="E70" s="159">
        <v>15.53</v>
      </c>
      <c r="F70" s="158">
        <v>1553</v>
      </c>
      <c r="G70" s="160" t="s">
        <v>3053</v>
      </c>
      <c r="H70" s="98" t="s">
        <v>602</v>
      </c>
      <c r="I70" s="670">
        <v>62</v>
      </c>
    </row>
    <row r="71" spans="1:9" s="4" customFormat="1" ht="42.75">
      <c r="A71" s="161" t="s">
        <v>90</v>
      </c>
      <c r="B71" s="8" t="s">
        <v>1154</v>
      </c>
      <c r="C71" s="157" t="s">
        <v>0</v>
      </c>
      <c r="D71" s="158">
        <v>20</v>
      </c>
      <c r="E71" s="159">
        <v>7075.99</v>
      </c>
      <c r="F71" s="158">
        <v>141519.79999999999</v>
      </c>
      <c r="G71" s="160" t="s">
        <v>3054</v>
      </c>
      <c r="H71" s="98" t="s">
        <v>603</v>
      </c>
      <c r="I71" s="670">
        <v>63</v>
      </c>
    </row>
    <row r="72" spans="1:9" s="4" customFormat="1" ht="42.75">
      <c r="A72" s="161" t="s">
        <v>91</v>
      </c>
      <c r="B72" s="8" t="s">
        <v>1162</v>
      </c>
      <c r="C72" s="157" t="s">
        <v>0</v>
      </c>
      <c r="D72" s="158">
        <v>20</v>
      </c>
      <c r="E72" s="159">
        <v>7050.24</v>
      </c>
      <c r="F72" s="158">
        <v>141004.79999999999</v>
      </c>
      <c r="G72" s="160" t="s">
        <v>3055</v>
      </c>
      <c r="H72" s="98" t="s">
        <v>604</v>
      </c>
      <c r="I72" s="670">
        <v>64</v>
      </c>
    </row>
    <row r="73" spans="1:9" s="4" customFormat="1" ht="42.75">
      <c r="A73" s="161" t="s">
        <v>92</v>
      </c>
      <c r="B73" s="8" t="s">
        <v>2983</v>
      </c>
      <c r="C73" s="157" t="s">
        <v>0</v>
      </c>
      <c r="D73" s="158">
        <v>20</v>
      </c>
      <c r="E73" s="159">
        <v>7556.83</v>
      </c>
      <c r="F73" s="158">
        <v>151136.6</v>
      </c>
      <c r="G73" s="160" t="s">
        <v>3056</v>
      </c>
      <c r="H73" s="98" t="s">
        <v>605</v>
      </c>
      <c r="I73" s="670">
        <v>65</v>
      </c>
    </row>
    <row r="74" spans="1:9" s="4" customFormat="1" ht="42.75">
      <c r="A74" s="161" t="s">
        <v>93</v>
      </c>
      <c r="B74" s="8" t="s">
        <v>3631</v>
      </c>
      <c r="C74" s="157" t="s">
        <v>0</v>
      </c>
      <c r="D74" s="158">
        <v>20</v>
      </c>
      <c r="E74" s="159">
        <v>7531.08</v>
      </c>
      <c r="F74" s="158">
        <v>150621.6</v>
      </c>
      <c r="G74" s="160" t="s">
        <v>3057</v>
      </c>
      <c r="H74" s="98" t="s">
        <v>606</v>
      </c>
      <c r="I74" s="670">
        <v>66</v>
      </c>
    </row>
    <row r="75" spans="1:9" s="4" customFormat="1" ht="42.75">
      <c r="A75" s="161" t="s">
        <v>94</v>
      </c>
      <c r="B75" s="8" t="s">
        <v>1174</v>
      </c>
      <c r="C75" s="157" t="s">
        <v>0</v>
      </c>
      <c r="D75" s="158">
        <v>20</v>
      </c>
      <c r="E75" s="159">
        <v>6581.59</v>
      </c>
      <c r="F75" s="158">
        <v>131631.79999999999</v>
      </c>
      <c r="G75" s="160" t="s">
        <v>3058</v>
      </c>
      <c r="H75" s="98" t="s">
        <v>607</v>
      </c>
      <c r="I75" s="670">
        <v>67</v>
      </c>
    </row>
    <row r="76" spans="1:9" s="4" customFormat="1" ht="47.25">
      <c r="A76" s="161" t="s">
        <v>95</v>
      </c>
      <c r="B76" s="8" t="s">
        <v>1179</v>
      </c>
      <c r="C76" s="157" t="s">
        <v>0</v>
      </c>
      <c r="D76" s="158">
        <v>20</v>
      </c>
      <c r="E76" s="159">
        <v>7062.43</v>
      </c>
      <c r="F76" s="158">
        <v>141248.6</v>
      </c>
      <c r="G76" s="160" t="s">
        <v>3059</v>
      </c>
      <c r="H76" s="98" t="s">
        <v>608</v>
      </c>
      <c r="I76" s="670">
        <v>68</v>
      </c>
    </row>
    <row r="77" spans="1:9" s="4" customFormat="1" ht="42.75">
      <c r="A77" s="161" t="s">
        <v>96</v>
      </c>
      <c r="B77" s="8" t="s">
        <v>1182</v>
      </c>
      <c r="C77" s="157" t="s">
        <v>0</v>
      </c>
      <c r="D77" s="158">
        <v>20</v>
      </c>
      <c r="E77" s="159">
        <v>7992.69</v>
      </c>
      <c r="F77" s="158">
        <v>159853.79999999999</v>
      </c>
      <c r="G77" s="160" t="s">
        <v>3060</v>
      </c>
      <c r="H77" s="98" t="s">
        <v>609</v>
      </c>
      <c r="I77" s="670">
        <v>69</v>
      </c>
    </row>
    <row r="78" spans="1:9" s="4" customFormat="1" ht="47.25">
      <c r="A78" s="161" t="s">
        <v>97</v>
      </c>
      <c r="B78" s="8" t="s">
        <v>1187</v>
      </c>
      <c r="C78" s="157" t="s">
        <v>0</v>
      </c>
      <c r="D78" s="158">
        <v>20</v>
      </c>
      <c r="E78" s="159">
        <v>6219.03</v>
      </c>
      <c r="F78" s="158">
        <v>124380.6</v>
      </c>
      <c r="G78" s="160" t="s">
        <v>3061</v>
      </c>
      <c r="H78" s="98" t="s">
        <v>610</v>
      </c>
      <c r="I78" s="670">
        <v>70</v>
      </c>
    </row>
    <row r="79" spans="1:9" s="4" customFormat="1" ht="47.25">
      <c r="A79" s="161" t="s">
        <v>98</v>
      </c>
      <c r="B79" s="8" t="s">
        <v>1192</v>
      </c>
      <c r="C79" s="157" t="s">
        <v>0</v>
      </c>
      <c r="D79" s="158">
        <v>20</v>
      </c>
      <c r="E79" s="159">
        <v>6699.87</v>
      </c>
      <c r="F79" s="158">
        <v>133997.4</v>
      </c>
      <c r="G79" s="160" t="s">
        <v>3062</v>
      </c>
      <c r="H79" s="98" t="s">
        <v>611</v>
      </c>
      <c r="I79" s="670">
        <v>71</v>
      </c>
    </row>
    <row r="80" spans="1:9" s="4" customFormat="1" ht="47.25">
      <c r="A80" s="161" t="s">
        <v>99</v>
      </c>
      <c r="B80" s="8" t="s">
        <v>1195</v>
      </c>
      <c r="C80" s="157" t="s">
        <v>0</v>
      </c>
      <c r="D80" s="158">
        <v>20</v>
      </c>
      <c r="E80" s="159">
        <v>5854.41</v>
      </c>
      <c r="F80" s="158">
        <v>117088.2</v>
      </c>
      <c r="G80" s="160" t="s">
        <v>3063</v>
      </c>
      <c r="H80" s="98" t="s">
        <v>612</v>
      </c>
      <c r="I80" s="670">
        <v>72</v>
      </c>
    </row>
    <row r="81" spans="1:9" s="4" customFormat="1" ht="47.25">
      <c r="A81" s="161" t="s">
        <v>100</v>
      </c>
      <c r="B81" s="8" t="s">
        <v>1200</v>
      </c>
      <c r="C81" s="157" t="s">
        <v>0</v>
      </c>
      <c r="D81" s="158">
        <v>20</v>
      </c>
      <c r="E81" s="159">
        <v>6335.25</v>
      </c>
      <c r="F81" s="158">
        <v>126705</v>
      </c>
      <c r="G81" s="160" t="s">
        <v>3064</v>
      </c>
      <c r="H81" s="98" t="s">
        <v>613</v>
      </c>
      <c r="I81" s="670">
        <v>73</v>
      </c>
    </row>
    <row r="82" spans="1:9" s="4" customFormat="1" ht="42.75">
      <c r="A82" s="161" t="s">
        <v>101</v>
      </c>
      <c r="B82" s="8" t="s">
        <v>1203</v>
      </c>
      <c r="C82" s="157" t="s">
        <v>0</v>
      </c>
      <c r="D82" s="158">
        <v>5</v>
      </c>
      <c r="E82" s="159">
        <v>57088.160000000003</v>
      </c>
      <c r="F82" s="158">
        <v>285440.8</v>
      </c>
      <c r="G82" s="160" t="s">
        <v>3065</v>
      </c>
      <c r="H82" s="98" t="s">
        <v>614</v>
      </c>
      <c r="I82" s="670">
        <v>74</v>
      </c>
    </row>
    <row r="83" spans="1:9" s="4" customFormat="1" ht="42.75">
      <c r="A83" s="161" t="s">
        <v>102</v>
      </c>
      <c r="B83" s="8" t="s">
        <v>1215</v>
      </c>
      <c r="C83" s="157" t="s">
        <v>3</v>
      </c>
      <c r="D83" s="158">
        <v>100</v>
      </c>
      <c r="E83" s="159">
        <v>24.81</v>
      </c>
      <c r="F83" s="158">
        <v>2481</v>
      </c>
      <c r="G83" s="160" t="s">
        <v>3066</v>
      </c>
      <c r="H83" s="98" t="s">
        <v>615</v>
      </c>
      <c r="I83" s="670">
        <v>75</v>
      </c>
    </row>
    <row r="84" spans="1:9" s="4" customFormat="1" ht="42.75">
      <c r="A84" s="161" t="s">
        <v>103</v>
      </c>
      <c r="B84" s="8" t="s">
        <v>1231</v>
      </c>
      <c r="C84" s="157" t="s">
        <v>3</v>
      </c>
      <c r="D84" s="158">
        <v>100</v>
      </c>
      <c r="E84" s="159">
        <v>16.239999999999998</v>
      </c>
      <c r="F84" s="158">
        <v>1624</v>
      </c>
      <c r="G84" s="160" t="s">
        <v>3067</v>
      </c>
      <c r="H84" s="98" t="s">
        <v>616</v>
      </c>
      <c r="I84" s="670">
        <v>76</v>
      </c>
    </row>
    <row r="85" spans="1:9" s="4" customFormat="1" ht="47.25">
      <c r="A85" s="161" t="s">
        <v>104</v>
      </c>
      <c r="B85" s="8" t="s">
        <v>1236</v>
      </c>
      <c r="C85" s="157" t="s">
        <v>3</v>
      </c>
      <c r="D85" s="158">
        <v>100</v>
      </c>
      <c r="E85" s="159">
        <v>42.37</v>
      </c>
      <c r="F85" s="158">
        <v>4237</v>
      </c>
      <c r="G85" s="160" t="s">
        <v>3068</v>
      </c>
      <c r="H85" s="98" t="s">
        <v>617</v>
      </c>
      <c r="I85" s="670">
        <v>77</v>
      </c>
    </row>
    <row r="86" spans="1:9" s="4" customFormat="1" ht="47.25">
      <c r="A86" s="161" t="s">
        <v>105</v>
      </c>
      <c r="B86" s="8" t="s">
        <v>1239</v>
      </c>
      <c r="C86" s="157" t="s">
        <v>3</v>
      </c>
      <c r="D86" s="158">
        <v>100</v>
      </c>
      <c r="E86" s="159">
        <v>28.06</v>
      </c>
      <c r="F86" s="158">
        <v>2806</v>
      </c>
      <c r="G86" s="160" t="s">
        <v>3069</v>
      </c>
      <c r="H86" s="98" t="s">
        <v>618</v>
      </c>
      <c r="I86" s="670">
        <v>78</v>
      </c>
    </row>
    <row r="87" spans="1:9" s="4" customFormat="1" ht="42.75">
      <c r="A87" s="161" t="s">
        <v>106</v>
      </c>
      <c r="B87" s="8" t="s">
        <v>462</v>
      </c>
      <c r="C87" s="157" t="s">
        <v>17</v>
      </c>
      <c r="D87" s="158">
        <v>100</v>
      </c>
      <c r="E87" s="159">
        <v>64.63</v>
      </c>
      <c r="F87" s="158">
        <v>6463</v>
      </c>
      <c r="G87" s="160" t="s">
        <v>3070</v>
      </c>
      <c r="H87" s="98" t="s">
        <v>619</v>
      </c>
      <c r="I87" s="670">
        <v>79</v>
      </c>
    </row>
    <row r="88" spans="1:9" s="4" customFormat="1" ht="42.75">
      <c r="A88" s="161" t="s">
        <v>107</v>
      </c>
      <c r="B88" s="8" t="s">
        <v>1250</v>
      </c>
      <c r="C88" s="157" t="s">
        <v>17</v>
      </c>
      <c r="D88" s="158">
        <v>100</v>
      </c>
      <c r="E88" s="159">
        <v>75.41</v>
      </c>
      <c r="F88" s="158">
        <v>7541</v>
      </c>
      <c r="G88" s="160" t="s">
        <v>3071</v>
      </c>
      <c r="H88" s="98" t="s">
        <v>620</v>
      </c>
      <c r="I88" s="670">
        <v>80</v>
      </c>
    </row>
    <row r="89" spans="1:9" s="4" customFormat="1" ht="42.75">
      <c r="A89" s="161" t="s">
        <v>108</v>
      </c>
      <c r="B89" s="8" t="s">
        <v>1253</v>
      </c>
      <c r="C89" s="157" t="s">
        <v>17</v>
      </c>
      <c r="D89" s="158">
        <v>50</v>
      </c>
      <c r="E89" s="159">
        <v>135.38</v>
      </c>
      <c r="F89" s="158">
        <v>6769</v>
      </c>
      <c r="G89" s="160" t="s">
        <v>3072</v>
      </c>
      <c r="H89" s="98" t="s">
        <v>621</v>
      </c>
      <c r="I89" s="670">
        <v>81</v>
      </c>
    </row>
    <row r="90" spans="1:9" s="4" customFormat="1" ht="42.75">
      <c r="A90" s="161" t="s">
        <v>109</v>
      </c>
      <c r="B90" s="8" t="s">
        <v>464</v>
      </c>
      <c r="C90" s="157" t="s">
        <v>0</v>
      </c>
      <c r="D90" s="158">
        <v>100</v>
      </c>
      <c r="E90" s="159">
        <v>2743.76</v>
      </c>
      <c r="F90" s="158">
        <v>274376</v>
      </c>
      <c r="G90" s="160" t="s">
        <v>3073</v>
      </c>
      <c r="H90" s="98" t="s">
        <v>622</v>
      </c>
      <c r="I90" s="670">
        <v>82</v>
      </c>
    </row>
    <row r="91" spans="1:9" s="4" customFormat="1" ht="42.75">
      <c r="A91" s="161" t="s">
        <v>110</v>
      </c>
      <c r="B91" s="8" t="s">
        <v>1270</v>
      </c>
      <c r="C91" s="157" t="s">
        <v>0</v>
      </c>
      <c r="D91" s="158">
        <v>100</v>
      </c>
      <c r="E91" s="159">
        <v>2846.76</v>
      </c>
      <c r="F91" s="158">
        <v>284676</v>
      </c>
      <c r="G91" s="160" t="s">
        <v>3074</v>
      </c>
      <c r="H91" s="98" t="s">
        <v>623</v>
      </c>
      <c r="I91" s="670">
        <v>83</v>
      </c>
    </row>
    <row r="92" spans="1:9" s="4" customFormat="1" ht="71.25">
      <c r="A92" s="161" t="s">
        <v>111</v>
      </c>
      <c r="B92" s="8" t="s">
        <v>1275</v>
      </c>
      <c r="C92" s="157" t="s">
        <v>0</v>
      </c>
      <c r="D92" s="158">
        <v>100</v>
      </c>
      <c r="E92" s="159">
        <v>2949.76</v>
      </c>
      <c r="F92" s="158">
        <v>294976</v>
      </c>
      <c r="G92" s="160" t="s">
        <v>3075</v>
      </c>
      <c r="H92" s="98" t="s">
        <v>624</v>
      </c>
      <c r="I92" s="670">
        <v>84</v>
      </c>
    </row>
    <row r="93" spans="1:9" s="4" customFormat="1" ht="42.75">
      <c r="A93" s="161" t="s">
        <v>112</v>
      </c>
      <c r="B93" s="8" t="s">
        <v>1280</v>
      </c>
      <c r="C93" s="157" t="s">
        <v>0</v>
      </c>
      <c r="D93" s="158">
        <v>100</v>
      </c>
      <c r="E93" s="159">
        <v>3106.23</v>
      </c>
      <c r="F93" s="158">
        <v>310623</v>
      </c>
      <c r="G93" s="160" t="s">
        <v>3076</v>
      </c>
      <c r="H93" s="98" t="s">
        <v>625</v>
      </c>
      <c r="I93" s="670">
        <v>85</v>
      </c>
    </row>
    <row r="94" spans="1:9" s="4" customFormat="1" ht="42.75">
      <c r="A94" s="161" t="s">
        <v>113</v>
      </c>
      <c r="B94" s="8" t="s">
        <v>16</v>
      </c>
      <c r="C94" s="157" t="s">
        <v>0</v>
      </c>
      <c r="D94" s="158">
        <v>100</v>
      </c>
      <c r="E94" s="159">
        <v>3267.24</v>
      </c>
      <c r="F94" s="158">
        <v>326724</v>
      </c>
      <c r="G94" s="160" t="s">
        <v>3077</v>
      </c>
      <c r="H94" s="98" t="s">
        <v>626</v>
      </c>
      <c r="I94" s="670">
        <v>86</v>
      </c>
    </row>
    <row r="95" spans="1:9" s="4" customFormat="1" ht="42.75">
      <c r="A95" s="161" t="s">
        <v>114</v>
      </c>
      <c r="B95" s="8" t="s">
        <v>1287</v>
      </c>
      <c r="C95" s="157" t="s">
        <v>0</v>
      </c>
      <c r="D95" s="158">
        <v>100</v>
      </c>
      <c r="E95" s="159">
        <v>3491.08</v>
      </c>
      <c r="F95" s="158">
        <v>349108</v>
      </c>
      <c r="G95" s="160" t="s">
        <v>3078</v>
      </c>
      <c r="H95" s="98" t="s">
        <v>627</v>
      </c>
      <c r="I95" s="670">
        <v>87</v>
      </c>
    </row>
    <row r="96" spans="1:9" s="4" customFormat="1" ht="71.25">
      <c r="A96" s="161" t="s">
        <v>115</v>
      </c>
      <c r="B96" s="8" t="s">
        <v>1292</v>
      </c>
      <c r="C96" s="157" t="s">
        <v>0</v>
      </c>
      <c r="D96" s="158">
        <v>100</v>
      </c>
      <c r="E96" s="159">
        <v>4287.2700000000004</v>
      </c>
      <c r="F96" s="158">
        <v>428727</v>
      </c>
      <c r="G96" s="160" t="s">
        <v>3079</v>
      </c>
      <c r="H96" s="98" t="s">
        <v>628</v>
      </c>
      <c r="I96" s="670">
        <v>88</v>
      </c>
    </row>
    <row r="97" spans="1:9" s="4" customFormat="1" ht="71.25">
      <c r="A97" s="161" t="s">
        <v>116</v>
      </c>
      <c r="B97" s="8" t="s">
        <v>1306</v>
      </c>
      <c r="C97" s="157" t="s">
        <v>0</v>
      </c>
      <c r="D97" s="158">
        <v>100</v>
      </c>
      <c r="E97" s="159">
        <v>4432.6499999999996</v>
      </c>
      <c r="F97" s="158">
        <v>443265</v>
      </c>
      <c r="G97" s="160" t="s">
        <v>3080</v>
      </c>
      <c r="H97" s="98" t="s">
        <v>629</v>
      </c>
      <c r="I97" s="670">
        <v>89</v>
      </c>
    </row>
    <row r="98" spans="1:9" s="4" customFormat="1" ht="71.25">
      <c r="A98" s="672" t="s">
        <v>117</v>
      </c>
      <c r="B98" s="673" t="s">
        <v>1309</v>
      </c>
      <c r="C98" s="674" t="s">
        <v>0</v>
      </c>
      <c r="D98" s="675">
        <v>100</v>
      </c>
      <c r="E98" s="676">
        <v>4585.67</v>
      </c>
      <c r="F98" s="675">
        <v>458567</v>
      </c>
      <c r="G98" s="677" t="s">
        <v>3081</v>
      </c>
      <c r="H98" s="102" t="s">
        <v>630</v>
      </c>
      <c r="I98" s="670">
        <v>90</v>
      </c>
    </row>
    <row r="99" spans="1:9" s="4" customFormat="1" ht="71.25">
      <c r="A99" s="661" t="s">
        <v>118</v>
      </c>
      <c r="B99" s="658" t="s">
        <v>1312</v>
      </c>
      <c r="C99" s="659" t="s">
        <v>0</v>
      </c>
      <c r="D99" s="678">
        <v>100</v>
      </c>
      <c r="E99" s="679">
        <v>4658.3599999999997</v>
      </c>
      <c r="F99" s="678">
        <v>465836</v>
      </c>
      <c r="G99" s="660" t="s">
        <v>3082</v>
      </c>
      <c r="H99" s="680" t="s">
        <v>631</v>
      </c>
      <c r="I99" s="684">
        <v>91</v>
      </c>
    </row>
    <row r="100" spans="1:9" s="4" customFormat="1" ht="71.25">
      <c r="A100" s="661" t="s">
        <v>119</v>
      </c>
      <c r="B100" s="658" t="s">
        <v>1315</v>
      </c>
      <c r="C100" s="659" t="s">
        <v>0</v>
      </c>
      <c r="D100" s="678">
        <v>50</v>
      </c>
      <c r="E100" s="679">
        <v>6114.53</v>
      </c>
      <c r="F100" s="678">
        <v>305726.5</v>
      </c>
      <c r="G100" s="660" t="s">
        <v>3083</v>
      </c>
      <c r="H100" s="680" t="s">
        <v>632</v>
      </c>
      <c r="I100" s="684">
        <v>92</v>
      </c>
    </row>
    <row r="101" spans="1:9" s="4" customFormat="1" ht="42.75">
      <c r="A101" s="661" t="s">
        <v>120</v>
      </c>
      <c r="B101" s="658" t="s">
        <v>1320</v>
      </c>
      <c r="C101" s="659" t="s">
        <v>0</v>
      </c>
      <c r="D101" s="678">
        <v>50</v>
      </c>
      <c r="E101" s="679">
        <v>5064.41</v>
      </c>
      <c r="F101" s="678">
        <v>253220.5</v>
      </c>
      <c r="G101" s="660" t="s">
        <v>3084</v>
      </c>
      <c r="H101" s="680" t="s">
        <v>633</v>
      </c>
      <c r="I101" s="684">
        <v>93</v>
      </c>
    </row>
    <row r="102" spans="1:9" s="4" customFormat="1" ht="42.75">
      <c r="A102" s="661" t="s">
        <v>121</v>
      </c>
      <c r="B102" s="658" t="s">
        <v>1326</v>
      </c>
      <c r="C102" s="659" t="s">
        <v>0</v>
      </c>
      <c r="D102" s="678">
        <v>20</v>
      </c>
      <c r="E102" s="679">
        <v>1740.45</v>
      </c>
      <c r="F102" s="678">
        <v>34809</v>
      </c>
      <c r="G102" s="660" t="s">
        <v>3085</v>
      </c>
      <c r="H102" s="680" t="s">
        <v>634</v>
      </c>
      <c r="I102" s="684">
        <v>94</v>
      </c>
    </row>
    <row r="103" spans="1:9" s="4" customFormat="1" ht="31.5">
      <c r="A103" s="661" t="s">
        <v>122</v>
      </c>
      <c r="B103" s="658" t="s">
        <v>3086</v>
      </c>
      <c r="C103" s="659" t="s">
        <v>0</v>
      </c>
      <c r="D103" s="678">
        <v>50</v>
      </c>
      <c r="E103" s="679">
        <v>200</v>
      </c>
      <c r="F103" s="678">
        <v>10000</v>
      </c>
      <c r="G103" s="660" t="s">
        <v>3087</v>
      </c>
      <c r="H103" s="680" t="s">
        <v>635</v>
      </c>
      <c r="I103" s="684">
        <v>95</v>
      </c>
    </row>
    <row r="104" spans="1:9" s="4" customFormat="1" ht="42.75">
      <c r="A104" s="661" t="s">
        <v>123</v>
      </c>
      <c r="B104" s="658" t="s">
        <v>1328</v>
      </c>
      <c r="C104" s="659" t="s">
        <v>3</v>
      </c>
      <c r="D104" s="678">
        <v>10</v>
      </c>
      <c r="E104" s="679">
        <v>256.35000000000002</v>
      </c>
      <c r="F104" s="678">
        <v>2563.5</v>
      </c>
      <c r="G104" s="660" t="s">
        <v>3088</v>
      </c>
      <c r="H104" s="680" t="s">
        <v>636</v>
      </c>
      <c r="I104" s="684">
        <v>96</v>
      </c>
    </row>
    <row r="105" spans="1:9" s="4" customFormat="1" ht="42.75">
      <c r="A105" s="661" t="s">
        <v>124</v>
      </c>
      <c r="B105" s="658" t="s">
        <v>1333</v>
      </c>
      <c r="C105" s="659" t="s">
        <v>3</v>
      </c>
      <c r="D105" s="678">
        <v>10</v>
      </c>
      <c r="E105" s="679">
        <v>894.82</v>
      </c>
      <c r="F105" s="678">
        <v>8948.2000000000007</v>
      </c>
      <c r="G105" s="660" t="s">
        <v>3089</v>
      </c>
      <c r="H105" s="680" t="s">
        <v>637</v>
      </c>
      <c r="I105" s="684">
        <v>97</v>
      </c>
    </row>
    <row r="106" spans="1:9" s="4" customFormat="1" ht="85.5">
      <c r="A106" s="661" t="s">
        <v>125</v>
      </c>
      <c r="B106" s="658" t="s">
        <v>1347</v>
      </c>
      <c r="C106" s="659" t="s">
        <v>3</v>
      </c>
      <c r="D106" s="678">
        <v>10</v>
      </c>
      <c r="E106" s="679">
        <v>747.22</v>
      </c>
      <c r="F106" s="678">
        <v>7472.2</v>
      </c>
      <c r="G106" s="660" t="s">
        <v>3090</v>
      </c>
      <c r="H106" s="680" t="s">
        <v>638</v>
      </c>
      <c r="I106" s="684">
        <v>98</v>
      </c>
    </row>
    <row r="107" spans="1:9" s="4" customFormat="1" ht="42.75">
      <c r="A107" s="661" t="s">
        <v>126</v>
      </c>
      <c r="B107" s="658" t="s">
        <v>1352</v>
      </c>
      <c r="C107" s="659" t="s">
        <v>3</v>
      </c>
      <c r="D107" s="678">
        <v>10</v>
      </c>
      <c r="E107" s="679">
        <v>511.35</v>
      </c>
      <c r="F107" s="678">
        <v>5113.5</v>
      </c>
      <c r="G107" s="660" t="s">
        <v>3091</v>
      </c>
      <c r="H107" s="680" t="s">
        <v>639</v>
      </c>
      <c r="I107" s="684">
        <v>99</v>
      </c>
    </row>
    <row r="108" spans="1:9" s="4" customFormat="1" ht="57">
      <c r="A108" s="661" t="s">
        <v>127</v>
      </c>
      <c r="B108" s="658" t="s">
        <v>1357</v>
      </c>
      <c r="C108" s="659" t="s">
        <v>3</v>
      </c>
      <c r="D108" s="678">
        <v>10</v>
      </c>
      <c r="E108" s="679">
        <v>611.9</v>
      </c>
      <c r="F108" s="678">
        <v>6119</v>
      </c>
      <c r="G108" s="660" t="s">
        <v>3092</v>
      </c>
      <c r="H108" s="680" t="s">
        <v>640</v>
      </c>
      <c r="I108" s="684">
        <v>100</v>
      </c>
    </row>
    <row r="109" spans="1:9" s="4" customFormat="1" ht="57">
      <c r="A109" s="661" t="s">
        <v>128</v>
      </c>
      <c r="B109" s="658" t="s">
        <v>1360</v>
      </c>
      <c r="C109" s="659" t="s">
        <v>3</v>
      </c>
      <c r="D109" s="678">
        <v>10</v>
      </c>
      <c r="E109" s="679">
        <v>388.06</v>
      </c>
      <c r="F109" s="678">
        <v>3880.6</v>
      </c>
      <c r="G109" s="660" t="s">
        <v>3093</v>
      </c>
      <c r="H109" s="680" t="s">
        <v>641</v>
      </c>
      <c r="I109" s="684">
        <v>101</v>
      </c>
    </row>
    <row r="110" spans="1:9" s="4" customFormat="1" ht="42.75">
      <c r="A110" s="661" t="s">
        <v>129</v>
      </c>
      <c r="B110" s="658" t="s">
        <v>404</v>
      </c>
      <c r="C110" s="659" t="s">
        <v>17</v>
      </c>
      <c r="D110" s="678">
        <v>10</v>
      </c>
      <c r="E110" s="679">
        <v>595.22</v>
      </c>
      <c r="F110" s="678">
        <v>5952.2</v>
      </c>
      <c r="G110" s="660" t="s">
        <v>3094</v>
      </c>
      <c r="H110" s="680" t="s">
        <v>642</v>
      </c>
      <c r="I110" s="684">
        <v>102</v>
      </c>
    </row>
    <row r="111" spans="1:9" s="4" customFormat="1" ht="42.75">
      <c r="A111" s="661" t="s">
        <v>130</v>
      </c>
      <c r="B111" s="658" t="s">
        <v>1369</v>
      </c>
      <c r="C111" s="659" t="s">
        <v>3</v>
      </c>
      <c r="D111" s="678">
        <v>10</v>
      </c>
      <c r="E111" s="679">
        <v>357</v>
      </c>
      <c r="F111" s="678">
        <v>3570</v>
      </c>
      <c r="G111" s="660" t="s">
        <v>3095</v>
      </c>
      <c r="H111" s="680" t="s">
        <v>643</v>
      </c>
      <c r="I111" s="684">
        <v>103</v>
      </c>
    </row>
    <row r="112" spans="1:9" s="4" customFormat="1" ht="42.75">
      <c r="A112" s="661" t="s">
        <v>131</v>
      </c>
      <c r="B112" s="658" t="s">
        <v>1372</v>
      </c>
      <c r="C112" s="659" t="s">
        <v>17</v>
      </c>
      <c r="D112" s="678">
        <v>10</v>
      </c>
      <c r="E112" s="679">
        <v>724.75</v>
      </c>
      <c r="F112" s="678">
        <v>7247.5</v>
      </c>
      <c r="G112" s="660" t="s">
        <v>3096</v>
      </c>
      <c r="H112" s="680" t="s">
        <v>644</v>
      </c>
      <c r="I112" s="684">
        <v>104</v>
      </c>
    </row>
    <row r="113" spans="1:9" s="4" customFormat="1" ht="42.75">
      <c r="A113" s="661" t="s">
        <v>132</v>
      </c>
      <c r="B113" s="658" t="s">
        <v>1375</v>
      </c>
      <c r="C113" s="659" t="s">
        <v>3</v>
      </c>
      <c r="D113" s="678">
        <v>10</v>
      </c>
      <c r="E113" s="679">
        <v>432.06</v>
      </c>
      <c r="F113" s="678">
        <v>4320.6000000000004</v>
      </c>
      <c r="G113" s="660" t="s">
        <v>3097</v>
      </c>
      <c r="H113" s="680" t="s">
        <v>645</v>
      </c>
      <c r="I113" s="684">
        <v>105</v>
      </c>
    </row>
    <row r="114" spans="1:9" s="4" customFormat="1" ht="42.75">
      <c r="A114" s="661" t="s">
        <v>133</v>
      </c>
      <c r="B114" s="658" t="s">
        <v>1378</v>
      </c>
      <c r="C114" s="659" t="s">
        <v>17</v>
      </c>
      <c r="D114" s="678">
        <v>10</v>
      </c>
      <c r="E114" s="679">
        <v>842.99</v>
      </c>
      <c r="F114" s="678">
        <v>8429.9</v>
      </c>
      <c r="G114" s="660" t="s">
        <v>3098</v>
      </c>
      <c r="H114" s="680" t="s">
        <v>646</v>
      </c>
      <c r="I114" s="684">
        <v>106</v>
      </c>
    </row>
    <row r="115" spans="1:9" s="4" customFormat="1" ht="42.75">
      <c r="A115" s="661" t="s">
        <v>134</v>
      </c>
      <c r="B115" s="658" t="s">
        <v>1381</v>
      </c>
      <c r="C115" s="659" t="s">
        <v>3</v>
      </c>
      <c r="D115" s="678">
        <v>10</v>
      </c>
      <c r="E115" s="679">
        <v>501.75</v>
      </c>
      <c r="F115" s="678">
        <v>5017.5</v>
      </c>
      <c r="G115" s="660" t="s">
        <v>3099</v>
      </c>
      <c r="H115" s="680" t="s">
        <v>647</v>
      </c>
      <c r="I115" s="684">
        <v>107</v>
      </c>
    </row>
    <row r="116" spans="1:9" s="4" customFormat="1" ht="71.25">
      <c r="A116" s="661" t="s">
        <v>135</v>
      </c>
      <c r="B116" s="658" t="s">
        <v>3625</v>
      </c>
      <c r="C116" s="659" t="s">
        <v>3</v>
      </c>
      <c r="D116" s="678">
        <v>10</v>
      </c>
      <c r="E116" s="679">
        <v>1114.5</v>
      </c>
      <c r="F116" s="678">
        <v>11145</v>
      </c>
      <c r="G116" s="660" t="s">
        <v>3100</v>
      </c>
      <c r="H116" s="680" t="s">
        <v>648</v>
      </c>
      <c r="I116" s="684">
        <v>108</v>
      </c>
    </row>
    <row r="117" spans="1:9" s="4" customFormat="1" ht="114">
      <c r="A117" s="661" t="s">
        <v>136</v>
      </c>
      <c r="B117" s="658" t="s">
        <v>516</v>
      </c>
      <c r="C117" s="659" t="s">
        <v>3</v>
      </c>
      <c r="D117" s="678">
        <v>10</v>
      </c>
      <c r="E117" s="679">
        <v>935.37</v>
      </c>
      <c r="F117" s="678">
        <v>9353.7000000000007</v>
      </c>
      <c r="G117" s="660" t="s">
        <v>3101</v>
      </c>
      <c r="H117" s="680" t="s">
        <v>649</v>
      </c>
      <c r="I117" s="684">
        <v>109</v>
      </c>
    </row>
    <row r="118" spans="1:9" s="4" customFormat="1" ht="71.25">
      <c r="A118" s="661" t="s">
        <v>137</v>
      </c>
      <c r="B118" s="658" t="s">
        <v>3624</v>
      </c>
      <c r="C118" s="659" t="s">
        <v>3</v>
      </c>
      <c r="D118" s="678">
        <v>10</v>
      </c>
      <c r="E118" s="679">
        <v>636.79</v>
      </c>
      <c r="F118" s="678">
        <v>6367.9</v>
      </c>
      <c r="G118" s="660" t="s">
        <v>3102</v>
      </c>
      <c r="H118" s="680" t="s">
        <v>650</v>
      </c>
      <c r="I118" s="684">
        <v>110</v>
      </c>
    </row>
    <row r="119" spans="1:9" s="4" customFormat="1" ht="99.75">
      <c r="A119" s="661" t="s">
        <v>138</v>
      </c>
      <c r="B119" s="658" t="s">
        <v>3623</v>
      </c>
      <c r="C119" s="659" t="s">
        <v>3</v>
      </c>
      <c r="D119" s="678">
        <v>10</v>
      </c>
      <c r="E119" s="679">
        <v>766.1</v>
      </c>
      <c r="F119" s="678">
        <v>7661</v>
      </c>
      <c r="G119" s="660" t="s">
        <v>3103</v>
      </c>
      <c r="H119" s="680" t="s">
        <v>651</v>
      </c>
      <c r="I119" s="684">
        <v>111</v>
      </c>
    </row>
    <row r="120" spans="1:9" s="4" customFormat="1" ht="85.5">
      <c r="A120" s="661" t="s">
        <v>139</v>
      </c>
      <c r="B120" s="658" t="s">
        <v>2973</v>
      </c>
      <c r="C120" s="659" t="s">
        <v>3</v>
      </c>
      <c r="D120" s="678">
        <v>10</v>
      </c>
      <c r="E120" s="679">
        <v>486.6</v>
      </c>
      <c r="F120" s="678">
        <v>4866</v>
      </c>
      <c r="G120" s="660" t="s">
        <v>3104</v>
      </c>
      <c r="H120" s="680" t="s">
        <v>652</v>
      </c>
      <c r="I120" s="684">
        <v>112</v>
      </c>
    </row>
    <row r="121" spans="1:9" s="4" customFormat="1" ht="71.25">
      <c r="A121" s="661" t="s">
        <v>140</v>
      </c>
      <c r="B121" s="658" t="s">
        <v>3618</v>
      </c>
      <c r="C121" s="659" t="s">
        <v>17</v>
      </c>
      <c r="D121" s="678">
        <v>10</v>
      </c>
      <c r="E121" s="679">
        <v>749.41</v>
      </c>
      <c r="F121" s="678">
        <v>7494.1</v>
      </c>
      <c r="G121" s="660" t="s">
        <v>3105</v>
      </c>
      <c r="H121" s="680" t="s">
        <v>653</v>
      </c>
      <c r="I121" s="684">
        <v>113</v>
      </c>
    </row>
    <row r="122" spans="1:9" s="4" customFormat="1" ht="71.25">
      <c r="A122" s="661" t="s">
        <v>141</v>
      </c>
      <c r="B122" s="658" t="s">
        <v>3619</v>
      </c>
      <c r="C122" s="659" t="s">
        <v>3</v>
      </c>
      <c r="D122" s="678">
        <v>10</v>
      </c>
      <c r="E122" s="679">
        <v>442.52</v>
      </c>
      <c r="F122" s="678">
        <v>4425.2</v>
      </c>
      <c r="G122" s="660" t="s">
        <v>3106</v>
      </c>
      <c r="H122" s="680" t="s">
        <v>654</v>
      </c>
      <c r="I122" s="684">
        <v>114</v>
      </c>
    </row>
    <row r="123" spans="1:9" s="4" customFormat="1" ht="71.25">
      <c r="A123" s="661" t="s">
        <v>142</v>
      </c>
      <c r="B123" s="658" t="s">
        <v>1372</v>
      </c>
      <c r="C123" s="659" t="s">
        <v>17</v>
      </c>
      <c r="D123" s="678">
        <v>10</v>
      </c>
      <c r="E123" s="679">
        <v>921.58</v>
      </c>
      <c r="F123" s="678">
        <v>9215.7999999999993</v>
      </c>
      <c r="G123" s="660" t="s">
        <v>3107</v>
      </c>
      <c r="H123" s="680" t="s">
        <v>655</v>
      </c>
      <c r="I123" s="684">
        <v>115</v>
      </c>
    </row>
    <row r="124" spans="1:9" s="4" customFormat="1" ht="71.25">
      <c r="A124" s="661" t="s">
        <v>143</v>
      </c>
      <c r="B124" s="658" t="s">
        <v>3620</v>
      </c>
      <c r="C124" s="659" t="s">
        <v>3</v>
      </c>
      <c r="D124" s="678">
        <v>10</v>
      </c>
      <c r="E124" s="679">
        <v>538.9</v>
      </c>
      <c r="F124" s="678">
        <v>5389</v>
      </c>
      <c r="G124" s="660" t="s">
        <v>3108</v>
      </c>
      <c r="H124" s="680" t="s">
        <v>656</v>
      </c>
      <c r="I124" s="684">
        <v>116</v>
      </c>
    </row>
    <row r="125" spans="1:9" s="4" customFormat="1" ht="71.25">
      <c r="A125" s="661" t="s">
        <v>144</v>
      </c>
      <c r="B125" s="658" t="s">
        <v>3621</v>
      </c>
      <c r="C125" s="659" t="s">
        <v>17</v>
      </c>
      <c r="D125" s="678">
        <v>10</v>
      </c>
      <c r="E125" s="679">
        <v>1075.45</v>
      </c>
      <c r="F125" s="678">
        <v>10754.5</v>
      </c>
      <c r="G125" s="660" t="s">
        <v>3109</v>
      </c>
      <c r="H125" s="680" t="s">
        <v>657</v>
      </c>
      <c r="I125" s="684">
        <v>117</v>
      </c>
    </row>
    <row r="126" spans="1:9" s="4" customFormat="1" ht="71.25">
      <c r="A126" s="661" t="s">
        <v>145</v>
      </c>
      <c r="B126" s="658" t="s">
        <v>3622</v>
      </c>
      <c r="C126" s="659" t="s">
        <v>3</v>
      </c>
      <c r="D126" s="678">
        <v>10</v>
      </c>
      <c r="E126" s="679">
        <v>628.35</v>
      </c>
      <c r="F126" s="678">
        <v>6283.5</v>
      </c>
      <c r="G126" s="660" t="s">
        <v>3110</v>
      </c>
      <c r="H126" s="680" t="s">
        <v>658</v>
      </c>
      <c r="I126" s="684">
        <v>118</v>
      </c>
    </row>
    <row r="127" spans="1:9" s="4" customFormat="1" ht="57">
      <c r="A127" s="661" t="s">
        <v>146</v>
      </c>
      <c r="B127" s="658" t="s">
        <v>513</v>
      </c>
      <c r="C127" s="659" t="s">
        <v>18</v>
      </c>
      <c r="D127" s="678">
        <v>1200</v>
      </c>
      <c r="E127" s="679">
        <v>29.97</v>
      </c>
      <c r="F127" s="678">
        <v>35964</v>
      </c>
      <c r="G127" s="660" t="s">
        <v>3111</v>
      </c>
      <c r="H127" s="680" t="s">
        <v>659</v>
      </c>
      <c r="I127" s="684">
        <v>119</v>
      </c>
    </row>
    <row r="128" spans="1:9" s="4" customFormat="1" ht="42.75">
      <c r="A128" s="661" t="s">
        <v>147</v>
      </c>
      <c r="B128" s="658" t="s">
        <v>1417</v>
      </c>
      <c r="C128" s="659" t="s">
        <v>18</v>
      </c>
      <c r="D128" s="678">
        <v>1200</v>
      </c>
      <c r="E128" s="679">
        <v>29.75</v>
      </c>
      <c r="F128" s="678">
        <v>35700</v>
      </c>
      <c r="G128" s="660" t="s">
        <v>3112</v>
      </c>
      <c r="H128" s="680" t="s">
        <v>660</v>
      </c>
      <c r="I128" s="684">
        <v>120</v>
      </c>
    </row>
    <row r="129" spans="1:9" s="4" customFormat="1" ht="42.75">
      <c r="A129" s="661" t="s">
        <v>148</v>
      </c>
      <c r="B129" s="658" t="s">
        <v>1420</v>
      </c>
      <c r="C129" s="659" t="s">
        <v>18</v>
      </c>
      <c r="D129" s="678">
        <v>1200</v>
      </c>
      <c r="E129" s="679">
        <v>31.73</v>
      </c>
      <c r="F129" s="678">
        <v>38076</v>
      </c>
      <c r="G129" s="660" t="s">
        <v>3113</v>
      </c>
      <c r="H129" s="680" t="s">
        <v>661</v>
      </c>
      <c r="I129" s="684">
        <v>121</v>
      </c>
    </row>
    <row r="130" spans="1:9" s="4" customFormat="1" ht="42.75">
      <c r="A130" s="661" t="s">
        <v>149</v>
      </c>
      <c r="B130" s="658" t="s">
        <v>1425</v>
      </c>
      <c r="C130" s="659" t="s">
        <v>18</v>
      </c>
      <c r="D130" s="678">
        <v>1200</v>
      </c>
      <c r="E130" s="679">
        <v>31.95</v>
      </c>
      <c r="F130" s="678">
        <v>38340</v>
      </c>
      <c r="G130" s="660" t="s">
        <v>3114</v>
      </c>
      <c r="H130" s="680" t="s">
        <v>662</v>
      </c>
      <c r="I130" s="684">
        <v>122</v>
      </c>
    </row>
    <row r="131" spans="1:9" s="4" customFormat="1" ht="71.25">
      <c r="A131" s="661" t="s">
        <v>150</v>
      </c>
      <c r="B131" s="658" t="s">
        <v>3629</v>
      </c>
      <c r="C131" s="659" t="s">
        <v>18</v>
      </c>
      <c r="D131" s="678">
        <v>1000</v>
      </c>
      <c r="E131" s="679">
        <v>32.340000000000003</v>
      </c>
      <c r="F131" s="678">
        <v>32340</v>
      </c>
      <c r="G131" s="660" t="s">
        <v>3115</v>
      </c>
      <c r="H131" s="680" t="s">
        <v>663</v>
      </c>
      <c r="I131" s="684">
        <v>123</v>
      </c>
    </row>
    <row r="132" spans="1:9" s="4" customFormat="1" ht="99.75">
      <c r="A132" s="661" t="s">
        <v>151</v>
      </c>
      <c r="B132" s="658" t="s">
        <v>2939</v>
      </c>
      <c r="C132" s="659" t="s">
        <v>18</v>
      </c>
      <c r="D132" s="678">
        <v>1000</v>
      </c>
      <c r="E132" s="679">
        <v>32.56</v>
      </c>
      <c r="F132" s="678">
        <v>32560</v>
      </c>
      <c r="G132" s="660" t="s">
        <v>3116</v>
      </c>
      <c r="H132" s="680" t="s">
        <v>664</v>
      </c>
      <c r="I132" s="684">
        <v>124</v>
      </c>
    </row>
    <row r="133" spans="1:9" s="4" customFormat="1" ht="71.25">
      <c r="A133" s="661" t="s">
        <v>152</v>
      </c>
      <c r="B133" s="658" t="s">
        <v>3630</v>
      </c>
      <c r="C133" s="659" t="s">
        <v>18</v>
      </c>
      <c r="D133" s="678">
        <v>1000</v>
      </c>
      <c r="E133" s="679">
        <v>34.22</v>
      </c>
      <c r="F133" s="678">
        <v>34220</v>
      </c>
      <c r="G133" s="660" t="s">
        <v>3117</v>
      </c>
      <c r="H133" s="680" t="s">
        <v>665</v>
      </c>
      <c r="I133" s="684">
        <v>125</v>
      </c>
    </row>
    <row r="134" spans="1:9" s="4" customFormat="1" ht="71.25">
      <c r="A134" s="661" t="s">
        <v>153</v>
      </c>
      <c r="B134" s="658" t="s">
        <v>2940</v>
      </c>
      <c r="C134" s="659" t="s">
        <v>18</v>
      </c>
      <c r="D134" s="678">
        <v>1000</v>
      </c>
      <c r="E134" s="679">
        <v>34.450000000000003</v>
      </c>
      <c r="F134" s="678">
        <v>34450</v>
      </c>
      <c r="G134" s="660" t="s">
        <v>3118</v>
      </c>
      <c r="H134" s="680" t="s">
        <v>666</v>
      </c>
      <c r="I134" s="684">
        <v>126</v>
      </c>
    </row>
    <row r="135" spans="1:9" s="4" customFormat="1" ht="42.75">
      <c r="A135" s="661" t="s">
        <v>154</v>
      </c>
      <c r="B135" s="658" t="s">
        <v>1437</v>
      </c>
      <c r="C135" s="659" t="s">
        <v>18</v>
      </c>
      <c r="D135" s="678">
        <v>100</v>
      </c>
      <c r="E135" s="679">
        <v>35.5</v>
      </c>
      <c r="F135" s="678">
        <v>3550</v>
      </c>
      <c r="G135" s="660" t="s">
        <v>3119</v>
      </c>
      <c r="H135" s="680" t="s">
        <v>667</v>
      </c>
      <c r="I135" s="684">
        <v>127</v>
      </c>
    </row>
    <row r="136" spans="1:9" s="4" customFormat="1" ht="28.5">
      <c r="A136" s="661" t="s">
        <v>155</v>
      </c>
      <c r="B136" s="658" t="s">
        <v>1445</v>
      </c>
      <c r="C136" s="659" t="s">
        <v>18</v>
      </c>
      <c r="D136" s="678">
        <v>100</v>
      </c>
      <c r="E136" s="679">
        <v>22</v>
      </c>
      <c r="F136" s="678">
        <v>2200</v>
      </c>
      <c r="G136" s="660" t="s">
        <v>1446</v>
      </c>
      <c r="H136" s="680">
        <v>550011009</v>
      </c>
      <c r="I136" s="684">
        <v>128</v>
      </c>
    </row>
    <row r="137" spans="1:9" s="4" customFormat="1" ht="28.5">
      <c r="A137" s="661" t="s">
        <v>156</v>
      </c>
      <c r="B137" s="658" t="s">
        <v>2049</v>
      </c>
      <c r="C137" s="659" t="s">
        <v>18</v>
      </c>
      <c r="D137" s="678">
        <v>200</v>
      </c>
      <c r="E137" s="679">
        <v>25.65</v>
      </c>
      <c r="F137" s="678">
        <v>5130</v>
      </c>
      <c r="G137" s="660" t="s">
        <v>2050</v>
      </c>
      <c r="H137" s="680" t="s">
        <v>668</v>
      </c>
      <c r="I137" s="684">
        <v>129</v>
      </c>
    </row>
    <row r="138" spans="1:9" s="4" customFormat="1" ht="42.75">
      <c r="A138" s="661" t="s">
        <v>157</v>
      </c>
      <c r="B138" s="658" t="s">
        <v>1448</v>
      </c>
      <c r="C138" s="659" t="s">
        <v>18</v>
      </c>
      <c r="D138" s="678">
        <v>100</v>
      </c>
      <c r="E138" s="679">
        <v>278.10000000000002</v>
      </c>
      <c r="F138" s="678">
        <v>27810</v>
      </c>
      <c r="G138" s="660" t="s">
        <v>3120</v>
      </c>
      <c r="H138" s="680" t="s">
        <v>669</v>
      </c>
      <c r="I138" s="684">
        <v>130</v>
      </c>
    </row>
    <row r="139" spans="1:9" s="4" customFormat="1" ht="42.75">
      <c r="A139" s="661" t="s">
        <v>158</v>
      </c>
      <c r="B139" s="658" t="s">
        <v>1455</v>
      </c>
      <c r="C139" s="659" t="s">
        <v>18</v>
      </c>
      <c r="D139" s="678">
        <v>100</v>
      </c>
      <c r="E139" s="679">
        <v>319.3</v>
      </c>
      <c r="F139" s="678">
        <v>31930</v>
      </c>
      <c r="G139" s="660" t="s">
        <v>3121</v>
      </c>
      <c r="H139" s="680" t="s">
        <v>670</v>
      </c>
      <c r="I139" s="684">
        <v>131</v>
      </c>
    </row>
    <row r="140" spans="1:9" s="4" customFormat="1" ht="31.5">
      <c r="A140" s="661" t="s">
        <v>159</v>
      </c>
      <c r="B140" s="658" t="s">
        <v>3122</v>
      </c>
      <c r="C140" s="659" t="s">
        <v>3</v>
      </c>
      <c r="D140" s="678">
        <v>20</v>
      </c>
      <c r="E140" s="679">
        <v>79</v>
      </c>
      <c r="F140" s="678">
        <v>1580</v>
      </c>
      <c r="G140" s="660" t="s">
        <v>3123</v>
      </c>
      <c r="H140" s="680" t="s">
        <v>2865</v>
      </c>
      <c r="I140" s="684">
        <v>132</v>
      </c>
    </row>
    <row r="141" spans="1:9" s="4" customFormat="1" ht="31.5">
      <c r="A141" s="661" t="s">
        <v>160</v>
      </c>
      <c r="B141" s="658" t="s">
        <v>3124</v>
      </c>
      <c r="C141" s="659" t="s">
        <v>3</v>
      </c>
      <c r="D141" s="678">
        <v>20</v>
      </c>
      <c r="E141" s="679">
        <v>82.5</v>
      </c>
      <c r="F141" s="678">
        <v>1650</v>
      </c>
      <c r="G141" s="660" t="s">
        <v>3125</v>
      </c>
      <c r="H141" s="680" t="s">
        <v>671</v>
      </c>
      <c r="I141" s="684">
        <v>133</v>
      </c>
    </row>
    <row r="142" spans="1:9" s="4" customFormat="1" ht="42.75">
      <c r="A142" s="661" t="s">
        <v>161</v>
      </c>
      <c r="B142" s="658" t="s">
        <v>1460</v>
      </c>
      <c r="C142" s="659" t="s">
        <v>3</v>
      </c>
      <c r="D142" s="678">
        <v>50</v>
      </c>
      <c r="E142" s="679">
        <v>714.88</v>
      </c>
      <c r="F142" s="678">
        <v>35744</v>
      </c>
      <c r="G142" s="660" t="s">
        <v>3126</v>
      </c>
      <c r="H142" s="680" t="s">
        <v>672</v>
      </c>
      <c r="I142" s="684">
        <v>134</v>
      </c>
    </row>
    <row r="143" spans="1:9" s="4" customFormat="1" ht="42.75">
      <c r="A143" s="661" t="s">
        <v>162</v>
      </c>
      <c r="B143" s="658" t="s">
        <v>1469</v>
      </c>
      <c r="C143" s="659" t="s">
        <v>3</v>
      </c>
      <c r="D143" s="678">
        <v>50</v>
      </c>
      <c r="E143" s="679">
        <v>1233.5</v>
      </c>
      <c r="F143" s="678">
        <v>61675</v>
      </c>
      <c r="G143" s="660" t="s">
        <v>3127</v>
      </c>
      <c r="H143" s="680" t="s">
        <v>673</v>
      </c>
      <c r="I143" s="684">
        <v>135</v>
      </c>
    </row>
    <row r="144" spans="1:9" s="4" customFormat="1" ht="42.75">
      <c r="A144" s="661" t="s">
        <v>163</v>
      </c>
      <c r="B144" s="658" t="s">
        <v>1472</v>
      </c>
      <c r="C144" s="659" t="s">
        <v>3</v>
      </c>
      <c r="D144" s="678">
        <v>50</v>
      </c>
      <c r="E144" s="679">
        <v>249.05</v>
      </c>
      <c r="F144" s="678">
        <v>12452.5</v>
      </c>
      <c r="G144" s="660" t="s">
        <v>3128</v>
      </c>
      <c r="H144" s="680" t="s">
        <v>674</v>
      </c>
      <c r="I144" s="684">
        <v>136</v>
      </c>
    </row>
    <row r="145" spans="1:9" s="4" customFormat="1" ht="31.5">
      <c r="A145" s="661" t="s">
        <v>164</v>
      </c>
      <c r="B145" s="658" t="s">
        <v>2817</v>
      </c>
      <c r="C145" s="659" t="s">
        <v>2335</v>
      </c>
      <c r="D145" s="678">
        <v>10</v>
      </c>
      <c r="E145" s="679">
        <v>40</v>
      </c>
      <c r="F145" s="678">
        <v>400</v>
      </c>
      <c r="G145" s="660" t="s">
        <v>3129</v>
      </c>
      <c r="H145" s="680" t="s">
        <v>675</v>
      </c>
      <c r="I145" s="684">
        <v>137</v>
      </c>
    </row>
    <row r="146" spans="1:9" s="4" customFormat="1" ht="31.5">
      <c r="A146" s="661" t="s">
        <v>165</v>
      </c>
      <c r="B146" s="658" t="s">
        <v>3130</v>
      </c>
      <c r="C146" s="659" t="s">
        <v>2335</v>
      </c>
      <c r="D146" s="678">
        <v>10</v>
      </c>
      <c r="E146" s="679">
        <v>52</v>
      </c>
      <c r="F146" s="678">
        <v>520</v>
      </c>
      <c r="G146" s="660" t="s">
        <v>3131</v>
      </c>
      <c r="H146" s="680" t="s">
        <v>812</v>
      </c>
      <c r="I146" s="684">
        <v>138</v>
      </c>
    </row>
    <row r="147" spans="1:9" s="4" customFormat="1" ht="31.5">
      <c r="A147" s="661" t="s">
        <v>166</v>
      </c>
      <c r="B147" s="658" t="s">
        <v>3132</v>
      </c>
      <c r="C147" s="659" t="s">
        <v>2335</v>
      </c>
      <c r="D147" s="678">
        <v>10</v>
      </c>
      <c r="E147" s="679">
        <v>95</v>
      </c>
      <c r="F147" s="678">
        <v>950</v>
      </c>
      <c r="G147" s="660" t="s">
        <v>3133</v>
      </c>
      <c r="H147" s="680" t="s">
        <v>676</v>
      </c>
      <c r="I147" s="684">
        <v>139</v>
      </c>
    </row>
    <row r="148" spans="1:9" s="4" customFormat="1" ht="31.5">
      <c r="A148" s="661" t="s">
        <v>167</v>
      </c>
      <c r="B148" s="658" t="s">
        <v>3134</v>
      </c>
      <c r="C148" s="659" t="s">
        <v>2335</v>
      </c>
      <c r="D148" s="678">
        <v>10</v>
      </c>
      <c r="E148" s="679">
        <v>185</v>
      </c>
      <c r="F148" s="678">
        <v>1850</v>
      </c>
      <c r="G148" s="660" t="s">
        <v>3135</v>
      </c>
      <c r="H148" s="680" t="s">
        <v>677</v>
      </c>
      <c r="I148" s="684">
        <v>140</v>
      </c>
    </row>
    <row r="149" spans="1:9" s="4" customFormat="1" ht="31.5">
      <c r="A149" s="661" t="s">
        <v>168</v>
      </c>
      <c r="B149" s="658" t="s">
        <v>3136</v>
      </c>
      <c r="C149" s="659" t="s">
        <v>2335</v>
      </c>
      <c r="D149" s="678">
        <v>10</v>
      </c>
      <c r="E149" s="679">
        <v>295</v>
      </c>
      <c r="F149" s="678">
        <v>2950</v>
      </c>
      <c r="G149" s="660" t="s">
        <v>3137</v>
      </c>
      <c r="H149" s="680" t="s">
        <v>678</v>
      </c>
      <c r="I149" s="684">
        <v>141</v>
      </c>
    </row>
    <row r="150" spans="1:9" s="4" customFormat="1" ht="31.5">
      <c r="A150" s="661" t="s">
        <v>169</v>
      </c>
      <c r="B150" s="658" t="s">
        <v>3138</v>
      </c>
      <c r="C150" s="659" t="s">
        <v>2335</v>
      </c>
      <c r="D150" s="678">
        <v>10</v>
      </c>
      <c r="E150" s="679">
        <v>435</v>
      </c>
      <c r="F150" s="678">
        <v>4350</v>
      </c>
      <c r="G150" s="660" t="s">
        <v>3139</v>
      </c>
      <c r="H150" s="680" t="s">
        <v>813</v>
      </c>
      <c r="I150" s="684">
        <v>142</v>
      </c>
    </row>
    <row r="151" spans="1:9" s="4" customFormat="1" ht="71.25">
      <c r="A151" s="661" t="s">
        <v>170</v>
      </c>
      <c r="B151" s="658" t="s">
        <v>1475</v>
      </c>
      <c r="C151" s="659" t="s">
        <v>17</v>
      </c>
      <c r="D151" s="678">
        <v>5</v>
      </c>
      <c r="E151" s="679">
        <v>1530.68</v>
      </c>
      <c r="F151" s="678">
        <v>7653.4</v>
      </c>
      <c r="G151" s="660" t="s">
        <v>3140</v>
      </c>
      <c r="H151" s="680" t="s">
        <v>679</v>
      </c>
      <c r="I151" s="684">
        <v>143</v>
      </c>
    </row>
    <row r="152" spans="1:9" s="4" customFormat="1" ht="71.25">
      <c r="A152" s="661" t="s">
        <v>171</v>
      </c>
      <c r="B152" s="658" t="s">
        <v>1484</v>
      </c>
      <c r="C152" s="659" t="s">
        <v>17</v>
      </c>
      <c r="D152" s="678">
        <v>5</v>
      </c>
      <c r="E152" s="679">
        <v>1885.32</v>
      </c>
      <c r="F152" s="678">
        <v>9426.6</v>
      </c>
      <c r="G152" s="660" t="s">
        <v>3141</v>
      </c>
      <c r="H152" s="680" t="s">
        <v>680</v>
      </c>
      <c r="I152" s="684">
        <v>144</v>
      </c>
    </row>
    <row r="153" spans="1:9" s="4" customFormat="1" ht="71.25">
      <c r="A153" s="661" t="s">
        <v>172</v>
      </c>
      <c r="B153" s="658" t="s">
        <v>1489</v>
      </c>
      <c r="C153" s="659" t="s">
        <v>17</v>
      </c>
      <c r="D153" s="678">
        <v>5</v>
      </c>
      <c r="E153" s="679">
        <v>2202.2399999999998</v>
      </c>
      <c r="F153" s="678">
        <v>11011.2</v>
      </c>
      <c r="G153" s="660" t="s">
        <v>3142</v>
      </c>
      <c r="H153" s="680" t="s">
        <v>814</v>
      </c>
      <c r="I153" s="684">
        <v>145</v>
      </c>
    </row>
    <row r="154" spans="1:9" s="4" customFormat="1" ht="63">
      <c r="A154" s="661" t="s">
        <v>173</v>
      </c>
      <c r="B154" s="658" t="s">
        <v>1494</v>
      </c>
      <c r="C154" s="659" t="s">
        <v>17</v>
      </c>
      <c r="D154" s="678">
        <v>20</v>
      </c>
      <c r="E154" s="679">
        <v>1491.08</v>
      </c>
      <c r="F154" s="678">
        <v>29821.599999999999</v>
      </c>
      <c r="G154" s="660" t="s">
        <v>3143</v>
      </c>
      <c r="H154" s="680" t="s">
        <v>815</v>
      </c>
      <c r="I154" s="684">
        <v>146</v>
      </c>
    </row>
    <row r="155" spans="1:9" s="4" customFormat="1" ht="63">
      <c r="A155" s="661" t="s">
        <v>174</v>
      </c>
      <c r="B155" s="658" t="s">
        <v>1508</v>
      </c>
      <c r="C155" s="659" t="s">
        <v>17</v>
      </c>
      <c r="D155" s="678">
        <v>20</v>
      </c>
      <c r="E155" s="679">
        <v>1181.6099999999999</v>
      </c>
      <c r="F155" s="678">
        <v>23632.2</v>
      </c>
      <c r="G155" s="660" t="s">
        <v>3144</v>
      </c>
      <c r="H155" s="680" t="s">
        <v>681</v>
      </c>
      <c r="I155" s="684">
        <v>147</v>
      </c>
    </row>
    <row r="156" spans="1:9" s="4" customFormat="1" ht="63">
      <c r="A156" s="661" t="s">
        <v>175</v>
      </c>
      <c r="B156" s="658" t="s">
        <v>1513</v>
      </c>
      <c r="C156" s="659" t="s">
        <v>17</v>
      </c>
      <c r="D156" s="678">
        <v>20</v>
      </c>
      <c r="E156" s="679">
        <v>893.07</v>
      </c>
      <c r="F156" s="678">
        <v>17861.400000000001</v>
      </c>
      <c r="G156" s="660" t="s">
        <v>3145</v>
      </c>
      <c r="H156" s="680" t="s">
        <v>682</v>
      </c>
      <c r="I156" s="684">
        <v>148</v>
      </c>
    </row>
    <row r="157" spans="1:9" s="4" customFormat="1" ht="42.75">
      <c r="A157" s="661" t="s">
        <v>176</v>
      </c>
      <c r="B157" s="658" t="s">
        <v>1518</v>
      </c>
      <c r="C157" s="659" t="s">
        <v>17</v>
      </c>
      <c r="D157" s="678">
        <v>10</v>
      </c>
      <c r="E157" s="679">
        <v>3090</v>
      </c>
      <c r="F157" s="678">
        <v>30900</v>
      </c>
      <c r="G157" s="660" t="s">
        <v>3146</v>
      </c>
      <c r="H157" s="680" t="s">
        <v>683</v>
      </c>
      <c r="I157" s="684">
        <v>149</v>
      </c>
    </row>
    <row r="158" spans="1:9" s="4" customFormat="1" ht="47.25">
      <c r="A158" s="661" t="s">
        <v>177</v>
      </c>
      <c r="B158" s="658" t="s">
        <v>1525</v>
      </c>
      <c r="C158" s="659" t="s">
        <v>3</v>
      </c>
      <c r="D158" s="678">
        <v>10</v>
      </c>
      <c r="E158" s="679">
        <v>636.66999999999996</v>
      </c>
      <c r="F158" s="678">
        <v>6366.7</v>
      </c>
      <c r="G158" s="660" t="s">
        <v>3147</v>
      </c>
      <c r="H158" s="680" t="s">
        <v>684</v>
      </c>
      <c r="I158" s="684">
        <v>150</v>
      </c>
    </row>
    <row r="159" spans="1:9" s="4" customFormat="1" ht="47.25">
      <c r="A159" s="661" t="s">
        <v>178</v>
      </c>
      <c r="B159" s="658" t="s">
        <v>1533</v>
      </c>
      <c r="C159" s="659" t="s">
        <v>17</v>
      </c>
      <c r="D159" s="678">
        <v>2</v>
      </c>
      <c r="E159" s="679">
        <v>2353.5500000000002</v>
      </c>
      <c r="F159" s="678">
        <v>4707.1000000000004</v>
      </c>
      <c r="G159" s="660" t="s">
        <v>3148</v>
      </c>
      <c r="H159" s="680" t="s">
        <v>685</v>
      </c>
      <c r="I159" s="684">
        <v>151</v>
      </c>
    </row>
    <row r="160" spans="1:9" s="4" customFormat="1" ht="47.25">
      <c r="A160" s="661" t="s">
        <v>179</v>
      </c>
      <c r="B160" s="658" t="s">
        <v>1543</v>
      </c>
      <c r="C160" s="659" t="s">
        <v>17</v>
      </c>
      <c r="D160" s="678">
        <v>2</v>
      </c>
      <c r="E160" s="679">
        <v>2616.1999999999998</v>
      </c>
      <c r="F160" s="678">
        <v>5232.3999999999996</v>
      </c>
      <c r="G160" s="660" t="s">
        <v>3149</v>
      </c>
      <c r="H160" s="680" t="s">
        <v>686</v>
      </c>
      <c r="I160" s="684">
        <v>152</v>
      </c>
    </row>
    <row r="161" spans="1:9" s="4" customFormat="1" ht="47.25">
      <c r="A161" s="661" t="s">
        <v>180</v>
      </c>
      <c r="B161" s="658" t="s">
        <v>1550</v>
      </c>
      <c r="C161" s="659" t="s">
        <v>17</v>
      </c>
      <c r="D161" s="678">
        <v>2</v>
      </c>
      <c r="E161" s="679">
        <v>2744.95</v>
      </c>
      <c r="F161" s="678">
        <v>5489.9</v>
      </c>
      <c r="G161" s="660" t="s">
        <v>3150</v>
      </c>
      <c r="H161" s="680" t="s">
        <v>687</v>
      </c>
      <c r="I161" s="684">
        <v>153</v>
      </c>
    </row>
    <row r="162" spans="1:9" s="4" customFormat="1" ht="47.25">
      <c r="A162" s="661" t="s">
        <v>181</v>
      </c>
      <c r="B162" s="658" t="s">
        <v>1557</v>
      </c>
      <c r="C162" s="659" t="s">
        <v>17</v>
      </c>
      <c r="D162" s="678">
        <v>2</v>
      </c>
      <c r="E162" s="679">
        <v>3883.1</v>
      </c>
      <c r="F162" s="678">
        <v>7766.2</v>
      </c>
      <c r="G162" s="660" t="s">
        <v>3151</v>
      </c>
      <c r="H162" s="680" t="s">
        <v>816</v>
      </c>
      <c r="I162" s="684">
        <v>154</v>
      </c>
    </row>
    <row r="163" spans="1:9" s="4" customFormat="1" ht="47.25">
      <c r="A163" s="661" t="s">
        <v>182</v>
      </c>
      <c r="B163" s="658" t="s">
        <v>1564</v>
      </c>
      <c r="C163" s="659" t="s">
        <v>17</v>
      </c>
      <c r="D163" s="678">
        <v>2</v>
      </c>
      <c r="E163" s="679">
        <v>5626.38</v>
      </c>
      <c r="F163" s="678">
        <v>11252.76</v>
      </c>
      <c r="G163" s="660" t="s">
        <v>3152</v>
      </c>
      <c r="H163" s="680" t="s">
        <v>688</v>
      </c>
      <c r="I163" s="684">
        <v>155</v>
      </c>
    </row>
    <row r="164" spans="1:9" s="4" customFormat="1" ht="47.25">
      <c r="A164" s="661" t="s">
        <v>183</v>
      </c>
      <c r="B164" s="658" t="s">
        <v>1571</v>
      </c>
      <c r="C164" s="659" t="s">
        <v>17</v>
      </c>
      <c r="D164" s="678">
        <v>2</v>
      </c>
      <c r="E164" s="679">
        <v>8919.7999999999993</v>
      </c>
      <c r="F164" s="678">
        <v>17839.599999999999</v>
      </c>
      <c r="G164" s="660" t="s">
        <v>3153</v>
      </c>
      <c r="H164" s="680" t="s">
        <v>689</v>
      </c>
      <c r="I164" s="684">
        <v>156</v>
      </c>
    </row>
    <row r="165" spans="1:9" s="4" customFormat="1" ht="42.75">
      <c r="A165" s="661" t="s">
        <v>184</v>
      </c>
      <c r="B165" s="658" t="s">
        <v>1578</v>
      </c>
      <c r="C165" s="659" t="s">
        <v>17</v>
      </c>
      <c r="D165" s="678">
        <v>10</v>
      </c>
      <c r="E165" s="679">
        <v>169.95</v>
      </c>
      <c r="F165" s="678">
        <v>1699.5</v>
      </c>
      <c r="G165" s="660" t="s">
        <v>3154</v>
      </c>
      <c r="H165" s="680" t="s">
        <v>2933</v>
      </c>
      <c r="I165" s="684">
        <v>157</v>
      </c>
    </row>
    <row r="166" spans="1:9" s="4" customFormat="1" ht="42.75">
      <c r="A166" s="661" t="s">
        <v>185</v>
      </c>
      <c r="B166" s="658" t="s">
        <v>1585</v>
      </c>
      <c r="C166" s="659" t="s">
        <v>17</v>
      </c>
      <c r="D166" s="678">
        <v>10</v>
      </c>
      <c r="E166" s="679">
        <v>247.2</v>
      </c>
      <c r="F166" s="678">
        <v>2472</v>
      </c>
      <c r="G166" s="660" t="s">
        <v>3155</v>
      </c>
      <c r="H166" s="680">
        <v>225530001</v>
      </c>
      <c r="I166" s="684">
        <v>158</v>
      </c>
    </row>
    <row r="167" spans="1:9" s="4" customFormat="1" ht="42.75">
      <c r="A167" s="661" t="s">
        <v>186</v>
      </c>
      <c r="B167" s="658" t="s">
        <v>1592</v>
      </c>
      <c r="C167" s="659" t="s">
        <v>17</v>
      </c>
      <c r="D167" s="678">
        <v>10</v>
      </c>
      <c r="E167" s="679">
        <v>875.5</v>
      </c>
      <c r="F167" s="678">
        <v>8755</v>
      </c>
      <c r="G167" s="660" t="s">
        <v>3156</v>
      </c>
      <c r="H167" s="680" t="s">
        <v>690</v>
      </c>
      <c r="I167" s="684">
        <v>159</v>
      </c>
    </row>
    <row r="168" spans="1:9" s="4" customFormat="1" ht="42.75">
      <c r="A168" s="661" t="s">
        <v>187</v>
      </c>
      <c r="B168" s="658" t="s">
        <v>1599</v>
      </c>
      <c r="C168" s="659" t="s">
        <v>17</v>
      </c>
      <c r="D168" s="678">
        <v>10</v>
      </c>
      <c r="E168" s="679">
        <v>1199.95</v>
      </c>
      <c r="F168" s="678">
        <v>11999.5</v>
      </c>
      <c r="G168" s="660" t="s">
        <v>3157</v>
      </c>
      <c r="H168" s="680" t="s">
        <v>817</v>
      </c>
      <c r="I168" s="684">
        <v>160</v>
      </c>
    </row>
    <row r="169" spans="1:9" s="4" customFormat="1" ht="42.75">
      <c r="A169" s="661" t="s">
        <v>188</v>
      </c>
      <c r="B169" s="658" t="s">
        <v>1606</v>
      </c>
      <c r="C169" s="659" t="s">
        <v>17</v>
      </c>
      <c r="D169" s="678">
        <v>10</v>
      </c>
      <c r="E169" s="679">
        <v>372.52</v>
      </c>
      <c r="F169" s="678">
        <v>3725.2</v>
      </c>
      <c r="G169" s="660" t="s">
        <v>3158</v>
      </c>
      <c r="H169" s="680">
        <v>225540051</v>
      </c>
      <c r="I169" s="684">
        <v>161</v>
      </c>
    </row>
    <row r="170" spans="1:9" s="4" customFormat="1" ht="42.75">
      <c r="A170" s="661" t="s">
        <v>189</v>
      </c>
      <c r="B170" s="658" t="s">
        <v>1613</v>
      </c>
      <c r="C170" s="659" t="s">
        <v>17</v>
      </c>
      <c r="D170" s="678">
        <v>10</v>
      </c>
      <c r="E170" s="679">
        <v>1330.42</v>
      </c>
      <c r="F170" s="678">
        <v>13304.2</v>
      </c>
      <c r="G170" s="660" t="s">
        <v>3159</v>
      </c>
      <c r="H170" s="680" t="s">
        <v>818</v>
      </c>
      <c r="I170" s="684">
        <v>162</v>
      </c>
    </row>
    <row r="171" spans="1:9" s="4" customFormat="1" ht="42.75">
      <c r="A171" s="661" t="s">
        <v>190</v>
      </c>
      <c r="B171" s="658" t="s">
        <v>1620</v>
      </c>
      <c r="C171" s="659" t="s">
        <v>17</v>
      </c>
      <c r="D171" s="678">
        <v>10</v>
      </c>
      <c r="E171" s="679">
        <v>164.8</v>
      </c>
      <c r="F171" s="678">
        <v>1648</v>
      </c>
      <c r="G171" s="660" t="s">
        <v>3160</v>
      </c>
      <c r="H171" s="680" t="s">
        <v>691</v>
      </c>
      <c r="I171" s="684">
        <v>163</v>
      </c>
    </row>
    <row r="172" spans="1:9" s="4" customFormat="1" ht="42.75">
      <c r="A172" s="661" t="s">
        <v>191</v>
      </c>
      <c r="B172" s="658" t="s">
        <v>1625</v>
      </c>
      <c r="C172" s="659" t="s">
        <v>17</v>
      </c>
      <c r="D172" s="678">
        <v>10</v>
      </c>
      <c r="E172" s="679">
        <v>236.9</v>
      </c>
      <c r="F172" s="678">
        <v>2369</v>
      </c>
      <c r="G172" s="660" t="s">
        <v>3161</v>
      </c>
      <c r="H172" s="680" t="s">
        <v>692</v>
      </c>
      <c r="I172" s="684">
        <v>164</v>
      </c>
    </row>
    <row r="173" spans="1:9" s="4" customFormat="1" ht="42.75">
      <c r="A173" s="661" t="s">
        <v>192</v>
      </c>
      <c r="B173" s="658" t="s">
        <v>1630</v>
      </c>
      <c r="C173" s="659" t="s">
        <v>17</v>
      </c>
      <c r="D173" s="678">
        <v>10</v>
      </c>
      <c r="E173" s="679">
        <v>336.47</v>
      </c>
      <c r="F173" s="678">
        <v>3364.7</v>
      </c>
      <c r="G173" s="660" t="s">
        <v>3162</v>
      </c>
      <c r="H173" s="680" t="s">
        <v>2890</v>
      </c>
      <c r="I173" s="684">
        <v>165</v>
      </c>
    </row>
    <row r="174" spans="1:9" s="4" customFormat="1" ht="42.75">
      <c r="A174" s="661" t="s">
        <v>193</v>
      </c>
      <c r="B174" s="658" t="s">
        <v>1635</v>
      </c>
      <c r="C174" s="659" t="s">
        <v>3</v>
      </c>
      <c r="D174" s="678">
        <v>10</v>
      </c>
      <c r="E174" s="679">
        <v>310.10000000000002</v>
      </c>
      <c r="F174" s="678">
        <v>3101</v>
      </c>
      <c r="G174" s="660" t="s">
        <v>3163</v>
      </c>
      <c r="H174" s="680" t="s">
        <v>819</v>
      </c>
      <c r="I174" s="684">
        <v>166</v>
      </c>
    </row>
    <row r="175" spans="1:9" s="4" customFormat="1" ht="42.75">
      <c r="A175" s="661" t="s">
        <v>194</v>
      </c>
      <c r="B175" s="658" t="s">
        <v>1641</v>
      </c>
      <c r="C175" s="659" t="s">
        <v>3</v>
      </c>
      <c r="D175" s="678">
        <v>10</v>
      </c>
      <c r="E175" s="679">
        <v>466.57</v>
      </c>
      <c r="F175" s="678">
        <v>4665.7</v>
      </c>
      <c r="G175" s="660" t="s">
        <v>3164</v>
      </c>
      <c r="H175" s="680" t="s">
        <v>693</v>
      </c>
      <c r="I175" s="684">
        <v>167</v>
      </c>
    </row>
    <row r="176" spans="1:9" s="4" customFormat="1" ht="42.75">
      <c r="A176" s="661" t="s">
        <v>195</v>
      </c>
      <c r="B176" s="658" t="s">
        <v>1647</v>
      </c>
      <c r="C176" s="659" t="s">
        <v>3</v>
      </c>
      <c r="D176" s="678">
        <v>10</v>
      </c>
      <c r="E176" s="679">
        <v>441.65</v>
      </c>
      <c r="F176" s="678">
        <v>4416.5</v>
      </c>
      <c r="G176" s="660" t="s">
        <v>3165</v>
      </c>
      <c r="H176" s="680" t="s">
        <v>694</v>
      </c>
      <c r="I176" s="684">
        <v>168</v>
      </c>
    </row>
    <row r="177" spans="1:9" s="4" customFormat="1" ht="57">
      <c r="A177" s="661" t="s">
        <v>196</v>
      </c>
      <c r="B177" s="658" t="s">
        <v>1651</v>
      </c>
      <c r="C177" s="659" t="s">
        <v>3</v>
      </c>
      <c r="D177" s="678">
        <v>10</v>
      </c>
      <c r="E177" s="679">
        <v>100.39</v>
      </c>
      <c r="F177" s="678">
        <v>1003.9</v>
      </c>
      <c r="G177" s="660" t="s">
        <v>3166</v>
      </c>
      <c r="H177" s="680" t="s">
        <v>695</v>
      </c>
      <c r="I177" s="684">
        <v>169</v>
      </c>
    </row>
    <row r="178" spans="1:9" s="4" customFormat="1" ht="42.75">
      <c r="A178" s="661" t="s">
        <v>197</v>
      </c>
      <c r="B178" s="658" t="s">
        <v>1643</v>
      </c>
      <c r="C178" s="659" t="s">
        <v>0</v>
      </c>
      <c r="D178" s="678">
        <v>15</v>
      </c>
      <c r="E178" s="679">
        <v>4774.1499999999996</v>
      </c>
      <c r="F178" s="678">
        <v>71612.25</v>
      </c>
      <c r="G178" s="660" t="s">
        <v>3167</v>
      </c>
      <c r="H178" s="680" t="s">
        <v>696</v>
      </c>
      <c r="I178" s="684">
        <v>170</v>
      </c>
    </row>
    <row r="179" spans="1:9" s="4" customFormat="1" ht="42.75">
      <c r="A179" s="661" t="s">
        <v>198</v>
      </c>
      <c r="B179" s="658" t="s">
        <v>1649</v>
      </c>
      <c r="C179" s="659" t="s">
        <v>0</v>
      </c>
      <c r="D179" s="678">
        <v>15</v>
      </c>
      <c r="E179" s="679">
        <v>3564.62</v>
      </c>
      <c r="F179" s="678">
        <v>53469.3</v>
      </c>
      <c r="G179" s="660" t="s">
        <v>3168</v>
      </c>
      <c r="H179" s="680" t="s">
        <v>2891</v>
      </c>
      <c r="I179" s="684">
        <v>171</v>
      </c>
    </row>
    <row r="180" spans="1:9" s="4" customFormat="1" ht="42.75">
      <c r="A180" s="661" t="s">
        <v>199</v>
      </c>
      <c r="B180" s="658" t="s">
        <v>1637</v>
      </c>
      <c r="C180" s="659" t="s">
        <v>0</v>
      </c>
      <c r="D180" s="678">
        <v>10</v>
      </c>
      <c r="E180" s="679">
        <v>3297.96</v>
      </c>
      <c r="F180" s="678">
        <v>32979.599999999999</v>
      </c>
      <c r="G180" s="660" t="s">
        <v>3169</v>
      </c>
      <c r="H180" s="680" t="s">
        <v>2892</v>
      </c>
      <c r="I180" s="684">
        <v>172</v>
      </c>
    </row>
    <row r="181" spans="1:9" s="4" customFormat="1" ht="42.75">
      <c r="A181" s="661" t="s">
        <v>200</v>
      </c>
      <c r="B181" s="658" t="s">
        <v>1666</v>
      </c>
      <c r="C181" s="659" t="s">
        <v>3</v>
      </c>
      <c r="D181" s="678">
        <v>10</v>
      </c>
      <c r="E181" s="679">
        <v>1119.83</v>
      </c>
      <c r="F181" s="678">
        <v>11198.3</v>
      </c>
      <c r="G181" s="660" t="s">
        <v>3170</v>
      </c>
      <c r="H181" s="680" t="s">
        <v>697</v>
      </c>
      <c r="I181" s="684">
        <v>173</v>
      </c>
    </row>
    <row r="182" spans="1:9" s="4" customFormat="1" ht="42.75">
      <c r="A182" s="661" t="s">
        <v>201</v>
      </c>
      <c r="B182" s="658" t="s">
        <v>1675</v>
      </c>
      <c r="C182" s="659" t="s">
        <v>3</v>
      </c>
      <c r="D182" s="678">
        <v>10</v>
      </c>
      <c r="E182" s="679">
        <v>1289.45</v>
      </c>
      <c r="F182" s="678">
        <v>12894.5</v>
      </c>
      <c r="G182" s="660" t="s">
        <v>3171</v>
      </c>
      <c r="H182" s="680" t="s">
        <v>698</v>
      </c>
      <c r="I182" s="684">
        <v>174</v>
      </c>
    </row>
    <row r="183" spans="1:9" s="4" customFormat="1" ht="42.75">
      <c r="A183" s="661" t="s">
        <v>202</v>
      </c>
      <c r="B183" s="658" t="s">
        <v>1680</v>
      </c>
      <c r="C183" s="659" t="s">
        <v>3</v>
      </c>
      <c r="D183" s="678">
        <v>10</v>
      </c>
      <c r="E183" s="679">
        <v>1442.63</v>
      </c>
      <c r="F183" s="678">
        <v>14426.3</v>
      </c>
      <c r="G183" s="660" t="s">
        <v>3172</v>
      </c>
      <c r="H183" s="680" t="s">
        <v>699</v>
      </c>
      <c r="I183" s="684">
        <v>175</v>
      </c>
    </row>
    <row r="184" spans="1:9" s="4" customFormat="1" ht="42.75">
      <c r="A184" s="661" t="s">
        <v>203</v>
      </c>
      <c r="B184" s="658" t="s">
        <v>1685</v>
      </c>
      <c r="C184" s="659" t="s">
        <v>3</v>
      </c>
      <c r="D184" s="678">
        <v>10</v>
      </c>
      <c r="E184" s="679">
        <v>436.16</v>
      </c>
      <c r="F184" s="678">
        <v>4361.6000000000004</v>
      </c>
      <c r="G184" s="660" t="s">
        <v>3173</v>
      </c>
      <c r="H184" s="680" t="s">
        <v>700</v>
      </c>
      <c r="I184" s="684">
        <v>176</v>
      </c>
    </row>
    <row r="185" spans="1:9" s="4" customFormat="1" ht="42.75">
      <c r="A185" s="661" t="s">
        <v>204</v>
      </c>
      <c r="B185" s="658" t="s">
        <v>1688</v>
      </c>
      <c r="C185" s="659" t="s">
        <v>1689</v>
      </c>
      <c r="D185" s="678">
        <v>10</v>
      </c>
      <c r="E185" s="679">
        <v>7964.99</v>
      </c>
      <c r="F185" s="678">
        <v>79649.899999999994</v>
      </c>
      <c r="G185" s="660" t="s">
        <v>3174</v>
      </c>
      <c r="H185" s="680" t="s">
        <v>701</v>
      </c>
      <c r="I185" s="684">
        <v>177</v>
      </c>
    </row>
    <row r="186" spans="1:9" s="4" customFormat="1" ht="42.75">
      <c r="A186" s="661" t="s">
        <v>205</v>
      </c>
      <c r="B186" s="658" t="s">
        <v>1700</v>
      </c>
      <c r="C186" s="659" t="s">
        <v>17</v>
      </c>
      <c r="D186" s="678">
        <v>10</v>
      </c>
      <c r="E186" s="679">
        <v>1618.43</v>
      </c>
      <c r="F186" s="678">
        <v>16184.3</v>
      </c>
      <c r="G186" s="660" t="s">
        <v>3175</v>
      </c>
      <c r="H186" s="680">
        <v>234420701</v>
      </c>
      <c r="I186" s="684">
        <v>178</v>
      </c>
    </row>
    <row r="187" spans="1:9" s="4" customFormat="1" ht="42.75">
      <c r="A187" s="661" t="s">
        <v>206</v>
      </c>
      <c r="B187" s="658" t="s">
        <v>1697</v>
      </c>
      <c r="C187" s="659" t="s">
        <v>15</v>
      </c>
      <c r="D187" s="678">
        <v>10</v>
      </c>
      <c r="E187" s="679">
        <v>1384.11</v>
      </c>
      <c r="F187" s="678">
        <v>13841.1</v>
      </c>
      <c r="G187" s="660" t="s">
        <v>3176</v>
      </c>
      <c r="H187" s="680" t="s">
        <v>702</v>
      </c>
      <c r="I187" s="684">
        <v>179</v>
      </c>
    </row>
    <row r="188" spans="1:9" s="4" customFormat="1" ht="42.75">
      <c r="A188" s="661" t="s">
        <v>207</v>
      </c>
      <c r="B188" s="658" t="s">
        <v>1711</v>
      </c>
      <c r="C188" s="659" t="s">
        <v>3</v>
      </c>
      <c r="D188" s="678">
        <v>20</v>
      </c>
      <c r="E188" s="679">
        <v>1603.32</v>
      </c>
      <c r="F188" s="678">
        <v>32066.400000000001</v>
      </c>
      <c r="G188" s="660" t="s">
        <v>3177</v>
      </c>
      <c r="H188" s="680">
        <v>337225002</v>
      </c>
      <c r="I188" s="684">
        <v>180</v>
      </c>
    </row>
    <row r="189" spans="1:9" s="4" customFormat="1" ht="42.75">
      <c r="A189" s="661" t="s">
        <v>208</v>
      </c>
      <c r="B189" s="658" t="s">
        <v>1713</v>
      </c>
      <c r="C189" s="659" t="s">
        <v>0</v>
      </c>
      <c r="D189" s="678">
        <v>10</v>
      </c>
      <c r="E189" s="679">
        <v>2392.2800000000002</v>
      </c>
      <c r="F189" s="678">
        <v>23922.799999999999</v>
      </c>
      <c r="G189" s="660" t="s">
        <v>3178</v>
      </c>
      <c r="H189" s="680">
        <v>337201003</v>
      </c>
      <c r="I189" s="684">
        <v>181</v>
      </c>
    </row>
    <row r="190" spans="1:9" s="4" customFormat="1" ht="42.75">
      <c r="A190" s="661" t="s">
        <v>209</v>
      </c>
      <c r="B190" s="658" t="s">
        <v>1714</v>
      </c>
      <c r="C190" s="659" t="s">
        <v>3</v>
      </c>
      <c r="D190" s="678">
        <v>10</v>
      </c>
      <c r="E190" s="679">
        <v>401.37</v>
      </c>
      <c r="F190" s="678">
        <v>4013.7</v>
      </c>
      <c r="G190" s="660" t="s">
        <v>3179</v>
      </c>
      <c r="H190" s="680" t="s">
        <v>703</v>
      </c>
      <c r="I190" s="684">
        <v>182</v>
      </c>
    </row>
    <row r="191" spans="1:9" s="4" customFormat="1" ht="47.25">
      <c r="A191" s="661" t="s">
        <v>210</v>
      </c>
      <c r="B191" s="658" t="s">
        <v>1719</v>
      </c>
      <c r="C191" s="659" t="s">
        <v>1497</v>
      </c>
      <c r="D191" s="678">
        <v>50</v>
      </c>
      <c r="E191" s="679">
        <v>54.58</v>
      </c>
      <c r="F191" s="678">
        <v>2729</v>
      </c>
      <c r="G191" s="660" t="s">
        <v>3180</v>
      </c>
      <c r="H191" s="680" t="s">
        <v>704</v>
      </c>
      <c r="I191" s="684">
        <v>183</v>
      </c>
    </row>
    <row r="192" spans="1:9" s="4" customFormat="1" ht="28.5">
      <c r="A192" s="661" t="s">
        <v>211</v>
      </c>
      <c r="B192" s="658" t="s">
        <v>3181</v>
      </c>
      <c r="C192" s="659" t="s">
        <v>18</v>
      </c>
      <c r="D192" s="678">
        <v>5</v>
      </c>
      <c r="E192" s="679">
        <v>280</v>
      </c>
      <c r="F192" s="678">
        <v>1400</v>
      </c>
      <c r="G192" s="660" t="s">
        <v>3182</v>
      </c>
      <c r="H192" s="680" t="s">
        <v>2893</v>
      </c>
      <c r="I192" s="684">
        <v>184</v>
      </c>
    </row>
    <row r="193" spans="1:9" s="4" customFormat="1" ht="31.5">
      <c r="A193" s="661" t="s">
        <v>212</v>
      </c>
      <c r="B193" s="658" t="s">
        <v>3183</v>
      </c>
      <c r="C193" s="659" t="s">
        <v>17</v>
      </c>
      <c r="D193" s="678">
        <v>2</v>
      </c>
      <c r="E193" s="679">
        <v>3988</v>
      </c>
      <c r="F193" s="678">
        <v>7976</v>
      </c>
      <c r="G193" s="660" t="s">
        <v>3184</v>
      </c>
      <c r="H193" s="680" t="s">
        <v>2866</v>
      </c>
      <c r="I193" s="684">
        <v>185</v>
      </c>
    </row>
    <row r="194" spans="1:9" s="4" customFormat="1" ht="42.75">
      <c r="A194" s="661" t="s">
        <v>213</v>
      </c>
      <c r="B194" s="658" t="s">
        <v>1751</v>
      </c>
      <c r="C194" s="659" t="s">
        <v>3</v>
      </c>
      <c r="D194" s="678">
        <v>5</v>
      </c>
      <c r="E194" s="679">
        <v>5616.37</v>
      </c>
      <c r="F194" s="678">
        <v>28081.85</v>
      </c>
      <c r="G194" s="660" t="s">
        <v>3185</v>
      </c>
      <c r="H194" s="680">
        <v>335021002</v>
      </c>
      <c r="I194" s="684">
        <v>186</v>
      </c>
    </row>
    <row r="195" spans="1:9" s="4" customFormat="1" ht="31.5">
      <c r="A195" s="661" t="s">
        <v>214</v>
      </c>
      <c r="B195" s="658" t="s">
        <v>3186</v>
      </c>
      <c r="C195" s="659" t="s">
        <v>2238</v>
      </c>
      <c r="D195" s="678">
        <v>2</v>
      </c>
      <c r="E195" s="679">
        <v>6549</v>
      </c>
      <c r="F195" s="678">
        <v>13098</v>
      </c>
      <c r="G195" s="660" t="s">
        <v>3187</v>
      </c>
      <c r="H195" s="680" t="s">
        <v>705</v>
      </c>
      <c r="I195" s="684">
        <v>187</v>
      </c>
    </row>
    <row r="196" spans="1:9" s="4" customFormat="1" ht="31.5">
      <c r="A196" s="661" t="s">
        <v>215</v>
      </c>
      <c r="B196" s="658" t="s">
        <v>3188</v>
      </c>
      <c r="C196" s="659" t="s">
        <v>17</v>
      </c>
      <c r="D196" s="678">
        <v>2</v>
      </c>
      <c r="E196" s="679">
        <v>5811</v>
      </c>
      <c r="F196" s="678">
        <v>11622</v>
      </c>
      <c r="G196" s="660" t="s">
        <v>3189</v>
      </c>
      <c r="H196" s="680" t="s">
        <v>2867</v>
      </c>
      <c r="I196" s="684">
        <v>188</v>
      </c>
    </row>
    <row r="197" spans="1:9" s="4" customFormat="1" ht="31.5">
      <c r="A197" s="661" t="s">
        <v>216</v>
      </c>
      <c r="B197" s="658" t="s">
        <v>3190</v>
      </c>
      <c r="C197" s="659" t="s">
        <v>2238</v>
      </c>
      <c r="D197" s="678">
        <v>2</v>
      </c>
      <c r="E197" s="679">
        <v>10615</v>
      </c>
      <c r="F197" s="678">
        <v>21230</v>
      </c>
      <c r="G197" s="660" t="s">
        <v>3191</v>
      </c>
      <c r="H197" s="680" t="s">
        <v>706</v>
      </c>
      <c r="I197" s="684">
        <v>189</v>
      </c>
    </row>
    <row r="198" spans="1:9" s="4" customFormat="1" ht="31.5">
      <c r="A198" s="661" t="s">
        <v>217</v>
      </c>
      <c r="B198" s="658" t="s">
        <v>3192</v>
      </c>
      <c r="C198" s="659" t="s">
        <v>17</v>
      </c>
      <c r="D198" s="678">
        <v>2</v>
      </c>
      <c r="E198" s="679">
        <v>10103</v>
      </c>
      <c r="F198" s="678">
        <v>20206</v>
      </c>
      <c r="G198" s="660" t="s">
        <v>3193</v>
      </c>
      <c r="H198" s="680" t="s">
        <v>2868</v>
      </c>
      <c r="I198" s="684">
        <v>190</v>
      </c>
    </row>
    <row r="199" spans="1:9" s="4" customFormat="1" ht="31.5">
      <c r="A199" s="661" t="s">
        <v>218</v>
      </c>
      <c r="B199" s="658" t="s">
        <v>3194</v>
      </c>
      <c r="C199" s="659" t="s">
        <v>2238</v>
      </c>
      <c r="D199" s="678">
        <v>2</v>
      </c>
      <c r="E199" s="679">
        <v>12397</v>
      </c>
      <c r="F199" s="678">
        <v>24794</v>
      </c>
      <c r="G199" s="660" t="s">
        <v>3195</v>
      </c>
      <c r="H199" s="680" t="s">
        <v>707</v>
      </c>
      <c r="I199" s="684">
        <v>191</v>
      </c>
    </row>
    <row r="200" spans="1:9" s="4" customFormat="1" ht="47.25">
      <c r="A200" s="661" t="s">
        <v>219</v>
      </c>
      <c r="B200" s="658" t="s">
        <v>3196</v>
      </c>
      <c r="C200" s="659" t="s">
        <v>17</v>
      </c>
      <c r="D200" s="678">
        <v>2</v>
      </c>
      <c r="E200" s="679">
        <v>15040</v>
      </c>
      <c r="F200" s="678">
        <v>30080</v>
      </c>
      <c r="G200" s="660" t="s">
        <v>3197</v>
      </c>
      <c r="H200" s="680" t="s">
        <v>2869</v>
      </c>
      <c r="I200" s="684">
        <v>192</v>
      </c>
    </row>
    <row r="201" spans="1:9" s="4" customFormat="1" ht="31.5">
      <c r="A201" s="661" t="s">
        <v>220</v>
      </c>
      <c r="B201" s="658" t="s">
        <v>3198</v>
      </c>
      <c r="C201" s="659" t="s">
        <v>2238</v>
      </c>
      <c r="D201" s="678">
        <v>2</v>
      </c>
      <c r="E201" s="679">
        <v>16950</v>
      </c>
      <c r="F201" s="678">
        <v>33900</v>
      </c>
      <c r="G201" s="660" t="s">
        <v>3199</v>
      </c>
      <c r="H201" s="680" t="s">
        <v>708</v>
      </c>
      <c r="I201" s="684">
        <v>193</v>
      </c>
    </row>
    <row r="202" spans="1:9" s="4" customFormat="1" ht="47.25">
      <c r="A202" s="661" t="s">
        <v>221</v>
      </c>
      <c r="B202" s="658" t="s">
        <v>3200</v>
      </c>
      <c r="C202" s="659" t="s">
        <v>17</v>
      </c>
      <c r="D202" s="678">
        <v>2</v>
      </c>
      <c r="E202" s="679">
        <v>21462</v>
      </c>
      <c r="F202" s="678">
        <v>42924</v>
      </c>
      <c r="G202" s="660" t="s">
        <v>3201</v>
      </c>
      <c r="H202" s="680" t="s">
        <v>2870</v>
      </c>
      <c r="I202" s="684">
        <v>194</v>
      </c>
    </row>
    <row r="203" spans="1:9" s="4" customFormat="1" ht="31.5">
      <c r="A203" s="661" t="s">
        <v>222</v>
      </c>
      <c r="B203" s="658" t="s">
        <v>3202</v>
      </c>
      <c r="C203" s="659" t="s">
        <v>2238</v>
      </c>
      <c r="D203" s="678">
        <v>2</v>
      </c>
      <c r="E203" s="679">
        <v>23703</v>
      </c>
      <c r="F203" s="678">
        <v>47406</v>
      </c>
      <c r="G203" s="660" t="s">
        <v>3203</v>
      </c>
      <c r="H203" s="680" t="s">
        <v>820</v>
      </c>
      <c r="I203" s="684">
        <v>195</v>
      </c>
    </row>
    <row r="204" spans="1:9" s="4" customFormat="1" ht="47.25">
      <c r="A204" s="661" t="s">
        <v>223</v>
      </c>
      <c r="B204" s="658" t="s">
        <v>1770</v>
      </c>
      <c r="C204" s="659" t="s">
        <v>17</v>
      </c>
      <c r="D204" s="678">
        <v>2</v>
      </c>
      <c r="E204" s="679">
        <v>3625.55</v>
      </c>
      <c r="F204" s="678">
        <v>7251.1</v>
      </c>
      <c r="G204" s="660" t="s">
        <v>3204</v>
      </c>
      <c r="H204" s="680" t="s">
        <v>709</v>
      </c>
      <c r="I204" s="684">
        <v>196</v>
      </c>
    </row>
    <row r="205" spans="1:9" s="4" customFormat="1" ht="47.25">
      <c r="A205" s="661" t="s">
        <v>224</v>
      </c>
      <c r="B205" s="658" t="s">
        <v>1777</v>
      </c>
      <c r="C205" s="659" t="s">
        <v>17</v>
      </c>
      <c r="D205" s="678">
        <v>2</v>
      </c>
      <c r="E205" s="679">
        <v>4596.04</v>
      </c>
      <c r="F205" s="678">
        <v>9192.08</v>
      </c>
      <c r="G205" s="660" t="s">
        <v>3205</v>
      </c>
      <c r="H205" s="680" t="s">
        <v>710</v>
      </c>
      <c r="I205" s="684">
        <v>197</v>
      </c>
    </row>
    <row r="206" spans="1:9" s="4" customFormat="1" ht="47.25">
      <c r="A206" s="661" t="s">
        <v>225</v>
      </c>
      <c r="B206" s="658" t="s">
        <v>1782</v>
      </c>
      <c r="C206" s="659" t="s">
        <v>17</v>
      </c>
      <c r="D206" s="678">
        <v>2</v>
      </c>
      <c r="E206" s="679">
        <v>6418.79</v>
      </c>
      <c r="F206" s="678">
        <v>12837.58</v>
      </c>
      <c r="G206" s="660" t="s">
        <v>3206</v>
      </c>
      <c r="H206" s="680" t="s">
        <v>711</v>
      </c>
      <c r="I206" s="684">
        <v>198</v>
      </c>
    </row>
    <row r="207" spans="1:9" s="4" customFormat="1" ht="47.25">
      <c r="A207" s="661" t="s">
        <v>226</v>
      </c>
      <c r="B207" s="658" t="s">
        <v>1787</v>
      </c>
      <c r="C207" s="659" t="s">
        <v>17</v>
      </c>
      <c r="D207" s="678">
        <v>2</v>
      </c>
      <c r="E207" s="679">
        <v>8459.7000000000007</v>
      </c>
      <c r="F207" s="678">
        <v>16919.400000000001</v>
      </c>
      <c r="G207" s="660" t="s">
        <v>3207</v>
      </c>
      <c r="H207" s="680" t="s">
        <v>821</v>
      </c>
      <c r="I207" s="684">
        <v>199</v>
      </c>
    </row>
    <row r="208" spans="1:9" s="4" customFormat="1" ht="47.25">
      <c r="A208" s="661" t="s">
        <v>227</v>
      </c>
      <c r="B208" s="658" t="s">
        <v>1792</v>
      </c>
      <c r="C208" s="659" t="s">
        <v>17</v>
      </c>
      <c r="D208" s="678">
        <v>2</v>
      </c>
      <c r="E208" s="679">
        <v>10435.4</v>
      </c>
      <c r="F208" s="678">
        <v>20870.8</v>
      </c>
      <c r="G208" s="660" t="s">
        <v>3208</v>
      </c>
      <c r="H208" s="680" t="s">
        <v>822</v>
      </c>
      <c r="I208" s="684">
        <v>200</v>
      </c>
    </row>
    <row r="209" spans="1:9" s="4" customFormat="1" ht="47.25">
      <c r="A209" s="661" t="s">
        <v>228</v>
      </c>
      <c r="B209" s="658" t="s">
        <v>1797</v>
      </c>
      <c r="C209" s="659" t="s">
        <v>17</v>
      </c>
      <c r="D209" s="678">
        <v>2</v>
      </c>
      <c r="E209" s="679">
        <v>12630.63</v>
      </c>
      <c r="F209" s="678">
        <v>25261.26</v>
      </c>
      <c r="G209" s="660" t="s">
        <v>3209</v>
      </c>
      <c r="H209" s="680" t="s">
        <v>712</v>
      </c>
      <c r="I209" s="684">
        <v>201</v>
      </c>
    </row>
    <row r="210" spans="1:9" s="4" customFormat="1" ht="47.25">
      <c r="A210" s="661" t="s">
        <v>229</v>
      </c>
      <c r="B210" s="658" t="s">
        <v>1802</v>
      </c>
      <c r="C210" s="659" t="s">
        <v>17</v>
      </c>
      <c r="D210" s="678">
        <v>2</v>
      </c>
      <c r="E210" s="679">
        <v>16000.32</v>
      </c>
      <c r="F210" s="678">
        <v>32000.639999999999</v>
      </c>
      <c r="G210" s="660" t="s">
        <v>3210</v>
      </c>
      <c r="H210" s="680" t="s">
        <v>823</v>
      </c>
      <c r="I210" s="684">
        <v>202</v>
      </c>
    </row>
    <row r="211" spans="1:9" s="4" customFormat="1" ht="47.25">
      <c r="A211" s="661" t="s">
        <v>230</v>
      </c>
      <c r="B211" s="658" t="s">
        <v>1807</v>
      </c>
      <c r="C211" s="659" t="s">
        <v>17</v>
      </c>
      <c r="D211" s="678">
        <v>2</v>
      </c>
      <c r="E211" s="679">
        <v>19829.22</v>
      </c>
      <c r="F211" s="678">
        <v>39658.44</v>
      </c>
      <c r="G211" s="660" t="s">
        <v>3211</v>
      </c>
      <c r="H211" s="680" t="s">
        <v>713</v>
      </c>
      <c r="I211" s="684">
        <v>203</v>
      </c>
    </row>
    <row r="212" spans="1:9" s="4" customFormat="1" ht="47.25">
      <c r="A212" s="661" t="s">
        <v>231</v>
      </c>
      <c r="B212" s="658" t="s">
        <v>1812</v>
      </c>
      <c r="C212" s="659" t="s">
        <v>17</v>
      </c>
      <c r="D212" s="678">
        <v>2</v>
      </c>
      <c r="E212" s="679">
        <v>23752.19</v>
      </c>
      <c r="F212" s="678">
        <v>47504.38</v>
      </c>
      <c r="G212" s="660" t="s">
        <v>3212</v>
      </c>
      <c r="H212" s="680" t="s">
        <v>824</v>
      </c>
      <c r="I212" s="684">
        <v>204</v>
      </c>
    </row>
    <row r="213" spans="1:9" s="4" customFormat="1" ht="42.75">
      <c r="A213" s="661" t="s">
        <v>232</v>
      </c>
      <c r="B213" s="658" t="s">
        <v>1817</v>
      </c>
      <c r="C213" s="659" t="s">
        <v>1818</v>
      </c>
      <c r="D213" s="678">
        <v>2</v>
      </c>
      <c r="E213" s="679">
        <v>1086.6500000000001</v>
      </c>
      <c r="F213" s="678">
        <v>2173.3000000000002</v>
      </c>
      <c r="G213" s="660" t="s">
        <v>3213</v>
      </c>
      <c r="H213" s="680" t="s">
        <v>714</v>
      </c>
      <c r="I213" s="684">
        <v>205</v>
      </c>
    </row>
    <row r="214" spans="1:9" s="4" customFormat="1" ht="42.75">
      <c r="A214" s="661" t="s">
        <v>233</v>
      </c>
      <c r="B214" s="658" t="s">
        <v>1825</v>
      </c>
      <c r="C214" s="659" t="s">
        <v>1818</v>
      </c>
      <c r="D214" s="678">
        <v>2</v>
      </c>
      <c r="E214" s="679">
        <v>1246.3</v>
      </c>
      <c r="F214" s="678">
        <v>2492.6</v>
      </c>
      <c r="G214" s="660" t="s">
        <v>3214</v>
      </c>
      <c r="H214" s="680" t="s">
        <v>825</v>
      </c>
      <c r="I214" s="684">
        <v>206</v>
      </c>
    </row>
    <row r="215" spans="1:9" s="4" customFormat="1" ht="42.75">
      <c r="A215" s="661" t="s">
        <v>234</v>
      </c>
      <c r="B215" s="658" t="s">
        <v>1832</v>
      </c>
      <c r="C215" s="659" t="s">
        <v>1818</v>
      </c>
      <c r="D215" s="678">
        <v>2</v>
      </c>
      <c r="E215" s="679">
        <v>1478.05</v>
      </c>
      <c r="F215" s="678">
        <v>2956.1</v>
      </c>
      <c r="G215" s="660" t="s">
        <v>3215</v>
      </c>
      <c r="H215" s="680" t="s">
        <v>826</v>
      </c>
      <c r="I215" s="684">
        <v>207</v>
      </c>
    </row>
    <row r="216" spans="1:9" s="4" customFormat="1" ht="42.75">
      <c r="A216" s="661" t="s">
        <v>235</v>
      </c>
      <c r="B216" s="658" t="s">
        <v>1839</v>
      </c>
      <c r="C216" s="659" t="s">
        <v>1818</v>
      </c>
      <c r="D216" s="678">
        <v>2</v>
      </c>
      <c r="E216" s="679">
        <v>1524.4</v>
      </c>
      <c r="F216" s="678">
        <v>3048.8</v>
      </c>
      <c r="G216" s="660" t="s">
        <v>3216</v>
      </c>
      <c r="H216" s="680" t="s">
        <v>827</v>
      </c>
      <c r="I216" s="684">
        <v>208</v>
      </c>
    </row>
    <row r="217" spans="1:9" s="4" customFormat="1" ht="42.75">
      <c r="A217" s="661" t="s">
        <v>236</v>
      </c>
      <c r="B217" s="658" t="s">
        <v>1846</v>
      </c>
      <c r="C217" s="659" t="s">
        <v>1818</v>
      </c>
      <c r="D217" s="678">
        <v>2</v>
      </c>
      <c r="E217" s="679">
        <v>1714.95</v>
      </c>
      <c r="F217" s="678">
        <v>3429.9</v>
      </c>
      <c r="G217" s="660" t="s">
        <v>3217</v>
      </c>
      <c r="H217" s="680" t="s">
        <v>828</v>
      </c>
      <c r="I217" s="684">
        <v>209</v>
      </c>
    </row>
    <row r="218" spans="1:9" s="4" customFormat="1" ht="42.75">
      <c r="A218" s="661" t="s">
        <v>237</v>
      </c>
      <c r="B218" s="658" t="s">
        <v>1853</v>
      </c>
      <c r="C218" s="659" t="s">
        <v>1818</v>
      </c>
      <c r="D218" s="678">
        <v>2</v>
      </c>
      <c r="E218" s="679">
        <v>1977.6</v>
      </c>
      <c r="F218" s="678">
        <v>3955.2</v>
      </c>
      <c r="G218" s="660" t="s">
        <v>3218</v>
      </c>
      <c r="H218" s="680" t="s">
        <v>829</v>
      </c>
      <c r="I218" s="684">
        <v>210</v>
      </c>
    </row>
    <row r="219" spans="1:9" s="4" customFormat="1" ht="42.75">
      <c r="A219" s="661" t="s">
        <v>238</v>
      </c>
      <c r="B219" s="658" t="s">
        <v>1860</v>
      </c>
      <c r="C219" s="659" t="s">
        <v>1818</v>
      </c>
      <c r="D219" s="678">
        <v>2</v>
      </c>
      <c r="E219" s="679">
        <v>2116.65</v>
      </c>
      <c r="F219" s="678">
        <v>4233.3</v>
      </c>
      <c r="G219" s="660" t="s">
        <v>3219</v>
      </c>
      <c r="H219" s="680" t="s">
        <v>830</v>
      </c>
      <c r="I219" s="684">
        <v>211</v>
      </c>
    </row>
    <row r="220" spans="1:9" s="4" customFormat="1" ht="42.75">
      <c r="A220" s="661" t="s">
        <v>239</v>
      </c>
      <c r="B220" s="658" t="s">
        <v>1867</v>
      </c>
      <c r="C220" s="659" t="s">
        <v>1818</v>
      </c>
      <c r="D220" s="678">
        <v>2</v>
      </c>
      <c r="E220" s="679">
        <v>2245.4</v>
      </c>
      <c r="F220" s="678">
        <v>4490.8</v>
      </c>
      <c r="G220" s="660" t="s">
        <v>3220</v>
      </c>
      <c r="H220" s="680" t="s">
        <v>831</v>
      </c>
      <c r="I220" s="684">
        <v>212</v>
      </c>
    </row>
    <row r="221" spans="1:9" s="4" customFormat="1" ht="47.25">
      <c r="A221" s="661" t="s">
        <v>240</v>
      </c>
      <c r="B221" s="658" t="s">
        <v>3221</v>
      </c>
      <c r="C221" s="659" t="s">
        <v>17</v>
      </c>
      <c r="D221" s="678">
        <v>10</v>
      </c>
      <c r="E221" s="679">
        <v>151.72</v>
      </c>
      <c r="F221" s="678">
        <v>1517.2</v>
      </c>
      <c r="G221" s="660" t="s">
        <v>3222</v>
      </c>
      <c r="H221" s="680" t="s">
        <v>715</v>
      </c>
      <c r="I221" s="684">
        <v>213</v>
      </c>
    </row>
    <row r="222" spans="1:9" s="4" customFormat="1" ht="47.25">
      <c r="A222" s="661" t="s">
        <v>241</v>
      </c>
      <c r="B222" s="658" t="s">
        <v>3223</v>
      </c>
      <c r="C222" s="659" t="s">
        <v>17</v>
      </c>
      <c r="D222" s="678">
        <v>10</v>
      </c>
      <c r="E222" s="679">
        <v>188.7</v>
      </c>
      <c r="F222" s="678">
        <v>1887</v>
      </c>
      <c r="G222" s="660" t="s">
        <v>3224</v>
      </c>
      <c r="H222" s="680" t="s">
        <v>832</v>
      </c>
      <c r="I222" s="684">
        <v>214</v>
      </c>
    </row>
    <row r="223" spans="1:9" s="4" customFormat="1" ht="47.25">
      <c r="A223" s="661" t="s">
        <v>242</v>
      </c>
      <c r="B223" s="658" t="s">
        <v>3225</v>
      </c>
      <c r="C223" s="659" t="s">
        <v>17</v>
      </c>
      <c r="D223" s="678">
        <v>10</v>
      </c>
      <c r="E223" s="679">
        <v>234.84</v>
      </c>
      <c r="F223" s="678">
        <v>2348.4</v>
      </c>
      <c r="G223" s="660" t="s">
        <v>3226</v>
      </c>
      <c r="H223" s="680" t="s">
        <v>833</v>
      </c>
      <c r="I223" s="684">
        <v>215</v>
      </c>
    </row>
    <row r="224" spans="1:9" s="4" customFormat="1" ht="31.5">
      <c r="A224" s="661" t="s">
        <v>243</v>
      </c>
      <c r="B224" s="658" t="s">
        <v>3227</v>
      </c>
      <c r="C224" s="659" t="s">
        <v>17</v>
      </c>
      <c r="D224" s="678">
        <v>10</v>
      </c>
      <c r="E224" s="679">
        <v>263</v>
      </c>
      <c r="F224" s="678">
        <v>2630</v>
      </c>
      <c r="G224" s="660" t="s">
        <v>3228</v>
      </c>
      <c r="H224" s="680" t="s">
        <v>834</v>
      </c>
      <c r="I224" s="684">
        <v>216</v>
      </c>
    </row>
    <row r="225" spans="1:9" s="4" customFormat="1" ht="42.75">
      <c r="A225" s="661" t="s">
        <v>244</v>
      </c>
      <c r="B225" s="658" t="s">
        <v>1874</v>
      </c>
      <c r="C225" s="659" t="s">
        <v>1875</v>
      </c>
      <c r="D225" s="678">
        <v>5</v>
      </c>
      <c r="E225" s="679">
        <v>783.83</v>
      </c>
      <c r="F225" s="678">
        <v>3919.15</v>
      </c>
      <c r="G225" s="660" t="s">
        <v>3229</v>
      </c>
      <c r="H225" s="680" t="s">
        <v>835</v>
      </c>
      <c r="I225" s="684">
        <v>217</v>
      </c>
    </row>
    <row r="226" spans="1:9" s="4" customFormat="1" ht="42.75">
      <c r="A226" s="661" t="s">
        <v>245</v>
      </c>
      <c r="B226" s="658" t="s">
        <v>1882</v>
      </c>
      <c r="C226" s="659" t="s">
        <v>1875</v>
      </c>
      <c r="D226" s="678">
        <v>5</v>
      </c>
      <c r="E226" s="679">
        <v>863.14</v>
      </c>
      <c r="F226" s="678">
        <v>4315.7</v>
      </c>
      <c r="G226" s="660" t="s">
        <v>3230</v>
      </c>
      <c r="H226" s="680" t="s">
        <v>836</v>
      </c>
      <c r="I226" s="684">
        <v>218</v>
      </c>
    </row>
    <row r="227" spans="1:9" s="4" customFormat="1" ht="42.75">
      <c r="A227" s="661" t="s">
        <v>246</v>
      </c>
      <c r="B227" s="658" t="s">
        <v>1889</v>
      </c>
      <c r="C227" s="659" t="s">
        <v>1875</v>
      </c>
      <c r="D227" s="678">
        <v>5</v>
      </c>
      <c r="E227" s="679">
        <v>965.11</v>
      </c>
      <c r="F227" s="678">
        <v>4825.55</v>
      </c>
      <c r="G227" s="660" t="s">
        <v>3231</v>
      </c>
      <c r="H227" s="680" t="s">
        <v>716</v>
      </c>
      <c r="I227" s="684">
        <v>219</v>
      </c>
    </row>
    <row r="228" spans="1:9" s="4" customFormat="1" ht="42.75">
      <c r="A228" s="661" t="s">
        <v>247</v>
      </c>
      <c r="B228" s="658" t="s">
        <v>1896</v>
      </c>
      <c r="C228" s="659" t="s">
        <v>1875</v>
      </c>
      <c r="D228" s="678">
        <v>5</v>
      </c>
      <c r="E228" s="679">
        <v>1082.53</v>
      </c>
      <c r="F228" s="678">
        <v>5412.65</v>
      </c>
      <c r="G228" s="660" t="s">
        <v>3232</v>
      </c>
      <c r="H228" s="680" t="s">
        <v>837</v>
      </c>
      <c r="I228" s="684">
        <v>220</v>
      </c>
    </row>
    <row r="229" spans="1:9" s="4" customFormat="1" ht="42.75">
      <c r="A229" s="661" t="s">
        <v>248</v>
      </c>
      <c r="B229" s="658" t="s">
        <v>1903</v>
      </c>
      <c r="C229" s="659" t="s">
        <v>1875</v>
      </c>
      <c r="D229" s="678">
        <v>5</v>
      </c>
      <c r="E229" s="679">
        <v>1926.1</v>
      </c>
      <c r="F229" s="678">
        <v>9630.5</v>
      </c>
      <c r="G229" s="660" t="s">
        <v>3233</v>
      </c>
      <c r="H229" s="680" t="s">
        <v>717</v>
      </c>
      <c r="I229" s="684">
        <v>221</v>
      </c>
    </row>
    <row r="230" spans="1:9" s="4" customFormat="1" ht="42.75">
      <c r="A230" s="661" t="s">
        <v>249</v>
      </c>
      <c r="B230" s="658" t="s">
        <v>1910</v>
      </c>
      <c r="C230" s="659" t="s">
        <v>1875</v>
      </c>
      <c r="D230" s="678">
        <v>5</v>
      </c>
      <c r="E230" s="679">
        <v>3599.85</v>
      </c>
      <c r="F230" s="678">
        <v>17999.25</v>
      </c>
      <c r="G230" s="660" t="s">
        <v>3234</v>
      </c>
      <c r="H230" s="680" t="s">
        <v>718</v>
      </c>
      <c r="I230" s="684">
        <v>222</v>
      </c>
    </row>
    <row r="231" spans="1:9" s="4" customFormat="1" ht="42.75">
      <c r="A231" s="661" t="s">
        <v>250</v>
      </c>
      <c r="B231" s="658" t="s">
        <v>1917</v>
      </c>
      <c r="C231" s="659" t="s">
        <v>1875</v>
      </c>
      <c r="D231" s="678">
        <v>5</v>
      </c>
      <c r="E231" s="679">
        <v>4166.3500000000004</v>
      </c>
      <c r="F231" s="678">
        <v>20831.75</v>
      </c>
      <c r="G231" s="660" t="s">
        <v>3235</v>
      </c>
      <c r="H231" s="680" t="s">
        <v>719</v>
      </c>
      <c r="I231" s="684">
        <v>223</v>
      </c>
    </row>
    <row r="232" spans="1:9" s="4" customFormat="1" ht="42.75">
      <c r="A232" s="661" t="s">
        <v>251</v>
      </c>
      <c r="B232" s="658" t="s">
        <v>1924</v>
      </c>
      <c r="C232" s="659" t="s">
        <v>1875</v>
      </c>
      <c r="D232" s="678">
        <v>5</v>
      </c>
      <c r="E232" s="679">
        <v>5319.95</v>
      </c>
      <c r="F232" s="678">
        <v>26599.75</v>
      </c>
      <c r="G232" s="660" t="s">
        <v>3236</v>
      </c>
      <c r="H232" s="680" t="s">
        <v>720</v>
      </c>
      <c r="I232" s="684">
        <v>224</v>
      </c>
    </row>
    <row r="233" spans="1:9" s="4" customFormat="1" ht="42.75">
      <c r="A233" s="661" t="s">
        <v>252</v>
      </c>
      <c r="B233" s="658" t="s">
        <v>1931</v>
      </c>
      <c r="C233" s="659" t="s">
        <v>1875</v>
      </c>
      <c r="D233" s="678">
        <v>5</v>
      </c>
      <c r="E233" s="679">
        <v>4743.1499999999996</v>
      </c>
      <c r="F233" s="678">
        <v>23715.75</v>
      </c>
      <c r="G233" s="660" t="s">
        <v>3237</v>
      </c>
      <c r="H233" s="680" t="s">
        <v>721</v>
      </c>
      <c r="I233" s="684">
        <v>225</v>
      </c>
    </row>
    <row r="234" spans="1:9" s="4" customFormat="1" ht="47.25">
      <c r="A234" s="661" t="s">
        <v>253</v>
      </c>
      <c r="B234" s="658" t="s">
        <v>1938</v>
      </c>
      <c r="C234" s="659" t="s">
        <v>1875</v>
      </c>
      <c r="D234" s="678">
        <v>5</v>
      </c>
      <c r="E234" s="679">
        <v>2034.25</v>
      </c>
      <c r="F234" s="678">
        <v>10171.25</v>
      </c>
      <c r="G234" s="660" t="s">
        <v>3238</v>
      </c>
      <c r="H234" s="680" t="s">
        <v>722</v>
      </c>
      <c r="I234" s="684">
        <v>226</v>
      </c>
    </row>
    <row r="235" spans="1:9" s="4" customFormat="1" ht="47.25">
      <c r="A235" s="661" t="s">
        <v>254</v>
      </c>
      <c r="B235" s="658" t="s">
        <v>1945</v>
      </c>
      <c r="C235" s="659" t="s">
        <v>1875</v>
      </c>
      <c r="D235" s="678">
        <v>5</v>
      </c>
      <c r="E235" s="679">
        <v>2322.65</v>
      </c>
      <c r="F235" s="678">
        <v>11613.25</v>
      </c>
      <c r="G235" s="660" t="s">
        <v>3239</v>
      </c>
      <c r="H235" s="680" t="s">
        <v>723</v>
      </c>
      <c r="I235" s="684">
        <v>227</v>
      </c>
    </row>
    <row r="236" spans="1:9" s="4" customFormat="1" ht="47.25">
      <c r="A236" s="661" t="s">
        <v>255</v>
      </c>
      <c r="B236" s="658" t="s">
        <v>1952</v>
      </c>
      <c r="C236" s="659" t="s">
        <v>1875</v>
      </c>
      <c r="D236" s="678">
        <v>5</v>
      </c>
      <c r="E236" s="679">
        <v>2271.15</v>
      </c>
      <c r="F236" s="678">
        <v>11355.75</v>
      </c>
      <c r="G236" s="660" t="s">
        <v>3240</v>
      </c>
      <c r="H236" s="680" t="s">
        <v>838</v>
      </c>
      <c r="I236" s="684">
        <v>228</v>
      </c>
    </row>
    <row r="237" spans="1:9" s="4" customFormat="1" ht="47.25">
      <c r="A237" s="661" t="s">
        <v>256</v>
      </c>
      <c r="B237" s="658" t="s">
        <v>1959</v>
      </c>
      <c r="C237" s="659" t="s">
        <v>1875</v>
      </c>
      <c r="D237" s="678">
        <v>5</v>
      </c>
      <c r="E237" s="679">
        <v>2229.9499999999998</v>
      </c>
      <c r="F237" s="678">
        <v>11149.75</v>
      </c>
      <c r="G237" s="660" t="s">
        <v>3241</v>
      </c>
      <c r="H237" s="680" t="s">
        <v>839</v>
      </c>
      <c r="I237" s="684">
        <v>229</v>
      </c>
    </row>
    <row r="238" spans="1:9" s="4" customFormat="1" ht="47.25">
      <c r="A238" s="661" t="s">
        <v>257</v>
      </c>
      <c r="B238" s="658" t="s">
        <v>1966</v>
      </c>
      <c r="C238" s="659" t="s">
        <v>1875</v>
      </c>
      <c r="D238" s="678">
        <v>5</v>
      </c>
      <c r="E238" s="679">
        <v>2240.25</v>
      </c>
      <c r="F238" s="678">
        <v>11201.25</v>
      </c>
      <c r="G238" s="660" t="s">
        <v>3242</v>
      </c>
      <c r="H238" s="680" t="s">
        <v>724</v>
      </c>
      <c r="I238" s="684">
        <v>230</v>
      </c>
    </row>
    <row r="239" spans="1:9" s="4" customFormat="1" ht="47.25">
      <c r="A239" s="661" t="s">
        <v>258</v>
      </c>
      <c r="B239" s="658" t="s">
        <v>1973</v>
      </c>
      <c r="C239" s="659" t="s">
        <v>1875</v>
      </c>
      <c r="D239" s="678">
        <v>5</v>
      </c>
      <c r="E239" s="679">
        <v>2394.75</v>
      </c>
      <c r="F239" s="678">
        <v>11973.75</v>
      </c>
      <c r="G239" s="660" t="s">
        <v>3243</v>
      </c>
      <c r="H239" s="680" t="s">
        <v>840</v>
      </c>
      <c r="I239" s="684">
        <v>231</v>
      </c>
    </row>
    <row r="240" spans="1:9" s="4" customFormat="1" ht="47.25">
      <c r="A240" s="661" t="s">
        <v>259</v>
      </c>
      <c r="B240" s="658" t="s">
        <v>1980</v>
      </c>
      <c r="C240" s="659" t="s">
        <v>1875</v>
      </c>
      <c r="D240" s="678">
        <v>5</v>
      </c>
      <c r="E240" s="679">
        <v>4300.25</v>
      </c>
      <c r="F240" s="678">
        <v>21501.25</v>
      </c>
      <c r="G240" s="660" t="s">
        <v>3244</v>
      </c>
      <c r="H240" s="680" t="s">
        <v>725</v>
      </c>
      <c r="I240" s="684">
        <v>232</v>
      </c>
    </row>
    <row r="241" spans="1:9" s="4" customFormat="1" ht="47.25">
      <c r="A241" s="661" t="s">
        <v>260</v>
      </c>
      <c r="B241" s="658" t="s">
        <v>1987</v>
      </c>
      <c r="C241" s="659" t="s">
        <v>1875</v>
      </c>
      <c r="D241" s="678">
        <v>5</v>
      </c>
      <c r="E241" s="679">
        <v>4794.6499999999996</v>
      </c>
      <c r="F241" s="678">
        <v>23973.25</v>
      </c>
      <c r="G241" s="660" t="s">
        <v>3245</v>
      </c>
      <c r="H241" s="680" t="s">
        <v>841</v>
      </c>
      <c r="I241" s="685">
        <v>233</v>
      </c>
    </row>
    <row r="242" spans="1:9" s="4" customFormat="1" ht="47.25">
      <c r="A242" s="661" t="s">
        <v>261</v>
      </c>
      <c r="B242" s="658" t="s">
        <v>1994</v>
      </c>
      <c r="C242" s="659" t="s">
        <v>1875</v>
      </c>
      <c r="D242" s="678">
        <v>5</v>
      </c>
      <c r="E242" s="679">
        <v>5330.25</v>
      </c>
      <c r="F242" s="678">
        <v>26651.25</v>
      </c>
      <c r="G242" s="660" t="s">
        <v>3246</v>
      </c>
      <c r="H242" s="103" t="s">
        <v>726</v>
      </c>
      <c r="I242" s="687">
        <v>234</v>
      </c>
    </row>
    <row r="243" spans="1:9" s="4" customFormat="1" ht="47.25">
      <c r="A243" s="661" t="s">
        <v>262</v>
      </c>
      <c r="B243" s="658" t="s">
        <v>2001</v>
      </c>
      <c r="C243" s="659" t="s">
        <v>1875</v>
      </c>
      <c r="D243" s="678">
        <v>5</v>
      </c>
      <c r="E243" s="679">
        <v>4351.75</v>
      </c>
      <c r="F243" s="678">
        <v>21758.75</v>
      </c>
      <c r="G243" s="660" t="s">
        <v>3247</v>
      </c>
      <c r="H243" s="103" t="s">
        <v>727</v>
      </c>
      <c r="I243" s="687">
        <v>235</v>
      </c>
    </row>
    <row r="244" spans="1:9" s="4" customFormat="1" ht="47.25">
      <c r="A244" s="661" t="s">
        <v>263</v>
      </c>
      <c r="B244" s="658" t="s">
        <v>2008</v>
      </c>
      <c r="C244" s="659" t="s">
        <v>1875</v>
      </c>
      <c r="D244" s="678">
        <v>5</v>
      </c>
      <c r="E244" s="679">
        <v>4928.55</v>
      </c>
      <c r="F244" s="678">
        <v>24642.75</v>
      </c>
      <c r="G244" s="660" t="s">
        <v>3248</v>
      </c>
      <c r="H244" s="104" t="s">
        <v>2955</v>
      </c>
      <c r="I244" s="687">
        <v>236</v>
      </c>
    </row>
    <row r="245" spans="1:9" s="4" customFormat="1" ht="47.25">
      <c r="A245" s="661" t="s">
        <v>264</v>
      </c>
      <c r="B245" s="658" t="s">
        <v>2015</v>
      </c>
      <c r="C245" s="659" t="s">
        <v>1875</v>
      </c>
      <c r="D245" s="678">
        <v>5</v>
      </c>
      <c r="E245" s="679">
        <v>5422.95</v>
      </c>
      <c r="F245" s="678">
        <v>27114.75</v>
      </c>
      <c r="G245" s="660" t="s">
        <v>3249</v>
      </c>
      <c r="H245" s="103" t="s">
        <v>728</v>
      </c>
      <c r="I245" s="687">
        <v>237</v>
      </c>
    </row>
    <row r="246" spans="1:9" s="4" customFormat="1" ht="42.75">
      <c r="A246" s="661" t="s">
        <v>265</v>
      </c>
      <c r="B246" s="658" t="s">
        <v>2022</v>
      </c>
      <c r="C246" s="659" t="s">
        <v>1689</v>
      </c>
      <c r="D246" s="678">
        <v>5</v>
      </c>
      <c r="E246" s="679">
        <v>2125.41</v>
      </c>
      <c r="F246" s="678">
        <v>10627.05</v>
      </c>
      <c r="G246" s="660" t="s">
        <v>3250</v>
      </c>
      <c r="H246" s="104">
        <v>553082008</v>
      </c>
      <c r="I246" s="687">
        <v>238</v>
      </c>
    </row>
    <row r="247" spans="1:9" s="4" customFormat="1" ht="42.75">
      <c r="A247" s="661" t="s">
        <v>266</v>
      </c>
      <c r="B247" s="658" t="s">
        <v>2029</v>
      </c>
      <c r="C247" s="659" t="s">
        <v>1689</v>
      </c>
      <c r="D247" s="678">
        <v>5</v>
      </c>
      <c r="E247" s="679">
        <v>2676.04</v>
      </c>
      <c r="F247" s="678">
        <v>13380.2</v>
      </c>
      <c r="G247" s="660" t="s">
        <v>3251</v>
      </c>
      <c r="H247" s="103">
        <v>553083008</v>
      </c>
      <c r="I247" s="687">
        <v>239</v>
      </c>
    </row>
    <row r="248" spans="1:9" s="4" customFormat="1" ht="42.75">
      <c r="A248" s="661" t="s">
        <v>267</v>
      </c>
      <c r="B248" s="658" t="s">
        <v>2032</v>
      </c>
      <c r="C248" s="659" t="s">
        <v>1689</v>
      </c>
      <c r="D248" s="678">
        <v>5</v>
      </c>
      <c r="E248" s="679">
        <v>2945.8</v>
      </c>
      <c r="F248" s="678">
        <v>14729</v>
      </c>
      <c r="G248" s="660" t="s">
        <v>3252</v>
      </c>
      <c r="H248" s="103" t="s">
        <v>729</v>
      </c>
      <c r="I248" s="687">
        <v>240</v>
      </c>
    </row>
    <row r="249" spans="1:9" s="4" customFormat="1" ht="42.75">
      <c r="A249" s="661" t="s">
        <v>268</v>
      </c>
      <c r="B249" s="658" t="s">
        <v>2037</v>
      </c>
      <c r="C249" s="659" t="s">
        <v>1689</v>
      </c>
      <c r="D249" s="678">
        <v>5</v>
      </c>
      <c r="E249" s="679">
        <v>3213.6</v>
      </c>
      <c r="F249" s="678">
        <v>16068</v>
      </c>
      <c r="G249" s="660" t="s">
        <v>3253</v>
      </c>
      <c r="H249" s="103">
        <v>553073008</v>
      </c>
      <c r="I249" s="687">
        <v>241</v>
      </c>
    </row>
    <row r="250" spans="1:9" s="4" customFormat="1" ht="42.75">
      <c r="A250" s="661" t="s">
        <v>269</v>
      </c>
      <c r="B250" s="658" t="s">
        <v>2042</v>
      </c>
      <c r="C250" s="659" t="s">
        <v>1689</v>
      </c>
      <c r="D250" s="678">
        <v>5</v>
      </c>
      <c r="E250" s="679">
        <v>3481.4</v>
      </c>
      <c r="F250" s="678">
        <v>17407</v>
      </c>
      <c r="G250" s="660" t="s">
        <v>3254</v>
      </c>
      <c r="H250" s="105">
        <v>553074008</v>
      </c>
      <c r="I250" s="687">
        <v>242</v>
      </c>
    </row>
    <row r="251" spans="1:9" s="4" customFormat="1" ht="42.75">
      <c r="A251" s="661" t="s">
        <v>270</v>
      </c>
      <c r="B251" s="658" t="s">
        <v>2047</v>
      </c>
      <c r="C251" s="659" t="s">
        <v>18</v>
      </c>
      <c r="D251" s="678">
        <v>50</v>
      </c>
      <c r="E251" s="679">
        <v>82.2</v>
      </c>
      <c r="F251" s="678">
        <v>4110</v>
      </c>
      <c r="G251" s="660" t="s">
        <v>3255</v>
      </c>
      <c r="H251" s="103">
        <v>553070009</v>
      </c>
      <c r="I251" s="687">
        <v>243</v>
      </c>
    </row>
    <row r="252" spans="1:9" s="4" customFormat="1" ht="42.75">
      <c r="A252" s="661" t="s">
        <v>271</v>
      </c>
      <c r="B252" s="658" t="s">
        <v>2054</v>
      </c>
      <c r="C252" s="659" t="s">
        <v>1689</v>
      </c>
      <c r="D252" s="678">
        <v>5</v>
      </c>
      <c r="E252" s="679">
        <v>3615.3</v>
      </c>
      <c r="F252" s="678">
        <v>18076.5</v>
      </c>
      <c r="G252" s="660" t="s">
        <v>3256</v>
      </c>
      <c r="H252" s="105">
        <v>553062008</v>
      </c>
      <c r="I252" s="687">
        <v>244</v>
      </c>
    </row>
    <row r="253" spans="1:9" s="4" customFormat="1" ht="42.75">
      <c r="A253" s="661" t="s">
        <v>272</v>
      </c>
      <c r="B253" s="658" t="s">
        <v>2059</v>
      </c>
      <c r="C253" s="659" t="s">
        <v>1689</v>
      </c>
      <c r="D253" s="678">
        <v>5</v>
      </c>
      <c r="E253" s="679">
        <v>4130.3</v>
      </c>
      <c r="F253" s="678">
        <v>20651.5</v>
      </c>
      <c r="G253" s="660" t="s">
        <v>3257</v>
      </c>
      <c r="H253" s="103">
        <v>553063008</v>
      </c>
      <c r="I253" s="687">
        <v>245</v>
      </c>
    </row>
    <row r="254" spans="1:9" s="4" customFormat="1" ht="42.75">
      <c r="A254" s="661" t="s">
        <v>273</v>
      </c>
      <c r="B254" s="658" t="s">
        <v>2064</v>
      </c>
      <c r="C254" s="659" t="s">
        <v>1689</v>
      </c>
      <c r="D254" s="678">
        <v>5</v>
      </c>
      <c r="E254" s="679">
        <v>4748.3</v>
      </c>
      <c r="F254" s="678">
        <v>23741.5</v>
      </c>
      <c r="G254" s="660" t="s">
        <v>3258</v>
      </c>
      <c r="H254" s="103">
        <v>553064008</v>
      </c>
      <c r="I254" s="687">
        <v>246</v>
      </c>
    </row>
    <row r="255" spans="1:9" s="4" customFormat="1" ht="47.25">
      <c r="A255" s="661" t="s">
        <v>274</v>
      </c>
      <c r="B255" s="658" t="s">
        <v>2069</v>
      </c>
      <c r="C255" s="659" t="s">
        <v>1875</v>
      </c>
      <c r="D255" s="678">
        <v>5</v>
      </c>
      <c r="E255" s="679">
        <v>6180</v>
      </c>
      <c r="F255" s="678">
        <v>30900</v>
      </c>
      <c r="G255" s="660" t="s">
        <v>3259</v>
      </c>
      <c r="H255" s="103" t="s">
        <v>730</v>
      </c>
      <c r="I255" s="687">
        <v>247</v>
      </c>
    </row>
    <row r="256" spans="1:9" s="4" customFormat="1" ht="47.25">
      <c r="A256" s="661" t="s">
        <v>275</v>
      </c>
      <c r="B256" s="658" t="s">
        <v>2076</v>
      </c>
      <c r="C256" s="659" t="s">
        <v>1875</v>
      </c>
      <c r="D256" s="678">
        <v>5</v>
      </c>
      <c r="E256" s="679">
        <v>3759.5</v>
      </c>
      <c r="F256" s="678">
        <v>18797.5</v>
      </c>
      <c r="G256" s="660" t="s">
        <v>3260</v>
      </c>
      <c r="H256" s="103" t="s">
        <v>842</v>
      </c>
      <c r="I256" s="687">
        <v>248</v>
      </c>
    </row>
    <row r="257" spans="1:9" s="4" customFormat="1" ht="42.75">
      <c r="A257" s="661" t="s">
        <v>276</v>
      </c>
      <c r="B257" s="658" t="s">
        <v>2083</v>
      </c>
      <c r="C257" s="659" t="s">
        <v>1875</v>
      </c>
      <c r="D257" s="678">
        <v>5</v>
      </c>
      <c r="E257" s="679">
        <v>16098.9</v>
      </c>
      <c r="F257" s="678">
        <v>80494.5</v>
      </c>
      <c r="G257" s="660" t="s">
        <v>3261</v>
      </c>
      <c r="H257" s="680" t="s">
        <v>731</v>
      </c>
      <c r="I257" s="686">
        <v>249</v>
      </c>
    </row>
    <row r="258" spans="1:9" s="4" customFormat="1" ht="42.75">
      <c r="A258" s="661" t="s">
        <v>277</v>
      </c>
      <c r="B258" s="658" t="s">
        <v>2090</v>
      </c>
      <c r="C258" s="659" t="s">
        <v>1875</v>
      </c>
      <c r="D258" s="678">
        <v>5</v>
      </c>
      <c r="E258" s="679">
        <v>10804.7</v>
      </c>
      <c r="F258" s="678">
        <v>54023.5</v>
      </c>
      <c r="G258" s="660" t="s">
        <v>3262</v>
      </c>
      <c r="H258" s="680" t="s">
        <v>732</v>
      </c>
      <c r="I258" s="684">
        <v>250</v>
      </c>
    </row>
    <row r="259" spans="1:9" s="4" customFormat="1" ht="42.75">
      <c r="A259" s="661" t="s">
        <v>278</v>
      </c>
      <c r="B259" s="658" t="s">
        <v>2097</v>
      </c>
      <c r="C259" s="659" t="s">
        <v>1875</v>
      </c>
      <c r="D259" s="678">
        <v>5</v>
      </c>
      <c r="E259" s="679">
        <v>10124.9</v>
      </c>
      <c r="F259" s="678">
        <v>50624.5</v>
      </c>
      <c r="G259" s="660" t="s">
        <v>3263</v>
      </c>
      <c r="H259" s="680" t="s">
        <v>733</v>
      </c>
      <c r="I259" s="684">
        <v>251</v>
      </c>
    </row>
    <row r="260" spans="1:9" s="4" customFormat="1" ht="47.25">
      <c r="A260" s="661" t="s">
        <v>279</v>
      </c>
      <c r="B260" s="658" t="s">
        <v>2102</v>
      </c>
      <c r="C260" s="659" t="s">
        <v>1818</v>
      </c>
      <c r="D260" s="678">
        <v>5</v>
      </c>
      <c r="E260" s="679">
        <v>24237</v>
      </c>
      <c r="F260" s="678">
        <v>121185</v>
      </c>
      <c r="G260" s="660" t="s">
        <v>3264</v>
      </c>
      <c r="H260" s="680" t="s">
        <v>843</v>
      </c>
      <c r="I260" s="684">
        <v>252</v>
      </c>
    </row>
    <row r="261" spans="1:9" s="4" customFormat="1" ht="42.75">
      <c r="A261" s="661" t="s">
        <v>280</v>
      </c>
      <c r="B261" s="658" t="s">
        <v>2112</v>
      </c>
      <c r="C261" s="659" t="s">
        <v>1818</v>
      </c>
      <c r="D261" s="678">
        <v>2</v>
      </c>
      <c r="E261" s="679">
        <v>27649</v>
      </c>
      <c r="F261" s="678">
        <v>55298</v>
      </c>
      <c r="G261" s="660" t="s">
        <v>3265</v>
      </c>
      <c r="H261" s="680" t="s">
        <v>734</v>
      </c>
      <c r="I261" s="684">
        <v>253</v>
      </c>
    </row>
    <row r="262" spans="1:9" s="4" customFormat="1" ht="42.75">
      <c r="A262" s="661" t="s">
        <v>281</v>
      </c>
      <c r="B262" s="658" t="s">
        <v>2115</v>
      </c>
      <c r="C262" s="659" t="s">
        <v>1875</v>
      </c>
      <c r="D262" s="678">
        <v>1</v>
      </c>
      <c r="E262" s="679">
        <v>4439.3</v>
      </c>
      <c r="F262" s="678">
        <v>4439.3</v>
      </c>
      <c r="G262" s="660" t="s">
        <v>3266</v>
      </c>
      <c r="H262" s="680" t="s">
        <v>735</v>
      </c>
      <c r="I262" s="684">
        <v>254</v>
      </c>
    </row>
    <row r="263" spans="1:9" s="4" customFormat="1" ht="42.75">
      <c r="A263" s="661" t="s">
        <v>282</v>
      </c>
      <c r="B263" s="658" t="s">
        <v>2124</v>
      </c>
      <c r="C263" s="659" t="s">
        <v>1875</v>
      </c>
      <c r="D263" s="678">
        <v>1</v>
      </c>
      <c r="E263" s="679">
        <v>7168.8</v>
      </c>
      <c r="F263" s="678">
        <v>7168.8</v>
      </c>
      <c r="G263" s="660" t="s">
        <v>3267</v>
      </c>
      <c r="H263" s="680" t="s">
        <v>736</v>
      </c>
      <c r="I263" s="684">
        <v>255</v>
      </c>
    </row>
    <row r="264" spans="1:9" s="4" customFormat="1" ht="42.75">
      <c r="A264" s="661" t="s">
        <v>283</v>
      </c>
      <c r="B264" s="658" t="s">
        <v>2129</v>
      </c>
      <c r="C264" s="659" t="s">
        <v>1875</v>
      </c>
      <c r="D264" s="678">
        <v>1</v>
      </c>
      <c r="E264" s="679">
        <v>3615.3</v>
      </c>
      <c r="F264" s="678">
        <v>3615.3</v>
      </c>
      <c r="G264" s="660" t="s">
        <v>3268</v>
      </c>
      <c r="H264" s="680" t="s">
        <v>737</v>
      </c>
      <c r="I264" s="684">
        <v>256</v>
      </c>
    </row>
    <row r="265" spans="1:9" s="4" customFormat="1" ht="42.75">
      <c r="A265" s="661" t="s">
        <v>284</v>
      </c>
      <c r="B265" s="658" t="s">
        <v>2134</v>
      </c>
      <c r="C265" s="659" t="s">
        <v>1875</v>
      </c>
      <c r="D265" s="678">
        <v>1</v>
      </c>
      <c r="E265" s="679">
        <v>4449.6000000000004</v>
      </c>
      <c r="F265" s="678">
        <v>4449.6000000000004</v>
      </c>
      <c r="G265" s="660" t="s">
        <v>3269</v>
      </c>
      <c r="H265" s="680" t="s">
        <v>738</v>
      </c>
      <c r="I265" s="684">
        <v>257</v>
      </c>
    </row>
    <row r="266" spans="1:9" s="4" customFormat="1" ht="42.75">
      <c r="A266" s="661" t="s">
        <v>285</v>
      </c>
      <c r="B266" s="658" t="s">
        <v>2141</v>
      </c>
      <c r="C266" s="659" t="s">
        <v>3</v>
      </c>
      <c r="D266" s="678">
        <v>5</v>
      </c>
      <c r="E266" s="679">
        <v>1565.78</v>
      </c>
      <c r="F266" s="678">
        <v>7828.9</v>
      </c>
      <c r="G266" s="660" t="s">
        <v>3270</v>
      </c>
      <c r="H266" s="680">
        <v>277850021</v>
      </c>
      <c r="I266" s="684">
        <v>258</v>
      </c>
    </row>
    <row r="267" spans="1:9" s="4" customFormat="1" ht="31.5">
      <c r="A267" s="661" t="s">
        <v>286</v>
      </c>
      <c r="B267" s="658" t="s">
        <v>3271</v>
      </c>
      <c r="C267" s="659" t="s">
        <v>3</v>
      </c>
      <c r="D267" s="678">
        <v>5</v>
      </c>
      <c r="E267" s="679">
        <v>1500</v>
      </c>
      <c r="F267" s="678">
        <v>7500</v>
      </c>
      <c r="G267" s="660" t="s">
        <v>3272</v>
      </c>
      <c r="H267" s="680" t="s">
        <v>739</v>
      </c>
      <c r="I267" s="684">
        <v>259</v>
      </c>
    </row>
    <row r="268" spans="1:9" s="4" customFormat="1" ht="31.5">
      <c r="A268" s="661" t="s">
        <v>287</v>
      </c>
      <c r="B268" s="658" t="s">
        <v>3273</v>
      </c>
      <c r="C268" s="659" t="s">
        <v>3</v>
      </c>
      <c r="D268" s="678">
        <v>5</v>
      </c>
      <c r="E268" s="679">
        <v>145</v>
      </c>
      <c r="F268" s="678">
        <v>725</v>
      </c>
      <c r="G268" s="660" t="s">
        <v>3274</v>
      </c>
      <c r="H268" s="680">
        <v>234210212</v>
      </c>
      <c r="I268" s="684">
        <v>260</v>
      </c>
    </row>
    <row r="269" spans="1:9" s="4" customFormat="1" ht="42.75">
      <c r="A269" s="661" t="s">
        <v>288</v>
      </c>
      <c r="B269" s="658" t="s">
        <v>2146</v>
      </c>
      <c r="C269" s="659" t="s">
        <v>3</v>
      </c>
      <c r="D269" s="678">
        <v>5</v>
      </c>
      <c r="E269" s="679">
        <v>2495.69</v>
      </c>
      <c r="F269" s="678">
        <v>12478.45</v>
      </c>
      <c r="G269" s="660" t="s">
        <v>3275</v>
      </c>
      <c r="H269" s="680" t="s">
        <v>740</v>
      </c>
      <c r="I269" s="684">
        <v>261</v>
      </c>
    </row>
    <row r="270" spans="1:9" s="4" customFormat="1" ht="42.75">
      <c r="A270" s="661" t="s">
        <v>289</v>
      </c>
      <c r="B270" s="658" t="s">
        <v>2158</v>
      </c>
      <c r="C270" s="659" t="s">
        <v>1497</v>
      </c>
      <c r="D270" s="678">
        <v>10</v>
      </c>
      <c r="E270" s="679">
        <v>271.92</v>
      </c>
      <c r="F270" s="678">
        <v>2719.2</v>
      </c>
      <c r="G270" s="660" t="s">
        <v>3276</v>
      </c>
      <c r="H270" s="680" t="s">
        <v>844</v>
      </c>
      <c r="I270" s="684">
        <v>262</v>
      </c>
    </row>
    <row r="271" spans="1:9" s="4" customFormat="1" ht="42.75">
      <c r="A271" s="661" t="s">
        <v>290</v>
      </c>
      <c r="B271" s="658" t="s">
        <v>912</v>
      </c>
      <c r="C271" s="659" t="s">
        <v>3</v>
      </c>
      <c r="D271" s="678">
        <v>10</v>
      </c>
      <c r="E271" s="679">
        <v>703.49</v>
      </c>
      <c r="F271" s="678">
        <v>7034.9</v>
      </c>
      <c r="G271" s="660" t="s">
        <v>3277</v>
      </c>
      <c r="H271" s="680" t="s">
        <v>2930</v>
      </c>
      <c r="I271" s="684">
        <v>263</v>
      </c>
    </row>
    <row r="272" spans="1:9" s="4" customFormat="1" ht="28.5">
      <c r="A272" s="661" t="s">
        <v>291</v>
      </c>
      <c r="B272" s="658" t="s">
        <v>3278</v>
      </c>
      <c r="C272" s="659" t="s">
        <v>2149</v>
      </c>
      <c r="D272" s="678">
        <v>10</v>
      </c>
      <c r="E272" s="679">
        <v>250</v>
      </c>
      <c r="F272" s="678">
        <v>2500</v>
      </c>
      <c r="G272" s="660" t="s">
        <v>3279</v>
      </c>
      <c r="H272" s="680" t="s">
        <v>845</v>
      </c>
      <c r="I272" s="684">
        <v>264</v>
      </c>
    </row>
    <row r="273" spans="1:9" s="4" customFormat="1" ht="42.75">
      <c r="A273" s="661" t="s">
        <v>292</v>
      </c>
      <c r="B273" s="658" t="s">
        <v>2169</v>
      </c>
      <c r="C273" s="659" t="s">
        <v>17</v>
      </c>
      <c r="D273" s="678">
        <v>10</v>
      </c>
      <c r="E273" s="679">
        <v>135.88</v>
      </c>
      <c r="F273" s="678">
        <v>1358.8</v>
      </c>
      <c r="G273" s="660" t="s">
        <v>3280</v>
      </c>
      <c r="H273" s="680">
        <v>315030001</v>
      </c>
      <c r="I273" s="684">
        <v>265</v>
      </c>
    </row>
    <row r="274" spans="1:9" s="4" customFormat="1" ht="42.75">
      <c r="A274" s="661" t="s">
        <v>293</v>
      </c>
      <c r="B274" s="658" t="s">
        <v>2180</v>
      </c>
      <c r="C274" s="659" t="s">
        <v>3</v>
      </c>
      <c r="D274" s="678">
        <v>10</v>
      </c>
      <c r="E274" s="679">
        <v>1205.0999999999999</v>
      </c>
      <c r="F274" s="678">
        <v>12051</v>
      </c>
      <c r="G274" s="660" t="s">
        <v>3281</v>
      </c>
      <c r="H274" s="680">
        <v>978000002</v>
      </c>
      <c r="I274" s="684">
        <v>266</v>
      </c>
    </row>
    <row r="275" spans="1:9" s="4" customFormat="1" ht="42.75">
      <c r="A275" s="661" t="s">
        <v>294</v>
      </c>
      <c r="B275" s="658" t="s">
        <v>2191</v>
      </c>
      <c r="C275" s="659" t="s">
        <v>3</v>
      </c>
      <c r="D275" s="678">
        <v>10</v>
      </c>
      <c r="E275" s="679">
        <v>1701.97</v>
      </c>
      <c r="F275" s="678">
        <v>17019.7</v>
      </c>
      <c r="G275" s="660" t="s">
        <v>3282</v>
      </c>
      <c r="H275" s="680">
        <v>978100002</v>
      </c>
      <c r="I275" s="684">
        <v>267</v>
      </c>
    </row>
    <row r="276" spans="1:9" s="4" customFormat="1" ht="42.75">
      <c r="A276" s="661" t="s">
        <v>295</v>
      </c>
      <c r="B276" s="658" t="s">
        <v>2195</v>
      </c>
      <c r="C276" s="659" t="s">
        <v>3</v>
      </c>
      <c r="D276" s="678">
        <v>10</v>
      </c>
      <c r="E276" s="679">
        <v>1420.91</v>
      </c>
      <c r="F276" s="678">
        <v>14209.1</v>
      </c>
      <c r="G276" s="660" t="s">
        <v>3283</v>
      </c>
      <c r="H276" s="680">
        <v>978200002</v>
      </c>
      <c r="I276" s="684">
        <v>268</v>
      </c>
    </row>
    <row r="277" spans="1:9" s="4" customFormat="1" ht="42.75">
      <c r="A277" s="661" t="s">
        <v>296</v>
      </c>
      <c r="B277" s="658" t="s">
        <v>2204</v>
      </c>
      <c r="C277" s="659" t="s">
        <v>1818</v>
      </c>
      <c r="D277" s="678">
        <v>1</v>
      </c>
      <c r="E277" s="679">
        <v>2554.14</v>
      </c>
      <c r="F277" s="678">
        <v>2554.14</v>
      </c>
      <c r="G277" s="660" t="s">
        <v>3284</v>
      </c>
      <c r="H277" s="680" t="s">
        <v>741</v>
      </c>
      <c r="I277" s="684">
        <v>269</v>
      </c>
    </row>
    <row r="278" spans="1:9" s="4" customFormat="1" ht="42.75">
      <c r="A278" s="661" t="s">
        <v>297</v>
      </c>
      <c r="B278" s="658" t="s">
        <v>2212</v>
      </c>
      <c r="C278" s="659" t="s">
        <v>1818</v>
      </c>
      <c r="D278" s="678">
        <v>1</v>
      </c>
      <c r="E278" s="679">
        <v>2695.92</v>
      </c>
      <c r="F278" s="678">
        <v>2695.92</v>
      </c>
      <c r="G278" s="660" t="s">
        <v>3285</v>
      </c>
      <c r="H278" s="680" t="s">
        <v>846</v>
      </c>
      <c r="I278" s="684">
        <v>270</v>
      </c>
    </row>
    <row r="279" spans="1:9" s="4" customFormat="1" ht="42.75">
      <c r="A279" s="661" t="s">
        <v>298</v>
      </c>
      <c r="B279" s="658" t="s">
        <v>2219</v>
      </c>
      <c r="C279" s="659" t="s">
        <v>1818</v>
      </c>
      <c r="D279" s="678">
        <v>1</v>
      </c>
      <c r="E279" s="679">
        <v>14914.14</v>
      </c>
      <c r="F279" s="678">
        <v>14914.14</v>
      </c>
      <c r="G279" s="660" t="s">
        <v>3286</v>
      </c>
      <c r="H279" s="680" t="s">
        <v>847</v>
      </c>
      <c r="I279" s="684">
        <v>271</v>
      </c>
    </row>
    <row r="280" spans="1:9" s="4" customFormat="1" ht="42.75">
      <c r="A280" s="661" t="s">
        <v>299</v>
      </c>
      <c r="B280" s="658" t="s">
        <v>2226</v>
      </c>
      <c r="C280" s="659" t="s">
        <v>1818</v>
      </c>
      <c r="D280" s="678">
        <v>1</v>
      </c>
      <c r="E280" s="679">
        <v>15055.92</v>
      </c>
      <c r="F280" s="678">
        <v>15055.92</v>
      </c>
      <c r="G280" s="660" t="s">
        <v>3287</v>
      </c>
      <c r="H280" s="680" t="s">
        <v>848</v>
      </c>
      <c r="I280" s="684">
        <v>272</v>
      </c>
    </row>
    <row r="281" spans="1:9" s="4" customFormat="1" ht="47.25">
      <c r="A281" s="661" t="s">
        <v>300</v>
      </c>
      <c r="B281" s="658" t="s">
        <v>2229</v>
      </c>
      <c r="C281" s="659" t="s">
        <v>1818</v>
      </c>
      <c r="D281" s="678">
        <v>1</v>
      </c>
      <c r="E281" s="679">
        <v>15830.96</v>
      </c>
      <c r="F281" s="678">
        <v>15830.96</v>
      </c>
      <c r="G281" s="660" t="s">
        <v>3288</v>
      </c>
      <c r="H281" s="680" t="s">
        <v>849</v>
      </c>
      <c r="I281" s="684">
        <v>273</v>
      </c>
    </row>
    <row r="282" spans="1:9" s="4" customFormat="1" ht="47.25">
      <c r="A282" s="661" t="s">
        <v>301</v>
      </c>
      <c r="B282" s="658" t="s">
        <v>2232</v>
      </c>
      <c r="C282" s="659" t="s">
        <v>1818</v>
      </c>
      <c r="D282" s="678">
        <v>1</v>
      </c>
      <c r="E282" s="679">
        <v>16889.55</v>
      </c>
      <c r="F282" s="678">
        <v>16889.55</v>
      </c>
      <c r="G282" s="660" t="s">
        <v>3289</v>
      </c>
      <c r="H282" s="680" t="s">
        <v>742</v>
      </c>
      <c r="I282" s="684">
        <v>274</v>
      </c>
    </row>
    <row r="283" spans="1:9" s="4" customFormat="1" ht="42.75">
      <c r="A283" s="661" t="s">
        <v>302</v>
      </c>
      <c r="B283" s="658" t="s">
        <v>2237</v>
      </c>
      <c r="C283" s="659" t="s">
        <v>2238</v>
      </c>
      <c r="D283" s="678">
        <v>20</v>
      </c>
      <c r="E283" s="679">
        <v>1145.3599999999999</v>
      </c>
      <c r="F283" s="678">
        <v>22907.200000000001</v>
      </c>
      <c r="G283" s="660" t="s">
        <v>3290</v>
      </c>
      <c r="H283" s="680" t="s">
        <v>850</v>
      </c>
      <c r="I283" s="684">
        <v>275</v>
      </c>
    </row>
    <row r="284" spans="1:9" s="4" customFormat="1" ht="42.75">
      <c r="A284" s="661" t="s">
        <v>303</v>
      </c>
      <c r="B284" s="658" t="s">
        <v>2245</v>
      </c>
      <c r="C284" s="659" t="s">
        <v>17</v>
      </c>
      <c r="D284" s="678">
        <v>1</v>
      </c>
      <c r="E284" s="679">
        <v>2781.16</v>
      </c>
      <c r="F284" s="678">
        <v>2781.16</v>
      </c>
      <c r="G284" s="660" t="s">
        <v>3291</v>
      </c>
      <c r="H284" s="680" t="s">
        <v>851</v>
      </c>
      <c r="I284" s="684">
        <v>276</v>
      </c>
    </row>
    <row r="285" spans="1:9" s="4" customFormat="1" ht="42.75">
      <c r="A285" s="661" t="s">
        <v>304</v>
      </c>
      <c r="B285" s="658" t="s">
        <v>2256</v>
      </c>
      <c r="C285" s="659" t="s">
        <v>17</v>
      </c>
      <c r="D285" s="678">
        <v>1</v>
      </c>
      <c r="E285" s="679">
        <v>3614.05</v>
      </c>
      <c r="F285" s="678">
        <v>3614.05</v>
      </c>
      <c r="G285" s="660" t="s">
        <v>3292</v>
      </c>
      <c r="H285" s="680" t="s">
        <v>852</v>
      </c>
      <c r="I285" s="684">
        <v>277</v>
      </c>
    </row>
    <row r="286" spans="1:9" s="4" customFormat="1" ht="42.75">
      <c r="A286" s="661" t="s">
        <v>305</v>
      </c>
      <c r="B286" s="658" t="s">
        <v>2259</v>
      </c>
      <c r="C286" s="659" t="s">
        <v>17</v>
      </c>
      <c r="D286" s="678">
        <v>1</v>
      </c>
      <c r="E286" s="679">
        <v>2781.16</v>
      </c>
      <c r="F286" s="678">
        <v>2781.16</v>
      </c>
      <c r="G286" s="660" t="s">
        <v>3293</v>
      </c>
      <c r="H286" s="680" t="s">
        <v>853</v>
      </c>
      <c r="I286" s="684">
        <v>278</v>
      </c>
    </row>
    <row r="287" spans="1:9" s="4" customFormat="1" ht="42.75">
      <c r="A287" s="661" t="s">
        <v>306</v>
      </c>
      <c r="B287" s="658" t="s">
        <v>2262</v>
      </c>
      <c r="C287" s="659" t="s">
        <v>17</v>
      </c>
      <c r="D287" s="678">
        <v>1</v>
      </c>
      <c r="E287" s="679">
        <v>3135.56</v>
      </c>
      <c r="F287" s="678">
        <v>3135.56</v>
      </c>
      <c r="G287" s="660" t="s">
        <v>3294</v>
      </c>
      <c r="H287" s="680" t="s">
        <v>854</v>
      </c>
      <c r="I287" s="684">
        <v>279</v>
      </c>
    </row>
    <row r="288" spans="1:9" s="4" customFormat="1" ht="47.25">
      <c r="A288" s="661" t="s">
        <v>307</v>
      </c>
      <c r="B288" s="658" t="s">
        <v>3295</v>
      </c>
      <c r="C288" s="659" t="s">
        <v>17</v>
      </c>
      <c r="D288" s="678">
        <v>10</v>
      </c>
      <c r="E288" s="679">
        <v>35</v>
      </c>
      <c r="F288" s="678">
        <v>350</v>
      </c>
      <c r="G288" s="660" t="s">
        <v>3296</v>
      </c>
      <c r="H288" s="680" t="s">
        <v>2871</v>
      </c>
      <c r="I288" s="684">
        <v>280</v>
      </c>
    </row>
    <row r="289" spans="1:9" s="4" customFormat="1" ht="47.25">
      <c r="A289" s="661" t="s">
        <v>308</v>
      </c>
      <c r="B289" s="658" t="s">
        <v>2937</v>
      </c>
      <c r="C289" s="659" t="s">
        <v>17</v>
      </c>
      <c r="D289" s="678">
        <v>10</v>
      </c>
      <c r="E289" s="679">
        <v>40</v>
      </c>
      <c r="F289" s="678">
        <v>400</v>
      </c>
      <c r="G289" s="660" t="s">
        <v>3297</v>
      </c>
      <c r="H289" s="680" t="s">
        <v>2872</v>
      </c>
      <c r="I289" s="684">
        <v>281</v>
      </c>
    </row>
    <row r="290" spans="1:9" s="4" customFormat="1" ht="47.25">
      <c r="A290" s="661" t="s">
        <v>309</v>
      </c>
      <c r="B290" s="658" t="s">
        <v>3298</v>
      </c>
      <c r="C290" s="659" t="s">
        <v>17</v>
      </c>
      <c r="D290" s="678">
        <v>10</v>
      </c>
      <c r="E290" s="679">
        <v>45</v>
      </c>
      <c r="F290" s="678">
        <v>450</v>
      </c>
      <c r="G290" s="660" t="s">
        <v>3299</v>
      </c>
      <c r="H290" s="680" t="s">
        <v>2873</v>
      </c>
      <c r="I290" s="684">
        <v>282</v>
      </c>
    </row>
    <row r="291" spans="1:9" s="4" customFormat="1" ht="47.25">
      <c r="A291" s="661" t="s">
        <v>310</v>
      </c>
      <c r="B291" s="658" t="s">
        <v>3300</v>
      </c>
      <c r="C291" s="659" t="s">
        <v>17</v>
      </c>
      <c r="D291" s="678">
        <v>10</v>
      </c>
      <c r="E291" s="679">
        <v>50</v>
      </c>
      <c r="F291" s="678">
        <v>500</v>
      </c>
      <c r="G291" s="660" t="s">
        <v>3301</v>
      </c>
      <c r="H291" s="680" t="s">
        <v>2874</v>
      </c>
      <c r="I291" s="684">
        <v>283</v>
      </c>
    </row>
    <row r="292" spans="1:9" s="4" customFormat="1" ht="47.25">
      <c r="A292" s="661" t="s">
        <v>311</v>
      </c>
      <c r="B292" s="658" t="s">
        <v>3302</v>
      </c>
      <c r="C292" s="659" t="s">
        <v>17</v>
      </c>
      <c r="D292" s="678">
        <v>10</v>
      </c>
      <c r="E292" s="679">
        <v>55</v>
      </c>
      <c r="F292" s="678">
        <v>550</v>
      </c>
      <c r="G292" s="660" t="s">
        <v>3303</v>
      </c>
      <c r="H292" s="680" t="s">
        <v>2875</v>
      </c>
      <c r="I292" s="684">
        <v>284</v>
      </c>
    </row>
    <row r="293" spans="1:9" s="4" customFormat="1" ht="47.25">
      <c r="A293" s="661" t="s">
        <v>312</v>
      </c>
      <c r="B293" s="658" t="s">
        <v>3304</v>
      </c>
      <c r="C293" s="659" t="s">
        <v>17</v>
      </c>
      <c r="D293" s="678">
        <v>10</v>
      </c>
      <c r="E293" s="679">
        <v>60</v>
      </c>
      <c r="F293" s="678">
        <v>600</v>
      </c>
      <c r="G293" s="660" t="s">
        <v>3305</v>
      </c>
      <c r="H293" s="680" t="s">
        <v>2876</v>
      </c>
      <c r="I293" s="684">
        <v>285</v>
      </c>
    </row>
    <row r="294" spans="1:9" s="4" customFormat="1" ht="47.25">
      <c r="A294" s="661" t="s">
        <v>313</v>
      </c>
      <c r="B294" s="658" t="s">
        <v>3306</v>
      </c>
      <c r="C294" s="659" t="s">
        <v>17</v>
      </c>
      <c r="D294" s="678">
        <v>10</v>
      </c>
      <c r="E294" s="679">
        <v>439.5</v>
      </c>
      <c r="F294" s="678">
        <v>4395</v>
      </c>
      <c r="G294" s="660" t="s">
        <v>3307</v>
      </c>
      <c r="H294" s="680" t="s">
        <v>855</v>
      </c>
      <c r="I294" s="684">
        <v>286</v>
      </c>
    </row>
    <row r="295" spans="1:9" s="4" customFormat="1" ht="47.25">
      <c r="A295" s="661" t="s">
        <v>314</v>
      </c>
      <c r="B295" s="658" t="s">
        <v>3308</v>
      </c>
      <c r="C295" s="659" t="s">
        <v>17</v>
      </c>
      <c r="D295" s="678">
        <v>10</v>
      </c>
      <c r="E295" s="679">
        <v>665.07</v>
      </c>
      <c r="F295" s="678">
        <v>6650.7</v>
      </c>
      <c r="G295" s="660" t="s">
        <v>3309</v>
      </c>
      <c r="H295" s="680" t="s">
        <v>856</v>
      </c>
      <c r="I295" s="684">
        <v>287</v>
      </c>
    </row>
    <row r="296" spans="1:9" s="4" customFormat="1" ht="47.25">
      <c r="A296" s="661" t="s">
        <v>315</v>
      </c>
      <c r="B296" s="658" t="s">
        <v>3310</v>
      </c>
      <c r="C296" s="659" t="s">
        <v>17</v>
      </c>
      <c r="D296" s="678">
        <v>10</v>
      </c>
      <c r="E296" s="679">
        <v>766</v>
      </c>
      <c r="F296" s="678">
        <v>7660</v>
      </c>
      <c r="G296" s="660" t="s">
        <v>3311</v>
      </c>
      <c r="H296" s="680" t="s">
        <v>857</v>
      </c>
      <c r="I296" s="684">
        <v>288</v>
      </c>
    </row>
    <row r="297" spans="1:9" s="4" customFormat="1" ht="47.25">
      <c r="A297" s="661" t="s">
        <v>316</v>
      </c>
      <c r="B297" s="658" t="s">
        <v>3312</v>
      </c>
      <c r="C297" s="659" t="s">
        <v>17</v>
      </c>
      <c r="D297" s="678">
        <v>10</v>
      </c>
      <c r="E297" s="679">
        <v>1216</v>
      </c>
      <c r="F297" s="678">
        <v>12160</v>
      </c>
      <c r="G297" s="660" t="s">
        <v>3313</v>
      </c>
      <c r="H297" s="680" t="s">
        <v>858</v>
      </c>
      <c r="I297" s="684">
        <v>289</v>
      </c>
    </row>
    <row r="298" spans="1:9" s="4" customFormat="1" ht="47.25">
      <c r="A298" s="661" t="s">
        <v>317</v>
      </c>
      <c r="B298" s="658" t="s">
        <v>3314</v>
      </c>
      <c r="C298" s="659" t="s">
        <v>17</v>
      </c>
      <c r="D298" s="678">
        <v>10</v>
      </c>
      <c r="E298" s="679">
        <v>1536</v>
      </c>
      <c r="F298" s="678">
        <v>15360</v>
      </c>
      <c r="G298" s="660" t="s">
        <v>3315</v>
      </c>
      <c r="H298" s="680" t="s">
        <v>859</v>
      </c>
      <c r="I298" s="684">
        <v>290</v>
      </c>
    </row>
    <row r="299" spans="1:9" s="4" customFormat="1" ht="42.75">
      <c r="A299" s="661" t="s">
        <v>318</v>
      </c>
      <c r="B299" s="658" t="s">
        <v>2265</v>
      </c>
      <c r="C299" s="659" t="s">
        <v>3</v>
      </c>
      <c r="D299" s="678">
        <v>10</v>
      </c>
      <c r="E299" s="679">
        <v>401.7</v>
      </c>
      <c r="F299" s="678">
        <v>4017</v>
      </c>
      <c r="G299" s="660" t="s">
        <v>3316</v>
      </c>
      <c r="H299" s="680" t="s">
        <v>860</v>
      </c>
      <c r="I299" s="684">
        <v>291</v>
      </c>
    </row>
    <row r="300" spans="1:9" s="4" customFormat="1" ht="57">
      <c r="A300" s="661" t="s">
        <v>319</v>
      </c>
      <c r="B300" s="658" t="s">
        <v>2274</v>
      </c>
      <c r="C300" s="659" t="s">
        <v>3</v>
      </c>
      <c r="D300" s="678">
        <v>10</v>
      </c>
      <c r="E300" s="679">
        <v>600.49</v>
      </c>
      <c r="F300" s="678">
        <v>6004.9</v>
      </c>
      <c r="G300" s="660" t="s">
        <v>3317</v>
      </c>
      <c r="H300" s="680" t="s">
        <v>861</v>
      </c>
      <c r="I300" s="684">
        <v>292</v>
      </c>
    </row>
    <row r="301" spans="1:9" s="4" customFormat="1" ht="47.25">
      <c r="A301" s="661" t="s">
        <v>320</v>
      </c>
      <c r="B301" s="658" t="s">
        <v>2281</v>
      </c>
      <c r="C301" s="659" t="s">
        <v>3</v>
      </c>
      <c r="D301" s="678">
        <v>10</v>
      </c>
      <c r="E301" s="679">
        <v>4094.25</v>
      </c>
      <c r="F301" s="678">
        <v>40942.5</v>
      </c>
      <c r="G301" s="660" t="s">
        <v>3318</v>
      </c>
      <c r="H301" s="680" t="s">
        <v>743</v>
      </c>
      <c r="I301" s="684">
        <v>293</v>
      </c>
    </row>
    <row r="302" spans="1:9" s="4" customFormat="1" ht="47.25">
      <c r="A302" s="661" t="s">
        <v>321</v>
      </c>
      <c r="B302" s="658" t="s">
        <v>2292</v>
      </c>
      <c r="C302" s="659" t="s">
        <v>3</v>
      </c>
      <c r="D302" s="678">
        <v>10</v>
      </c>
      <c r="E302" s="679">
        <v>252.35</v>
      </c>
      <c r="F302" s="678">
        <v>2523.5</v>
      </c>
      <c r="G302" s="660" t="s">
        <v>3319</v>
      </c>
      <c r="H302" s="680" t="s">
        <v>862</v>
      </c>
      <c r="I302" s="684">
        <v>294</v>
      </c>
    </row>
    <row r="303" spans="1:9" s="4" customFormat="1" ht="42.75">
      <c r="A303" s="661" t="s">
        <v>322</v>
      </c>
      <c r="B303" s="658" t="s">
        <v>2297</v>
      </c>
      <c r="C303" s="659" t="s">
        <v>3</v>
      </c>
      <c r="D303" s="678">
        <v>10</v>
      </c>
      <c r="E303" s="679">
        <v>103</v>
      </c>
      <c r="F303" s="678">
        <v>1030</v>
      </c>
      <c r="G303" s="660" t="s">
        <v>3320</v>
      </c>
      <c r="H303" s="680" t="s">
        <v>744</v>
      </c>
      <c r="I303" s="684">
        <v>295</v>
      </c>
    </row>
    <row r="304" spans="1:9" s="4" customFormat="1" ht="42.75">
      <c r="A304" s="661" t="s">
        <v>323</v>
      </c>
      <c r="B304" s="658" t="s">
        <v>2299</v>
      </c>
      <c r="C304" s="659" t="s">
        <v>1689</v>
      </c>
      <c r="D304" s="678">
        <v>2</v>
      </c>
      <c r="E304" s="679">
        <v>73645</v>
      </c>
      <c r="F304" s="678">
        <v>147290</v>
      </c>
      <c r="G304" s="660" t="s">
        <v>3321</v>
      </c>
      <c r="H304" s="680" t="s">
        <v>745</v>
      </c>
      <c r="I304" s="684">
        <v>296</v>
      </c>
    </row>
    <row r="305" spans="1:9" s="4" customFormat="1" ht="42.75">
      <c r="A305" s="661" t="s">
        <v>324</v>
      </c>
      <c r="B305" s="658" t="s">
        <v>2306</v>
      </c>
      <c r="C305" s="659" t="s">
        <v>1497</v>
      </c>
      <c r="D305" s="678">
        <v>20</v>
      </c>
      <c r="E305" s="679">
        <v>422.3</v>
      </c>
      <c r="F305" s="678">
        <v>8446</v>
      </c>
      <c r="G305" s="660" t="s">
        <v>3322</v>
      </c>
      <c r="H305" s="680" t="s">
        <v>863</v>
      </c>
      <c r="I305" s="684">
        <v>297</v>
      </c>
    </row>
    <row r="306" spans="1:9" s="4" customFormat="1" ht="42.75">
      <c r="A306" s="661" t="s">
        <v>325</v>
      </c>
      <c r="B306" s="658" t="s">
        <v>2313</v>
      </c>
      <c r="C306" s="659" t="s">
        <v>1497</v>
      </c>
      <c r="D306" s="678">
        <v>20</v>
      </c>
      <c r="E306" s="679">
        <v>484.1</v>
      </c>
      <c r="F306" s="678">
        <v>9682</v>
      </c>
      <c r="G306" s="660" t="s">
        <v>3323</v>
      </c>
      <c r="H306" s="680" t="s">
        <v>864</v>
      </c>
      <c r="I306" s="684">
        <v>298</v>
      </c>
    </row>
    <row r="307" spans="1:9" s="4" customFormat="1" ht="47.25">
      <c r="A307" s="661" t="s">
        <v>326</v>
      </c>
      <c r="B307" s="658" t="s">
        <v>2318</v>
      </c>
      <c r="C307" s="659" t="s">
        <v>1497</v>
      </c>
      <c r="D307" s="678">
        <v>10</v>
      </c>
      <c r="E307" s="679">
        <v>494.4</v>
      </c>
      <c r="F307" s="678">
        <v>4944</v>
      </c>
      <c r="G307" s="660" t="s">
        <v>3324</v>
      </c>
      <c r="H307" s="680" t="s">
        <v>865</v>
      </c>
      <c r="I307" s="684">
        <v>299</v>
      </c>
    </row>
    <row r="308" spans="1:9" s="4" customFormat="1" ht="47.25">
      <c r="A308" s="661" t="s">
        <v>327</v>
      </c>
      <c r="B308" s="658" t="s">
        <v>2327</v>
      </c>
      <c r="C308" s="659" t="s">
        <v>1497</v>
      </c>
      <c r="D308" s="678">
        <v>10</v>
      </c>
      <c r="E308" s="679">
        <v>491.28</v>
      </c>
      <c r="F308" s="678">
        <v>4912.8</v>
      </c>
      <c r="G308" s="660" t="s">
        <v>3325</v>
      </c>
      <c r="H308" s="680" t="s">
        <v>866</v>
      </c>
      <c r="I308" s="684">
        <v>300</v>
      </c>
    </row>
    <row r="309" spans="1:9" ht="47.25">
      <c r="A309" s="661" t="s">
        <v>328</v>
      </c>
      <c r="B309" s="658" t="s">
        <v>2338</v>
      </c>
      <c r="C309" s="659" t="s">
        <v>2238</v>
      </c>
      <c r="D309" s="678">
        <v>10</v>
      </c>
      <c r="E309" s="679">
        <v>1308.0999999999999</v>
      </c>
      <c r="F309" s="678">
        <v>13081</v>
      </c>
      <c r="G309" s="660" t="s">
        <v>3326</v>
      </c>
      <c r="H309" s="680" t="s">
        <v>746</v>
      </c>
      <c r="I309" s="684">
        <v>301</v>
      </c>
    </row>
    <row r="310" spans="1:9" ht="57">
      <c r="A310" s="661" t="s">
        <v>329</v>
      </c>
      <c r="B310" s="658" t="s">
        <v>2341</v>
      </c>
      <c r="C310" s="659" t="s">
        <v>15</v>
      </c>
      <c r="D310" s="678">
        <v>10</v>
      </c>
      <c r="E310" s="679">
        <v>691.54</v>
      </c>
      <c r="F310" s="678">
        <v>6915.4</v>
      </c>
      <c r="G310" s="660" t="s">
        <v>3327</v>
      </c>
      <c r="H310" s="680" t="s">
        <v>747</v>
      </c>
      <c r="I310" s="684">
        <v>302</v>
      </c>
    </row>
    <row r="311" spans="1:9" ht="42.75">
      <c r="A311" s="661" t="s">
        <v>330</v>
      </c>
      <c r="B311" s="658" t="s">
        <v>2346</v>
      </c>
      <c r="C311" s="659" t="s">
        <v>3</v>
      </c>
      <c r="D311" s="678">
        <v>25</v>
      </c>
      <c r="E311" s="679">
        <v>43.31</v>
      </c>
      <c r="F311" s="678">
        <v>1082.75</v>
      </c>
      <c r="G311" s="660" t="s">
        <v>3328</v>
      </c>
      <c r="H311" s="680" t="s">
        <v>748</v>
      </c>
      <c r="I311" s="684">
        <v>303</v>
      </c>
    </row>
    <row r="312" spans="1:9" ht="42.75">
      <c r="A312" s="661" t="s">
        <v>331</v>
      </c>
      <c r="B312" s="658" t="s">
        <v>2360</v>
      </c>
      <c r="C312" s="659" t="s">
        <v>3</v>
      </c>
      <c r="D312" s="678">
        <v>10</v>
      </c>
      <c r="E312" s="679">
        <v>238.46</v>
      </c>
      <c r="F312" s="678">
        <v>2384.6</v>
      </c>
      <c r="G312" s="660" t="s">
        <v>3329</v>
      </c>
      <c r="H312" s="680" t="s">
        <v>749</v>
      </c>
      <c r="I312" s="684">
        <v>304</v>
      </c>
    </row>
    <row r="313" spans="1:9" ht="42.75">
      <c r="A313" s="661" t="s">
        <v>332</v>
      </c>
      <c r="B313" s="658" t="s">
        <v>2372</v>
      </c>
      <c r="C313" s="659" t="s">
        <v>3</v>
      </c>
      <c r="D313" s="678">
        <v>5</v>
      </c>
      <c r="E313" s="679">
        <v>672.04</v>
      </c>
      <c r="F313" s="678">
        <v>3360.2</v>
      </c>
      <c r="G313" s="660" t="s">
        <v>3330</v>
      </c>
      <c r="H313" s="680">
        <v>422200002</v>
      </c>
      <c r="I313" s="684">
        <v>305</v>
      </c>
    </row>
    <row r="314" spans="1:9" ht="31.5">
      <c r="A314" s="661" t="s">
        <v>333</v>
      </c>
      <c r="B314" s="658" t="s">
        <v>3331</v>
      </c>
      <c r="C314" s="659" t="s">
        <v>2400</v>
      </c>
      <c r="D314" s="678">
        <v>50</v>
      </c>
      <c r="E314" s="679">
        <v>23.31</v>
      </c>
      <c r="F314" s="678">
        <v>1165.5</v>
      </c>
      <c r="G314" s="660" t="s">
        <v>3332</v>
      </c>
      <c r="H314" s="680">
        <v>2922000211</v>
      </c>
      <c r="I314" s="684">
        <v>306</v>
      </c>
    </row>
    <row r="315" spans="1:9" ht="42.75">
      <c r="A315" s="661" t="s">
        <v>334</v>
      </c>
      <c r="B315" s="658" t="s">
        <v>2379</v>
      </c>
      <c r="C315" s="659" t="s">
        <v>3</v>
      </c>
      <c r="D315" s="678">
        <v>50</v>
      </c>
      <c r="E315" s="679">
        <v>21.46</v>
      </c>
      <c r="F315" s="678">
        <v>1073</v>
      </c>
      <c r="G315" s="660" t="s">
        <v>3333</v>
      </c>
      <c r="H315" s="680" t="s">
        <v>867</v>
      </c>
      <c r="I315" s="684">
        <v>307</v>
      </c>
    </row>
    <row r="316" spans="1:9" ht="42.75">
      <c r="A316" s="661" t="s">
        <v>335</v>
      </c>
      <c r="B316" s="658" t="s">
        <v>2383</v>
      </c>
      <c r="C316" s="659" t="s">
        <v>3</v>
      </c>
      <c r="D316" s="678">
        <v>50</v>
      </c>
      <c r="E316" s="679">
        <v>11.39</v>
      </c>
      <c r="F316" s="678">
        <v>569.5</v>
      </c>
      <c r="G316" s="660" t="s">
        <v>3334</v>
      </c>
      <c r="H316" s="680" t="s">
        <v>750</v>
      </c>
      <c r="I316" s="684">
        <v>308</v>
      </c>
    </row>
    <row r="317" spans="1:9" ht="42.75">
      <c r="A317" s="661" t="s">
        <v>336</v>
      </c>
      <c r="B317" s="658" t="s">
        <v>2390</v>
      </c>
      <c r="C317" s="659" t="s">
        <v>3</v>
      </c>
      <c r="D317" s="678">
        <v>100</v>
      </c>
      <c r="E317" s="679">
        <v>18.89</v>
      </c>
      <c r="F317" s="678">
        <v>1889</v>
      </c>
      <c r="G317" s="660" t="s">
        <v>3335</v>
      </c>
      <c r="H317" s="680" t="s">
        <v>751</v>
      </c>
      <c r="I317" s="684">
        <v>309</v>
      </c>
    </row>
    <row r="318" spans="1:9" ht="42.75">
      <c r="A318" s="661" t="s">
        <v>405</v>
      </c>
      <c r="B318" s="658" t="s">
        <v>2393</v>
      </c>
      <c r="C318" s="659" t="s">
        <v>2394</v>
      </c>
      <c r="D318" s="678">
        <v>10</v>
      </c>
      <c r="E318" s="679">
        <v>2417.9299999999998</v>
      </c>
      <c r="F318" s="678">
        <v>24179.3</v>
      </c>
      <c r="G318" s="660" t="s">
        <v>3336</v>
      </c>
      <c r="H318" s="680" t="s">
        <v>868</v>
      </c>
      <c r="I318" s="684">
        <v>310</v>
      </c>
    </row>
    <row r="319" spans="1:9" ht="57">
      <c r="A319" s="661" t="s">
        <v>406</v>
      </c>
      <c r="B319" s="658" t="s">
        <v>2399</v>
      </c>
      <c r="C319" s="659" t="s">
        <v>2400</v>
      </c>
      <c r="D319" s="678">
        <v>10</v>
      </c>
      <c r="E319" s="679">
        <v>4260.63</v>
      </c>
      <c r="F319" s="678">
        <v>42606.3</v>
      </c>
      <c r="G319" s="660" t="s">
        <v>3337</v>
      </c>
      <c r="H319" s="680" t="s">
        <v>869</v>
      </c>
      <c r="I319" s="684">
        <v>311</v>
      </c>
    </row>
    <row r="320" spans="1:9" ht="42.75">
      <c r="A320" s="661" t="s">
        <v>407</v>
      </c>
      <c r="B320" s="658" t="s">
        <v>2405</v>
      </c>
      <c r="C320" s="659" t="s">
        <v>3</v>
      </c>
      <c r="D320" s="678">
        <v>100</v>
      </c>
      <c r="E320" s="679">
        <v>34.19</v>
      </c>
      <c r="F320" s="678">
        <v>3419</v>
      </c>
      <c r="G320" s="660" t="s">
        <v>3338</v>
      </c>
      <c r="H320" s="680" t="s">
        <v>870</v>
      </c>
      <c r="I320" s="684">
        <v>312</v>
      </c>
    </row>
    <row r="321" spans="1:9" ht="42.75">
      <c r="A321" s="661" t="s">
        <v>408</v>
      </c>
      <c r="B321" s="658" t="s">
        <v>2410</v>
      </c>
      <c r="C321" s="659" t="s">
        <v>0</v>
      </c>
      <c r="D321" s="678">
        <v>5</v>
      </c>
      <c r="E321" s="679">
        <v>428.52</v>
      </c>
      <c r="F321" s="678">
        <v>2142.6</v>
      </c>
      <c r="G321" s="660" t="s">
        <v>3339</v>
      </c>
      <c r="H321" s="680" t="s">
        <v>752</v>
      </c>
      <c r="I321" s="684">
        <v>313</v>
      </c>
    </row>
    <row r="322" spans="1:9" ht="42.75">
      <c r="A322" s="661" t="s">
        <v>409</v>
      </c>
      <c r="B322" s="658" t="s">
        <v>2414</v>
      </c>
      <c r="C322" s="659" t="s">
        <v>927</v>
      </c>
      <c r="D322" s="678">
        <v>10</v>
      </c>
      <c r="E322" s="679">
        <v>203.6</v>
      </c>
      <c r="F322" s="678">
        <v>2036</v>
      </c>
      <c r="G322" s="660" t="s">
        <v>3340</v>
      </c>
      <c r="H322" s="680" t="s">
        <v>871</v>
      </c>
      <c r="I322" s="684">
        <v>314</v>
      </c>
    </row>
    <row r="323" spans="1:9" ht="42.75">
      <c r="A323" s="661" t="s">
        <v>410</v>
      </c>
      <c r="B323" s="658" t="s">
        <v>2416</v>
      </c>
      <c r="C323" s="659" t="s">
        <v>927</v>
      </c>
      <c r="D323" s="678">
        <v>15</v>
      </c>
      <c r="E323" s="679">
        <v>160.77000000000001</v>
      </c>
      <c r="F323" s="678">
        <v>2411.5500000000002</v>
      </c>
      <c r="G323" s="660" t="s">
        <v>3341</v>
      </c>
      <c r="H323" s="680" t="s">
        <v>872</v>
      </c>
      <c r="I323" s="684">
        <v>315</v>
      </c>
    </row>
    <row r="324" spans="1:9" ht="42.75">
      <c r="A324" s="661" t="s">
        <v>411</v>
      </c>
      <c r="B324" s="658" t="s">
        <v>2381</v>
      </c>
      <c r="C324" s="659" t="s">
        <v>927</v>
      </c>
      <c r="D324" s="678">
        <v>40</v>
      </c>
      <c r="E324" s="679">
        <v>2107.79</v>
      </c>
      <c r="F324" s="678">
        <v>84311.6</v>
      </c>
      <c r="G324" s="660" t="s">
        <v>3342</v>
      </c>
      <c r="H324" s="680" t="s">
        <v>873</v>
      </c>
      <c r="I324" s="684">
        <v>316</v>
      </c>
    </row>
    <row r="325" spans="1:9" ht="42.75">
      <c r="A325" s="661" t="s">
        <v>412</v>
      </c>
      <c r="B325" s="658" t="s">
        <v>2422</v>
      </c>
      <c r="C325" s="659" t="s">
        <v>927</v>
      </c>
      <c r="D325" s="678">
        <v>50</v>
      </c>
      <c r="E325" s="679">
        <v>3872.8</v>
      </c>
      <c r="F325" s="678">
        <v>193640</v>
      </c>
      <c r="G325" s="660" t="s">
        <v>3343</v>
      </c>
      <c r="H325" s="680" t="s">
        <v>753</v>
      </c>
      <c r="I325" s="684">
        <v>317</v>
      </c>
    </row>
    <row r="326" spans="1:9" ht="42.75">
      <c r="A326" s="661" t="s">
        <v>413</v>
      </c>
      <c r="B326" s="658" t="s">
        <v>514</v>
      </c>
      <c r="C326" s="659" t="s">
        <v>927</v>
      </c>
      <c r="D326" s="678">
        <v>20</v>
      </c>
      <c r="E326" s="679">
        <v>925.56</v>
      </c>
      <c r="F326" s="678">
        <v>18511.2</v>
      </c>
      <c r="G326" s="660" t="s">
        <v>3344</v>
      </c>
      <c r="H326" s="680" t="s">
        <v>874</v>
      </c>
      <c r="I326" s="684">
        <v>318</v>
      </c>
    </row>
    <row r="327" spans="1:9" ht="42.75">
      <c r="A327" s="661" t="s">
        <v>414</v>
      </c>
      <c r="B327" s="658" t="s">
        <v>2433</v>
      </c>
      <c r="C327" s="659" t="s">
        <v>927</v>
      </c>
      <c r="D327" s="678">
        <v>20</v>
      </c>
      <c r="E327" s="679">
        <v>904.96</v>
      </c>
      <c r="F327" s="678">
        <v>18099.2</v>
      </c>
      <c r="G327" s="660" t="s">
        <v>3345</v>
      </c>
      <c r="H327" s="680" t="s">
        <v>754</v>
      </c>
      <c r="I327" s="684">
        <v>319</v>
      </c>
    </row>
    <row r="328" spans="1:9" ht="42.75">
      <c r="A328" s="661" t="s">
        <v>415</v>
      </c>
      <c r="B328" s="658" t="s">
        <v>2438</v>
      </c>
      <c r="C328" s="659" t="s">
        <v>927</v>
      </c>
      <c r="D328" s="678">
        <v>20</v>
      </c>
      <c r="E328" s="679">
        <v>801.96</v>
      </c>
      <c r="F328" s="678">
        <v>16039.2</v>
      </c>
      <c r="G328" s="660" t="s">
        <v>3346</v>
      </c>
      <c r="H328" s="680" t="s">
        <v>875</v>
      </c>
      <c r="I328" s="684">
        <v>320</v>
      </c>
    </row>
    <row r="329" spans="1:9" ht="42.75">
      <c r="A329" s="661" t="s">
        <v>416</v>
      </c>
      <c r="B329" s="658" t="s">
        <v>2443</v>
      </c>
      <c r="C329" s="659" t="s">
        <v>2444</v>
      </c>
      <c r="D329" s="678">
        <v>10</v>
      </c>
      <c r="E329" s="679">
        <v>30932.959999999999</v>
      </c>
      <c r="F329" s="678">
        <v>309329.59999999998</v>
      </c>
      <c r="G329" s="660" t="s">
        <v>3347</v>
      </c>
      <c r="H329" s="680" t="s">
        <v>876</v>
      </c>
      <c r="I329" s="684">
        <v>321</v>
      </c>
    </row>
    <row r="330" spans="1:9" ht="42.75">
      <c r="A330" s="661" t="s">
        <v>417</v>
      </c>
      <c r="B330" s="658" t="s">
        <v>515</v>
      </c>
      <c r="C330" s="659" t="s">
        <v>0</v>
      </c>
      <c r="D330" s="678">
        <v>20</v>
      </c>
      <c r="E330" s="679">
        <v>3238.25</v>
      </c>
      <c r="F330" s="678">
        <v>64765</v>
      </c>
      <c r="G330" s="660" t="s">
        <v>3348</v>
      </c>
      <c r="H330" s="680" t="s">
        <v>755</v>
      </c>
      <c r="I330" s="684">
        <v>322</v>
      </c>
    </row>
    <row r="331" spans="1:9" ht="31.5">
      <c r="A331" s="661" t="s">
        <v>418</v>
      </c>
      <c r="B331" s="658" t="s">
        <v>3349</v>
      </c>
      <c r="C331" s="659" t="s">
        <v>1497</v>
      </c>
      <c r="D331" s="678">
        <v>20</v>
      </c>
      <c r="E331" s="679">
        <v>50</v>
      </c>
      <c r="F331" s="678">
        <v>1000</v>
      </c>
      <c r="G331" s="660" t="s">
        <v>3350</v>
      </c>
      <c r="H331" s="680" t="s">
        <v>877</v>
      </c>
      <c r="I331" s="684">
        <v>323</v>
      </c>
    </row>
    <row r="332" spans="1:9" ht="31.5">
      <c r="A332" s="661" t="s">
        <v>419</v>
      </c>
      <c r="B332" s="658" t="s">
        <v>2333</v>
      </c>
      <c r="C332" s="659" t="s">
        <v>1497</v>
      </c>
      <c r="D332" s="678">
        <v>20</v>
      </c>
      <c r="E332" s="679">
        <v>70</v>
      </c>
      <c r="F332" s="678">
        <v>1400</v>
      </c>
      <c r="G332" s="660" t="s">
        <v>2334</v>
      </c>
      <c r="H332" s="680" t="s">
        <v>878</v>
      </c>
      <c r="I332" s="684">
        <v>324</v>
      </c>
    </row>
    <row r="333" spans="1:9" ht="47.25">
      <c r="A333" s="661" t="s">
        <v>420</v>
      </c>
      <c r="B333" s="658" t="s">
        <v>3351</v>
      </c>
      <c r="C333" s="659" t="s">
        <v>1818</v>
      </c>
      <c r="D333" s="678">
        <v>5</v>
      </c>
      <c r="E333" s="679">
        <v>4400</v>
      </c>
      <c r="F333" s="678">
        <v>22000</v>
      </c>
      <c r="G333" s="660" t="s">
        <v>3352</v>
      </c>
      <c r="H333" s="680" t="s">
        <v>756</v>
      </c>
      <c r="I333" s="684">
        <v>325</v>
      </c>
    </row>
    <row r="334" spans="1:9" ht="31.5">
      <c r="A334" s="661" t="s">
        <v>421</v>
      </c>
      <c r="B334" s="658" t="s">
        <v>3353</v>
      </c>
      <c r="C334" s="659" t="s">
        <v>1689</v>
      </c>
      <c r="D334" s="678">
        <v>5</v>
      </c>
      <c r="E334" s="679">
        <v>8133</v>
      </c>
      <c r="F334" s="678">
        <v>40665</v>
      </c>
      <c r="G334" s="660" t="s">
        <v>3354</v>
      </c>
      <c r="H334" s="680" t="s">
        <v>879</v>
      </c>
      <c r="I334" s="684">
        <v>326</v>
      </c>
    </row>
    <row r="335" spans="1:9" ht="47.25">
      <c r="A335" s="661" t="s">
        <v>422</v>
      </c>
      <c r="B335" s="658" t="s">
        <v>3355</v>
      </c>
      <c r="C335" s="659" t="s">
        <v>1497</v>
      </c>
      <c r="D335" s="678">
        <v>9</v>
      </c>
      <c r="E335" s="679">
        <v>59</v>
      </c>
      <c r="F335" s="678">
        <v>531</v>
      </c>
      <c r="G335" s="660" t="s">
        <v>3356</v>
      </c>
      <c r="H335" s="680" t="s">
        <v>880</v>
      </c>
      <c r="I335" s="684">
        <v>327</v>
      </c>
    </row>
    <row r="336" spans="1:9" ht="31.5">
      <c r="A336" s="661" t="s">
        <v>423</v>
      </c>
      <c r="B336" s="658" t="s">
        <v>3357</v>
      </c>
      <c r="C336" s="659" t="s">
        <v>17</v>
      </c>
      <c r="D336" s="678">
        <v>100</v>
      </c>
      <c r="E336" s="679">
        <v>8</v>
      </c>
      <c r="F336" s="678">
        <v>800</v>
      </c>
      <c r="G336" s="660" t="s">
        <v>3358</v>
      </c>
      <c r="H336" s="680" t="s">
        <v>757</v>
      </c>
      <c r="I336" s="684">
        <v>328</v>
      </c>
    </row>
    <row r="337" spans="1:9" ht="31.5">
      <c r="A337" s="661" t="s">
        <v>424</v>
      </c>
      <c r="B337" s="658" t="s">
        <v>3359</v>
      </c>
      <c r="C337" s="659" t="s">
        <v>2679</v>
      </c>
      <c r="D337" s="678">
        <v>5</v>
      </c>
      <c r="E337" s="679">
        <v>22000</v>
      </c>
      <c r="F337" s="678">
        <v>110000</v>
      </c>
      <c r="G337" s="660" t="s">
        <v>3360</v>
      </c>
      <c r="H337" s="680" t="s">
        <v>881</v>
      </c>
      <c r="I337" s="684">
        <v>329</v>
      </c>
    </row>
    <row r="338" spans="1:9" ht="31.5">
      <c r="A338" s="661" t="s">
        <v>425</v>
      </c>
      <c r="B338" s="658" t="s">
        <v>3361</v>
      </c>
      <c r="C338" s="659" t="s">
        <v>2679</v>
      </c>
      <c r="D338" s="678">
        <v>5</v>
      </c>
      <c r="E338" s="679">
        <v>25000</v>
      </c>
      <c r="F338" s="678">
        <v>125000</v>
      </c>
      <c r="G338" s="660" t="s">
        <v>3362</v>
      </c>
      <c r="H338" s="680" t="s">
        <v>758</v>
      </c>
      <c r="I338" s="684">
        <v>330</v>
      </c>
    </row>
    <row r="339" spans="1:9" ht="28.5">
      <c r="A339" s="661" t="s">
        <v>426</v>
      </c>
      <c r="B339" s="658" t="s">
        <v>3363</v>
      </c>
      <c r="C339" s="659" t="s">
        <v>1875</v>
      </c>
      <c r="D339" s="678">
        <v>10</v>
      </c>
      <c r="E339" s="679">
        <v>42</v>
      </c>
      <c r="F339" s="678">
        <v>420</v>
      </c>
      <c r="G339" s="660" t="s">
        <v>3364</v>
      </c>
      <c r="H339" s="680" t="s">
        <v>882</v>
      </c>
      <c r="I339" s="684">
        <v>331</v>
      </c>
    </row>
    <row r="340" spans="1:9" ht="28.5">
      <c r="A340" s="661" t="s">
        <v>427</v>
      </c>
      <c r="B340" s="658" t="s">
        <v>3365</v>
      </c>
      <c r="C340" s="659" t="s">
        <v>1875</v>
      </c>
      <c r="D340" s="678">
        <v>10</v>
      </c>
      <c r="E340" s="679">
        <v>37</v>
      </c>
      <c r="F340" s="678">
        <v>370</v>
      </c>
      <c r="G340" s="660" t="s">
        <v>3366</v>
      </c>
      <c r="H340" s="680" t="s">
        <v>883</v>
      </c>
      <c r="I340" s="684">
        <v>332</v>
      </c>
    </row>
    <row r="341" spans="1:9" ht="31.5">
      <c r="A341" s="661" t="s">
        <v>428</v>
      </c>
      <c r="B341" s="658" t="s">
        <v>3367</v>
      </c>
      <c r="C341" s="659" t="s">
        <v>17</v>
      </c>
      <c r="D341" s="678">
        <v>10</v>
      </c>
      <c r="E341" s="679">
        <v>311</v>
      </c>
      <c r="F341" s="678">
        <v>3110</v>
      </c>
      <c r="G341" s="660" t="s">
        <v>3368</v>
      </c>
      <c r="H341" s="680">
        <v>151070000001</v>
      </c>
      <c r="I341" s="684">
        <v>333</v>
      </c>
    </row>
    <row r="342" spans="1:9" ht="42.75">
      <c r="A342" s="661" t="s">
        <v>429</v>
      </c>
      <c r="B342" s="658" t="s">
        <v>2458</v>
      </c>
      <c r="C342" s="659" t="s">
        <v>2335</v>
      </c>
      <c r="D342" s="678">
        <v>10</v>
      </c>
      <c r="E342" s="679">
        <v>772</v>
      </c>
      <c r="F342" s="678">
        <v>7720</v>
      </c>
      <c r="G342" s="660" t="s">
        <v>3369</v>
      </c>
      <c r="H342" s="680" t="s">
        <v>884</v>
      </c>
      <c r="I342" s="684">
        <v>334</v>
      </c>
    </row>
    <row r="343" spans="1:9" ht="31.5">
      <c r="A343" s="661" t="s">
        <v>430</v>
      </c>
      <c r="B343" s="658" t="s">
        <v>2954</v>
      </c>
      <c r="C343" s="659" t="s">
        <v>2490</v>
      </c>
      <c r="D343" s="678">
        <v>10</v>
      </c>
      <c r="E343" s="679">
        <v>30000</v>
      </c>
      <c r="F343" s="678">
        <v>300000</v>
      </c>
      <c r="G343" s="660" t="s">
        <v>3370</v>
      </c>
      <c r="H343" s="680" t="s">
        <v>885</v>
      </c>
      <c r="I343" s="684">
        <v>335</v>
      </c>
    </row>
    <row r="344" spans="1:9" ht="31.5">
      <c r="A344" s="661" t="s">
        <v>431</v>
      </c>
      <c r="B344" s="658" t="s">
        <v>3371</v>
      </c>
      <c r="C344" s="659" t="s">
        <v>2490</v>
      </c>
      <c r="D344" s="678">
        <v>10</v>
      </c>
      <c r="E344" s="679">
        <v>7500</v>
      </c>
      <c r="F344" s="678">
        <v>75000</v>
      </c>
      <c r="G344" s="660" t="s">
        <v>3372</v>
      </c>
      <c r="H344" s="680" t="s">
        <v>886</v>
      </c>
      <c r="I344" s="684">
        <v>336</v>
      </c>
    </row>
    <row r="345" spans="1:9" ht="42.75">
      <c r="A345" s="661" t="s">
        <v>432</v>
      </c>
      <c r="B345" s="658" t="s">
        <v>2468</v>
      </c>
      <c r="C345" s="659" t="s">
        <v>0</v>
      </c>
      <c r="D345" s="678">
        <v>5</v>
      </c>
      <c r="E345" s="679">
        <v>49773.54</v>
      </c>
      <c r="F345" s="678">
        <v>248867.7</v>
      </c>
      <c r="G345" s="660" t="s">
        <v>3373</v>
      </c>
      <c r="H345" s="680" t="s">
        <v>759</v>
      </c>
      <c r="I345" s="684">
        <v>337</v>
      </c>
    </row>
    <row r="346" spans="1:9" ht="42.75">
      <c r="A346" s="661" t="s">
        <v>433</v>
      </c>
      <c r="B346" s="658" t="s">
        <v>2475</v>
      </c>
      <c r="C346" s="659" t="s">
        <v>2238</v>
      </c>
      <c r="D346" s="678">
        <v>5</v>
      </c>
      <c r="E346" s="679">
        <v>56325.34</v>
      </c>
      <c r="F346" s="678">
        <v>281626.7</v>
      </c>
      <c r="G346" s="660" t="s">
        <v>3374</v>
      </c>
      <c r="H346" s="680" t="s">
        <v>887</v>
      </c>
      <c r="I346" s="684">
        <v>338</v>
      </c>
    </row>
    <row r="347" spans="1:9" ht="42.75">
      <c r="A347" s="661" t="s">
        <v>434</v>
      </c>
      <c r="B347" s="658" t="s">
        <v>2480</v>
      </c>
      <c r="C347" s="659" t="s">
        <v>2238</v>
      </c>
      <c r="D347" s="678">
        <v>5</v>
      </c>
      <c r="E347" s="679">
        <v>73105.279999999999</v>
      </c>
      <c r="F347" s="678">
        <v>365526.4</v>
      </c>
      <c r="G347" s="660" t="s">
        <v>3375</v>
      </c>
      <c r="H347" s="680" t="s">
        <v>760</v>
      </c>
      <c r="I347" s="684">
        <v>339</v>
      </c>
    </row>
    <row r="348" spans="1:9" ht="42.75">
      <c r="A348" s="661" t="s">
        <v>435</v>
      </c>
      <c r="B348" s="658" t="s">
        <v>2483</v>
      </c>
      <c r="C348" s="659" t="s">
        <v>2238</v>
      </c>
      <c r="D348" s="678">
        <v>5</v>
      </c>
      <c r="E348" s="679">
        <v>41511.47</v>
      </c>
      <c r="F348" s="678">
        <v>207557.35</v>
      </c>
      <c r="G348" s="660" t="s">
        <v>3376</v>
      </c>
      <c r="H348" s="680" t="s">
        <v>761</v>
      </c>
      <c r="I348" s="684">
        <v>340</v>
      </c>
    </row>
    <row r="349" spans="1:9" ht="42.75">
      <c r="A349" s="661" t="s">
        <v>436</v>
      </c>
      <c r="B349" s="658" t="s">
        <v>2486</v>
      </c>
      <c r="C349" s="659" t="s">
        <v>2238</v>
      </c>
      <c r="D349" s="678">
        <v>5</v>
      </c>
      <c r="E349" s="679">
        <v>53238.64</v>
      </c>
      <c r="F349" s="678">
        <v>266193.2</v>
      </c>
      <c r="G349" s="660" t="s">
        <v>3377</v>
      </c>
      <c r="H349" s="680" t="s">
        <v>2883</v>
      </c>
      <c r="I349" s="684">
        <v>341</v>
      </c>
    </row>
    <row r="350" spans="1:9" ht="47.25">
      <c r="A350" s="661" t="s">
        <v>437</v>
      </c>
      <c r="B350" s="658" t="s">
        <v>2938</v>
      </c>
      <c r="C350" s="659" t="s">
        <v>2490</v>
      </c>
      <c r="D350" s="678">
        <v>20</v>
      </c>
      <c r="E350" s="679">
        <v>7250</v>
      </c>
      <c r="F350" s="678">
        <v>145000</v>
      </c>
      <c r="G350" s="660" t="s">
        <v>3378</v>
      </c>
      <c r="H350" s="680" t="s">
        <v>763</v>
      </c>
      <c r="I350" s="684">
        <v>342</v>
      </c>
    </row>
    <row r="351" spans="1:9" ht="47.25">
      <c r="A351" s="661" t="s">
        <v>438</v>
      </c>
      <c r="B351" s="658" t="s">
        <v>3379</v>
      </c>
      <c r="C351" s="659" t="s">
        <v>2490</v>
      </c>
      <c r="D351" s="678">
        <v>20</v>
      </c>
      <c r="E351" s="679">
        <v>10800</v>
      </c>
      <c r="F351" s="678">
        <v>216000</v>
      </c>
      <c r="G351" s="660" t="s">
        <v>3380</v>
      </c>
      <c r="H351" s="680" t="s">
        <v>764</v>
      </c>
      <c r="I351" s="684">
        <v>343</v>
      </c>
    </row>
    <row r="352" spans="1:9" ht="42.75">
      <c r="A352" s="661" t="s">
        <v>439</v>
      </c>
      <c r="B352" s="658" t="s">
        <v>2489</v>
      </c>
      <c r="C352" s="659" t="s">
        <v>2490</v>
      </c>
      <c r="D352" s="678">
        <v>10</v>
      </c>
      <c r="E352" s="679">
        <v>3048</v>
      </c>
      <c r="F352" s="678">
        <v>30480</v>
      </c>
      <c r="G352" s="660" t="s">
        <v>3381</v>
      </c>
      <c r="H352" s="680" t="s">
        <v>765</v>
      </c>
      <c r="I352" s="684">
        <v>344</v>
      </c>
    </row>
    <row r="353" spans="1:9" ht="42.75">
      <c r="A353" s="661" t="s">
        <v>440</v>
      </c>
      <c r="B353" s="658" t="s">
        <v>2497</v>
      </c>
      <c r="C353" s="659" t="s">
        <v>2490</v>
      </c>
      <c r="D353" s="678">
        <v>10</v>
      </c>
      <c r="E353" s="679">
        <v>744</v>
      </c>
      <c r="F353" s="678">
        <v>7440</v>
      </c>
      <c r="G353" s="660" t="s">
        <v>3382</v>
      </c>
      <c r="H353" s="680" t="s">
        <v>888</v>
      </c>
      <c r="I353" s="684">
        <v>345</v>
      </c>
    </row>
    <row r="354" spans="1:9" ht="42.75">
      <c r="A354" s="661" t="s">
        <v>441</v>
      </c>
      <c r="B354" s="658" t="s">
        <v>2506</v>
      </c>
      <c r="C354" s="659" t="s">
        <v>2490</v>
      </c>
      <c r="D354" s="678">
        <v>10</v>
      </c>
      <c r="E354" s="679">
        <v>4096</v>
      </c>
      <c r="F354" s="678">
        <v>40960</v>
      </c>
      <c r="G354" s="660" t="s">
        <v>3383</v>
      </c>
      <c r="H354" s="680" t="s">
        <v>766</v>
      </c>
      <c r="I354" s="684">
        <v>346</v>
      </c>
    </row>
    <row r="355" spans="1:9" ht="42.75">
      <c r="A355" s="661" t="s">
        <v>442</v>
      </c>
      <c r="B355" s="658" t="s">
        <v>2509</v>
      </c>
      <c r="C355" s="659" t="s">
        <v>2490</v>
      </c>
      <c r="D355" s="678">
        <v>10</v>
      </c>
      <c r="E355" s="679">
        <v>1282</v>
      </c>
      <c r="F355" s="678">
        <v>12820</v>
      </c>
      <c r="G355" s="660" t="s">
        <v>3384</v>
      </c>
      <c r="H355" s="680" t="s">
        <v>2877</v>
      </c>
      <c r="I355" s="684">
        <v>347</v>
      </c>
    </row>
    <row r="356" spans="1:9" ht="31.5">
      <c r="A356" s="661" t="s">
        <v>443</v>
      </c>
      <c r="B356" s="658" t="s">
        <v>3385</v>
      </c>
      <c r="C356" s="659" t="s">
        <v>2238</v>
      </c>
      <c r="D356" s="678">
        <v>10</v>
      </c>
      <c r="E356" s="679">
        <v>252</v>
      </c>
      <c r="F356" s="678">
        <v>2520</v>
      </c>
      <c r="G356" s="660" t="s">
        <v>3386</v>
      </c>
      <c r="H356" s="680" t="s">
        <v>767</v>
      </c>
      <c r="I356" s="684">
        <v>348</v>
      </c>
    </row>
    <row r="357" spans="1:9" ht="31.5">
      <c r="A357" s="661" t="s">
        <v>444</v>
      </c>
      <c r="B357" s="658" t="s">
        <v>3387</v>
      </c>
      <c r="C357" s="659" t="s">
        <v>2238</v>
      </c>
      <c r="D357" s="678">
        <v>10</v>
      </c>
      <c r="E357" s="679">
        <v>121.5</v>
      </c>
      <c r="F357" s="678">
        <v>1215</v>
      </c>
      <c r="G357" s="660" t="s">
        <v>3388</v>
      </c>
      <c r="H357" s="680" t="s">
        <v>889</v>
      </c>
      <c r="I357" s="684">
        <v>349</v>
      </c>
    </row>
    <row r="358" spans="1:9" ht="42.75">
      <c r="A358" s="661" t="s">
        <v>445</v>
      </c>
      <c r="B358" s="658" t="s">
        <v>2512</v>
      </c>
      <c r="C358" s="659" t="s">
        <v>2238</v>
      </c>
      <c r="D358" s="678">
        <v>10</v>
      </c>
      <c r="E358" s="679">
        <v>21860.720000000001</v>
      </c>
      <c r="F358" s="678">
        <v>218607.2</v>
      </c>
      <c r="G358" s="660" t="s">
        <v>3389</v>
      </c>
      <c r="H358" s="680" t="s">
        <v>890</v>
      </c>
      <c r="I358" s="684">
        <v>350</v>
      </c>
    </row>
    <row r="359" spans="1:9" ht="42.75">
      <c r="A359" s="661" t="s">
        <v>446</v>
      </c>
      <c r="B359" s="658" t="s">
        <v>2515</v>
      </c>
      <c r="C359" s="659" t="s">
        <v>2238</v>
      </c>
      <c r="D359" s="678">
        <v>10</v>
      </c>
      <c r="E359" s="679">
        <v>31361.439999999999</v>
      </c>
      <c r="F359" s="678">
        <v>313614.40000000002</v>
      </c>
      <c r="G359" s="660" t="s">
        <v>3390</v>
      </c>
      <c r="H359" s="680" t="s">
        <v>2878</v>
      </c>
      <c r="I359" s="684">
        <v>351</v>
      </c>
    </row>
    <row r="360" spans="1:9" ht="47.25">
      <c r="A360" s="661" t="s">
        <v>447</v>
      </c>
      <c r="B360" s="658" t="s">
        <v>2518</v>
      </c>
      <c r="C360" s="659" t="s">
        <v>2238</v>
      </c>
      <c r="D360" s="678">
        <v>10</v>
      </c>
      <c r="E360" s="679">
        <v>10423.6</v>
      </c>
      <c r="F360" s="678">
        <v>104236</v>
      </c>
      <c r="G360" s="660" t="s">
        <v>3391</v>
      </c>
      <c r="H360" s="680" t="s">
        <v>891</v>
      </c>
      <c r="I360" s="684">
        <v>352</v>
      </c>
    </row>
    <row r="361" spans="1:9" ht="47.25">
      <c r="A361" s="661" t="s">
        <v>448</v>
      </c>
      <c r="B361" s="658" t="s">
        <v>2527</v>
      </c>
      <c r="C361" s="659" t="s">
        <v>2238</v>
      </c>
      <c r="D361" s="678">
        <v>10</v>
      </c>
      <c r="E361" s="679">
        <v>19767.759999999998</v>
      </c>
      <c r="F361" s="678">
        <v>197677.6</v>
      </c>
      <c r="G361" s="660" t="s">
        <v>3392</v>
      </c>
      <c r="H361" s="680" t="s">
        <v>892</v>
      </c>
      <c r="I361" s="684">
        <v>353</v>
      </c>
    </row>
    <row r="362" spans="1:9" s="7" customFormat="1" ht="47.25">
      <c r="A362" s="661" t="s">
        <v>449</v>
      </c>
      <c r="B362" s="658" t="s">
        <v>2530</v>
      </c>
      <c r="C362" s="659" t="s">
        <v>2238</v>
      </c>
      <c r="D362" s="678">
        <v>10</v>
      </c>
      <c r="E362" s="679">
        <v>15606.56</v>
      </c>
      <c r="F362" s="678">
        <v>156065.60000000001</v>
      </c>
      <c r="G362" s="660" t="s">
        <v>3393</v>
      </c>
      <c r="H362" s="680" t="s">
        <v>893</v>
      </c>
      <c r="I362" s="684">
        <v>354</v>
      </c>
    </row>
    <row r="363" spans="1:9" s="7" customFormat="1" ht="47.25">
      <c r="A363" s="661" t="s">
        <v>450</v>
      </c>
      <c r="B363" s="658" t="s">
        <v>2537</v>
      </c>
      <c r="C363" s="659" t="s">
        <v>2238</v>
      </c>
      <c r="D363" s="678">
        <v>10</v>
      </c>
      <c r="E363" s="679">
        <v>29054.240000000002</v>
      </c>
      <c r="F363" s="678">
        <v>290542.40000000002</v>
      </c>
      <c r="G363" s="660" t="s">
        <v>3394</v>
      </c>
      <c r="H363" s="680" t="s">
        <v>894</v>
      </c>
      <c r="I363" s="684">
        <v>355</v>
      </c>
    </row>
    <row r="364" spans="1:9" s="7" customFormat="1" ht="63">
      <c r="A364" s="661" t="s">
        <v>451</v>
      </c>
      <c r="B364" s="658" t="s">
        <v>2897</v>
      </c>
      <c r="C364" s="659" t="s">
        <v>0</v>
      </c>
      <c r="D364" s="678">
        <v>10</v>
      </c>
      <c r="E364" s="679">
        <v>6695</v>
      </c>
      <c r="F364" s="678">
        <v>66950</v>
      </c>
      <c r="G364" s="660" t="s">
        <v>3395</v>
      </c>
      <c r="H364" s="680" t="s">
        <v>895</v>
      </c>
      <c r="I364" s="684">
        <v>356</v>
      </c>
    </row>
    <row r="365" spans="1:9" s="9" customFormat="1" ht="63">
      <c r="A365" s="661" t="s">
        <v>452</v>
      </c>
      <c r="B365" s="658" t="s">
        <v>2972</v>
      </c>
      <c r="C365" s="659" t="s">
        <v>0</v>
      </c>
      <c r="D365" s="678">
        <v>10</v>
      </c>
      <c r="E365" s="679">
        <v>6723</v>
      </c>
      <c r="F365" s="678">
        <v>67230</v>
      </c>
      <c r="G365" s="660" t="s">
        <v>3396</v>
      </c>
      <c r="H365" s="680" t="s">
        <v>768</v>
      </c>
      <c r="I365" s="684">
        <v>357</v>
      </c>
    </row>
    <row r="366" spans="1:9" s="7" customFormat="1" ht="47.25">
      <c r="A366" s="661" t="s">
        <v>455</v>
      </c>
      <c r="B366" s="658" t="s">
        <v>2547</v>
      </c>
      <c r="C366" s="659" t="s">
        <v>0</v>
      </c>
      <c r="D366" s="678">
        <v>10</v>
      </c>
      <c r="E366" s="679">
        <v>5510.5</v>
      </c>
      <c r="F366" s="678">
        <v>55105</v>
      </c>
      <c r="G366" s="660" t="s">
        <v>3397</v>
      </c>
      <c r="H366" s="680" t="s">
        <v>769</v>
      </c>
      <c r="I366" s="684">
        <v>358</v>
      </c>
    </row>
    <row r="367" spans="1:9" s="7" customFormat="1" ht="47.25">
      <c r="A367" s="661" t="s">
        <v>456</v>
      </c>
      <c r="B367" s="658" t="s">
        <v>2550</v>
      </c>
      <c r="C367" s="659" t="s">
        <v>0</v>
      </c>
      <c r="D367" s="678">
        <v>10</v>
      </c>
      <c r="E367" s="679">
        <v>5875.12</v>
      </c>
      <c r="F367" s="678">
        <v>58751.199999999997</v>
      </c>
      <c r="G367" s="660" t="s">
        <v>3398</v>
      </c>
      <c r="H367" s="680" t="s">
        <v>770</v>
      </c>
      <c r="I367" s="684">
        <v>359</v>
      </c>
    </row>
    <row r="368" spans="1:9" s="9" customFormat="1" ht="63">
      <c r="A368" s="661" t="s">
        <v>457</v>
      </c>
      <c r="B368" s="658" t="s">
        <v>2553</v>
      </c>
      <c r="C368" s="659" t="s">
        <v>0</v>
      </c>
      <c r="D368" s="678">
        <v>10</v>
      </c>
      <c r="E368" s="679">
        <v>6237.68</v>
      </c>
      <c r="F368" s="678">
        <v>62376.800000000003</v>
      </c>
      <c r="G368" s="660" t="s">
        <v>3399</v>
      </c>
      <c r="H368" s="680" t="s">
        <v>771</v>
      </c>
      <c r="I368" s="684">
        <v>360</v>
      </c>
    </row>
    <row r="369" spans="1:9" s="7" customFormat="1" ht="47.25">
      <c r="A369" s="661" t="s">
        <v>466</v>
      </c>
      <c r="B369" s="658" t="s">
        <v>2556</v>
      </c>
      <c r="C369" s="659" t="s">
        <v>2238</v>
      </c>
      <c r="D369" s="678">
        <v>10</v>
      </c>
      <c r="E369" s="679">
        <v>16109.2</v>
      </c>
      <c r="F369" s="678">
        <v>161092</v>
      </c>
      <c r="G369" s="660" t="s">
        <v>3400</v>
      </c>
      <c r="H369" s="680" t="s">
        <v>2932</v>
      </c>
      <c r="I369" s="684">
        <v>361</v>
      </c>
    </row>
    <row r="370" spans="1:9" s="7" customFormat="1" ht="63">
      <c r="A370" s="661" t="s">
        <v>467</v>
      </c>
      <c r="B370" s="658" t="s">
        <v>2561</v>
      </c>
      <c r="C370" s="659" t="s">
        <v>2238</v>
      </c>
      <c r="D370" s="678">
        <v>10</v>
      </c>
      <c r="E370" s="679">
        <v>22371.599999999999</v>
      </c>
      <c r="F370" s="678">
        <v>223716</v>
      </c>
      <c r="G370" s="660" t="s">
        <v>3401</v>
      </c>
      <c r="H370" s="680" t="s">
        <v>772</v>
      </c>
      <c r="I370" s="684">
        <v>362</v>
      </c>
    </row>
    <row r="371" spans="1:9" s="7" customFormat="1" ht="42.75">
      <c r="A371" s="661" t="s">
        <v>468</v>
      </c>
      <c r="B371" s="658" t="s">
        <v>2570</v>
      </c>
      <c r="C371" s="659" t="s">
        <v>17</v>
      </c>
      <c r="D371" s="678">
        <v>5</v>
      </c>
      <c r="E371" s="679">
        <v>6395.71</v>
      </c>
      <c r="F371" s="678">
        <v>31978.55</v>
      </c>
      <c r="G371" s="660" t="s">
        <v>3402</v>
      </c>
      <c r="H371" s="680" t="s">
        <v>773</v>
      </c>
      <c r="I371" s="684">
        <v>363</v>
      </c>
    </row>
    <row r="372" spans="1:9" s="7" customFormat="1" ht="42.75">
      <c r="A372" s="661" t="s">
        <v>469</v>
      </c>
      <c r="B372" s="658" t="s">
        <v>2577</v>
      </c>
      <c r="C372" s="659" t="s">
        <v>17</v>
      </c>
      <c r="D372" s="678">
        <v>5</v>
      </c>
      <c r="E372" s="679">
        <v>6833.51</v>
      </c>
      <c r="F372" s="678">
        <v>34167.550000000003</v>
      </c>
      <c r="G372" s="660" t="s">
        <v>3403</v>
      </c>
      <c r="H372" s="680" t="s">
        <v>774</v>
      </c>
      <c r="I372" s="684">
        <v>364</v>
      </c>
    </row>
    <row r="373" spans="1:9" s="7" customFormat="1" ht="42.75">
      <c r="A373" s="661" t="s">
        <v>470</v>
      </c>
      <c r="B373" s="658" t="s">
        <v>2584</v>
      </c>
      <c r="C373" s="659" t="s">
        <v>17</v>
      </c>
      <c r="D373" s="678">
        <v>5</v>
      </c>
      <c r="E373" s="679">
        <v>7980.69</v>
      </c>
      <c r="F373" s="678">
        <v>39903.449999999997</v>
      </c>
      <c r="G373" s="660" t="s">
        <v>3404</v>
      </c>
      <c r="H373" s="680" t="s">
        <v>775</v>
      </c>
      <c r="I373" s="684">
        <v>365</v>
      </c>
    </row>
    <row r="374" spans="1:9" s="7" customFormat="1" ht="42.75">
      <c r="A374" s="661" t="s">
        <v>471</v>
      </c>
      <c r="B374" s="658" t="s">
        <v>2587</v>
      </c>
      <c r="C374" s="659" t="s">
        <v>17</v>
      </c>
      <c r="D374" s="678">
        <v>5</v>
      </c>
      <c r="E374" s="679">
        <v>8607.75</v>
      </c>
      <c r="F374" s="678">
        <v>43038.75</v>
      </c>
      <c r="G374" s="660" t="s">
        <v>3405</v>
      </c>
      <c r="H374" s="680" t="s">
        <v>896</v>
      </c>
      <c r="I374" s="684">
        <v>366</v>
      </c>
    </row>
    <row r="375" spans="1:9" s="7" customFormat="1" ht="42.75">
      <c r="A375" s="661" t="s">
        <v>472</v>
      </c>
      <c r="B375" s="658" t="s">
        <v>2590</v>
      </c>
      <c r="C375" s="659" t="s">
        <v>17</v>
      </c>
      <c r="D375" s="678">
        <v>5</v>
      </c>
      <c r="E375" s="679">
        <v>9386.41</v>
      </c>
      <c r="F375" s="678">
        <v>46932.05</v>
      </c>
      <c r="G375" s="660" t="s">
        <v>3406</v>
      </c>
      <c r="H375" s="680" t="s">
        <v>897</v>
      </c>
      <c r="I375" s="684">
        <v>367</v>
      </c>
    </row>
    <row r="376" spans="1:9" s="7" customFormat="1" ht="42.75">
      <c r="A376" s="661" t="s">
        <v>473</v>
      </c>
      <c r="B376" s="658" t="s">
        <v>2593</v>
      </c>
      <c r="C376" s="659" t="s">
        <v>17</v>
      </c>
      <c r="D376" s="678">
        <v>5</v>
      </c>
      <c r="E376" s="679">
        <v>10202.719999999999</v>
      </c>
      <c r="F376" s="678">
        <v>51013.599999999999</v>
      </c>
      <c r="G376" s="660" t="s">
        <v>3407</v>
      </c>
      <c r="H376" s="680" t="s">
        <v>898</v>
      </c>
      <c r="I376" s="684">
        <v>368</v>
      </c>
    </row>
    <row r="377" spans="1:9" s="7" customFormat="1" ht="42.75">
      <c r="A377" s="661" t="s">
        <v>474</v>
      </c>
      <c r="B377" s="658" t="s">
        <v>2596</v>
      </c>
      <c r="C377" s="659" t="s">
        <v>17</v>
      </c>
      <c r="D377" s="678">
        <v>5</v>
      </c>
      <c r="E377" s="679">
        <v>14892.22</v>
      </c>
      <c r="F377" s="678">
        <v>74461.100000000006</v>
      </c>
      <c r="G377" s="660" t="s">
        <v>3408</v>
      </c>
      <c r="H377" s="680" t="s">
        <v>899</v>
      </c>
      <c r="I377" s="684">
        <v>369</v>
      </c>
    </row>
    <row r="378" spans="1:9" s="7" customFormat="1" ht="42.75">
      <c r="A378" s="661" t="s">
        <v>475</v>
      </c>
      <c r="B378" s="658" t="s">
        <v>2599</v>
      </c>
      <c r="C378" s="659" t="s">
        <v>17</v>
      </c>
      <c r="D378" s="678">
        <v>5</v>
      </c>
      <c r="E378" s="679">
        <v>16500.64</v>
      </c>
      <c r="F378" s="678">
        <v>82503.199999999997</v>
      </c>
      <c r="G378" s="660" t="s">
        <v>3409</v>
      </c>
      <c r="H378" s="680" t="s">
        <v>900</v>
      </c>
      <c r="I378" s="684">
        <v>370</v>
      </c>
    </row>
    <row r="379" spans="1:9" s="7" customFormat="1" ht="42.75">
      <c r="A379" s="661" t="s">
        <v>476</v>
      </c>
      <c r="B379" s="658" t="s">
        <v>2602</v>
      </c>
      <c r="C379" s="659" t="s">
        <v>17</v>
      </c>
      <c r="D379" s="678">
        <v>5</v>
      </c>
      <c r="E379" s="679">
        <v>16854.54</v>
      </c>
      <c r="F379" s="678">
        <v>84272.7</v>
      </c>
      <c r="G379" s="660" t="s">
        <v>3410</v>
      </c>
      <c r="H379" s="680" t="s">
        <v>901</v>
      </c>
      <c r="I379" s="684">
        <v>371</v>
      </c>
    </row>
    <row r="380" spans="1:9" s="7" customFormat="1" ht="42.75">
      <c r="A380" s="661" t="s">
        <v>477</v>
      </c>
      <c r="B380" s="658" t="s">
        <v>2605</v>
      </c>
      <c r="C380" s="659" t="s">
        <v>17</v>
      </c>
      <c r="D380" s="678">
        <v>5</v>
      </c>
      <c r="E380" s="679">
        <v>18765.77</v>
      </c>
      <c r="F380" s="678">
        <v>93828.85</v>
      </c>
      <c r="G380" s="660" t="s">
        <v>3411</v>
      </c>
      <c r="H380" s="680" t="s">
        <v>776</v>
      </c>
      <c r="I380" s="684">
        <v>372</v>
      </c>
    </row>
    <row r="381" spans="1:9" s="7" customFormat="1" ht="42.75">
      <c r="A381" s="661" t="s">
        <v>478</v>
      </c>
      <c r="B381" s="658" t="s">
        <v>2608</v>
      </c>
      <c r="C381" s="659" t="s">
        <v>3</v>
      </c>
      <c r="D381" s="678">
        <v>60</v>
      </c>
      <c r="E381" s="679">
        <v>15.74</v>
      </c>
      <c r="F381" s="678">
        <v>944.4</v>
      </c>
      <c r="G381" s="660" t="s">
        <v>3412</v>
      </c>
      <c r="H381" s="680" t="s">
        <v>2884</v>
      </c>
      <c r="I381" s="684">
        <v>373</v>
      </c>
    </row>
    <row r="382" spans="1:9" s="7" customFormat="1" ht="142.5">
      <c r="A382" s="661" t="s">
        <v>479</v>
      </c>
      <c r="B382" s="658" t="s">
        <v>2914</v>
      </c>
      <c r="C382" s="659" t="s">
        <v>2490</v>
      </c>
      <c r="D382" s="678">
        <v>10</v>
      </c>
      <c r="E382" s="679">
        <v>15000</v>
      </c>
      <c r="F382" s="678">
        <v>150000</v>
      </c>
      <c r="G382" s="660" t="s">
        <v>3413</v>
      </c>
      <c r="H382" s="680" t="s">
        <v>902</v>
      </c>
      <c r="I382" s="684">
        <v>374</v>
      </c>
    </row>
    <row r="383" spans="1:9" s="7" customFormat="1" ht="71.25">
      <c r="A383" s="661" t="s">
        <v>480</v>
      </c>
      <c r="B383" s="658" t="s">
        <v>2617</v>
      </c>
      <c r="C383" s="659" t="s">
        <v>2618</v>
      </c>
      <c r="D383" s="678">
        <v>10</v>
      </c>
      <c r="E383" s="679">
        <v>721</v>
      </c>
      <c r="F383" s="678">
        <v>7210</v>
      </c>
      <c r="G383" s="660" t="s">
        <v>3414</v>
      </c>
      <c r="H383" s="680" t="s">
        <v>903</v>
      </c>
      <c r="I383" s="684">
        <v>375</v>
      </c>
    </row>
    <row r="384" spans="1:9" s="7" customFormat="1" ht="71.25">
      <c r="A384" s="661" t="s">
        <v>481</v>
      </c>
      <c r="B384" s="658" t="s">
        <v>2626</v>
      </c>
      <c r="C384" s="659" t="s">
        <v>2618</v>
      </c>
      <c r="D384" s="678">
        <v>10</v>
      </c>
      <c r="E384" s="679">
        <v>761</v>
      </c>
      <c r="F384" s="678">
        <v>7610</v>
      </c>
      <c r="G384" s="660" t="s">
        <v>3415</v>
      </c>
      <c r="H384" s="680" t="s">
        <v>904</v>
      </c>
      <c r="I384" s="684">
        <v>376</v>
      </c>
    </row>
    <row r="385" spans="1:9" s="7" customFormat="1" ht="42.75">
      <c r="A385" s="661" t="s">
        <v>482</v>
      </c>
      <c r="B385" s="658" t="s">
        <v>2631</v>
      </c>
      <c r="C385" s="659" t="s">
        <v>17</v>
      </c>
      <c r="D385" s="678">
        <v>10</v>
      </c>
      <c r="E385" s="679">
        <v>3662.23</v>
      </c>
      <c r="F385" s="678">
        <v>36622.300000000003</v>
      </c>
      <c r="G385" s="660" t="s">
        <v>3416</v>
      </c>
      <c r="H385" s="680" t="s">
        <v>777</v>
      </c>
      <c r="I385" s="684">
        <v>377</v>
      </c>
    </row>
    <row r="386" spans="1:9" s="7" customFormat="1" ht="42.75">
      <c r="A386" s="661" t="s">
        <v>483</v>
      </c>
      <c r="B386" s="658" t="s">
        <v>2642</v>
      </c>
      <c r="C386" s="659" t="s">
        <v>17</v>
      </c>
      <c r="D386" s="678">
        <v>10</v>
      </c>
      <c r="E386" s="679">
        <v>2578.1999999999998</v>
      </c>
      <c r="F386" s="678">
        <v>25782</v>
      </c>
      <c r="G386" s="660" t="s">
        <v>3417</v>
      </c>
      <c r="H386" s="680" t="s">
        <v>778</v>
      </c>
      <c r="I386" s="684">
        <v>378</v>
      </c>
    </row>
    <row r="387" spans="1:9" s="7" customFormat="1" ht="47.25">
      <c r="A387" s="661" t="s">
        <v>484</v>
      </c>
      <c r="B387" s="658" t="s">
        <v>3418</v>
      </c>
      <c r="C387" s="659" t="s">
        <v>3</v>
      </c>
      <c r="D387" s="678">
        <v>10</v>
      </c>
      <c r="E387" s="679">
        <v>353</v>
      </c>
      <c r="F387" s="678">
        <v>3530</v>
      </c>
      <c r="G387" s="660" t="s">
        <v>3419</v>
      </c>
      <c r="H387" s="680" t="s">
        <v>905</v>
      </c>
      <c r="I387" s="684">
        <v>379</v>
      </c>
    </row>
    <row r="388" spans="1:9" s="7" customFormat="1" ht="71.25">
      <c r="A388" s="661" t="s">
        <v>485</v>
      </c>
      <c r="B388" s="658" t="s">
        <v>3420</v>
      </c>
      <c r="C388" s="659" t="s">
        <v>2490</v>
      </c>
      <c r="D388" s="678">
        <v>10</v>
      </c>
      <c r="E388" s="679">
        <v>5000</v>
      </c>
      <c r="F388" s="678">
        <v>50000</v>
      </c>
      <c r="G388" s="660" t="s">
        <v>3421</v>
      </c>
      <c r="H388" s="680" t="s">
        <v>906</v>
      </c>
      <c r="I388" s="684">
        <v>380</v>
      </c>
    </row>
    <row r="389" spans="1:9" s="7" customFormat="1" ht="31.5">
      <c r="A389" s="661" t="s">
        <v>486</v>
      </c>
      <c r="B389" s="658" t="s">
        <v>2860</v>
      </c>
      <c r="C389" s="659" t="s">
        <v>927</v>
      </c>
      <c r="D389" s="678">
        <v>20</v>
      </c>
      <c r="E389" s="679">
        <v>250</v>
      </c>
      <c r="F389" s="678">
        <v>5000</v>
      </c>
      <c r="G389" s="660" t="s">
        <v>3422</v>
      </c>
      <c r="H389" s="680" t="s">
        <v>907</v>
      </c>
      <c r="I389" s="684">
        <v>381</v>
      </c>
    </row>
    <row r="390" spans="1:9" s="7" customFormat="1" ht="31.5">
      <c r="A390" s="661" t="s">
        <v>487</v>
      </c>
      <c r="B390" s="658" t="s">
        <v>3423</v>
      </c>
      <c r="C390" s="659" t="s">
        <v>927</v>
      </c>
      <c r="D390" s="678">
        <v>10</v>
      </c>
      <c r="E390" s="679">
        <v>300</v>
      </c>
      <c r="F390" s="678">
        <v>3000</v>
      </c>
      <c r="G390" s="660" t="s">
        <v>3424</v>
      </c>
      <c r="H390" s="680" t="s">
        <v>779</v>
      </c>
      <c r="I390" s="684">
        <v>382</v>
      </c>
    </row>
    <row r="391" spans="1:9" s="7" customFormat="1" ht="31.5">
      <c r="A391" s="661" t="s">
        <v>488</v>
      </c>
      <c r="B391" s="658" t="s">
        <v>3425</v>
      </c>
      <c r="C391" s="659" t="s">
        <v>2490</v>
      </c>
      <c r="D391" s="678">
        <v>5</v>
      </c>
      <c r="E391" s="679">
        <v>50000</v>
      </c>
      <c r="F391" s="678">
        <v>250000</v>
      </c>
      <c r="G391" s="660" t="s">
        <v>3426</v>
      </c>
      <c r="H391" s="680" t="s">
        <v>780</v>
      </c>
      <c r="I391" s="684">
        <v>383</v>
      </c>
    </row>
    <row r="392" spans="1:9" s="7" customFormat="1" ht="85.5">
      <c r="A392" s="661" t="s">
        <v>489</v>
      </c>
      <c r="B392" s="658" t="s">
        <v>2653</v>
      </c>
      <c r="C392" s="659" t="s">
        <v>17</v>
      </c>
      <c r="D392" s="678">
        <v>100</v>
      </c>
      <c r="E392" s="679">
        <v>293.74</v>
      </c>
      <c r="F392" s="678">
        <v>29374</v>
      </c>
      <c r="G392" s="660" t="s">
        <v>3427</v>
      </c>
      <c r="H392" s="680" t="s">
        <v>781</v>
      </c>
      <c r="I392" s="684">
        <v>384</v>
      </c>
    </row>
    <row r="393" spans="1:9" s="7" customFormat="1" ht="42.75">
      <c r="A393" s="661" t="s">
        <v>490</v>
      </c>
      <c r="B393" s="658" t="s">
        <v>2663</v>
      </c>
      <c r="C393" s="659" t="s">
        <v>17</v>
      </c>
      <c r="D393" s="678">
        <v>60</v>
      </c>
      <c r="E393" s="679">
        <v>219.72</v>
      </c>
      <c r="F393" s="678">
        <v>13183.2</v>
      </c>
      <c r="G393" s="660" t="s">
        <v>3428</v>
      </c>
      <c r="H393" s="680" t="s">
        <v>782</v>
      </c>
      <c r="I393" s="684">
        <v>385</v>
      </c>
    </row>
    <row r="394" spans="1:9" s="7" customFormat="1" ht="42.75">
      <c r="A394" s="661" t="s">
        <v>491</v>
      </c>
      <c r="B394" s="658" t="s">
        <v>2670</v>
      </c>
      <c r="C394" s="659" t="s">
        <v>3</v>
      </c>
      <c r="D394" s="678">
        <v>5</v>
      </c>
      <c r="E394" s="679">
        <v>1193.26</v>
      </c>
      <c r="F394" s="678">
        <v>5966.3</v>
      </c>
      <c r="G394" s="660" t="s">
        <v>3429</v>
      </c>
      <c r="H394" s="680">
        <v>289190002</v>
      </c>
      <c r="I394" s="684">
        <v>386</v>
      </c>
    </row>
    <row r="395" spans="1:9" s="7" customFormat="1" ht="42.75">
      <c r="A395" s="661" t="s">
        <v>492</v>
      </c>
      <c r="B395" s="658" t="s">
        <v>2678</v>
      </c>
      <c r="C395" s="659" t="s">
        <v>2679</v>
      </c>
      <c r="D395" s="678">
        <v>5</v>
      </c>
      <c r="E395" s="679">
        <v>661.18</v>
      </c>
      <c r="F395" s="678">
        <v>3305.9</v>
      </c>
      <c r="G395" s="660" t="s">
        <v>3430</v>
      </c>
      <c r="H395" s="680" t="s">
        <v>783</v>
      </c>
      <c r="I395" s="684">
        <v>387</v>
      </c>
    </row>
    <row r="396" spans="1:9" s="7" customFormat="1" ht="42.75">
      <c r="A396" s="661" t="s">
        <v>493</v>
      </c>
      <c r="B396" s="658" t="s">
        <v>2684</v>
      </c>
      <c r="C396" s="659" t="s">
        <v>3</v>
      </c>
      <c r="D396" s="678">
        <v>5</v>
      </c>
      <c r="E396" s="679">
        <v>2320.85</v>
      </c>
      <c r="F396" s="678">
        <v>11604.25</v>
      </c>
      <c r="G396" s="660" t="s">
        <v>3431</v>
      </c>
      <c r="H396" s="680">
        <v>289100202</v>
      </c>
      <c r="I396" s="684">
        <v>388</v>
      </c>
    </row>
    <row r="397" spans="1:9" s="7" customFormat="1" ht="42.75">
      <c r="A397" s="661" t="s">
        <v>494</v>
      </c>
      <c r="B397" s="658" t="s">
        <v>2693</v>
      </c>
      <c r="C397" s="659" t="s">
        <v>2694</v>
      </c>
      <c r="D397" s="678">
        <v>10</v>
      </c>
      <c r="E397" s="679">
        <v>160.68</v>
      </c>
      <c r="F397" s="678">
        <v>1606.8</v>
      </c>
      <c r="G397" s="660" t="s">
        <v>3432</v>
      </c>
      <c r="H397" s="680" t="s">
        <v>908</v>
      </c>
      <c r="I397" s="684">
        <v>389</v>
      </c>
    </row>
    <row r="398" spans="1:9" s="7" customFormat="1" ht="42.75">
      <c r="A398" s="661" t="s">
        <v>495</v>
      </c>
      <c r="B398" s="658" t="s">
        <v>2702</v>
      </c>
      <c r="C398" s="659" t="s">
        <v>17</v>
      </c>
      <c r="D398" s="678">
        <v>10</v>
      </c>
      <c r="E398" s="679">
        <v>309.10000000000002</v>
      </c>
      <c r="F398" s="678">
        <v>3091</v>
      </c>
      <c r="G398" s="660" t="s">
        <v>3433</v>
      </c>
      <c r="H398" s="680" t="s">
        <v>784</v>
      </c>
      <c r="I398" s="684">
        <v>390</v>
      </c>
    </row>
    <row r="399" spans="1:9" s="7" customFormat="1" ht="42.75">
      <c r="A399" s="661" t="s">
        <v>496</v>
      </c>
      <c r="B399" s="658" t="s">
        <v>2707</v>
      </c>
      <c r="C399" s="659" t="s">
        <v>17</v>
      </c>
      <c r="D399" s="678">
        <v>10</v>
      </c>
      <c r="E399" s="679">
        <v>310.72000000000003</v>
      </c>
      <c r="F399" s="678">
        <v>3107.2</v>
      </c>
      <c r="G399" s="660" t="s">
        <v>3434</v>
      </c>
      <c r="H399" s="680" t="s">
        <v>785</v>
      </c>
      <c r="I399" s="684">
        <v>391</v>
      </c>
    </row>
    <row r="400" spans="1:9" s="7" customFormat="1" ht="42.75">
      <c r="A400" s="661" t="s">
        <v>497</v>
      </c>
      <c r="B400" s="658" t="s">
        <v>2712</v>
      </c>
      <c r="C400" s="659" t="s">
        <v>3</v>
      </c>
      <c r="D400" s="678">
        <v>10</v>
      </c>
      <c r="E400" s="679">
        <v>669.68</v>
      </c>
      <c r="F400" s="678">
        <v>6696.8</v>
      </c>
      <c r="G400" s="660" t="s">
        <v>3435</v>
      </c>
      <c r="H400" s="680" t="s">
        <v>2861</v>
      </c>
      <c r="I400" s="684">
        <v>392</v>
      </c>
    </row>
    <row r="401" spans="1:13" s="7" customFormat="1" ht="42.75">
      <c r="A401" s="661" t="s">
        <v>498</v>
      </c>
      <c r="B401" s="658" t="s">
        <v>2725</v>
      </c>
      <c r="C401" s="659" t="s">
        <v>2679</v>
      </c>
      <c r="D401" s="678">
        <v>10</v>
      </c>
      <c r="E401" s="679">
        <v>250.64</v>
      </c>
      <c r="F401" s="678">
        <v>2506.4</v>
      </c>
      <c r="G401" s="660" t="s">
        <v>3436</v>
      </c>
      <c r="H401" s="680" t="s">
        <v>786</v>
      </c>
      <c r="I401" s="684">
        <v>393</v>
      </c>
    </row>
    <row r="402" spans="1:13" s="7" customFormat="1" ht="57">
      <c r="A402" s="661" t="s">
        <v>499</v>
      </c>
      <c r="B402" s="658" t="s">
        <v>2732</v>
      </c>
      <c r="C402" s="659" t="s">
        <v>1818</v>
      </c>
      <c r="D402" s="678">
        <v>10</v>
      </c>
      <c r="E402" s="679">
        <v>845.59</v>
      </c>
      <c r="F402" s="678">
        <v>8455.9</v>
      </c>
      <c r="G402" s="660" t="s">
        <v>3437</v>
      </c>
      <c r="H402" s="680" t="s">
        <v>909</v>
      </c>
      <c r="I402" s="684">
        <v>394</v>
      </c>
    </row>
    <row r="403" spans="1:13" s="7" customFormat="1" ht="42.75">
      <c r="A403" s="661" t="s">
        <v>521</v>
      </c>
      <c r="B403" s="658" t="s">
        <v>2737</v>
      </c>
      <c r="C403" s="659" t="s">
        <v>1818</v>
      </c>
      <c r="D403" s="678">
        <v>10</v>
      </c>
      <c r="E403" s="679">
        <v>1234.93</v>
      </c>
      <c r="F403" s="678">
        <v>12349.3</v>
      </c>
      <c r="G403" s="660" t="s">
        <v>3438</v>
      </c>
      <c r="H403" s="680" t="s">
        <v>2885</v>
      </c>
      <c r="I403" s="684">
        <v>395</v>
      </c>
    </row>
    <row r="404" spans="1:13" s="7" customFormat="1" ht="42.75">
      <c r="A404" s="661" t="s">
        <v>522</v>
      </c>
      <c r="B404" s="658" t="s">
        <v>2750</v>
      </c>
      <c r="C404" s="659" t="s">
        <v>1818</v>
      </c>
      <c r="D404" s="678">
        <v>10</v>
      </c>
      <c r="E404" s="679">
        <v>2456.5100000000002</v>
      </c>
      <c r="F404" s="678">
        <v>24565.1</v>
      </c>
      <c r="G404" s="660" t="s">
        <v>3439</v>
      </c>
      <c r="H404" s="680" t="s">
        <v>2879</v>
      </c>
      <c r="I404" s="684">
        <v>396</v>
      </c>
    </row>
    <row r="405" spans="1:13" s="7" customFormat="1" ht="42.75">
      <c r="A405" s="661" t="s">
        <v>523</v>
      </c>
      <c r="B405" s="658" t="s">
        <v>2755</v>
      </c>
      <c r="C405" s="659" t="s">
        <v>2679</v>
      </c>
      <c r="D405" s="678">
        <v>10</v>
      </c>
      <c r="E405" s="679">
        <v>329.66</v>
      </c>
      <c r="F405" s="678">
        <v>3296.6</v>
      </c>
      <c r="G405" s="660" t="s">
        <v>3440</v>
      </c>
      <c r="H405" s="680" t="s">
        <v>787</v>
      </c>
      <c r="I405" s="684">
        <v>397</v>
      </c>
    </row>
    <row r="406" spans="1:13" s="7" customFormat="1" ht="47.25">
      <c r="A406" s="661" t="s">
        <v>524</v>
      </c>
      <c r="B406" s="658" t="s">
        <v>913</v>
      </c>
      <c r="C406" s="659" t="s">
        <v>3</v>
      </c>
      <c r="D406" s="678">
        <v>10</v>
      </c>
      <c r="E406" s="679">
        <v>892.77</v>
      </c>
      <c r="F406" s="678">
        <v>8927.7000000000007</v>
      </c>
      <c r="G406" s="660" t="s">
        <v>3441</v>
      </c>
      <c r="H406" s="680" t="s">
        <v>910</v>
      </c>
      <c r="I406" s="684">
        <v>398</v>
      </c>
    </row>
    <row r="407" spans="1:13" s="7" customFormat="1" ht="47.25">
      <c r="A407" s="661" t="s">
        <v>525</v>
      </c>
      <c r="B407" s="658" t="s">
        <v>2778</v>
      </c>
      <c r="C407" s="659" t="s">
        <v>3</v>
      </c>
      <c r="D407" s="678">
        <v>10</v>
      </c>
      <c r="E407" s="679">
        <v>643.32000000000005</v>
      </c>
      <c r="F407" s="678">
        <v>6433.2</v>
      </c>
      <c r="G407" s="660" t="s">
        <v>3442</v>
      </c>
      <c r="H407" s="680" t="s">
        <v>2880</v>
      </c>
      <c r="I407" s="684">
        <v>399</v>
      </c>
    </row>
    <row r="408" spans="1:13" s="7" customFormat="1" ht="28.5">
      <c r="A408" s="661" t="s">
        <v>526</v>
      </c>
      <c r="B408" s="658" t="s">
        <v>3443</v>
      </c>
      <c r="C408" s="659" t="s">
        <v>3444</v>
      </c>
      <c r="D408" s="678">
        <v>2</v>
      </c>
      <c r="E408" s="679">
        <v>2000</v>
      </c>
      <c r="F408" s="678">
        <v>4000</v>
      </c>
      <c r="G408" s="660" t="s">
        <v>3445</v>
      </c>
      <c r="H408" s="680" t="s">
        <v>788</v>
      </c>
      <c r="I408" s="684">
        <v>400</v>
      </c>
    </row>
    <row r="409" spans="1:13" s="7" customFormat="1" ht="28.5">
      <c r="A409" s="661" t="s">
        <v>527</v>
      </c>
      <c r="B409" s="658" t="s">
        <v>3446</v>
      </c>
      <c r="C409" s="659" t="s">
        <v>2447</v>
      </c>
      <c r="D409" s="678">
        <v>10</v>
      </c>
      <c r="E409" s="679">
        <v>15000</v>
      </c>
      <c r="F409" s="678">
        <v>150000</v>
      </c>
      <c r="G409" s="660" t="s">
        <v>3447</v>
      </c>
      <c r="H409" s="680" t="s">
        <v>911</v>
      </c>
      <c r="I409" s="684">
        <v>401</v>
      </c>
    </row>
    <row r="410" spans="1:13" s="7" customFormat="1" ht="28.5">
      <c r="A410" s="661" t="s">
        <v>528</v>
      </c>
      <c r="B410" s="658" t="s">
        <v>2462</v>
      </c>
      <c r="C410" s="659" t="s">
        <v>927</v>
      </c>
      <c r="D410" s="678">
        <v>15</v>
      </c>
      <c r="E410" s="679">
        <v>180</v>
      </c>
      <c r="F410" s="678">
        <v>2700</v>
      </c>
      <c r="G410" s="660" t="s">
        <v>2463</v>
      </c>
      <c r="H410" s="680" t="s">
        <v>2956</v>
      </c>
      <c r="I410" s="684">
        <v>402</v>
      </c>
    </row>
    <row r="411" spans="1:13" s="7" customFormat="1" ht="31.5">
      <c r="A411" s="656" t="s">
        <v>2881</v>
      </c>
      <c r="B411" s="655" t="s">
        <v>3649</v>
      </c>
      <c r="C411" s="665" t="s">
        <v>3</v>
      </c>
      <c r="D411" s="666">
        <v>1</v>
      </c>
      <c r="E411" s="663">
        <v>745</v>
      </c>
      <c r="F411" s="666">
        <v>754.98</v>
      </c>
      <c r="G411" s="664"/>
      <c r="H411" s="668" t="s">
        <v>3965</v>
      </c>
      <c r="I411" s="44">
        <v>403</v>
      </c>
      <c r="K411"/>
      <c r="L411"/>
      <c r="M411"/>
    </row>
    <row r="412" spans="1:13" s="7" customFormat="1" ht="31.5">
      <c r="A412" s="656" t="s">
        <v>2882</v>
      </c>
      <c r="B412" s="655" t="s">
        <v>3650</v>
      </c>
      <c r="C412" s="665" t="s">
        <v>3</v>
      </c>
      <c r="D412" s="666">
        <v>1</v>
      </c>
      <c r="E412" s="663">
        <v>830</v>
      </c>
      <c r="F412" s="666">
        <v>839.74</v>
      </c>
      <c r="G412" s="664"/>
      <c r="H412" s="668" t="s">
        <v>3966</v>
      </c>
      <c r="I412" s="44">
        <v>404</v>
      </c>
      <c r="K412"/>
      <c r="L412"/>
      <c r="M412"/>
    </row>
    <row r="413" spans="1:13" s="7" customFormat="1" ht="31.5">
      <c r="A413" s="656" t="s">
        <v>3662</v>
      </c>
      <c r="B413" s="655" t="s">
        <v>3651</v>
      </c>
      <c r="C413" s="665" t="s">
        <v>3</v>
      </c>
      <c r="D413" s="666">
        <v>1</v>
      </c>
      <c r="E413" s="663">
        <v>925</v>
      </c>
      <c r="F413" s="666">
        <v>938.63</v>
      </c>
      <c r="G413" s="664"/>
      <c r="H413" s="668" t="s">
        <v>3967</v>
      </c>
      <c r="I413" s="44">
        <v>405</v>
      </c>
      <c r="K413"/>
      <c r="L413"/>
      <c r="M413"/>
    </row>
    <row r="414" spans="1:13" s="7" customFormat="1" ht="31.5">
      <c r="A414" s="656" t="s">
        <v>3663</v>
      </c>
      <c r="B414" s="655" t="s">
        <v>3652</v>
      </c>
      <c r="C414" s="665" t="s">
        <v>1689</v>
      </c>
      <c r="D414" s="666">
        <v>1</v>
      </c>
      <c r="E414" s="663">
        <v>465</v>
      </c>
      <c r="F414" s="666">
        <v>640.57000000000005</v>
      </c>
      <c r="G414" s="667" t="s">
        <v>3968</v>
      </c>
      <c r="H414" s="668" t="s">
        <v>3969</v>
      </c>
      <c r="I414" s="44">
        <v>406</v>
      </c>
      <c r="K414"/>
      <c r="M414"/>
    </row>
    <row r="415" spans="1:13" s="7" customFormat="1">
      <c r="A415" s="656" t="s">
        <v>3664</v>
      </c>
      <c r="B415" s="655" t="s">
        <v>3659</v>
      </c>
      <c r="C415" s="665" t="s">
        <v>3</v>
      </c>
      <c r="D415" s="666">
        <v>1</v>
      </c>
      <c r="E415" s="663">
        <v>1700</v>
      </c>
      <c r="F415" s="666">
        <v>1701.08</v>
      </c>
      <c r="G415" s="664"/>
      <c r="H415" s="668" t="s">
        <v>3972</v>
      </c>
      <c r="I415" s="44">
        <v>409</v>
      </c>
      <c r="K415"/>
      <c r="L415"/>
      <c r="M415"/>
    </row>
    <row r="416" spans="1:13" s="7" customFormat="1">
      <c r="A416" s="656" t="s">
        <v>3665</v>
      </c>
      <c r="B416" s="681" t="s">
        <v>3652</v>
      </c>
      <c r="C416" s="681" t="s">
        <v>1689</v>
      </c>
      <c r="D416" s="666">
        <v>1</v>
      </c>
      <c r="E416" s="663">
        <v>640.57000000000005</v>
      </c>
      <c r="F416" s="666">
        <v>2528.65</v>
      </c>
      <c r="G416" s="664"/>
      <c r="H416" s="668" t="s">
        <v>3973</v>
      </c>
      <c r="I416" s="44">
        <v>410</v>
      </c>
      <c r="K416"/>
      <c r="L416"/>
      <c r="M416"/>
    </row>
    <row r="417" spans="1:13" s="7" customFormat="1">
      <c r="A417" s="656" t="s">
        <v>3666</v>
      </c>
      <c r="B417" s="681" t="s">
        <v>3654</v>
      </c>
      <c r="C417" s="681" t="s">
        <v>1689</v>
      </c>
      <c r="D417" s="666">
        <v>1</v>
      </c>
      <c r="E417" s="663">
        <v>498.73</v>
      </c>
      <c r="F417" s="666">
        <v>3440.2</v>
      </c>
      <c r="G417" s="664"/>
      <c r="H417" s="668" t="s">
        <v>3974</v>
      </c>
      <c r="I417" s="44">
        <v>411</v>
      </c>
      <c r="K417"/>
      <c r="L417"/>
      <c r="M417"/>
    </row>
    <row r="418" spans="1:13" s="7" customFormat="1">
      <c r="A418" s="656" t="s">
        <v>3667</v>
      </c>
      <c r="B418" s="681" t="s">
        <v>3971</v>
      </c>
      <c r="C418" s="681" t="s">
        <v>1</v>
      </c>
      <c r="D418" s="666">
        <v>1</v>
      </c>
      <c r="E418" s="663">
        <v>1050.81</v>
      </c>
      <c r="F418" s="666">
        <v>115.28</v>
      </c>
      <c r="G418" s="664"/>
      <c r="H418" s="664">
        <v>315030</v>
      </c>
      <c r="I418" s="44">
        <v>412</v>
      </c>
      <c r="K418"/>
      <c r="L418"/>
      <c r="M418"/>
    </row>
    <row r="419" spans="1:13" s="7" customFormat="1">
      <c r="A419" s="656" t="s">
        <v>3668</v>
      </c>
      <c r="B419" s="681" t="s">
        <v>3657</v>
      </c>
      <c r="C419" s="681" t="s">
        <v>3658</v>
      </c>
      <c r="D419" s="666">
        <v>1</v>
      </c>
      <c r="E419" s="663">
        <v>2528.65</v>
      </c>
      <c r="F419" s="666">
        <v>366.67</v>
      </c>
      <c r="G419" s="664"/>
      <c r="H419" s="668" t="s">
        <v>3975</v>
      </c>
      <c r="I419" s="44">
        <v>413</v>
      </c>
      <c r="K419"/>
      <c r="L419"/>
      <c r="M419"/>
    </row>
    <row r="420" spans="1:13" s="7" customFormat="1">
      <c r="A420" s="656" t="s">
        <v>3976</v>
      </c>
      <c r="B420" s="681" t="s">
        <v>3641</v>
      </c>
      <c r="C420" s="681" t="s">
        <v>1875</v>
      </c>
      <c r="D420" s="666">
        <v>1</v>
      </c>
      <c r="E420" s="663">
        <v>3440.2</v>
      </c>
      <c r="F420" s="666">
        <v>3440.2</v>
      </c>
      <c r="G420" s="664"/>
      <c r="H420" s="668" t="s">
        <v>3974</v>
      </c>
      <c r="I420" s="44">
        <v>411</v>
      </c>
      <c r="K420"/>
      <c r="L420"/>
      <c r="M420"/>
    </row>
    <row r="421" spans="1:13" s="7" customFormat="1">
      <c r="A421" s="656" t="s">
        <v>3977</v>
      </c>
      <c r="B421" s="681" t="s">
        <v>3642</v>
      </c>
      <c r="C421" s="681" t="s">
        <v>17</v>
      </c>
      <c r="D421" s="666">
        <v>1</v>
      </c>
      <c r="E421" s="663">
        <v>115.28</v>
      </c>
      <c r="F421" s="666">
        <v>115.28</v>
      </c>
      <c r="G421" s="664"/>
      <c r="H421" s="664">
        <v>315030</v>
      </c>
      <c r="I421" s="44">
        <v>412</v>
      </c>
      <c r="K421"/>
      <c r="L421"/>
      <c r="M421"/>
    </row>
    <row r="422" spans="1:13" s="7" customFormat="1">
      <c r="A422" s="656" t="s">
        <v>3978</v>
      </c>
      <c r="B422" s="682" t="s">
        <v>3660</v>
      </c>
      <c r="C422" s="671" t="s">
        <v>3</v>
      </c>
      <c r="D422" s="666">
        <v>1</v>
      </c>
      <c r="E422" s="663">
        <v>366.67</v>
      </c>
      <c r="F422" s="666">
        <v>366.67</v>
      </c>
      <c r="G422" s="664"/>
      <c r="H422" s="668" t="s">
        <v>3975</v>
      </c>
      <c r="I422" s="44">
        <v>413</v>
      </c>
      <c r="K422"/>
      <c r="L422"/>
      <c r="M422"/>
    </row>
    <row r="423" spans="1:13" ht="28.5">
      <c r="A423" s="657" t="s">
        <v>3448</v>
      </c>
      <c r="B423" s="658" t="s">
        <v>3449</v>
      </c>
      <c r="C423" s="659" t="s">
        <v>14</v>
      </c>
      <c r="D423" s="678">
        <v>1</v>
      </c>
      <c r="E423" s="679"/>
      <c r="F423" s="678">
        <v>226373</v>
      </c>
      <c r="G423" s="660" t="s">
        <v>3450</v>
      </c>
      <c r="H423" s="680"/>
      <c r="I423" s="684"/>
    </row>
    <row r="424" spans="1:13" ht="47.25">
      <c r="A424" s="661" t="s">
        <v>337</v>
      </c>
      <c r="B424" s="658" t="s">
        <v>3451</v>
      </c>
      <c r="C424" s="659" t="s">
        <v>1689</v>
      </c>
      <c r="D424" s="678">
        <v>20</v>
      </c>
      <c r="E424" s="679">
        <v>1750</v>
      </c>
      <c r="F424" s="678">
        <v>35000</v>
      </c>
      <c r="G424" s="660" t="s">
        <v>3452</v>
      </c>
      <c r="H424" s="680"/>
      <c r="I424" s="684"/>
    </row>
    <row r="425" spans="1:13" ht="63">
      <c r="A425" s="661" t="s">
        <v>338</v>
      </c>
      <c r="B425" s="658" t="s">
        <v>3453</v>
      </c>
      <c r="C425" s="659" t="s">
        <v>2679</v>
      </c>
      <c r="D425" s="678">
        <v>16</v>
      </c>
      <c r="E425" s="679">
        <v>250</v>
      </c>
      <c r="F425" s="678">
        <v>4000</v>
      </c>
      <c r="G425" s="660" t="s">
        <v>3454</v>
      </c>
      <c r="H425" s="680"/>
      <c r="I425" s="684"/>
    </row>
    <row r="426" spans="1:13" ht="63">
      <c r="A426" s="661" t="s">
        <v>339</v>
      </c>
      <c r="B426" s="658" t="s">
        <v>3455</v>
      </c>
      <c r="C426" s="659" t="s">
        <v>1689</v>
      </c>
      <c r="D426" s="678">
        <v>10</v>
      </c>
      <c r="E426" s="679">
        <v>1500</v>
      </c>
      <c r="F426" s="678">
        <v>15000</v>
      </c>
      <c r="G426" s="660" t="s">
        <v>3456</v>
      </c>
      <c r="H426" s="680"/>
      <c r="I426" s="684"/>
    </row>
    <row r="427" spans="1:13" ht="63">
      <c r="A427" s="661" t="s">
        <v>340</v>
      </c>
      <c r="B427" s="658" t="s">
        <v>3457</v>
      </c>
      <c r="C427" s="659" t="s">
        <v>1689</v>
      </c>
      <c r="D427" s="678">
        <v>10</v>
      </c>
      <c r="E427" s="679">
        <v>1500</v>
      </c>
      <c r="F427" s="678">
        <v>15000</v>
      </c>
      <c r="G427" s="660" t="s">
        <v>3458</v>
      </c>
      <c r="H427" s="680"/>
      <c r="I427" s="684"/>
    </row>
    <row r="428" spans="1:13" ht="63">
      <c r="A428" s="661" t="s">
        <v>341</v>
      </c>
      <c r="B428" s="658" t="s">
        <v>3459</v>
      </c>
      <c r="C428" s="659" t="s">
        <v>1689</v>
      </c>
      <c r="D428" s="678">
        <v>5</v>
      </c>
      <c r="E428" s="679">
        <v>3000</v>
      </c>
      <c r="F428" s="678">
        <v>15000</v>
      </c>
      <c r="G428" s="660" t="s">
        <v>3460</v>
      </c>
      <c r="H428" s="680"/>
      <c r="I428" s="684"/>
    </row>
    <row r="429" spans="1:13" ht="63">
      <c r="A429" s="661" t="s">
        <v>342</v>
      </c>
      <c r="B429" s="658" t="s">
        <v>3461</v>
      </c>
      <c r="C429" s="659" t="s">
        <v>1689</v>
      </c>
      <c r="D429" s="678">
        <v>2</v>
      </c>
      <c r="E429" s="679">
        <v>6000</v>
      </c>
      <c r="F429" s="678">
        <v>12000</v>
      </c>
      <c r="G429" s="660" t="s">
        <v>3462</v>
      </c>
      <c r="H429" s="680"/>
      <c r="I429" s="684"/>
    </row>
    <row r="430" spans="1:13" ht="63">
      <c r="A430" s="661" t="s">
        <v>343</v>
      </c>
      <c r="B430" s="658" t="s">
        <v>3463</v>
      </c>
      <c r="C430" s="659" t="s">
        <v>1689</v>
      </c>
      <c r="D430" s="678">
        <v>1</v>
      </c>
      <c r="E430" s="679">
        <v>12000</v>
      </c>
      <c r="F430" s="678">
        <v>12000</v>
      </c>
      <c r="G430" s="660" t="s">
        <v>3464</v>
      </c>
      <c r="H430" s="680"/>
      <c r="I430" s="684"/>
    </row>
    <row r="431" spans="1:13" ht="63">
      <c r="A431" s="661" t="s">
        <v>344</v>
      </c>
      <c r="B431" s="658" t="s">
        <v>3465</v>
      </c>
      <c r="C431" s="659" t="s">
        <v>2238</v>
      </c>
      <c r="D431" s="678">
        <v>1</v>
      </c>
      <c r="E431" s="679">
        <v>1000</v>
      </c>
      <c r="F431" s="678">
        <v>1000</v>
      </c>
      <c r="G431" s="660" t="s">
        <v>3466</v>
      </c>
      <c r="H431" s="680"/>
      <c r="I431" s="684"/>
    </row>
    <row r="432" spans="1:13" ht="47.25">
      <c r="A432" s="661" t="s">
        <v>345</v>
      </c>
      <c r="B432" s="658" t="s">
        <v>3467</v>
      </c>
      <c r="C432" s="659" t="s">
        <v>1689</v>
      </c>
      <c r="D432" s="678">
        <v>1</v>
      </c>
      <c r="E432" s="679">
        <v>8000</v>
      </c>
      <c r="F432" s="678">
        <v>8000</v>
      </c>
      <c r="G432" s="660" t="s">
        <v>3468</v>
      </c>
      <c r="H432" s="680"/>
      <c r="I432" s="684"/>
    </row>
    <row r="433" spans="1:9" ht="47.25">
      <c r="A433" s="661" t="s">
        <v>346</v>
      </c>
      <c r="B433" s="658" t="s">
        <v>3469</v>
      </c>
      <c r="C433" s="659" t="s">
        <v>1689</v>
      </c>
      <c r="D433" s="678">
        <v>1</v>
      </c>
      <c r="E433" s="679">
        <v>4000</v>
      </c>
      <c r="F433" s="678">
        <v>4000</v>
      </c>
      <c r="G433" s="660" t="s">
        <v>3470</v>
      </c>
      <c r="H433" s="24"/>
      <c r="I433" s="684"/>
    </row>
    <row r="434" spans="1:9" ht="63">
      <c r="A434" s="661" t="s">
        <v>347</v>
      </c>
      <c r="B434" s="658" t="s">
        <v>3471</v>
      </c>
      <c r="C434" s="659" t="s">
        <v>1689</v>
      </c>
      <c r="D434" s="678">
        <v>1</v>
      </c>
      <c r="E434" s="679">
        <v>2000</v>
      </c>
      <c r="F434" s="678">
        <v>2000</v>
      </c>
      <c r="G434" s="660" t="s">
        <v>3472</v>
      </c>
      <c r="H434" s="683"/>
      <c r="I434" s="684"/>
    </row>
    <row r="435" spans="1:9" ht="47.25">
      <c r="A435" s="661" t="s">
        <v>348</v>
      </c>
      <c r="B435" s="658" t="s">
        <v>3473</v>
      </c>
      <c r="C435" s="659" t="s">
        <v>1875</v>
      </c>
      <c r="D435" s="678">
        <v>2</v>
      </c>
      <c r="E435" s="679">
        <v>4000</v>
      </c>
      <c r="F435" s="678">
        <v>8000</v>
      </c>
      <c r="G435" s="660" t="s">
        <v>3474</v>
      </c>
      <c r="H435" s="683"/>
      <c r="I435" s="684"/>
    </row>
    <row r="436" spans="1:9" ht="63">
      <c r="A436" s="661" t="s">
        <v>349</v>
      </c>
      <c r="B436" s="658" t="s">
        <v>3475</v>
      </c>
      <c r="C436" s="659" t="s">
        <v>1689</v>
      </c>
      <c r="D436" s="678">
        <v>2</v>
      </c>
      <c r="E436" s="679">
        <v>6000</v>
      </c>
      <c r="F436" s="678">
        <v>12000</v>
      </c>
      <c r="G436" s="660" t="s">
        <v>3476</v>
      </c>
      <c r="H436" s="683"/>
      <c r="I436" s="684"/>
    </row>
    <row r="437" spans="1:9" ht="47.25">
      <c r="A437" s="661" t="s">
        <v>350</v>
      </c>
      <c r="B437" s="658" t="s">
        <v>3477</v>
      </c>
      <c r="C437" s="659" t="s">
        <v>3478</v>
      </c>
      <c r="D437" s="678">
        <v>2</v>
      </c>
      <c r="E437" s="679">
        <v>1300</v>
      </c>
      <c r="F437" s="678">
        <v>2600</v>
      </c>
      <c r="G437" s="660" t="s">
        <v>3479</v>
      </c>
      <c r="H437" s="683"/>
      <c r="I437" s="684"/>
    </row>
    <row r="438" spans="1:9" ht="47.25">
      <c r="A438" s="661" t="s">
        <v>351</v>
      </c>
      <c r="B438" s="658" t="s">
        <v>3480</v>
      </c>
      <c r="C438" s="659" t="s">
        <v>2490</v>
      </c>
      <c r="D438" s="678">
        <v>1</v>
      </c>
      <c r="E438" s="679">
        <v>12000</v>
      </c>
      <c r="F438" s="678">
        <v>12000</v>
      </c>
      <c r="G438" s="660" t="s">
        <v>3481</v>
      </c>
      <c r="H438" s="683"/>
      <c r="I438" s="684"/>
    </row>
    <row r="439" spans="1:9" ht="31.5">
      <c r="A439" s="661" t="s">
        <v>352</v>
      </c>
      <c r="B439" s="658" t="s">
        <v>3482</v>
      </c>
      <c r="C439" s="659" t="s">
        <v>1689</v>
      </c>
      <c r="D439" s="678">
        <v>2</v>
      </c>
      <c r="E439" s="679">
        <v>6000</v>
      </c>
      <c r="F439" s="678">
        <v>12000</v>
      </c>
      <c r="G439" s="660" t="s">
        <v>3483</v>
      </c>
      <c r="H439" s="683"/>
      <c r="I439" s="684"/>
    </row>
    <row r="440" spans="1:9" ht="42.75">
      <c r="A440" s="661" t="s">
        <v>353</v>
      </c>
      <c r="B440" s="658" t="s">
        <v>3482</v>
      </c>
      <c r="C440" s="659" t="s">
        <v>1497</v>
      </c>
      <c r="D440" s="678">
        <v>5</v>
      </c>
      <c r="E440" s="679">
        <v>1500</v>
      </c>
      <c r="F440" s="678">
        <v>7500</v>
      </c>
      <c r="G440" s="660" t="s">
        <v>3484</v>
      </c>
      <c r="H440" s="683"/>
      <c r="I440" s="684"/>
    </row>
    <row r="441" spans="1:9" ht="31.5">
      <c r="A441" s="661" t="s">
        <v>458</v>
      </c>
      <c r="B441" s="658" t="s">
        <v>3485</v>
      </c>
      <c r="C441" s="659" t="s">
        <v>1689</v>
      </c>
      <c r="D441" s="678">
        <v>2</v>
      </c>
      <c r="E441" s="679">
        <v>6000</v>
      </c>
      <c r="F441" s="678">
        <v>12000</v>
      </c>
      <c r="G441" s="660" t="s">
        <v>3486</v>
      </c>
      <c r="H441" s="683"/>
      <c r="I441" s="684"/>
    </row>
    <row r="442" spans="1:9" ht="42.75">
      <c r="A442" s="661" t="s">
        <v>459</v>
      </c>
      <c r="B442" s="658" t="s">
        <v>3485</v>
      </c>
      <c r="C442" s="659" t="s">
        <v>1497</v>
      </c>
      <c r="D442" s="678">
        <v>5</v>
      </c>
      <c r="E442" s="679">
        <v>1000</v>
      </c>
      <c r="F442" s="678">
        <v>5000</v>
      </c>
      <c r="G442" s="660" t="s">
        <v>3487</v>
      </c>
      <c r="H442" s="683"/>
      <c r="I442" s="684"/>
    </row>
    <row r="443" spans="1:9" ht="28.5">
      <c r="A443" s="661" t="s">
        <v>460</v>
      </c>
      <c r="B443" s="658" t="s">
        <v>3488</v>
      </c>
      <c r="C443" s="659" t="s">
        <v>1689</v>
      </c>
      <c r="D443" s="678">
        <v>2</v>
      </c>
      <c r="E443" s="679">
        <v>6000</v>
      </c>
      <c r="F443" s="678">
        <v>12000</v>
      </c>
      <c r="G443" s="660" t="s">
        <v>3489</v>
      </c>
      <c r="H443" s="683"/>
      <c r="I443" s="684"/>
    </row>
    <row r="444" spans="1:9" ht="31.5">
      <c r="A444" s="661" t="s">
        <v>529</v>
      </c>
      <c r="B444" s="658" t="s">
        <v>3490</v>
      </c>
      <c r="C444" s="659" t="s">
        <v>1689</v>
      </c>
      <c r="D444" s="678">
        <v>2</v>
      </c>
      <c r="E444" s="679">
        <v>6000</v>
      </c>
      <c r="F444" s="678">
        <v>12000</v>
      </c>
      <c r="G444" s="660" t="s">
        <v>3491</v>
      </c>
      <c r="H444" s="683"/>
      <c r="I444" s="684"/>
    </row>
    <row r="445" spans="1:9" ht="28.5">
      <c r="A445" s="661" t="s">
        <v>530</v>
      </c>
      <c r="B445" s="658" t="s">
        <v>3492</v>
      </c>
      <c r="C445" s="659" t="s">
        <v>1689</v>
      </c>
      <c r="D445" s="678">
        <v>2</v>
      </c>
      <c r="E445" s="679">
        <v>1000</v>
      </c>
      <c r="F445" s="678">
        <v>2000</v>
      </c>
      <c r="G445" s="660" t="s">
        <v>3493</v>
      </c>
      <c r="H445" s="683"/>
      <c r="I445" s="684"/>
    </row>
    <row r="446" spans="1:9" ht="31.5">
      <c r="A446" s="661" t="s">
        <v>531</v>
      </c>
      <c r="B446" s="658" t="s">
        <v>1772</v>
      </c>
      <c r="C446" s="659" t="s">
        <v>1497</v>
      </c>
      <c r="D446" s="678">
        <v>1</v>
      </c>
      <c r="E446" s="679">
        <v>6273</v>
      </c>
      <c r="F446" s="678">
        <v>6273</v>
      </c>
      <c r="G446" s="660" t="s">
        <v>1773</v>
      </c>
      <c r="H446" s="683"/>
      <c r="I446" s="684"/>
    </row>
    <row r="447" spans="1:9">
      <c r="A447" s="657" t="s">
        <v>3494</v>
      </c>
      <c r="B447" s="658" t="s">
        <v>3495</v>
      </c>
      <c r="C447" s="659" t="s">
        <v>14</v>
      </c>
      <c r="D447" s="678">
        <v>1</v>
      </c>
      <c r="E447" s="679"/>
      <c r="F447" s="678">
        <v>457193.04</v>
      </c>
      <c r="G447" s="660" t="s">
        <v>3496</v>
      </c>
      <c r="H447" s="683"/>
      <c r="I447" s="684"/>
    </row>
    <row r="448" spans="1:9" ht="42.75">
      <c r="A448" s="661" t="s">
        <v>354</v>
      </c>
      <c r="B448" s="658" t="s">
        <v>2781</v>
      </c>
      <c r="C448" s="659" t="s">
        <v>2782</v>
      </c>
      <c r="D448" s="678">
        <v>2920</v>
      </c>
      <c r="E448" s="679">
        <v>51.06</v>
      </c>
      <c r="F448" s="678">
        <v>149095.20000000001</v>
      </c>
      <c r="G448" s="660" t="s">
        <v>3497</v>
      </c>
      <c r="H448" s="683"/>
      <c r="I448" s="684"/>
    </row>
    <row r="449" spans="1:9" ht="42.75">
      <c r="A449" s="661" t="s">
        <v>355</v>
      </c>
      <c r="B449" s="658" t="s">
        <v>2785</v>
      </c>
      <c r="C449" s="659" t="s">
        <v>2786</v>
      </c>
      <c r="D449" s="678">
        <v>24</v>
      </c>
      <c r="E449" s="679">
        <v>12837.41</v>
      </c>
      <c r="F449" s="678">
        <v>308097.84000000003</v>
      </c>
      <c r="G449" s="660" t="s">
        <v>3498</v>
      </c>
      <c r="H449" s="683"/>
      <c r="I449" s="684"/>
    </row>
    <row r="450" spans="1:9" ht="31.5">
      <c r="A450" s="657" t="s">
        <v>3499</v>
      </c>
      <c r="B450" s="658" t="s">
        <v>3500</v>
      </c>
      <c r="C450" s="659" t="s">
        <v>14</v>
      </c>
      <c r="D450" s="678">
        <v>1</v>
      </c>
      <c r="E450" s="679"/>
      <c r="F450" s="678">
        <v>15300</v>
      </c>
      <c r="G450" s="660" t="s">
        <v>3501</v>
      </c>
      <c r="H450" s="683"/>
      <c r="I450" s="684"/>
    </row>
    <row r="451" spans="1:9" ht="31.5">
      <c r="A451" s="661" t="s">
        <v>356</v>
      </c>
      <c r="B451" s="658" t="s">
        <v>3502</v>
      </c>
      <c r="C451" s="659" t="s">
        <v>3503</v>
      </c>
      <c r="D451" s="678">
        <v>2</v>
      </c>
      <c r="E451" s="679">
        <v>2300</v>
      </c>
      <c r="F451" s="678">
        <v>4600</v>
      </c>
      <c r="G451" s="660" t="s">
        <v>3504</v>
      </c>
      <c r="H451" s="683"/>
      <c r="I451" s="684"/>
    </row>
    <row r="452" spans="1:9" ht="31.5">
      <c r="A452" s="661" t="s">
        <v>357</v>
      </c>
      <c r="B452" s="658" t="s">
        <v>3505</v>
      </c>
      <c r="C452" s="659" t="s">
        <v>3503</v>
      </c>
      <c r="D452" s="678">
        <v>2</v>
      </c>
      <c r="E452" s="679">
        <v>4100</v>
      </c>
      <c r="F452" s="678">
        <v>8200</v>
      </c>
      <c r="G452" s="660" t="s">
        <v>3506</v>
      </c>
      <c r="H452" s="683"/>
      <c r="I452" s="684"/>
    </row>
    <row r="453" spans="1:9" ht="31.5">
      <c r="A453" s="661" t="s">
        <v>358</v>
      </c>
      <c r="B453" s="658" t="s">
        <v>3507</v>
      </c>
      <c r="C453" s="659" t="s">
        <v>3503</v>
      </c>
      <c r="D453" s="678">
        <v>2</v>
      </c>
      <c r="E453" s="679">
        <v>1250</v>
      </c>
      <c r="F453" s="678">
        <v>2500</v>
      </c>
      <c r="G453" s="660" t="s">
        <v>3508</v>
      </c>
      <c r="H453" s="683"/>
      <c r="I453" s="684"/>
    </row>
    <row r="454" spans="1:9" ht="71.25">
      <c r="A454" s="657" t="s">
        <v>3509</v>
      </c>
      <c r="B454" s="658" t="s">
        <v>3510</v>
      </c>
      <c r="C454" s="659" t="s">
        <v>14</v>
      </c>
      <c r="D454" s="678">
        <v>1</v>
      </c>
      <c r="E454" s="679"/>
      <c r="F454" s="678">
        <v>901129.1</v>
      </c>
      <c r="G454" s="660" t="s">
        <v>3511</v>
      </c>
      <c r="H454" s="683"/>
      <c r="I454" s="684"/>
    </row>
    <row r="455" spans="1:9" ht="47.25">
      <c r="A455" s="661" t="s">
        <v>359</v>
      </c>
      <c r="B455" s="658" t="s">
        <v>3512</v>
      </c>
      <c r="C455" s="659" t="s">
        <v>3513</v>
      </c>
      <c r="D455" s="678">
        <v>50</v>
      </c>
      <c r="E455" s="679">
        <v>206</v>
      </c>
      <c r="F455" s="678">
        <v>10300</v>
      </c>
      <c r="G455" s="660" t="s">
        <v>3514</v>
      </c>
      <c r="H455" s="683"/>
      <c r="I455" s="684"/>
    </row>
    <row r="456" spans="1:9" ht="71.25">
      <c r="A456" s="661" t="s">
        <v>360</v>
      </c>
      <c r="B456" s="658" t="s">
        <v>3515</v>
      </c>
      <c r="C456" s="659" t="s">
        <v>3513</v>
      </c>
      <c r="D456" s="678">
        <v>50</v>
      </c>
      <c r="E456" s="679">
        <v>587.1</v>
      </c>
      <c r="F456" s="678">
        <v>29355</v>
      </c>
      <c r="G456" s="660" t="s">
        <v>3516</v>
      </c>
      <c r="H456" s="683"/>
      <c r="I456" s="684"/>
    </row>
    <row r="457" spans="1:9" ht="47.25">
      <c r="A457" s="661" t="s">
        <v>361</v>
      </c>
      <c r="B457" s="658" t="s">
        <v>3517</v>
      </c>
      <c r="C457" s="659" t="s">
        <v>1818</v>
      </c>
      <c r="D457" s="678">
        <v>20</v>
      </c>
      <c r="E457" s="679">
        <v>5974</v>
      </c>
      <c r="F457" s="678">
        <v>119480</v>
      </c>
      <c r="G457" s="660" t="s">
        <v>3518</v>
      </c>
      <c r="H457" s="683"/>
      <c r="I457" s="684"/>
    </row>
    <row r="458" spans="1:9" ht="28.5">
      <c r="A458" s="661" t="s">
        <v>362</v>
      </c>
      <c r="B458" s="658" t="s">
        <v>3519</v>
      </c>
      <c r="C458" s="659" t="s">
        <v>1818</v>
      </c>
      <c r="D458" s="678">
        <v>20</v>
      </c>
      <c r="E458" s="679">
        <v>1230.75</v>
      </c>
      <c r="F458" s="678">
        <v>24615</v>
      </c>
      <c r="G458" s="660" t="s">
        <v>3520</v>
      </c>
      <c r="H458" s="683"/>
      <c r="I458" s="684"/>
    </row>
    <row r="459" spans="1:9" ht="28.5">
      <c r="A459" s="661" t="s">
        <v>363</v>
      </c>
      <c r="B459" s="658" t="s">
        <v>3521</v>
      </c>
      <c r="C459" s="659" t="s">
        <v>2679</v>
      </c>
      <c r="D459" s="678">
        <v>150</v>
      </c>
      <c r="E459" s="679">
        <v>212.9</v>
      </c>
      <c r="F459" s="678">
        <v>31935</v>
      </c>
      <c r="G459" s="660" t="s">
        <v>3522</v>
      </c>
      <c r="H459" s="683"/>
      <c r="I459" s="684"/>
    </row>
    <row r="460" spans="1:9" ht="31.5">
      <c r="A460" s="661" t="s">
        <v>364</v>
      </c>
      <c r="B460" s="658" t="s">
        <v>3523</v>
      </c>
      <c r="C460" s="659" t="s">
        <v>2679</v>
      </c>
      <c r="D460" s="678">
        <v>150</v>
      </c>
      <c r="E460" s="679">
        <v>217.02</v>
      </c>
      <c r="F460" s="678">
        <v>32553</v>
      </c>
      <c r="G460" s="660" t="s">
        <v>3524</v>
      </c>
      <c r="H460" s="683"/>
      <c r="I460" s="684"/>
    </row>
    <row r="461" spans="1:9" ht="28.5">
      <c r="A461" s="661" t="s">
        <v>365</v>
      </c>
      <c r="B461" s="658" t="s">
        <v>3525</v>
      </c>
      <c r="C461" s="659" t="s">
        <v>1497</v>
      </c>
      <c r="D461" s="678">
        <v>100</v>
      </c>
      <c r="E461" s="679">
        <v>50</v>
      </c>
      <c r="F461" s="678">
        <v>5000</v>
      </c>
      <c r="G461" s="660" t="s">
        <v>3526</v>
      </c>
      <c r="H461" s="683"/>
      <c r="I461" s="684"/>
    </row>
    <row r="462" spans="1:9" ht="84.6" customHeight="1">
      <c r="A462" s="661" t="s">
        <v>366</v>
      </c>
      <c r="B462" s="658" t="s">
        <v>3527</v>
      </c>
      <c r="C462" s="659" t="s">
        <v>1818</v>
      </c>
      <c r="D462" s="678">
        <v>50</v>
      </c>
      <c r="E462" s="679">
        <v>2041.05</v>
      </c>
      <c r="F462" s="678">
        <v>102052.5</v>
      </c>
      <c r="G462" s="660" t="s">
        <v>3528</v>
      </c>
      <c r="H462" s="683"/>
      <c r="I462" s="684"/>
    </row>
    <row r="463" spans="1:9" ht="31.5">
      <c r="A463" s="661" t="s">
        <v>367</v>
      </c>
      <c r="B463" s="658" t="s">
        <v>3529</v>
      </c>
      <c r="C463" s="659" t="s">
        <v>1818</v>
      </c>
      <c r="D463" s="678">
        <v>50</v>
      </c>
      <c r="E463" s="679">
        <v>1894.79</v>
      </c>
      <c r="F463" s="678">
        <v>94739.5</v>
      </c>
      <c r="G463" s="660" t="s">
        <v>3530</v>
      </c>
      <c r="H463" s="683"/>
      <c r="I463" s="684"/>
    </row>
    <row r="464" spans="1:9" ht="31.5">
      <c r="A464" s="661" t="s">
        <v>368</v>
      </c>
      <c r="B464" s="658" t="s">
        <v>3531</v>
      </c>
      <c r="C464" s="659" t="s">
        <v>1818</v>
      </c>
      <c r="D464" s="678">
        <v>30</v>
      </c>
      <c r="E464" s="679">
        <v>3095.77</v>
      </c>
      <c r="F464" s="678">
        <v>92873.1</v>
      </c>
      <c r="G464" s="660" t="s">
        <v>3532</v>
      </c>
      <c r="H464" s="683"/>
      <c r="I464" s="684"/>
    </row>
    <row r="465" spans="1:9" ht="31.5">
      <c r="A465" s="661" t="s">
        <v>369</v>
      </c>
      <c r="B465" s="658" t="s">
        <v>3533</v>
      </c>
      <c r="C465" s="659" t="s">
        <v>1818</v>
      </c>
      <c r="D465" s="678">
        <v>20</v>
      </c>
      <c r="E465" s="679">
        <v>3919.77</v>
      </c>
      <c r="F465" s="678">
        <v>78395.399999999994</v>
      </c>
      <c r="G465" s="660" t="s">
        <v>3534</v>
      </c>
      <c r="H465" s="683"/>
      <c r="I465" s="684"/>
    </row>
    <row r="466" spans="1:9" ht="28.5">
      <c r="A466" s="661" t="s">
        <v>370</v>
      </c>
      <c r="B466" s="658" t="s">
        <v>3535</v>
      </c>
      <c r="C466" s="659" t="s">
        <v>1818</v>
      </c>
      <c r="D466" s="678">
        <v>50</v>
      </c>
      <c r="E466" s="679">
        <v>1666.11</v>
      </c>
      <c r="F466" s="678">
        <v>83305.5</v>
      </c>
      <c r="G466" s="660" t="s">
        <v>3536</v>
      </c>
      <c r="H466" s="683"/>
      <c r="I466" s="684"/>
    </row>
    <row r="467" spans="1:9" ht="28.5">
      <c r="A467" s="661" t="s">
        <v>371</v>
      </c>
      <c r="B467" s="658" t="s">
        <v>3537</v>
      </c>
      <c r="C467" s="659" t="s">
        <v>1689</v>
      </c>
      <c r="D467" s="678">
        <v>100</v>
      </c>
      <c r="E467" s="679">
        <v>610</v>
      </c>
      <c r="F467" s="678">
        <v>61000</v>
      </c>
      <c r="G467" s="660" t="s">
        <v>3538</v>
      </c>
      <c r="H467" s="683"/>
      <c r="I467" s="684"/>
    </row>
    <row r="468" spans="1:9" ht="28.5">
      <c r="A468" s="661" t="s">
        <v>372</v>
      </c>
      <c r="B468" s="658" t="s">
        <v>3539</v>
      </c>
      <c r="C468" s="659" t="s">
        <v>1220</v>
      </c>
      <c r="D468" s="678">
        <v>50</v>
      </c>
      <c r="E468" s="679">
        <v>318.68</v>
      </c>
      <c r="F468" s="678">
        <v>15934</v>
      </c>
      <c r="G468" s="660" t="s">
        <v>3540</v>
      </c>
      <c r="H468" s="683"/>
      <c r="I468" s="684"/>
    </row>
    <row r="469" spans="1:9" ht="28.5">
      <c r="A469" s="661" t="s">
        <v>373</v>
      </c>
      <c r="B469" s="658" t="s">
        <v>3541</v>
      </c>
      <c r="C469" s="659" t="s">
        <v>1220</v>
      </c>
      <c r="D469" s="678">
        <v>50</v>
      </c>
      <c r="E469" s="679">
        <v>89.4</v>
      </c>
      <c r="F469" s="678">
        <v>4470</v>
      </c>
      <c r="G469" s="660" t="s">
        <v>3542</v>
      </c>
      <c r="H469" s="683"/>
      <c r="I469" s="684"/>
    </row>
    <row r="470" spans="1:9" ht="28.5">
      <c r="A470" s="661" t="s">
        <v>374</v>
      </c>
      <c r="B470" s="658" t="s">
        <v>3543</v>
      </c>
      <c r="C470" s="659" t="s">
        <v>2679</v>
      </c>
      <c r="D470" s="678">
        <v>30</v>
      </c>
      <c r="E470" s="679">
        <v>1936.4</v>
      </c>
      <c r="F470" s="678">
        <v>58092</v>
      </c>
      <c r="G470" s="660" t="s">
        <v>3544</v>
      </c>
      <c r="H470" s="683"/>
      <c r="I470" s="684"/>
    </row>
    <row r="471" spans="1:9" ht="28.5">
      <c r="A471" s="661" t="s">
        <v>375</v>
      </c>
      <c r="B471" s="658" t="s">
        <v>3545</v>
      </c>
      <c r="C471" s="659" t="s">
        <v>1818</v>
      </c>
      <c r="D471" s="678">
        <v>30</v>
      </c>
      <c r="E471" s="679">
        <v>1900.97</v>
      </c>
      <c r="F471" s="678">
        <v>57029.1</v>
      </c>
      <c r="G471" s="660" t="s">
        <v>3546</v>
      </c>
      <c r="H471" s="683"/>
      <c r="I471" s="684"/>
    </row>
    <row r="472" spans="1:9" ht="142.5">
      <c r="A472" s="657" t="s">
        <v>3547</v>
      </c>
      <c r="B472" s="658" t="s">
        <v>3548</v>
      </c>
      <c r="C472" s="659" t="s">
        <v>14</v>
      </c>
      <c r="D472" s="678">
        <v>1</v>
      </c>
      <c r="E472" s="679"/>
      <c r="F472" s="678">
        <v>516950</v>
      </c>
      <c r="G472" s="660" t="s">
        <v>3549</v>
      </c>
      <c r="H472" s="683"/>
      <c r="I472" s="684"/>
    </row>
    <row r="473" spans="1:9" ht="31.5">
      <c r="A473" s="661" t="s">
        <v>376</v>
      </c>
      <c r="B473" s="658" t="s">
        <v>3550</v>
      </c>
      <c r="C473" s="659" t="s">
        <v>2238</v>
      </c>
      <c r="D473" s="678">
        <v>30</v>
      </c>
      <c r="E473" s="679">
        <v>770</v>
      </c>
      <c r="F473" s="678">
        <v>23100</v>
      </c>
      <c r="G473" s="660" t="s">
        <v>532</v>
      </c>
      <c r="H473" s="683"/>
      <c r="I473" s="684"/>
    </row>
    <row r="474" spans="1:9" ht="47.25">
      <c r="A474" s="661" t="s">
        <v>377</v>
      </c>
      <c r="B474" s="658" t="s">
        <v>3551</v>
      </c>
      <c r="C474" s="659" t="s">
        <v>3513</v>
      </c>
      <c r="D474" s="678">
        <v>20</v>
      </c>
      <c r="E474" s="679">
        <v>125</v>
      </c>
      <c r="F474" s="678">
        <v>2500</v>
      </c>
      <c r="G474" s="660" t="s">
        <v>3552</v>
      </c>
      <c r="H474" s="683"/>
      <c r="I474" s="684"/>
    </row>
    <row r="475" spans="1:9" ht="47.25">
      <c r="A475" s="661" t="s">
        <v>378</v>
      </c>
      <c r="B475" s="658" t="s">
        <v>3553</v>
      </c>
      <c r="C475" s="659" t="s">
        <v>3513</v>
      </c>
      <c r="D475" s="678">
        <v>20</v>
      </c>
      <c r="E475" s="679">
        <v>125</v>
      </c>
      <c r="F475" s="678">
        <v>2500</v>
      </c>
      <c r="G475" s="660" t="s">
        <v>3554</v>
      </c>
      <c r="H475" s="683"/>
      <c r="I475" s="684"/>
    </row>
    <row r="476" spans="1:9" ht="47.25">
      <c r="A476" s="661" t="s">
        <v>379</v>
      </c>
      <c r="B476" s="658" t="s">
        <v>3555</v>
      </c>
      <c r="C476" s="659" t="s">
        <v>3513</v>
      </c>
      <c r="D476" s="678">
        <v>20</v>
      </c>
      <c r="E476" s="679">
        <v>125</v>
      </c>
      <c r="F476" s="678">
        <v>2500</v>
      </c>
      <c r="G476" s="660" t="s">
        <v>3556</v>
      </c>
      <c r="H476" s="683"/>
      <c r="I476" s="684"/>
    </row>
    <row r="477" spans="1:9" ht="31.5">
      <c r="A477" s="661" t="s">
        <v>380</v>
      </c>
      <c r="B477" s="658" t="s">
        <v>3557</v>
      </c>
      <c r="C477" s="659" t="s">
        <v>1689</v>
      </c>
      <c r="D477" s="678">
        <v>20</v>
      </c>
      <c r="E477" s="679">
        <v>1160</v>
      </c>
      <c r="F477" s="678">
        <v>23200</v>
      </c>
      <c r="G477" s="660" t="s">
        <v>3558</v>
      </c>
      <c r="H477" s="683"/>
      <c r="I477" s="684"/>
    </row>
    <row r="478" spans="1:9" ht="31.5">
      <c r="A478" s="661" t="s">
        <v>381</v>
      </c>
      <c r="B478" s="658" t="s">
        <v>3559</v>
      </c>
      <c r="C478" s="659" t="s">
        <v>3560</v>
      </c>
      <c r="D478" s="678">
        <v>100</v>
      </c>
      <c r="E478" s="679">
        <v>201</v>
      </c>
      <c r="F478" s="678">
        <v>20100</v>
      </c>
      <c r="G478" s="660" t="s">
        <v>3561</v>
      </c>
      <c r="H478" s="683"/>
    </row>
    <row r="479" spans="1:9" ht="31.5">
      <c r="A479" s="661" t="s">
        <v>382</v>
      </c>
      <c r="B479" s="658" t="s">
        <v>3562</v>
      </c>
      <c r="C479" s="659" t="s">
        <v>3563</v>
      </c>
      <c r="D479" s="678">
        <v>50</v>
      </c>
      <c r="E479" s="679">
        <v>300</v>
      </c>
      <c r="F479" s="678">
        <v>15000</v>
      </c>
      <c r="G479" s="660" t="s">
        <v>3564</v>
      </c>
      <c r="H479" s="683"/>
    </row>
    <row r="480" spans="1:9" ht="31.5">
      <c r="A480" s="661" t="s">
        <v>383</v>
      </c>
      <c r="B480" s="658" t="s">
        <v>3565</v>
      </c>
      <c r="C480" s="659" t="s">
        <v>1689</v>
      </c>
      <c r="D480" s="678">
        <v>50</v>
      </c>
      <c r="E480" s="679">
        <v>650</v>
      </c>
      <c r="F480" s="678">
        <v>32500</v>
      </c>
      <c r="G480" s="660" t="s">
        <v>3566</v>
      </c>
      <c r="H480" s="683"/>
    </row>
    <row r="481" spans="1:8" ht="31.5">
      <c r="A481" s="661" t="s">
        <v>384</v>
      </c>
      <c r="B481" s="658" t="s">
        <v>3567</v>
      </c>
      <c r="C481" s="659" t="s">
        <v>3568</v>
      </c>
      <c r="D481" s="678">
        <v>200</v>
      </c>
      <c r="E481" s="679">
        <v>28</v>
      </c>
      <c r="F481" s="678">
        <v>5600</v>
      </c>
      <c r="G481" s="660" t="s">
        <v>3569</v>
      </c>
      <c r="H481" s="683"/>
    </row>
    <row r="482" spans="1:8" ht="31.5">
      <c r="A482" s="661" t="s">
        <v>385</v>
      </c>
      <c r="B482" s="658" t="s">
        <v>3570</v>
      </c>
      <c r="C482" s="659" t="s">
        <v>3568</v>
      </c>
      <c r="D482" s="678">
        <v>50</v>
      </c>
      <c r="E482" s="679">
        <v>500</v>
      </c>
      <c r="F482" s="678">
        <v>25000</v>
      </c>
      <c r="G482" s="660" t="s">
        <v>3571</v>
      </c>
      <c r="H482" s="683"/>
    </row>
    <row r="483" spans="1:8" ht="31.5">
      <c r="A483" s="661" t="s">
        <v>386</v>
      </c>
      <c r="B483" s="658" t="s">
        <v>3572</v>
      </c>
      <c r="C483" s="659" t="s">
        <v>2694</v>
      </c>
      <c r="D483" s="678">
        <v>50</v>
      </c>
      <c r="E483" s="679">
        <v>280</v>
      </c>
      <c r="F483" s="678">
        <v>14000</v>
      </c>
      <c r="G483" s="660" t="s">
        <v>3573</v>
      </c>
      <c r="H483" s="683"/>
    </row>
    <row r="484" spans="1:8" ht="47.25">
      <c r="A484" s="661" t="s">
        <v>387</v>
      </c>
      <c r="B484" s="658" t="s">
        <v>3574</v>
      </c>
      <c r="C484" s="659" t="s">
        <v>1689</v>
      </c>
      <c r="D484" s="678">
        <v>20</v>
      </c>
      <c r="E484" s="679">
        <v>560</v>
      </c>
      <c r="F484" s="678">
        <v>11200</v>
      </c>
      <c r="G484" s="660" t="s">
        <v>3575</v>
      </c>
      <c r="H484" s="683"/>
    </row>
    <row r="485" spans="1:8" ht="47.25">
      <c r="A485" s="661" t="s">
        <v>388</v>
      </c>
      <c r="B485" s="658" t="s">
        <v>3576</v>
      </c>
      <c r="C485" s="659" t="s">
        <v>1689</v>
      </c>
      <c r="D485" s="678">
        <v>15</v>
      </c>
      <c r="E485" s="679">
        <v>1800</v>
      </c>
      <c r="F485" s="678">
        <v>27000</v>
      </c>
      <c r="G485" s="660" t="s">
        <v>3577</v>
      </c>
      <c r="H485" s="683"/>
    </row>
    <row r="486" spans="1:8" ht="31.5">
      <c r="A486" s="661" t="s">
        <v>389</v>
      </c>
      <c r="B486" s="658" t="s">
        <v>3578</v>
      </c>
      <c r="C486" s="659" t="s">
        <v>2679</v>
      </c>
      <c r="D486" s="678">
        <v>10</v>
      </c>
      <c r="E486" s="679">
        <v>250</v>
      </c>
      <c r="F486" s="678">
        <v>2500</v>
      </c>
      <c r="G486" s="660" t="s">
        <v>3579</v>
      </c>
      <c r="H486" s="683"/>
    </row>
    <row r="487" spans="1:8" ht="47.25">
      <c r="A487" s="661" t="s">
        <v>390</v>
      </c>
      <c r="B487" s="658" t="s">
        <v>3580</v>
      </c>
      <c r="C487" s="659" t="s">
        <v>2694</v>
      </c>
      <c r="D487" s="678">
        <v>50</v>
      </c>
      <c r="E487" s="679">
        <v>350</v>
      </c>
      <c r="F487" s="678">
        <v>17500</v>
      </c>
      <c r="G487" s="660" t="s">
        <v>3581</v>
      </c>
      <c r="H487" s="683"/>
    </row>
    <row r="488" spans="1:8" ht="47.25">
      <c r="A488" s="661" t="s">
        <v>391</v>
      </c>
      <c r="B488" s="658" t="s">
        <v>3582</v>
      </c>
      <c r="C488" s="659" t="s">
        <v>1689</v>
      </c>
      <c r="D488" s="678">
        <v>20</v>
      </c>
      <c r="E488" s="679">
        <v>600</v>
      </c>
      <c r="F488" s="678">
        <v>12000</v>
      </c>
      <c r="G488" s="660" t="s">
        <v>3583</v>
      </c>
      <c r="H488" s="683"/>
    </row>
    <row r="489" spans="1:8" ht="31.5">
      <c r="A489" s="661" t="s">
        <v>392</v>
      </c>
      <c r="B489" s="658" t="s">
        <v>3584</v>
      </c>
      <c r="C489" s="659" t="s">
        <v>3</v>
      </c>
      <c r="D489" s="678">
        <v>15</v>
      </c>
      <c r="E489" s="679">
        <v>250</v>
      </c>
      <c r="F489" s="678">
        <v>3750</v>
      </c>
      <c r="G489" s="660" t="s">
        <v>3585</v>
      </c>
      <c r="H489" s="683"/>
    </row>
    <row r="490" spans="1:8" ht="28.5">
      <c r="A490" s="661" t="s">
        <v>393</v>
      </c>
      <c r="B490" s="658" t="s">
        <v>3586</v>
      </c>
      <c r="C490" s="659" t="s">
        <v>14</v>
      </c>
      <c r="D490" s="678">
        <v>1</v>
      </c>
      <c r="E490" s="679">
        <v>180000</v>
      </c>
      <c r="F490" s="678">
        <v>180000</v>
      </c>
      <c r="G490" s="660" t="s">
        <v>3587</v>
      </c>
      <c r="H490" s="683"/>
    </row>
    <row r="491" spans="1:8" ht="47.25">
      <c r="A491" s="661" t="s">
        <v>394</v>
      </c>
      <c r="B491" s="658" t="s">
        <v>3588</v>
      </c>
      <c r="C491" s="659" t="s">
        <v>14</v>
      </c>
      <c r="D491" s="678">
        <v>1</v>
      </c>
      <c r="E491" s="679">
        <v>51000</v>
      </c>
      <c r="F491" s="678">
        <v>51000</v>
      </c>
      <c r="G491" s="660" t="s">
        <v>3589</v>
      </c>
      <c r="H491" s="683"/>
    </row>
    <row r="492" spans="1:8" ht="31.5">
      <c r="A492" s="661" t="s">
        <v>395</v>
      </c>
      <c r="B492" s="658" t="s">
        <v>3590</v>
      </c>
      <c r="C492" s="659" t="s">
        <v>14</v>
      </c>
      <c r="D492" s="678">
        <v>1</v>
      </c>
      <c r="E492" s="679">
        <v>46000</v>
      </c>
      <c r="F492" s="678">
        <v>46000</v>
      </c>
      <c r="G492" s="660" t="s">
        <v>3591</v>
      </c>
      <c r="H492" s="683"/>
    </row>
    <row r="493" spans="1:8">
      <c r="A493" s="657" t="s">
        <v>3592</v>
      </c>
      <c r="B493" s="658" t="s">
        <v>3593</v>
      </c>
      <c r="C493" s="659" t="s">
        <v>14</v>
      </c>
      <c r="D493" s="678">
        <v>1</v>
      </c>
      <c r="E493" s="679"/>
      <c r="F493" s="678">
        <v>291000</v>
      </c>
      <c r="G493" s="660" t="s">
        <v>3594</v>
      </c>
      <c r="H493" s="683"/>
    </row>
    <row r="494" spans="1:8" ht="31.5">
      <c r="A494" s="661" t="s">
        <v>396</v>
      </c>
      <c r="B494" s="658" t="s">
        <v>3595</v>
      </c>
      <c r="C494" s="659" t="s">
        <v>2238</v>
      </c>
      <c r="D494" s="678">
        <v>60</v>
      </c>
      <c r="E494" s="679">
        <v>2500</v>
      </c>
      <c r="F494" s="678">
        <v>150000</v>
      </c>
      <c r="G494" s="660" t="s">
        <v>3596</v>
      </c>
      <c r="H494" s="683"/>
    </row>
    <row r="495" spans="1:8" ht="31.5">
      <c r="A495" s="661" t="s">
        <v>397</v>
      </c>
      <c r="B495" s="658" t="s">
        <v>3597</v>
      </c>
      <c r="C495" s="659" t="s">
        <v>14</v>
      </c>
      <c r="D495" s="678">
        <v>1</v>
      </c>
      <c r="E495" s="679">
        <v>35000</v>
      </c>
      <c r="F495" s="678">
        <v>35000</v>
      </c>
      <c r="G495" s="660" t="s">
        <v>3598</v>
      </c>
      <c r="H495" s="683"/>
    </row>
    <row r="496" spans="1:8" ht="31.5">
      <c r="A496" s="661" t="s">
        <v>398</v>
      </c>
      <c r="B496" s="658" t="s">
        <v>3599</v>
      </c>
      <c r="C496" s="659" t="s">
        <v>14</v>
      </c>
      <c r="D496" s="678">
        <v>1</v>
      </c>
      <c r="E496" s="679">
        <v>35500</v>
      </c>
      <c r="F496" s="678">
        <v>35500</v>
      </c>
      <c r="G496" s="660" t="s">
        <v>3600</v>
      </c>
      <c r="H496" s="683"/>
    </row>
    <row r="497" spans="1:8" ht="28.5">
      <c r="A497" s="661" t="s">
        <v>399</v>
      </c>
      <c r="B497" s="658" t="s">
        <v>3601</v>
      </c>
      <c r="C497" s="659" t="s">
        <v>14</v>
      </c>
      <c r="D497" s="678">
        <v>1</v>
      </c>
      <c r="E497" s="679">
        <v>35000</v>
      </c>
      <c r="F497" s="678">
        <v>35000</v>
      </c>
      <c r="G497" s="660" t="s">
        <v>3602</v>
      </c>
      <c r="H497" s="683"/>
    </row>
    <row r="498" spans="1:8" ht="31.5">
      <c r="A498" s="661" t="s">
        <v>400</v>
      </c>
      <c r="B498" s="658" t="s">
        <v>3603</v>
      </c>
      <c r="C498" s="659" t="s">
        <v>14</v>
      </c>
      <c r="D498" s="678">
        <v>1</v>
      </c>
      <c r="E498" s="679">
        <v>35500</v>
      </c>
      <c r="F498" s="678">
        <v>35500</v>
      </c>
      <c r="G498" s="660" t="s">
        <v>533</v>
      </c>
      <c r="H498" s="683"/>
    </row>
    <row r="499" spans="1:8">
      <c r="A499" s="657" t="s">
        <v>3604</v>
      </c>
      <c r="B499" s="658" t="s">
        <v>3605</v>
      </c>
      <c r="C499" s="659" t="s">
        <v>14</v>
      </c>
      <c r="D499" s="678">
        <v>1</v>
      </c>
      <c r="E499" s="679"/>
      <c r="F499" s="678">
        <v>320762</v>
      </c>
      <c r="G499" s="660" t="s">
        <v>3606</v>
      </c>
      <c r="H499" s="683"/>
    </row>
    <row r="500" spans="1:8" ht="31.5">
      <c r="A500" s="657" t="s">
        <v>3607</v>
      </c>
      <c r="B500" s="658" t="s">
        <v>3608</v>
      </c>
      <c r="C500" s="659" t="s">
        <v>14</v>
      </c>
      <c r="D500" s="678">
        <v>1</v>
      </c>
      <c r="E500" s="679"/>
      <c r="F500" s="678">
        <v>2283169.0099999998</v>
      </c>
      <c r="G500" s="660" t="s">
        <v>3609</v>
      </c>
      <c r="H500" s="683"/>
    </row>
    <row r="501" spans="1:8">
      <c r="A501" s="657" t="s">
        <v>3610</v>
      </c>
      <c r="B501" s="658" t="s">
        <v>3611</v>
      </c>
      <c r="C501" s="659" t="s">
        <v>14</v>
      </c>
      <c r="D501" s="678">
        <v>1</v>
      </c>
      <c r="E501" s="679"/>
      <c r="F501" s="678">
        <v>5600</v>
      </c>
      <c r="G501" s="660" t="s">
        <v>2</v>
      </c>
      <c r="H501" s="683"/>
    </row>
    <row r="502" spans="1:8" ht="99.75">
      <c r="A502" s="661" t="s">
        <v>534</v>
      </c>
      <c r="B502" s="658" t="s">
        <v>3612</v>
      </c>
      <c r="C502" s="659" t="s">
        <v>3</v>
      </c>
      <c r="D502" s="678">
        <v>100</v>
      </c>
      <c r="E502" s="679">
        <v>56</v>
      </c>
      <c r="F502" s="678">
        <v>5600</v>
      </c>
      <c r="G502" s="660" t="s">
        <v>3613</v>
      </c>
      <c r="H502" s="683"/>
    </row>
    <row r="503" spans="1:8" ht="16.5" customHeight="1">
      <c r="A503" s="657"/>
      <c r="B503" s="662" t="s">
        <v>3614</v>
      </c>
      <c r="C503" s="659"/>
      <c r="D503" s="678"/>
      <c r="E503" s="679"/>
      <c r="F503" s="678">
        <v>23139623</v>
      </c>
      <c r="G503" s="660"/>
      <c r="H503" s="683"/>
    </row>
    <row r="504" spans="1:8">
      <c r="A504" s="657"/>
      <c r="B504" s="662" t="s">
        <v>3615</v>
      </c>
      <c r="C504" s="659"/>
      <c r="D504" s="678"/>
      <c r="E504" s="679"/>
      <c r="F504" s="678">
        <v>23139623</v>
      </c>
      <c r="G504" s="660"/>
      <c r="H504" s="683"/>
    </row>
    <row r="505" spans="1:8">
      <c r="A505" s="1674" t="s">
        <v>3616</v>
      </c>
      <c r="B505" s="1675"/>
      <c r="C505" s="1675"/>
      <c r="D505" s="1675"/>
      <c r="E505" s="1675"/>
      <c r="F505" s="1675"/>
      <c r="G505" s="1676"/>
      <c r="H505" s="99"/>
    </row>
    <row r="506" spans="1:8" ht="16.5" customHeight="1">
      <c r="A506" s="1651" t="s">
        <v>3617</v>
      </c>
      <c r="B506" s="1652"/>
      <c r="C506" s="1652"/>
      <c r="D506" s="1652"/>
      <c r="E506" s="1652"/>
      <c r="F506" s="1652"/>
      <c r="G506" s="1653"/>
      <c r="H506" s="100"/>
    </row>
    <row r="507" spans="1:8">
      <c r="H507" s="101"/>
    </row>
    <row r="508" spans="1:8">
      <c r="H508" s="24"/>
    </row>
    <row r="509" spans="1:8">
      <c r="H509" s="24"/>
    </row>
    <row r="510" spans="1:8">
      <c r="H510" s="24"/>
    </row>
    <row r="511" spans="1:8">
      <c r="H511" s="24"/>
    </row>
    <row r="512" spans="1:8">
      <c r="H512" s="28"/>
    </row>
    <row r="513" spans="8:8">
      <c r="H513" s="24"/>
    </row>
    <row r="514" spans="8:8">
      <c r="H514" s="24"/>
    </row>
    <row r="515" spans="8:8">
      <c r="H515" s="24"/>
    </row>
    <row r="516" spans="8:8">
      <c r="H516" s="24"/>
    </row>
  </sheetData>
  <mergeCells count="8">
    <mergeCell ref="A505:G505"/>
    <mergeCell ref="A506:G506"/>
    <mergeCell ref="A1:G1"/>
    <mergeCell ref="A2:G2"/>
    <mergeCell ref="A3:G3"/>
    <mergeCell ref="A4:G4"/>
    <mergeCell ref="A5:E5"/>
    <mergeCell ref="F5:G5"/>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23">
    <tabColor theme="5" tint="0.39997558519241921"/>
  </sheetPr>
  <dimension ref="A1:M516"/>
  <sheetViews>
    <sheetView zoomScaleNormal="100" workbookViewId="0">
      <selection activeCell="G16" sqref="G16"/>
    </sheetView>
  </sheetViews>
  <sheetFormatPr defaultRowHeight="16.5"/>
  <cols>
    <col min="1" max="1" width="5.25" style="162" customWidth="1"/>
    <col min="2" max="2" width="26.25" style="162" customWidth="1"/>
    <col min="3" max="3" width="5.5" style="162" customWidth="1"/>
    <col min="4" max="4" width="5.875" style="163" customWidth="1"/>
    <col min="5" max="5" width="10.875" style="162" customWidth="1"/>
    <col min="6" max="6" width="5.875" style="164" customWidth="1"/>
    <col min="7" max="7" width="15.25" style="165" customWidth="1"/>
    <col min="8" max="8" width="14.375" style="25" customWidth="1"/>
    <col min="9" max="9" width="9" style="11" customWidth="1"/>
  </cols>
  <sheetData>
    <row r="1" spans="1:9" s="4" customFormat="1" ht="16.5" customHeight="1">
      <c r="A1" s="1654" t="s">
        <v>914</v>
      </c>
      <c r="B1" s="1654"/>
      <c r="C1" s="1654"/>
      <c r="D1" s="1654"/>
      <c r="E1" s="1654"/>
      <c r="F1" s="1654"/>
      <c r="G1" s="1654"/>
      <c r="H1" s="25"/>
      <c r="I1" s="11"/>
    </row>
    <row r="2" spans="1:9" s="4" customFormat="1" ht="16.5" customHeight="1">
      <c r="A2" s="1654" t="s">
        <v>2989</v>
      </c>
      <c r="B2" s="1654"/>
      <c r="C2" s="1654"/>
      <c r="D2" s="1654"/>
      <c r="E2" s="1654"/>
      <c r="F2" s="1654"/>
      <c r="G2" s="1654"/>
      <c r="H2" s="25"/>
      <c r="I2" s="11"/>
    </row>
    <row r="3" spans="1:9" s="4" customFormat="1" ht="16.5" customHeight="1">
      <c r="A3" s="1655"/>
      <c r="B3" s="1655"/>
      <c r="C3" s="1655"/>
      <c r="D3" s="1655"/>
      <c r="E3" s="1655"/>
      <c r="F3" s="1655"/>
      <c r="G3" s="1655"/>
      <c r="H3" s="25"/>
      <c r="I3" s="11"/>
    </row>
    <row r="4" spans="1:9" s="4" customFormat="1" ht="17.100000000000001" customHeight="1">
      <c r="A4" s="1677" t="s">
        <v>4307</v>
      </c>
      <c r="B4" s="1677"/>
      <c r="C4" s="1677"/>
      <c r="D4" s="1677"/>
      <c r="E4" s="1677"/>
      <c r="F4" s="1677"/>
      <c r="G4" s="1677"/>
      <c r="H4" s="963"/>
      <c r="I4" s="11"/>
    </row>
    <row r="5" spans="1:9" s="5" customFormat="1" ht="18" customHeight="1">
      <c r="A5" s="1677" t="s">
        <v>4308</v>
      </c>
      <c r="B5" s="1677"/>
      <c r="C5" s="1677"/>
      <c r="D5" s="1677"/>
      <c r="E5" s="1677"/>
      <c r="F5" s="1678" t="s">
        <v>2990</v>
      </c>
      <c r="G5" s="1678"/>
      <c r="H5" s="12"/>
      <c r="I5" s="669"/>
    </row>
    <row r="6" spans="1:9" s="4" customFormat="1" ht="33">
      <c r="A6" s="151" t="s">
        <v>10</v>
      </c>
      <c r="B6" s="152" t="s">
        <v>917</v>
      </c>
      <c r="C6" s="152" t="s">
        <v>12</v>
      </c>
      <c r="D6" s="153" t="s">
        <v>11</v>
      </c>
      <c r="E6" s="154" t="s">
        <v>918</v>
      </c>
      <c r="F6" s="155" t="s">
        <v>919</v>
      </c>
      <c r="G6" s="152" t="s">
        <v>920</v>
      </c>
      <c r="H6" s="25"/>
      <c r="I6" s="11"/>
    </row>
    <row r="7" spans="1:9" s="4" customFormat="1">
      <c r="A7" s="156" t="s">
        <v>2991</v>
      </c>
      <c r="B7" s="8" t="s">
        <v>2992</v>
      </c>
      <c r="C7" s="157" t="s">
        <v>14</v>
      </c>
      <c r="D7" s="158">
        <v>1</v>
      </c>
      <c r="E7" s="159"/>
      <c r="F7" s="158">
        <v>23139623</v>
      </c>
      <c r="G7" s="160" t="s">
        <v>2</v>
      </c>
      <c r="H7" s="25"/>
      <c r="I7" s="11"/>
    </row>
    <row r="8" spans="1:9" s="4" customFormat="1">
      <c r="A8" s="156" t="s">
        <v>2993</v>
      </c>
      <c r="B8" s="8" t="s">
        <v>2994</v>
      </c>
      <c r="C8" s="157" t="s">
        <v>14</v>
      </c>
      <c r="D8" s="158">
        <v>1</v>
      </c>
      <c r="E8" s="159"/>
      <c r="F8" s="158">
        <v>18122146.850000001</v>
      </c>
      <c r="G8" s="160" t="s">
        <v>2995</v>
      </c>
      <c r="H8" s="25" t="s">
        <v>2894</v>
      </c>
      <c r="I8" s="11"/>
    </row>
    <row r="9" spans="1:9" s="4" customFormat="1" ht="28.5">
      <c r="A9" s="161" t="s">
        <v>28</v>
      </c>
      <c r="B9" s="8" t="s">
        <v>2996</v>
      </c>
      <c r="C9" s="157" t="s">
        <v>927</v>
      </c>
      <c r="D9" s="158">
        <v>50</v>
      </c>
      <c r="E9" s="159">
        <v>367</v>
      </c>
      <c r="F9" s="158">
        <v>18350</v>
      </c>
      <c r="G9" s="160" t="s">
        <v>2997</v>
      </c>
      <c r="H9" s="98" t="s">
        <v>544</v>
      </c>
      <c r="I9" s="670">
        <v>1</v>
      </c>
    </row>
    <row r="10" spans="1:9" s="4" customFormat="1" ht="28.5">
      <c r="A10" s="161" t="s">
        <v>29</v>
      </c>
      <c r="B10" s="8" t="s">
        <v>2998</v>
      </c>
      <c r="C10" s="157" t="s">
        <v>927</v>
      </c>
      <c r="D10" s="158">
        <v>50</v>
      </c>
      <c r="E10" s="159">
        <v>367</v>
      </c>
      <c r="F10" s="158">
        <v>18350</v>
      </c>
      <c r="G10" s="160" t="s">
        <v>2999</v>
      </c>
      <c r="H10" s="98" t="s">
        <v>809</v>
      </c>
      <c r="I10" s="670">
        <v>2</v>
      </c>
    </row>
    <row r="11" spans="1:9" s="4" customFormat="1" ht="28.5">
      <c r="A11" s="161" t="s">
        <v>30</v>
      </c>
      <c r="B11" s="8" t="s">
        <v>1078</v>
      </c>
      <c r="C11" s="157" t="s">
        <v>927</v>
      </c>
      <c r="D11" s="158">
        <v>50</v>
      </c>
      <c r="E11" s="159">
        <v>367</v>
      </c>
      <c r="F11" s="158">
        <v>18350</v>
      </c>
      <c r="G11" s="160" t="s">
        <v>3000</v>
      </c>
      <c r="H11" s="98" t="s">
        <v>545</v>
      </c>
      <c r="I11" s="670">
        <v>3</v>
      </c>
    </row>
    <row r="12" spans="1:9" s="4" customFormat="1" ht="28.5">
      <c r="A12" s="161" t="s">
        <v>31</v>
      </c>
      <c r="B12" s="8" t="s">
        <v>3001</v>
      </c>
      <c r="C12" s="157" t="s">
        <v>927</v>
      </c>
      <c r="D12" s="158">
        <v>200</v>
      </c>
      <c r="E12" s="159">
        <v>262</v>
      </c>
      <c r="F12" s="158">
        <v>52400</v>
      </c>
      <c r="G12" s="160" t="s">
        <v>3002</v>
      </c>
      <c r="H12" s="98" t="s">
        <v>546</v>
      </c>
      <c r="I12" s="670">
        <v>4</v>
      </c>
    </row>
    <row r="13" spans="1:9" s="4" customFormat="1" ht="28.5">
      <c r="A13" s="161" t="s">
        <v>32</v>
      </c>
      <c r="B13" s="8" t="s">
        <v>3003</v>
      </c>
      <c r="C13" s="157" t="s">
        <v>927</v>
      </c>
      <c r="D13" s="158">
        <v>200</v>
      </c>
      <c r="E13" s="159">
        <v>341</v>
      </c>
      <c r="F13" s="158">
        <v>68200</v>
      </c>
      <c r="G13" s="160" t="s">
        <v>3004</v>
      </c>
      <c r="H13" s="98" t="s">
        <v>547</v>
      </c>
      <c r="I13" s="670">
        <v>5</v>
      </c>
    </row>
    <row r="14" spans="1:9" s="4" customFormat="1" ht="28.5">
      <c r="A14" s="161" t="s">
        <v>33</v>
      </c>
      <c r="B14" s="8" t="s">
        <v>4306</v>
      </c>
      <c r="C14" s="157" t="s">
        <v>927</v>
      </c>
      <c r="D14" s="158">
        <v>50</v>
      </c>
      <c r="E14" s="159">
        <v>1130</v>
      </c>
      <c r="F14" s="158">
        <v>56500</v>
      </c>
      <c r="G14" s="160" t="s">
        <v>3006</v>
      </c>
      <c r="H14" s="98" t="s">
        <v>810</v>
      </c>
      <c r="I14" s="670">
        <v>6</v>
      </c>
    </row>
    <row r="15" spans="1:9" s="4" customFormat="1" ht="28.5">
      <c r="A15" s="161" t="s">
        <v>34</v>
      </c>
      <c r="B15" s="8" t="s">
        <v>794</v>
      </c>
      <c r="C15" s="157" t="s">
        <v>927</v>
      </c>
      <c r="D15" s="158">
        <v>50</v>
      </c>
      <c r="E15" s="159">
        <v>681</v>
      </c>
      <c r="F15" s="158">
        <v>34050</v>
      </c>
      <c r="G15" s="160" t="s">
        <v>1057</v>
      </c>
      <c r="H15" s="98" t="s">
        <v>548</v>
      </c>
      <c r="I15" s="670">
        <v>7</v>
      </c>
    </row>
    <row r="16" spans="1:9" s="4" customFormat="1" ht="28.5">
      <c r="A16" s="161" t="s">
        <v>35</v>
      </c>
      <c r="B16" s="8" t="s">
        <v>3632</v>
      </c>
      <c r="C16" s="157" t="s">
        <v>927</v>
      </c>
      <c r="D16" s="158">
        <v>50</v>
      </c>
      <c r="E16" s="159">
        <v>400</v>
      </c>
      <c r="F16" s="158">
        <v>20000</v>
      </c>
      <c r="G16" s="160" t="s">
        <v>1077</v>
      </c>
      <c r="H16" s="98" t="s">
        <v>549</v>
      </c>
      <c r="I16" s="670">
        <v>8</v>
      </c>
    </row>
    <row r="17" spans="1:9" s="4" customFormat="1" ht="28.5">
      <c r="A17" s="161" t="s">
        <v>36</v>
      </c>
      <c r="B17" s="8" t="s">
        <v>3633</v>
      </c>
      <c r="C17" s="157" t="s">
        <v>927</v>
      </c>
      <c r="D17" s="158">
        <v>50</v>
      </c>
      <c r="E17" s="159">
        <v>690</v>
      </c>
      <c r="F17" s="158">
        <v>34500</v>
      </c>
      <c r="G17" s="160" t="s">
        <v>1085</v>
      </c>
      <c r="H17" s="98" t="s">
        <v>811</v>
      </c>
      <c r="I17" s="670">
        <v>9</v>
      </c>
    </row>
    <row r="18" spans="1:9" s="4" customFormat="1" ht="28.5">
      <c r="A18" s="161" t="s">
        <v>37</v>
      </c>
      <c r="B18" s="8" t="s">
        <v>997</v>
      </c>
      <c r="C18" s="157" t="s">
        <v>927</v>
      </c>
      <c r="D18" s="158">
        <v>50</v>
      </c>
      <c r="E18" s="159">
        <v>1200</v>
      </c>
      <c r="F18" s="158">
        <v>60000</v>
      </c>
      <c r="G18" s="160" t="s">
        <v>998</v>
      </c>
      <c r="H18" s="98" t="s">
        <v>550</v>
      </c>
      <c r="I18" s="670">
        <v>10</v>
      </c>
    </row>
    <row r="19" spans="1:9" s="4" customFormat="1" ht="28.5">
      <c r="A19" s="161" t="s">
        <v>38</v>
      </c>
      <c r="B19" s="8" t="s">
        <v>1093</v>
      </c>
      <c r="C19" s="157" t="s">
        <v>927</v>
      </c>
      <c r="D19" s="158">
        <v>50</v>
      </c>
      <c r="E19" s="159">
        <v>1620</v>
      </c>
      <c r="F19" s="158">
        <v>81000</v>
      </c>
      <c r="G19" s="160" t="s">
        <v>1094</v>
      </c>
      <c r="H19" s="98" t="s">
        <v>551</v>
      </c>
      <c r="I19" s="670">
        <v>11</v>
      </c>
    </row>
    <row r="20" spans="1:9" s="4" customFormat="1" ht="28.5">
      <c r="A20" s="161" t="s">
        <v>39</v>
      </c>
      <c r="B20" s="8" t="s">
        <v>1774</v>
      </c>
      <c r="C20" s="157" t="s">
        <v>927</v>
      </c>
      <c r="D20" s="158">
        <v>50</v>
      </c>
      <c r="E20" s="159">
        <v>1300</v>
      </c>
      <c r="F20" s="158">
        <v>65000</v>
      </c>
      <c r="G20" s="160" t="s">
        <v>1775</v>
      </c>
      <c r="H20" s="98" t="s">
        <v>552</v>
      </c>
      <c r="I20" s="670">
        <v>12</v>
      </c>
    </row>
    <row r="21" spans="1:9" s="4" customFormat="1" ht="28.5">
      <c r="A21" s="161" t="s">
        <v>40</v>
      </c>
      <c r="B21" s="8" t="s">
        <v>3635</v>
      </c>
      <c r="C21" s="157" t="s">
        <v>927</v>
      </c>
      <c r="D21" s="158">
        <v>50</v>
      </c>
      <c r="E21" s="159">
        <v>1400</v>
      </c>
      <c r="F21" s="158">
        <v>70000</v>
      </c>
      <c r="G21" s="160" t="s">
        <v>1051</v>
      </c>
      <c r="H21" s="98" t="s">
        <v>553</v>
      </c>
      <c r="I21" s="670">
        <v>13</v>
      </c>
    </row>
    <row r="22" spans="1:9" s="4" customFormat="1" ht="28.5">
      <c r="A22" s="161" t="s">
        <v>41</v>
      </c>
      <c r="B22" s="8" t="s">
        <v>801</v>
      </c>
      <c r="C22" s="157" t="s">
        <v>927</v>
      </c>
      <c r="D22" s="158">
        <v>50</v>
      </c>
      <c r="E22" s="159">
        <v>1500</v>
      </c>
      <c r="F22" s="158">
        <v>75000</v>
      </c>
      <c r="G22" s="160" t="s">
        <v>930</v>
      </c>
      <c r="H22" s="98" t="s">
        <v>554</v>
      </c>
      <c r="I22" s="670">
        <v>14</v>
      </c>
    </row>
    <row r="23" spans="1:9" s="4" customFormat="1" ht="28.5">
      <c r="A23" s="161" t="s">
        <v>42</v>
      </c>
      <c r="B23" s="8" t="s">
        <v>3007</v>
      </c>
      <c r="C23" s="157" t="s">
        <v>927</v>
      </c>
      <c r="D23" s="158">
        <v>50</v>
      </c>
      <c r="E23" s="159">
        <v>716</v>
      </c>
      <c r="F23" s="158">
        <v>35800</v>
      </c>
      <c r="G23" s="160" t="s">
        <v>3008</v>
      </c>
      <c r="H23" s="98" t="s">
        <v>555</v>
      </c>
      <c r="I23" s="670">
        <v>15</v>
      </c>
    </row>
    <row r="24" spans="1:9" s="4" customFormat="1" ht="42.75">
      <c r="A24" s="161" t="s">
        <v>43</v>
      </c>
      <c r="B24" s="8" t="s">
        <v>923</v>
      </c>
      <c r="C24" s="157" t="s">
        <v>0</v>
      </c>
      <c r="D24" s="158">
        <v>50</v>
      </c>
      <c r="E24" s="159">
        <v>1025.83</v>
      </c>
      <c r="F24" s="158">
        <v>51291.5</v>
      </c>
      <c r="G24" s="160" t="s">
        <v>3009</v>
      </c>
      <c r="H24" s="98" t="s">
        <v>556</v>
      </c>
      <c r="I24" s="670">
        <v>16</v>
      </c>
    </row>
    <row r="25" spans="1:9" s="4" customFormat="1" ht="42.75">
      <c r="A25" s="161" t="s">
        <v>44</v>
      </c>
      <c r="B25" s="8" t="s">
        <v>936</v>
      </c>
      <c r="C25" s="157" t="s">
        <v>0</v>
      </c>
      <c r="D25" s="158">
        <v>50</v>
      </c>
      <c r="E25" s="159">
        <v>664.75</v>
      </c>
      <c r="F25" s="158">
        <v>33237.5</v>
      </c>
      <c r="G25" s="160" t="s">
        <v>3010</v>
      </c>
      <c r="H25" s="98" t="s">
        <v>557</v>
      </c>
      <c r="I25" s="670">
        <v>17</v>
      </c>
    </row>
    <row r="26" spans="1:9" s="4" customFormat="1" ht="47.25">
      <c r="A26" s="161" t="s">
        <v>45</v>
      </c>
      <c r="B26" s="8" t="s">
        <v>939</v>
      </c>
      <c r="C26" s="157" t="s">
        <v>1</v>
      </c>
      <c r="D26" s="158">
        <v>50</v>
      </c>
      <c r="E26" s="159">
        <v>1335.92</v>
      </c>
      <c r="F26" s="158">
        <v>66796</v>
      </c>
      <c r="G26" s="160" t="s">
        <v>3011</v>
      </c>
      <c r="H26" s="98" t="s">
        <v>558</v>
      </c>
      <c r="I26" s="670">
        <v>18</v>
      </c>
    </row>
    <row r="27" spans="1:9" s="4" customFormat="1" ht="47.25">
      <c r="A27" s="161" t="s">
        <v>46</v>
      </c>
      <c r="B27" s="8" t="s">
        <v>3671</v>
      </c>
      <c r="C27" s="157" t="s">
        <v>1</v>
      </c>
      <c r="D27" s="158">
        <v>50</v>
      </c>
      <c r="E27" s="159">
        <v>48.08</v>
      </c>
      <c r="F27" s="158">
        <v>2404</v>
      </c>
      <c r="G27" s="160" t="s">
        <v>3012</v>
      </c>
      <c r="H27" s="98" t="s">
        <v>559</v>
      </c>
      <c r="I27" s="670">
        <v>19</v>
      </c>
    </row>
    <row r="28" spans="1:9" s="4" customFormat="1" ht="42.75">
      <c r="A28" s="161" t="s">
        <v>47</v>
      </c>
      <c r="B28" s="8" t="s">
        <v>953</v>
      </c>
      <c r="C28" s="157" t="s">
        <v>0</v>
      </c>
      <c r="D28" s="158">
        <v>20</v>
      </c>
      <c r="E28" s="159">
        <v>4101.87</v>
      </c>
      <c r="F28" s="158">
        <v>82037.399999999994</v>
      </c>
      <c r="G28" s="160" t="s">
        <v>3013</v>
      </c>
      <c r="H28" s="98">
        <v>222020433</v>
      </c>
      <c r="I28" s="670">
        <v>20</v>
      </c>
    </row>
    <row r="29" spans="1:9" s="4" customFormat="1" ht="42.75">
      <c r="A29" s="161" t="s">
        <v>48</v>
      </c>
      <c r="B29" s="8" t="s">
        <v>958</v>
      </c>
      <c r="C29" s="157" t="s">
        <v>1</v>
      </c>
      <c r="D29" s="158">
        <v>20</v>
      </c>
      <c r="E29" s="159">
        <v>3346.26</v>
      </c>
      <c r="F29" s="158">
        <v>66925.2</v>
      </c>
      <c r="G29" s="160" t="s">
        <v>3014</v>
      </c>
      <c r="H29" s="98" t="s">
        <v>560</v>
      </c>
      <c r="I29" s="670">
        <v>21</v>
      </c>
    </row>
    <row r="30" spans="1:9" s="4" customFormat="1" ht="47.25">
      <c r="A30" s="161" t="s">
        <v>49</v>
      </c>
      <c r="B30" s="8" t="s">
        <v>961</v>
      </c>
      <c r="C30" s="157" t="s">
        <v>1</v>
      </c>
      <c r="D30" s="158">
        <v>20</v>
      </c>
      <c r="E30" s="159">
        <v>453.97</v>
      </c>
      <c r="F30" s="158">
        <v>9079.4</v>
      </c>
      <c r="G30" s="160" t="s">
        <v>3015</v>
      </c>
      <c r="H30" s="98" t="s">
        <v>561</v>
      </c>
      <c r="I30" s="670">
        <v>22</v>
      </c>
    </row>
    <row r="31" spans="1:9" s="4" customFormat="1" ht="42.75">
      <c r="A31" s="161" t="s">
        <v>50</v>
      </c>
      <c r="B31" s="8" t="s">
        <v>964</v>
      </c>
      <c r="C31" s="157" t="s">
        <v>1</v>
      </c>
      <c r="D31" s="158">
        <v>20</v>
      </c>
      <c r="E31" s="159">
        <v>4641.59</v>
      </c>
      <c r="F31" s="158">
        <v>92831.8</v>
      </c>
      <c r="G31" s="160" t="s">
        <v>3016</v>
      </c>
      <c r="H31" s="98" t="s">
        <v>562</v>
      </c>
      <c r="I31" s="670">
        <v>23</v>
      </c>
    </row>
    <row r="32" spans="1:9" s="4" customFormat="1" ht="31.5">
      <c r="A32" s="161" t="s">
        <v>51</v>
      </c>
      <c r="B32" s="8" t="s">
        <v>985</v>
      </c>
      <c r="C32" s="157" t="s">
        <v>1</v>
      </c>
      <c r="D32" s="158">
        <v>20</v>
      </c>
      <c r="E32" s="159">
        <v>604.49</v>
      </c>
      <c r="F32" s="158">
        <v>12089.8</v>
      </c>
      <c r="G32" s="160" t="s">
        <v>2206</v>
      </c>
      <c r="H32" s="98" t="s">
        <v>563</v>
      </c>
      <c r="I32" s="670">
        <v>24</v>
      </c>
    </row>
    <row r="33" spans="1:9" s="4" customFormat="1" ht="71.25">
      <c r="A33" s="161" t="s">
        <v>52</v>
      </c>
      <c r="B33" s="8" t="s">
        <v>564</v>
      </c>
      <c r="C33" s="157" t="s">
        <v>0</v>
      </c>
      <c r="D33" s="158">
        <v>20</v>
      </c>
      <c r="E33" s="159">
        <v>7035.25</v>
      </c>
      <c r="F33" s="158">
        <v>140705</v>
      </c>
      <c r="G33" s="160" t="s">
        <v>3017</v>
      </c>
      <c r="H33" s="98" t="s">
        <v>2886</v>
      </c>
      <c r="I33" s="670">
        <v>25</v>
      </c>
    </row>
    <row r="34" spans="1:9" s="4" customFormat="1" ht="71.25">
      <c r="A34" s="161" t="s">
        <v>53</v>
      </c>
      <c r="B34" s="8" t="s">
        <v>535</v>
      </c>
      <c r="C34" s="157" t="s">
        <v>0</v>
      </c>
      <c r="D34" s="158">
        <v>20</v>
      </c>
      <c r="E34" s="159">
        <v>5456.57</v>
      </c>
      <c r="F34" s="158">
        <v>109131.4</v>
      </c>
      <c r="G34" s="160" t="s">
        <v>3018</v>
      </c>
      <c r="H34" s="98" t="s">
        <v>565</v>
      </c>
      <c r="I34" s="670">
        <v>26</v>
      </c>
    </row>
    <row r="35" spans="1:9" s="4" customFormat="1" ht="71.25">
      <c r="A35" s="161" t="s">
        <v>54</v>
      </c>
      <c r="B35" s="8" t="s">
        <v>566</v>
      </c>
      <c r="C35" s="157" t="s">
        <v>0</v>
      </c>
      <c r="D35" s="158">
        <v>20</v>
      </c>
      <c r="E35" s="159">
        <v>884.12</v>
      </c>
      <c r="F35" s="158">
        <v>17682.400000000001</v>
      </c>
      <c r="G35" s="160" t="s">
        <v>3019</v>
      </c>
      <c r="H35" s="98" t="s">
        <v>567</v>
      </c>
      <c r="I35" s="670">
        <v>27</v>
      </c>
    </row>
    <row r="36" spans="1:9" s="4" customFormat="1" ht="71.25">
      <c r="A36" s="161" t="s">
        <v>55</v>
      </c>
      <c r="B36" s="8" t="s">
        <v>568</v>
      </c>
      <c r="C36" s="157" t="s">
        <v>0</v>
      </c>
      <c r="D36" s="158">
        <v>20</v>
      </c>
      <c r="E36" s="159">
        <v>1364.35</v>
      </c>
      <c r="F36" s="158">
        <v>27287</v>
      </c>
      <c r="G36" s="160" t="s">
        <v>3020</v>
      </c>
      <c r="H36" s="98" t="s">
        <v>2887</v>
      </c>
      <c r="I36" s="670">
        <v>28</v>
      </c>
    </row>
    <row r="37" spans="1:9" s="4" customFormat="1" ht="71.25">
      <c r="A37" s="161" t="s">
        <v>56</v>
      </c>
      <c r="B37" s="8" t="s">
        <v>536</v>
      </c>
      <c r="C37" s="157" t="s">
        <v>1</v>
      </c>
      <c r="D37" s="158">
        <v>20</v>
      </c>
      <c r="E37" s="159">
        <v>4449.99</v>
      </c>
      <c r="F37" s="158">
        <v>88999.8</v>
      </c>
      <c r="G37" s="160" t="s">
        <v>3021</v>
      </c>
      <c r="H37" s="98" t="s">
        <v>569</v>
      </c>
      <c r="I37" s="670">
        <v>29</v>
      </c>
    </row>
    <row r="38" spans="1:9" s="4" customFormat="1" ht="71.25">
      <c r="A38" s="161" t="s">
        <v>57</v>
      </c>
      <c r="B38" s="8" t="s">
        <v>3628</v>
      </c>
      <c r="C38" s="157" t="s">
        <v>1</v>
      </c>
      <c r="D38" s="158">
        <v>20</v>
      </c>
      <c r="E38" s="159">
        <v>603.78</v>
      </c>
      <c r="F38" s="158">
        <v>12075.6</v>
      </c>
      <c r="G38" s="160" t="s">
        <v>3022</v>
      </c>
      <c r="H38" s="98" t="s">
        <v>570</v>
      </c>
      <c r="I38" s="670">
        <v>30</v>
      </c>
    </row>
    <row r="39" spans="1:9" s="4" customFormat="1" ht="71.25">
      <c r="A39" s="161" t="s">
        <v>58</v>
      </c>
      <c r="B39" s="8" t="s">
        <v>571</v>
      </c>
      <c r="C39" s="157" t="s">
        <v>1</v>
      </c>
      <c r="D39" s="158">
        <v>20</v>
      </c>
      <c r="E39" s="159">
        <v>6174.4</v>
      </c>
      <c r="F39" s="158">
        <v>123488</v>
      </c>
      <c r="G39" s="160" t="s">
        <v>3023</v>
      </c>
      <c r="H39" s="98" t="s">
        <v>572</v>
      </c>
      <c r="I39" s="670">
        <v>31</v>
      </c>
    </row>
    <row r="40" spans="1:9" s="4" customFormat="1" ht="71.25">
      <c r="A40" s="161" t="s">
        <v>59</v>
      </c>
      <c r="B40" s="8" t="s">
        <v>3627</v>
      </c>
      <c r="C40" s="157" t="s">
        <v>1</v>
      </c>
      <c r="D40" s="158">
        <v>20</v>
      </c>
      <c r="E40" s="159">
        <v>1776.77</v>
      </c>
      <c r="F40" s="158">
        <v>35535.4</v>
      </c>
      <c r="G40" s="160" t="s">
        <v>3024</v>
      </c>
      <c r="H40" s="98" t="s">
        <v>573</v>
      </c>
      <c r="I40" s="670">
        <v>32</v>
      </c>
    </row>
    <row r="41" spans="1:9" s="4" customFormat="1" ht="71.25">
      <c r="A41" s="161" t="s">
        <v>60</v>
      </c>
      <c r="B41" s="8" t="s">
        <v>4012</v>
      </c>
      <c r="C41" s="157" t="s">
        <v>1</v>
      </c>
      <c r="D41" s="158">
        <v>125</v>
      </c>
      <c r="E41" s="159">
        <v>64.040000000000006</v>
      </c>
      <c r="F41" s="158">
        <v>8005</v>
      </c>
      <c r="G41" s="160" t="s">
        <v>3025</v>
      </c>
      <c r="H41" s="98" t="s">
        <v>574</v>
      </c>
      <c r="I41" s="670">
        <v>33</v>
      </c>
    </row>
    <row r="42" spans="1:9" s="4" customFormat="1" ht="71.25">
      <c r="A42" s="161" t="s">
        <v>61</v>
      </c>
      <c r="B42" s="8" t="s">
        <v>3626</v>
      </c>
      <c r="C42" s="157" t="s">
        <v>1</v>
      </c>
      <c r="D42" s="158">
        <v>10</v>
      </c>
      <c r="E42" s="159">
        <v>804.18</v>
      </c>
      <c r="F42" s="158">
        <v>8041.8</v>
      </c>
      <c r="G42" s="160" t="s">
        <v>3026</v>
      </c>
      <c r="H42" s="98" t="s">
        <v>575</v>
      </c>
      <c r="I42" s="670">
        <v>34</v>
      </c>
    </row>
    <row r="43" spans="1:9" s="4" customFormat="1" ht="42.75">
      <c r="A43" s="161" t="s">
        <v>62</v>
      </c>
      <c r="B43" s="8" t="s">
        <v>453</v>
      </c>
      <c r="C43" s="157" t="s">
        <v>0</v>
      </c>
      <c r="D43" s="158">
        <v>10</v>
      </c>
      <c r="E43" s="159">
        <v>5289.26</v>
      </c>
      <c r="F43" s="158">
        <v>52892.6</v>
      </c>
      <c r="G43" s="160" t="s">
        <v>3027</v>
      </c>
      <c r="H43" s="98" t="s">
        <v>576</v>
      </c>
      <c r="I43" s="670">
        <v>35</v>
      </c>
    </row>
    <row r="44" spans="1:9" s="4" customFormat="1" ht="42.75">
      <c r="A44" s="161" t="s">
        <v>63</v>
      </c>
      <c r="B44" s="8" t="s">
        <v>990</v>
      </c>
      <c r="C44" s="157" t="s">
        <v>17</v>
      </c>
      <c r="D44" s="158">
        <v>10</v>
      </c>
      <c r="E44" s="159">
        <v>87.71</v>
      </c>
      <c r="F44" s="158">
        <v>877.1</v>
      </c>
      <c r="G44" s="160" t="s">
        <v>3028</v>
      </c>
      <c r="H44" s="98" t="s">
        <v>2888</v>
      </c>
      <c r="I44" s="670">
        <v>36</v>
      </c>
    </row>
    <row r="45" spans="1:9" s="4" customFormat="1" ht="71.25">
      <c r="A45" s="161" t="s">
        <v>64</v>
      </c>
      <c r="B45" s="8" t="s">
        <v>537</v>
      </c>
      <c r="C45" s="157" t="s">
        <v>17</v>
      </c>
      <c r="D45" s="158">
        <v>10</v>
      </c>
      <c r="E45" s="159">
        <v>116.66</v>
      </c>
      <c r="F45" s="158">
        <v>1166.5999999999999</v>
      </c>
      <c r="G45" s="160" t="s">
        <v>3029</v>
      </c>
      <c r="H45" s="98" t="s">
        <v>2889</v>
      </c>
      <c r="I45" s="670">
        <v>37</v>
      </c>
    </row>
    <row r="46" spans="1:9" s="4" customFormat="1" ht="42.75">
      <c r="A46" s="161" t="s">
        <v>65</v>
      </c>
      <c r="B46" s="8" t="s">
        <v>995</v>
      </c>
      <c r="C46" s="157" t="s">
        <v>0</v>
      </c>
      <c r="D46" s="158">
        <v>20</v>
      </c>
      <c r="E46" s="159">
        <v>596.70000000000005</v>
      </c>
      <c r="F46" s="158">
        <v>11934</v>
      </c>
      <c r="G46" s="160" t="s">
        <v>3030</v>
      </c>
      <c r="H46" s="98" t="s">
        <v>577</v>
      </c>
      <c r="I46" s="670">
        <v>38</v>
      </c>
    </row>
    <row r="47" spans="1:9" s="4" customFormat="1" ht="71.25">
      <c r="A47" s="161" t="s">
        <v>66</v>
      </c>
      <c r="B47" s="8" t="s">
        <v>578</v>
      </c>
      <c r="C47" s="157" t="s">
        <v>0</v>
      </c>
      <c r="D47" s="158">
        <v>20</v>
      </c>
      <c r="E47" s="159">
        <v>793.61</v>
      </c>
      <c r="F47" s="158">
        <v>15872.2</v>
      </c>
      <c r="G47" s="160" t="s">
        <v>3031</v>
      </c>
      <c r="H47" s="98" t="s">
        <v>579</v>
      </c>
      <c r="I47" s="670">
        <v>39</v>
      </c>
    </row>
    <row r="48" spans="1:9" s="4" customFormat="1" ht="42.75">
      <c r="A48" s="161" t="s">
        <v>67</v>
      </c>
      <c r="B48" s="8" t="s">
        <v>1003</v>
      </c>
      <c r="C48" s="157" t="s">
        <v>1</v>
      </c>
      <c r="D48" s="158">
        <v>10</v>
      </c>
      <c r="E48" s="159">
        <v>92.24</v>
      </c>
      <c r="F48" s="158">
        <v>922.4</v>
      </c>
      <c r="G48" s="160" t="s">
        <v>3032</v>
      </c>
      <c r="H48" s="98" t="s">
        <v>580</v>
      </c>
      <c r="I48" s="670">
        <v>40</v>
      </c>
    </row>
    <row r="49" spans="1:9" s="4" customFormat="1" ht="42.75">
      <c r="A49" s="161" t="s">
        <v>68</v>
      </c>
      <c r="B49" s="8" t="s">
        <v>1010</v>
      </c>
      <c r="C49" s="157" t="s">
        <v>1</v>
      </c>
      <c r="D49" s="158">
        <v>10</v>
      </c>
      <c r="E49" s="159">
        <v>602.54999999999995</v>
      </c>
      <c r="F49" s="158">
        <v>6025.5</v>
      </c>
      <c r="G49" s="160" t="s">
        <v>3033</v>
      </c>
      <c r="H49" s="98" t="s">
        <v>581</v>
      </c>
      <c r="I49" s="670">
        <v>41</v>
      </c>
    </row>
    <row r="50" spans="1:9" s="4" customFormat="1" ht="42.75">
      <c r="A50" s="161" t="s">
        <v>69</v>
      </c>
      <c r="B50" s="8" t="s">
        <v>1019</v>
      </c>
      <c r="C50" s="157" t="s">
        <v>1</v>
      </c>
      <c r="D50" s="158">
        <v>10</v>
      </c>
      <c r="E50" s="159">
        <v>137.26</v>
      </c>
      <c r="F50" s="158">
        <v>1372.6</v>
      </c>
      <c r="G50" s="160" t="s">
        <v>3034</v>
      </c>
      <c r="H50" s="98" t="s">
        <v>582</v>
      </c>
      <c r="I50" s="670">
        <v>42</v>
      </c>
    </row>
    <row r="51" spans="1:9" s="4" customFormat="1" ht="42.75">
      <c r="A51" s="161" t="s">
        <v>70</v>
      </c>
      <c r="B51" s="8" t="s">
        <v>1033</v>
      </c>
      <c r="C51" s="157" t="s">
        <v>17</v>
      </c>
      <c r="D51" s="158">
        <v>10</v>
      </c>
      <c r="E51" s="159">
        <v>56.67</v>
      </c>
      <c r="F51" s="158">
        <v>566.70000000000005</v>
      </c>
      <c r="G51" s="160" t="s">
        <v>3035</v>
      </c>
      <c r="H51" s="98" t="s">
        <v>583</v>
      </c>
      <c r="I51" s="670">
        <v>43</v>
      </c>
    </row>
    <row r="52" spans="1:9" s="4" customFormat="1" ht="31.5">
      <c r="A52" s="161" t="s">
        <v>71</v>
      </c>
      <c r="B52" s="8" t="s">
        <v>1014</v>
      </c>
      <c r="C52" s="157" t="s">
        <v>1</v>
      </c>
      <c r="D52" s="158">
        <v>10</v>
      </c>
      <c r="E52" s="159">
        <v>700</v>
      </c>
      <c r="F52" s="158">
        <v>7000</v>
      </c>
      <c r="G52" s="160" t="s">
        <v>1015</v>
      </c>
      <c r="H52" s="98" t="s">
        <v>584</v>
      </c>
      <c r="I52" s="670">
        <v>44</v>
      </c>
    </row>
    <row r="53" spans="1:9" s="4" customFormat="1" ht="42.75">
      <c r="A53" s="161" t="s">
        <v>72</v>
      </c>
      <c r="B53" s="8" t="s">
        <v>1036</v>
      </c>
      <c r="C53" s="157" t="s">
        <v>3</v>
      </c>
      <c r="D53" s="158">
        <v>50</v>
      </c>
      <c r="E53" s="159">
        <v>14.18</v>
      </c>
      <c r="F53" s="158">
        <v>709</v>
      </c>
      <c r="G53" s="160" t="s">
        <v>3036</v>
      </c>
      <c r="H53" s="98" t="s">
        <v>585</v>
      </c>
      <c r="I53" s="670">
        <v>45</v>
      </c>
    </row>
    <row r="54" spans="1:9" s="4" customFormat="1" ht="42.75">
      <c r="A54" s="161" t="s">
        <v>73</v>
      </c>
      <c r="B54" s="8" t="s">
        <v>454</v>
      </c>
      <c r="C54" s="157" t="s">
        <v>0</v>
      </c>
      <c r="D54" s="158">
        <v>50</v>
      </c>
      <c r="E54" s="159">
        <v>289</v>
      </c>
      <c r="F54" s="158">
        <v>14450</v>
      </c>
      <c r="G54" s="160" t="s">
        <v>3037</v>
      </c>
      <c r="H54" s="98" t="s">
        <v>586</v>
      </c>
      <c r="I54" s="670">
        <v>46</v>
      </c>
    </row>
    <row r="55" spans="1:9" s="4" customFormat="1" ht="42.75">
      <c r="A55" s="161" t="s">
        <v>74</v>
      </c>
      <c r="B55" s="8" t="s">
        <v>1048</v>
      </c>
      <c r="C55" s="157" t="s">
        <v>15</v>
      </c>
      <c r="D55" s="158">
        <v>50</v>
      </c>
      <c r="E55" s="159">
        <v>53.23</v>
      </c>
      <c r="F55" s="158">
        <v>2661.5</v>
      </c>
      <c r="G55" s="160" t="s">
        <v>3038</v>
      </c>
      <c r="H55" s="98" t="s">
        <v>587</v>
      </c>
      <c r="I55" s="670">
        <v>47</v>
      </c>
    </row>
    <row r="56" spans="1:9" s="4" customFormat="1" ht="42.75">
      <c r="A56" s="161" t="s">
        <v>75</v>
      </c>
      <c r="B56" s="8" t="s">
        <v>1067</v>
      </c>
      <c r="C56" s="157" t="s">
        <v>15</v>
      </c>
      <c r="D56" s="158">
        <v>50</v>
      </c>
      <c r="E56" s="159">
        <v>304.26</v>
      </c>
      <c r="F56" s="158">
        <v>15213</v>
      </c>
      <c r="G56" s="160" t="s">
        <v>3039</v>
      </c>
      <c r="H56" s="98" t="s">
        <v>588</v>
      </c>
      <c r="I56" s="670">
        <v>48</v>
      </c>
    </row>
    <row r="57" spans="1:9" s="4" customFormat="1" ht="42.75">
      <c r="A57" s="161" t="s">
        <v>76</v>
      </c>
      <c r="B57" s="8" t="s">
        <v>1072</v>
      </c>
      <c r="C57" s="157" t="s">
        <v>0</v>
      </c>
      <c r="D57" s="158">
        <v>50</v>
      </c>
      <c r="E57" s="159">
        <v>101.47</v>
      </c>
      <c r="F57" s="158">
        <v>5073.5</v>
      </c>
      <c r="G57" s="160" t="s">
        <v>3040</v>
      </c>
      <c r="H57" s="98" t="s">
        <v>589</v>
      </c>
      <c r="I57" s="670">
        <v>49</v>
      </c>
    </row>
    <row r="58" spans="1:9" s="4" customFormat="1" ht="57">
      <c r="A58" s="161" t="s">
        <v>77</v>
      </c>
      <c r="B58" s="8" t="s">
        <v>543</v>
      </c>
      <c r="C58" s="157" t="s">
        <v>1</v>
      </c>
      <c r="D58" s="158">
        <v>50</v>
      </c>
      <c r="E58" s="159">
        <v>1154.01</v>
      </c>
      <c r="F58" s="158">
        <v>57700.5</v>
      </c>
      <c r="G58" s="160" t="s">
        <v>3041</v>
      </c>
      <c r="H58" s="98" t="s">
        <v>590</v>
      </c>
      <c r="I58" s="670">
        <v>50</v>
      </c>
    </row>
    <row r="59" spans="1:9" s="4" customFormat="1" ht="42.75">
      <c r="A59" s="161" t="s">
        <v>78</v>
      </c>
      <c r="B59" s="8" t="s">
        <v>1083</v>
      </c>
      <c r="C59" s="157" t="s">
        <v>0</v>
      </c>
      <c r="D59" s="158">
        <v>50</v>
      </c>
      <c r="E59" s="159">
        <v>859.23</v>
      </c>
      <c r="F59" s="158">
        <v>42961.5</v>
      </c>
      <c r="G59" s="160" t="s">
        <v>3042</v>
      </c>
      <c r="H59" s="98" t="s">
        <v>591</v>
      </c>
      <c r="I59" s="670">
        <v>51</v>
      </c>
    </row>
    <row r="60" spans="1:9" s="4" customFormat="1" ht="42.75">
      <c r="A60" s="161" t="s">
        <v>79</v>
      </c>
      <c r="B60" s="8" t="s">
        <v>26</v>
      </c>
      <c r="C60" s="157" t="s">
        <v>1</v>
      </c>
      <c r="D60" s="158">
        <v>50</v>
      </c>
      <c r="E60" s="159">
        <v>718.45</v>
      </c>
      <c r="F60" s="158">
        <v>35922.5</v>
      </c>
      <c r="G60" s="160" t="s">
        <v>3043</v>
      </c>
      <c r="H60" s="98" t="s">
        <v>592</v>
      </c>
      <c r="I60" s="670">
        <v>52</v>
      </c>
    </row>
    <row r="61" spans="1:9" s="4" customFormat="1" ht="42.75">
      <c r="A61" s="161" t="s">
        <v>80</v>
      </c>
      <c r="B61" s="8" t="s">
        <v>1091</v>
      </c>
      <c r="C61" s="157" t="s">
        <v>1</v>
      </c>
      <c r="D61" s="158">
        <v>20</v>
      </c>
      <c r="E61" s="159">
        <v>476.77</v>
      </c>
      <c r="F61" s="158">
        <v>9535.4</v>
      </c>
      <c r="G61" s="160" t="s">
        <v>3044</v>
      </c>
      <c r="H61" s="98" t="s">
        <v>593</v>
      </c>
      <c r="I61" s="670">
        <v>53</v>
      </c>
    </row>
    <row r="62" spans="1:9" s="4" customFormat="1" ht="42.75">
      <c r="A62" s="161" t="s">
        <v>81</v>
      </c>
      <c r="B62" s="8" t="s">
        <v>1096</v>
      </c>
      <c r="C62" s="157" t="s">
        <v>1</v>
      </c>
      <c r="D62" s="158">
        <v>50</v>
      </c>
      <c r="E62" s="159">
        <v>512.45000000000005</v>
      </c>
      <c r="F62" s="158">
        <v>25622.5</v>
      </c>
      <c r="G62" s="160" t="s">
        <v>3045</v>
      </c>
      <c r="H62" s="98" t="s">
        <v>594</v>
      </c>
      <c r="I62" s="670">
        <v>54</v>
      </c>
    </row>
    <row r="63" spans="1:9" s="4" customFormat="1" ht="42.75">
      <c r="A63" s="161" t="s">
        <v>82</v>
      </c>
      <c r="B63" s="8" t="s">
        <v>1099</v>
      </c>
      <c r="C63" s="157" t="s">
        <v>0</v>
      </c>
      <c r="D63" s="158">
        <v>50</v>
      </c>
      <c r="E63" s="159">
        <v>955.35</v>
      </c>
      <c r="F63" s="158">
        <v>47767.5</v>
      </c>
      <c r="G63" s="160" t="s">
        <v>3046</v>
      </c>
      <c r="H63" s="98" t="s">
        <v>595</v>
      </c>
      <c r="I63" s="670">
        <v>55</v>
      </c>
    </row>
    <row r="64" spans="1:9" s="4" customFormat="1" ht="42.75">
      <c r="A64" s="161" t="s">
        <v>83</v>
      </c>
      <c r="B64" s="8" t="s">
        <v>1104</v>
      </c>
      <c r="C64" s="157" t="s">
        <v>0</v>
      </c>
      <c r="D64" s="158">
        <v>15</v>
      </c>
      <c r="E64" s="159">
        <v>1475.22</v>
      </c>
      <c r="F64" s="158">
        <v>22128.3</v>
      </c>
      <c r="G64" s="160" t="s">
        <v>3047</v>
      </c>
      <c r="H64" s="98" t="s">
        <v>596</v>
      </c>
      <c r="I64" s="670">
        <v>56</v>
      </c>
    </row>
    <row r="65" spans="1:9" s="4" customFormat="1" ht="42.75">
      <c r="A65" s="161" t="s">
        <v>84</v>
      </c>
      <c r="B65" s="8" t="s">
        <v>1111</v>
      </c>
      <c r="C65" s="157" t="s">
        <v>3</v>
      </c>
      <c r="D65" s="158">
        <v>50</v>
      </c>
      <c r="E65" s="159">
        <v>11.16</v>
      </c>
      <c r="F65" s="158">
        <v>558</v>
      </c>
      <c r="G65" s="160" t="s">
        <v>3048</v>
      </c>
      <c r="H65" s="98" t="s">
        <v>597</v>
      </c>
      <c r="I65" s="670">
        <v>57</v>
      </c>
    </row>
    <row r="66" spans="1:9" s="4" customFormat="1" ht="42.75">
      <c r="A66" s="161" t="s">
        <v>85</v>
      </c>
      <c r="B66" s="8" t="s">
        <v>1118</v>
      </c>
      <c r="C66" s="157" t="s">
        <v>15</v>
      </c>
      <c r="D66" s="158">
        <v>50</v>
      </c>
      <c r="E66" s="159">
        <v>1239.5</v>
      </c>
      <c r="F66" s="158">
        <v>61975</v>
      </c>
      <c r="G66" s="160" t="s">
        <v>3049</v>
      </c>
      <c r="H66" s="98" t="s">
        <v>598</v>
      </c>
      <c r="I66" s="670">
        <v>58</v>
      </c>
    </row>
    <row r="67" spans="1:9" s="4" customFormat="1" ht="42.75">
      <c r="A67" s="161" t="s">
        <v>86</v>
      </c>
      <c r="B67" s="8" t="s">
        <v>1130</v>
      </c>
      <c r="C67" s="157" t="s">
        <v>15</v>
      </c>
      <c r="D67" s="158">
        <v>10</v>
      </c>
      <c r="E67" s="159">
        <v>1428.1</v>
      </c>
      <c r="F67" s="158">
        <v>14281</v>
      </c>
      <c r="G67" s="160" t="s">
        <v>3050</v>
      </c>
      <c r="H67" s="98" t="s">
        <v>599</v>
      </c>
      <c r="I67" s="670">
        <v>59</v>
      </c>
    </row>
    <row r="68" spans="1:9" s="4" customFormat="1" ht="42.75">
      <c r="A68" s="161" t="s">
        <v>87</v>
      </c>
      <c r="B68" s="8" t="s">
        <v>1135</v>
      </c>
      <c r="C68" s="157" t="s">
        <v>15</v>
      </c>
      <c r="D68" s="158">
        <v>10</v>
      </c>
      <c r="E68" s="159">
        <v>1306.04</v>
      </c>
      <c r="F68" s="158">
        <v>13060.4</v>
      </c>
      <c r="G68" s="160" t="s">
        <v>3051</v>
      </c>
      <c r="H68" s="98" t="s">
        <v>600</v>
      </c>
      <c r="I68" s="670">
        <v>60</v>
      </c>
    </row>
    <row r="69" spans="1:9" s="4" customFormat="1" ht="42.75">
      <c r="A69" s="161" t="s">
        <v>88</v>
      </c>
      <c r="B69" s="8" t="s">
        <v>1140</v>
      </c>
      <c r="C69" s="157" t="s">
        <v>3</v>
      </c>
      <c r="D69" s="158">
        <v>100</v>
      </c>
      <c r="E69" s="159">
        <v>40.61</v>
      </c>
      <c r="F69" s="158">
        <v>4061</v>
      </c>
      <c r="G69" s="160" t="s">
        <v>3052</v>
      </c>
      <c r="H69" s="98" t="s">
        <v>601</v>
      </c>
      <c r="I69" s="670">
        <v>61</v>
      </c>
    </row>
    <row r="70" spans="1:9" s="4" customFormat="1" ht="42.75">
      <c r="A70" s="161" t="s">
        <v>89</v>
      </c>
      <c r="B70" s="8" t="s">
        <v>1149</v>
      </c>
      <c r="C70" s="157" t="s">
        <v>3</v>
      </c>
      <c r="D70" s="158">
        <v>100</v>
      </c>
      <c r="E70" s="159">
        <v>15.53</v>
      </c>
      <c r="F70" s="158">
        <v>1553</v>
      </c>
      <c r="G70" s="160" t="s">
        <v>3053</v>
      </c>
      <c r="H70" s="98" t="s">
        <v>602</v>
      </c>
      <c r="I70" s="670">
        <v>62</v>
      </c>
    </row>
    <row r="71" spans="1:9" s="4" customFormat="1" ht="42.75">
      <c r="A71" s="161" t="s">
        <v>90</v>
      </c>
      <c r="B71" s="8" t="s">
        <v>1154</v>
      </c>
      <c r="C71" s="157" t="s">
        <v>0</v>
      </c>
      <c r="D71" s="158">
        <v>20</v>
      </c>
      <c r="E71" s="159">
        <v>7075.99</v>
      </c>
      <c r="F71" s="158">
        <v>141519.79999999999</v>
      </c>
      <c r="G71" s="160" t="s">
        <v>3054</v>
      </c>
      <c r="H71" s="98" t="s">
        <v>603</v>
      </c>
      <c r="I71" s="670">
        <v>63</v>
      </c>
    </row>
    <row r="72" spans="1:9" s="4" customFormat="1" ht="42.75">
      <c r="A72" s="161" t="s">
        <v>91</v>
      </c>
      <c r="B72" s="8" t="s">
        <v>1162</v>
      </c>
      <c r="C72" s="157" t="s">
        <v>0</v>
      </c>
      <c r="D72" s="158">
        <v>20</v>
      </c>
      <c r="E72" s="159">
        <v>7050.24</v>
      </c>
      <c r="F72" s="158">
        <v>141004.79999999999</v>
      </c>
      <c r="G72" s="160" t="s">
        <v>3055</v>
      </c>
      <c r="H72" s="98" t="s">
        <v>604</v>
      </c>
      <c r="I72" s="670">
        <v>64</v>
      </c>
    </row>
    <row r="73" spans="1:9" s="4" customFormat="1" ht="42.75">
      <c r="A73" s="161" t="s">
        <v>92</v>
      </c>
      <c r="B73" s="8" t="s">
        <v>2983</v>
      </c>
      <c r="C73" s="157" t="s">
        <v>0</v>
      </c>
      <c r="D73" s="158">
        <v>20</v>
      </c>
      <c r="E73" s="159">
        <v>7556.83</v>
      </c>
      <c r="F73" s="158">
        <v>151136.6</v>
      </c>
      <c r="G73" s="160" t="s">
        <v>3056</v>
      </c>
      <c r="H73" s="98" t="s">
        <v>605</v>
      </c>
      <c r="I73" s="670">
        <v>65</v>
      </c>
    </row>
    <row r="74" spans="1:9" s="4" customFormat="1" ht="42.75">
      <c r="A74" s="161" t="s">
        <v>93</v>
      </c>
      <c r="B74" s="8" t="s">
        <v>3631</v>
      </c>
      <c r="C74" s="157" t="s">
        <v>0</v>
      </c>
      <c r="D74" s="158">
        <v>20</v>
      </c>
      <c r="E74" s="159">
        <v>7531.08</v>
      </c>
      <c r="F74" s="158">
        <v>150621.6</v>
      </c>
      <c r="G74" s="160" t="s">
        <v>3057</v>
      </c>
      <c r="H74" s="98" t="s">
        <v>606</v>
      </c>
      <c r="I74" s="670">
        <v>66</v>
      </c>
    </row>
    <row r="75" spans="1:9" s="4" customFormat="1" ht="42.75">
      <c r="A75" s="161" t="s">
        <v>94</v>
      </c>
      <c r="B75" s="8" t="s">
        <v>1174</v>
      </c>
      <c r="C75" s="157" t="s">
        <v>0</v>
      </c>
      <c r="D75" s="158">
        <v>20</v>
      </c>
      <c r="E75" s="159">
        <v>6581.59</v>
      </c>
      <c r="F75" s="158">
        <v>131631.79999999999</v>
      </c>
      <c r="G75" s="160" t="s">
        <v>3058</v>
      </c>
      <c r="H75" s="98" t="s">
        <v>607</v>
      </c>
      <c r="I75" s="670">
        <v>67</v>
      </c>
    </row>
    <row r="76" spans="1:9" s="4" customFormat="1" ht="47.25">
      <c r="A76" s="161" t="s">
        <v>95</v>
      </c>
      <c r="B76" s="8" t="s">
        <v>1179</v>
      </c>
      <c r="C76" s="157" t="s">
        <v>0</v>
      </c>
      <c r="D76" s="158">
        <v>20</v>
      </c>
      <c r="E76" s="159">
        <v>7062.43</v>
      </c>
      <c r="F76" s="158">
        <v>141248.6</v>
      </c>
      <c r="G76" s="160" t="s">
        <v>3059</v>
      </c>
      <c r="H76" s="98" t="s">
        <v>608</v>
      </c>
      <c r="I76" s="670">
        <v>68</v>
      </c>
    </row>
    <row r="77" spans="1:9" s="4" customFormat="1" ht="42.75">
      <c r="A77" s="161" t="s">
        <v>96</v>
      </c>
      <c r="B77" s="8" t="s">
        <v>1182</v>
      </c>
      <c r="C77" s="157" t="s">
        <v>0</v>
      </c>
      <c r="D77" s="158">
        <v>20</v>
      </c>
      <c r="E77" s="159">
        <v>7992.69</v>
      </c>
      <c r="F77" s="158">
        <v>159853.79999999999</v>
      </c>
      <c r="G77" s="160" t="s">
        <v>3060</v>
      </c>
      <c r="H77" s="98" t="s">
        <v>609</v>
      </c>
      <c r="I77" s="670">
        <v>69</v>
      </c>
    </row>
    <row r="78" spans="1:9" s="4" customFormat="1" ht="47.25">
      <c r="A78" s="161" t="s">
        <v>97</v>
      </c>
      <c r="B78" s="8" t="s">
        <v>1187</v>
      </c>
      <c r="C78" s="157" t="s">
        <v>0</v>
      </c>
      <c r="D78" s="158">
        <v>20</v>
      </c>
      <c r="E78" s="159">
        <v>6219.03</v>
      </c>
      <c r="F78" s="158">
        <v>124380.6</v>
      </c>
      <c r="G78" s="160" t="s">
        <v>3061</v>
      </c>
      <c r="H78" s="98" t="s">
        <v>610</v>
      </c>
      <c r="I78" s="670">
        <v>70</v>
      </c>
    </row>
    <row r="79" spans="1:9" s="4" customFormat="1" ht="47.25">
      <c r="A79" s="161" t="s">
        <v>98</v>
      </c>
      <c r="B79" s="8" t="s">
        <v>1192</v>
      </c>
      <c r="C79" s="157" t="s">
        <v>0</v>
      </c>
      <c r="D79" s="158">
        <v>20</v>
      </c>
      <c r="E79" s="159">
        <v>6699.87</v>
      </c>
      <c r="F79" s="158">
        <v>133997.4</v>
      </c>
      <c r="G79" s="160" t="s">
        <v>3062</v>
      </c>
      <c r="H79" s="98" t="s">
        <v>611</v>
      </c>
      <c r="I79" s="670">
        <v>71</v>
      </c>
    </row>
    <row r="80" spans="1:9" s="4" customFormat="1" ht="47.25">
      <c r="A80" s="161" t="s">
        <v>99</v>
      </c>
      <c r="B80" s="8" t="s">
        <v>1195</v>
      </c>
      <c r="C80" s="157" t="s">
        <v>0</v>
      </c>
      <c r="D80" s="158">
        <v>20</v>
      </c>
      <c r="E80" s="159">
        <v>5854.41</v>
      </c>
      <c r="F80" s="158">
        <v>117088.2</v>
      </c>
      <c r="G80" s="160" t="s">
        <v>3063</v>
      </c>
      <c r="H80" s="98" t="s">
        <v>612</v>
      </c>
      <c r="I80" s="670">
        <v>72</v>
      </c>
    </row>
    <row r="81" spans="1:9" s="4" customFormat="1" ht="47.25">
      <c r="A81" s="161" t="s">
        <v>100</v>
      </c>
      <c r="B81" s="8" t="s">
        <v>1200</v>
      </c>
      <c r="C81" s="157" t="s">
        <v>0</v>
      </c>
      <c r="D81" s="158">
        <v>20</v>
      </c>
      <c r="E81" s="159">
        <v>6335.25</v>
      </c>
      <c r="F81" s="158">
        <v>126705</v>
      </c>
      <c r="G81" s="160" t="s">
        <v>3064</v>
      </c>
      <c r="H81" s="98" t="s">
        <v>613</v>
      </c>
      <c r="I81" s="670">
        <v>73</v>
      </c>
    </row>
    <row r="82" spans="1:9" s="4" customFormat="1" ht="42.75">
      <c r="A82" s="161" t="s">
        <v>101</v>
      </c>
      <c r="B82" s="8" t="s">
        <v>1203</v>
      </c>
      <c r="C82" s="157" t="s">
        <v>0</v>
      </c>
      <c r="D82" s="158">
        <v>5</v>
      </c>
      <c r="E82" s="159">
        <v>57088.160000000003</v>
      </c>
      <c r="F82" s="158">
        <v>285440.8</v>
      </c>
      <c r="G82" s="160" t="s">
        <v>3065</v>
      </c>
      <c r="H82" s="98" t="s">
        <v>614</v>
      </c>
      <c r="I82" s="670">
        <v>74</v>
      </c>
    </row>
    <row r="83" spans="1:9" s="4" customFormat="1" ht="42.75">
      <c r="A83" s="161" t="s">
        <v>102</v>
      </c>
      <c r="B83" s="8" t="s">
        <v>1215</v>
      </c>
      <c r="C83" s="157" t="s">
        <v>3</v>
      </c>
      <c r="D83" s="158">
        <v>100</v>
      </c>
      <c r="E83" s="159">
        <v>24.81</v>
      </c>
      <c r="F83" s="158">
        <v>2481</v>
      </c>
      <c r="G83" s="160" t="s">
        <v>3066</v>
      </c>
      <c r="H83" s="98" t="s">
        <v>615</v>
      </c>
      <c r="I83" s="670">
        <v>75</v>
      </c>
    </row>
    <row r="84" spans="1:9" s="4" customFormat="1" ht="42.75">
      <c r="A84" s="161" t="s">
        <v>103</v>
      </c>
      <c r="B84" s="8" t="s">
        <v>1231</v>
      </c>
      <c r="C84" s="157" t="s">
        <v>3</v>
      </c>
      <c r="D84" s="158">
        <v>100</v>
      </c>
      <c r="E84" s="159">
        <v>16.239999999999998</v>
      </c>
      <c r="F84" s="158">
        <v>1624</v>
      </c>
      <c r="G84" s="160" t="s">
        <v>3067</v>
      </c>
      <c r="H84" s="98" t="s">
        <v>616</v>
      </c>
      <c r="I84" s="670">
        <v>76</v>
      </c>
    </row>
    <row r="85" spans="1:9" s="4" customFormat="1" ht="47.25">
      <c r="A85" s="161" t="s">
        <v>104</v>
      </c>
      <c r="B85" s="8" t="s">
        <v>1236</v>
      </c>
      <c r="C85" s="157" t="s">
        <v>3</v>
      </c>
      <c r="D85" s="158">
        <v>100</v>
      </c>
      <c r="E85" s="159">
        <v>42.37</v>
      </c>
      <c r="F85" s="158">
        <v>4237</v>
      </c>
      <c r="G85" s="160" t="s">
        <v>3068</v>
      </c>
      <c r="H85" s="98" t="s">
        <v>617</v>
      </c>
      <c r="I85" s="670">
        <v>77</v>
      </c>
    </row>
    <row r="86" spans="1:9" s="4" customFormat="1" ht="47.25">
      <c r="A86" s="161" t="s">
        <v>105</v>
      </c>
      <c r="B86" s="8" t="s">
        <v>1239</v>
      </c>
      <c r="C86" s="157" t="s">
        <v>3</v>
      </c>
      <c r="D86" s="158">
        <v>100</v>
      </c>
      <c r="E86" s="159">
        <v>28.06</v>
      </c>
      <c r="F86" s="158">
        <v>2806</v>
      </c>
      <c r="G86" s="160" t="s">
        <v>3069</v>
      </c>
      <c r="H86" s="98" t="s">
        <v>618</v>
      </c>
      <c r="I86" s="670">
        <v>78</v>
      </c>
    </row>
    <row r="87" spans="1:9" s="4" customFormat="1" ht="42.75">
      <c r="A87" s="161" t="s">
        <v>106</v>
      </c>
      <c r="B87" s="8" t="s">
        <v>462</v>
      </c>
      <c r="C87" s="157" t="s">
        <v>17</v>
      </c>
      <c r="D87" s="158">
        <v>100</v>
      </c>
      <c r="E87" s="159">
        <v>64.63</v>
      </c>
      <c r="F87" s="158">
        <v>6463</v>
      </c>
      <c r="G87" s="160" t="s">
        <v>3070</v>
      </c>
      <c r="H87" s="98" t="s">
        <v>619</v>
      </c>
      <c r="I87" s="670">
        <v>79</v>
      </c>
    </row>
    <row r="88" spans="1:9" s="4" customFormat="1" ht="42.75">
      <c r="A88" s="161" t="s">
        <v>107</v>
      </c>
      <c r="B88" s="8" t="s">
        <v>1250</v>
      </c>
      <c r="C88" s="157" t="s">
        <v>17</v>
      </c>
      <c r="D88" s="158">
        <v>100</v>
      </c>
      <c r="E88" s="159">
        <v>75.41</v>
      </c>
      <c r="F88" s="158">
        <v>7541</v>
      </c>
      <c r="G88" s="160" t="s">
        <v>3071</v>
      </c>
      <c r="H88" s="98" t="s">
        <v>620</v>
      </c>
      <c r="I88" s="670">
        <v>80</v>
      </c>
    </row>
    <row r="89" spans="1:9" s="4" customFormat="1" ht="42.75">
      <c r="A89" s="161" t="s">
        <v>108</v>
      </c>
      <c r="B89" s="8" t="s">
        <v>1253</v>
      </c>
      <c r="C89" s="157" t="s">
        <v>17</v>
      </c>
      <c r="D89" s="158">
        <v>50</v>
      </c>
      <c r="E89" s="159">
        <v>135.38</v>
      </c>
      <c r="F89" s="158">
        <v>6769</v>
      </c>
      <c r="G89" s="160" t="s">
        <v>3072</v>
      </c>
      <c r="H89" s="98" t="s">
        <v>621</v>
      </c>
      <c r="I89" s="670">
        <v>81</v>
      </c>
    </row>
    <row r="90" spans="1:9" s="4" customFormat="1" ht="42.75">
      <c r="A90" s="161" t="s">
        <v>109</v>
      </c>
      <c r="B90" s="8" t="s">
        <v>464</v>
      </c>
      <c r="C90" s="157" t="s">
        <v>0</v>
      </c>
      <c r="D90" s="158">
        <v>100</v>
      </c>
      <c r="E90" s="159">
        <v>2743.76</v>
      </c>
      <c r="F90" s="158">
        <v>274376</v>
      </c>
      <c r="G90" s="160" t="s">
        <v>3073</v>
      </c>
      <c r="H90" s="98" t="s">
        <v>622</v>
      </c>
      <c r="I90" s="670">
        <v>82</v>
      </c>
    </row>
    <row r="91" spans="1:9" s="4" customFormat="1" ht="42.75">
      <c r="A91" s="161" t="s">
        <v>110</v>
      </c>
      <c r="B91" s="8" t="s">
        <v>1270</v>
      </c>
      <c r="C91" s="157" t="s">
        <v>0</v>
      </c>
      <c r="D91" s="158">
        <v>100</v>
      </c>
      <c r="E91" s="159">
        <v>2846.76</v>
      </c>
      <c r="F91" s="158">
        <v>284676</v>
      </c>
      <c r="G91" s="160" t="s">
        <v>3074</v>
      </c>
      <c r="H91" s="98" t="s">
        <v>623</v>
      </c>
      <c r="I91" s="670">
        <v>83</v>
      </c>
    </row>
    <row r="92" spans="1:9" s="4" customFormat="1" ht="71.25">
      <c r="A92" s="161" t="s">
        <v>111</v>
      </c>
      <c r="B92" s="8" t="s">
        <v>1275</v>
      </c>
      <c r="C92" s="157" t="s">
        <v>0</v>
      </c>
      <c r="D92" s="158">
        <v>100</v>
      </c>
      <c r="E92" s="159">
        <v>2949.76</v>
      </c>
      <c r="F92" s="158">
        <v>294976</v>
      </c>
      <c r="G92" s="160" t="s">
        <v>3075</v>
      </c>
      <c r="H92" s="98" t="s">
        <v>624</v>
      </c>
      <c r="I92" s="670">
        <v>84</v>
      </c>
    </row>
    <row r="93" spans="1:9" s="4" customFormat="1" ht="42.75">
      <c r="A93" s="161" t="s">
        <v>112</v>
      </c>
      <c r="B93" s="8" t="s">
        <v>1280</v>
      </c>
      <c r="C93" s="157" t="s">
        <v>0</v>
      </c>
      <c r="D93" s="158">
        <v>100</v>
      </c>
      <c r="E93" s="159">
        <v>3106.23</v>
      </c>
      <c r="F93" s="158">
        <v>310623</v>
      </c>
      <c r="G93" s="160" t="s">
        <v>3076</v>
      </c>
      <c r="H93" s="98" t="s">
        <v>625</v>
      </c>
      <c r="I93" s="670">
        <v>85</v>
      </c>
    </row>
    <row r="94" spans="1:9" s="4" customFormat="1" ht="42.75">
      <c r="A94" s="161" t="s">
        <v>113</v>
      </c>
      <c r="B94" s="8" t="s">
        <v>16</v>
      </c>
      <c r="C94" s="157" t="s">
        <v>0</v>
      </c>
      <c r="D94" s="158">
        <v>100</v>
      </c>
      <c r="E94" s="159">
        <v>3267.24</v>
      </c>
      <c r="F94" s="158">
        <v>326724</v>
      </c>
      <c r="G94" s="160" t="s">
        <v>3077</v>
      </c>
      <c r="H94" s="98" t="s">
        <v>626</v>
      </c>
      <c r="I94" s="670">
        <v>86</v>
      </c>
    </row>
    <row r="95" spans="1:9" s="4" customFormat="1" ht="42.75">
      <c r="A95" s="161" t="s">
        <v>114</v>
      </c>
      <c r="B95" s="8" t="s">
        <v>1287</v>
      </c>
      <c r="C95" s="157" t="s">
        <v>0</v>
      </c>
      <c r="D95" s="158">
        <v>100</v>
      </c>
      <c r="E95" s="159">
        <v>3491.08</v>
      </c>
      <c r="F95" s="158">
        <v>349108</v>
      </c>
      <c r="G95" s="160" t="s">
        <v>3078</v>
      </c>
      <c r="H95" s="98" t="s">
        <v>627</v>
      </c>
      <c r="I95" s="670">
        <v>87</v>
      </c>
    </row>
    <row r="96" spans="1:9" s="4" customFormat="1" ht="71.25">
      <c r="A96" s="161" t="s">
        <v>115</v>
      </c>
      <c r="B96" s="8" t="s">
        <v>1292</v>
      </c>
      <c r="C96" s="157" t="s">
        <v>0</v>
      </c>
      <c r="D96" s="158">
        <v>100</v>
      </c>
      <c r="E96" s="159">
        <v>4287.2700000000004</v>
      </c>
      <c r="F96" s="158">
        <v>428727</v>
      </c>
      <c r="G96" s="160" t="s">
        <v>3079</v>
      </c>
      <c r="H96" s="98" t="s">
        <v>628</v>
      </c>
      <c r="I96" s="670">
        <v>88</v>
      </c>
    </row>
    <row r="97" spans="1:9" s="4" customFormat="1" ht="71.25">
      <c r="A97" s="161" t="s">
        <v>116</v>
      </c>
      <c r="B97" s="8" t="s">
        <v>1306</v>
      </c>
      <c r="C97" s="157" t="s">
        <v>0</v>
      </c>
      <c r="D97" s="158">
        <v>100</v>
      </c>
      <c r="E97" s="159">
        <v>4432.6499999999996</v>
      </c>
      <c r="F97" s="158">
        <v>443265</v>
      </c>
      <c r="G97" s="160" t="s">
        <v>3080</v>
      </c>
      <c r="H97" s="98" t="s">
        <v>629</v>
      </c>
      <c r="I97" s="670">
        <v>89</v>
      </c>
    </row>
    <row r="98" spans="1:9" s="4" customFormat="1" ht="71.25">
      <c r="A98" s="672" t="s">
        <v>117</v>
      </c>
      <c r="B98" s="673" t="s">
        <v>1309</v>
      </c>
      <c r="C98" s="674" t="s">
        <v>0</v>
      </c>
      <c r="D98" s="675">
        <v>100</v>
      </c>
      <c r="E98" s="676">
        <v>4585.67</v>
      </c>
      <c r="F98" s="675">
        <v>458567</v>
      </c>
      <c r="G98" s="677" t="s">
        <v>3081</v>
      </c>
      <c r="H98" s="102" t="s">
        <v>630</v>
      </c>
      <c r="I98" s="670">
        <v>90</v>
      </c>
    </row>
    <row r="99" spans="1:9" s="4" customFormat="1" ht="71.25">
      <c r="A99" s="661" t="s">
        <v>118</v>
      </c>
      <c r="B99" s="658" t="s">
        <v>1312</v>
      </c>
      <c r="C99" s="659" t="s">
        <v>0</v>
      </c>
      <c r="D99" s="678">
        <v>100</v>
      </c>
      <c r="E99" s="679">
        <v>4658.3599999999997</v>
      </c>
      <c r="F99" s="678">
        <v>465836</v>
      </c>
      <c r="G99" s="660" t="s">
        <v>3082</v>
      </c>
      <c r="H99" s="680" t="s">
        <v>631</v>
      </c>
      <c r="I99" s="684">
        <v>91</v>
      </c>
    </row>
    <row r="100" spans="1:9" s="4" customFormat="1" ht="71.25">
      <c r="A100" s="661" t="s">
        <v>119</v>
      </c>
      <c r="B100" s="658" t="s">
        <v>1315</v>
      </c>
      <c r="C100" s="659" t="s">
        <v>0</v>
      </c>
      <c r="D100" s="678">
        <v>50</v>
      </c>
      <c r="E100" s="679">
        <v>6114.53</v>
      </c>
      <c r="F100" s="678">
        <v>305726.5</v>
      </c>
      <c r="G100" s="660" t="s">
        <v>3083</v>
      </c>
      <c r="H100" s="680" t="s">
        <v>632</v>
      </c>
      <c r="I100" s="684">
        <v>92</v>
      </c>
    </row>
    <row r="101" spans="1:9" s="4" customFormat="1" ht="42.75">
      <c r="A101" s="661" t="s">
        <v>120</v>
      </c>
      <c r="B101" s="658" t="s">
        <v>1320</v>
      </c>
      <c r="C101" s="659" t="s">
        <v>0</v>
      </c>
      <c r="D101" s="678">
        <v>50</v>
      </c>
      <c r="E101" s="679">
        <v>5064.41</v>
      </c>
      <c r="F101" s="678">
        <v>253220.5</v>
      </c>
      <c r="G101" s="660" t="s">
        <v>3084</v>
      </c>
      <c r="H101" s="680" t="s">
        <v>633</v>
      </c>
      <c r="I101" s="684">
        <v>93</v>
      </c>
    </row>
    <row r="102" spans="1:9" s="4" customFormat="1" ht="42.75">
      <c r="A102" s="661" t="s">
        <v>121</v>
      </c>
      <c r="B102" s="658" t="s">
        <v>1326</v>
      </c>
      <c r="C102" s="659" t="s">
        <v>0</v>
      </c>
      <c r="D102" s="678">
        <v>20</v>
      </c>
      <c r="E102" s="679">
        <v>1740.45</v>
      </c>
      <c r="F102" s="678">
        <v>34809</v>
      </c>
      <c r="G102" s="660" t="s">
        <v>3085</v>
      </c>
      <c r="H102" s="680" t="s">
        <v>634</v>
      </c>
      <c r="I102" s="684">
        <v>94</v>
      </c>
    </row>
    <row r="103" spans="1:9" s="4" customFormat="1" ht="31.5">
      <c r="A103" s="661" t="s">
        <v>122</v>
      </c>
      <c r="B103" s="658" t="s">
        <v>3086</v>
      </c>
      <c r="C103" s="659" t="s">
        <v>0</v>
      </c>
      <c r="D103" s="678">
        <v>50</v>
      </c>
      <c r="E103" s="679">
        <v>200</v>
      </c>
      <c r="F103" s="678">
        <v>10000</v>
      </c>
      <c r="G103" s="660" t="s">
        <v>3087</v>
      </c>
      <c r="H103" s="680" t="s">
        <v>635</v>
      </c>
      <c r="I103" s="684">
        <v>95</v>
      </c>
    </row>
    <row r="104" spans="1:9" s="4" customFormat="1" ht="42.75">
      <c r="A104" s="661" t="s">
        <v>123</v>
      </c>
      <c r="B104" s="658" t="s">
        <v>1328</v>
      </c>
      <c r="C104" s="659" t="s">
        <v>3</v>
      </c>
      <c r="D104" s="678">
        <v>10</v>
      </c>
      <c r="E104" s="679">
        <v>256.35000000000002</v>
      </c>
      <c r="F104" s="678">
        <v>2563.5</v>
      </c>
      <c r="G104" s="660" t="s">
        <v>3088</v>
      </c>
      <c r="H104" s="680" t="s">
        <v>636</v>
      </c>
      <c r="I104" s="684">
        <v>96</v>
      </c>
    </row>
    <row r="105" spans="1:9" s="4" customFormat="1" ht="42.75">
      <c r="A105" s="661" t="s">
        <v>124</v>
      </c>
      <c r="B105" s="658" t="s">
        <v>1333</v>
      </c>
      <c r="C105" s="659" t="s">
        <v>3</v>
      </c>
      <c r="D105" s="678">
        <v>10</v>
      </c>
      <c r="E105" s="679">
        <v>894.82</v>
      </c>
      <c r="F105" s="678">
        <v>8948.2000000000007</v>
      </c>
      <c r="G105" s="660" t="s">
        <v>3089</v>
      </c>
      <c r="H105" s="680" t="s">
        <v>637</v>
      </c>
      <c r="I105" s="684">
        <v>97</v>
      </c>
    </row>
    <row r="106" spans="1:9" s="4" customFormat="1" ht="85.5">
      <c r="A106" s="661" t="s">
        <v>125</v>
      </c>
      <c r="B106" s="658" t="s">
        <v>1347</v>
      </c>
      <c r="C106" s="659" t="s">
        <v>3</v>
      </c>
      <c r="D106" s="678">
        <v>10</v>
      </c>
      <c r="E106" s="679">
        <v>747.22</v>
      </c>
      <c r="F106" s="678">
        <v>7472.2</v>
      </c>
      <c r="G106" s="660" t="s">
        <v>3090</v>
      </c>
      <c r="H106" s="680" t="s">
        <v>638</v>
      </c>
      <c r="I106" s="684">
        <v>98</v>
      </c>
    </row>
    <row r="107" spans="1:9" s="4" customFormat="1" ht="42.75">
      <c r="A107" s="661" t="s">
        <v>126</v>
      </c>
      <c r="B107" s="658" t="s">
        <v>1352</v>
      </c>
      <c r="C107" s="659" t="s">
        <v>3</v>
      </c>
      <c r="D107" s="678">
        <v>10</v>
      </c>
      <c r="E107" s="679">
        <v>511.35</v>
      </c>
      <c r="F107" s="678">
        <v>5113.5</v>
      </c>
      <c r="G107" s="660" t="s">
        <v>3091</v>
      </c>
      <c r="H107" s="680" t="s">
        <v>639</v>
      </c>
      <c r="I107" s="684">
        <v>99</v>
      </c>
    </row>
    <row r="108" spans="1:9" s="4" customFormat="1" ht="57">
      <c r="A108" s="661" t="s">
        <v>127</v>
      </c>
      <c r="B108" s="658" t="s">
        <v>1357</v>
      </c>
      <c r="C108" s="659" t="s">
        <v>3</v>
      </c>
      <c r="D108" s="678">
        <v>10</v>
      </c>
      <c r="E108" s="679">
        <v>611.9</v>
      </c>
      <c r="F108" s="678">
        <v>6119</v>
      </c>
      <c r="G108" s="660" t="s">
        <v>3092</v>
      </c>
      <c r="H108" s="680" t="s">
        <v>640</v>
      </c>
      <c r="I108" s="684">
        <v>100</v>
      </c>
    </row>
    <row r="109" spans="1:9" s="4" customFormat="1" ht="57">
      <c r="A109" s="661" t="s">
        <v>128</v>
      </c>
      <c r="B109" s="658" t="s">
        <v>1360</v>
      </c>
      <c r="C109" s="659" t="s">
        <v>3</v>
      </c>
      <c r="D109" s="678">
        <v>10</v>
      </c>
      <c r="E109" s="679">
        <v>388.06</v>
      </c>
      <c r="F109" s="678">
        <v>3880.6</v>
      </c>
      <c r="G109" s="660" t="s">
        <v>3093</v>
      </c>
      <c r="H109" s="680" t="s">
        <v>641</v>
      </c>
      <c r="I109" s="684">
        <v>101</v>
      </c>
    </row>
    <row r="110" spans="1:9" s="4" customFormat="1" ht="42.75">
      <c r="A110" s="661" t="s">
        <v>129</v>
      </c>
      <c r="B110" s="658" t="s">
        <v>404</v>
      </c>
      <c r="C110" s="659" t="s">
        <v>17</v>
      </c>
      <c r="D110" s="678">
        <v>10</v>
      </c>
      <c r="E110" s="679">
        <v>595.22</v>
      </c>
      <c r="F110" s="678">
        <v>5952.2</v>
      </c>
      <c r="G110" s="660" t="s">
        <v>3094</v>
      </c>
      <c r="H110" s="680" t="s">
        <v>642</v>
      </c>
      <c r="I110" s="684">
        <v>102</v>
      </c>
    </row>
    <row r="111" spans="1:9" s="4" customFormat="1" ht="42.75">
      <c r="A111" s="661" t="s">
        <v>130</v>
      </c>
      <c r="B111" s="658" t="s">
        <v>1369</v>
      </c>
      <c r="C111" s="659" t="s">
        <v>3</v>
      </c>
      <c r="D111" s="678">
        <v>10</v>
      </c>
      <c r="E111" s="679">
        <v>357</v>
      </c>
      <c r="F111" s="678">
        <v>3570</v>
      </c>
      <c r="G111" s="660" t="s">
        <v>3095</v>
      </c>
      <c r="H111" s="680" t="s">
        <v>643</v>
      </c>
      <c r="I111" s="684">
        <v>103</v>
      </c>
    </row>
    <row r="112" spans="1:9" s="4" customFormat="1" ht="42.75">
      <c r="A112" s="661" t="s">
        <v>131</v>
      </c>
      <c r="B112" s="658" t="s">
        <v>1372</v>
      </c>
      <c r="C112" s="659" t="s">
        <v>17</v>
      </c>
      <c r="D112" s="678">
        <v>10</v>
      </c>
      <c r="E112" s="679">
        <v>724.75</v>
      </c>
      <c r="F112" s="678">
        <v>7247.5</v>
      </c>
      <c r="G112" s="660" t="s">
        <v>3096</v>
      </c>
      <c r="H112" s="680" t="s">
        <v>644</v>
      </c>
      <c r="I112" s="684">
        <v>104</v>
      </c>
    </row>
    <row r="113" spans="1:9" s="4" customFormat="1" ht="42.75">
      <c r="A113" s="661" t="s">
        <v>132</v>
      </c>
      <c r="B113" s="658" t="s">
        <v>1375</v>
      </c>
      <c r="C113" s="659" t="s">
        <v>3</v>
      </c>
      <c r="D113" s="678">
        <v>10</v>
      </c>
      <c r="E113" s="679">
        <v>432.06</v>
      </c>
      <c r="F113" s="678">
        <v>4320.6000000000004</v>
      </c>
      <c r="G113" s="660" t="s">
        <v>3097</v>
      </c>
      <c r="H113" s="680" t="s">
        <v>645</v>
      </c>
      <c r="I113" s="684">
        <v>105</v>
      </c>
    </row>
    <row r="114" spans="1:9" s="4" customFormat="1" ht="42.75">
      <c r="A114" s="661" t="s">
        <v>133</v>
      </c>
      <c r="B114" s="658" t="s">
        <v>1378</v>
      </c>
      <c r="C114" s="659" t="s">
        <v>17</v>
      </c>
      <c r="D114" s="678">
        <v>10</v>
      </c>
      <c r="E114" s="679">
        <v>842.99</v>
      </c>
      <c r="F114" s="678">
        <v>8429.9</v>
      </c>
      <c r="G114" s="660" t="s">
        <v>3098</v>
      </c>
      <c r="H114" s="680" t="s">
        <v>646</v>
      </c>
      <c r="I114" s="684">
        <v>106</v>
      </c>
    </row>
    <row r="115" spans="1:9" s="4" customFormat="1" ht="42.75">
      <c r="A115" s="661" t="s">
        <v>134</v>
      </c>
      <c r="B115" s="658" t="s">
        <v>1381</v>
      </c>
      <c r="C115" s="659" t="s">
        <v>3</v>
      </c>
      <c r="D115" s="678">
        <v>10</v>
      </c>
      <c r="E115" s="679">
        <v>501.75</v>
      </c>
      <c r="F115" s="678">
        <v>5017.5</v>
      </c>
      <c r="G115" s="660" t="s">
        <v>3099</v>
      </c>
      <c r="H115" s="680" t="s">
        <v>647</v>
      </c>
      <c r="I115" s="684">
        <v>107</v>
      </c>
    </row>
    <row r="116" spans="1:9" s="4" customFormat="1" ht="71.25">
      <c r="A116" s="661" t="s">
        <v>135</v>
      </c>
      <c r="B116" s="658" t="s">
        <v>3625</v>
      </c>
      <c r="C116" s="659" t="s">
        <v>3</v>
      </c>
      <c r="D116" s="678">
        <v>10</v>
      </c>
      <c r="E116" s="679">
        <v>1114.5</v>
      </c>
      <c r="F116" s="678">
        <v>11145</v>
      </c>
      <c r="G116" s="660" t="s">
        <v>3100</v>
      </c>
      <c r="H116" s="680" t="s">
        <v>648</v>
      </c>
      <c r="I116" s="684">
        <v>108</v>
      </c>
    </row>
    <row r="117" spans="1:9" s="4" customFormat="1" ht="114">
      <c r="A117" s="661" t="s">
        <v>136</v>
      </c>
      <c r="B117" s="658" t="s">
        <v>516</v>
      </c>
      <c r="C117" s="659" t="s">
        <v>3</v>
      </c>
      <c r="D117" s="678">
        <v>10</v>
      </c>
      <c r="E117" s="679">
        <v>935.37</v>
      </c>
      <c r="F117" s="678">
        <v>9353.7000000000007</v>
      </c>
      <c r="G117" s="660" t="s">
        <v>3101</v>
      </c>
      <c r="H117" s="680" t="s">
        <v>649</v>
      </c>
      <c r="I117" s="684">
        <v>109</v>
      </c>
    </row>
    <row r="118" spans="1:9" s="4" customFormat="1" ht="71.25">
      <c r="A118" s="661" t="s">
        <v>137</v>
      </c>
      <c r="B118" s="658" t="s">
        <v>3624</v>
      </c>
      <c r="C118" s="659" t="s">
        <v>3</v>
      </c>
      <c r="D118" s="678">
        <v>10</v>
      </c>
      <c r="E118" s="679">
        <v>636.79</v>
      </c>
      <c r="F118" s="678">
        <v>6367.9</v>
      </c>
      <c r="G118" s="660" t="s">
        <v>3102</v>
      </c>
      <c r="H118" s="680" t="s">
        <v>650</v>
      </c>
      <c r="I118" s="684">
        <v>110</v>
      </c>
    </row>
    <row r="119" spans="1:9" s="4" customFormat="1" ht="99.75">
      <c r="A119" s="661" t="s">
        <v>138</v>
      </c>
      <c r="B119" s="658" t="s">
        <v>3623</v>
      </c>
      <c r="C119" s="659" t="s">
        <v>3</v>
      </c>
      <c r="D119" s="678">
        <v>10</v>
      </c>
      <c r="E119" s="679">
        <v>766.1</v>
      </c>
      <c r="F119" s="678">
        <v>7661</v>
      </c>
      <c r="G119" s="660" t="s">
        <v>3103</v>
      </c>
      <c r="H119" s="680" t="s">
        <v>651</v>
      </c>
      <c r="I119" s="684">
        <v>111</v>
      </c>
    </row>
    <row r="120" spans="1:9" s="4" customFormat="1" ht="85.5">
      <c r="A120" s="661" t="s">
        <v>139</v>
      </c>
      <c r="B120" s="658" t="s">
        <v>2973</v>
      </c>
      <c r="C120" s="659" t="s">
        <v>3</v>
      </c>
      <c r="D120" s="678">
        <v>10</v>
      </c>
      <c r="E120" s="679">
        <v>486.6</v>
      </c>
      <c r="F120" s="678">
        <v>4866</v>
      </c>
      <c r="G120" s="660" t="s">
        <v>3104</v>
      </c>
      <c r="H120" s="680" t="s">
        <v>652</v>
      </c>
      <c r="I120" s="684">
        <v>112</v>
      </c>
    </row>
    <row r="121" spans="1:9" s="4" customFormat="1" ht="71.25">
      <c r="A121" s="661" t="s">
        <v>140</v>
      </c>
      <c r="B121" s="658" t="s">
        <v>3618</v>
      </c>
      <c r="C121" s="659" t="s">
        <v>17</v>
      </c>
      <c r="D121" s="678">
        <v>10</v>
      </c>
      <c r="E121" s="679">
        <v>749.41</v>
      </c>
      <c r="F121" s="678">
        <v>7494.1</v>
      </c>
      <c r="G121" s="660" t="s">
        <v>3105</v>
      </c>
      <c r="H121" s="680" t="s">
        <v>653</v>
      </c>
      <c r="I121" s="684">
        <v>113</v>
      </c>
    </row>
    <row r="122" spans="1:9" s="4" customFormat="1" ht="71.25">
      <c r="A122" s="661" t="s">
        <v>141</v>
      </c>
      <c r="B122" s="658" t="s">
        <v>3619</v>
      </c>
      <c r="C122" s="659" t="s">
        <v>3</v>
      </c>
      <c r="D122" s="678">
        <v>10</v>
      </c>
      <c r="E122" s="679">
        <v>442.52</v>
      </c>
      <c r="F122" s="678">
        <v>4425.2</v>
      </c>
      <c r="G122" s="660" t="s">
        <v>3106</v>
      </c>
      <c r="H122" s="680" t="s">
        <v>654</v>
      </c>
      <c r="I122" s="684">
        <v>114</v>
      </c>
    </row>
    <row r="123" spans="1:9" s="4" customFormat="1" ht="71.25">
      <c r="A123" s="661" t="s">
        <v>142</v>
      </c>
      <c r="B123" s="658" t="s">
        <v>1372</v>
      </c>
      <c r="C123" s="659" t="s">
        <v>17</v>
      </c>
      <c r="D123" s="678">
        <v>10</v>
      </c>
      <c r="E123" s="679">
        <v>921.58</v>
      </c>
      <c r="F123" s="678">
        <v>9215.7999999999993</v>
      </c>
      <c r="G123" s="660" t="s">
        <v>3107</v>
      </c>
      <c r="H123" s="680" t="s">
        <v>655</v>
      </c>
      <c r="I123" s="684">
        <v>115</v>
      </c>
    </row>
    <row r="124" spans="1:9" s="4" customFormat="1" ht="71.25">
      <c r="A124" s="661" t="s">
        <v>143</v>
      </c>
      <c r="B124" s="658" t="s">
        <v>3620</v>
      </c>
      <c r="C124" s="659" t="s">
        <v>3</v>
      </c>
      <c r="D124" s="678">
        <v>10</v>
      </c>
      <c r="E124" s="679">
        <v>538.9</v>
      </c>
      <c r="F124" s="678">
        <v>5389</v>
      </c>
      <c r="G124" s="660" t="s">
        <v>3108</v>
      </c>
      <c r="H124" s="680" t="s">
        <v>656</v>
      </c>
      <c r="I124" s="684">
        <v>116</v>
      </c>
    </row>
    <row r="125" spans="1:9" s="4" customFormat="1" ht="71.25">
      <c r="A125" s="661" t="s">
        <v>144</v>
      </c>
      <c r="B125" s="658" t="s">
        <v>3621</v>
      </c>
      <c r="C125" s="659" t="s">
        <v>17</v>
      </c>
      <c r="D125" s="678">
        <v>10</v>
      </c>
      <c r="E125" s="679">
        <v>1075.45</v>
      </c>
      <c r="F125" s="678">
        <v>10754.5</v>
      </c>
      <c r="G125" s="660" t="s">
        <v>3109</v>
      </c>
      <c r="H125" s="680" t="s">
        <v>657</v>
      </c>
      <c r="I125" s="684">
        <v>117</v>
      </c>
    </row>
    <row r="126" spans="1:9" s="4" customFormat="1" ht="71.25">
      <c r="A126" s="661" t="s">
        <v>145</v>
      </c>
      <c r="B126" s="658" t="s">
        <v>3622</v>
      </c>
      <c r="C126" s="659" t="s">
        <v>3</v>
      </c>
      <c r="D126" s="678">
        <v>10</v>
      </c>
      <c r="E126" s="679">
        <v>628.35</v>
      </c>
      <c r="F126" s="678">
        <v>6283.5</v>
      </c>
      <c r="G126" s="660" t="s">
        <v>3110</v>
      </c>
      <c r="H126" s="680" t="s">
        <v>658</v>
      </c>
      <c r="I126" s="684">
        <v>118</v>
      </c>
    </row>
    <row r="127" spans="1:9" s="4" customFormat="1" ht="57">
      <c r="A127" s="661" t="s">
        <v>146</v>
      </c>
      <c r="B127" s="658" t="s">
        <v>513</v>
      </c>
      <c r="C127" s="659" t="s">
        <v>18</v>
      </c>
      <c r="D127" s="678">
        <v>1200</v>
      </c>
      <c r="E127" s="679">
        <v>29.97</v>
      </c>
      <c r="F127" s="678">
        <v>35964</v>
      </c>
      <c r="G127" s="660" t="s">
        <v>3111</v>
      </c>
      <c r="H127" s="680" t="s">
        <v>659</v>
      </c>
      <c r="I127" s="684">
        <v>119</v>
      </c>
    </row>
    <row r="128" spans="1:9" s="4" customFormat="1" ht="42.75">
      <c r="A128" s="661" t="s">
        <v>147</v>
      </c>
      <c r="B128" s="658" t="s">
        <v>1417</v>
      </c>
      <c r="C128" s="659" t="s">
        <v>18</v>
      </c>
      <c r="D128" s="678">
        <v>1200</v>
      </c>
      <c r="E128" s="679">
        <v>29.75</v>
      </c>
      <c r="F128" s="678">
        <v>35700</v>
      </c>
      <c r="G128" s="660" t="s">
        <v>3112</v>
      </c>
      <c r="H128" s="680" t="s">
        <v>660</v>
      </c>
      <c r="I128" s="684">
        <v>120</v>
      </c>
    </row>
    <row r="129" spans="1:9" s="4" customFormat="1" ht="42.75">
      <c r="A129" s="661" t="s">
        <v>148</v>
      </c>
      <c r="B129" s="658" t="s">
        <v>1420</v>
      </c>
      <c r="C129" s="659" t="s">
        <v>18</v>
      </c>
      <c r="D129" s="678">
        <v>1200</v>
      </c>
      <c r="E129" s="679">
        <v>31.73</v>
      </c>
      <c r="F129" s="678">
        <v>38076</v>
      </c>
      <c r="G129" s="660" t="s">
        <v>3113</v>
      </c>
      <c r="H129" s="680" t="s">
        <v>661</v>
      </c>
      <c r="I129" s="684">
        <v>121</v>
      </c>
    </row>
    <row r="130" spans="1:9" s="4" customFormat="1" ht="42.75">
      <c r="A130" s="661" t="s">
        <v>149</v>
      </c>
      <c r="B130" s="658" t="s">
        <v>1425</v>
      </c>
      <c r="C130" s="659" t="s">
        <v>18</v>
      </c>
      <c r="D130" s="678">
        <v>1200</v>
      </c>
      <c r="E130" s="679">
        <v>31.95</v>
      </c>
      <c r="F130" s="678">
        <v>38340</v>
      </c>
      <c r="G130" s="660" t="s">
        <v>3114</v>
      </c>
      <c r="H130" s="680" t="s">
        <v>662</v>
      </c>
      <c r="I130" s="684">
        <v>122</v>
      </c>
    </row>
    <row r="131" spans="1:9" s="4" customFormat="1" ht="71.25">
      <c r="A131" s="661" t="s">
        <v>150</v>
      </c>
      <c r="B131" s="658" t="s">
        <v>3629</v>
      </c>
      <c r="C131" s="659" t="s">
        <v>18</v>
      </c>
      <c r="D131" s="678">
        <v>1000</v>
      </c>
      <c r="E131" s="679">
        <v>32.340000000000003</v>
      </c>
      <c r="F131" s="678">
        <v>32340</v>
      </c>
      <c r="G131" s="660" t="s">
        <v>3115</v>
      </c>
      <c r="H131" s="680" t="s">
        <v>663</v>
      </c>
      <c r="I131" s="684">
        <v>123</v>
      </c>
    </row>
    <row r="132" spans="1:9" s="4" customFormat="1" ht="99.75">
      <c r="A132" s="661" t="s">
        <v>151</v>
      </c>
      <c r="B132" s="658" t="s">
        <v>2939</v>
      </c>
      <c r="C132" s="659" t="s">
        <v>18</v>
      </c>
      <c r="D132" s="678">
        <v>1000</v>
      </c>
      <c r="E132" s="679">
        <v>32.56</v>
      </c>
      <c r="F132" s="678">
        <v>32560</v>
      </c>
      <c r="G132" s="660" t="s">
        <v>3116</v>
      </c>
      <c r="H132" s="680" t="s">
        <v>664</v>
      </c>
      <c r="I132" s="684">
        <v>124</v>
      </c>
    </row>
    <row r="133" spans="1:9" s="4" customFormat="1" ht="71.25">
      <c r="A133" s="661" t="s">
        <v>152</v>
      </c>
      <c r="B133" s="658" t="s">
        <v>3630</v>
      </c>
      <c r="C133" s="659" t="s">
        <v>18</v>
      </c>
      <c r="D133" s="678">
        <v>1000</v>
      </c>
      <c r="E133" s="679">
        <v>34.22</v>
      </c>
      <c r="F133" s="678">
        <v>34220</v>
      </c>
      <c r="G133" s="660" t="s">
        <v>3117</v>
      </c>
      <c r="H133" s="680" t="s">
        <v>665</v>
      </c>
      <c r="I133" s="684">
        <v>125</v>
      </c>
    </row>
    <row r="134" spans="1:9" s="4" customFormat="1" ht="71.25">
      <c r="A134" s="661" t="s">
        <v>153</v>
      </c>
      <c r="B134" s="658" t="s">
        <v>2940</v>
      </c>
      <c r="C134" s="659" t="s">
        <v>18</v>
      </c>
      <c r="D134" s="678">
        <v>1000</v>
      </c>
      <c r="E134" s="679">
        <v>34.450000000000003</v>
      </c>
      <c r="F134" s="678">
        <v>34450</v>
      </c>
      <c r="G134" s="660" t="s">
        <v>3118</v>
      </c>
      <c r="H134" s="680" t="s">
        <v>666</v>
      </c>
      <c r="I134" s="684">
        <v>126</v>
      </c>
    </row>
    <row r="135" spans="1:9" s="4" customFormat="1" ht="42.75">
      <c r="A135" s="661" t="s">
        <v>154</v>
      </c>
      <c r="B135" s="658" t="s">
        <v>1437</v>
      </c>
      <c r="C135" s="659" t="s">
        <v>18</v>
      </c>
      <c r="D135" s="678">
        <v>100</v>
      </c>
      <c r="E135" s="679">
        <v>35.5</v>
      </c>
      <c r="F135" s="678">
        <v>3550</v>
      </c>
      <c r="G135" s="660" t="s">
        <v>3119</v>
      </c>
      <c r="H135" s="680" t="s">
        <v>667</v>
      </c>
      <c r="I135" s="684">
        <v>127</v>
      </c>
    </row>
    <row r="136" spans="1:9" s="4" customFormat="1" ht="28.5">
      <c r="A136" s="661" t="s">
        <v>155</v>
      </c>
      <c r="B136" s="658" t="s">
        <v>1445</v>
      </c>
      <c r="C136" s="659" t="s">
        <v>18</v>
      </c>
      <c r="D136" s="678">
        <v>100</v>
      </c>
      <c r="E136" s="679">
        <v>22</v>
      </c>
      <c r="F136" s="678">
        <v>2200</v>
      </c>
      <c r="G136" s="660" t="s">
        <v>1446</v>
      </c>
      <c r="H136" s="680">
        <v>550011009</v>
      </c>
      <c r="I136" s="684">
        <v>128</v>
      </c>
    </row>
    <row r="137" spans="1:9" s="4" customFormat="1" ht="28.5">
      <c r="A137" s="661" t="s">
        <v>156</v>
      </c>
      <c r="B137" s="658" t="s">
        <v>2049</v>
      </c>
      <c r="C137" s="659" t="s">
        <v>18</v>
      </c>
      <c r="D137" s="678">
        <v>200</v>
      </c>
      <c r="E137" s="679">
        <v>25.65</v>
      </c>
      <c r="F137" s="678">
        <v>5130</v>
      </c>
      <c r="G137" s="660" t="s">
        <v>2050</v>
      </c>
      <c r="H137" s="680" t="s">
        <v>668</v>
      </c>
      <c r="I137" s="684">
        <v>129</v>
      </c>
    </row>
    <row r="138" spans="1:9" s="4" customFormat="1" ht="42.75">
      <c r="A138" s="661" t="s">
        <v>157</v>
      </c>
      <c r="B138" s="658" t="s">
        <v>1448</v>
      </c>
      <c r="C138" s="659" t="s">
        <v>18</v>
      </c>
      <c r="D138" s="678">
        <v>100</v>
      </c>
      <c r="E138" s="679">
        <v>278.10000000000002</v>
      </c>
      <c r="F138" s="678">
        <v>27810</v>
      </c>
      <c r="G138" s="660" t="s">
        <v>3120</v>
      </c>
      <c r="H138" s="680" t="s">
        <v>669</v>
      </c>
      <c r="I138" s="684">
        <v>130</v>
      </c>
    </row>
    <row r="139" spans="1:9" s="4" customFormat="1" ht="42.75">
      <c r="A139" s="661" t="s">
        <v>158</v>
      </c>
      <c r="B139" s="658" t="s">
        <v>1455</v>
      </c>
      <c r="C139" s="659" t="s">
        <v>18</v>
      </c>
      <c r="D139" s="678">
        <v>100</v>
      </c>
      <c r="E139" s="679">
        <v>319.3</v>
      </c>
      <c r="F139" s="678">
        <v>31930</v>
      </c>
      <c r="G139" s="660" t="s">
        <v>3121</v>
      </c>
      <c r="H139" s="680" t="s">
        <v>670</v>
      </c>
      <c r="I139" s="684">
        <v>131</v>
      </c>
    </row>
    <row r="140" spans="1:9" s="4" customFormat="1" ht="31.5">
      <c r="A140" s="661" t="s">
        <v>159</v>
      </c>
      <c r="B140" s="658" t="s">
        <v>3122</v>
      </c>
      <c r="C140" s="659" t="s">
        <v>3</v>
      </c>
      <c r="D140" s="678">
        <v>20</v>
      </c>
      <c r="E140" s="679">
        <v>79</v>
      </c>
      <c r="F140" s="678">
        <v>1580</v>
      </c>
      <c r="G140" s="660" t="s">
        <v>3123</v>
      </c>
      <c r="H140" s="680" t="s">
        <v>2865</v>
      </c>
      <c r="I140" s="684">
        <v>132</v>
      </c>
    </row>
    <row r="141" spans="1:9" s="4" customFormat="1" ht="31.5">
      <c r="A141" s="661" t="s">
        <v>160</v>
      </c>
      <c r="B141" s="658" t="s">
        <v>3124</v>
      </c>
      <c r="C141" s="659" t="s">
        <v>3</v>
      </c>
      <c r="D141" s="678">
        <v>20</v>
      </c>
      <c r="E141" s="679">
        <v>82.5</v>
      </c>
      <c r="F141" s="678">
        <v>1650</v>
      </c>
      <c r="G141" s="660" t="s">
        <v>3125</v>
      </c>
      <c r="H141" s="680" t="s">
        <v>671</v>
      </c>
      <c r="I141" s="684">
        <v>133</v>
      </c>
    </row>
    <row r="142" spans="1:9" s="4" customFormat="1" ht="42.75">
      <c r="A142" s="661" t="s">
        <v>161</v>
      </c>
      <c r="B142" s="658" t="s">
        <v>1460</v>
      </c>
      <c r="C142" s="659" t="s">
        <v>3</v>
      </c>
      <c r="D142" s="678">
        <v>50</v>
      </c>
      <c r="E142" s="679">
        <v>714.88</v>
      </c>
      <c r="F142" s="678">
        <v>35744</v>
      </c>
      <c r="G142" s="660" t="s">
        <v>3126</v>
      </c>
      <c r="H142" s="680" t="s">
        <v>672</v>
      </c>
      <c r="I142" s="684">
        <v>134</v>
      </c>
    </row>
    <row r="143" spans="1:9" s="4" customFormat="1" ht="42.75">
      <c r="A143" s="661" t="s">
        <v>162</v>
      </c>
      <c r="B143" s="658" t="s">
        <v>1469</v>
      </c>
      <c r="C143" s="659" t="s">
        <v>3</v>
      </c>
      <c r="D143" s="678">
        <v>50</v>
      </c>
      <c r="E143" s="679">
        <v>1233.5</v>
      </c>
      <c r="F143" s="678">
        <v>61675</v>
      </c>
      <c r="G143" s="660" t="s">
        <v>3127</v>
      </c>
      <c r="H143" s="680" t="s">
        <v>673</v>
      </c>
      <c r="I143" s="684">
        <v>135</v>
      </c>
    </row>
    <row r="144" spans="1:9" s="4" customFormat="1" ht="42.75">
      <c r="A144" s="661" t="s">
        <v>163</v>
      </c>
      <c r="B144" s="658" t="s">
        <v>1472</v>
      </c>
      <c r="C144" s="659" t="s">
        <v>3</v>
      </c>
      <c r="D144" s="678">
        <v>50</v>
      </c>
      <c r="E144" s="679">
        <v>249.05</v>
      </c>
      <c r="F144" s="678">
        <v>12452.5</v>
      </c>
      <c r="G144" s="660" t="s">
        <v>3128</v>
      </c>
      <c r="H144" s="680" t="s">
        <v>674</v>
      </c>
      <c r="I144" s="684">
        <v>136</v>
      </c>
    </row>
    <row r="145" spans="1:9" s="4" customFormat="1" ht="31.5">
      <c r="A145" s="661" t="s">
        <v>164</v>
      </c>
      <c r="B145" s="658" t="s">
        <v>2817</v>
      </c>
      <c r="C145" s="659" t="s">
        <v>2335</v>
      </c>
      <c r="D145" s="678">
        <v>10</v>
      </c>
      <c r="E145" s="679">
        <v>40</v>
      </c>
      <c r="F145" s="678">
        <v>400</v>
      </c>
      <c r="G145" s="660" t="s">
        <v>3129</v>
      </c>
      <c r="H145" s="680" t="s">
        <v>675</v>
      </c>
      <c r="I145" s="684">
        <v>137</v>
      </c>
    </row>
    <row r="146" spans="1:9" s="4" customFormat="1" ht="31.5">
      <c r="A146" s="661" t="s">
        <v>165</v>
      </c>
      <c r="B146" s="658" t="s">
        <v>3130</v>
      </c>
      <c r="C146" s="659" t="s">
        <v>2335</v>
      </c>
      <c r="D146" s="678">
        <v>10</v>
      </c>
      <c r="E146" s="679">
        <v>52</v>
      </c>
      <c r="F146" s="678">
        <v>520</v>
      </c>
      <c r="G146" s="660" t="s">
        <v>3131</v>
      </c>
      <c r="H146" s="680" t="s">
        <v>812</v>
      </c>
      <c r="I146" s="684">
        <v>138</v>
      </c>
    </row>
    <row r="147" spans="1:9" s="4" customFormat="1" ht="31.5">
      <c r="A147" s="661" t="s">
        <v>166</v>
      </c>
      <c r="B147" s="658" t="s">
        <v>3132</v>
      </c>
      <c r="C147" s="659" t="s">
        <v>2335</v>
      </c>
      <c r="D147" s="678">
        <v>10</v>
      </c>
      <c r="E147" s="679">
        <v>95</v>
      </c>
      <c r="F147" s="678">
        <v>950</v>
      </c>
      <c r="G147" s="660" t="s">
        <v>3133</v>
      </c>
      <c r="H147" s="680" t="s">
        <v>676</v>
      </c>
      <c r="I147" s="684">
        <v>139</v>
      </c>
    </row>
    <row r="148" spans="1:9" s="4" customFormat="1" ht="31.5">
      <c r="A148" s="661" t="s">
        <v>167</v>
      </c>
      <c r="B148" s="658" t="s">
        <v>3134</v>
      </c>
      <c r="C148" s="659" t="s">
        <v>2335</v>
      </c>
      <c r="D148" s="678">
        <v>10</v>
      </c>
      <c r="E148" s="679">
        <v>185</v>
      </c>
      <c r="F148" s="678">
        <v>1850</v>
      </c>
      <c r="G148" s="660" t="s">
        <v>3135</v>
      </c>
      <c r="H148" s="680" t="s">
        <v>677</v>
      </c>
      <c r="I148" s="684">
        <v>140</v>
      </c>
    </row>
    <row r="149" spans="1:9" s="4" customFormat="1" ht="31.5">
      <c r="A149" s="661" t="s">
        <v>168</v>
      </c>
      <c r="B149" s="658" t="s">
        <v>3136</v>
      </c>
      <c r="C149" s="659" t="s">
        <v>2335</v>
      </c>
      <c r="D149" s="678">
        <v>10</v>
      </c>
      <c r="E149" s="679">
        <v>295</v>
      </c>
      <c r="F149" s="678">
        <v>2950</v>
      </c>
      <c r="G149" s="660" t="s">
        <v>3137</v>
      </c>
      <c r="H149" s="680" t="s">
        <v>678</v>
      </c>
      <c r="I149" s="684">
        <v>141</v>
      </c>
    </row>
    <row r="150" spans="1:9" s="4" customFormat="1" ht="31.5">
      <c r="A150" s="661" t="s">
        <v>169</v>
      </c>
      <c r="B150" s="658" t="s">
        <v>3138</v>
      </c>
      <c r="C150" s="659" t="s">
        <v>2335</v>
      </c>
      <c r="D150" s="678">
        <v>10</v>
      </c>
      <c r="E150" s="679">
        <v>435</v>
      </c>
      <c r="F150" s="678">
        <v>4350</v>
      </c>
      <c r="G150" s="660" t="s">
        <v>3139</v>
      </c>
      <c r="H150" s="680" t="s">
        <v>813</v>
      </c>
      <c r="I150" s="684">
        <v>142</v>
      </c>
    </row>
    <row r="151" spans="1:9" s="4" customFormat="1" ht="71.25">
      <c r="A151" s="661" t="s">
        <v>170</v>
      </c>
      <c r="B151" s="658" t="s">
        <v>1475</v>
      </c>
      <c r="C151" s="659" t="s">
        <v>17</v>
      </c>
      <c r="D151" s="678">
        <v>5</v>
      </c>
      <c r="E151" s="679">
        <v>1530.68</v>
      </c>
      <c r="F151" s="678">
        <v>7653.4</v>
      </c>
      <c r="G151" s="660" t="s">
        <v>3140</v>
      </c>
      <c r="H151" s="680" t="s">
        <v>679</v>
      </c>
      <c r="I151" s="684">
        <v>143</v>
      </c>
    </row>
    <row r="152" spans="1:9" s="4" customFormat="1" ht="71.25">
      <c r="A152" s="661" t="s">
        <v>171</v>
      </c>
      <c r="B152" s="658" t="s">
        <v>1484</v>
      </c>
      <c r="C152" s="659" t="s">
        <v>17</v>
      </c>
      <c r="D152" s="678">
        <v>5</v>
      </c>
      <c r="E152" s="679">
        <v>1885.32</v>
      </c>
      <c r="F152" s="678">
        <v>9426.6</v>
      </c>
      <c r="G152" s="660" t="s">
        <v>3141</v>
      </c>
      <c r="H152" s="680" t="s">
        <v>680</v>
      </c>
      <c r="I152" s="684">
        <v>144</v>
      </c>
    </row>
    <row r="153" spans="1:9" s="4" customFormat="1" ht="71.25">
      <c r="A153" s="661" t="s">
        <v>172</v>
      </c>
      <c r="B153" s="658" t="s">
        <v>1489</v>
      </c>
      <c r="C153" s="659" t="s">
        <v>17</v>
      </c>
      <c r="D153" s="678">
        <v>5</v>
      </c>
      <c r="E153" s="679">
        <v>2202.2399999999998</v>
      </c>
      <c r="F153" s="678">
        <v>11011.2</v>
      </c>
      <c r="G153" s="660" t="s">
        <v>3142</v>
      </c>
      <c r="H153" s="680" t="s">
        <v>814</v>
      </c>
      <c r="I153" s="684">
        <v>145</v>
      </c>
    </row>
    <row r="154" spans="1:9" s="4" customFormat="1" ht="63">
      <c r="A154" s="661" t="s">
        <v>173</v>
      </c>
      <c r="B154" s="658" t="s">
        <v>1494</v>
      </c>
      <c r="C154" s="659" t="s">
        <v>17</v>
      </c>
      <c r="D154" s="678">
        <v>20</v>
      </c>
      <c r="E154" s="679">
        <v>1491.08</v>
      </c>
      <c r="F154" s="678">
        <v>29821.599999999999</v>
      </c>
      <c r="G154" s="660" t="s">
        <v>3143</v>
      </c>
      <c r="H154" s="680" t="s">
        <v>815</v>
      </c>
      <c r="I154" s="684">
        <v>146</v>
      </c>
    </row>
    <row r="155" spans="1:9" s="4" customFormat="1" ht="63">
      <c r="A155" s="661" t="s">
        <v>174</v>
      </c>
      <c r="B155" s="658" t="s">
        <v>1508</v>
      </c>
      <c r="C155" s="659" t="s">
        <v>17</v>
      </c>
      <c r="D155" s="678">
        <v>20</v>
      </c>
      <c r="E155" s="679">
        <v>1181.6099999999999</v>
      </c>
      <c r="F155" s="678">
        <v>23632.2</v>
      </c>
      <c r="G155" s="660" t="s">
        <v>3144</v>
      </c>
      <c r="H155" s="680" t="s">
        <v>681</v>
      </c>
      <c r="I155" s="684">
        <v>147</v>
      </c>
    </row>
    <row r="156" spans="1:9" s="4" customFormat="1" ht="63">
      <c r="A156" s="661" t="s">
        <v>175</v>
      </c>
      <c r="B156" s="658" t="s">
        <v>1513</v>
      </c>
      <c r="C156" s="659" t="s">
        <v>17</v>
      </c>
      <c r="D156" s="678">
        <v>20</v>
      </c>
      <c r="E156" s="679">
        <v>893.07</v>
      </c>
      <c r="F156" s="678">
        <v>17861.400000000001</v>
      </c>
      <c r="G156" s="660" t="s">
        <v>3145</v>
      </c>
      <c r="H156" s="680" t="s">
        <v>682</v>
      </c>
      <c r="I156" s="684">
        <v>148</v>
      </c>
    </row>
    <row r="157" spans="1:9" s="4" customFormat="1" ht="42.75">
      <c r="A157" s="661" t="s">
        <v>176</v>
      </c>
      <c r="B157" s="658" t="s">
        <v>1518</v>
      </c>
      <c r="C157" s="659" t="s">
        <v>17</v>
      </c>
      <c r="D157" s="678">
        <v>10</v>
      </c>
      <c r="E157" s="679">
        <v>3090</v>
      </c>
      <c r="F157" s="678">
        <v>30900</v>
      </c>
      <c r="G157" s="660" t="s">
        <v>3146</v>
      </c>
      <c r="H157" s="680" t="s">
        <v>683</v>
      </c>
      <c r="I157" s="684">
        <v>149</v>
      </c>
    </row>
    <row r="158" spans="1:9" s="4" customFormat="1" ht="47.25">
      <c r="A158" s="661" t="s">
        <v>177</v>
      </c>
      <c r="B158" s="658" t="s">
        <v>1525</v>
      </c>
      <c r="C158" s="659" t="s">
        <v>3</v>
      </c>
      <c r="D158" s="678">
        <v>10</v>
      </c>
      <c r="E158" s="679">
        <v>636.66999999999996</v>
      </c>
      <c r="F158" s="678">
        <v>6366.7</v>
      </c>
      <c r="G158" s="660" t="s">
        <v>3147</v>
      </c>
      <c r="H158" s="680" t="s">
        <v>684</v>
      </c>
      <c r="I158" s="684">
        <v>150</v>
      </c>
    </row>
    <row r="159" spans="1:9" s="4" customFormat="1" ht="47.25">
      <c r="A159" s="661" t="s">
        <v>178</v>
      </c>
      <c r="B159" s="658" t="s">
        <v>1533</v>
      </c>
      <c r="C159" s="659" t="s">
        <v>17</v>
      </c>
      <c r="D159" s="678">
        <v>2</v>
      </c>
      <c r="E159" s="679">
        <v>2353.5500000000002</v>
      </c>
      <c r="F159" s="678">
        <v>4707.1000000000004</v>
      </c>
      <c r="G159" s="660" t="s">
        <v>3148</v>
      </c>
      <c r="H159" s="680" t="s">
        <v>685</v>
      </c>
      <c r="I159" s="684">
        <v>151</v>
      </c>
    </row>
    <row r="160" spans="1:9" s="4" customFormat="1" ht="47.25">
      <c r="A160" s="661" t="s">
        <v>179</v>
      </c>
      <c r="B160" s="658" t="s">
        <v>1543</v>
      </c>
      <c r="C160" s="659" t="s">
        <v>17</v>
      </c>
      <c r="D160" s="678">
        <v>2</v>
      </c>
      <c r="E160" s="679">
        <v>2616.1999999999998</v>
      </c>
      <c r="F160" s="678">
        <v>5232.3999999999996</v>
      </c>
      <c r="G160" s="660" t="s">
        <v>3149</v>
      </c>
      <c r="H160" s="680" t="s">
        <v>686</v>
      </c>
      <c r="I160" s="684">
        <v>152</v>
      </c>
    </row>
    <row r="161" spans="1:9" s="4" customFormat="1" ht="47.25">
      <c r="A161" s="661" t="s">
        <v>180</v>
      </c>
      <c r="B161" s="658" t="s">
        <v>1550</v>
      </c>
      <c r="C161" s="659" t="s">
        <v>17</v>
      </c>
      <c r="D161" s="678">
        <v>2</v>
      </c>
      <c r="E161" s="679">
        <v>2744.95</v>
      </c>
      <c r="F161" s="678">
        <v>5489.9</v>
      </c>
      <c r="G161" s="660" t="s">
        <v>3150</v>
      </c>
      <c r="H161" s="680" t="s">
        <v>687</v>
      </c>
      <c r="I161" s="684">
        <v>153</v>
      </c>
    </row>
    <row r="162" spans="1:9" s="4" customFormat="1" ht="47.25">
      <c r="A162" s="661" t="s">
        <v>181</v>
      </c>
      <c r="B162" s="658" t="s">
        <v>1557</v>
      </c>
      <c r="C162" s="659" t="s">
        <v>17</v>
      </c>
      <c r="D162" s="678">
        <v>2</v>
      </c>
      <c r="E162" s="679">
        <v>3883.1</v>
      </c>
      <c r="F162" s="678">
        <v>7766.2</v>
      </c>
      <c r="G162" s="660" t="s">
        <v>3151</v>
      </c>
      <c r="H162" s="680" t="s">
        <v>816</v>
      </c>
      <c r="I162" s="684">
        <v>154</v>
      </c>
    </row>
    <row r="163" spans="1:9" s="4" customFormat="1" ht="47.25">
      <c r="A163" s="661" t="s">
        <v>182</v>
      </c>
      <c r="B163" s="658" t="s">
        <v>1564</v>
      </c>
      <c r="C163" s="659" t="s">
        <v>17</v>
      </c>
      <c r="D163" s="678">
        <v>2</v>
      </c>
      <c r="E163" s="679">
        <v>5626.38</v>
      </c>
      <c r="F163" s="678">
        <v>11252.76</v>
      </c>
      <c r="G163" s="660" t="s">
        <v>3152</v>
      </c>
      <c r="H163" s="680" t="s">
        <v>688</v>
      </c>
      <c r="I163" s="684">
        <v>155</v>
      </c>
    </row>
    <row r="164" spans="1:9" s="4" customFormat="1" ht="47.25">
      <c r="A164" s="661" t="s">
        <v>183</v>
      </c>
      <c r="B164" s="658" t="s">
        <v>1571</v>
      </c>
      <c r="C164" s="659" t="s">
        <v>17</v>
      </c>
      <c r="D164" s="678">
        <v>2</v>
      </c>
      <c r="E164" s="679">
        <v>8919.7999999999993</v>
      </c>
      <c r="F164" s="678">
        <v>17839.599999999999</v>
      </c>
      <c r="G164" s="660" t="s">
        <v>3153</v>
      </c>
      <c r="H164" s="680" t="s">
        <v>689</v>
      </c>
      <c r="I164" s="684">
        <v>156</v>
      </c>
    </row>
    <row r="165" spans="1:9" s="4" customFormat="1" ht="42.75">
      <c r="A165" s="661" t="s">
        <v>184</v>
      </c>
      <c r="B165" s="658" t="s">
        <v>1578</v>
      </c>
      <c r="C165" s="659" t="s">
        <v>17</v>
      </c>
      <c r="D165" s="678">
        <v>10</v>
      </c>
      <c r="E165" s="679">
        <v>169.95</v>
      </c>
      <c r="F165" s="678">
        <v>1699.5</v>
      </c>
      <c r="G165" s="660" t="s">
        <v>3154</v>
      </c>
      <c r="H165" s="680" t="s">
        <v>2933</v>
      </c>
      <c r="I165" s="684">
        <v>157</v>
      </c>
    </row>
    <row r="166" spans="1:9" s="4" customFormat="1" ht="42.75">
      <c r="A166" s="661" t="s">
        <v>185</v>
      </c>
      <c r="B166" s="658" t="s">
        <v>1585</v>
      </c>
      <c r="C166" s="659" t="s">
        <v>17</v>
      </c>
      <c r="D166" s="678">
        <v>10</v>
      </c>
      <c r="E166" s="679">
        <v>247.2</v>
      </c>
      <c r="F166" s="678">
        <v>2472</v>
      </c>
      <c r="G166" s="660" t="s">
        <v>3155</v>
      </c>
      <c r="H166" s="680">
        <v>225530001</v>
      </c>
      <c r="I166" s="684">
        <v>158</v>
      </c>
    </row>
    <row r="167" spans="1:9" s="4" customFormat="1" ht="42.75">
      <c r="A167" s="661" t="s">
        <v>186</v>
      </c>
      <c r="B167" s="658" t="s">
        <v>1592</v>
      </c>
      <c r="C167" s="659" t="s">
        <v>17</v>
      </c>
      <c r="D167" s="678">
        <v>10</v>
      </c>
      <c r="E167" s="679">
        <v>875.5</v>
      </c>
      <c r="F167" s="678">
        <v>8755</v>
      </c>
      <c r="G167" s="660" t="s">
        <v>3156</v>
      </c>
      <c r="H167" s="680" t="s">
        <v>690</v>
      </c>
      <c r="I167" s="684">
        <v>159</v>
      </c>
    </row>
    <row r="168" spans="1:9" s="4" customFormat="1" ht="42.75">
      <c r="A168" s="661" t="s">
        <v>187</v>
      </c>
      <c r="B168" s="658" t="s">
        <v>1599</v>
      </c>
      <c r="C168" s="659" t="s">
        <v>17</v>
      </c>
      <c r="D168" s="678">
        <v>10</v>
      </c>
      <c r="E168" s="679">
        <v>1199.95</v>
      </c>
      <c r="F168" s="678">
        <v>11999.5</v>
      </c>
      <c r="G168" s="660" t="s">
        <v>3157</v>
      </c>
      <c r="H168" s="680" t="s">
        <v>817</v>
      </c>
      <c r="I168" s="684">
        <v>160</v>
      </c>
    </row>
    <row r="169" spans="1:9" s="4" customFormat="1" ht="42.75">
      <c r="A169" s="661" t="s">
        <v>188</v>
      </c>
      <c r="B169" s="658" t="s">
        <v>1606</v>
      </c>
      <c r="C169" s="659" t="s">
        <v>17</v>
      </c>
      <c r="D169" s="678">
        <v>10</v>
      </c>
      <c r="E169" s="679">
        <v>372.52</v>
      </c>
      <c r="F169" s="678">
        <v>3725.2</v>
      </c>
      <c r="G169" s="660" t="s">
        <v>3158</v>
      </c>
      <c r="H169" s="680">
        <v>225540051</v>
      </c>
      <c r="I169" s="684">
        <v>161</v>
      </c>
    </row>
    <row r="170" spans="1:9" s="4" customFormat="1" ht="42.75">
      <c r="A170" s="661" t="s">
        <v>189</v>
      </c>
      <c r="B170" s="658" t="s">
        <v>1613</v>
      </c>
      <c r="C170" s="659" t="s">
        <v>17</v>
      </c>
      <c r="D170" s="678">
        <v>10</v>
      </c>
      <c r="E170" s="679">
        <v>1330.42</v>
      </c>
      <c r="F170" s="678">
        <v>13304.2</v>
      </c>
      <c r="G170" s="660" t="s">
        <v>3159</v>
      </c>
      <c r="H170" s="680" t="s">
        <v>818</v>
      </c>
      <c r="I170" s="684">
        <v>162</v>
      </c>
    </row>
    <row r="171" spans="1:9" s="4" customFormat="1" ht="42.75">
      <c r="A171" s="661" t="s">
        <v>190</v>
      </c>
      <c r="B171" s="658" t="s">
        <v>1620</v>
      </c>
      <c r="C171" s="659" t="s">
        <v>17</v>
      </c>
      <c r="D171" s="678">
        <v>10</v>
      </c>
      <c r="E171" s="679">
        <v>164.8</v>
      </c>
      <c r="F171" s="678">
        <v>1648</v>
      </c>
      <c r="G171" s="660" t="s">
        <v>3160</v>
      </c>
      <c r="H171" s="680" t="s">
        <v>691</v>
      </c>
      <c r="I171" s="684">
        <v>163</v>
      </c>
    </row>
    <row r="172" spans="1:9" s="4" customFormat="1" ht="42.75">
      <c r="A172" s="661" t="s">
        <v>191</v>
      </c>
      <c r="B172" s="658" t="s">
        <v>1625</v>
      </c>
      <c r="C172" s="659" t="s">
        <v>17</v>
      </c>
      <c r="D172" s="678">
        <v>10</v>
      </c>
      <c r="E172" s="679">
        <v>236.9</v>
      </c>
      <c r="F172" s="678">
        <v>2369</v>
      </c>
      <c r="G172" s="660" t="s">
        <v>3161</v>
      </c>
      <c r="H172" s="680" t="s">
        <v>692</v>
      </c>
      <c r="I172" s="684">
        <v>164</v>
      </c>
    </row>
    <row r="173" spans="1:9" s="4" customFormat="1" ht="42.75">
      <c r="A173" s="661" t="s">
        <v>192</v>
      </c>
      <c r="B173" s="658" t="s">
        <v>1630</v>
      </c>
      <c r="C173" s="659" t="s">
        <v>17</v>
      </c>
      <c r="D173" s="678">
        <v>10</v>
      </c>
      <c r="E173" s="679">
        <v>336.47</v>
      </c>
      <c r="F173" s="678">
        <v>3364.7</v>
      </c>
      <c r="G173" s="660" t="s">
        <v>3162</v>
      </c>
      <c r="H173" s="680" t="s">
        <v>2890</v>
      </c>
      <c r="I173" s="684">
        <v>165</v>
      </c>
    </row>
    <row r="174" spans="1:9" s="4" customFormat="1" ht="42.75">
      <c r="A174" s="661" t="s">
        <v>193</v>
      </c>
      <c r="B174" s="658" t="s">
        <v>1635</v>
      </c>
      <c r="C174" s="659" t="s">
        <v>3</v>
      </c>
      <c r="D174" s="678">
        <v>10</v>
      </c>
      <c r="E174" s="679">
        <v>310.10000000000002</v>
      </c>
      <c r="F174" s="678">
        <v>3101</v>
      </c>
      <c r="G174" s="660" t="s">
        <v>3163</v>
      </c>
      <c r="H174" s="680" t="s">
        <v>819</v>
      </c>
      <c r="I174" s="684">
        <v>166</v>
      </c>
    </row>
    <row r="175" spans="1:9" s="4" customFormat="1" ht="42.75">
      <c r="A175" s="661" t="s">
        <v>194</v>
      </c>
      <c r="B175" s="658" t="s">
        <v>1641</v>
      </c>
      <c r="C175" s="659" t="s">
        <v>3</v>
      </c>
      <c r="D175" s="678">
        <v>10</v>
      </c>
      <c r="E175" s="679">
        <v>466.57</v>
      </c>
      <c r="F175" s="678">
        <v>4665.7</v>
      </c>
      <c r="G175" s="660" t="s">
        <v>3164</v>
      </c>
      <c r="H175" s="680" t="s">
        <v>693</v>
      </c>
      <c r="I175" s="684">
        <v>167</v>
      </c>
    </row>
    <row r="176" spans="1:9" s="4" customFormat="1" ht="42.75">
      <c r="A176" s="661" t="s">
        <v>195</v>
      </c>
      <c r="B176" s="658" t="s">
        <v>1647</v>
      </c>
      <c r="C176" s="659" t="s">
        <v>3</v>
      </c>
      <c r="D176" s="678">
        <v>10</v>
      </c>
      <c r="E176" s="679">
        <v>441.65</v>
      </c>
      <c r="F176" s="678">
        <v>4416.5</v>
      </c>
      <c r="G176" s="660" t="s">
        <v>3165</v>
      </c>
      <c r="H176" s="680" t="s">
        <v>694</v>
      </c>
      <c r="I176" s="684">
        <v>168</v>
      </c>
    </row>
    <row r="177" spans="1:9" s="4" customFormat="1" ht="57">
      <c r="A177" s="661" t="s">
        <v>196</v>
      </c>
      <c r="B177" s="658" t="s">
        <v>1651</v>
      </c>
      <c r="C177" s="659" t="s">
        <v>3</v>
      </c>
      <c r="D177" s="678">
        <v>10</v>
      </c>
      <c r="E177" s="679">
        <v>100.39</v>
      </c>
      <c r="F177" s="678">
        <v>1003.9</v>
      </c>
      <c r="G177" s="660" t="s">
        <v>3166</v>
      </c>
      <c r="H177" s="680" t="s">
        <v>695</v>
      </c>
      <c r="I177" s="684">
        <v>169</v>
      </c>
    </row>
    <row r="178" spans="1:9" s="4" customFormat="1" ht="42.75">
      <c r="A178" s="661" t="s">
        <v>197</v>
      </c>
      <c r="B178" s="658" t="s">
        <v>1643</v>
      </c>
      <c r="C178" s="659" t="s">
        <v>0</v>
      </c>
      <c r="D178" s="678">
        <v>15</v>
      </c>
      <c r="E178" s="679">
        <v>4774.1499999999996</v>
      </c>
      <c r="F178" s="678">
        <v>71612.25</v>
      </c>
      <c r="G178" s="660" t="s">
        <v>3167</v>
      </c>
      <c r="H178" s="680" t="s">
        <v>696</v>
      </c>
      <c r="I178" s="684">
        <v>170</v>
      </c>
    </row>
    <row r="179" spans="1:9" s="4" customFormat="1" ht="42.75">
      <c r="A179" s="661" t="s">
        <v>198</v>
      </c>
      <c r="B179" s="658" t="s">
        <v>1649</v>
      </c>
      <c r="C179" s="659" t="s">
        <v>0</v>
      </c>
      <c r="D179" s="678">
        <v>15</v>
      </c>
      <c r="E179" s="679">
        <v>3564.62</v>
      </c>
      <c r="F179" s="678">
        <v>53469.3</v>
      </c>
      <c r="G179" s="660" t="s">
        <v>3168</v>
      </c>
      <c r="H179" s="680" t="s">
        <v>2891</v>
      </c>
      <c r="I179" s="684">
        <v>171</v>
      </c>
    </row>
    <row r="180" spans="1:9" s="4" customFormat="1" ht="42.75">
      <c r="A180" s="661" t="s">
        <v>199</v>
      </c>
      <c r="B180" s="658" t="s">
        <v>1637</v>
      </c>
      <c r="C180" s="659" t="s">
        <v>0</v>
      </c>
      <c r="D180" s="678">
        <v>10</v>
      </c>
      <c r="E180" s="679">
        <v>3297.96</v>
      </c>
      <c r="F180" s="678">
        <v>32979.599999999999</v>
      </c>
      <c r="G180" s="660" t="s">
        <v>3169</v>
      </c>
      <c r="H180" s="680" t="s">
        <v>2892</v>
      </c>
      <c r="I180" s="684">
        <v>172</v>
      </c>
    </row>
    <row r="181" spans="1:9" s="4" customFormat="1" ht="42.75">
      <c r="A181" s="661" t="s">
        <v>200</v>
      </c>
      <c r="B181" s="658" t="s">
        <v>1666</v>
      </c>
      <c r="C181" s="659" t="s">
        <v>3</v>
      </c>
      <c r="D181" s="678">
        <v>10</v>
      </c>
      <c r="E181" s="679">
        <v>1119.83</v>
      </c>
      <c r="F181" s="678">
        <v>11198.3</v>
      </c>
      <c r="G181" s="660" t="s">
        <v>3170</v>
      </c>
      <c r="H181" s="680" t="s">
        <v>697</v>
      </c>
      <c r="I181" s="684">
        <v>173</v>
      </c>
    </row>
    <row r="182" spans="1:9" s="4" customFormat="1" ht="42.75">
      <c r="A182" s="661" t="s">
        <v>201</v>
      </c>
      <c r="B182" s="658" t="s">
        <v>1675</v>
      </c>
      <c r="C182" s="659" t="s">
        <v>3</v>
      </c>
      <c r="D182" s="678">
        <v>10</v>
      </c>
      <c r="E182" s="679">
        <v>1289.45</v>
      </c>
      <c r="F182" s="678">
        <v>12894.5</v>
      </c>
      <c r="G182" s="660" t="s">
        <v>3171</v>
      </c>
      <c r="H182" s="680" t="s">
        <v>698</v>
      </c>
      <c r="I182" s="684">
        <v>174</v>
      </c>
    </row>
    <row r="183" spans="1:9" s="4" customFormat="1" ht="42.75">
      <c r="A183" s="661" t="s">
        <v>202</v>
      </c>
      <c r="B183" s="658" t="s">
        <v>1680</v>
      </c>
      <c r="C183" s="659" t="s">
        <v>3</v>
      </c>
      <c r="D183" s="678">
        <v>10</v>
      </c>
      <c r="E183" s="679">
        <v>1442.63</v>
      </c>
      <c r="F183" s="678">
        <v>14426.3</v>
      </c>
      <c r="G183" s="660" t="s">
        <v>3172</v>
      </c>
      <c r="H183" s="680" t="s">
        <v>699</v>
      </c>
      <c r="I183" s="684">
        <v>175</v>
      </c>
    </row>
    <row r="184" spans="1:9" s="4" customFormat="1" ht="42.75">
      <c r="A184" s="661" t="s">
        <v>203</v>
      </c>
      <c r="B184" s="658" t="s">
        <v>1685</v>
      </c>
      <c r="C184" s="659" t="s">
        <v>3</v>
      </c>
      <c r="D184" s="678">
        <v>10</v>
      </c>
      <c r="E184" s="679">
        <v>436.16</v>
      </c>
      <c r="F184" s="678">
        <v>4361.6000000000004</v>
      </c>
      <c r="G184" s="660" t="s">
        <v>3173</v>
      </c>
      <c r="H184" s="680" t="s">
        <v>700</v>
      </c>
      <c r="I184" s="684">
        <v>176</v>
      </c>
    </row>
    <row r="185" spans="1:9" s="4" customFormat="1" ht="42.75">
      <c r="A185" s="661" t="s">
        <v>204</v>
      </c>
      <c r="B185" s="658" t="s">
        <v>1688</v>
      </c>
      <c r="C185" s="659" t="s">
        <v>1689</v>
      </c>
      <c r="D185" s="678">
        <v>10</v>
      </c>
      <c r="E185" s="679">
        <v>7964.99</v>
      </c>
      <c r="F185" s="678">
        <v>79649.899999999994</v>
      </c>
      <c r="G185" s="660" t="s">
        <v>3174</v>
      </c>
      <c r="H185" s="680" t="s">
        <v>701</v>
      </c>
      <c r="I185" s="684">
        <v>177</v>
      </c>
    </row>
    <row r="186" spans="1:9" s="4" customFormat="1" ht="42.75">
      <c r="A186" s="661" t="s">
        <v>205</v>
      </c>
      <c r="B186" s="658" t="s">
        <v>1700</v>
      </c>
      <c r="C186" s="659" t="s">
        <v>17</v>
      </c>
      <c r="D186" s="678">
        <v>10</v>
      </c>
      <c r="E186" s="679">
        <v>1618.43</v>
      </c>
      <c r="F186" s="678">
        <v>16184.3</v>
      </c>
      <c r="G186" s="660" t="s">
        <v>3175</v>
      </c>
      <c r="H186" s="680">
        <v>234420701</v>
      </c>
      <c r="I186" s="684">
        <v>178</v>
      </c>
    </row>
    <row r="187" spans="1:9" s="4" customFormat="1" ht="42.75">
      <c r="A187" s="661" t="s">
        <v>206</v>
      </c>
      <c r="B187" s="658" t="s">
        <v>1697</v>
      </c>
      <c r="C187" s="659" t="s">
        <v>15</v>
      </c>
      <c r="D187" s="678">
        <v>10</v>
      </c>
      <c r="E187" s="679">
        <v>1384.11</v>
      </c>
      <c r="F187" s="678">
        <v>13841.1</v>
      </c>
      <c r="G187" s="660" t="s">
        <v>3176</v>
      </c>
      <c r="H187" s="680" t="s">
        <v>702</v>
      </c>
      <c r="I187" s="684">
        <v>179</v>
      </c>
    </row>
    <row r="188" spans="1:9" s="4" customFormat="1" ht="42.75">
      <c r="A188" s="661" t="s">
        <v>207</v>
      </c>
      <c r="B188" s="658" t="s">
        <v>1711</v>
      </c>
      <c r="C188" s="659" t="s">
        <v>3</v>
      </c>
      <c r="D188" s="678">
        <v>20</v>
      </c>
      <c r="E188" s="679">
        <v>1603.32</v>
      </c>
      <c r="F188" s="678">
        <v>32066.400000000001</v>
      </c>
      <c r="G188" s="660" t="s">
        <v>3177</v>
      </c>
      <c r="H188" s="680">
        <v>337225002</v>
      </c>
      <c r="I188" s="684">
        <v>180</v>
      </c>
    </row>
    <row r="189" spans="1:9" s="4" customFormat="1" ht="42.75">
      <c r="A189" s="661" t="s">
        <v>208</v>
      </c>
      <c r="B189" s="658" t="s">
        <v>1713</v>
      </c>
      <c r="C189" s="659" t="s">
        <v>0</v>
      </c>
      <c r="D189" s="678">
        <v>10</v>
      </c>
      <c r="E189" s="679">
        <v>2392.2800000000002</v>
      </c>
      <c r="F189" s="678">
        <v>23922.799999999999</v>
      </c>
      <c r="G189" s="660" t="s">
        <v>3178</v>
      </c>
      <c r="H189" s="680">
        <v>337201003</v>
      </c>
      <c r="I189" s="684">
        <v>181</v>
      </c>
    </row>
    <row r="190" spans="1:9" s="4" customFormat="1" ht="42.75">
      <c r="A190" s="661" t="s">
        <v>209</v>
      </c>
      <c r="B190" s="658" t="s">
        <v>1714</v>
      </c>
      <c r="C190" s="659" t="s">
        <v>3</v>
      </c>
      <c r="D190" s="678">
        <v>10</v>
      </c>
      <c r="E190" s="679">
        <v>401.37</v>
      </c>
      <c r="F190" s="678">
        <v>4013.7</v>
      </c>
      <c r="G190" s="660" t="s">
        <v>3179</v>
      </c>
      <c r="H190" s="680" t="s">
        <v>703</v>
      </c>
      <c r="I190" s="684">
        <v>182</v>
      </c>
    </row>
    <row r="191" spans="1:9" s="4" customFormat="1" ht="47.25">
      <c r="A191" s="661" t="s">
        <v>210</v>
      </c>
      <c r="B191" s="658" t="s">
        <v>1719</v>
      </c>
      <c r="C191" s="659" t="s">
        <v>1497</v>
      </c>
      <c r="D191" s="678">
        <v>50</v>
      </c>
      <c r="E191" s="679">
        <v>54.58</v>
      </c>
      <c r="F191" s="678">
        <v>2729</v>
      </c>
      <c r="G191" s="660" t="s">
        <v>3180</v>
      </c>
      <c r="H191" s="680" t="s">
        <v>704</v>
      </c>
      <c r="I191" s="684">
        <v>183</v>
      </c>
    </row>
    <row r="192" spans="1:9" s="4" customFormat="1" ht="28.5">
      <c r="A192" s="661" t="s">
        <v>211</v>
      </c>
      <c r="B192" s="658" t="s">
        <v>3181</v>
      </c>
      <c r="C192" s="659" t="s">
        <v>18</v>
      </c>
      <c r="D192" s="678">
        <v>5</v>
      </c>
      <c r="E192" s="679">
        <v>280</v>
      </c>
      <c r="F192" s="678">
        <v>1400</v>
      </c>
      <c r="G192" s="660" t="s">
        <v>3182</v>
      </c>
      <c r="H192" s="680" t="s">
        <v>2893</v>
      </c>
      <c r="I192" s="684">
        <v>184</v>
      </c>
    </row>
    <row r="193" spans="1:9" s="4" customFormat="1" ht="31.5">
      <c r="A193" s="661" t="s">
        <v>212</v>
      </c>
      <c r="B193" s="658" t="s">
        <v>3183</v>
      </c>
      <c r="C193" s="659" t="s">
        <v>17</v>
      </c>
      <c r="D193" s="678">
        <v>2</v>
      </c>
      <c r="E193" s="679">
        <v>3988</v>
      </c>
      <c r="F193" s="678">
        <v>7976</v>
      </c>
      <c r="G193" s="660" t="s">
        <v>3184</v>
      </c>
      <c r="H193" s="680" t="s">
        <v>2866</v>
      </c>
      <c r="I193" s="684">
        <v>185</v>
      </c>
    </row>
    <row r="194" spans="1:9" s="4" customFormat="1" ht="42.75">
      <c r="A194" s="661" t="s">
        <v>213</v>
      </c>
      <c r="B194" s="658" t="s">
        <v>1751</v>
      </c>
      <c r="C194" s="659" t="s">
        <v>3</v>
      </c>
      <c r="D194" s="678">
        <v>5</v>
      </c>
      <c r="E194" s="679">
        <v>5616.37</v>
      </c>
      <c r="F194" s="678">
        <v>28081.85</v>
      </c>
      <c r="G194" s="660" t="s">
        <v>3185</v>
      </c>
      <c r="H194" s="680">
        <v>335021002</v>
      </c>
      <c r="I194" s="684">
        <v>186</v>
      </c>
    </row>
    <row r="195" spans="1:9" s="4" customFormat="1" ht="31.5">
      <c r="A195" s="661" t="s">
        <v>214</v>
      </c>
      <c r="B195" s="658" t="s">
        <v>3186</v>
      </c>
      <c r="C195" s="659" t="s">
        <v>2238</v>
      </c>
      <c r="D195" s="678">
        <v>2</v>
      </c>
      <c r="E195" s="679">
        <v>6549</v>
      </c>
      <c r="F195" s="678">
        <v>13098</v>
      </c>
      <c r="G195" s="660" t="s">
        <v>3187</v>
      </c>
      <c r="H195" s="680" t="s">
        <v>705</v>
      </c>
      <c r="I195" s="684">
        <v>187</v>
      </c>
    </row>
    <row r="196" spans="1:9" s="4" customFormat="1" ht="31.5">
      <c r="A196" s="661" t="s">
        <v>215</v>
      </c>
      <c r="B196" s="658" t="s">
        <v>3188</v>
      </c>
      <c r="C196" s="659" t="s">
        <v>17</v>
      </c>
      <c r="D196" s="678">
        <v>2</v>
      </c>
      <c r="E196" s="679">
        <v>5811</v>
      </c>
      <c r="F196" s="678">
        <v>11622</v>
      </c>
      <c r="G196" s="660" t="s">
        <v>3189</v>
      </c>
      <c r="H196" s="680" t="s">
        <v>2867</v>
      </c>
      <c r="I196" s="684">
        <v>188</v>
      </c>
    </row>
    <row r="197" spans="1:9" s="4" customFormat="1" ht="31.5">
      <c r="A197" s="661" t="s">
        <v>216</v>
      </c>
      <c r="B197" s="658" t="s">
        <v>3190</v>
      </c>
      <c r="C197" s="659" t="s">
        <v>2238</v>
      </c>
      <c r="D197" s="678">
        <v>2</v>
      </c>
      <c r="E197" s="679">
        <v>10615</v>
      </c>
      <c r="F197" s="678">
        <v>21230</v>
      </c>
      <c r="G197" s="660" t="s">
        <v>3191</v>
      </c>
      <c r="H197" s="680" t="s">
        <v>706</v>
      </c>
      <c r="I197" s="684">
        <v>189</v>
      </c>
    </row>
    <row r="198" spans="1:9" s="4" customFormat="1" ht="31.5">
      <c r="A198" s="661" t="s">
        <v>217</v>
      </c>
      <c r="B198" s="658" t="s">
        <v>3192</v>
      </c>
      <c r="C198" s="659" t="s">
        <v>17</v>
      </c>
      <c r="D198" s="678">
        <v>2</v>
      </c>
      <c r="E198" s="679">
        <v>10103</v>
      </c>
      <c r="F198" s="678">
        <v>20206</v>
      </c>
      <c r="G198" s="660" t="s">
        <v>3193</v>
      </c>
      <c r="H198" s="680" t="s">
        <v>2868</v>
      </c>
      <c r="I198" s="684">
        <v>190</v>
      </c>
    </row>
    <row r="199" spans="1:9" s="4" customFormat="1" ht="31.5">
      <c r="A199" s="661" t="s">
        <v>218</v>
      </c>
      <c r="B199" s="658" t="s">
        <v>3194</v>
      </c>
      <c r="C199" s="659" t="s">
        <v>2238</v>
      </c>
      <c r="D199" s="678">
        <v>2</v>
      </c>
      <c r="E199" s="679">
        <v>12397</v>
      </c>
      <c r="F199" s="678">
        <v>24794</v>
      </c>
      <c r="G199" s="660" t="s">
        <v>3195</v>
      </c>
      <c r="H199" s="680" t="s">
        <v>707</v>
      </c>
      <c r="I199" s="684">
        <v>191</v>
      </c>
    </row>
    <row r="200" spans="1:9" s="4" customFormat="1" ht="47.25">
      <c r="A200" s="661" t="s">
        <v>219</v>
      </c>
      <c r="B200" s="658" t="s">
        <v>3196</v>
      </c>
      <c r="C200" s="659" t="s">
        <v>17</v>
      </c>
      <c r="D200" s="678">
        <v>2</v>
      </c>
      <c r="E200" s="679">
        <v>15040</v>
      </c>
      <c r="F200" s="678">
        <v>30080</v>
      </c>
      <c r="G200" s="660" t="s">
        <v>3197</v>
      </c>
      <c r="H200" s="680" t="s">
        <v>2869</v>
      </c>
      <c r="I200" s="684">
        <v>192</v>
      </c>
    </row>
    <row r="201" spans="1:9" s="4" customFormat="1" ht="31.5">
      <c r="A201" s="661" t="s">
        <v>220</v>
      </c>
      <c r="B201" s="658" t="s">
        <v>3198</v>
      </c>
      <c r="C201" s="659" t="s">
        <v>2238</v>
      </c>
      <c r="D201" s="678">
        <v>2</v>
      </c>
      <c r="E201" s="679">
        <v>16950</v>
      </c>
      <c r="F201" s="678">
        <v>33900</v>
      </c>
      <c r="G201" s="660" t="s">
        <v>3199</v>
      </c>
      <c r="H201" s="680" t="s">
        <v>708</v>
      </c>
      <c r="I201" s="684">
        <v>193</v>
      </c>
    </row>
    <row r="202" spans="1:9" s="4" customFormat="1" ht="47.25">
      <c r="A202" s="661" t="s">
        <v>221</v>
      </c>
      <c r="B202" s="658" t="s">
        <v>3200</v>
      </c>
      <c r="C202" s="659" t="s">
        <v>17</v>
      </c>
      <c r="D202" s="678">
        <v>2</v>
      </c>
      <c r="E202" s="679">
        <v>21462</v>
      </c>
      <c r="F202" s="678">
        <v>42924</v>
      </c>
      <c r="G202" s="660" t="s">
        <v>3201</v>
      </c>
      <c r="H202" s="680" t="s">
        <v>2870</v>
      </c>
      <c r="I202" s="684">
        <v>194</v>
      </c>
    </row>
    <row r="203" spans="1:9" s="4" customFormat="1" ht="31.5">
      <c r="A203" s="661" t="s">
        <v>222</v>
      </c>
      <c r="B203" s="658" t="s">
        <v>3202</v>
      </c>
      <c r="C203" s="659" t="s">
        <v>2238</v>
      </c>
      <c r="D203" s="678">
        <v>2</v>
      </c>
      <c r="E203" s="679">
        <v>23703</v>
      </c>
      <c r="F203" s="678">
        <v>47406</v>
      </c>
      <c r="G203" s="660" t="s">
        <v>3203</v>
      </c>
      <c r="H203" s="680" t="s">
        <v>820</v>
      </c>
      <c r="I203" s="684">
        <v>195</v>
      </c>
    </row>
    <row r="204" spans="1:9" s="4" customFormat="1" ht="47.25">
      <c r="A204" s="661" t="s">
        <v>223</v>
      </c>
      <c r="B204" s="658" t="s">
        <v>1770</v>
      </c>
      <c r="C204" s="659" t="s">
        <v>17</v>
      </c>
      <c r="D204" s="678">
        <v>2</v>
      </c>
      <c r="E204" s="679">
        <v>3625.55</v>
      </c>
      <c r="F204" s="678">
        <v>7251.1</v>
      </c>
      <c r="G204" s="660" t="s">
        <v>3204</v>
      </c>
      <c r="H204" s="680" t="s">
        <v>709</v>
      </c>
      <c r="I204" s="684">
        <v>196</v>
      </c>
    </row>
    <row r="205" spans="1:9" s="4" customFormat="1" ht="47.25">
      <c r="A205" s="661" t="s">
        <v>224</v>
      </c>
      <c r="B205" s="658" t="s">
        <v>1777</v>
      </c>
      <c r="C205" s="659" t="s">
        <v>17</v>
      </c>
      <c r="D205" s="678">
        <v>2</v>
      </c>
      <c r="E205" s="679">
        <v>4596.04</v>
      </c>
      <c r="F205" s="678">
        <v>9192.08</v>
      </c>
      <c r="G205" s="660" t="s">
        <v>3205</v>
      </c>
      <c r="H205" s="680" t="s">
        <v>710</v>
      </c>
      <c r="I205" s="684">
        <v>197</v>
      </c>
    </row>
    <row r="206" spans="1:9" s="4" customFormat="1" ht="47.25">
      <c r="A206" s="661" t="s">
        <v>225</v>
      </c>
      <c r="B206" s="658" t="s">
        <v>1782</v>
      </c>
      <c r="C206" s="659" t="s">
        <v>17</v>
      </c>
      <c r="D206" s="678">
        <v>2</v>
      </c>
      <c r="E206" s="679">
        <v>6418.79</v>
      </c>
      <c r="F206" s="678">
        <v>12837.58</v>
      </c>
      <c r="G206" s="660" t="s">
        <v>3206</v>
      </c>
      <c r="H206" s="680" t="s">
        <v>711</v>
      </c>
      <c r="I206" s="684">
        <v>198</v>
      </c>
    </row>
    <row r="207" spans="1:9" s="4" customFormat="1" ht="47.25">
      <c r="A207" s="661" t="s">
        <v>226</v>
      </c>
      <c r="B207" s="658" t="s">
        <v>1787</v>
      </c>
      <c r="C207" s="659" t="s">
        <v>17</v>
      </c>
      <c r="D207" s="678">
        <v>2</v>
      </c>
      <c r="E207" s="679">
        <v>8459.7000000000007</v>
      </c>
      <c r="F207" s="678">
        <v>16919.400000000001</v>
      </c>
      <c r="G207" s="660" t="s">
        <v>3207</v>
      </c>
      <c r="H207" s="680" t="s">
        <v>821</v>
      </c>
      <c r="I207" s="684">
        <v>199</v>
      </c>
    </row>
    <row r="208" spans="1:9" s="4" customFormat="1" ht="47.25">
      <c r="A208" s="661" t="s">
        <v>227</v>
      </c>
      <c r="B208" s="658" t="s">
        <v>1792</v>
      </c>
      <c r="C208" s="659" t="s">
        <v>17</v>
      </c>
      <c r="D208" s="678">
        <v>2</v>
      </c>
      <c r="E208" s="679">
        <v>10435.4</v>
      </c>
      <c r="F208" s="678">
        <v>20870.8</v>
      </c>
      <c r="G208" s="660" t="s">
        <v>3208</v>
      </c>
      <c r="H208" s="680" t="s">
        <v>822</v>
      </c>
      <c r="I208" s="684">
        <v>200</v>
      </c>
    </row>
    <row r="209" spans="1:9" s="4" customFormat="1" ht="47.25">
      <c r="A209" s="661" t="s">
        <v>228</v>
      </c>
      <c r="B209" s="658" t="s">
        <v>1797</v>
      </c>
      <c r="C209" s="659" t="s">
        <v>17</v>
      </c>
      <c r="D209" s="678">
        <v>2</v>
      </c>
      <c r="E209" s="679">
        <v>12630.63</v>
      </c>
      <c r="F209" s="678">
        <v>25261.26</v>
      </c>
      <c r="G209" s="660" t="s">
        <v>3209</v>
      </c>
      <c r="H209" s="680" t="s">
        <v>712</v>
      </c>
      <c r="I209" s="684">
        <v>201</v>
      </c>
    </row>
    <row r="210" spans="1:9" s="4" customFormat="1" ht="47.25">
      <c r="A210" s="661" t="s">
        <v>229</v>
      </c>
      <c r="B210" s="658" t="s">
        <v>1802</v>
      </c>
      <c r="C210" s="659" t="s">
        <v>17</v>
      </c>
      <c r="D210" s="678">
        <v>2</v>
      </c>
      <c r="E210" s="679">
        <v>16000.32</v>
      </c>
      <c r="F210" s="678">
        <v>32000.639999999999</v>
      </c>
      <c r="G210" s="660" t="s">
        <v>3210</v>
      </c>
      <c r="H210" s="680" t="s">
        <v>823</v>
      </c>
      <c r="I210" s="684">
        <v>202</v>
      </c>
    </row>
    <row r="211" spans="1:9" s="4" customFormat="1" ht="47.25">
      <c r="A211" s="661" t="s">
        <v>230</v>
      </c>
      <c r="B211" s="658" t="s">
        <v>1807</v>
      </c>
      <c r="C211" s="659" t="s">
        <v>17</v>
      </c>
      <c r="D211" s="678">
        <v>2</v>
      </c>
      <c r="E211" s="679">
        <v>19829.22</v>
      </c>
      <c r="F211" s="678">
        <v>39658.44</v>
      </c>
      <c r="G211" s="660" t="s">
        <v>3211</v>
      </c>
      <c r="H211" s="680" t="s">
        <v>713</v>
      </c>
      <c r="I211" s="684">
        <v>203</v>
      </c>
    </row>
    <row r="212" spans="1:9" s="4" customFormat="1" ht="47.25">
      <c r="A212" s="661" t="s">
        <v>231</v>
      </c>
      <c r="B212" s="658" t="s">
        <v>1812</v>
      </c>
      <c r="C212" s="659" t="s">
        <v>17</v>
      </c>
      <c r="D212" s="678">
        <v>2</v>
      </c>
      <c r="E212" s="679">
        <v>23752.19</v>
      </c>
      <c r="F212" s="678">
        <v>47504.38</v>
      </c>
      <c r="G212" s="660" t="s">
        <v>3212</v>
      </c>
      <c r="H212" s="680" t="s">
        <v>824</v>
      </c>
      <c r="I212" s="684">
        <v>204</v>
      </c>
    </row>
    <row r="213" spans="1:9" s="4" customFormat="1" ht="42.75">
      <c r="A213" s="661" t="s">
        <v>232</v>
      </c>
      <c r="B213" s="658" t="s">
        <v>1817</v>
      </c>
      <c r="C213" s="659" t="s">
        <v>1818</v>
      </c>
      <c r="D213" s="678">
        <v>2</v>
      </c>
      <c r="E213" s="679">
        <v>1086.6500000000001</v>
      </c>
      <c r="F213" s="678">
        <v>2173.3000000000002</v>
      </c>
      <c r="G213" s="660" t="s">
        <v>3213</v>
      </c>
      <c r="H213" s="680" t="s">
        <v>714</v>
      </c>
      <c r="I213" s="684">
        <v>205</v>
      </c>
    </row>
    <row r="214" spans="1:9" s="4" customFormat="1" ht="42.75">
      <c r="A214" s="661" t="s">
        <v>233</v>
      </c>
      <c r="B214" s="658" t="s">
        <v>1825</v>
      </c>
      <c r="C214" s="659" t="s">
        <v>1818</v>
      </c>
      <c r="D214" s="678">
        <v>2</v>
      </c>
      <c r="E214" s="679">
        <v>1246.3</v>
      </c>
      <c r="F214" s="678">
        <v>2492.6</v>
      </c>
      <c r="G214" s="660" t="s">
        <v>3214</v>
      </c>
      <c r="H214" s="680" t="s">
        <v>825</v>
      </c>
      <c r="I214" s="684">
        <v>206</v>
      </c>
    </row>
    <row r="215" spans="1:9" s="4" customFormat="1" ht="42.75">
      <c r="A215" s="661" t="s">
        <v>234</v>
      </c>
      <c r="B215" s="658" t="s">
        <v>1832</v>
      </c>
      <c r="C215" s="659" t="s">
        <v>1818</v>
      </c>
      <c r="D215" s="678">
        <v>2</v>
      </c>
      <c r="E215" s="679">
        <v>1478.05</v>
      </c>
      <c r="F215" s="678">
        <v>2956.1</v>
      </c>
      <c r="G215" s="660" t="s">
        <v>3215</v>
      </c>
      <c r="H215" s="680" t="s">
        <v>826</v>
      </c>
      <c r="I215" s="684">
        <v>207</v>
      </c>
    </row>
    <row r="216" spans="1:9" s="4" customFormat="1" ht="42.75">
      <c r="A216" s="661" t="s">
        <v>235</v>
      </c>
      <c r="B216" s="658" t="s">
        <v>1839</v>
      </c>
      <c r="C216" s="659" t="s">
        <v>1818</v>
      </c>
      <c r="D216" s="678">
        <v>2</v>
      </c>
      <c r="E216" s="679">
        <v>1524.4</v>
      </c>
      <c r="F216" s="678">
        <v>3048.8</v>
      </c>
      <c r="G216" s="660" t="s">
        <v>3216</v>
      </c>
      <c r="H216" s="680" t="s">
        <v>827</v>
      </c>
      <c r="I216" s="684">
        <v>208</v>
      </c>
    </row>
    <row r="217" spans="1:9" s="4" customFormat="1" ht="42.75">
      <c r="A217" s="661" t="s">
        <v>236</v>
      </c>
      <c r="B217" s="658" t="s">
        <v>1846</v>
      </c>
      <c r="C217" s="659" t="s">
        <v>1818</v>
      </c>
      <c r="D217" s="678">
        <v>2</v>
      </c>
      <c r="E217" s="679">
        <v>1714.95</v>
      </c>
      <c r="F217" s="678">
        <v>3429.9</v>
      </c>
      <c r="G217" s="660" t="s">
        <v>3217</v>
      </c>
      <c r="H217" s="680" t="s">
        <v>828</v>
      </c>
      <c r="I217" s="684">
        <v>209</v>
      </c>
    </row>
    <row r="218" spans="1:9" s="4" customFormat="1" ht="42.75">
      <c r="A218" s="661" t="s">
        <v>237</v>
      </c>
      <c r="B218" s="658" t="s">
        <v>1853</v>
      </c>
      <c r="C218" s="659" t="s">
        <v>1818</v>
      </c>
      <c r="D218" s="678">
        <v>2</v>
      </c>
      <c r="E218" s="679">
        <v>1977.6</v>
      </c>
      <c r="F218" s="678">
        <v>3955.2</v>
      </c>
      <c r="G218" s="660" t="s">
        <v>3218</v>
      </c>
      <c r="H218" s="680" t="s">
        <v>829</v>
      </c>
      <c r="I218" s="684">
        <v>210</v>
      </c>
    </row>
    <row r="219" spans="1:9" s="4" customFormat="1" ht="42.75">
      <c r="A219" s="661" t="s">
        <v>238</v>
      </c>
      <c r="B219" s="658" t="s">
        <v>1860</v>
      </c>
      <c r="C219" s="659" t="s">
        <v>1818</v>
      </c>
      <c r="D219" s="678">
        <v>2</v>
      </c>
      <c r="E219" s="679">
        <v>2116.65</v>
      </c>
      <c r="F219" s="678">
        <v>4233.3</v>
      </c>
      <c r="G219" s="660" t="s">
        <v>3219</v>
      </c>
      <c r="H219" s="680" t="s">
        <v>830</v>
      </c>
      <c r="I219" s="684">
        <v>211</v>
      </c>
    </row>
    <row r="220" spans="1:9" s="4" customFormat="1" ht="42.75">
      <c r="A220" s="661" t="s">
        <v>239</v>
      </c>
      <c r="B220" s="658" t="s">
        <v>1867</v>
      </c>
      <c r="C220" s="659" t="s">
        <v>1818</v>
      </c>
      <c r="D220" s="678">
        <v>2</v>
      </c>
      <c r="E220" s="679">
        <v>2245.4</v>
      </c>
      <c r="F220" s="678">
        <v>4490.8</v>
      </c>
      <c r="G220" s="660" t="s">
        <v>3220</v>
      </c>
      <c r="H220" s="680" t="s">
        <v>831</v>
      </c>
      <c r="I220" s="684">
        <v>212</v>
      </c>
    </row>
    <row r="221" spans="1:9" s="4" customFormat="1" ht="47.25">
      <c r="A221" s="661" t="s">
        <v>240</v>
      </c>
      <c r="B221" s="658" t="s">
        <v>3221</v>
      </c>
      <c r="C221" s="659" t="s">
        <v>17</v>
      </c>
      <c r="D221" s="678">
        <v>10</v>
      </c>
      <c r="E221" s="679">
        <v>151.72</v>
      </c>
      <c r="F221" s="678">
        <v>1517.2</v>
      </c>
      <c r="G221" s="660" t="s">
        <v>3222</v>
      </c>
      <c r="H221" s="680" t="s">
        <v>715</v>
      </c>
      <c r="I221" s="684">
        <v>213</v>
      </c>
    </row>
    <row r="222" spans="1:9" s="4" customFormat="1" ht="47.25">
      <c r="A222" s="661" t="s">
        <v>241</v>
      </c>
      <c r="B222" s="658" t="s">
        <v>3223</v>
      </c>
      <c r="C222" s="659" t="s">
        <v>17</v>
      </c>
      <c r="D222" s="678">
        <v>10</v>
      </c>
      <c r="E222" s="679">
        <v>188.7</v>
      </c>
      <c r="F222" s="678">
        <v>1887</v>
      </c>
      <c r="G222" s="660" t="s">
        <v>3224</v>
      </c>
      <c r="H222" s="680" t="s">
        <v>832</v>
      </c>
      <c r="I222" s="684">
        <v>214</v>
      </c>
    </row>
    <row r="223" spans="1:9" s="4" customFormat="1" ht="47.25">
      <c r="A223" s="661" t="s">
        <v>242</v>
      </c>
      <c r="B223" s="658" t="s">
        <v>3225</v>
      </c>
      <c r="C223" s="659" t="s">
        <v>17</v>
      </c>
      <c r="D223" s="678">
        <v>10</v>
      </c>
      <c r="E223" s="679">
        <v>234.84</v>
      </c>
      <c r="F223" s="678">
        <v>2348.4</v>
      </c>
      <c r="G223" s="660" t="s">
        <v>3226</v>
      </c>
      <c r="H223" s="680" t="s">
        <v>833</v>
      </c>
      <c r="I223" s="684">
        <v>215</v>
      </c>
    </row>
    <row r="224" spans="1:9" s="4" customFormat="1" ht="31.5">
      <c r="A224" s="661" t="s">
        <v>243</v>
      </c>
      <c r="B224" s="658" t="s">
        <v>3227</v>
      </c>
      <c r="C224" s="659" t="s">
        <v>17</v>
      </c>
      <c r="D224" s="678">
        <v>10</v>
      </c>
      <c r="E224" s="679">
        <v>263</v>
      </c>
      <c r="F224" s="678">
        <v>2630</v>
      </c>
      <c r="G224" s="660" t="s">
        <v>3228</v>
      </c>
      <c r="H224" s="680" t="s">
        <v>834</v>
      </c>
      <c r="I224" s="684">
        <v>216</v>
      </c>
    </row>
    <row r="225" spans="1:9" s="4" customFormat="1" ht="42.75">
      <c r="A225" s="661" t="s">
        <v>244</v>
      </c>
      <c r="B225" s="658" t="s">
        <v>1874</v>
      </c>
      <c r="C225" s="659" t="s">
        <v>1875</v>
      </c>
      <c r="D225" s="678">
        <v>5</v>
      </c>
      <c r="E225" s="679">
        <v>783.83</v>
      </c>
      <c r="F225" s="678">
        <v>3919.15</v>
      </c>
      <c r="G225" s="660" t="s">
        <v>3229</v>
      </c>
      <c r="H225" s="680" t="s">
        <v>835</v>
      </c>
      <c r="I225" s="684">
        <v>217</v>
      </c>
    </row>
    <row r="226" spans="1:9" s="4" customFormat="1" ht="42.75">
      <c r="A226" s="661" t="s">
        <v>245</v>
      </c>
      <c r="B226" s="658" t="s">
        <v>1882</v>
      </c>
      <c r="C226" s="659" t="s">
        <v>1875</v>
      </c>
      <c r="D226" s="678">
        <v>5</v>
      </c>
      <c r="E226" s="679">
        <v>863.14</v>
      </c>
      <c r="F226" s="678">
        <v>4315.7</v>
      </c>
      <c r="G226" s="660" t="s">
        <v>3230</v>
      </c>
      <c r="H226" s="680" t="s">
        <v>836</v>
      </c>
      <c r="I226" s="684">
        <v>218</v>
      </c>
    </row>
    <row r="227" spans="1:9" s="4" customFormat="1" ht="42.75">
      <c r="A227" s="661" t="s">
        <v>246</v>
      </c>
      <c r="B227" s="658" t="s">
        <v>1889</v>
      </c>
      <c r="C227" s="659" t="s">
        <v>1875</v>
      </c>
      <c r="D227" s="678">
        <v>5</v>
      </c>
      <c r="E227" s="679">
        <v>965.11</v>
      </c>
      <c r="F227" s="678">
        <v>4825.55</v>
      </c>
      <c r="G227" s="660" t="s">
        <v>3231</v>
      </c>
      <c r="H227" s="680" t="s">
        <v>716</v>
      </c>
      <c r="I227" s="684">
        <v>219</v>
      </c>
    </row>
    <row r="228" spans="1:9" s="4" customFormat="1" ht="42.75">
      <c r="A228" s="661" t="s">
        <v>247</v>
      </c>
      <c r="B228" s="658" t="s">
        <v>1896</v>
      </c>
      <c r="C228" s="659" t="s">
        <v>1875</v>
      </c>
      <c r="D228" s="678">
        <v>5</v>
      </c>
      <c r="E228" s="679">
        <v>1082.53</v>
      </c>
      <c r="F228" s="678">
        <v>5412.65</v>
      </c>
      <c r="G228" s="660" t="s">
        <v>3232</v>
      </c>
      <c r="H228" s="680" t="s">
        <v>837</v>
      </c>
      <c r="I228" s="684">
        <v>220</v>
      </c>
    </row>
    <row r="229" spans="1:9" s="4" customFormat="1" ht="42.75">
      <c r="A229" s="661" t="s">
        <v>248</v>
      </c>
      <c r="B229" s="658" t="s">
        <v>1903</v>
      </c>
      <c r="C229" s="659" t="s">
        <v>1875</v>
      </c>
      <c r="D229" s="678">
        <v>5</v>
      </c>
      <c r="E229" s="679">
        <v>1926.1</v>
      </c>
      <c r="F229" s="678">
        <v>9630.5</v>
      </c>
      <c r="G229" s="660" t="s">
        <v>3233</v>
      </c>
      <c r="H229" s="680" t="s">
        <v>717</v>
      </c>
      <c r="I229" s="684">
        <v>221</v>
      </c>
    </row>
    <row r="230" spans="1:9" s="4" customFormat="1" ht="42.75">
      <c r="A230" s="661" t="s">
        <v>249</v>
      </c>
      <c r="B230" s="658" t="s">
        <v>1910</v>
      </c>
      <c r="C230" s="659" t="s">
        <v>1875</v>
      </c>
      <c r="D230" s="678">
        <v>5</v>
      </c>
      <c r="E230" s="679">
        <v>3599.85</v>
      </c>
      <c r="F230" s="678">
        <v>17999.25</v>
      </c>
      <c r="G230" s="660" t="s">
        <v>3234</v>
      </c>
      <c r="H230" s="680" t="s">
        <v>718</v>
      </c>
      <c r="I230" s="684">
        <v>222</v>
      </c>
    </row>
    <row r="231" spans="1:9" s="4" customFormat="1" ht="42.75">
      <c r="A231" s="661" t="s">
        <v>250</v>
      </c>
      <c r="B231" s="658" t="s">
        <v>1917</v>
      </c>
      <c r="C231" s="659" t="s">
        <v>1875</v>
      </c>
      <c r="D231" s="678">
        <v>5</v>
      </c>
      <c r="E231" s="679">
        <v>4166.3500000000004</v>
      </c>
      <c r="F231" s="678">
        <v>20831.75</v>
      </c>
      <c r="G231" s="660" t="s">
        <v>3235</v>
      </c>
      <c r="H231" s="680" t="s">
        <v>719</v>
      </c>
      <c r="I231" s="684">
        <v>223</v>
      </c>
    </row>
    <row r="232" spans="1:9" s="4" customFormat="1" ht="42.75">
      <c r="A232" s="661" t="s">
        <v>251</v>
      </c>
      <c r="B232" s="658" t="s">
        <v>1924</v>
      </c>
      <c r="C232" s="659" t="s">
        <v>1875</v>
      </c>
      <c r="D232" s="678">
        <v>5</v>
      </c>
      <c r="E232" s="679">
        <v>5319.95</v>
      </c>
      <c r="F232" s="678">
        <v>26599.75</v>
      </c>
      <c r="G232" s="660" t="s">
        <v>3236</v>
      </c>
      <c r="H232" s="680" t="s">
        <v>720</v>
      </c>
      <c r="I232" s="684">
        <v>224</v>
      </c>
    </row>
    <row r="233" spans="1:9" s="4" customFormat="1" ht="42.75">
      <c r="A233" s="661" t="s">
        <v>252</v>
      </c>
      <c r="B233" s="658" t="s">
        <v>1931</v>
      </c>
      <c r="C233" s="659" t="s">
        <v>1875</v>
      </c>
      <c r="D233" s="678">
        <v>5</v>
      </c>
      <c r="E233" s="679">
        <v>4743.1499999999996</v>
      </c>
      <c r="F233" s="678">
        <v>23715.75</v>
      </c>
      <c r="G233" s="660" t="s">
        <v>3237</v>
      </c>
      <c r="H233" s="680" t="s">
        <v>721</v>
      </c>
      <c r="I233" s="684">
        <v>225</v>
      </c>
    </row>
    <row r="234" spans="1:9" s="4" customFormat="1" ht="47.25">
      <c r="A234" s="661" t="s">
        <v>253</v>
      </c>
      <c r="B234" s="658" t="s">
        <v>1938</v>
      </c>
      <c r="C234" s="659" t="s">
        <v>1875</v>
      </c>
      <c r="D234" s="678">
        <v>5</v>
      </c>
      <c r="E234" s="679">
        <v>2034.25</v>
      </c>
      <c r="F234" s="678">
        <v>10171.25</v>
      </c>
      <c r="G234" s="660" t="s">
        <v>3238</v>
      </c>
      <c r="H234" s="680" t="s">
        <v>722</v>
      </c>
      <c r="I234" s="684">
        <v>226</v>
      </c>
    </row>
    <row r="235" spans="1:9" s="4" customFormat="1" ht="47.25">
      <c r="A235" s="661" t="s">
        <v>254</v>
      </c>
      <c r="B235" s="658" t="s">
        <v>1945</v>
      </c>
      <c r="C235" s="659" t="s">
        <v>1875</v>
      </c>
      <c r="D235" s="678">
        <v>5</v>
      </c>
      <c r="E235" s="679">
        <v>2322.65</v>
      </c>
      <c r="F235" s="678">
        <v>11613.25</v>
      </c>
      <c r="G235" s="660" t="s">
        <v>3239</v>
      </c>
      <c r="H235" s="680" t="s">
        <v>723</v>
      </c>
      <c r="I235" s="684">
        <v>227</v>
      </c>
    </row>
    <row r="236" spans="1:9" s="4" customFormat="1" ht="47.25">
      <c r="A236" s="661" t="s">
        <v>255</v>
      </c>
      <c r="B236" s="658" t="s">
        <v>1952</v>
      </c>
      <c r="C236" s="659" t="s">
        <v>1875</v>
      </c>
      <c r="D236" s="678">
        <v>5</v>
      </c>
      <c r="E236" s="679">
        <v>2271.15</v>
      </c>
      <c r="F236" s="678">
        <v>11355.75</v>
      </c>
      <c r="G236" s="660" t="s">
        <v>3240</v>
      </c>
      <c r="H236" s="680" t="s">
        <v>838</v>
      </c>
      <c r="I236" s="684">
        <v>228</v>
      </c>
    </row>
    <row r="237" spans="1:9" s="4" customFormat="1" ht="47.25">
      <c r="A237" s="661" t="s">
        <v>256</v>
      </c>
      <c r="B237" s="658" t="s">
        <v>1959</v>
      </c>
      <c r="C237" s="659" t="s">
        <v>1875</v>
      </c>
      <c r="D237" s="678">
        <v>5</v>
      </c>
      <c r="E237" s="679">
        <v>2229.9499999999998</v>
      </c>
      <c r="F237" s="678">
        <v>11149.75</v>
      </c>
      <c r="G237" s="660" t="s">
        <v>3241</v>
      </c>
      <c r="H237" s="680" t="s">
        <v>839</v>
      </c>
      <c r="I237" s="684">
        <v>229</v>
      </c>
    </row>
    <row r="238" spans="1:9" s="4" customFormat="1" ht="47.25">
      <c r="A238" s="661" t="s">
        <v>257</v>
      </c>
      <c r="B238" s="658" t="s">
        <v>1966</v>
      </c>
      <c r="C238" s="659" t="s">
        <v>1875</v>
      </c>
      <c r="D238" s="678">
        <v>5</v>
      </c>
      <c r="E238" s="679">
        <v>2240.25</v>
      </c>
      <c r="F238" s="678">
        <v>11201.25</v>
      </c>
      <c r="G238" s="660" t="s">
        <v>3242</v>
      </c>
      <c r="H238" s="680" t="s">
        <v>724</v>
      </c>
      <c r="I238" s="684">
        <v>230</v>
      </c>
    </row>
    <row r="239" spans="1:9" s="4" customFormat="1" ht="47.25">
      <c r="A239" s="661" t="s">
        <v>258</v>
      </c>
      <c r="B239" s="658" t="s">
        <v>1973</v>
      </c>
      <c r="C239" s="659" t="s">
        <v>1875</v>
      </c>
      <c r="D239" s="678">
        <v>5</v>
      </c>
      <c r="E239" s="679">
        <v>2394.75</v>
      </c>
      <c r="F239" s="678">
        <v>11973.75</v>
      </c>
      <c r="G239" s="660" t="s">
        <v>3243</v>
      </c>
      <c r="H239" s="680" t="s">
        <v>840</v>
      </c>
      <c r="I239" s="684">
        <v>231</v>
      </c>
    </row>
    <row r="240" spans="1:9" s="4" customFormat="1" ht="47.25">
      <c r="A240" s="661" t="s">
        <v>259</v>
      </c>
      <c r="B240" s="658" t="s">
        <v>1980</v>
      </c>
      <c r="C240" s="659" t="s">
        <v>1875</v>
      </c>
      <c r="D240" s="678">
        <v>5</v>
      </c>
      <c r="E240" s="679">
        <v>4300.25</v>
      </c>
      <c r="F240" s="678">
        <v>21501.25</v>
      </c>
      <c r="G240" s="660" t="s">
        <v>3244</v>
      </c>
      <c r="H240" s="680" t="s">
        <v>725</v>
      </c>
      <c r="I240" s="684">
        <v>232</v>
      </c>
    </row>
    <row r="241" spans="1:9" s="4" customFormat="1" ht="47.25">
      <c r="A241" s="661" t="s">
        <v>260</v>
      </c>
      <c r="B241" s="658" t="s">
        <v>1987</v>
      </c>
      <c r="C241" s="659" t="s">
        <v>1875</v>
      </c>
      <c r="D241" s="678">
        <v>5</v>
      </c>
      <c r="E241" s="679">
        <v>4794.6499999999996</v>
      </c>
      <c r="F241" s="678">
        <v>23973.25</v>
      </c>
      <c r="G241" s="660" t="s">
        <v>3245</v>
      </c>
      <c r="H241" s="680" t="s">
        <v>841</v>
      </c>
      <c r="I241" s="685">
        <v>233</v>
      </c>
    </row>
    <row r="242" spans="1:9" s="4" customFormat="1" ht="47.25">
      <c r="A242" s="661" t="s">
        <v>261</v>
      </c>
      <c r="B242" s="658" t="s">
        <v>1994</v>
      </c>
      <c r="C242" s="659" t="s">
        <v>1875</v>
      </c>
      <c r="D242" s="678">
        <v>5</v>
      </c>
      <c r="E242" s="679">
        <v>5330.25</v>
      </c>
      <c r="F242" s="678">
        <v>26651.25</v>
      </c>
      <c r="G242" s="660" t="s">
        <v>3246</v>
      </c>
      <c r="H242" s="103" t="s">
        <v>726</v>
      </c>
      <c r="I242" s="687">
        <v>234</v>
      </c>
    </row>
    <row r="243" spans="1:9" s="4" customFormat="1" ht="47.25">
      <c r="A243" s="661" t="s">
        <v>262</v>
      </c>
      <c r="B243" s="658" t="s">
        <v>2001</v>
      </c>
      <c r="C243" s="659" t="s">
        <v>1875</v>
      </c>
      <c r="D243" s="678">
        <v>5</v>
      </c>
      <c r="E243" s="679">
        <v>4351.75</v>
      </c>
      <c r="F243" s="678">
        <v>21758.75</v>
      </c>
      <c r="G243" s="660" t="s">
        <v>3247</v>
      </c>
      <c r="H243" s="103" t="s">
        <v>727</v>
      </c>
      <c r="I243" s="687">
        <v>235</v>
      </c>
    </row>
    <row r="244" spans="1:9" s="4" customFormat="1" ht="47.25">
      <c r="A244" s="661" t="s">
        <v>263</v>
      </c>
      <c r="B244" s="658" t="s">
        <v>2008</v>
      </c>
      <c r="C244" s="659" t="s">
        <v>1875</v>
      </c>
      <c r="D244" s="678">
        <v>5</v>
      </c>
      <c r="E244" s="679">
        <v>4928.55</v>
      </c>
      <c r="F244" s="678">
        <v>24642.75</v>
      </c>
      <c r="G244" s="660" t="s">
        <v>3248</v>
      </c>
      <c r="H244" s="104" t="s">
        <v>2955</v>
      </c>
      <c r="I244" s="687">
        <v>236</v>
      </c>
    </row>
    <row r="245" spans="1:9" s="4" customFormat="1" ht="47.25">
      <c r="A245" s="661" t="s">
        <v>264</v>
      </c>
      <c r="B245" s="658" t="s">
        <v>2015</v>
      </c>
      <c r="C245" s="659" t="s">
        <v>1875</v>
      </c>
      <c r="D245" s="678">
        <v>5</v>
      </c>
      <c r="E245" s="679">
        <v>5422.95</v>
      </c>
      <c r="F245" s="678">
        <v>27114.75</v>
      </c>
      <c r="G245" s="660" t="s">
        <v>3249</v>
      </c>
      <c r="H245" s="103" t="s">
        <v>728</v>
      </c>
      <c r="I245" s="687">
        <v>237</v>
      </c>
    </row>
    <row r="246" spans="1:9" s="4" customFormat="1" ht="42.75">
      <c r="A246" s="661" t="s">
        <v>265</v>
      </c>
      <c r="B246" s="658" t="s">
        <v>2022</v>
      </c>
      <c r="C246" s="659" t="s">
        <v>1689</v>
      </c>
      <c r="D246" s="678">
        <v>5</v>
      </c>
      <c r="E246" s="679">
        <v>2125.41</v>
      </c>
      <c r="F246" s="678">
        <v>10627.05</v>
      </c>
      <c r="G246" s="660" t="s">
        <v>3250</v>
      </c>
      <c r="H246" s="104">
        <v>553082008</v>
      </c>
      <c r="I246" s="687">
        <v>238</v>
      </c>
    </row>
    <row r="247" spans="1:9" s="4" customFormat="1" ht="42.75">
      <c r="A247" s="661" t="s">
        <v>266</v>
      </c>
      <c r="B247" s="658" t="s">
        <v>2029</v>
      </c>
      <c r="C247" s="659" t="s">
        <v>1689</v>
      </c>
      <c r="D247" s="678">
        <v>5</v>
      </c>
      <c r="E247" s="679">
        <v>2676.04</v>
      </c>
      <c r="F247" s="678">
        <v>13380.2</v>
      </c>
      <c r="G247" s="660" t="s">
        <v>3251</v>
      </c>
      <c r="H247" s="103">
        <v>553083008</v>
      </c>
      <c r="I247" s="687">
        <v>239</v>
      </c>
    </row>
    <row r="248" spans="1:9" s="4" customFormat="1" ht="42.75">
      <c r="A248" s="661" t="s">
        <v>267</v>
      </c>
      <c r="B248" s="658" t="s">
        <v>2032</v>
      </c>
      <c r="C248" s="659" t="s">
        <v>1689</v>
      </c>
      <c r="D248" s="678">
        <v>5</v>
      </c>
      <c r="E248" s="679">
        <v>2945.8</v>
      </c>
      <c r="F248" s="678">
        <v>14729</v>
      </c>
      <c r="G248" s="660" t="s">
        <v>3252</v>
      </c>
      <c r="H248" s="103" t="s">
        <v>729</v>
      </c>
      <c r="I248" s="687">
        <v>240</v>
      </c>
    </row>
    <row r="249" spans="1:9" s="4" customFormat="1" ht="42.75">
      <c r="A249" s="661" t="s">
        <v>268</v>
      </c>
      <c r="B249" s="658" t="s">
        <v>2037</v>
      </c>
      <c r="C249" s="659" t="s">
        <v>1689</v>
      </c>
      <c r="D249" s="678">
        <v>5</v>
      </c>
      <c r="E249" s="679">
        <v>3213.6</v>
      </c>
      <c r="F249" s="678">
        <v>16068</v>
      </c>
      <c r="G249" s="660" t="s">
        <v>3253</v>
      </c>
      <c r="H249" s="103">
        <v>553073008</v>
      </c>
      <c r="I249" s="687">
        <v>241</v>
      </c>
    </row>
    <row r="250" spans="1:9" s="4" customFormat="1" ht="42.75">
      <c r="A250" s="661" t="s">
        <v>269</v>
      </c>
      <c r="B250" s="658" t="s">
        <v>2042</v>
      </c>
      <c r="C250" s="659" t="s">
        <v>1689</v>
      </c>
      <c r="D250" s="678">
        <v>5</v>
      </c>
      <c r="E250" s="679">
        <v>3481.4</v>
      </c>
      <c r="F250" s="678">
        <v>17407</v>
      </c>
      <c r="G250" s="660" t="s">
        <v>3254</v>
      </c>
      <c r="H250" s="105">
        <v>553074008</v>
      </c>
      <c r="I250" s="687">
        <v>242</v>
      </c>
    </row>
    <row r="251" spans="1:9" s="4" customFormat="1" ht="42.75">
      <c r="A251" s="661" t="s">
        <v>270</v>
      </c>
      <c r="B251" s="658" t="s">
        <v>2047</v>
      </c>
      <c r="C251" s="659" t="s">
        <v>18</v>
      </c>
      <c r="D251" s="678">
        <v>50</v>
      </c>
      <c r="E251" s="679">
        <v>82.2</v>
      </c>
      <c r="F251" s="678">
        <v>4110</v>
      </c>
      <c r="G251" s="660" t="s">
        <v>3255</v>
      </c>
      <c r="H251" s="103">
        <v>553070009</v>
      </c>
      <c r="I251" s="687">
        <v>243</v>
      </c>
    </row>
    <row r="252" spans="1:9" s="4" customFormat="1" ht="42.75">
      <c r="A252" s="661" t="s">
        <v>271</v>
      </c>
      <c r="B252" s="658" t="s">
        <v>2054</v>
      </c>
      <c r="C252" s="659" t="s">
        <v>1689</v>
      </c>
      <c r="D252" s="678">
        <v>5</v>
      </c>
      <c r="E252" s="679">
        <v>3615.3</v>
      </c>
      <c r="F252" s="678">
        <v>18076.5</v>
      </c>
      <c r="G252" s="660" t="s">
        <v>3256</v>
      </c>
      <c r="H252" s="105">
        <v>553062008</v>
      </c>
      <c r="I252" s="687">
        <v>244</v>
      </c>
    </row>
    <row r="253" spans="1:9" s="4" customFormat="1" ht="42.75">
      <c r="A253" s="661" t="s">
        <v>272</v>
      </c>
      <c r="B253" s="658" t="s">
        <v>2059</v>
      </c>
      <c r="C253" s="659" t="s">
        <v>1689</v>
      </c>
      <c r="D253" s="678">
        <v>5</v>
      </c>
      <c r="E253" s="679">
        <v>4130.3</v>
      </c>
      <c r="F253" s="678">
        <v>20651.5</v>
      </c>
      <c r="G253" s="660" t="s">
        <v>3257</v>
      </c>
      <c r="H253" s="103">
        <v>553063008</v>
      </c>
      <c r="I253" s="687">
        <v>245</v>
      </c>
    </row>
    <row r="254" spans="1:9" s="4" customFormat="1" ht="42.75">
      <c r="A254" s="661" t="s">
        <v>273</v>
      </c>
      <c r="B254" s="658" t="s">
        <v>2064</v>
      </c>
      <c r="C254" s="659" t="s">
        <v>1689</v>
      </c>
      <c r="D254" s="678">
        <v>5</v>
      </c>
      <c r="E254" s="679">
        <v>4748.3</v>
      </c>
      <c r="F254" s="678">
        <v>23741.5</v>
      </c>
      <c r="G254" s="660" t="s">
        <v>3258</v>
      </c>
      <c r="H254" s="103">
        <v>553064008</v>
      </c>
      <c r="I254" s="687">
        <v>246</v>
      </c>
    </row>
    <row r="255" spans="1:9" s="4" customFormat="1" ht="47.25">
      <c r="A255" s="661" t="s">
        <v>274</v>
      </c>
      <c r="B255" s="658" t="s">
        <v>2069</v>
      </c>
      <c r="C255" s="659" t="s">
        <v>1875</v>
      </c>
      <c r="D255" s="678">
        <v>5</v>
      </c>
      <c r="E255" s="679">
        <v>6180</v>
      </c>
      <c r="F255" s="678">
        <v>30900</v>
      </c>
      <c r="G255" s="660" t="s">
        <v>3259</v>
      </c>
      <c r="H255" s="103" t="s">
        <v>730</v>
      </c>
      <c r="I255" s="687">
        <v>247</v>
      </c>
    </row>
    <row r="256" spans="1:9" s="4" customFormat="1" ht="47.25">
      <c r="A256" s="661" t="s">
        <v>275</v>
      </c>
      <c r="B256" s="658" t="s">
        <v>2076</v>
      </c>
      <c r="C256" s="659" t="s">
        <v>1875</v>
      </c>
      <c r="D256" s="678">
        <v>5</v>
      </c>
      <c r="E256" s="679">
        <v>3759.5</v>
      </c>
      <c r="F256" s="678">
        <v>18797.5</v>
      </c>
      <c r="G256" s="660" t="s">
        <v>3260</v>
      </c>
      <c r="H256" s="103" t="s">
        <v>842</v>
      </c>
      <c r="I256" s="687">
        <v>248</v>
      </c>
    </row>
    <row r="257" spans="1:9" s="4" customFormat="1" ht="42.75">
      <c r="A257" s="661" t="s">
        <v>276</v>
      </c>
      <c r="B257" s="658" t="s">
        <v>2083</v>
      </c>
      <c r="C257" s="659" t="s">
        <v>1875</v>
      </c>
      <c r="D257" s="678">
        <v>5</v>
      </c>
      <c r="E257" s="679">
        <v>16098.9</v>
      </c>
      <c r="F257" s="678">
        <v>80494.5</v>
      </c>
      <c r="G257" s="660" t="s">
        <v>3261</v>
      </c>
      <c r="H257" s="680" t="s">
        <v>731</v>
      </c>
      <c r="I257" s="686">
        <v>249</v>
      </c>
    </row>
    <row r="258" spans="1:9" s="4" customFormat="1" ht="42.75">
      <c r="A258" s="661" t="s">
        <v>277</v>
      </c>
      <c r="B258" s="658" t="s">
        <v>2090</v>
      </c>
      <c r="C258" s="659" t="s">
        <v>1875</v>
      </c>
      <c r="D258" s="678">
        <v>5</v>
      </c>
      <c r="E258" s="679">
        <v>10804.7</v>
      </c>
      <c r="F258" s="678">
        <v>54023.5</v>
      </c>
      <c r="G258" s="660" t="s">
        <v>3262</v>
      </c>
      <c r="H258" s="680" t="s">
        <v>732</v>
      </c>
      <c r="I258" s="684">
        <v>250</v>
      </c>
    </row>
    <row r="259" spans="1:9" s="4" customFormat="1" ht="42.75">
      <c r="A259" s="661" t="s">
        <v>278</v>
      </c>
      <c r="B259" s="658" t="s">
        <v>2097</v>
      </c>
      <c r="C259" s="659" t="s">
        <v>1875</v>
      </c>
      <c r="D259" s="678">
        <v>5</v>
      </c>
      <c r="E259" s="679">
        <v>10124.9</v>
      </c>
      <c r="F259" s="678">
        <v>50624.5</v>
      </c>
      <c r="G259" s="660" t="s">
        <v>3263</v>
      </c>
      <c r="H259" s="680" t="s">
        <v>733</v>
      </c>
      <c r="I259" s="684">
        <v>251</v>
      </c>
    </row>
    <row r="260" spans="1:9" s="4" customFormat="1" ht="47.25">
      <c r="A260" s="661" t="s">
        <v>279</v>
      </c>
      <c r="B260" s="658" t="s">
        <v>2102</v>
      </c>
      <c r="C260" s="659" t="s">
        <v>1818</v>
      </c>
      <c r="D260" s="678">
        <v>5</v>
      </c>
      <c r="E260" s="679">
        <v>24237</v>
      </c>
      <c r="F260" s="678">
        <v>121185</v>
      </c>
      <c r="G260" s="660" t="s">
        <v>3264</v>
      </c>
      <c r="H260" s="680" t="s">
        <v>843</v>
      </c>
      <c r="I260" s="684">
        <v>252</v>
      </c>
    </row>
    <row r="261" spans="1:9" s="4" customFormat="1" ht="42.75">
      <c r="A261" s="661" t="s">
        <v>280</v>
      </c>
      <c r="B261" s="658" t="s">
        <v>2112</v>
      </c>
      <c r="C261" s="659" t="s">
        <v>1818</v>
      </c>
      <c r="D261" s="678">
        <v>2</v>
      </c>
      <c r="E261" s="679">
        <v>27649</v>
      </c>
      <c r="F261" s="678">
        <v>55298</v>
      </c>
      <c r="G261" s="660" t="s">
        <v>3265</v>
      </c>
      <c r="H261" s="680" t="s">
        <v>734</v>
      </c>
      <c r="I261" s="684">
        <v>253</v>
      </c>
    </row>
    <row r="262" spans="1:9" s="4" customFormat="1" ht="42.75">
      <c r="A262" s="661" t="s">
        <v>281</v>
      </c>
      <c r="B262" s="658" t="s">
        <v>2115</v>
      </c>
      <c r="C262" s="659" t="s">
        <v>1875</v>
      </c>
      <c r="D262" s="678">
        <v>1</v>
      </c>
      <c r="E262" s="679">
        <v>4439.3</v>
      </c>
      <c r="F262" s="678">
        <v>4439.3</v>
      </c>
      <c r="G262" s="660" t="s">
        <v>3266</v>
      </c>
      <c r="H262" s="680" t="s">
        <v>735</v>
      </c>
      <c r="I262" s="684">
        <v>254</v>
      </c>
    </row>
    <row r="263" spans="1:9" s="4" customFormat="1" ht="42.75">
      <c r="A263" s="661" t="s">
        <v>282</v>
      </c>
      <c r="B263" s="658" t="s">
        <v>2124</v>
      </c>
      <c r="C263" s="659" t="s">
        <v>1875</v>
      </c>
      <c r="D263" s="678">
        <v>1</v>
      </c>
      <c r="E263" s="679">
        <v>7168.8</v>
      </c>
      <c r="F263" s="678">
        <v>7168.8</v>
      </c>
      <c r="G263" s="660" t="s">
        <v>3267</v>
      </c>
      <c r="H263" s="680" t="s">
        <v>736</v>
      </c>
      <c r="I263" s="684">
        <v>255</v>
      </c>
    </row>
    <row r="264" spans="1:9" s="4" customFormat="1" ht="42.75">
      <c r="A264" s="661" t="s">
        <v>283</v>
      </c>
      <c r="B264" s="658" t="s">
        <v>2129</v>
      </c>
      <c r="C264" s="659" t="s">
        <v>1875</v>
      </c>
      <c r="D264" s="678">
        <v>1</v>
      </c>
      <c r="E264" s="679">
        <v>3615.3</v>
      </c>
      <c r="F264" s="678">
        <v>3615.3</v>
      </c>
      <c r="G264" s="660" t="s">
        <v>3268</v>
      </c>
      <c r="H264" s="680" t="s">
        <v>737</v>
      </c>
      <c r="I264" s="684">
        <v>256</v>
      </c>
    </row>
    <row r="265" spans="1:9" s="4" customFormat="1" ht="42.75">
      <c r="A265" s="661" t="s">
        <v>284</v>
      </c>
      <c r="B265" s="658" t="s">
        <v>2134</v>
      </c>
      <c r="C265" s="659" t="s">
        <v>1875</v>
      </c>
      <c r="D265" s="678">
        <v>1</v>
      </c>
      <c r="E265" s="679">
        <v>4449.6000000000004</v>
      </c>
      <c r="F265" s="678">
        <v>4449.6000000000004</v>
      </c>
      <c r="G265" s="660" t="s">
        <v>3269</v>
      </c>
      <c r="H265" s="680" t="s">
        <v>738</v>
      </c>
      <c r="I265" s="684">
        <v>257</v>
      </c>
    </row>
    <row r="266" spans="1:9" s="4" customFormat="1" ht="42.75">
      <c r="A266" s="661" t="s">
        <v>285</v>
      </c>
      <c r="B266" s="658" t="s">
        <v>2141</v>
      </c>
      <c r="C266" s="659" t="s">
        <v>3</v>
      </c>
      <c r="D266" s="678">
        <v>5</v>
      </c>
      <c r="E266" s="679">
        <v>1565.78</v>
      </c>
      <c r="F266" s="678">
        <v>7828.9</v>
      </c>
      <c r="G266" s="660" t="s">
        <v>3270</v>
      </c>
      <c r="H266" s="680">
        <v>277850021</v>
      </c>
      <c r="I266" s="684">
        <v>258</v>
      </c>
    </row>
    <row r="267" spans="1:9" s="4" customFormat="1" ht="31.5">
      <c r="A267" s="661" t="s">
        <v>286</v>
      </c>
      <c r="B267" s="658" t="s">
        <v>3271</v>
      </c>
      <c r="C267" s="659" t="s">
        <v>3</v>
      </c>
      <c r="D267" s="678">
        <v>5</v>
      </c>
      <c r="E267" s="679">
        <v>1500</v>
      </c>
      <c r="F267" s="678">
        <v>7500</v>
      </c>
      <c r="G267" s="660" t="s">
        <v>3272</v>
      </c>
      <c r="H267" s="680" t="s">
        <v>739</v>
      </c>
      <c r="I267" s="684">
        <v>259</v>
      </c>
    </row>
    <row r="268" spans="1:9" s="4" customFormat="1" ht="31.5">
      <c r="A268" s="661" t="s">
        <v>287</v>
      </c>
      <c r="B268" s="658" t="s">
        <v>3273</v>
      </c>
      <c r="C268" s="659" t="s">
        <v>3</v>
      </c>
      <c r="D268" s="678">
        <v>5</v>
      </c>
      <c r="E268" s="679">
        <v>145</v>
      </c>
      <c r="F268" s="678">
        <v>725</v>
      </c>
      <c r="G268" s="660" t="s">
        <v>3274</v>
      </c>
      <c r="H268" s="680">
        <v>234210212</v>
      </c>
      <c r="I268" s="684">
        <v>260</v>
      </c>
    </row>
    <row r="269" spans="1:9" s="4" customFormat="1" ht="42.75">
      <c r="A269" s="661" t="s">
        <v>288</v>
      </c>
      <c r="B269" s="658" t="s">
        <v>2146</v>
      </c>
      <c r="C269" s="659" t="s">
        <v>3</v>
      </c>
      <c r="D269" s="678">
        <v>5</v>
      </c>
      <c r="E269" s="679">
        <v>2495.69</v>
      </c>
      <c r="F269" s="678">
        <v>12478.45</v>
      </c>
      <c r="G269" s="660" t="s">
        <v>3275</v>
      </c>
      <c r="H269" s="680" t="s">
        <v>740</v>
      </c>
      <c r="I269" s="684">
        <v>261</v>
      </c>
    </row>
    <row r="270" spans="1:9" s="4" customFormat="1" ht="42.75">
      <c r="A270" s="661" t="s">
        <v>289</v>
      </c>
      <c r="B270" s="658" t="s">
        <v>2158</v>
      </c>
      <c r="C270" s="659" t="s">
        <v>1497</v>
      </c>
      <c r="D270" s="678">
        <v>10</v>
      </c>
      <c r="E270" s="679">
        <v>271.92</v>
      </c>
      <c r="F270" s="678">
        <v>2719.2</v>
      </c>
      <c r="G270" s="660" t="s">
        <v>3276</v>
      </c>
      <c r="H270" s="680" t="s">
        <v>844</v>
      </c>
      <c r="I270" s="684">
        <v>262</v>
      </c>
    </row>
    <row r="271" spans="1:9" s="4" customFormat="1" ht="42.75">
      <c r="A271" s="661" t="s">
        <v>290</v>
      </c>
      <c r="B271" s="658" t="s">
        <v>912</v>
      </c>
      <c r="C271" s="659" t="s">
        <v>3</v>
      </c>
      <c r="D271" s="678">
        <v>10</v>
      </c>
      <c r="E271" s="679">
        <v>703.49</v>
      </c>
      <c r="F271" s="678">
        <v>7034.9</v>
      </c>
      <c r="G271" s="660" t="s">
        <v>3277</v>
      </c>
      <c r="H271" s="680" t="s">
        <v>2930</v>
      </c>
      <c r="I271" s="684">
        <v>263</v>
      </c>
    </row>
    <row r="272" spans="1:9" s="4" customFormat="1" ht="28.5">
      <c r="A272" s="661" t="s">
        <v>291</v>
      </c>
      <c r="B272" s="658" t="s">
        <v>3278</v>
      </c>
      <c r="C272" s="659" t="s">
        <v>2149</v>
      </c>
      <c r="D272" s="678">
        <v>10</v>
      </c>
      <c r="E272" s="679">
        <v>250</v>
      </c>
      <c r="F272" s="678">
        <v>2500</v>
      </c>
      <c r="G272" s="660" t="s">
        <v>3279</v>
      </c>
      <c r="H272" s="680" t="s">
        <v>845</v>
      </c>
      <c r="I272" s="684">
        <v>264</v>
      </c>
    </row>
    <row r="273" spans="1:9" s="4" customFormat="1" ht="42.75">
      <c r="A273" s="661" t="s">
        <v>292</v>
      </c>
      <c r="B273" s="658" t="s">
        <v>2169</v>
      </c>
      <c r="C273" s="659" t="s">
        <v>17</v>
      </c>
      <c r="D273" s="678">
        <v>10</v>
      </c>
      <c r="E273" s="679">
        <v>135.88</v>
      </c>
      <c r="F273" s="678">
        <v>1358.8</v>
      </c>
      <c r="G273" s="660" t="s">
        <v>3280</v>
      </c>
      <c r="H273" s="680">
        <v>315030001</v>
      </c>
      <c r="I273" s="684">
        <v>265</v>
      </c>
    </row>
    <row r="274" spans="1:9" s="4" customFormat="1" ht="42.75">
      <c r="A274" s="661" t="s">
        <v>293</v>
      </c>
      <c r="B274" s="658" t="s">
        <v>2180</v>
      </c>
      <c r="C274" s="659" t="s">
        <v>3</v>
      </c>
      <c r="D274" s="678">
        <v>10</v>
      </c>
      <c r="E274" s="679">
        <v>1205.0999999999999</v>
      </c>
      <c r="F274" s="678">
        <v>12051</v>
      </c>
      <c r="G274" s="660" t="s">
        <v>3281</v>
      </c>
      <c r="H274" s="680">
        <v>978000002</v>
      </c>
      <c r="I274" s="684">
        <v>266</v>
      </c>
    </row>
    <row r="275" spans="1:9" s="4" customFormat="1" ht="42.75">
      <c r="A275" s="661" t="s">
        <v>294</v>
      </c>
      <c r="B275" s="658" t="s">
        <v>2191</v>
      </c>
      <c r="C275" s="659" t="s">
        <v>3</v>
      </c>
      <c r="D275" s="678">
        <v>10</v>
      </c>
      <c r="E275" s="679">
        <v>1701.97</v>
      </c>
      <c r="F275" s="678">
        <v>17019.7</v>
      </c>
      <c r="G275" s="660" t="s">
        <v>3282</v>
      </c>
      <c r="H275" s="680">
        <v>978100002</v>
      </c>
      <c r="I275" s="684">
        <v>267</v>
      </c>
    </row>
    <row r="276" spans="1:9" s="4" customFormat="1" ht="42.75">
      <c r="A276" s="661" t="s">
        <v>295</v>
      </c>
      <c r="B276" s="658" t="s">
        <v>2195</v>
      </c>
      <c r="C276" s="659" t="s">
        <v>3</v>
      </c>
      <c r="D276" s="678">
        <v>10</v>
      </c>
      <c r="E276" s="679">
        <v>1420.91</v>
      </c>
      <c r="F276" s="678">
        <v>14209.1</v>
      </c>
      <c r="G276" s="660" t="s">
        <v>3283</v>
      </c>
      <c r="H276" s="680">
        <v>978200002</v>
      </c>
      <c r="I276" s="684">
        <v>268</v>
      </c>
    </row>
    <row r="277" spans="1:9" s="4" customFormat="1" ht="42.75">
      <c r="A277" s="661" t="s">
        <v>296</v>
      </c>
      <c r="B277" s="658" t="s">
        <v>2204</v>
      </c>
      <c r="C277" s="659" t="s">
        <v>1818</v>
      </c>
      <c r="D277" s="678">
        <v>1</v>
      </c>
      <c r="E277" s="679">
        <v>2554.14</v>
      </c>
      <c r="F277" s="678">
        <v>2554.14</v>
      </c>
      <c r="G277" s="660" t="s">
        <v>3284</v>
      </c>
      <c r="H277" s="680" t="s">
        <v>741</v>
      </c>
      <c r="I277" s="684">
        <v>269</v>
      </c>
    </row>
    <row r="278" spans="1:9" s="4" customFormat="1" ht="42.75">
      <c r="A278" s="661" t="s">
        <v>297</v>
      </c>
      <c r="B278" s="658" t="s">
        <v>2212</v>
      </c>
      <c r="C278" s="659" t="s">
        <v>1818</v>
      </c>
      <c r="D278" s="678">
        <v>1</v>
      </c>
      <c r="E278" s="679">
        <v>2695.92</v>
      </c>
      <c r="F278" s="678">
        <v>2695.92</v>
      </c>
      <c r="G278" s="660" t="s">
        <v>3285</v>
      </c>
      <c r="H278" s="680" t="s">
        <v>846</v>
      </c>
      <c r="I278" s="684">
        <v>270</v>
      </c>
    </row>
    <row r="279" spans="1:9" s="4" customFormat="1" ht="42.75">
      <c r="A279" s="661" t="s">
        <v>298</v>
      </c>
      <c r="B279" s="658" t="s">
        <v>2219</v>
      </c>
      <c r="C279" s="659" t="s">
        <v>1818</v>
      </c>
      <c r="D279" s="678">
        <v>1</v>
      </c>
      <c r="E279" s="679">
        <v>14914.14</v>
      </c>
      <c r="F279" s="678">
        <v>14914.14</v>
      </c>
      <c r="G279" s="660" t="s">
        <v>3286</v>
      </c>
      <c r="H279" s="680" t="s">
        <v>847</v>
      </c>
      <c r="I279" s="684">
        <v>271</v>
      </c>
    </row>
    <row r="280" spans="1:9" s="4" customFormat="1" ht="42.75">
      <c r="A280" s="661" t="s">
        <v>299</v>
      </c>
      <c r="B280" s="658" t="s">
        <v>2226</v>
      </c>
      <c r="C280" s="659" t="s">
        <v>1818</v>
      </c>
      <c r="D280" s="678">
        <v>1</v>
      </c>
      <c r="E280" s="679">
        <v>15055.92</v>
      </c>
      <c r="F280" s="678">
        <v>15055.92</v>
      </c>
      <c r="G280" s="660" t="s">
        <v>3287</v>
      </c>
      <c r="H280" s="680" t="s">
        <v>848</v>
      </c>
      <c r="I280" s="684">
        <v>272</v>
      </c>
    </row>
    <row r="281" spans="1:9" s="4" customFormat="1" ht="47.25">
      <c r="A281" s="661" t="s">
        <v>300</v>
      </c>
      <c r="B281" s="658" t="s">
        <v>2229</v>
      </c>
      <c r="C281" s="659" t="s">
        <v>1818</v>
      </c>
      <c r="D281" s="678">
        <v>1</v>
      </c>
      <c r="E281" s="679">
        <v>15830.96</v>
      </c>
      <c r="F281" s="678">
        <v>15830.96</v>
      </c>
      <c r="G281" s="660" t="s">
        <v>3288</v>
      </c>
      <c r="H281" s="680" t="s">
        <v>849</v>
      </c>
      <c r="I281" s="684">
        <v>273</v>
      </c>
    </row>
    <row r="282" spans="1:9" s="4" customFormat="1" ht="47.25">
      <c r="A282" s="661" t="s">
        <v>301</v>
      </c>
      <c r="B282" s="658" t="s">
        <v>2232</v>
      </c>
      <c r="C282" s="659" t="s">
        <v>1818</v>
      </c>
      <c r="D282" s="678">
        <v>1</v>
      </c>
      <c r="E282" s="679">
        <v>16889.55</v>
      </c>
      <c r="F282" s="678">
        <v>16889.55</v>
      </c>
      <c r="G282" s="660" t="s">
        <v>3289</v>
      </c>
      <c r="H282" s="680" t="s">
        <v>742</v>
      </c>
      <c r="I282" s="684">
        <v>274</v>
      </c>
    </row>
    <row r="283" spans="1:9" s="4" customFormat="1" ht="42.75">
      <c r="A283" s="661" t="s">
        <v>302</v>
      </c>
      <c r="B283" s="658" t="s">
        <v>2237</v>
      </c>
      <c r="C283" s="659" t="s">
        <v>2238</v>
      </c>
      <c r="D283" s="678">
        <v>20</v>
      </c>
      <c r="E283" s="679">
        <v>1145.3599999999999</v>
      </c>
      <c r="F283" s="678">
        <v>22907.200000000001</v>
      </c>
      <c r="G283" s="660" t="s">
        <v>3290</v>
      </c>
      <c r="H283" s="680" t="s">
        <v>850</v>
      </c>
      <c r="I283" s="684">
        <v>275</v>
      </c>
    </row>
    <row r="284" spans="1:9" s="4" customFormat="1" ht="42.75">
      <c r="A284" s="661" t="s">
        <v>303</v>
      </c>
      <c r="B284" s="658" t="s">
        <v>2245</v>
      </c>
      <c r="C284" s="659" t="s">
        <v>17</v>
      </c>
      <c r="D284" s="678">
        <v>1</v>
      </c>
      <c r="E284" s="679">
        <v>2781.16</v>
      </c>
      <c r="F284" s="678">
        <v>2781.16</v>
      </c>
      <c r="G284" s="660" t="s">
        <v>3291</v>
      </c>
      <c r="H284" s="680" t="s">
        <v>851</v>
      </c>
      <c r="I284" s="684">
        <v>276</v>
      </c>
    </row>
    <row r="285" spans="1:9" s="4" customFormat="1" ht="42.75">
      <c r="A285" s="661" t="s">
        <v>304</v>
      </c>
      <c r="B285" s="658" t="s">
        <v>2256</v>
      </c>
      <c r="C285" s="659" t="s">
        <v>17</v>
      </c>
      <c r="D285" s="678">
        <v>1</v>
      </c>
      <c r="E285" s="679">
        <v>3614.05</v>
      </c>
      <c r="F285" s="678">
        <v>3614.05</v>
      </c>
      <c r="G285" s="660" t="s">
        <v>3292</v>
      </c>
      <c r="H285" s="680" t="s">
        <v>852</v>
      </c>
      <c r="I285" s="684">
        <v>277</v>
      </c>
    </row>
    <row r="286" spans="1:9" s="4" customFormat="1" ht="42.75">
      <c r="A286" s="661" t="s">
        <v>305</v>
      </c>
      <c r="B286" s="658" t="s">
        <v>2259</v>
      </c>
      <c r="C286" s="659" t="s">
        <v>17</v>
      </c>
      <c r="D286" s="678">
        <v>1</v>
      </c>
      <c r="E286" s="679">
        <v>2781.16</v>
      </c>
      <c r="F286" s="678">
        <v>2781.16</v>
      </c>
      <c r="G286" s="660" t="s">
        <v>3293</v>
      </c>
      <c r="H286" s="680" t="s">
        <v>853</v>
      </c>
      <c r="I286" s="684">
        <v>278</v>
      </c>
    </row>
    <row r="287" spans="1:9" s="4" customFormat="1" ht="42.75">
      <c r="A287" s="661" t="s">
        <v>306</v>
      </c>
      <c r="B287" s="658" t="s">
        <v>2262</v>
      </c>
      <c r="C287" s="659" t="s">
        <v>17</v>
      </c>
      <c r="D287" s="678">
        <v>1</v>
      </c>
      <c r="E287" s="679">
        <v>3135.56</v>
      </c>
      <c r="F287" s="678">
        <v>3135.56</v>
      </c>
      <c r="G287" s="660" t="s">
        <v>3294</v>
      </c>
      <c r="H287" s="680" t="s">
        <v>854</v>
      </c>
      <c r="I287" s="684">
        <v>279</v>
      </c>
    </row>
    <row r="288" spans="1:9" s="4" customFormat="1" ht="47.25">
      <c r="A288" s="661" t="s">
        <v>307</v>
      </c>
      <c r="B288" s="658" t="s">
        <v>3295</v>
      </c>
      <c r="C288" s="659" t="s">
        <v>17</v>
      </c>
      <c r="D288" s="678">
        <v>10</v>
      </c>
      <c r="E288" s="679">
        <v>35</v>
      </c>
      <c r="F288" s="678">
        <v>350</v>
      </c>
      <c r="G288" s="660" t="s">
        <v>3296</v>
      </c>
      <c r="H288" s="680" t="s">
        <v>2871</v>
      </c>
      <c r="I288" s="684">
        <v>280</v>
      </c>
    </row>
    <row r="289" spans="1:9" s="4" customFormat="1" ht="47.25">
      <c r="A289" s="661" t="s">
        <v>308</v>
      </c>
      <c r="B289" s="658" t="s">
        <v>2937</v>
      </c>
      <c r="C289" s="659" t="s">
        <v>17</v>
      </c>
      <c r="D289" s="678">
        <v>10</v>
      </c>
      <c r="E289" s="679">
        <v>40</v>
      </c>
      <c r="F289" s="678">
        <v>400</v>
      </c>
      <c r="G289" s="660" t="s">
        <v>3297</v>
      </c>
      <c r="H289" s="680" t="s">
        <v>2872</v>
      </c>
      <c r="I289" s="684">
        <v>281</v>
      </c>
    </row>
    <row r="290" spans="1:9" s="4" customFormat="1" ht="47.25">
      <c r="A290" s="661" t="s">
        <v>309</v>
      </c>
      <c r="B290" s="658" t="s">
        <v>3298</v>
      </c>
      <c r="C290" s="659" t="s">
        <v>17</v>
      </c>
      <c r="D290" s="678">
        <v>10</v>
      </c>
      <c r="E290" s="679">
        <v>45</v>
      </c>
      <c r="F290" s="678">
        <v>450</v>
      </c>
      <c r="G290" s="660" t="s">
        <v>3299</v>
      </c>
      <c r="H290" s="680" t="s">
        <v>2873</v>
      </c>
      <c r="I290" s="684">
        <v>282</v>
      </c>
    </row>
    <row r="291" spans="1:9" s="4" customFormat="1" ht="47.25">
      <c r="A291" s="661" t="s">
        <v>310</v>
      </c>
      <c r="B291" s="658" t="s">
        <v>3300</v>
      </c>
      <c r="C291" s="659" t="s">
        <v>17</v>
      </c>
      <c r="D291" s="678">
        <v>10</v>
      </c>
      <c r="E291" s="679">
        <v>50</v>
      </c>
      <c r="F291" s="678">
        <v>500</v>
      </c>
      <c r="G291" s="660" t="s">
        <v>3301</v>
      </c>
      <c r="H291" s="680" t="s">
        <v>2874</v>
      </c>
      <c r="I291" s="684">
        <v>283</v>
      </c>
    </row>
    <row r="292" spans="1:9" s="4" customFormat="1" ht="47.25">
      <c r="A292" s="661" t="s">
        <v>311</v>
      </c>
      <c r="B292" s="658" t="s">
        <v>3302</v>
      </c>
      <c r="C292" s="659" t="s">
        <v>17</v>
      </c>
      <c r="D292" s="678">
        <v>10</v>
      </c>
      <c r="E292" s="679">
        <v>55</v>
      </c>
      <c r="F292" s="678">
        <v>550</v>
      </c>
      <c r="G292" s="660" t="s">
        <v>3303</v>
      </c>
      <c r="H292" s="680" t="s">
        <v>2875</v>
      </c>
      <c r="I292" s="684">
        <v>284</v>
      </c>
    </row>
    <row r="293" spans="1:9" s="4" customFormat="1" ht="47.25">
      <c r="A293" s="661" t="s">
        <v>312</v>
      </c>
      <c r="B293" s="658" t="s">
        <v>3304</v>
      </c>
      <c r="C293" s="659" t="s">
        <v>17</v>
      </c>
      <c r="D293" s="678">
        <v>10</v>
      </c>
      <c r="E293" s="679">
        <v>60</v>
      </c>
      <c r="F293" s="678">
        <v>600</v>
      </c>
      <c r="G293" s="660" t="s">
        <v>3305</v>
      </c>
      <c r="H293" s="680" t="s">
        <v>2876</v>
      </c>
      <c r="I293" s="684">
        <v>285</v>
      </c>
    </row>
    <row r="294" spans="1:9" s="4" customFormat="1" ht="47.25">
      <c r="A294" s="661" t="s">
        <v>313</v>
      </c>
      <c r="B294" s="658" t="s">
        <v>3306</v>
      </c>
      <c r="C294" s="659" t="s">
        <v>17</v>
      </c>
      <c r="D294" s="678">
        <v>10</v>
      </c>
      <c r="E294" s="679">
        <v>439.5</v>
      </c>
      <c r="F294" s="678">
        <v>4395</v>
      </c>
      <c r="G294" s="660" t="s">
        <v>3307</v>
      </c>
      <c r="H294" s="680" t="s">
        <v>855</v>
      </c>
      <c r="I294" s="684">
        <v>286</v>
      </c>
    </row>
    <row r="295" spans="1:9" s="4" customFormat="1" ht="47.25">
      <c r="A295" s="661" t="s">
        <v>314</v>
      </c>
      <c r="B295" s="658" t="s">
        <v>3308</v>
      </c>
      <c r="C295" s="659" t="s">
        <v>17</v>
      </c>
      <c r="D295" s="678">
        <v>10</v>
      </c>
      <c r="E295" s="679">
        <v>665.07</v>
      </c>
      <c r="F295" s="678">
        <v>6650.7</v>
      </c>
      <c r="G295" s="660" t="s">
        <v>3309</v>
      </c>
      <c r="H295" s="680" t="s">
        <v>856</v>
      </c>
      <c r="I295" s="684">
        <v>287</v>
      </c>
    </row>
    <row r="296" spans="1:9" s="4" customFormat="1" ht="47.25">
      <c r="A296" s="661" t="s">
        <v>315</v>
      </c>
      <c r="B296" s="658" t="s">
        <v>3310</v>
      </c>
      <c r="C296" s="659" t="s">
        <v>17</v>
      </c>
      <c r="D296" s="678">
        <v>10</v>
      </c>
      <c r="E296" s="679">
        <v>766</v>
      </c>
      <c r="F296" s="678">
        <v>7660</v>
      </c>
      <c r="G296" s="660" t="s">
        <v>3311</v>
      </c>
      <c r="H296" s="680" t="s">
        <v>857</v>
      </c>
      <c r="I296" s="684">
        <v>288</v>
      </c>
    </row>
    <row r="297" spans="1:9" s="4" customFormat="1" ht="47.25">
      <c r="A297" s="661" t="s">
        <v>316</v>
      </c>
      <c r="B297" s="658" t="s">
        <v>3312</v>
      </c>
      <c r="C297" s="659" t="s">
        <v>17</v>
      </c>
      <c r="D297" s="678">
        <v>10</v>
      </c>
      <c r="E297" s="679">
        <v>1216</v>
      </c>
      <c r="F297" s="678">
        <v>12160</v>
      </c>
      <c r="G297" s="660" t="s">
        <v>3313</v>
      </c>
      <c r="H297" s="680" t="s">
        <v>858</v>
      </c>
      <c r="I297" s="684">
        <v>289</v>
      </c>
    </row>
    <row r="298" spans="1:9" s="4" customFormat="1" ht="47.25">
      <c r="A298" s="661" t="s">
        <v>317</v>
      </c>
      <c r="B298" s="658" t="s">
        <v>3314</v>
      </c>
      <c r="C298" s="659" t="s">
        <v>17</v>
      </c>
      <c r="D298" s="678">
        <v>10</v>
      </c>
      <c r="E298" s="679">
        <v>1536</v>
      </c>
      <c r="F298" s="678">
        <v>15360</v>
      </c>
      <c r="G298" s="660" t="s">
        <v>3315</v>
      </c>
      <c r="H298" s="680" t="s">
        <v>859</v>
      </c>
      <c r="I298" s="684">
        <v>290</v>
      </c>
    </row>
    <row r="299" spans="1:9" s="4" customFormat="1" ht="42.75">
      <c r="A299" s="661" t="s">
        <v>318</v>
      </c>
      <c r="B299" s="658" t="s">
        <v>2265</v>
      </c>
      <c r="C299" s="659" t="s">
        <v>3</v>
      </c>
      <c r="D299" s="678">
        <v>10</v>
      </c>
      <c r="E299" s="679">
        <v>401.7</v>
      </c>
      <c r="F299" s="678">
        <v>4017</v>
      </c>
      <c r="G299" s="660" t="s">
        <v>3316</v>
      </c>
      <c r="H299" s="680" t="s">
        <v>860</v>
      </c>
      <c r="I299" s="684">
        <v>291</v>
      </c>
    </row>
    <row r="300" spans="1:9" s="4" customFormat="1" ht="57">
      <c r="A300" s="661" t="s">
        <v>319</v>
      </c>
      <c r="B300" s="658" t="s">
        <v>2274</v>
      </c>
      <c r="C300" s="659" t="s">
        <v>3</v>
      </c>
      <c r="D300" s="678">
        <v>10</v>
      </c>
      <c r="E300" s="679">
        <v>600.49</v>
      </c>
      <c r="F300" s="678">
        <v>6004.9</v>
      </c>
      <c r="G300" s="660" t="s">
        <v>3317</v>
      </c>
      <c r="H300" s="680" t="s">
        <v>861</v>
      </c>
      <c r="I300" s="684">
        <v>292</v>
      </c>
    </row>
    <row r="301" spans="1:9" s="4" customFormat="1" ht="47.25">
      <c r="A301" s="661" t="s">
        <v>320</v>
      </c>
      <c r="B301" s="658" t="s">
        <v>2281</v>
      </c>
      <c r="C301" s="659" t="s">
        <v>3</v>
      </c>
      <c r="D301" s="678">
        <v>10</v>
      </c>
      <c r="E301" s="679">
        <v>4094.25</v>
      </c>
      <c r="F301" s="678">
        <v>40942.5</v>
      </c>
      <c r="G301" s="660" t="s">
        <v>3318</v>
      </c>
      <c r="H301" s="680" t="s">
        <v>743</v>
      </c>
      <c r="I301" s="684">
        <v>293</v>
      </c>
    </row>
    <row r="302" spans="1:9" s="4" customFormat="1" ht="47.25">
      <c r="A302" s="661" t="s">
        <v>321</v>
      </c>
      <c r="B302" s="658" t="s">
        <v>2292</v>
      </c>
      <c r="C302" s="659" t="s">
        <v>3</v>
      </c>
      <c r="D302" s="678">
        <v>10</v>
      </c>
      <c r="E302" s="679">
        <v>252.35</v>
      </c>
      <c r="F302" s="678">
        <v>2523.5</v>
      </c>
      <c r="G302" s="660" t="s">
        <v>3319</v>
      </c>
      <c r="H302" s="680" t="s">
        <v>862</v>
      </c>
      <c r="I302" s="684">
        <v>294</v>
      </c>
    </row>
    <row r="303" spans="1:9" s="4" customFormat="1" ht="42.75">
      <c r="A303" s="661" t="s">
        <v>322</v>
      </c>
      <c r="B303" s="658" t="s">
        <v>2297</v>
      </c>
      <c r="C303" s="659" t="s">
        <v>3</v>
      </c>
      <c r="D303" s="678">
        <v>10</v>
      </c>
      <c r="E303" s="679">
        <v>103</v>
      </c>
      <c r="F303" s="678">
        <v>1030</v>
      </c>
      <c r="G303" s="660" t="s">
        <v>3320</v>
      </c>
      <c r="H303" s="680" t="s">
        <v>744</v>
      </c>
      <c r="I303" s="684">
        <v>295</v>
      </c>
    </row>
    <row r="304" spans="1:9" s="4" customFormat="1" ht="42.75">
      <c r="A304" s="661" t="s">
        <v>323</v>
      </c>
      <c r="B304" s="658" t="s">
        <v>2299</v>
      </c>
      <c r="C304" s="659" t="s">
        <v>1689</v>
      </c>
      <c r="D304" s="678">
        <v>2</v>
      </c>
      <c r="E304" s="679">
        <v>73645</v>
      </c>
      <c r="F304" s="678">
        <v>147290</v>
      </c>
      <c r="G304" s="660" t="s">
        <v>3321</v>
      </c>
      <c r="H304" s="680" t="s">
        <v>745</v>
      </c>
      <c r="I304" s="684">
        <v>296</v>
      </c>
    </row>
    <row r="305" spans="1:9" s="4" customFormat="1" ht="42.75">
      <c r="A305" s="661" t="s">
        <v>324</v>
      </c>
      <c r="B305" s="658" t="s">
        <v>2306</v>
      </c>
      <c r="C305" s="659" t="s">
        <v>1497</v>
      </c>
      <c r="D305" s="678">
        <v>20</v>
      </c>
      <c r="E305" s="679">
        <v>422.3</v>
      </c>
      <c r="F305" s="678">
        <v>8446</v>
      </c>
      <c r="G305" s="660" t="s">
        <v>3322</v>
      </c>
      <c r="H305" s="680" t="s">
        <v>863</v>
      </c>
      <c r="I305" s="684">
        <v>297</v>
      </c>
    </row>
    <row r="306" spans="1:9" s="4" customFormat="1" ht="42.75">
      <c r="A306" s="661" t="s">
        <v>325</v>
      </c>
      <c r="B306" s="658" t="s">
        <v>2313</v>
      </c>
      <c r="C306" s="659" t="s">
        <v>1497</v>
      </c>
      <c r="D306" s="678">
        <v>20</v>
      </c>
      <c r="E306" s="679">
        <v>484.1</v>
      </c>
      <c r="F306" s="678">
        <v>9682</v>
      </c>
      <c r="G306" s="660" t="s">
        <v>3323</v>
      </c>
      <c r="H306" s="680" t="s">
        <v>864</v>
      </c>
      <c r="I306" s="684">
        <v>298</v>
      </c>
    </row>
    <row r="307" spans="1:9" s="4" customFormat="1" ht="47.25">
      <c r="A307" s="661" t="s">
        <v>326</v>
      </c>
      <c r="B307" s="658" t="s">
        <v>2318</v>
      </c>
      <c r="C307" s="659" t="s">
        <v>1497</v>
      </c>
      <c r="D307" s="678">
        <v>10</v>
      </c>
      <c r="E307" s="679">
        <v>494.4</v>
      </c>
      <c r="F307" s="678">
        <v>4944</v>
      </c>
      <c r="G307" s="660" t="s">
        <v>3324</v>
      </c>
      <c r="H307" s="680" t="s">
        <v>865</v>
      </c>
      <c r="I307" s="684">
        <v>299</v>
      </c>
    </row>
    <row r="308" spans="1:9" s="4" customFormat="1" ht="47.25">
      <c r="A308" s="661" t="s">
        <v>327</v>
      </c>
      <c r="B308" s="658" t="s">
        <v>2327</v>
      </c>
      <c r="C308" s="659" t="s">
        <v>1497</v>
      </c>
      <c r="D308" s="678">
        <v>10</v>
      </c>
      <c r="E308" s="679">
        <v>491.28</v>
      </c>
      <c r="F308" s="678">
        <v>4912.8</v>
      </c>
      <c r="G308" s="660" t="s">
        <v>3325</v>
      </c>
      <c r="H308" s="680" t="s">
        <v>866</v>
      </c>
      <c r="I308" s="684">
        <v>300</v>
      </c>
    </row>
    <row r="309" spans="1:9" ht="47.25">
      <c r="A309" s="661" t="s">
        <v>328</v>
      </c>
      <c r="B309" s="658" t="s">
        <v>2338</v>
      </c>
      <c r="C309" s="659" t="s">
        <v>2238</v>
      </c>
      <c r="D309" s="678">
        <v>10</v>
      </c>
      <c r="E309" s="679">
        <v>1308.0999999999999</v>
      </c>
      <c r="F309" s="678">
        <v>13081</v>
      </c>
      <c r="G309" s="660" t="s">
        <v>3326</v>
      </c>
      <c r="H309" s="680" t="s">
        <v>746</v>
      </c>
      <c r="I309" s="684">
        <v>301</v>
      </c>
    </row>
    <row r="310" spans="1:9" ht="57">
      <c r="A310" s="661" t="s">
        <v>329</v>
      </c>
      <c r="B310" s="658" t="s">
        <v>2341</v>
      </c>
      <c r="C310" s="659" t="s">
        <v>15</v>
      </c>
      <c r="D310" s="678">
        <v>10</v>
      </c>
      <c r="E310" s="679">
        <v>691.54</v>
      </c>
      <c r="F310" s="678">
        <v>6915.4</v>
      </c>
      <c r="G310" s="660" t="s">
        <v>3327</v>
      </c>
      <c r="H310" s="680" t="s">
        <v>747</v>
      </c>
      <c r="I310" s="684">
        <v>302</v>
      </c>
    </row>
    <row r="311" spans="1:9" ht="42.75">
      <c r="A311" s="661" t="s">
        <v>330</v>
      </c>
      <c r="B311" s="658" t="s">
        <v>2346</v>
      </c>
      <c r="C311" s="659" t="s">
        <v>3</v>
      </c>
      <c r="D311" s="678">
        <v>25</v>
      </c>
      <c r="E311" s="679">
        <v>43.31</v>
      </c>
      <c r="F311" s="678">
        <v>1082.75</v>
      </c>
      <c r="G311" s="660" t="s">
        <v>3328</v>
      </c>
      <c r="H311" s="680" t="s">
        <v>748</v>
      </c>
      <c r="I311" s="684">
        <v>303</v>
      </c>
    </row>
    <row r="312" spans="1:9" ht="42.75">
      <c r="A312" s="661" t="s">
        <v>331</v>
      </c>
      <c r="B312" s="658" t="s">
        <v>2360</v>
      </c>
      <c r="C312" s="659" t="s">
        <v>3</v>
      </c>
      <c r="D312" s="678">
        <v>10</v>
      </c>
      <c r="E312" s="679">
        <v>238.46</v>
      </c>
      <c r="F312" s="678">
        <v>2384.6</v>
      </c>
      <c r="G312" s="660" t="s">
        <v>3329</v>
      </c>
      <c r="H312" s="680" t="s">
        <v>749</v>
      </c>
      <c r="I312" s="684">
        <v>304</v>
      </c>
    </row>
    <row r="313" spans="1:9" ht="42.75">
      <c r="A313" s="661" t="s">
        <v>332</v>
      </c>
      <c r="B313" s="658" t="s">
        <v>2372</v>
      </c>
      <c r="C313" s="659" t="s">
        <v>3</v>
      </c>
      <c r="D313" s="678">
        <v>5</v>
      </c>
      <c r="E313" s="679">
        <v>672.04</v>
      </c>
      <c r="F313" s="678">
        <v>3360.2</v>
      </c>
      <c r="G313" s="660" t="s">
        <v>3330</v>
      </c>
      <c r="H313" s="680">
        <v>422200002</v>
      </c>
      <c r="I313" s="684">
        <v>305</v>
      </c>
    </row>
    <row r="314" spans="1:9" ht="31.5">
      <c r="A314" s="661" t="s">
        <v>333</v>
      </c>
      <c r="B314" s="658" t="s">
        <v>3331</v>
      </c>
      <c r="C314" s="659" t="s">
        <v>2400</v>
      </c>
      <c r="D314" s="678">
        <v>50</v>
      </c>
      <c r="E314" s="679">
        <v>23.31</v>
      </c>
      <c r="F314" s="678">
        <v>1165.5</v>
      </c>
      <c r="G314" s="660" t="s">
        <v>3332</v>
      </c>
      <c r="H314" s="680">
        <v>2922000211</v>
      </c>
      <c r="I314" s="684">
        <v>306</v>
      </c>
    </row>
    <row r="315" spans="1:9" ht="42.75">
      <c r="A315" s="661" t="s">
        <v>334</v>
      </c>
      <c r="B315" s="658" t="s">
        <v>2379</v>
      </c>
      <c r="C315" s="659" t="s">
        <v>3</v>
      </c>
      <c r="D315" s="678">
        <v>50</v>
      </c>
      <c r="E315" s="679">
        <v>21.46</v>
      </c>
      <c r="F315" s="678">
        <v>1073</v>
      </c>
      <c r="G315" s="660" t="s">
        <v>3333</v>
      </c>
      <c r="H315" s="680" t="s">
        <v>867</v>
      </c>
      <c r="I315" s="684">
        <v>307</v>
      </c>
    </row>
    <row r="316" spans="1:9" ht="42.75">
      <c r="A316" s="661" t="s">
        <v>335</v>
      </c>
      <c r="B316" s="658" t="s">
        <v>2383</v>
      </c>
      <c r="C316" s="659" t="s">
        <v>3</v>
      </c>
      <c r="D316" s="678">
        <v>50</v>
      </c>
      <c r="E316" s="679">
        <v>11.39</v>
      </c>
      <c r="F316" s="678">
        <v>569.5</v>
      </c>
      <c r="G316" s="660" t="s">
        <v>3334</v>
      </c>
      <c r="H316" s="680" t="s">
        <v>750</v>
      </c>
      <c r="I316" s="684">
        <v>308</v>
      </c>
    </row>
    <row r="317" spans="1:9" ht="42.75">
      <c r="A317" s="661" t="s">
        <v>336</v>
      </c>
      <c r="B317" s="658" t="s">
        <v>2390</v>
      </c>
      <c r="C317" s="659" t="s">
        <v>3</v>
      </c>
      <c r="D317" s="678">
        <v>100</v>
      </c>
      <c r="E317" s="679">
        <v>18.89</v>
      </c>
      <c r="F317" s="678">
        <v>1889</v>
      </c>
      <c r="G317" s="660" t="s">
        <v>3335</v>
      </c>
      <c r="H317" s="680" t="s">
        <v>751</v>
      </c>
      <c r="I317" s="684">
        <v>309</v>
      </c>
    </row>
    <row r="318" spans="1:9" ht="42.75">
      <c r="A318" s="661" t="s">
        <v>405</v>
      </c>
      <c r="B318" s="658" t="s">
        <v>2393</v>
      </c>
      <c r="C318" s="659" t="s">
        <v>2394</v>
      </c>
      <c r="D318" s="678">
        <v>10</v>
      </c>
      <c r="E318" s="679">
        <v>2417.9299999999998</v>
      </c>
      <c r="F318" s="678">
        <v>24179.3</v>
      </c>
      <c r="G318" s="660" t="s">
        <v>3336</v>
      </c>
      <c r="H318" s="680" t="s">
        <v>868</v>
      </c>
      <c r="I318" s="684">
        <v>310</v>
      </c>
    </row>
    <row r="319" spans="1:9" ht="57">
      <c r="A319" s="661" t="s">
        <v>406</v>
      </c>
      <c r="B319" s="658" t="s">
        <v>2399</v>
      </c>
      <c r="C319" s="659" t="s">
        <v>2400</v>
      </c>
      <c r="D319" s="678">
        <v>10</v>
      </c>
      <c r="E319" s="679">
        <v>4260.63</v>
      </c>
      <c r="F319" s="678">
        <v>42606.3</v>
      </c>
      <c r="G319" s="660" t="s">
        <v>3337</v>
      </c>
      <c r="H319" s="680" t="s">
        <v>869</v>
      </c>
      <c r="I319" s="684">
        <v>311</v>
      </c>
    </row>
    <row r="320" spans="1:9" ht="42.75">
      <c r="A320" s="661" t="s">
        <v>407</v>
      </c>
      <c r="B320" s="658" t="s">
        <v>2405</v>
      </c>
      <c r="C320" s="659" t="s">
        <v>3</v>
      </c>
      <c r="D320" s="678">
        <v>100</v>
      </c>
      <c r="E320" s="679">
        <v>34.19</v>
      </c>
      <c r="F320" s="678">
        <v>3419</v>
      </c>
      <c r="G320" s="660" t="s">
        <v>3338</v>
      </c>
      <c r="H320" s="680" t="s">
        <v>870</v>
      </c>
      <c r="I320" s="684">
        <v>312</v>
      </c>
    </row>
    <row r="321" spans="1:9" ht="42.75">
      <c r="A321" s="661" t="s">
        <v>408</v>
      </c>
      <c r="B321" s="658" t="s">
        <v>2410</v>
      </c>
      <c r="C321" s="659" t="s">
        <v>0</v>
      </c>
      <c r="D321" s="678">
        <v>5</v>
      </c>
      <c r="E321" s="679">
        <v>428.52</v>
      </c>
      <c r="F321" s="678">
        <v>2142.6</v>
      </c>
      <c r="G321" s="660" t="s">
        <v>3339</v>
      </c>
      <c r="H321" s="680" t="s">
        <v>752</v>
      </c>
      <c r="I321" s="684">
        <v>313</v>
      </c>
    </row>
    <row r="322" spans="1:9" ht="42.75">
      <c r="A322" s="661" t="s">
        <v>409</v>
      </c>
      <c r="B322" s="658" t="s">
        <v>2414</v>
      </c>
      <c r="C322" s="659" t="s">
        <v>927</v>
      </c>
      <c r="D322" s="678">
        <v>10</v>
      </c>
      <c r="E322" s="679">
        <v>203.6</v>
      </c>
      <c r="F322" s="678">
        <v>2036</v>
      </c>
      <c r="G322" s="660" t="s">
        <v>3340</v>
      </c>
      <c r="H322" s="680" t="s">
        <v>871</v>
      </c>
      <c r="I322" s="684">
        <v>314</v>
      </c>
    </row>
    <row r="323" spans="1:9" ht="42.75">
      <c r="A323" s="661" t="s">
        <v>410</v>
      </c>
      <c r="B323" s="658" t="s">
        <v>2416</v>
      </c>
      <c r="C323" s="659" t="s">
        <v>927</v>
      </c>
      <c r="D323" s="678">
        <v>15</v>
      </c>
      <c r="E323" s="679">
        <v>160.77000000000001</v>
      </c>
      <c r="F323" s="678">
        <v>2411.5500000000002</v>
      </c>
      <c r="G323" s="660" t="s">
        <v>3341</v>
      </c>
      <c r="H323" s="680" t="s">
        <v>872</v>
      </c>
      <c r="I323" s="684">
        <v>315</v>
      </c>
    </row>
    <row r="324" spans="1:9" ht="42.75">
      <c r="A324" s="661" t="s">
        <v>411</v>
      </c>
      <c r="B324" s="658" t="s">
        <v>2381</v>
      </c>
      <c r="C324" s="659" t="s">
        <v>927</v>
      </c>
      <c r="D324" s="678">
        <v>40</v>
      </c>
      <c r="E324" s="679">
        <v>2107.79</v>
      </c>
      <c r="F324" s="678">
        <v>84311.6</v>
      </c>
      <c r="G324" s="660" t="s">
        <v>3342</v>
      </c>
      <c r="H324" s="680" t="s">
        <v>873</v>
      </c>
      <c r="I324" s="684">
        <v>316</v>
      </c>
    </row>
    <row r="325" spans="1:9" ht="42.75">
      <c r="A325" s="661" t="s">
        <v>412</v>
      </c>
      <c r="B325" s="658" t="s">
        <v>2422</v>
      </c>
      <c r="C325" s="659" t="s">
        <v>927</v>
      </c>
      <c r="D325" s="678">
        <v>50</v>
      </c>
      <c r="E325" s="679">
        <v>3872.8</v>
      </c>
      <c r="F325" s="678">
        <v>193640</v>
      </c>
      <c r="G325" s="660" t="s">
        <v>3343</v>
      </c>
      <c r="H325" s="680" t="s">
        <v>753</v>
      </c>
      <c r="I325" s="684">
        <v>317</v>
      </c>
    </row>
    <row r="326" spans="1:9" ht="42.75">
      <c r="A326" s="661" t="s">
        <v>413</v>
      </c>
      <c r="B326" s="658" t="s">
        <v>514</v>
      </c>
      <c r="C326" s="659" t="s">
        <v>927</v>
      </c>
      <c r="D326" s="678">
        <v>20</v>
      </c>
      <c r="E326" s="679">
        <v>925.56</v>
      </c>
      <c r="F326" s="678">
        <v>18511.2</v>
      </c>
      <c r="G326" s="660" t="s">
        <v>3344</v>
      </c>
      <c r="H326" s="680" t="s">
        <v>874</v>
      </c>
      <c r="I326" s="684">
        <v>318</v>
      </c>
    </row>
    <row r="327" spans="1:9" ht="42.75">
      <c r="A327" s="661" t="s">
        <v>414</v>
      </c>
      <c r="B327" s="658" t="s">
        <v>2433</v>
      </c>
      <c r="C327" s="659" t="s">
        <v>927</v>
      </c>
      <c r="D327" s="678">
        <v>20</v>
      </c>
      <c r="E327" s="679">
        <v>904.96</v>
      </c>
      <c r="F327" s="678">
        <v>18099.2</v>
      </c>
      <c r="G327" s="660" t="s">
        <v>3345</v>
      </c>
      <c r="H327" s="680" t="s">
        <v>754</v>
      </c>
      <c r="I327" s="684">
        <v>319</v>
      </c>
    </row>
    <row r="328" spans="1:9" ht="42.75">
      <c r="A328" s="661" t="s">
        <v>415</v>
      </c>
      <c r="B328" s="658" t="s">
        <v>2438</v>
      </c>
      <c r="C328" s="659" t="s">
        <v>927</v>
      </c>
      <c r="D328" s="678">
        <v>20</v>
      </c>
      <c r="E328" s="679">
        <v>801.96</v>
      </c>
      <c r="F328" s="678">
        <v>16039.2</v>
      </c>
      <c r="G328" s="660" t="s">
        <v>3346</v>
      </c>
      <c r="H328" s="680" t="s">
        <v>875</v>
      </c>
      <c r="I328" s="684">
        <v>320</v>
      </c>
    </row>
    <row r="329" spans="1:9" ht="42.75">
      <c r="A329" s="661" t="s">
        <v>416</v>
      </c>
      <c r="B329" s="658" t="s">
        <v>2443</v>
      </c>
      <c r="C329" s="659" t="s">
        <v>2444</v>
      </c>
      <c r="D329" s="678">
        <v>10</v>
      </c>
      <c r="E329" s="679">
        <v>30932.959999999999</v>
      </c>
      <c r="F329" s="678">
        <v>309329.59999999998</v>
      </c>
      <c r="G329" s="660" t="s">
        <v>3347</v>
      </c>
      <c r="H329" s="680" t="s">
        <v>876</v>
      </c>
      <c r="I329" s="684">
        <v>321</v>
      </c>
    </row>
    <row r="330" spans="1:9" ht="42.75">
      <c r="A330" s="661" t="s">
        <v>417</v>
      </c>
      <c r="B330" s="658" t="s">
        <v>515</v>
      </c>
      <c r="C330" s="659" t="s">
        <v>0</v>
      </c>
      <c r="D330" s="678">
        <v>20</v>
      </c>
      <c r="E330" s="679">
        <v>3238.25</v>
      </c>
      <c r="F330" s="678">
        <v>64765</v>
      </c>
      <c r="G330" s="660" t="s">
        <v>3348</v>
      </c>
      <c r="H330" s="680" t="s">
        <v>755</v>
      </c>
      <c r="I330" s="684">
        <v>322</v>
      </c>
    </row>
    <row r="331" spans="1:9" ht="31.5">
      <c r="A331" s="661" t="s">
        <v>418</v>
      </c>
      <c r="B331" s="658" t="s">
        <v>3349</v>
      </c>
      <c r="C331" s="659" t="s">
        <v>1497</v>
      </c>
      <c r="D331" s="678">
        <v>20</v>
      </c>
      <c r="E331" s="679">
        <v>50</v>
      </c>
      <c r="F331" s="678">
        <v>1000</v>
      </c>
      <c r="G331" s="660" t="s">
        <v>3350</v>
      </c>
      <c r="H331" s="680" t="s">
        <v>877</v>
      </c>
      <c r="I331" s="684">
        <v>323</v>
      </c>
    </row>
    <row r="332" spans="1:9" ht="31.5">
      <c r="A332" s="661" t="s">
        <v>419</v>
      </c>
      <c r="B332" s="658" t="s">
        <v>2333</v>
      </c>
      <c r="C332" s="659" t="s">
        <v>1497</v>
      </c>
      <c r="D332" s="678">
        <v>20</v>
      </c>
      <c r="E332" s="679">
        <v>70</v>
      </c>
      <c r="F332" s="678">
        <v>1400</v>
      </c>
      <c r="G332" s="660" t="s">
        <v>2334</v>
      </c>
      <c r="H332" s="680" t="s">
        <v>878</v>
      </c>
      <c r="I332" s="684">
        <v>324</v>
      </c>
    </row>
    <row r="333" spans="1:9" ht="47.25">
      <c r="A333" s="661" t="s">
        <v>420</v>
      </c>
      <c r="B333" s="658" t="s">
        <v>3351</v>
      </c>
      <c r="C333" s="659" t="s">
        <v>1818</v>
      </c>
      <c r="D333" s="678">
        <v>5</v>
      </c>
      <c r="E333" s="679">
        <v>4400</v>
      </c>
      <c r="F333" s="678">
        <v>22000</v>
      </c>
      <c r="G333" s="660" t="s">
        <v>3352</v>
      </c>
      <c r="H333" s="680" t="s">
        <v>756</v>
      </c>
      <c r="I333" s="684">
        <v>325</v>
      </c>
    </row>
    <row r="334" spans="1:9" ht="31.5">
      <c r="A334" s="661" t="s">
        <v>421</v>
      </c>
      <c r="B334" s="658" t="s">
        <v>3353</v>
      </c>
      <c r="C334" s="659" t="s">
        <v>1689</v>
      </c>
      <c r="D334" s="678">
        <v>5</v>
      </c>
      <c r="E334" s="679">
        <v>8133</v>
      </c>
      <c r="F334" s="678">
        <v>40665</v>
      </c>
      <c r="G334" s="660" t="s">
        <v>3354</v>
      </c>
      <c r="H334" s="680" t="s">
        <v>879</v>
      </c>
      <c r="I334" s="684">
        <v>326</v>
      </c>
    </row>
    <row r="335" spans="1:9" ht="47.25">
      <c r="A335" s="661" t="s">
        <v>422</v>
      </c>
      <c r="B335" s="658" t="s">
        <v>3355</v>
      </c>
      <c r="C335" s="659" t="s">
        <v>1497</v>
      </c>
      <c r="D335" s="678">
        <v>9</v>
      </c>
      <c r="E335" s="679">
        <v>59</v>
      </c>
      <c r="F335" s="678">
        <v>531</v>
      </c>
      <c r="G335" s="660" t="s">
        <v>3356</v>
      </c>
      <c r="H335" s="680" t="s">
        <v>880</v>
      </c>
      <c r="I335" s="684">
        <v>327</v>
      </c>
    </row>
    <row r="336" spans="1:9" ht="31.5">
      <c r="A336" s="661" t="s">
        <v>423</v>
      </c>
      <c r="B336" s="658" t="s">
        <v>3357</v>
      </c>
      <c r="C336" s="659" t="s">
        <v>17</v>
      </c>
      <c r="D336" s="678">
        <v>100</v>
      </c>
      <c r="E336" s="679">
        <v>8</v>
      </c>
      <c r="F336" s="678">
        <v>800</v>
      </c>
      <c r="G336" s="660" t="s">
        <v>3358</v>
      </c>
      <c r="H336" s="680" t="s">
        <v>757</v>
      </c>
      <c r="I336" s="684">
        <v>328</v>
      </c>
    </row>
    <row r="337" spans="1:9" ht="31.5">
      <c r="A337" s="661" t="s">
        <v>424</v>
      </c>
      <c r="B337" s="658" t="s">
        <v>3359</v>
      </c>
      <c r="C337" s="659" t="s">
        <v>2679</v>
      </c>
      <c r="D337" s="678">
        <v>5</v>
      </c>
      <c r="E337" s="679">
        <v>22000</v>
      </c>
      <c r="F337" s="678">
        <v>110000</v>
      </c>
      <c r="G337" s="660" t="s">
        <v>3360</v>
      </c>
      <c r="H337" s="680" t="s">
        <v>881</v>
      </c>
      <c r="I337" s="684">
        <v>329</v>
      </c>
    </row>
    <row r="338" spans="1:9" ht="31.5">
      <c r="A338" s="661" t="s">
        <v>425</v>
      </c>
      <c r="B338" s="658" t="s">
        <v>3361</v>
      </c>
      <c r="C338" s="659" t="s">
        <v>2679</v>
      </c>
      <c r="D338" s="678">
        <v>5</v>
      </c>
      <c r="E338" s="679">
        <v>25000</v>
      </c>
      <c r="F338" s="678">
        <v>125000</v>
      </c>
      <c r="G338" s="660" t="s">
        <v>3362</v>
      </c>
      <c r="H338" s="680" t="s">
        <v>758</v>
      </c>
      <c r="I338" s="684">
        <v>330</v>
      </c>
    </row>
    <row r="339" spans="1:9" ht="28.5">
      <c r="A339" s="661" t="s">
        <v>426</v>
      </c>
      <c r="B339" s="658" t="s">
        <v>3363</v>
      </c>
      <c r="C339" s="659" t="s">
        <v>1875</v>
      </c>
      <c r="D339" s="678">
        <v>10</v>
      </c>
      <c r="E339" s="679">
        <v>42</v>
      </c>
      <c r="F339" s="678">
        <v>420</v>
      </c>
      <c r="G339" s="660" t="s">
        <v>3364</v>
      </c>
      <c r="H339" s="680" t="s">
        <v>882</v>
      </c>
      <c r="I339" s="684">
        <v>331</v>
      </c>
    </row>
    <row r="340" spans="1:9" ht="28.5">
      <c r="A340" s="661" t="s">
        <v>427</v>
      </c>
      <c r="B340" s="658" t="s">
        <v>3365</v>
      </c>
      <c r="C340" s="659" t="s">
        <v>1875</v>
      </c>
      <c r="D340" s="678">
        <v>10</v>
      </c>
      <c r="E340" s="679">
        <v>37</v>
      </c>
      <c r="F340" s="678">
        <v>370</v>
      </c>
      <c r="G340" s="660" t="s">
        <v>3366</v>
      </c>
      <c r="H340" s="680" t="s">
        <v>883</v>
      </c>
      <c r="I340" s="684">
        <v>332</v>
      </c>
    </row>
    <row r="341" spans="1:9" ht="31.5">
      <c r="A341" s="661" t="s">
        <v>428</v>
      </c>
      <c r="B341" s="658" t="s">
        <v>3367</v>
      </c>
      <c r="C341" s="659" t="s">
        <v>17</v>
      </c>
      <c r="D341" s="678">
        <v>10</v>
      </c>
      <c r="E341" s="679">
        <v>311</v>
      </c>
      <c r="F341" s="678">
        <v>3110</v>
      </c>
      <c r="G341" s="660" t="s">
        <v>3368</v>
      </c>
      <c r="H341" s="680">
        <v>151070000001</v>
      </c>
      <c r="I341" s="684">
        <v>333</v>
      </c>
    </row>
    <row r="342" spans="1:9" ht="42.75">
      <c r="A342" s="661" t="s">
        <v>429</v>
      </c>
      <c r="B342" s="658" t="s">
        <v>2458</v>
      </c>
      <c r="C342" s="659" t="s">
        <v>2335</v>
      </c>
      <c r="D342" s="678">
        <v>10</v>
      </c>
      <c r="E342" s="679">
        <v>772</v>
      </c>
      <c r="F342" s="678">
        <v>7720</v>
      </c>
      <c r="G342" s="660" t="s">
        <v>3369</v>
      </c>
      <c r="H342" s="680" t="s">
        <v>884</v>
      </c>
      <c r="I342" s="684">
        <v>334</v>
      </c>
    </row>
    <row r="343" spans="1:9" ht="31.5">
      <c r="A343" s="661" t="s">
        <v>430</v>
      </c>
      <c r="B343" s="658" t="s">
        <v>2954</v>
      </c>
      <c r="C343" s="659" t="s">
        <v>2490</v>
      </c>
      <c r="D343" s="678">
        <v>10</v>
      </c>
      <c r="E343" s="679">
        <v>30000</v>
      </c>
      <c r="F343" s="678">
        <v>300000</v>
      </c>
      <c r="G343" s="660" t="s">
        <v>3370</v>
      </c>
      <c r="H343" s="680" t="s">
        <v>885</v>
      </c>
      <c r="I343" s="684">
        <v>335</v>
      </c>
    </row>
    <row r="344" spans="1:9" ht="31.5">
      <c r="A344" s="661" t="s">
        <v>431</v>
      </c>
      <c r="B344" s="658" t="s">
        <v>3371</v>
      </c>
      <c r="C344" s="659" t="s">
        <v>2490</v>
      </c>
      <c r="D344" s="678">
        <v>10</v>
      </c>
      <c r="E344" s="679">
        <v>7500</v>
      </c>
      <c r="F344" s="678">
        <v>75000</v>
      </c>
      <c r="G344" s="660" t="s">
        <v>3372</v>
      </c>
      <c r="H344" s="680" t="s">
        <v>886</v>
      </c>
      <c r="I344" s="684">
        <v>336</v>
      </c>
    </row>
    <row r="345" spans="1:9" ht="42.75">
      <c r="A345" s="661" t="s">
        <v>432</v>
      </c>
      <c r="B345" s="658" t="s">
        <v>2468</v>
      </c>
      <c r="C345" s="659" t="s">
        <v>0</v>
      </c>
      <c r="D345" s="678">
        <v>5</v>
      </c>
      <c r="E345" s="679">
        <v>49773.54</v>
      </c>
      <c r="F345" s="678">
        <v>248867.7</v>
      </c>
      <c r="G345" s="660" t="s">
        <v>3373</v>
      </c>
      <c r="H345" s="680" t="s">
        <v>759</v>
      </c>
      <c r="I345" s="684">
        <v>337</v>
      </c>
    </row>
    <row r="346" spans="1:9" ht="42.75">
      <c r="A346" s="661" t="s">
        <v>433</v>
      </c>
      <c r="B346" s="658" t="s">
        <v>2475</v>
      </c>
      <c r="C346" s="659" t="s">
        <v>2238</v>
      </c>
      <c r="D346" s="678">
        <v>5</v>
      </c>
      <c r="E346" s="679">
        <v>56325.34</v>
      </c>
      <c r="F346" s="678">
        <v>281626.7</v>
      </c>
      <c r="G346" s="660" t="s">
        <v>3374</v>
      </c>
      <c r="H346" s="680" t="s">
        <v>887</v>
      </c>
      <c r="I346" s="684">
        <v>338</v>
      </c>
    </row>
    <row r="347" spans="1:9" ht="42.75">
      <c r="A347" s="661" t="s">
        <v>434</v>
      </c>
      <c r="B347" s="658" t="s">
        <v>2480</v>
      </c>
      <c r="C347" s="659" t="s">
        <v>2238</v>
      </c>
      <c r="D347" s="678">
        <v>5</v>
      </c>
      <c r="E347" s="679">
        <v>73105.279999999999</v>
      </c>
      <c r="F347" s="678">
        <v>365526.4</v>
      </c>
      <c r="G347" s="660" t="s">
        <v>3375</v>
      </c>
      <c r="H347" s="680" t="s">
        <v>760</v>
      </c>
      <c r="I347" s="684">
        <v>339</v>
      </c>
    </row>
    <row r="348" spans="1:9" ht="42.75">
      <c r="A348" s="661" t="s">
        <v>435</v>
      </c>
      <c r="B348" s="658" t="s">
        <v>2483</v>
      </c>
      <c r="C348" s="659" t="s">
        <v>2238</v>
      </c>
      <c r="D348" s="678">
        <v>5</v>
      </c>
      <c r="E348" s="679">
        <v>41511.47</v>
      </c>
      <c r="F348" s="678">
        <v>207557.35</v>
      </c>
      <c r="G348" s="660" t="s">
        <v>3376</v>
      </c>
      <c r="H348" s="680" t="s">
        <v>761</v>
      </c>
      <c r="I348" s="684">
        <v>340</v>
      </c>
    </row>
    <row r="349" spans="1:9" ht="42.75">
      <c r="A349" s="661" t="s">
        <v>436</v>
      </c>
      <c r="B349" s="658" t="s">
        <v>2486</v>
      </c>
      <c r="C349" s="659" t="s">
        <v>2238</v>
      </c>
      <c r="D349" s="678">
        <v>5</v>
      </c>
      <c r="E349" s="679">
        <v>53238.64</v>
      </c>
      <c r="F349" s="678">
        <v>266193.2</v>
      </c>
      <c r="G349" s="660" t="s">
        <v>3377</v>
      </c>
      <c r="H349" s="680" t="s">
        <v>2883</v>
      </c>
      <c r="I349" s="684">
        <v>341</v>
      </c>
    </row>
    <row r="350" spans="1:9" ht="47.25">
      <c r="A350" s="661" t="s">
        <v>437</v>
      </c>
      <c r="B350" s="658" t="s">
        <v>2938</v>
      </c>
      <c r="C350" s="659" t="s">
        <v>2490</v>
      </c>
      <c r="D350" s="678">
        <v>20</v>
      </c>
      <c r="E350" s="679">
        <v>7250</v>
      </c>
      <c r="F350" s="678">
        <v>145000</v>
      </c>
      <c r="G350" s="660" t="s">
        <v>3378</v>
      </c>
      <c r="H350" s="680" t="s">
        <v>763</v>
      </c>
      <c r="I350" s="684">
        <v>342</v>
      </c>
    </row>
    <row r="351" spans="1:9" ht="47.25">
      <c r="A351" s="661" t="s">
        <v>438</v>
      </c>
      <c r="B351" s="658" t="s">
        <v>3379</v>
      </c>
      <c r="C351" s="659" t="s">
        <v>2490</v>
      </c>
      <c r="D351" s="678">
        <v>20</v>
      </c>
      <c r="E351" s="679">
        <v>10800</v>
      </c>
      <c r="F351" s="678">
        <v>216000</v>
      </c>
      <c r="G351" s="660" t="s">
        <v>3380</v>
      </c>
      <c r="H351" s="680" t="s">
        <v>764</v>
      </c>
      <c r="I351" s="684">
        <v>343</v>
      </c>
    </row>
    <row r="352" spans="1:9" ht="42.75">
      <c r="A352" s="661" t="s">
        <v>439</v>
      </c>
      <c r="B352" s="658" t="s">
        <v>2489</v>
      </c>
      <c r="C352" s="659" t="s">
        <v>2490</v>
      </c>
      <c r="D352" s="678">
        <v>10</v>
      </c>
      <c r="E352" s="679">
        <v>3048</v>
      </c>
      <c r="F352" s="678">
        <v>30480</v>
      </c>
      <c r="G352" s="660" t="s">
        <v>3381</v>
      </c>
      <c r="H352" s="680" t="s">
        <v>765</v>
      </c>
      <c r="I352" s="684">
        <v>344</v>
      </c>
    </row>
    <row r="353" spans="1:9" ht="42.75">
      <c r="A353" s="661" t="s">
        <v>440</v>
      </c>
      <c r="B353" s="658" t="s">
        <v>2497</v>
      </c>
      <c r="C353" s="659" t="s">
        <v>2490</v>
      </c>
      <c r="D353" s="678">
        <v>10</v>
      </c>
      <c r="E353" s="679">
        <v>744</v>
      </c>
      <c r="F353" s="678">
        <v>7440</v>
      </c>
      <c r="G353" s="660" t="s">
        <v>3382</v>
      </c>
      <c r="H353" s="680" t="s">
        <v>888</v>
      </c>
      <c r="I353" s="684">
        <v>345</v>
      </c>
    </row>
    <row r="354" spans="1:9" ht="42.75">
      <c r="A354" s="661" t="s">
        <v>441</v>
      </c>
      <c r="B354" s="658" t="s">
        <v>2506</v>
      </c>
      <c r="C354" s="659" t="s">
        <v>2490</v>
      </c>
      <c r="D354" s="678">
        <v>10</v>
      </c>
      <c r="E354" s="679">
        <v>4096</v>
      </c>
      <c r="F354" s="678">
        <v>40960</v>
      </c>
      <c r="G354" s="660" t="s">
        <v>3383</v>
      </c>
      <c r="H354" s="680" t="s">
        <v>766</v>
      </c>
      <c r="I354" s="684">
        <v>346</v>
      </c>
    </row>
    <row r="355" spans="1:9" ht="42.75">
      <c r="A355" s="661" t="s">
        <v>442</v>
      </c>
      <c r="B355" s="658" t="s">
        <v>2509</v>
      </c>
      <c r="C355" s="659" t="s">
        <v>2490</v>
      </c>
      <c r="D355" s="678">
        <v>10</v>
      </c>
      <c r="E355" s="679">
        <v>1282</v>
      </c>
      <c r="F355" s="678">
        <v>12820</v>
      </c>
      <c r="G355" s="660" t="s">
        <v>3384</v>
      </c>
      <c r="H355" s="680" t="s">
        <v>2877</v>
      </c>
      <c r="I355" s="684">
        <v>347</v>
      </c>
    </row>
    <row r="356" spans="1:9" ht="31.5">
      <c r="A356" s="661" t="s">
        <v>443</v>
      </c>
      <c r="B356" s="658" t="s">
        <v>3385</v>
      </c>
      <c r="C356" s="659" t="s">
        <v>2238</v>
      </c>
      <c r="D356" s="678">
        <v>10</v>
      </c>
      <c r="E356" s="679">
        <v>252</v>
      </c>
      <c r="F356" s="678">
        <v>2520</v>
      </c>
      <c r="G356" s="660" t="s">
        <v>3386</v>
      </c>
      <c r="H356" s="680" t="s">
        <v>767</v>
      </c>
      <c r="I356" s="684">
        <v>348</v>
      </c>
    </row>
    <row r="357" spans="1:9" ht="31.5">
      <c r="A357" s="661" t="s">
        <v>444</v>
      </c>
      <c r="B357" s="658" t="s">
        <v>3387</v>
      </c>
      <c r="C357" s="659" t="s">
        <v>2238</v>
      </c>
      <c r="D357" s="678">
        <v>10</v>
      </c>
      <c r="E357" s="679">
        <v>121.5</v>
      </c>
      <c r="F357" s="678">
        <v>1215</v>
      </c>
      <c r="G357" s="660" t="s">
        <v>3388</v>
      </c>
      <c r="H357" s="680" t="s">
        <v>889</v>
      </c>
      <c r="I357" s="684">
        <v>349</v>
      </c>
    </row>
    <row r="358" spans="1:9" ht="42.75">
      <c r="A358" s="661" t="s">
        <v>445</v>
      </c>
      <c r="B358" s="658" t="s">
        <v>2512</v>
      </c>
      <c r="C358" s="659" t="s">
        <v>2238</v>
      </c>
      <c r="D358" s="678">
        <v>10</v>
      </c>
      <c r="E358" s="679">
        <v>21860.720000000001</v>
      </c>
      <c r="F358" s="678">
        <v>218607.2</v>
      </c>
      <c r="G358" s="660" t="s">
        <v>3389</v>
      </c>
      <c r="H358" s="680" t="s">
        <v>890</v>
      </c>
      <c r="I358" s="684">
        <v>350</v>
      </c>
    </row>
    <row r="359" spans="1:9" ht="42.75">
      <c r="A359" s="661" t="s">
        <v>446</v>
      </c>
      <c r="B359" s="658" t="s">
        <v>2515</v>
      </c>
      <c r="C359" s="659" t="s">
        <v>2238</v>
      </c>
      <c r="D359" s="678">
        <v>10</v>
      </c>
      <c r="E359" s="679">
        <v>31361.439999999999</v>
      </c>
      <c r="F359" s="678">
        <v>313614.40000000002</v>
      </c>
      <c r="G359" s="660" t="s">
        <v>3390</v>
      </c>
      <c r="H359" s="680" t="s">
        <v>2878</v>
      </c>
      <c r="I359" s="684">
        <v>351</v>
      </c>
    </row>
    <row r="360" spans="1:9" ht="47.25">
      <c r="A360" s="661" t="s">
        <v>447</v>
      </c>
      <c r="B360" s="658" t="s">
        <v>2518</v>
      </c>
      <c r="C360" s="659" t="s">
        <v>2238</v>
      </c>
      <c r="D360" s="678">
        <v>10</v>
      </c>
      <c r="E360" s="679">
        <v>10423.6</v>
      </c>
      <c r="F360" s="678">
        <v>104236</v>
      </c>
      <c r="G360" s="660" t="s">
        <v>3391</v>
      </c>
      <c r="H360" s="680" t="s">
        <v>891</v>
      </c>
      <c r="I360" s="684">
        <v>352</v>
      </c>
    </row>
    <row r="361" spans="1:9" ht="47.25">
      <c r="A361" s="661" t="s">
        <v>448</v>
      </c>
      <c r="B361" s="658" t="s">
        <v>2527</v>
      </c>
      <c r="C361" s="659" t="s">
        <v>2238</v>
      </c>
      <c r="D361" s="678">
        <v>10</v>
      </c>
      <c r="E361" s="679">
        <v>19767.759999999998</v>
      </c>
      <c r="F361" s="678">
        <v>197677.6</v>
      </c>
      <c r="G361" s="660" t="s">
        <v>3392</v>
      </c>
      <c r="H361" s="680" t="s">
        <v>892</v>
      </c>
      <c r="I361" s="684">
        <v>353</v>
      </c>
    </row>
    <row r="362" spans="1:9" s="7" customFormat="1" ht="47.25">
      <c r="A362" s="661" t="s">
        <v>449</v>
      </c>
      <c r="B362" s="658" t="s">
        <v>2530</v>
      </c>
      <c r="C362" s="659" t="s">
        <v>2238</v>
      </c>
      <c r="D362" s="678">
        <v>10</v>
      </c>
      <c r="E362" s="679">
        <v>15606.56</v>
      </c>
      <c r="F362" s="678">
        <v>156065.60000000001</v>
      </c>
      <c r="G362" s="660" t="s">
        <v>3393</v>
      </c>
      <c r="H362" s="680" t="s">
        <v>893</v>
      </c>
      <c r="I362" s="684">
        <v>354</v>
      </c>
    </row>
    <row r="363" spans="1:9" s="7" customFormat="1" ht="47.25">
      <c r="A363" s="661" t="s">
        <v>450</v>
      </c>
      <c r="B363" s="658" t="s">
        <v>2537</v>
      </c>
      <c r="C363" s="659" t="s">
        <v>2238</v>
      </c>
      <c r="D363" s="678">
        <v>10</v>
      </c>
      <c r="E363" s="679">
        <v>29054.240000000002</v>
      </c>
      <c r="F363" s="678">
        <v>290542.40000000002</v>
      </c>
      <c r="G363" s="660" t="s">
        <v>3394</v>
      </c>
      <c r="H363" s="680" t="s">
        <v>894</v>
      </c>
      <c r="I363" s="684">
        <v>355</v>
      </c>
    </row>
    <row r="364" spans="1:9" s="7" customFormat="1" ht="63">
      <c r="A364" s="661" t="s">
        <v>451</v>
      </c>
      <c r="B364" s="658" t="s">
        <v>2897</v>
      </c>
      <c r="C364" s="659" t="s">
        <v>0</v>
      </c>
      <c r="D364" s="678">
        <v>10</v>
      </c>
      <c r="E364" s="679">
        <v>6695</v>
      </c>
      <c r="F364" s="678">
        <v>66950</v>
      </c>
      <c r="G364" s="660" t="s">
        <v>3395</v>
      </c>
      <c r="H364" s="680" t="s">
        <v>895</v>
      </c>
      <c r="I364" s="684">
        <v>356</v>
      </c>
    </row>
    <row r="365" spans="1:9" s="9" customFormat="1" ht="63">
      <c r="A365" s="661" t="s">
        <v>452</v>
      </c>
      <c r="B365" s="658" t="s">
        <v>2972</v>
      </c>
      <c r="C365" s="659" t="s">
        <v>0</v>
      </c>
      <c r="D365" s="678">
        <v>10</v>
      </c>
      <c r="E365" s="679">
        <v>6723</v>
      </c>
      <c r="F365" s="678">
        <v>67230</v>
      </c>
      <c r="G365" s="660" t="s">
        <v>3396</v>
      </c>
      <c r="H365" s="680" t="s">
        <v>768</v>
      </c>
      <c r="I365" s="684">
        <v>357</v>
      </c>
    </row>
    <row r="366" spans="1:9" s="7" customFormat="1" ht="47.25">
      <c r="A366" s="661" t="s">
        <v>455</v>
      </c>
      <c r="B366" s="658" t="s">
        <v>2547</v>
      </c>
      <c r="C366" s="659" t="s">
        <v>0</v>
      </c>
      <c r="D366" s="678">
        <v>10</v>
      </c>
      <c r="E366" s="679">
        <v>5510.5</v>
      </c>
      <c r="F366" s="678">
        <v>55105</v>
      </c>
      <c r="G366" s="660" t="s">
        <v>3397</v>
      </c>
      <c r="H366" s="680" t="s">
        <v>769</v>
      </c>
      <c r="I366" s="684">
        <v>358</v>
      </c>
    </row>
    <row r="367" spans="1:9" s="7" customFormat="1" ht="47.25">
      <c r="A367" s="661" t="s">
        <v>456</v>
      </c>
      <c r="B367" s="658" t="s">
        <v>2550</v>
      </c>
      <c r="C367" s="659" t="s">
        <v>0</v>
      </c>
      <c r="D367" s="678">
        <v>10</v>
      </c>
      <c r="E367" s="679">
        <v>5875.12</v>
      </c>
      <c r="F367" s="678">
        <v>58751.199999999997</v>
      </c>
      <c r="G367" s="660" t="s">
        <v>3398</v>
      </c>
      <c r="H367" s="680" t="s">
        <v>770</v>
      </c>
      <c r="I367" s="684">
        <v>359</v>
      </c>
    </row>
    <row r="368" spans="1:9" s="9" customFormat="1" ht="63">
      <c r="A368" s="661" t="s">
        <v>457</v>
      </c>
      <c r="B368" s="658" t="s">
        <v>2553</v>
      </c>
      <c r="C368" s="659" t="s">
        <v>0</v>
      </c>
      <c r="D368" s="678">
        <v>10</v>
      </c>
      <c r="E368" s="679">
        <v>6237.68</v>
      </c>
      <c r="F368" s="678">
        <v>62376.800000000003</v>
      </c>
      <c r="G368" s="660" t="s">
        <v>3399</v>
      </c>
      <c r="H368" s="680" t="s">
        <v>771</v>
      </c>
      <c r="I368" s="684">
        <v>360</v>
      </c>
    </row>
    <row r="369" spans="1:9" s="7" customFormat="1" ht="47.25">
      <c r="A369" s="661" t="s">
        <v>466</v>
      </c>
      <c r="B369" s="658" t="s">
        <v>2556</v>
      </c>
      <c r="C369" s="659" t="s">
        <v>2238</v>
      </c>
      <c r="D369" s="678">
        <v>10</v>
      </c>
      <c r="E369" s="679">
        <v>16109.2</v>
      </c>
      <c r="F369" s="678">
        <v>161092</v>
      </c>
      <c r="G369" s="660" t="s">
        <v>3400</v>
      </c>
      <c r="H369" s="680" t="s">
        <v>2932</v>
      </c>
      <c r="I369" s="684">
        <v>361</v>
      </c>
    </row>
    <row r="370" spans="1:9" s="7" customFormat="1" ht="63">
      <c r="A370" s="661" t="s">
        <v>467</v>
      </c>
      <c r="B370" s="658" t="s">
        <v>2561</v>
      </c>
      <c r="C370" s="659" t="s">
        <v>2238</v>
      </c>
      <c r="D370" s="678">
        <v>10</v>
      </c>
      <c r="E370" s="679">
        <v>22371.599999999999</v>
      </c>
      <c r="F370" s="678">
        <v>223716</v>
      </c>
      <c r="G370" s="660" t="s">
        <v>3401</v>
      </c>
      <c r="H370" s="680" t="s">
        <v>772</v>
      </c>
      <c r="I370" s="684">
        <v>362</v>
      </c>
    </row>
    <row r="371" spans="1:9" s="7" customFormat="1" ht="42.75">
      <c r="A371" s="661" t="s">
        <v>468</v>
      </c>
      <c r="B371" s="658" t="s">
        <v>2570</v>
      </c>
      <c r="C371" s="659" t="s">
        <v>17</v>
      </c>
      <c r="D371" s="678">
        <v>5</v>
      </c>
      <c r="E371" s="679">
        <v>6395.71</v>
      </c>
      <c r="F371" s="678">
        <v>31978.55</v>
      </c>
      <c r="G371" s="660" t="s">
        <v>3402</v>
      </c>
      <c r="H371" s="680" t="s">
        <v>773</v>
      </c>
      <c r="I371" s="684">
        <v>363</v>
      </c>
    </row>
    <row r="372" spans="1:9" s="7" customFormat="1" ht="42.75">
      <c r="A372" s="661" t="s">
        <v>469</v>
      </c>
      <c r="B372" s="658" t="s">
        <v>2577</v>
      </c>
      <c r="C372" s="659" t="s">
        <v>17</v>
      </c>
      <c r="D372" s="678">
        <v>5</v>
      </c>
      <c r="E372" s="679">
        <v>6833.51</v>
      </c>
      <c r="F372" s="678">
        <v>34167.550000000003</v>
      </c>
      <c r="G372" s="660" t="s">
        <v>3403</v>
      </c>
      <c r="H372" s="680" t="s">
        <v>774</v>
      </c>
      <c r="I372" s="684">
        <v>364</v>
      </c>
    </row>
    <row r="373" spans="1:9" s="7" customFormat="1" ht="42.75">
      <c r="A373" s="661" t="s">
        <v>470</v>
      </c>
      <c r="B373" s="658" t="s">
        <v>2584</v>
      </c>
      <c r="C373" s="659" t="s">
        <v>17</v>
      </c>
      <c r="D373" s="678">
        <v>5</v>
      </c>
      <c r="E373" s="679">
        <v>7980.69</v>
      </c>
      <c r="F373" s="678">
        <v>39903.449999999997</v>
      </c>
      <c r="G373" s="660" t="s">
        <v>3404</v>
      </c>
      <c r="H373" s="680" t="s">
        <v>775</v>
      </c>
      <c r="I373" s="684">
        <v>365</v>
      </c>
    </row>
    <row r="374" spans="1:9" s="7" customFormat="1" ht="42.75">
      <c r="A374" s="661" t="s">
        <v>471</v>
      </c>
      <c r="B374" s="658" t="s">
        <v>2587</v>
      </c>
      <c r="C374" s="659" t="s">
        <v>17</v>
      </c>
      <c r="D374" s="678">
        <v>5</v>
      </c>
      <c r="E374" s="679">
        <v>8607.75</v>
      </c>
      <c r="F374" s="678">
        <v>43038.75</v>
      </c>
      <c r="G374" s="660" t="s">
        <v>3405</v>
      </c>
      <c r="H374" s="680" t="s">
        <v>896</v>
      </c>
      <c r="I374" s="684">
        <v>366</v>
      </c>
    </row>
    <row r="375" spans="1:9" s="7" customFormat="1" ht="42.75">
      <c r="A375" s="661" t="s">
        <v>472</v>
      </c>
      <c r="B375" s="658" t="s">
        <v>2590</v>
      </c>
      <c r="C375" s="659" t="s">
        <v>17</v>
      </c>
      <c r="D375" s="678">
        <v>5</v>
      </c>
      <c r="E375" s="679">
        <v>9386.41</v>
      </c>
      <c r="F375" s="678">
        <v>46932.05</v>
      </c>
      <c r="G375" s="660" t="s">
        <v>3406</v>
      </c>
      <c r="H375" s="680" t="s">
        <v>897</v>
      </c>
      <c r="I375" s="684">
        <v>367</v>
      </c>
    </row>
    <row r="376" spans="1:9" s="7" customFormat="1" ht="42.75">
      <c r="A376" s="661" t="s">
        <v>473</v>
      </c>
      <c r="B376" s="658" t="s">
        <v>2593</v>
      </c>
      <c r="C376" s="659" t="s">
        <v>17</v>
      </c>
      <c r="D376" s="678">
        <v>5</v>
      </c>
      <c r="E376" s="679">
        <v>10202.719999999999</v>
      </c>
      <c r="F376" s="678">
        <v>51013.599999999999</v>
      </c>
      <c r="G376" s="660" t="s">
        <v>3407</v>
      </c>
      <c r="H376" s="680" t="s">
        <v>898</v>
      </c>
      <c r="I376" s="684">
        <v>368</v>
      </c>
    </row>
    <row r="377" spans="1:9" s="7" customFormat="1" ht="42.75">
      <c r="A377" s="661" t="s">
        <v>474</v>
      </c>
      <c r="B377" s="658" t="s">
        <v>2596</v>
      </c>
      <c r="C377" s="659" t="s">
        <v>17</v>
      </c>
      <c r="D377" s="678">
        <v>5</v>
      </c>
      <c r="E377" s="679">
        <v>14892.22</v>
      </c>
      <c r="F377" s="678">
        <v>74461.100000000006</v>
      </c>
      <c r="G377" s="660" t="s">
        <v>3408</v>
      </c>
      <c r="H377" s="680" t="s">
        <v>899</v>
      </c>
      <c r="I377" s="684">
        <v>369</v>
      </c>
    </row>
    <row r="378" spans="1:9" s="7" customFormat="1" ht="42.75">
      <c r="A378" s="661" t="s">
        <v>475</v>
      </c>
      <c r="B378" s="658" t="s">
        <v>2599</v>
      </c>
      <c r="C378" s="659" t="s">
        <v>17</v>
      </c>
      <c r="D378" s="678">
        <v>5</v>
      </c>
      <c r="E378" s="679">
        <v>16500.64</v>
      </c>
      <c r="F378" s="678">
        <v>82503.199999999997</v>
      </c>
      <c r="G378" s="660" t="s">
        <v>3409</v>
      </c>
      <c r="H378" s="680" t="s">
        <v>900</v>
      </c>
      <c r="I378" s="684">
        <v>370</v>
      </c>
    </row>
    <row r="379" spans="1:9" s="7" customFormat="1" ht="42.75">
      <c r="A379" s="661" t="s">
        <v>476</v>
      </c>
      <c r="B379" s="658" t="s">
        <v>2602</v>
      </c>
      <c r="C379" s="659" t="s">
        <v>17</v>
      </c>
      <c r="D379" s="678">
        <v>5</v>
      </c>
      <c r="E379" s="679">
        <v>16854.54</v>
      </c>
      <c r="F379" s="678">
        <v>84272.7</v>
      </c>
      <c r="G379" s="660" t="s">
        <v>3410</v>
      </c>
      <c r="H379" s="680" t="s">
        <v>901</v>
      </c>
      <c r="I379" s="684">
        <v>371</v>
      </c>
    </row>
    <row r="380" spans="1:9" s="7" customFormat="1" ht="42.75">
      <c r="A380" s="661" t="s">
        <v>477</v>
      </c>
      <c r="B380" s="658" t="s">
        <v>2605</v>
      </c>
      <c r="C380" s="659" t="s">
        <v>17</v>
      </c>
      <c r="D380" s="678">
        <v>5</v>
      </c>
      <c r="E380" s="679">
        <v>18765.77</v>
      </c>
      <c r="F380" s="678">
        <v>93828.85</v>
      </c>
      <c r="G380" s="660" t="s">
        <v>3411</v>
      </c>
      <c r="H380" s="680" t="s">
        <v>776</v>
      </c>
      <c r="I380" s="684">
        <v>372</v>
      </c>
    </row>
    <row r="381" spans="1:9" s="7" customFormat="1" ht="42.75">
      <c r="A381" s="661" t="s">
        <v>478</v>
      </c>
      <c r="B381" s="658" t="s">
        <v>2608</v>
      </c>
      <c r="C381" s="659" t="s">
        <v>3</v>
      </c>
      <c r="D381" s="678">
        <v>60</v>
      </c>
      <c r="E381" s="679">
        <v>15.74</v>
      </c>
      <c r="F381" s="678">
        <v>944.4</v>
      </c>
      <c r="G381" s="660" t="s">
        <v>3412</v>
      </c>
      <c r="H381" s="680" t="s">
        <v>2884</v>
      </c>
      <c r="I381" s="684">
        <v>373</v>
      </c>
    </row>
    <row r="382" spans="1:9" s="7" customFormat="1" ht="142.5">
      <c r="A382" s="661" t="s">
        <v>479</v>
      </c>
      <c r="B382" s="658" t="s">
        <v>2914</v>
      </c>
      <c r="C382" s="659" t="s">
        <v>2490</v>
      </c>
      <c r="D382" s="678">
        <v>10</v>
      </c>
      <c r="E382" s="679">
        <v>15000</v>
      </c>
      <c r="F382" s="678">
        <v>150000</v>
      </c>
      <c r="G382" s="660" t="s">
        <v>3413</v>
      </c>
      <c r="H382" s="680" t="s">
        <v>902</v>
      </c>
      <c r="I382" s="684">
        <v>374</v>
      </c>
    </row>
    <row r="383" spans="1:9" s="7" customFormat="1" ht="71.25">
      <c r="A383" s="661" t="s">
        <v>480</v>
      </c>
      <c r="B383" s="658" t="s">
        <v>2617</v>
      </c>
      <c r="C383" s="659" t="s">
        <v>2618</v>
      </c>
      <c r="D383" s="678">
        <v>10</v>
      </c>
      <c r="E383" s="679">
        <v>721</v>
      </c>
      <c r="F383" s="678">
        <v>7210</v>
      </c>
      <c r="G383" s="660" t="s">
        <v>3414</v>
      </c>
      <c r="H383" s="680" t="s">
        <v>903</v>
      </c>
      <c r="I383" s="684">
        <v>375</v>
      </c>
    </row>
    <row r="384" spans="1:9" s="7" customFormat="1" ht="71.25">
      <c r="A384" s="661" t="s">
        <v>481</v>
      </c>
      <c r="B384" s="658" t="s">
        <v>2626</v>
      </c>
      <c r="C384" s="659" t="s">
        <v>2618</v>
      </c>
      <c r="D384" s="678">
        <v>10</v>
      </c>
      <c r="E384" s="679">
        <v>761</v>
      </c>
      <c r="F384" s="678">
        <v>7610</v>
      </c>
      <c r="G384" s="660" t="s">
        <v>3415</v>
      </c>
      <c r="H384" s="680" t="s">
        <v>904</v>
      </c>
      <c r="I384" s="684">
        <v>376</v>
      </c>
    </row>
    <row r="385" spans="1:9" s="7" customFormat="1" ht="42.75">
      <c r="A385" s="661" t="s">
        <v>482</v>
      </c>
      <c r="B385" s="658" t="s">
        <v>2631</v>
      </c>
      <c r="C385" s="659" t="s">
        <v>17</v>
      </c>
      <c r="D385" s="678">
        <v>10</v>
      </c>
      <c r="E385" s="679">
        <v>3662.23</v>
      </c>
      <c r="F385" s="678">
        <v>36622.300000000003</v>
      </c>
      <c r="G385" s="660" t="s">
        <v>3416</v>
      </c>
      <c r="H385" s="680" t="s">
        <v>777</v>
      </c>
      <c r="I385" s="684">
        <v>377</v>
      </c>
    </row>
    <row r="386" spans="1:9" s="7" customFormat="1" ht="42.75">
      <c r="A386" s="661" t="s">
        <v>483</v>
      </c>
      <c r="B386" s="658" t="s">
        <v>2642</v>
      </c>
      <c r="C386" s="659" t="s">
        <v>17</v>
      </c>
      <c r="D386" s="678">
        <v>10</v>
      </c>
      <c r="E386" s="679">
        <v>2578.1999999999998</v>
      </c>
      <c r="F386" s="678">
        <v>25782</v>
      </c>
      <c r="G386" s="660" t="s">
        <v>3417</v>
      </c>
      <c r="H386" s="680" t="s">
        <v>778</v>
      </c>
      <c r="I386" s="684">
        <v>378</v>
      </c>
    </row>
    <row r="387" spans="1:9" s="7" customFormat="1" ht="47.25">
      <c r="A387" s="661" t="s">
        <v>484</v>
      </c>
      <c r="B387" s="658" t="s">
        <v>3418</v>
      </c>
      <c r="C387" s="659" t="s">
        <v>3</v>
      </c>
      <c r="D387" s="678">
        <v>10</v>
      </c>
      <c r="E387" s="679">
        <v>353</v>
      </c>
      <c r="F387" s="678">
        <v>3530</v>
      </c>
      <c r="G387" s="660" t="s">
        <v>3419</v>
      </c>
      <c r="H387" s="680" t="s">
        <v>905</v>
      </c>
      <c r="I387" s="684">
        <v>379</v>
      </c>
    </row>
    <row r="388" spans="1:9" s="7" customFormat="1" ht="71.25">
      <c r="A388" s="661" t="s">
        <v>485</v>
      </c>
      <c r="B388" s="658" t="s">
        <v>3420</v>
      </c>
      <c r="C388" s="659" t="s">
        <v>2490</v>
      </c>
      <c r="D388" s="678">
        <v>10</v>
      </c>
      <c r="E388" s="679">
        <v>5000</v>
      </c>
      <c r="F388" s="678">
        <v>50000</v>
      </c>
      <c r="G388" s="660" t="s">
        <v>3421</v>
      </c>
      <c r="H388" s="680" t="s">
        <v>906</v>
      </c>
      <c r="I388" s="684">
        <v>380</v>
      </c>
    </row>
    <row r="389" spans="1:9" s="7" customFormat="1" ht="31.5">
      <c r="A389" s="661" t="s">
        <v>486</v>
      </c>
      <c r="B389" s="658" t="s">
        <v>2860</v>
      </c>
      <c r="C389" s="659" t="s">
        <v>927</v>
      </c>
      <c r="D389" s="678">
        <v>20</v>
      </c>
      <c r="E389" s="679">
        <v>250</v>
      </c>
      <c r="F389" s="678">
        <v>5000</v>
      </c>
      <c r="G389" s="660" t="s">
        <v>3422</v>
      </c>
      <c r="H389" s="680" t="s">
        <v>907</v>
      </c>
      <c r="I389" s="684">
        <v>381</v>
      </c>
    </row>
    <row r="390" spans="1:9" s="7" customFormat="1" ht="31.5">
      <c r="A390" s="661" t="s">
        <v>487</v>
      </c>
      <c r="B390" s="658" t="s">
        <v>3423</v>
      </c>
      <c r="C390" s="659" t="s">
        <v>927</v>
      </c>
      <c r="D390" s="678">
        <v>10</v>
      </c>
      <c r="E390" s="679">
        <v>300</v>
      </c>
      <c r="F390" s="678">
        <v>3000</v>
      </c>
      <c r="G390" s="660" t="s">
        <v>3424</v>
      </c>
      <c r="H390" s="680" t="s">
        <v>779</v>
      </c>
      <c r="I390" s="684">
        <v>382</v>
      </c>
    </row>
    <row r="391" spans="1:9" s="7" customFormat="1" ht="31.5">
      <c r="A391" s="661" t="s">
        <v>488</v>
      </c>
      <c r="B391" s="658" t="s">
        <v>3425</v>
      </c>
      <c r="C391" s="659" t="s">
        <v>2490</v>
      </c>
      <c r="D391" s="678">
        <v>5</v>
      </c>
      <c r="E391" s="679">
        <v>50000</v>
      </c>
      <c r="F391" s="678">
        <v>250000</v>
      </c>
      <c r="G391" s="660" t="s">
        <v>3426</v>
      </c>
      <c r="H391" s="680" t="s">
        <v>780</v>
      </c>
      <c r="I391" s="684">
        <v>383</v>
      </c>
    </row>
    <row r="392" spans="1:9" s="7" customFormat="1" ht="85.5">
      <c r="A392" s="661" t="s">
        <v>489</v>
      </c>
      <c r="B392" s="658" t="s">
        <v>2653</v>
      </c>
      <c r="C392" s="659" t="s">
        <v>17</v>
      </c>
      <c r="D392" s="678">
        <v>100</v>
      </c>
      <c r="E392" s="679">
        <v>293.74</v>
      </c>
      <c r="F392" s="678">
        <v>29374</v>
      </c>
      <c r="G392" s="660" t="s">
        <v>3427</v>
      </c>
      <c r="H392" s="680" t="s">
        <v>781</v>
      </c>
      <c r="I392" s="684">
        <v>384</v>
      </c>
    </row>
    <row r="393" spans="1:9" s="7" customFormat="1" ht="42.75">
      <c r="A393" s="661" t="s">
        <v>490</v>
      </c>
      <c r="B393" s="658" t="s">
        <v>2663</v>
      </c>
      <c r="C393" s="659" t="s">
        <v>17</v>
      </c>
      <c r="D393" s="678">
        <v>60</v>
      </c>
      <c r="E393" s="679">
        <v>219.72</v>
      </c>
      <c r="F393" s="678">
        <v>13183.2</v>
      </c>
      <c r="G393" s="660" t="s">
        <v>3428</v>
      </c>
      <c r="H393" s="680" t="s">
        <v>782</v>
      </c>
      <c r="I393" s="684">
        <v>385</v>
      </c>
    </row>
    <row r="394" spans="1:9" s="7" customFormat="1" ht="42.75">
      <c r="A394" s="661" t="s">
        <v>491</v>
      </c>
      <c r="B394" s="658" t="s">
        <v>2670</v>
      </c>
      <c r="C394" s="659" t="s">
        <v>3</v>
      </c>
      <c r="D394" s="678">
        <v>5</v>
      </c>
      <c r="E394" s="679">
        <v>1193.26</v>
      </c>
      <c r="F394" s="678">
        <v>5966.3</v>
      </c>
      <c r="G394" s="660" t="s">
        <v>3429</v>
      </c>
      <c r="H394" s="680">
        <v>289190002</v>
      </c>
      <c r="I394" s="684">
        <v>386</v>
      </c>
    </row>
    <row r="395" spans="1:9" s="7" customFormat="1" ht="42.75">
      <c r="A395" s="661" t="s">
        <v>492</v>
      </c>
      <c r="B395" s="658" t="s">
        <v>2678</v>
      </c>
      <c r="C395" s="659" t="s">
        <v>2679</v>
      </c>
      <c r="D395" s="678">
        <v>5</v>
      </c>
      <c r="E395" s="679">
        <v>661.18</v>
      </c>
      <c r="F395" s="678">
        <v>3305.9</v>
      </c>
      <c r="G395" s="660" t="s">
        <v>3430</v>
      </c>
      <c r="H395" s="680" t="s">
        <v>783</v>
      </c>
      <c r="I395" s="684">
        <v>387</v>
      </c>
    </row>
    <row r="396" spans="1:9" s="7" customFormat="1" ht="42.75">
      <c r="A396" s="661" t="s">
        <v>493</v>
      </c>
      <c r="B396" s="658" t="s">
        <v>2684</v>
      </c>
      <c r="C396" s="659" t="s">
        <v>3</v>
      </c>
      <c r="D396" s="678">
        <v>5</v>
      </c>
      <c r="E396" s="679">
        <v>2320.85</v>
      </c>
      <c r="F396" s="678">
        <v>11604.25</v>
      </c>
      <c r="G396" s="660" t="s">
        <v>3431</v>
      </c>
      <c r="H396" s="680">
        <v>289100202</v>
      </c>
      <c r="I396" s="684">
        <v>388</v>
      </c>
    </row>
    <row r="397" spans="1:9" s="7" customFormat="1" ht="42.75">
      <c r="A397" s="661" t="s">
        <v>494</v>
      </c>
      <c r="B397" s="658" t="s">
        <v>2693</v>
      </c>
      <c r="C397" s="659" t="s">
        <v>2694</v>
      </c>
      <c r="D397" s="678">
        <v>10</v>
      </c>
      <c r="E397" s="679">
        <v>160.68</v>
      </c>
      <c r="F397" s="678">
        <v>1606.8</v>
      </c>
      <c r="G397" s="660" t="s">
        <v>3432</v>
      </c>
      <c r="H397" s="680" t="s">
        <v>908</v>
      </c>
      <c r="I397" s="684">
        <v>389</v>
      </c>
    </row>
    <row r="398" spans="1:9" s="7" customFormat="1" ht="42.75">
      <c r="A398" s="661" t="s">
        <v>495</v>
      </c>
      <c r="B398" s="658" t="s">
        <v>2702</v>
      </c>
      <c r="C398" s="659" t="s">
        <v>17</v>
      </c>
      <c r="D398" s="678">
        <v>10</v>
      </c>
      <c r="E398" s="679">
        <v>309.10000000000002</v>
      </c>
      <c r="F398" s="678">
        <v>3091</v>
      </c>
      <c r="G398" s="660" t="s">
        <v>3433</v>
      </c>
      <c r="H398" s="680" t="s">
        <v>784</v>
      </c>
      <c r="I398" s="684">
        <v>390</v>
      </c>
    </row>
    <row r="399" spans="1:9" s="7" customFormat="1" ht="42.75">
      <c r="A399" s="661" t="s">
        <v>496</v>
      </c>
      <c r="B399" s="658" t="s">
        <v>2707</v>
      </c>
      <c r="C399" s="659" t="s">
        <v>17</v>
      </c>
      <c r="D399" s="678">
        <v>10</v>
      </c>
      <c r="E399" s="679">
        <v>310.72000000000003</v>
      </c>
      <c r="F399" s="678">
        <v>3107.2</v>
      </c>
      <c r="G399" s="660" t="s">
        <v>3434</v>
      </c>
      <c r="H399" s="680" t="s">
        <v>785</v>
      </c>
      <c r="I399" s="684">
        <v>391</v>
      </c>
    </row>
    <row r="400" spans="1:9" s="7" customFormat="1" ht="42.75">
      <c r="A400" s="661" t="s">
        <v>497</v>
      </c>
      <c r="B400" s="658" t="s">
        <v>2712</v>
      </c>
      <c r="C400" s="659" t="s">
        <v>3</v>
      </c>
      <c r="D400" s="678">
        <v>10</v>
      </c>
      <c r="E400" s="679">
        <v>669.68</v>
      </c>
      <c r="F400" s="678">
        <v>6696.8</v>
      </c>
      <c r="G400" s="660" t="s">
        <v>3435</v>
      </c>
      <c r="H400" s="680" t="s">
        <v>2861</v>
      </c>
      <c r="I400" s="684">
        <v>392</v>
      </c>
    </row>
    <row r="401" spans="1:13" s="7" customFormat="1" ht="42.75">
      <c r="A401" s="661" t="s">
        <v>498</v>
      </c>
      <c r="B401" s="658" t="s">
        <v>2725</v>
      </c>
      <c r="C401" s="659" t="s">
        <v>2679</v>
      </c>
      <c r="D401" s="678">
        <v>10</v>
      </c>
      <c r="E401" s="679">
        <v>250.64</v>
      </c>
      <c r="F401" s="678">
        <v>2506.4</v>
      </c>
      <c r="G401" s="660" t="s">
        <v>3436</v>
      </c>
      <c r="H401" s="680" t="s">
        <v>786</v>
      </c>
      <c r="I401" s="684">
        <v>393</v>
      </c>
    </row>
    <row r="402" spans="1:13" s="7" customFormat="1" ht="57">
      <c r="A402" s="661" t="s">
        <v>499</v>
      </c>
      <c r="B402" s="658" t="s">
        <v>2732</v>
      </c>
      <c r="C402" s="659" t="s">
        <v>1818</v>
      </c>
      <c r="D402" s="678">
        <v>10</v>
      </c>
      <c r="E402" s="679">
        <v>845.59</v>
      </c>
      <c r="F402" s="678">
        <v>8455.9</v>
      </c>
      <c r="G402" s="660" t="s">
        <v>3437</v>
      </c>
      <c r="H402" s="680" t="s">
        <v>909</v>
      </c>
      <c r="I402" s="684">
        <v>394</v>
      </c>
    </row>
    <row r="403" spans="1:13" s="7" customFormat="1" ht="42.75">
      <c r="A403" s="661" t="s">
        <v>521</v>
      </c>
      <c r="B403" s="658" t="s">
        <v>2737</v>
      </c>
      <c r="C403" s="659" t="s">
        <v>1818</v>
      </c>
      <c r="D403" s="678">
        <v>10</v>
      </c>
      <c r="E403" s="679">
        <v>1234.93</v>
      </c>
      <c r="F403" s="678">
        <v>12349.3</v>
      </c>
      <c r="G403" s="660" t="s">
        <v>3438</v>
      </c>
      <c r="H403" s="680" t="s">
        <v>2885</v>
      </c>
      <c r="I403" s="684">
        <v>395</v>
      </c>
    </row>
    <row r="404" spans="1:13" s="7" customFormat="1" ht="42.75">
      <c r="A404" s="661" t="s">
        <v>522</v>
      </c>
      <c r="B404" s="658" t="s">
        <v>2750</v>
      </c>
      <c r="C404" s="659" t="s">
        <v>1818</v>
      </c>
      <c r="D404" s="678">
        <v>10</v>
      </c>
      <c r="E404" s="679">
        <v>2456.5100000000002</v>
      </c>
      <c r="F404" s="678">
        <v>24565.1</v>
      </c>
      <c r="G404" s="660" t="s">
        <v>3439</v>
      </c>
      <c r="H404" s="680" t="s">
        <v>2879</v>
      </c>
      <c r="I404" s="684">
        <v>396</v>
      </c>
    </row>
    <row r="405" spans="1:13" s="7" customFormat="1" ht="42.75">
      <c r="A405" s="661" t="s">
        <v>523</v>
      </c>
      <c r="B405" s="658" t="s">
        <v>2755</v>
      </c>
      <c r="C405" s="659" t="s">
        <v>2679</v>
      </c>
      <c r="D405" s="678">
        <v>10</v>
      </c>
      <c r="E405" s="679">
        <v>329.66</v>
      </c>
      <c r="F405" s="678">
        <v>3296.6</v>
      </c>
      <c r="G405" s="660" t="s">
        <v>3440</v>
      </c>
      <c r="H405" s="680" t="s">
        <v>787</v>
      </c>
      <c r="I405" s="684">
        <v>397</v>
      </c>
    </row>
    <row r="406" spans="1:13" s="7" customFormat="1" ht="47.25">
      <c r="A406" s="661" t="s">
        <v>524</v>
      </c>
      <c r="B406" s="658" t="s">
        <v>913</v>
      </c>
      <c r="C406" s="659" t="s">
        <v>3</v>
      </c>
      <c r="D406" s="678">
        <v>10</v>
      </c>
      <c r="E406" s="679">
        <v>892.77</v>
      </c>
      <c r="F406" s="678">
        <v>8927.7000000000007</v>
      </c>
      <c r="G406" s="660" t="s">
        <v>3441</v>
      </c>
      <c r="H406" s="680" t="s">
        <v>910</v>
      </c>
      <c r="I406" s="684">
        <v>398</v>
      </c>
    </row>
    <row r="407" spans="1:13" s="7" customFormat="1" ht="47.25">
      <c r="A407" s="661" t="s">
        <v>525</v>
      </c>
      <c r="B407" s="658" t="s">
        <v>2778</v>
      </c>
      <c r="C407" s="659" t="s">
        <v>3</v>
      </c>
      <c r="D407" s="678">
        <v>10</v>
      </c>
      <c r="E407" s="679">
        <v>643.32000000000005</v>
      </c>
      <c r="F407" s="678">
        <v>6433.2</v>
      </c>
      <c r="G407" s="660" t="s">
        <v>3442</v>
      </c>
      <c r="H407" s="680" t="s">
        <v>2880</v>
      </c>
      <c r="I407" s="684">
        <v>399</v>
      </c>
    </row>
    <row r="408" spans="1:13" s="7" customFormat="1" ht="28.5">
      <c r="A408" s="661" t="s">
        <v>526</v>
      </c>
      <c r="B408" s="658" t="s">
        <v>3443</v>
      </c>
      <c r="C408" s="659" t="s">
        <v>3444</v>
      </c>
      <c r="D408" s="678">
        <v>2</v>
      </c>
      <c r="E408" s="679">
        <v>2000</v>
      </c>
      <c r="F408" s="678">
        <v>4000</v>
      </c>
      <c r="G408" s="660" t="s">
        <v>3445</v>
      </c>
      <c r="H408" s="680" t="s">
        <v>788</v>
      </c>
      <c r="I408" s="684">
        <v>400</v>
      </c>
    </row>
    <row r="409" spans="1:13" s="7" customFormat="1" ht="28.5">
      <c r="A409" s="661" t="s">
        <v>527</v>
      </c>
      <c r="B409" s="658" t="s">
        <v>3446</v>
      </c>
      <c r="C409" s="659" t="s">
        <v>2447</v>
      </c>
      <c r="D409" s="678">
        <v>10</v>
      </c>
      <c r="E409" s="679">
        <v>15000</v>
      </c>
      <c r="F409" s="678">
        <v>150000</v>
      </c>
      <c r="G409" s="660" t="s">
        <v>3447</v>
      </c>
      <c r="H409" s="680" t="s">
        <v>911</v>
      </c>
      <c r="I409" s="684">
        <v>401</v>
      </c>
    </row>
    <row r="410" spans="1:13" s="7" customFormat="1" ht="28.5">
      <c r="A410" s="661" t="s">
        <v>528</v>
      </c>
      <c r="B410" s="658" t="s">
        <v>2462</v>
      </c>
      <c r="C410" s="659" t="s">
        <v>927</v>
      </c>
      <c r="D410" s="678">
        <v>15</v>
      </c>
      <c r="E410" s="679">
        <v>180</v>
      </c>
      <c r="F410" s="678">
        <v>2700</v>
      </c>
      <c r="G410" s="660" t="s">
        <v>2463</v>
      </c>
      <c r="H410" s="680" t="s">
        <v>2956</v>
      </c>
      <c r="I410" s="684">
        <v>402</v>
      </c>
    </row>
    <row r="411" spans="1:13" s="7" customFormat="1" ht="31.5">
      <c r="A411" s="656" t="s">
        <v>2881</v>
      </c>
      <c r="B411" s="655" t="s">
        <v>3649</v>
      </c>
      <c r="C411" s="665" t="s">
        <v>3</v>
      </c>
      <c r="D411" s="666">
        <v>1</v>
      </c>
      <c r="E411" s="663">
        <v>745</v>
      </c>
      <c r="F411" s="666">
        <v>754.98</v>
      </c>
      <c r="G411" s="664"/>
      <c r="H411" s="668" t="s">
        <v>3965</v>
      </c>
      <c r="I411" s="44">
        <v>403</v>
      </c>
      <c r="K411"/>
      <c r="L411"/>
      <c r="M411"/>
    </row>
    <row r="412" spans="1:13" s="7" customFormat="1" ht="31.5">
      <c r="A412" s="656" t="s">
        <v>2882</v>
      </c>
      <c r="B412" s="655" t="s">
        <v>3650</v>
      </c>
      <c r="C412" s="665" t="s">
        <v>3</v>
      </c>
      <c r="D412" s="666">
        <v>1</v>
      </c>
      <c r="E412" s="663">
        <v>830</v>
      </c>
      <c r="F412" s="666">
        <v>839.74</v>
      </c>
      <c r="G412" s="664"/>
      <c r="H412" s="668" t="s">
        <v>3966</v>
      </c>
      <c r="I412" s="44">
        <v>404</v>
      </c>
      <c r="K412"/>
      <c r="L412"/>
      <c r="M412"/>
    </row>
    <row r="413" spans="1:13" s="7" customFormat="1" ht="31.5">
      <c r="A413" s="656" t="s">
        <v>3662</v>
      </c>
      <c r="B413" s="655" t="s">
        <v>3651</v>
      </c>
      <c r="C413" s="665" t="s">
        <v>3</v>
      </c>
      <c r="D413" s="666">
        <v>1</v>
      </c>
      <c r="E413" s="663">
        <v>925</v>
      </c>
      <c r="F413" s="666">
        <v>938.63</v>
      </c>
      <c r="G413" s="664"/>
      <c r="H413" s="668" t="s">
        <v>3967</v>
      </c>
      <c r="I413" s="44">
        <v>405</v>
      </c>
      <c r="K413"/>
      <c r="L413"/>
      <c r="M413"/>
    </row>
    <row r="414" spans="1:13" s="7" customFormat="1" ht="31.5">
      <c r="A414" s="656" t="s">
        <v>3663</v>
      </c>
      <c r="B414" s="655" t="s">
        <v>3652</v>
      </c>
      <c r="C414" s="665" t="s">
        <v>1689</v>
      </c>
      <c r="D414" s="666">
        <v>1</v>
      </c>
      <c r="E414" s="663">
        <v>465</v>
      </c>
      <c r="F414" s="666">
        <v>640.57000000000005</v>
      </c>
      <c r="G414" s="667" t="s">
        <v>3968</v>
      </c>
      <c r="H414" s="668" t="s">
        <v>3969</v>
      </c>
      <c r="I414" s="44">
        <v>406</v>
      </c>
      <c r="K414"/>
      <c r="M414"/>
    </row>
    <row r="415" spans="1:13" s="7" customFormat="1">
      <c r="A415" s="656" t="s">
        <v>3664</v>
      </c>
      <c r="B415" s="655" t="s">
        <v>3659</v>
      </c>
      <c r="C415" s="665" t="s">
        <v>3</v>
      </c>
      <c r="D415" s="666">
        <v>1</v>
      </c>
      <c r="E415" s="663">
        <v>1700</v>
      </c>
      <c r="F415" s="666">
        <v>1701.08</v>
      </c>
      <c r="G415" s="664"/>
      <c r="H415" s="668" t="s">
        <v>3972</v>
      </c>
      <c r="I415" s="44">
        <v>409</v>
      </c>
      <c r="K415"/>
      <c r="L415"/>
      <c r="M415"/>
    </row>
    <row r="416" spans="1:13" s="7" customFormat="1">
      <c r="A416" s="656" t="s">
        <v>3665</v>
      </c>
      <c r="B416" s="681" t="s">
        <v>3652</v>
      </c>
      <c r="C416" s="681" t="s">
        <v>1689</v>
      </c>
      <c r="D416" s="666">
        <v>1</v>
      </c>
      <c r="E416" s="663">
        <v>640.57000000000005</v>
      </c>
      <c r="F416" s="666">
        <v>2528.65</v>
      </c>
      <c r="G416" s="664"/>
      <c r="H416" s="668" t="s">
        <v>3973</v>
      </c>
      <c r="I416" s="44">
        <v>410</v>
      </c>
      <c r="K416"/>
      <c r="L416"/>
      <c r="M416"/>
    </row>
    <row r="417" spans="1:13" s="7" customFormat="1">
      <c r="A417" s="656" t="s">
        <v>3666</v>
      </c>
      <c r="B417" s="681" t="s">
        <v>3654</v>
      </c>
      <c r="C417" s="681" t="s">
        <v>1689</v>
      </c>
      <c r="D417" s="666">
        <v>1</v>
      </c>
      <c r="E417" s="663">
        <v>498.73</v>
      </c>
      <c r="F417" s="666">
        <v>3440.2</v>
      </c>
      <c r="G417" s="664"/>
      <c r="H417" s="668" t="s">
        <v>3974</v>
      </c>
      <c r="I417" s="44">
        <v>411</v>
      </c>
      <c r="K417"/>
      <c r="L417"/>
      <c r="M417"/>
    </row>
    <row r="418" spans="1:13" s="7" customFormat="1">
      <c r="A418" s="656" t="s">
        <v>3667</v>
      </c>
      <c r="B418" s="681" t="s">
        <v>3971</v>
      </c>
      <c r="C418" s="681" t="s">
        <v>1</v>
      </c>
      <c r="D418" s="666">
        <v>1</v>
      </c>
      <c r="E418" s="663">
        <v>1050.81</v>
      </c>
      <c r="F418" s="666">
        <v>115.28</v>
      </c>
      <c r="G418" s="664"/>
      <c r="H418" s="664">
        <v>315030</v>
      </c>
      <c r="I418" s="44">
        <v>412</v>
      </c>
      <c r="K418"/>
      <c r="L418"/>
      <c r="M418"/>
    </row>
    <row r="419" spans="1:13" s="7" customFormat="1">
      <c r="A419" s="656" t="s">
        <v>3668</v>
      </c>
      <c r="B419" s="681" t="s">
        <v>3657</v>
      </c>
      <c r="C419" s="681" t="s">
        <v>3658</v>
      </c>
      <c r="D419" s="666">
        <v>1</v>
      </c>
      <c r="E419" s="663">
        <v>2528.65</v>
      </c>
      <c r="F419" s="666">
        <v>366.67</v>
      </c>
      <c r="G419" s="664"/>
      <c r="H419" s="668" t="s">
        <v>3975</v>
      </c>
      <c r="I419" s="44">
        <v>413</v>
      </c>
      <c r="K419"/>
      <c r="L419"/>
      <c r="M419"/>
    </row>
    <row r="420" spans="1:13" s="7" customFormat="1">
      <c r="A420" s="656" t="s">
        <v>3976</v>
      </c>
      <c r="B420" s="681" t="s">
        <v>3641</v>
      </c>
      <c r="C420" s="681" t="s">
        <v>1875</v>
      </c>
      <c r="D420" s="666">
        <v>1</v>
      </c>
      <c r="E420" s="663">
        <v>3440.2</v>
      </c>
      <c r="F420" s="666">
        <v>3440.2</v>
      </c>
      <c r="G420" s="664"/>
      <c r="H420" s="668" t="s">
        <v>3974</v>
      </c>
      <c r="I420" s="44">
        <v>411</v>
      </c>
      <c r="K420"/>
      <c r="L420"/>
      <c r="M420"/>
    </row>
    <row r="421" spans="1:13" s="7" customFormat="1">
      <c r="A421" s="656" t="s">
        <v>3977</v>
      </c>
      <c r="B421" s="681" t="s">
        <v>3642</v>
      </c>
      <c r="C421" s="681" t="s">
        <v>17</v>
      </c>
      <c r="D421" s="666">
        <v>1</v>
      </c>
      <c r="E421" s="663">
        <v>115.28</v>
      </c>
      <c r="F421" s="666">
        <v>115.28</v>
      </c>
      <c r="G421" s="664"/>
      <c r="H421" s="664">
        <v>315030</v>
      </c>
      <c r="I421" s="44">
        <v>412</v>
      </c>
      <c r="K421"/>
      <c r="L421"/>
      <c r="M421"/>
    </row>
    <row r="422" spans="1:13" s="7" customFormat="1">
      <c r="A422" s="656" t="s">
        <v>3978</v>
      </c>
      <c r="B422" s="682" t="s">
        <v>3660</v>
      </c>
      <c r="C422" s="671" t="s">
        <v>3</v>
      </c>
      <c r="D422" s="666">
        <v>1</v>
      </c>
      <c r="E422" s="663">
        <v>366.67</v>
      </c>
      <c r="F422" s="666">
        <v>366.67</v>
      </c>
      <c r="G422" s="664"/>
      <c r="H422" s="668" t="s">
        <v>3975</v>
      </c>
      <c r="I422" s="44">
        <v>413</v>
      </c>
      <c r="K422"/>
      <c r="L422"/>
      <c r="M422"/>
    </row>
    <row r="423" spans="1:13" ht="28.5">
      <c r="A423" s="657" t="s">
        <v>3448</v>
      </c>
      <c r="B423" s="658" t="s">
        <v>3449</v>
      </c>
      <c r="C423" s="659" t="s">
        <v>14</v>
      </c>
      <c r="D423" s="678">
        <v>1</v>
      </c>
      <c r="E423" s="679"/>
      <c r="F423" s="678">
        <v>226373</v>
      </c>
      <c r="G423" s="660" t="s">
        <v>3450</v>
      </c>
      <c r="H423" s="680"/>
      <c r="I423" s="684"/>
    </row>
    <row r="424" spans="1:13" ht="47.25">
      <c r="A424" s="661" t="s">
        <v>337</v>
      </c>
      <c r="B424" s="658" t="s">
        <v>3451</v>
      </c>
      <c r="C424" s="659" t="s">
        <v>1689</v>
      </c>
      <c r="D424" s="678">
        <v>20</v>
      </c>
      <c r="E424" s="679">
        <v>1750</v>
      </c>
      <c r="F424" s="678">
        <v>35000</v>
      </c>
      <c r="G424" s="660" t="s">
        <v>3452</v>
      </c>
      <c r="H424" s="680"/>
      <c r="I424" s="684"/>
    </row>
    <row r="425" spans="1:13" ht="63">
      <c r="A425" s="661" t="s">
        <v>338</v>
      </c>
      <c r="B425" s="658" t="s">
        <v>3453</v>
      </c>
      <c r="C425" s="659" t="s">
        <v>2679</v>
      </c>
      <c r="D425" s="678">
        <v>16</v>
      </c>
      <c r="E425" s="679">
        <v>250</v>
      </c>
      <c r="F425" s="678">
        <v>4000</v>
      </c>
      <c r="G425" s="660" t="s">
        <v>3454</v>
      </c>
      <c r="H425" s="680"/>
      <c r="I425" s="684"/>
    </row>
    <row r="426" spans="1:13" ht="63">
      <c r="A426" s="661" t="s">
        <v>339</v>
      </c>
      <c r="B426" s="658" t="s">
        <v>3455</v>
      </c>
      <c r="C426" s="659" t="s">
        <v>1689</v>
      </c>
      <c r="D426" s="678">
        <v>10</v>
      </c>
      <c r="E426" s="679">
        <v>1500</v>
      </c>
      <c r="F426" s="678">
        <v>15000</v>
      </c>
      <c r="G426" s="660" t="s">
        <v>3456</v>
      </c>
      <c r="H426" s="680"/>
      <c r="I426" s="684"/>
    </row>
    <row r="427" spans="1:13" ht="63">
      <c r="A427" s="661" t="s">
        <v>340</v>
      </c>
      <c r="B427" s="658" t="s">
        <v>3457</v>
      </c>
      <c r="C427" s="659" t="s">
        <v>1689</v>
      </c>
      <c r="D427" s="678">
        <v>10</v>
      </c>
      <c r="E427" s="679">
        <v>1500</v>
      </c>
      <c r="F427" s="678">
        <v>15000</v>
      </c>
      <c r="G427" s="660" t="s">
        <v>3458</v>
      </c>
      <c r="H427" s="680"/>
      <c r="I427" s="684"/>
    </row>
    <row r="428" spans="1:13" ht="63">
      <c r="A428" s="661" t="s">
        <v>341</v>
      </c>
      <c r="B428" s="658" t="s">
        <v>3459</v>
      </c>
      <c r="C428" s="659" t="s">
        <v>1689</v>
      </c>
      <c r="D428" s="678">
        <v>5</v>
      </c>
      <c r="E428" s="679">
        <v>3000</v>
      </c>
      <c r="F428" s="678">
        <v>15000</v>
      </c>
      <c r="G428" s="660" t="s">
        <v>3460</v>
      </c>
      <c r="H428" s="680"/>
      <c r="I428" s="684"/>
    </row>
    <row r="429" spans="1:13" ht="63">
      <c r="A429" s="661" t="s">
        <v>342</v>
      </c>
      <c r="B429" s="658" t="s">
        <v>3461</v>
      </c>
      <c r="C429" s="659" t="s">
        <v>1689</v>
      </c>
      <c r="D429" s="678">
        <v>2</v>
      </c>
      <c r="E429" s="679">
        <v>6000</v>
      </c>
      <c r="F429" s="678">
        <v>12000</v>
      </c>
      <c r="G429" s="660" t="s">
        <v>3462</v>
      </c>
      <c r="H429" s="680"/>
      <c r="I429" s="684"/>
    </row>
    <row r="430" spans="1:13" ht="63">
      <c r="A430" s="661" t="s">
        <v>343</v>
      </c>
      <c r="B430" s="658" t="s">
        <v>3463</v>
      </c>
      <c r="C430" s="659" t="s">
        <v>1689</v>
      </c>
      <c r="D430" s="678">
        <v>1</v>
      </c>
      <c r="E430" s="679">
        <v>12000</v>
      </c>
      <c r="F430" s="678">
        <v>12000</v>
      </c>
      <c r="G430" s="660" t="s">
        <v>3464</v>
      </c>
      <c r="H430" s="680"/>
      <c r="I430" s="684"/>
    </row>
    <row r="431" spans="1:13" ht="63">
      <c r="A431" s="661" t="s">
        <v>344</v>
      </c>
      <c r="B431" s="658" t="s">
        <v>3465</v>
      </c>
      <c r="C431" s="659" t="s">
        <v>2238</v>
      </c>
      <c r="D431" s="678">
        <v>1</v>
      </c>
      <c r="E431" s="679">
        <v>1000</v>
      </c>
      <c r="F431" s="678">
        <v>1000</v>
      </c>
      <c r="G431" s="660" t="s">
        <v>3466</v>
      </c>
      <c r="H431" s="680"/>
      <c r="I431" s="684"/>
    </row>
    <row r="432" spans="1:13" ht="47.25">
      <c r="A432" s="661" t="s">
        <v>345</v>
      </c>
      <c r="B432" s="658" t="s">
        <v>3467</v>
      </c>
      <c r="C432" s="659" t="s">
        <v>1689</v>
      </c>
      <c r="D432" s="678">
        <v>1</v>
      </c>
      <c r="E432" s="679">
        <v>8000</v>
      </c>
      <c r="F432" s="678">
        <v>8000</v>
      </c>
      <c r="G432" s="660" t="s">
        <v>3468</v>
      </c>
      <c r="H432" s="680"/>
      <c r="I432" s="684"/>
    </row>
    <row r="433" spans="1:9" ht="47.25">
      <c r="A433" s="661" t="s">
        <v>346</v>
      </c>
      <c r="B433" s="658" t="s">
        <v>3469</v>
      </c>
      <c r="C433" s="659" t="s">
        <v>1689</v>
      </c>
      <c r="D433" s="678">
        <v>1</v>
      </c>
      <c r="E433" s="679">
        <v>4000</v>
      </c>
      <c r="F433" s="678">
        <v>4000</v>
      </c>
      <c r="G433" s="660" t="s">
        <v>3470</v>
      </c>
      <c r="H433" s="24"/>
      <c r="I433" s="684"/>
    </row>
    <row r="434" spans="1:9" ht="63">
      <c r="A434" s="661" t="s">
        <v>347</v>
      </c>
      <c r="B434" s="658" t="s">
        <v>3471</v>
      </c>
      <c r="C434" s="659" t="s">
        <v>1689</v>
      </c>
      <c r="D434" s="678">
        <v>1</v>
      </c>
      <c r="E434" s="679">
        <v>2000</v>
      </c>
      <c r="F434" s="678">
        <v>2000</v>
      </c>
      <c r="G434" s="660" t="s">
        <v>3472</v>
      </c>
      <c r="H434" s="683"/>
      <c r="I434" s="684"/>
    </row>
    <row r="435" spans="1:9" ht="47.25">
      <c r="A435" s="661" t="s">
        <v>348</v>
      </c>
      <c r="B435" s="658" t="s">
        <v>3473</v>
      </c>
      <c r="C435" s="659" t="s">
        <v>1875</v>
      </c>
      <c r="D435" s="678">
        <v>2</v>
      </c>
      <c r="E435" s="679">
        <v>4000</v>
      </c>
      <c r="F435" s="678">
        <v>8000</v>
      </c>
      <c r="G435" s="660" t="s">
        <v>3474</v>
      </c>
      <c r="H435" s="683"/>
      <c r="I435" s="684"/>
    </row>
    <row r="436" spans="1:9" ht="63">
      <c r="A436" s="661" t="s">
        <v>349</v>
      </c>
      <c r="B436" s="658" t="s">
        <v>3475</v>
      </c>
      <c r="C436" s="659" t="s">
        <v>1689</v>
      </c>
      <c r="D436" s="678">
        <v>2</v>
      </c>
      <c r="E436" s="679">
        <v>6000</v>
      </c>
      <c r="F436" s="678">
        <v>12000</v>
      </c>
      <c r="G436" s="660" t="s">
        <v>3476</v>
      </c>
      <c r="H436" s="683"/>
      <c r="I436" s="684"/>
    </row>
    <row r="437" spans="1:9" ht="47.25">
      <c r="A437" s="661" t="s">
        <v>350</v>
      </c>
      <c r="B437" s="658" t="s">
        <v>3477</v>
      </c>
      <c r="C437" s="659" t="s">
        <v>3478</v>
      </c>
      <c r="D437" s="678">
        <v>2</v>
      </c>
      <c r="E437" s="679">
        <v>1300</v>
      </c>
      <c r="F437" s="678">
        <v>2600</v>
      </c>
      <c r="G437" s="660" t="s">
        <v>3479</v>
      </c>
      <c r="H437" s="683"/>
      <c r="I437" s="684"/>
    </row>
    <row r="438" spans="1:9" ht="47.25">
      <c r="A438" s="661" t="s">
        <v>351</v>
      </c>
      <c r="B438" s="658" t="s">
        <v>3480</v>
      </c>
      <c r="C438" s="659" t="s">
        <v>2490</v>
      </c>
      <c r="D438" s="678">
        <v>1</v>
      </c>
      <c r="E438" s="679">
        <v>12000</v>
      </c>
      <c r="F438" s="678">
        <v>12000</v>
      </c>
      <c r="G438" s="660" t="s">
        <v>3481</v>
      </c>
      <c r="H438" s="683"/>
      <c r="I438" s="684"/>
    </row>
    <row r="439" spans="1:9" ht="31.5">
      <c r="A439" s="661" t="s">
        <v>352</v>
      </c>
      <c r="B439" s="658" t="s">
        <v>3482</v>
      </c>
      <c r="C439" s="659" t="s">
        <v>1689</v>
      </c>
      <c r="D439" s="678">
        <v>2</v>
      </c>
      <c r="E439" s="679">
        <v>6000</v>
      </c>
      <c r="F439" s="678">
        <v>12000</v>
      </c>
      <c r="G439" s="660" t="s">
        <v>3483</v>
      </c>
      <c r="H439" s="683"/>
      <c r="I439" s="684"/>
    </row>
    <row r="440" spans="1:9" ht="42.75">
      <c r="A440" s="661" t="s">
        <v>353</v>
      </c>
      <c r="B440" s="658" t="s">
        <v>3482</v>
      </c>
      <c r="C440" s="659" t="s">
        <v>1497</v>
      </c>
      <c r="D440" s="678">
        <v>5</v>
      </c>
      <c r="E440" s="679">
        <v>1500</v>
      </c>
      <c r="F440" s="678">
        <v>7500</v>
      </c>
      <c r="G440" s="660" t="s">
        <v>3484</v>
      </c>
      <c r="H440" s="683"/>
      <c r="I440" s="684"/>
    </row>
    <row r="441" spans="1:9" ht="31.5">
      <c r="A441" s="661" t="s">
        <v>458</v>
      </c>
      <c r="B441" s="658" t="s">
        <v>3485</v>
      </c>
      <c r="C441" s="659" t="s">
        <v>1689</v>
      </c>
      <c r="D441" s="678">
        <v>2</v>
      </c>
      <c r="E441" s="679">
        <v>6000</v>
      </c>
      <c r="F441" s="678">
        <v>12000</v>
      </c>
      <c r="G441" s="660" t="s">
        <v>3486</v>
      </c>
      <c r="H441" s="683"/>
      <c r="I441" s="684"/>
    </row>
    <row r="442" spans="1:9" ht="42.75">
      <c r="A442" s="661" t="s">
        <v>459</v>
      </c>
      <c r="B442" s="658" t="s">
        <v>3485</v>
      </c>
      <c r="C442" s="659" t="s">
        <v>1497</v>
      </c>
      <c r="D442" s="678">
        <v>5</v>
      </c>
      <c r="E442" s="679">
        <v>1000</v>
      </c>
      <c r="F442" s="678">
        <v>5000</v>
      </c>
      <c r="G442" s="660" t="s">
        <v>3487</v>
      </c>
      <c r="H442" s="683"/>
      <c r="I442" s="684"/>
    </row>
    <row r="443" spans="1:9" ht="28.5">
      <c r="A443" s="661" t="s">
        <v>460</v>
      </c>
      <c r="B443" s="658" t="s">
        <v>3488</v>
      </c>
      <c r="C443" s="659" t="s">
        <v>1689</v>
      </c>
      <c r="D443" s="678">
        <v>2</v>
      </c>
      <c r="E443" s="679">
        <v>6000</v>
      </c>
      <c r="F443" s="678">
        <v>12000</v>
      </c>
      <c r="G443" s="660" t="s">
        <v>3489</v>
      </c>
      <c r="H443" s="683"/>
      <c r="I443" s="684"/>
    </row>
    <row r="444" spans="1:9" ht="31.5">
      <c r="A444" s="661" t="s">
        <v>529</v>
      </c>
      <c r="B444" s="658" t="s">
        <v>3490</v>
      </c>
      <c r="C444" s="659" t="s">
        <v>1689</v>
      </c>
      <c r="D444" s="678">
        <v>2</v>
      </c>
      <c r="E444" s="679">
        <v>6000</v>
      </c>
      <c r="F444" s="678">
        <v>12000</v>
      </c>
      <c r="G444" s="660" t="s">
        <v>3491</v>
      </c>
      <c r="H444" s="683"/>
      <c r="I444" s="684"/>
    </row>
    <row r="445" spans="1:9" ht="28.5">
      <c r="A445" s="661" t="s">
        <v>530</v>
      </c>
      <c r="B445" s="658" t="s">
        <v>3492</v>
      </c>
      <c r="C445" s="659" t="s">
        <v>1689</v>
      </c>
      <c r="D445" s="678">
        <v>2</v>
      </c>
      <c r="E445" s="679">
        <v>1000</v>
      </c>
      <c r="F445" s="678">
        <v>2000</v>
      </c>
      <c r="G445" s="660" t="s">
        <v>3493</v>
      </c>
      <c r="H445" s="683"/>
      <c r="I445" s="684"/>
    </row>
    <row r="446" spans="1:9" ht="31.5">
      <c r="A446" s="661" t="s">
        <v>531</v>
      </c>
      <c r="B446" s="658" t="s">
        <v>1772</v>
      </c>
      <c r="C446" s="659" t="s">
        <v>1497</v>
      </c>
      <c r="D446" s="678">
        <v>1</v>
      </c>
      <c r="E446" s="679">
        <v>6273</v>
      </c>
      <c r="F446" s="678">
        <v>6273</v>
      </c>
      <c r="G446" s="660" t="s">
        <v>1773</v>
      </c>
      <c r="H446" s="683"/>
      <c r="I446" s="684"/>
    </row>
    <row r="447" spans="1:9">
      <c r="A447" s="657" t="s">
        <v>3494</v>
      </c>
      <c r="B447" s="658" t="s">
        <v>3495</v>
      </c>
      <c r="C447" s="659" t="s">
        <v>14</v>
      </c>
      <c r="D447" s="678">
        <v>1</v>
      </c>
      <c r="E447" s="679"/>
      <c r="F447" s="678">
        <v>457193.04</v>
      </c>
      <c r="G447" s="660" t="s">
        <v>3496</v>
      </c>
      <c r="H447" s="683"/>
      <c r="I447" s="684"/>
    </row>
    <row r="448" spans="1:9" ht="42.75">
      <c r="A448" s="661" t="s">
        <v>354</v>
      </c>
      <c r="B448" s="658" t="s">
        <v>2781</v>
      </c>
      <c r="C448" s="659" t="s">
        <v>2782</v>
      </c>
      <c r="D448" s="678">
        <v>2920</v>
      </c>
      <c r="E448" s="679">
        <v>51.06</v>
      </c>
      <c r="F448" s="678">
        <v>149095.20000000001</v>
      </c>
      <c r="G448" s="660" t="s">
        <v>3497</v>
      </c>
      <c r="H448" s="683"/>
      <c r="I448" s="684"/>
    </row>
    <row r="449" spans="1:9" ht="42.75">
      <c r="A449" s="661" t="s">
        <v>355</v>
      </c>
      <c r="B449" s="658" t="s">
        <v>2785</v>
      </c>
      <c r="C449" s="659" t="s">
        <v>2786</v>
      </c>
      <c r="D449" s="678">
        <v>24</v>
      </c>
      <c r="E449" s="679">
        <v>12837.41</v>
      </c>
      <c r="F449" s="678">
        <v>308097.84000000003</v>
      </c>
      <c r="G449" s="660" t="s">
        <v>3498</v>
      </c>
      <c r="H449" s="683"/>
      <c r="I449" s="684"/>
    </row>
    <row r="450" spans="1:9" ht="31.5">
      <c r="A450" s="657" t="s">
        <v>3499</v>
      </c>
      <c r="B450" s="658" t="s">
        <v>3500</v>
      </c>
      <c r="C450" s="659" t="s">
        <v>14</v>
      </c>
      <c r="D450" s="678">
        <v>1</v>
      </c>
      <c r="E450" s="679"/>
      <c r="F450" s="678">
        <v>15300</v>
      </c>
      <c r="G450" s="660" t="s">
        <v>3501</v>
      </c>
      <c r="H450" s="683"/>
      <c r="I450" s="684"/>
    </row>
    <row r="451" spans="1:9" ht="31.5">
      <c r="A451" s="661" t="s">
        <v>356</v>
      </c>
      <c r="B451" s="658" t="s">
        <v>3502</v>
      </c>
      <c r="C451" s="659" t="s">
        <v>3503</v>
      </c>
      <c r="D451" s="678">
        <v>2</v>
      </c>
      <c r="E451" s="679">
        <v>2300</v>
      </c>
      <c r="F451" s="678">
        <v>4600</v>
      </c>
      <c r="G451" s="660" t="s">
        <v>3504</v>
      </c>
      <c r="H451" s="683"/>
      <c r="I451" s="684"/>
    </row>
    <row r="452" spans="1:9" ht="31.5">
      <c r="A452" s="661" t="s">
        <v>357</v>
      </c>
      <c r="B452" s="658" t="s">
        <v>3505</v>
      </c>
      <c r="C452" s="659" t="s">
        <v>3503</v>
      </c>
      <c r="D452" s="678">
        <v>2</v>
      </c>
      <c r="E452" s="679">
        <v>4100</v>
      </c>
      <c r="F452" s="678">
        <v>8200</v>
      </c>
      <c r="G452" s="660" t="s">
        <v>3506</v>
      </c>
      <c r="H452" s="683"/>
      <c r="I452" s="684"/>
    </row>
    <row r="453" spans="1:9" ht="31.5">
      <c r="A453" s="661" t="s">
        <v>358</v>
      </c>
      <c r="B453" s="658" t="s">
        <v>3507</v>
      </c>
      <c r="C453" s="659" t="s">
        <v>3503</v>
      </c>
      <c r="D453" s="678">
        <v>2</v>
      </c>
      <c r="E453" s="679">
        <v>1250</v>
      </c>
      <c r="F453" s="678">
        <v>2500</v>
      </c>
      <c r="G453" s="660" t="s">
        <v>3508</v>
      </c>
      <c r="H453" s="683"/>
      <c r="I453" s="684"/>
    </row>
    <row r="454" spans="1:9" ht="71.25">
      <c r="A454" s="657" t="s">
        <v>3509</v>
      </c>
      <c r="B454" s="658" t="s">
        <v>3510</v>
      </c>
      <c r="C454" s="659" t="s">
        <v>14</v>
      </c>
      <c r="D454" s="678">
        <v>1</v>
      </c>
      <c r="E454" s="679"/>
      <c r="F454" s="678">
        <v>901129.1</v>
      </c>
      <c r="G454" s="660" t="s">
        <v>3511</v>
      </c>
      <c r="H454" s="683"/>
      <c r="I454" s="684"/>
    </row>
    <row r="455" spans="1:9" ht="47.25">
      <c r="A455" s="661" t="s">
        <v>359</v>
      </c>
      <c r="B455" s="658" t="s">
        <v>3512</v>
      </c>
      <c r="C455" s="659" t="s">
        <v>3513</v>
      </c>
      <c r="D455" s="678">
        <v>50</v>
      </c>
      <c r="E455" s="679">
        <v>206</v>
      </c>
      <c r="F455" s="678">
        <v>10300</v>
      </c>
      <c r="G455" s="660" t="s">
        <v>3514</v>
      </c>
      <c r="H455" s="683"/>
      <c r="I455" s="684"/>
    </row>
    <row r="456" spans="1:9" ht="71.25">
      <c r="A456" s="661" t="s">
        <v>360</v>
      </c>
      <c r="B456" s="658" t="s">
        <v>3515</v>
      </c>
      <c r="C456" s="659" t="s">
        <v>3513</v>
      </c>
      <c r="D456" s="678">
        <v>50</v>
      </c>
      <c r="E456" s="679">
        <v>587.1</v>
      </c>
      <c r="F456" s="678">
        <v>29355</v>
      </c>
      <c r="G456" s="660" t="s">
        <v>3516</v>
      </c>
      <c r="H456" s="683"/>
      <c r="I456" s="684"/>
    </row>
    <row r="457" spans="1:9" ht="47.25">
      <c r="A457" s="661" t="s">
        <v>361</v>
      </c>
      <c r="B457" s="658" t="s">
        <v>3517</v>
      </c>
      <c r="C457" s="659" t="s">
        <v>1818</v>
      </c>
      <c r="D457" s="678">
        <v>20</v>
      </c>
      <c r="E457" s="679">
        <v>5974</v>
      </c>
      <c r="F457" s="678">
        <v>119480</v>
      </c>
      <c r="G457" s="660" t="s">
        <v>3518</v>
      </c>
      <c r="H457" s="683"/>
      <c r="I457" s="684"/>
    </row>
    <row r="458" spans="1:9" ht="28.5">
      <c r="A458" s="661" t="s">
        <v>362</v>
      </c>
      <c r="B458" s="658" t="s">
        <v>3519</v>
      </c>
      <c r="C458" s="659" t="s">
        <v>1818</v>
      </c>
      <c r="D458" s="678">
        <v>20</v>
      </c>
      <c r="E458" s="679">
        <v>1230.75</v>
      </c>
      <c r="F458" s="678">
        <v>24615</v>
      </c>
      <c r="G458" s="660" t="s">
        <v>3520</v>
      </c>
      <c r="H458" s="683"/>
      <c r="I458" s="684"/>
    </row>
    <row r="459" spans="1:9" ht="28.5">
      <c r="A459" s="661" t="s">
        <v>363</v>
      </c>
      <c r="B459" s="658" t="s">
        <v>3521</v>
      </c>
      <c r="C459" s="659" t="s">
        <v>2679</v>
      </c>
      <c r="D459" s="678">
        <v>150</v>
      </c>
      <c r="E459" s="679">
        <v>212.9</v>
      </c>
      <c r="F459" s="678">
        <v>31935</v>
      </c>
      <c r="G459" s="660" t="s">
        <v>3522</v>
      </c>
      <c r="H459" s="683"/>
      <c r="I459" s="684"/>
    </row>
    <row r="460" spans="1:9" ht="31.5">
      <c r="A460" s="661" t="s">
        <v>364</v>
      </c>
      <c r="B460" s="658" t="s">
        <v>3523</v>
      </c>
      <c r="C460" s="659" t="s">
        <v>2679</v>
      </c>
      <c r="D460" s="678">
        <v>150</v>
      </c>
      <c r="E460" s="679">
        <v>217.02</v>
      </c>
      <c r="F460" s="678">
        <v>32553</v>
      </c>
      <c r="G460" s="660" t="s">
        <v>3524</v>
      </c>
      <c r="H460" s="683"/>
      <c r="I460" s="684"/>
    </row>
    <row r="461" spans="1:9" ht="28.5">
      <c r="A461" s="661" t="s">
        <v>365</v>
      </c>
      <c r="B461" s="658" t="s">
        <v>3525</v>
      </c>
      <c r="C461" s="659" t="s">
        <v>1497</v>
      </c>
      <c r="D461" s="678">
        <v>100</v>
      </c>
      <c r="E461" s="679">
        <v>50</v>
      </c>
      <c r="F461" s="678">
        <v>5000</v>
      </c>
      <c r="G461" s="660" t="s">
        <v>3526</v>
      </c>
      <c r="H461" s="683"/>
      <c r="I461" s="684"/>
    </row>
    <row r="462" spans="1:9" ht="84.6" customHeight="1">
      <c r="A462" s="661" t="s">
        <v>366</v>
      </c>
      <c r="B462" s="658" t="s">
        <v>3527</v>
      </c>
      <c r="C462" s="659" t="s">
        <v>1818</v>
      </c>
      <c r="D462" s="678">
        <v>50</v>
      </c>
      <c r="E462" s="679">
        <v>2041.05</v>
      </c>
      <c r="F462" s="678">
        <v>102052.5</v>
      </c>
      <c r="G462" s="660" t="s">
        <v>3528</v>
      </c>
      <c r="H462" s="683"/>
      <c r="I462" s="684"/>
    </row>
    <row r="463" spans="1:9" ht="31.5">
      <c r="A463" s="661" t="s">
        <v>367</v>
      </c>
      <c r="B463" s="658" t="s">
        <v>3529</v>
      </c>
      <c r="C463" s="659" t="s">
        <v>1818</v>
      </c>
      <c r="D463" s="678">
        <v>50</v>
      </c>
      <c r="E463" s="679">
        <v>1894.79</v>
      </c>
      <c r="F463" s="678">
        <v>94739.5</v>
      </c>
      <c r="G463" s="660" t="s">
        <v>3530</v>
      </c>
      <c r="H463" s="683"/>
      <c r="I463" s="684"/>
    </row>
    <row r="464" spans="1:9" ht="31.5">
      <c r="A464" s="661" t="s">
        <v>368</v>
      </c>
      <c r="B464" s="658" t="s">
        <v>3531</v>
      </c>
      <c r="C464" s="659" t="s">
        <v>1818</v>
      </c>
      <c r="D464" s="678">
        <v>30</v>
      </c>
      <c r="E464" s="679">
        <v>3095.77</v>
      </c>
      <c r="F464" s="678">
        <v>92873.1</v>
      </c>
      <c r="G464" s="660" t="s">
        <v>3532</v>
      </c>
      <c r="H464" s="683"/>
      <c r="I464" s="684"/>
    </row>
    <row r="465" spans="1:9" ht="31.5">
      <c r="A465" s="661" t="s">
        <v>369</v>
      </c>
      <c r="B465" s="658" t="s">
        <v>3533</v>
      </c>
      <c r="C465" s="659" t="s">
        <v>1818</v>
      </c>
      <c r="D465" s="678">
        <v>20</v>
      </c>
      <c r="E465" s="679">
        <v>3919.77</v>
      </c>
      <c r="F465" s="678">
        <v>78395.399999999994</v>
      </c>
      <c r="G465" s="660" t="s">
        <v>3534</v>
      </c>
      <c r="H465" s="683"/>
      <c r="I465" s="684"/>
    </row>
    <row r="466" spans="1:9" ht="28.5">
      <c r="A466" s="661" t="s">
        <v>370</v>
      </c>
      <c r="B466" s="658" t="s">
        <v>3535</v>
      </c>
      <c r="C466" s="659" t="s">
        <v>1818</v>
      </c>
      <c r="D466" s="678">
        <v>50</v>
      </c>
      <c r="E466" s="679">
        <v>1666.11</v>
      </c>
      <c r="F466" s="678">
        <v>83305.5</v>
      </c>
      <c r="G466" s="660" t="s">
        <v>3536</v>
      </c>
      <c r="H466" s="683"/>
      <c r="I466" s="684"/>
    </row>
    <row r="467" spans="1:9" ht="28.5">
      <c r="A467" s="661" t="s">
        <v>371</v>
      </c>
      <c r="B467" s="658" t="s">
        <v>3537</v>
      </c>
      <c r="C467" s="659" t="s">
        <v>1689</v>
      </c>
      <c r="D467" s="678">
        <v>100</v>
      </c>
      <c r="E467" s="679">
        <v>610</v>
      </c>
      <c r="F467" s="678">
        <v>61000</v>
      </c>
      <c r="G467" s="660" t="s">
        <v>3538</v>
      </c>
      <c r="H467" s="683"/>
      <c r="I467" s="684"/>
    </row>
    <row r="468" spans="1:9" ht="28.5">
      <c r="A468" s="661" t="s">
        <v>372</v>
      </c>
      <c r="B468" s="658" t="s">
        <v>3539</v>
      </c>
      <c r="C468" s="659" t="s">
        <v>1220</v>
      </c>
      <c r="D468" s="678">
        <v>50</v>
      </c>
      <c r="E468" s="679">
        <v>318.68</v>
      </c>
      <c r="F468" s="678">
        <v>15934</v>
      </c>
      <c r="G468" s="660" t="s">
        <v>3540</v>
      </c>
      <c r="H468" s="683"/>
      <c r="I468" s="684"/>
    </row>
    <row r="469" spans="1:9" ht="28.5">
      <c r="A469" s="661" t="s">
        <v>373</v>
      </c>
      <c r="B469" s="658" t="s">
        <v>3541</v>
      </c>
      <c r="C469" s="659" t="s">
        <v>1220</v>
      </c>
      <c r="D469" s="678">
        <v>50</v>
      </c>
      <c r="E469" s="679">
        <v>89.4</v>
      </c>
      <c r="F469" s="678">
        <v>4470</v>
      </c>
      <c r="G469" s="660" t="s">
        <v>3542</v>
      </c>
      <c r="H469" s="683"/>
      <c r="I469" s="684"/>
    </row>
    <row r="470" spans="1:9" ht="28.5">
      <c r="A470" s="661" t="s">
        <v>374</v>
      </c>
      <c r="B470" s="658" t="s">
        <v>3543</v>
      </c>
      <c r="C470" s="659" t="s">
        <v>2679</v>
      </c>
      <c r="D470" s="678">
        <v>30</v>
      </c>
      <c r="E470" s="679">
        <v>1936.4</v>
      </c>
      <c r="F470" s="678">
        <v>58092</v>
      </c>
      <c r="G470" s="660" t="s">
        <v>3544</v>
      </c>
      <c r="H470" s="683"/>
      <c r="I470" s="684"/>
    </row>
    <row r="471" spans="1:9" ht="28.5">
      <c r="A471" s="661" t="s">
        <v>375</v>
      </c>
      <c r="B471" s="658" t="s">
        <v>3545</v>
      </c>
      <c r="C471" s="659" t="s">
        <v>1818</v>
      </c>
      <c r="D471" s="678">
        <v>30</v>
      </c>
      <c r="E471" s="679">
        <v>1900.97</v>
      </c>
      <c r="F471" s="678">
        <v>57029.1</v>
      </c>
      <c r="G471" s="660" t="s">
        <v>3546</v>
      </c>
      <c r="H471" s="683"/>
      <c r="I471" s="684"/>
    </row>
    <row r="472" spans="1:9" ht="142.5">
      <c r="A472" s="657" t="s">
        <v>3547</v>
      </c>
      <c r="B472" s="658" t="s">
        <v>3548</v>
      </c>
      <c r="C472" s="659" t="s">
        <v>14</v>
      </c>
      <c r="D472" s="678">
        <v>1</v>
      </c>
      <c r="E472" s="679"/>
      <c r="F472" s="678">
        <v>516950</v>
      </c>
      <c r="G472" s="660" t="s">
        <v>3549</v>
      </c>
      <c r="H472" s="683"/>
      <c r="I472" s="684"/>
    </row>
    <row r="473" spans="1:9" ht="31.5">
      <c r="A473" s="661" t="s">
        <v>376</v>
      </c>
      <c r="B473" s="658" t="s">
        <v>3550</v>
      </c>
      <c r="C473" s="659" t="s">
        <v>2238</v>
      </c>
      <c r="D473" s="678">
        <v>30</v>
      </c>
      <c r="E473" s="679">
        <v>770</v>
      </c>
      <c r="F473" s="678">
        <v>23100</v>
      </c>
      <c r="G473" s="660" t="s">
        <v>532</v>
      </c>
      <c r="H473" s="683"/>
      <c r="I473" s="684"/>
    </row>
    <row r="474" spans="1:9" ht="47.25">
      <c r="A474" s="661" t="s">
        <v>377</v>
      </c>
      <c r="B474" s="658" t="s">
        <v>3551</v>
      </c>
      <c r="C474" s="659" t="s">
        <v>3513</v>
      </c>
      <c r="D474" s="678">
        <v>20</v>
      </c>
      <c r="E474" s="679">
        <v>125</v>
      </c>
      <c r="F474" s="678">
        <v>2500</v>
      </c>
      <c r="G474" s="660" t="s">
        <v>3552</v>
      </c>
      <c r="H474" s="683"/>
      <c r="I474" s="684"/>
    </row>
    <row r="475" spans="1:9" ht="47.25">
      <c r="A475" s="661" t="s">
        <v>378</v>
      </c>
      <c r="B475" s="658" t="s">
        <v>3553</v>
      </c>
      <c r="C475" s="659" t="s">
        <v>3513</v>
      </c>
      <c r="D475" s="678">
        <v>20</v>
      </c>
      <c r="E475" s="679">
        <v>125</v>
      </c>
      <c r="F475" s="678">
        <v>2500</v>
      </c>
      <c r="G475" s="660" t="s">
        <v>3554</v>
      </c>
      <c r="H475" s="683"/>
      <c r="I475" s="684"/>
    </row>
    <row r="476" spans="1:9" ht="47.25">
      <c r="A476" s="661" t="s">
        <v>379</v>
      </c>
      <c r="B476" s="658" t="s">
        <v>3555</v>
      </c>
      <c r="C476" s="659" t="s">
        <v>3513</v>
      </c>
      <c r="D476" s="678">
        <v>20</v>
      </c>
      <c r="E476" s="679">
        <v>125</v>
      </c>
      <c r="F476" s="678">
        <v>2500</v>
      </c>
      <c r="G476" s="660" t="s">
        <v>3556</v>
      </c>
      <c r="H476" s="683"/>
      <c r="I476" s="684"/>
    </row>
    <row r="477" spans="1:9" ht="31.5">
      <c r="A477" s="661" t="s">
        <v>380</v>
      </c>
      <c r="B477" s="658" t="s">
        <v>3557</v>
      </c>
      <c r="C477" s="659" t="s">
        <v>1689</v>
      </c>
      <c r="D477" s="678">
        <v>20</v>
      </c>
      <c r="E477" s="679">
        <v>1160</v>
      </c>
      <c r="F477" s="678">
        <v>23200</v>
      </c>
      <c r="G477" s="660" t="s">
        <v>3558</v>
      </c>
      <c r="H477" s="683"/>
      <c r="I477" s="684"/>
    </row>
    <row r="478" spans="1:9" ht="31.5">
      <c r="A478" s="661" t="s">
        <v>381</v>
      </c>
      <c r="B478" s="658" t="s">
        <v>3559</v>
      </c>
      <c r="C478" s="659" t="s">
        <v>3560</v>
      </c>
      <c r="D478" s="678">
        <v>100</v>
      </c>
      <c r="E478" s="679">
        <v>201</v>
      </c>
      <c r="F478" s="678">
        <v>20100</v>
      </c>
      <c r="G478" s="660" t="s">
        <v>3561</v>
      </c>
      <c r="H478" s="683"/>
    </row>
    <row r="479" spans="1:9" ht="31.5">
      <c r="A479" s="661" t="s">
        <v>382</v>
      </c>
      <c r="B479" s="658" t="s">
        <v>3562</v>
      </c>
      <c r="C479" s="659" t="s">
        <v>3563</v>
      </c>
      <c r="D479" s="678">
        <v>50</v>
      </c>
      <c r="E479" s="679">
        <v>300</v>
      </c>
      <c r="F479" s="678">
        <v>15000</v>
      </c>
      <c r="G479" s="660" t="s">
        <v>3564</v>
      </c>
      <c r="H479" s="683"/>
    </row>
    <row r="480" spans="1:9" ht="31.5">
      <c r="A480" s="661" t="s">
        <v>383</v>
      </c>
      <c r="B480" s="658" t="s">
        <v>3565</v>
      </c>
      <c r="C480" s="659" t="s">
        <v>1689</v>
      </c>
      <c r="D480" s="678">
        <v>50</v>
      </c>
      <c r="E480" s="679">
        <v>650</v>
      </c>
      <c r="F480" s="678">
        <v>32500</v>
      </c>
      <c r="G480" s="660" t="s">
        <v>3566</v>
      </c>
      <c r="H480" s="683"/>
    </row>
    <row r="481" spans="1:8" ht="31.5">
      <c r="A481" s="661" t="s">
        <v>384</v>
      </c>
      <c r="B481" s="658" t="s">
        <v>3567</v>
      </c>
      <c r="C481" s="659" t="s">
        <v>3568</v>
      </c>
      <c r="D481" s="678">
        <v>200</v>
      </c>
      <c r="E481" s="679">
        <v>28</v>
      </c>
      <c r="F481" s="678">
        <v>5600</v>
      </c>
      <c r="G481" s="660" t="s">
        <v>3569</v>
      </c>
      <c r="H481" s="683"/>
    </row>
    <row r="482" spans="1:8" ht="31.5">
      <c r="A482" s="661" t="s">
        <v>385</v>
      </c>
      <c r="B482" s="658" t="s">
        <v>3570</v>
      </c>
      <c r="C482" s="659" t="s">
        <v>3568</v>
      </c>
      <c r="D482" s="678">
        <v>50</v>
      </c>
      <c r="E482" s="679">
        <v>500</v>
      </c>
      <c r="F482" s="678">
        <v>25000</v>
      </c>
      <c r="G482" s="660" t="s">
        <v>3571</v>
      </c>
      <c r="H482" s="683"/>
    </row>
    <row r="483" spans="1:8" ht="31.5">
      <c r="A483" s="661" t="s">
        <v>386</v>
      </c>
      <c r="B483" s="658" t="s">
        <v>3572</v>
      </c>
      <c r="C483" s="659" t="s">
        <v>2694</v>
      </c>
      <c r="D483" s="678">
        <v>50</v>
      </c>
      <c r="E483" s="679">
        <v>280</v>
      </c>
      <c r="F483" s="678">
        <v>14000</v>
      </c>
      <c r="G483" s="660" t="s">
        <v>3573</v>
      </c>
      <c r="H483" s="683"/>
    </row>
    <row r="484" spans="1:8" ht="47.25">
      <c r="A484" s="661" t="s">
        <v>387</v>
      </c>
      <c r="B484" s="658" t="s">
        <v>3574</v>
      </c>
      <c r="C484" s="659" t="s">
        <v>1689</v>
      </c>
      <c r="D484" s="678">
        <v>20</v>
      </c>
      <c r="E484" s="679">
        <v>560</v>
      </c>
      <c r="F484" s="678">
        <v>11200</v>
      </c>
      <c r="G484" s="660" t="s">
        <v>3575</v>
      </c>
      <c r="H484" s="683"/>
    </row>
    <row r="485" spans="1:8" ht="47.25">
      <c r="A485" s="661" t="s">
        <v>388</v>
      </c>
      <c r="B485" s="658" t="s">
        <v>3576</v>
      </c>
      <c r="C485" s="659" t="s">
        <v>1689</v>
      </c>
      <c r="D485" s="678">
        <v>15</v>
      </c>
      <c r="E485" s="679">
        <v>1800</v>
      </c>
      <c r="F485" s="678">
        <v>27000</v>
      </c>
      <c r="G485" s="660" t="s">
        <v>3577</v>
      </c>
      <c r="H485" s="683"/>
    </row>
    <row r="486" spans="1:8" ht="31.5">
      <c r="A486" s="661" t="s">
        <v>389</v>
      </c>
      <c r="B486" s="658" t="s">
        <v>3578</v>
      </c>
      <c r="C486" s="659" t="s">
        <v>2679</v>
      </c>
      <c r="D486" s="678">
        <v>10</v>
      </c>
      <c r="E486" s="679">
        <v>250</v>
      </c>
      <c r="F486" s="678">
        <v>2500</v>
      </c>
      <c r="G486" s="660" t="s">
        <v>3579</v>
      </c>
      <c r="H486" s="683"/>
    </row>
    <row r="487" spans="1:8" ht="47.25">
      <c r="A487" s="661" t="s">
        <v>390</v>
      </c>
      <c r="B487" s="658" t="s">
        <v>3580</v>
      </c>
      <c r="C487" s="659" t="s">
        <v>2694</v>
      </c>
      <c r="D487" s="678">
        <v>50</v>
      </c>
      <c r="E487" s="679">
        <v>350</v>
      </c>
      <c r="F487" s="678">
        <v>17500</v>
      </c>
      <c r="G487" s="660" t="s">
        <v>3581</v>
      </c>
      <c r="H487" s="683"/>
    </row>
    <row r="488" spans="1:8" ht="47.25">
      <c r="A488" s="661" t="s">
        <v>391</v>
      </c>
      <c r="B488" s="658" t="s">
        <v>3582</v>
      </c>
      <c r="C488" s="659" t="s">
        <v>1689</v>
      </c>
      <c r="D488" s="678">
        <v>20</v>
      </c>
      <c r="E488" s="679">
        <v>600</v>
      </c>
      <c r="F488" s="678">
        <v>12000</v>
      </c>
      <c r="G488" s="660" t="s">
        <v>3583</v>
      </c>
      <c r="H488" s="683"/>
    </row>
    <row r="489" spans="1:8" ht="31.5">
      <c r="A489" s="661" t="s">
        <v>392</v>
      </c>
      <c r="B489" s="658" t="s">
        <v>3584</v>
      </c>
      <c r="C489" s="659" t="s">
        <v>3</v>
      </c>
      <c r="D489" s="678">
        <v>15</v>
      </c>
      <c r="E489" s="679">
        <v>250</v>
      </c>
      <c r="F489" s="678">
        <v>3750</v>
      </c>
      <c r="G489" s="660" t="s">
        <v>3585</v>
      </c>
      <c r="H489" s="683"/>
    </row>
    <row r="490" spans="1:8" ht="28.5">
      <c r="A490" s="661" t="s">
        <v>393</v>
      </c>
      <c r="B490" s="658" t="s">
        <v>3586</v>
      </c>
      <c r="C490" s="659" t="s">
        <v>14</v>
      </c>
      <c r="D490" s="678">
        <v>1</v>
      </c>
      <c r="E490" s="679">
        <v>180000</v>
      </c>
      <c r="F490" s="678">
        <v>180000</v>
      </c>
      <c r="G490" s="660" t="s">
        <v>3587</v>
      </c>
      <c r="H490" s="683"/>
    </row>
    <row r="491" spans="1:8" ht="47.25">
      <c r="A491" s="661" t="s">
        <v>394</v>
      </c>
      <c r="B491" s="658" t="s">
        <v>3588</v>
      </c>
      <c r="C491" s="659" t="s">
        <v>14</v>
      </c>
      <c r="D491" s="678">
        <v>1</v>
      </c>
      <c r="E491" s="679">
        <v>51000</v>
      </c>
      <c r="F491" s="678">
        <v>51000</v>
      </c>
      <c r="G491" s="660" t="s">
        <v>3589</v>
      </c>
      <c r="H491" s="683"/>
    </row>
    <row r="492" spans="1:8" ht="31.5">
      <c r="A492" s="661" t="s">
        <v>395</v>
      </c>
      <c r="B492" s="658" t="s">
        <v>3590</v>
      </c>
      <c r="C492" s="659" t="s">
        <v>14</v>
      </c>
      <c r="D492" s="678">
        <v>1</v>
      </c>
      <c r="E492" s="679">
        <v>46000</v>
      </c>
      <c r="F492" s="678">
        <v>46000</v>
      </c>
      <c r="G492" s="660" t="s">
        <v>3591</v>
      </c>
      <c r="H492" s="683"/>
    </row>
    <row r="493" spans="1:8">
      <c r="A493" s="657" t="s">
        <v>3592</v>
      </c>
      <c r="B493" s="658" t="s">
        <v>3593</v>
      </c>
      <c r="C493" s="659" t="s">
        <v>14</v>
      </c>
      <c r="D493" s="678">
        <v>1</v>
      </c>
      <c r="E493" s="679"/>
      <c r="F493" s="678">
        <v>291000</v>
      </c>
      <c r="G493" s="660" t="s">
        <v>3594</v>
      </c>
      <c r="H493" s="683"/>
    </row>
    <row r="494" spans="1:8" ht="31.5">
      <c r="A494" s="661" t="s">
        <v>396</v>
      </c>
      <c r="B494" s="658" t="s">
        <v>3595</v>
      </c>
      <c r="C494" s="659" t="s">
        <v>2238</v>
      </c>
      <c r="D494" s="678">
        <v>60</v>
      </c>
      <c r="E494" s="679">
        <v>2500</v>
      </c>
      <c r="F494" s="678">
        <v>150000</v>
      </c>
      <c r="G494" s="660" t="s">
        <v>3596</v>
      </c>
      <c r="H494" s="683"/>
    </row>
    <row r="495" spans="1:8" ht="31.5">
      <c r="A495" s="661" t="s">
        <v>397</v>
      </c>
      <c r="B495" s="658" t="s">
        <v>3597</v>
      </c>
      <c r="C495" s="659" t="s">
        <v>14</v>
      </c>
      <c r="D495" s="678">
        <v>1</v>
      </c>
      <c r="E495" s="679">
        <v>35000</v>
      </c>
      <c r="F495" s="678">
        <v>35000</v>
      </c>
      <c r="G495" s="660" t="s">
        <v>3598</v>
      </c>
      <c r="H495" s="683"/>
    </row>
    <row r="496" spans="1:8" ht="31.5">
      <c r="A496" s="661" t="s">
        <v>398</v>
      </c>
      <c r="B496" s="658" t="s">
        <v>3599</v>
      </c>
      <c r="C496" s="659" t="s">
        <v>14</v>
      </c>
      <c r="D496" s="678">
        <v>1</v>
      </c>
      <c r="E496" s="679">
        <v>35500</v>
      </c>
      <c r="F496" s="678">
        <v>35500</v>
      </c>
      <c r="G496" s="660" t="s">
        <v>3600</v>
      </c>
      <c r="H496" s="683"/>
    </row>
    <row r="497" spans="1:8" ht="28.5">
      <c r="A497" s="661" t="s">
        <v>399</v>
      </c>
      <c r="B497" s="658" t="s">
        <v>3601</v>
      </c>
      <c r="C497" s="659" t="s">
        <v>14</v>
      </c>
      <c r="D497" s="678">
        <v>1</v>
      </c>
      <c r="E497" s="679">
        <v>35000</v>
      </c>
      <c r="F497" s="678">
        <v>35000</v>
      </c>
      <c r="G497" s="660" t="s">
        <v>3602</v>
      </c>
      <c r="H497" s="683"/>
    </row>
    <row r="498" spans="1:8" ht="31.5">
      <c r="A498" s="661" t="s">
        <v>400</v>
      </c>
      <c r="B498" s="658" t="s">
        <v>3603</v>
      </c>
      <c r="C498" s="659" t="s">
        <v>14</v>
      </c>
      <c r="D498" s="678">
        <v>1</v>
      </c>
      <c r="E498" s="679">
        <v>35500</v>
      </c>
      <c r="F498" s="678">
        <v>35500</v>
      </c>
      <c r="G498" s="660" t="s">
        <v>533</v>
      </c>
      <c r="H498" s="683"/>
    </row>
    <row r="499" spans="1:8">
      <c r="A499" s="657" t="s">
        <v>3604</v>
      </c>
      <c r="B499" s="658" t="s">
        <v>3605</v>
      </c>
      <c r="C499" s="659" t="s">
        <v>14</v>
      </c>
      <c r="D499" s="678">
        <v>1</v>
      </c>
      <c r="E499" s="679"/>
      <c r="F499" s="678">
        <v>320762</v>
      </c>
      <c r="G499" s="660" t="s">
        <v>3606</v>
      </c>
      <c r="H499" s="683"/>
    </row>
    <row r="500" spans="1:8" ht="31.5">
      <c r="A500" s="657" t="s">
        <v>3607</v>
      </c>
      <c r="B500" s="658" t="s">
        <v>3608</v>
      </c>
      <c r="C500" s="659" t="s">
        <v>14</v>
      </c>
      <c r="D500" s="678">
        <v>1</v>
      </c>
      <c r="E500" s="679"/>
      <c r="F500" s="678">
        <v>2283169.0099999998</v>
      </c>
      <c r="G500" s="660" t="s">
        <v>3609</v>
      </c>
      <c r="H500" s="683"/>
    </row>
    <row r="501" spans="1:8">
      <c r="A501" s="657" t="s">
        <v>3610</v>
      </c>
      <c r="B501" s="658" t="s">
        <v>3611</v>
      </c>
      <c r="C501" s="659" t="s">
        <v>14</v>
      </c>
      <c r="D501" s="678">
        <v>1</v>
      </c>
      <c r="E501" s="679"/>
      <c r="F501" s="678">
        <v>5600</v>
      </c>
      <c r="G501" s="660" t="s">
        <v>2</v>
      </c>
      <c r="H501" s="683"/>
    </row>
    <row r="502" spans="1:8" ht="99.75">
      <c r="A502" s="661" t="s">
        <v>534</v>
      </c>
      <c r="B502" s="658" t="s">
        <v>3612</v>
      </c>
      <c r="C502" s="659" t="s">
        <v>3</v>
      </c>
      <c r="D502" s="678">
        <v>100</v>
      </c>
      <c r="E502" s="679">
        <v>56</v>
      </c>
      <c r="F502" s="678">
        <v>5600</v>
      </c>
      <c r="G502" s="660" t="s">
        <v>3613</v>
      </c>
      <c r="H502" s="683"/>
    </row>
    <row r="503" spans="1:8" ht="16.5" customHeight="1">
      <c r="A503" s="657"/>
      <c r="B503" s="662" t="s">
        <v>3614</v>
      </c>
      <c r="C503" s="659"/>
      <c r="D503" s="678"/>
      <c r="E503" s="679"/>
      <c r="F503" s="678">
        <v>23139623</v>
      </c>
      <c r="G503" s="660"/>
      <c r="H503" s="683"/>
    </row>
    <row r="504" spans="1:8">
      <c r="A504" s="657"/>
      <c r="B504" s="662" t="s">
        <v>3615</v>
      </c>
      <c r="C504" s="659"/>
      <c r="D504" s="678"/>
      <c r="E504" s="679"/>
      <c r="F504" s="678">
        <v>23139623</v>
      </c>
      <c r="G504" s="660"/>
      <c r="H504" s="683"/>
    </row>
    <row r="505" spans="1:8">
      <c r="A505" s="1674" t="s">
        <v>3616</v>
      </c>
      <c r="B505" s="1675"/>
      <c r="C505" s="1675"/>
      <c r="D505" s="1675"/>
      <c r="E505" s="1675"/>
      <c r="F505" s="1675"/>
      <c r="G505" s="1676"/>
      <c r="H505" s="99"/>
    </row>
    <row r="506" spans="1:8" ht="16.5" customHeight="1">
      <c r="A506" s="1651" t="s">
        <v>3617</v>
      </c>
      <c r="B506" s="1652"/>
      <c r="C506" s="1652"/>
      <c r="D506" s="1652"/>
      <c r="E506" s="1652"/>
      <c r="F506" s="1652"/>
      <c r="G506" s="1653"/>
      <c r="H506" s="100"/>
    </row>
    <row r="507" spans="1:8">
      <c r="H507" s="101"/>
    </row>
    <row r="508" spans="1:8">
      <c r="H508" s="24"/>
    </row>
    <row r="509" spans="1:8">
      <c r="H509" s="24"/>
    </row>
    <row r="510" spans="1:8">
      <c r="H510" s="24"/>
    </row>
    <row r="511" spans="1:8">
      <c r="H511" s="24"/>
    </row>
    <row r="512" spans="1:8">
      <c r="H512" s="28"/>
    </row>
    <row r="513" spans="8:8">
      <c r="H513" s="24"/>
    </row>
    <row r="514" spans="8:8">
      <c r="H514" s="24"/>
    </row>
    <row r="515" spans="8:8">
      <c r="H515" s="24"/>
    </row>
    <row r="516" spans="8:8">
      <c r="H516" s="24"/>
    </row>
  </sheetData>
  <mergeCells count="8">
    <mergeCell ref="A505:G505"/>
    <mergeCell ref="A506:G506"/>
    <mergeCell ref="A1:G1"/>
    <mergeCell ref="A2:G2"/>
    <mergeCell ref="A3:G3"/>
    <mergeCell ref="A4:G4"/>
    <mergeCell ref="A5:E5"/>
    <mergeCell ref="F5:G5"/>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6">
    <tabColor theme="5" tint="0.59999389629810485"/>
  </sheetPr>
  <dimension ref="A1:H3319"/>
  <sheetViews>
    <sheetView zoomScale="130" zoomScaleNormal="130" zoomScaleSheetLayoutView="100" workbookViewId="0">
      <selection activeCell="A6" sqref="A1:I1048576"/>
    </sheetView>
  </sheetViews>
  <sheetFormatPr defaultColWidth="8.5" defaultRowHeight="12.75" customHeight="1"/>
  <cols>
    <col min="1" max="1" width="7.875" style="162" customWidth="1"/>
    <col min="2" max="2" width="24.375" style="162" customWidth="1"/>
    <col min="3" max="3" width="5.5" style="162" customWidth="1"/>
    <col min="4" max="4" width="8.875" style="162" customWidth="1"/>
    <col min="5" max="5" width="9.875" style="162" customWidth="1"/>
    <col min="6" max="6" width="9" style="165" customWidth="1"/>
    <col min="7" max="7" width="14.625" style="165" customWidth="1"/>
    <col min="8" max="8" width="0.75" style="31" customWidth="1"/>
    <col min="9" max="16384" width="8.5" style="32"/>
  </cols>
  <sheetData>
    <row r="1" spans="1:8" ht="30.75" customHeight="1">
      <c r="A1" s="1654" t="s">
        <v>914</v>
      </c>
      <c r="B1" s="1654"/>
      <c r="C1" s="1654"/>
      <c r="D1" s="1654"/>
      <c r="E1" s="1654"/>
      <c r="F1" s="1654"/>
      <c r="G1" s="1654"/>
    </row>
    <row r="2" spans="1:8" ht="20.25" customHeight="1">
      <c r="A2" s="1654" t="s">
        <v>915</v>
      </c>
      <c r="B2" s="1654"/>
      <c r="C2" s="1654"/>
      <c r="D2" s="1654"/>
      <c r="E2" s="1654"/>
      <c r="F2" s="1654"/>
      <c r="G2" s="1654"/>
    </row>
    <row r="3" spans="1:8" ht="16.5" customHeight="1">
      <c r="A3" s="1658"/>
      <c r="B3" s="1658"/>
      <c r="C3" s="1658"/>
      <c r="D3" s="1658"/>
      <c r="E3" s="1658"/>
      <c r="F3" s="1658"/>
      <c r="G3" s="1658"/>
    </row>
    <row r="4" spans="1:8" ht="16.5" customHeight="1">
      <c r="A4" s="1679" t="s">
        <v>5491</v>
      </c>
      <c r="B4" s="1679"/>
      <c r="C4" s="1679"/>
      <c r="D4" s="1679"/>
      <c r="E4" s="1679"/>
      <c r="F4" s="1679"/>
      <c r="G4" s="1679"/>
    </row>
    <row r="5" spans="1:8" s="33" customFormat="1" ht="17.25" customHeight="1">
      <c r="A5" s="1679" t="s">
        <v>916</v>
      </c>
      <c r="B5" s="1679"/>
      <c r="C5" s="1679"/>
      <c r="D5" s="1679"/>
      <c r="E5" s="1679"/>
      <c r="F5" s="1679"/>
      <c r="G5" s="1679"/>
    </row>
    <row r="6" spans="1:8" s="31" customFormat="1" ht="18" customHeight="1">
      <c r="A6" s="151" t="s">
        <v>10</v>
      </c>
      <c r="B6" s="152" t="s">
        <v>917</v>
      </c>
      <c r="C6" s="152" t="s">
        <v>12</v>
      </c>
      <c r="D6" s="152" t="s">
        <v>11</v>
      </c>
      <c r="E6" s="154" t="s">
        <v>918</v>
      </c>
      <c r="F6" s="154" t="s">
        <v>919</v>
      </c>
      <c r="G6" s="152" t="s">
        <v>920</v>
      </c>
      <c r="H6" s="31" t="s">
        <v>921</v>
      </c>
    </row>
    <row r="7" spans="1:8" ht="33">
      <c r="A7" s="160" t="s">
        <v>922</v>
      </c>
      <c r="B7" s="160" t="s">
        <v>923</v>
      </c>
      <c r="C7" s="157" t="s">
        <v>0</v>
      </c>
      <c r="D7" s="159">
        <v>100</v>
      </c>
      <c r="E7" s="159">
        <v>1052.3499999999999</v>
      </c>
      <c r="F7" s="159"/>
      <c r="G7" s="160" t="s">
        <v>924</v>
      </c>
      <c r="H7" s="34" t="s">
        <v>925</v>
      </c>
    </row>
    <row r="8" spans="1:8" ht="33">
      <c r="A8" s="160">
        <v>1</v>
      </c>
      <c r="B8" s="160" t="s">
        <v>5500</v>
      </c>
      <c r="C8" s="157" t="s">
        <v>927</v>
      </c>
      <c r="D8" s="159">
        <v>40</v>
      </c>
      <c r="E8" s="159">
        <v>1291.5999999999999</v>
      </c>
      <c r="F8" s="159">
        <v>51664</v>
      </c>
      <c r="G8" s="160" t="s">
        <v>928</v>
      </c>
      <c r="H8" s="34" t="s">
        <v>925</v>
      </c>
    </row>
    <row r="9" spans="1:8" ht="33">
      <c r="A9" s="160">
        <v>2</v>
      </c>
      <c r="B9" s="160" t="s">
        <v>5499</v>
      </c>
      <c r="C9" s="157" t="s">
        <v>927</v>
      </c>
      <c r="D9" s="159">
        <v>5</v>
      </c>
      <c r="E9" s="159">
        <v>1490.31</v>
      </c>
      <c r="F9" s="159">
        <v>7451.55</v>
      </c>
      <c r="G9" s="160" t="s">
        <v>930</v>
      </c>
      <c r="H9" s="34" t="s">
        <v>925</v>
      </c>
    </row>
    <row r="10" spans="1:8" ht="42.75">
      <c r="A10" s="160">
        <v>3</v>
      </c>
      <c r="B10" s="160" t="s">
        <v>4869</v>
      </c>
      <c r="C10" s="157" t="s">
        <v>927</v>
      </c>
      <c r="D10" s="159">
        <v>45</v>
      </c>
      <c r="E10" s="159">
        <v>398.41</v>
      </c>
      <c r="F10" s="159">
        <v>17928.45</v>
      </c>
      <c r="G10" s="160" t="s">
        <v>4870</v>
      </c>
      <c r="H10" s="34" t="s">
        <v>925</v>
      </c>
    </row>
    <row r="11" spans="1:8" ht="33">
      <c r="A11" s="160">
        <v>4</v>
      </c>
      <c r="B11" s="160" t="s">
        <v>4871</v>
      </c>
      <c r="C11" s="157" t="s">
        <v>927</v>
      </c>
      <c r="D11" s="159">
        <v>90</v>
      </c>
      <c r="E11" s="159">
        <v>279.18</v>
      </c>
      <c r="F11" s="159">
        <v>25126.2</v>
      </c>
      <c r="G11" s="160" t="s">
        <v>4872</v>
      </c>
      <c r="H11" s="34" t="s">
        <v>925</v>
      </c>
    </row>
    <row r="12" spans="1:8" ht="33">
      <c r="A12" s="160">
        <v>5</v>
      </c>
      <c r="B12" s="160" t="s">
        <v>931</v>
      </c>
      <c r="C12" s="157" t="s">
        <v>14</v>
      </c>
      <c r="D12" s="159">
        <v>1</v>
      </c>
      <c r="E12" s="159">
        <v>3065.11</v>
      </c>
      <c r="F12" s="159">
        <v>3065.11</v>
      </c>
      <c r="G12" s="160" t="s">
        <v>932</v>
      </c>
      <c r="H12" s="34" t="s">
        <v>925</v>
      </c>
    </row>
    <row r="13" spans="1:8" ht="33">
      <c r="A13" s="160"/>
      <c r="B13" s="160" t="s">
        <v>933</v>
      </c>
      <c r="C13" s="157" t="s">
        <v>0</v>
      </c>
      <c r="D13" s="159">
        <v>100</v>
      </c>
      <c r="E13" s="159"/>
      <c r="F13" s="159">
        <v>105235.31</v>
      </c>
      <c r="G13" s="160"/>
      <c r="H13" s="34" t="s">
        <v>925</v>
      </c>
    </row>
    <row r="14" spans="1:8" ht="33">
      <c r="A14" s="160"/>
      <c r="B14" s="160" t="s">
        <v>934</v>
      </c>
      <c r="C14" s="157" t="s">
        <v>0</v>
      </c>
      <c r="D14" s="159"/>
      <c r="E14" s="159"/>
      <c r="F14" s="159">
        <v>1052.3499999999999</v>
      </c>
      <c r="G14" s="160"/>
      <c r="H14" s="34" t="s">
        <v>925</v>
      </c>
    </row>
    <row r="15" spans="1:8" ht="16.5">
      <c r="A15" s="160"/>
      <c r="B15" s="160"/>
      <c r="C15" s="157"/>
      <c r="D15" s="159"/>
      <c r="E15" s="159"/>
      <c r="F15" s="159"/>
      <c r="G15" s="160"/>
    </row>
    <row r="16" spans="1:8" ht="33">
      <c r="A16" s="160" t="s">
        <v>935</v>
      </c>
      <c r="B16" s="160" t="s">
        <v>936</v>
      </c>
      <c r="C16" s="157" t="s">
        <v>0</v>
      </c>
      <c r="D16" s="159">
        <v>100</v>
      </c>
      <c r="E16" s="159">
        <v>681.82</v>
      </c>
      <c r="F16" s="159"/>
      <c r="G16" s="160" t="s">
        <v>937</v>
      </c>
      <c r="H16" s="34" t="s">
        <v>925</v>
      </c>
    </row>
    <row r="17" spans="1:8" ht="33">
      <c r="A17" s="160">
        <v>1</v>
      </c>
      <c r="B17" s="160" t="s">
        <v>5500</v>
      </c>
      <c r="C17" s="157" t="s">
        <v>927</v>
      </c>
      <c r="D17" s="159">
        <v>24</v>
      </c>
      <c r="E17" s="159">
        <v>1291.5999999999999</v>
      </c>
      <c r="F17" s="159">
        <v>30998.400000000001</v>
      </c>
      <c r="G17" s="160" t="s">
        <v>928</v>
      </c>
      <c r="H17" s="34" t="s">
        <v>925</v>
      </c>
    </row>
    <row r="18" spans="1:8" ht="33">
      <c r="A18" s="160">
        <v>2</v>
      </c>
      <c r="B18" s="160" t="s">
        <v>5499</v>
      </c>
      <c r="C18" s="157" t="s">
        <v>927</v>
      </c>
      <c r="D18" s="159">
        <v>5</v>
      </c>
      <c r="E18" s="159">
        <v>1490.31</v>
      </c>
      <c r="F18" s="159">
        <v>7451.55</v>
      </c>
      <c r="G18" s="160" t="s">
        <v>930</v>
      </c>
      <c r="H18" s="34" t="s">
        <v>925</v>
      </c>
    </row>
    <row r="19" spans="1:8" ht="42.75">
      <c r="A19" s="160">
        <v>3</v>
      </c>
      <c r="B19" s="160" t="s">
        <v>4869</v>
      </c>
      <c r="C19" s="157" t="s">
        <v>927</v>
      </c>
      <c r="D19" s="159">
        <v>29</v>
      </c>
      <c r="E19" s="159">
        <v>398.41</v>
      </c>
      <c r="F19" s="159">
        <v>11553.89</v>
      </c>
      <c r="G19" s="160" t="s">
        <v>4870</v>
      </c>
      <c r="H19" s="34" t="s">
        <v>925</v>
      </c>
    </row>
    <row r="20" spans="1:8" ht="33">
      <c r="A20" s="160">
        <v>4</v>
      </c>
      <c r="B20" s="160" t="s">
        <v>4871</v>
      </c>
      <c r="C20" s="157" t="s">
        <v>927</v>
      </c>
      <c r="D20" s="159">
        <v>58</v>
      </c>
      <c r="E20" s="159">
        <v>279.18</v>
      </c>
      <c r="F20" s="159">
        <v>16192.44</v>
      </c>
      <c r="G20" s="160" t="s">
        <v>4872</v>
      </c>
      <c r="H20" s="34" t="s">
        <v>925</v>
      </c>
    </row>
    <row r="21" spans="1:8" ht="33">
      <c r="A21" s="160">
        <v>5</v>
      </c>
      <c r="B21" s="160" t="s">
        <v>931</v>
      </c>
      <c r="C21" s="157" t="s">
        <v>14</v>
      </c>
      <c r="D21" s="159">
        <v>1</v>
      </c>
      <c r="E21" s="159">
        <v>1985.89</v>
      </c>
      <c r="F21" s="159">
        <v>1985.89</v>
      </c>
      <c r="G21" s="160" t="s">
        <v>932</v>
      </c>
      <c r="H21" s="34" t="s">
        <v>925</v>
      </c>
    </row>
    <row r="22" spans="1:8" ht="33">
      <c r="A22" s="160"/>
      <c r="B22" s="160" t="s">
        <v>933</v>
      </c>
      <c r="C22" s="157" t="s">
        <v>0</v>
      </c>
      <c r="D22" s="159">
        <v>100</v>
      </c>
      <c r="E22" s="159"/>
      <c r="F22" s="159">
        <v>68182.17</v>
      </c>
      <c r="G22" s="160"/>
      <c r="H22" s="34" t="s">
        <v>925</v>
      </c>
    </row>
    <row r="23" spans="1:8" ht="33">
      <c r="A23" s="160"/>
      <c r="B23" s="160" t="s">
        <v>934</v>
      </c>
      <c r="C23" s="157" t="s">
        <v>0</v>
      </c>
      <c r="D23" s="159"/>
      <c r="E23" s="159"/>
      <c r="F23" s="159">
        <v>681.82</v>
      </c>
      <c r="G23" s="160"/>
      <c r="H23" s="34" t="s">
        <v>925</v>
      </c>
    </row>
    <row r="24" spans="1:8" ht="16.5">
      <c r="A24" s="160"/>
      <c r="B24" s="160"/>
      <c r="C24" s="157"/>
      <c r="D24" s="159"/>
      <c r="E24" s="159"/>
      <c r="F24" s="159"/>
      <c r="G24" s="160"/>
    </row>
    <row r="25" spans="1:8" ht="33">
      <c r="A25" s="160" t="s">
        <v>938</v>
      </c>
      <c r="B25" s="160" t="s">
        <v>4416</v>
      </c>
      <c r="C25" s="157" t="s">
        <v>0</v>
      </c>
      <c r="D25" s="159">
        <v>100</v>
      </c>
      <c r="E25" s="159">
        <v>1720.2</v>
      </c>
      <c r="F25" s="159"/>
      <c r="G25" s="160" t="s">
        <v>4873</v>
      </c>
      <c r="H25" s="34" t="s">
        <v>925</v>
      </c>
    </row>
    <row r="26" spans="1:8" ht="33">
      <c r="A26" s="160">
        <v>1</v>
      </c>
      <c r="B26" s="160" t="s">
        <v>926</v>
      </c>
      <c r="C26" s="157" t="s">
        <v>927</v>
      </c>
      <c r="D26" s="159">
        <v>46</v>
      </c>
      <c r="E26" s="159">
        <v>1291.5999999999999</v>
      </c>
      <c r="F26" s="159">
        <v>59413.599999999999</v>
      </c>
      <c r="G26" s="160" t="s">
        <v>928</v>
      </c>
      <c r="H26" s="34" t="s">
        <v>925</v>
      </c>
    </row>
    <row r="27" spans="1:8" ht="33">
      <c r="A27" s="160">
        <v>2</v>
      </c>
      <c r="B27" s="160" t="s">
        <v>929</v>
      </c>
      <c r="C27" s="157" t="s">
        <v>927</v>
      </c>
      <c r="D27" s="159">
        <v>5.75</v>
      </c>
      <c r="E27" s="159">
        <v>1490.31</v>
      </c>
      <c r="F27" s="159">
        <v>8569.2800000000007</v>
      </c>
      <c r="G27" s="160" t="s">
        <v>930</v>
      </c>
      <c r="H27" s="34" t="s">
        <v>925</v>
      </c>
    </row>
    <row r="28" spans="1:8" ht="33">
      <c r="A28" s="160">
        <v>3</v>
      </c>
      <c r="B28" s="160" t="s">
        <v>4046</v>
      </c>
      <c r="C28" s="157" t="s">
        <v>927</v>
      </c>
      <c r="D28" s="159">
        <v>51.75</v>
      </c>
      <c r="E28" s="159">
        <v>796.82</v>
      </c>
      <c r="F28" s="159">
        <v>41235.440000000002</v>
      </c>
      <c r="G28" s="160" t="s">
        <v>2477</v>
      </c>
      <c r="H28" s="34" t="s">
        <v>925</v>
      </c>
    </row>
    <row r="29" spans="1:8" ht="42.75">
      <c r="A29" s="160">
        <v>4</v>
      </c>
      <c r="B29" s="160" t="s">
        <v>4874</v>
      </c>
      <c r="C29" s="157" t="s">
        <v>927</v>
      </c>
      <c r="D29" s="159">
        <v>103.5</v>
      </c>
      <c r="E29" s="159">
        <v>558.37</v>
      </c>
      <c r="F29" s="159">
        <v>57791.3</v>
      </c>
      <c r="G29" s="160" t="s">
        <v>4875</v>
      </c>
      <c r="H29" s="34" t="s">
        <v>925</v>
      </c>
    </row>
    <row r="30" spans="1:8" ht="33">
      <c r="A30" s="160">
        <v>5</v>
      </c>
      <c r="B30" s="160" t="s">
        <v>931</v>
      </c>
      <c r="C30" s="157" t="s">
        <v>14</v>
      </c>
      <c r="D30" s="159">
        <v>1</v>
      </c>
      <c r="E30" s="159">
        <v>5010.29</v>
      </c>
      <c r="F30" s="159">
        <v>5010.29</v>
      </c>
      <c r="G30" s="160" t="s">
        <v>932</v>
      </c>
      <c r="H30" s="34" t="s">
        <v>925</v>
      </c>
    </row>
    <row r="31" spans="1:8" ht="33">
      <c r="A31" s="160"/>
      <c r="B31" s="160" t="s">
        <v>933</v>
      </c>
      <c r="C31" s="157" t="s">
        <v>0</v>
      </c>
      <c r="D31" s="159">
        <v>100</v>
      </c>
      <c r="E31" s="159"/>
      <c r="F31" s="159">
        <v>172019.91</v>
      </c>
      <c r="G31" s="160"/>
      <c r="H31" s="34" t="s">
        <v>925</v>
      </c>
    </row>
    <row r="32" spans="1:8" ht="33">
      <c r="A32" s="160"/>
      <c r="B32" s="160" t="s">
        <v>934</v>
      </c>
      <c r="C32" s="157" t="s">
        <v>0</v>
      </c>
      <c r="D32" s="159"/>
      <c r="E32" s="159"/>
      <c r="F32" s="159">
        <v>1720.2</v>
      </c>
      <c r="G32" s="160"/>
      <c r="H32" s="34" t="s">
        <v>925</v>
      </c>
    </row>
    <row r="33" spans="1:8" ht="33">
      <c r="A33" s="160"/>
      <c r="B33" s="160"/>
      <c r="C33" s="157"/>
      <c r="D33" s="159"/>
      <c r="E33" s="159"/>
      <c r="F33" s="159"/>
      <c r="G33" s="160"/>
      <c r="H33" s="34" t="s">
        <v>925</v>
      </c>
    </row>
    <row r="34" spans="1:8" ht="33">
      <c r="A34" s="160" t="s">
        <v>949</v>
      </c>
      <c r="B34" s="160" t="s">
        <v>953</v>
      </c>
      <c r="C34" s="157" t="s">
        <v>0</v>
      </c>
      <c r="D34" s="159">
        <v>1</v>
      </c>
      <c r="E34" s="159">
        <v>4370.8500000000004</v>
      </c>
      <c r="F34" s="159"/>
      <c r="G34" s="160" t="s">
        <v>954</v>
      </c>
      <c r="H34" s="34" t="s">
        <v>925</v>
      </c>
    </row>
    <row r="35" spans="1:8" ht="33">
      <c r="A35" s="160">
        <v>1</v>
      </c>
      <c r="B35" s="160" t="s">
        <v>4871</v>
      </c>
      <c r="C35" s="157" t="s">
        <v>927</v>
      </c>
      <c r="D35" s="159">
        <v>15.2</v>
      </c>
      <c r="E35" s="159">
        <v>279.18</v>
      </c>
      <c r="F35" s="159">
        <v>4243.54</v>
      </c>
      <c r="G35" s="160" t="s">
        <v>4872</v>
      </c>
      <c r="H35" s="34" t="s">
        <v>925</v>
      </c>
    </row>
    <row r="36" spans="1:8" ht="28.5">
      <c r="A36" s="160">
        <v>2</v>
      </c>
      <c r="B36" s="160" t="s">
        <v>955</v>
      </c>
      <c r="C36" s="157" t="s">
        <v>14</v>
      </c>
      <c r="D36" s="159">
        <v>1</v>
      </c>
      <c r="E36" s="159">
        <v>127.31</v>
      </c>
      <c r="F36" s="159">
        <v>127.31</v>
      </c>
      <c r="G36" s="160" t="s">
        <v>956</v>
      </c>
    </row>
    <row r="37" spans="1:8" ht="33">
      <c r="A37" s="160"/>
      <c r="B37" s="160" t="s">
        <v>933</v>
      </c>
      <c r="C37" s="157" t="s">
        <v>0</v>
      </c>
      <c r="D37" s="159">
        <v>1</v>
      </c>
      <c r="E37" s="159"/>
      <c r="F37" s="159">
        <v>4370.8500000000004</v>
      </c>
      <c r="G37" s="160"/>
      <c r="H37" s="34" t="s">
        <v>925</v>
      </c>
    </row>
    <row r="38" spans="1:8" ht="33">
      <c r="A38" s="160"/>
      <c r="B38" s="160" t="s">
        <v>934</v>
      </c>
      <c r="C38" s="157" t="s">
        <v>0</v>
      </c>
      <c r="D38" s="159"/>
      <c r="E38" s="159"/>
      <c r="F38" s="159">
        <v>4370.8500000000004</v>
      </c>
      <c r="G38" s="160"/>
      <c r="H38" s="34" t="s">
        <v>925</v>
      </c>
    </row>
    <row r="39" spans="1:8" ht="33">
      <c r="A39" s="160"/>
      <c r="B39" s="160"/>
      <c r="C39" s="157"/>
      <c r="D39" s="159"/>
      <c r="E39" s="159"/>
      <c r="F39" s="159"/>
      <c r="G39" s="160"/>
      <c r="H39" s="34" t="s">
        <v>925</v>
      </c>
    </row>
    <row r="40" spans="1:8" ht="57">
      <c r="A40" s="160" t="s">
        <v>952</v>
      </c>
      <c r="B40" s="160" t="s">
        <v>953</v>
      </c>
      <c r="C40" s="157" t="s">
        <v>0</v>
      </c>
      <c r="D40" s="159">
        <v>1</v>
      </c>
      <c r="E40" s="159">
        <v>5814.37</v>
      </c>
      <c r="F40" s="159"/>
      <c r="G40" s="160" t="s">
        <v>969</v>
      </c>
      <c r="H40" s="34" t="s">
        <v>925</v>
      </c>
    </row>
    <row r="41" spans="1:8" ht="33">
      <c r="A41" s="160">
        <v>1</v>
      </c>
      <c r="B41" s="160" t="s">
        <v>4871</v>
      </c>
      <c r="C41" s="157" t="s">
        <v>927</v>
      </c>
      <c r="D41" s="159">
        <v>20.22</v>
      </c>
      <c r="E41" s="159">
        <v>279.18</v>
      </c>
      <c r="F41" s="159">
        <v>5645.02</v>
      </c>
      <c r="G41" s="160" t="s">
        <v>4872</v>
      </c>
      <c r="H41" s="34" t="s">
        <v>925</v>
      </c>
    </row>
    <row r="42" spans="1:8" ht="33">
      <c r="A42" s="160">
        <v>2</v>
      </c>
      <c r="B42" s="160" t="s">
        <v>955</v>
      </c>
      <c r="C42" s="157" t="s">
        <v>14</v>
      </c>
      <c r="D42" s="159">
        <v>1</v>
      </c>
      <c r="E42" s="159">
        <v>169.35</v>
      </c>
      <c r="F42" s="159">
        <v>169.35</v>
      </c>
      <c r="G42" s="160" t="s">
        <v>956</v>
      </c>
      <c r="H42" s="34" t="s">
        <v>925</v>
      </c>
    </row>
    <row r="43" spans="1:8" ht="16.5">
      <c r="A43" s="160"/>
      <c r="B43" s="160" t="s">
        <v>933</v>
      </c>
      <c r="C43" s="157" t="s">
        <v>0</v>
      </c>
      <c r="D43" s="159">
        <v>1</v>
      </c>
      <c r="E43" s="159"/>
      <c r="F43" s="159">
        <v>5814.3700000000008</v>
      </c>
      <c r="G43" s="160"/>
    </row>
    <row r="44" spans="1:8" ht="33">
      <c r="A44" s="160"/>
      <c r="B44" s="160" t="s">
        <v>934</v>
      </c>
      <c r="C44" s="157" t="s">
        <v>0</v>
      </c>
      <c r="D44" s="159"/>
      <c r="E44" s="159"/>
      <c r="F44" s="159">
        <v>5814.37</v>
      </c>
      <c r="G44" s="160"/>
      <c r="H44" s="34" t="s">
        <v>925</v>
      </c>
    </row>
    <row r="45" spans="1:8" ht="33">
      <c r="A45" s="160"/>
      <c r="B45" s="160"/>
      <c r="C45" s="157"/>
      <c r="D45" s="159"/>
      <c r="E45" s="159"/>
      <c r="F45" s="159"/>
      <c r="G45" s="160"/>
      <c r="H45" s="34" t="s">
        <v>925</v>
      </c>
    </row>
    <row r="46" spans="1:8" ht="33">
      <c r="A46" s="160" t="s">
        <v>957</v>
      </c>
      <c r="B46" s="160" t="s">
        <v>453</v>
      </c>
      <c r="C46" s="157" t="s">
        <v>0</v>
      </c>
      <c r="D46" s="159">
        <v>1</v>
      </c>
      <c r="E46" s="159">
        <v>5636.09</v>
      </c>
      <c r="F46" s="159"/>
      <c r="G46" s="160" t="s">
        <v>988</v>
      </c>
      <c r="H46" s="34" t="s">
        <v>925</v>
      </c>
    </row>
    <row r="47" spans="1:8" ht="33">
      <c r="A47" s="160">
        <v>1</v>
      </c>
      <c r="B47" s="160" t="s">
        <v>4871</v>
      </c>
      <c r="C47" s="157" t="s">
        <v>927</v>
      </c>
      <c r="D47" s="159">
        <v>19.600000000000001</v>
      </c>
      <c r="E47" s="159">
        <v>279.18</v>
      </c>
      <c r="F47" s="159">
        <v>5471.93</v>
      </c>
      <c r="G47" s="160" t="s">
        <v>4876</v>
      </c>
      <c r="H47" s="34" t="s">
        <v>925</v>
      </c>
    </row>
    <row r="48" spans="1:8" ht="33">
      <c r="A48" s="160">
        <v>2</v>
      </c>
      <c r="B48" s="160" t="s">
        <v>955</v>
      </c>
      <c r="C48" s="157" t="s">
        <v>14</v>
      </c>
      <c r="D48" s="159">
        <v>1</v>
      </c>
      <c r="E48" s="159">
        <v>164.16</v>
      </c>
      <c r="F48" s="159">
        <v>164.16</v>
      </c>
      <c r="G48" s="160" t="s">
        <v>956</v>
      </c>
      <c r="H48" s="34" t="s">
        <v>925</v>
      </c>
    </row>
    <row r="49" spans="1:8" ht="16.5">
      <c r="A49" s="160"/>
      <c r="B49" s="160" t="s">
        <v>933</v>
      </c>
      <c r="C49" s="157" t="s">
        <v>0</v>
      </c>
      <c r="D49" s="159">
        <v>1</v>
      </c>
      <c r="E49" s="159"/>
      <c r="F49" s="159">
        <v>5636.09</v>
      </c>
      <c r="G49" s="160"/>
    </row>
    <row r="50" spans="1:8" ht="33">
      <c r="A50" s="160"/>
      <c r="B50" s="160" t="s">
        <v>934</v>
      </c>
      <c r="C50" s="157" t="s">
        <v>0</v>
      </c>
      <c r="D50" s="159"/>
      <c r="E50" s="159"/>
      <c r="F50" s="159">
        <v>5636.09</v>
      </c>
      <c r="G50" s="160"/>
      <c r="H50" s="34" t="s">
        <v>925</v>
      </c>
    </row>
    <row r="51" spans="1:8" ht="33">
      <c r="A51" s="160"/>
      <c r="B51" s="160"/>
      <c r="C51" s="157"/>
      <c r="D51" s="159"/>
      <c r="E51" s="159"/>
      <c r="F51" s="159"/>
      <c r="G51" s="160"/>
      <c r="H51" s="34" t="s">
        <v>925</v>
      </c>
    </row>
    <row r="52" spans="1:8" ht="57">
      <c r="A52" s="160" t="s">
        <v>960</v>
      </c>
      <c r="B52" s="160" t="s">
        <v>453</v>
      </c>
      <c r="C52" s="157" t="s">
        <v>0</v>
      </c>
      <c r="D52" s="159">
        <v>1</v>
      </c>
      <c r="E52" s="159">
        <v>7496.57</v>
      </c>
      <c r="F52" s="159"/>
      <c r="G52" s="160" t="s">
        <v>967</v>
      </c>
      <c r="H52" s="34" t="s">
        <v>925</v>
      </c>
    </row>
    <row r="53" spans="1:8" ht="33">
      <c r="A53" s="160">
        <v>1</v>
      </c>
      <c r="B53" s="160" t="s">
        <v>4871</v>
      </c>
      <c r="C53" s="157" t="s">
        <v>927</v>
      </c>
      <c r="D53" s="159">
        <v>26.07</v>
      </c>
      <c r="E53" s="159">
        <v>279.18</v>
      </c>
      <c r="F53" s="159">
        <v>7278.22</v>
      </c>
      <c r="G53" s="160" t="s">
        <v>4872</v>
      </c>
      <c r="H53" s="34" t="s">
        <v>925</v>
      </c>
    </row>
    <row r="54" spans="1:8" ht="33">
      <c r="A54" s="160">
        <v>2</v>
      </c>
      <c r="B54" s="160" t="s">
        <v>955</v>
      </c>
      <c r="C54" s="157" t="s">
        <v>14</v>
      </c>
      <c r="D54" s="159">
        <v>1</v>
      </c>
      <c r="E54" s="159">
        <v>218.35</v>
      </c>
      <c r="F54" s="159">
        <v>218.35</v>
      </c>
      <c r="G54" s="160" t="s">
        <v>956</v>
      </c>
      <c r="H54" s="34" t="s">
        <v>925</v>
      </c>
    </row>
    <row r="55" spans="1:8" ht="16.5">
      <c r="A55" s="160"/>
      <c r="B55" s="160" t="s">
        <v>933</v>
      </c>
      <c r="C55" s="157" t="s">
        <v>0</v>
      </c>
      <c r="D55" s="159">
        <v>1</v>
      </c>
      <c r="E55" s="159"/>
      <c r="F55" s="159">
        <v>7496.5700000000006</v>
      </c>
      <c r="G55" s="160"/>
    </row>
    <row r="56" spans="1:8" ht="33">
      <c r="A56" s="160"/>
      <c r="B56" s="160" t="s">
        <v>934</v>
      </c>
      <c r="C56" s="157" t="s">
        <v>0</v>
      </c>
      <c r="D56" s="159"/>
      <c r="E56" s="159"/>
      <c r="F56" s="159">
        <v>7496.57</v>
      </c>
      <c r="G56" s="160"/>
      <c r="H56" s="34" t="s">
        <v>925</v>
      </c>
    </row>
    <row r="57" spans="1:8" ht="33">
      <c r="A57" s="160"/>
      <c r="B57" s="160"/>
      <c r="C57" s="157"/>
      <c r="D57" s="159"/>
      <c r="E57" s="159"/>
      <c r="F57" s="159"/>
      <c r="G57" s="160"/>
      <c r="H57" s="34" t="s">
        <v>925</v>
      </c>
    </row>
    <row r="58" spans="1:8" ht="33">
      <c r="A58" s="160" t="s">
        <v>963</v>
      </c>
      <c r="B58" s="160" t="s">
        <v>2234</v>
      </c>
      <c r="C58" s="157" t="s">
        <v>0</v>
      </c>
      <c r="D58" s="159">
        <v>1</v>
      </c>
      <c r="E58" s="159">
        <v>12963.23</v>
      </c>
      <c r="F58" s="159"/>
      <c r="G58" s="160" t="s">
        <v>2235</v>
      </c>
      <c r="H58" s="34" t="s">
        <v>925</v>
      </c>
    </row>
    <row r="59" spans="1:8" ht="42.75">
      <c r="A59" s="160">
        <v>1</v>
      </c>
      <c r="B59" s="160" t="s">
        <v>4874</v>
      </c>
      <c r="C59" s="157" t="s">
        <v>927</v>
      </c>
      <c r="D59" s="159">
        <v>22.54</v>
      </c>
      <c r="E59" s="159">
        <v>558.37</v>
      </c>
      <c r="F59" s="159">
        <v>12585.66</v>
      </c>
      <c r="G59" s="160" t="s">
        <v>4875</v>
      </c>
      <c r="H59" s="34" t="s">
        <v>925</v>
      </c>
    </row>
    <row r="60" spans="1:8" ht="33">
      <c r="A60" s="160">
        <v>2</v>
      </c>
      <c r="B60" s="160" t="s">
        <v>955</v>
      </c>
      <c r="C60" s="157" t="s">
        <v>14</v>
      </c>
      <c r="D60" s="159">
        <v>1</v>
      </c>
      <c r="E60" s="159">
        <v>377.57</v>
      </c>
      <c r="F60" s="159">
        <v>377.57</v>
      </c>
      <c r="G60" s="160" t="s">
        <v>956</v>
      </c>
      <c r="H60" s="34" t="s">
        <v>925</v>
      </c>
    </row>
    <row r="61" spans="1:8" ht="33">
      <c r="A61" s="160"/>
      <c r="B61" s="160" t="s">
        <v>933</v>
      </c>
      <c r="C61" s="157" t="s">
        <v>0</v>
      </c>
      <c r="D61" s="159">
        <v>1</v>
      </c>
      <c r="E61" s="159"/>
      <c r="F61" s="159">
        <v>12963.23</v>
      </c>
      <c r="G61" s="160"/>
      <c r="H61" s="34" t="s">
        <v>925</v>
      </c>
    </row>
    <row r="62" spans="1:8" ht="33">
      <c r="A62" s="160"/>
      <c r="B62" s="160" t="s">
        <v>934</v>
      </c>
      <c r="C62" s="157" t="s">
        <v>0</v>
      </c>
      <c r="D62" s="159"/>
      <c r="E62" s="159"/>
      <c r="F62" s="159">
        <v>12963.23</v>
      </c>
      <c r="G62" s="160"/>
      <c r="H62" s="34" t="s">
        <v>925</v>
      </c>
    </row>
    <row r="63" spans="1:8" ht="33">
      <c r="A63" s="160"/>
      <c r="B63" s="160"/>
      <c r="C63" s="157"/>
      <c r="D63" s="159"/>
      <c r="E63" s="159"/>
      <c r="F63" s="159"/>
      <c r="G63" s="160"/>
      <c r="H63" s="34" t="s">
        <v>925</v>
      </c>
    </row>
    <row r="64" spans="1:8" ht="42.75">
      <c r="A64" s="160" t="s">
        <v>966</v>
      </c>
      <c r="B64" s="160" t="s">
        <v>939</v>
      </c>
      <c r="C64" s="157" t="s">
        <v>1</v>
      </c>
      <c r="D64" s="159">
        <v>100</v>
      </c>
      <c r="E64" s="159">
        <v>1401.6</v>
      </c>
      <c r="F64" s="159"/>
      <c r="G64" s="160" t="s">
        <v>940</v>
      </c>
      <c r="H64" s="34" t="s">
        <v>925</v>
      </c>
    </row>
    <row r="65" spans="1:8" ht="33">
      <c r="A65" s="160">
        <v>1</v>
      </c>
      <c r="B65" s="160" t="s">
        <v>941</v>
      </c>
      <c r="C65" s="157" t="s">
        <v>927</v>
      </c>
      <c r="D65" s="159">
        <v>18</v>
      </c>
      <c r="E65" s="159">
        <v>342.77</v>
      </c>
      <c r="F65" s="159">
        <v>6169.86</v>
      </c>
      <c r="G65" s="160" t="s">
        <v>942</v>
      </c>
      <c r="H65" s="34" t="s">
        <v>925</v>
      </c>
    </row>
    <row r="66" spans="1:8" ht="33">
      <c r="A66" s="160">
        <v>2</v>
      </c>
      <c r="B66" s="160" t="s">
        <v>943</v>
      </c>
      <c r="C66" s="157" t="s">
        <v>927</v>
      </c>
      <c r="D66" s="159">
        <v>90</v>
      </c>
      <c r="E66" s="159">
        <v>302.04000000000002</v>
      </c>
      <c r="F66" s="159">
        <v>27183.599999999999</v>
      </c>
      <c r="G66" s="160" t="s">
        <v>944</v>
      </c>
      <c r="H66" s="34" t="s">
        <v>925</v>
      </c>
    </row>
    <row r="67" spans="1:8" ht="28.5">
      <c r="A67" s="160">
        <v>3</v>
      </c>
      <c r="B67" s="160" t="s">
        <v>945</v>
      </c>
      <c r="C67" s="157" t="s">
        <v>927</v>
      </c>
      <c r="D67" s="159">
        <v>18</v>
      </c>
      <c r="E67" s="159">
        <v>398.41</v>
      </c>
      <c r="F67" s="159">
        <v>7171.38</v>
      </c>
      <c r="G67" s="160" t="s">
        <v>946</v>
      </c>
    </row>
    <row r="68" spans="1:8" ht="33">
      <c r="A68" s="160">
        <v>4</v>
      </c>
      <c r="B68" s="160" t="s">
        <v>947</v>
      </c>
      <c r="C68" s="157" t="s">
        <v>927</v>
      </c>
      <c r="D68" s="159">
        <v>90</v>
      </c>
      <c r="E68" s="159">
        <v>398.41</v>
      </c>
      <c r="F68" s="159">
        <v>35856.9</v>
      </c>
      <c r="G68" s="160" t="s">
        <v>948</v>
      </c>
      <c r="H68" s="34" t="s">
        <v>925</v>
      </c>
    </row>
    <row r="69" spans="1:8" ht="33">
      <c r="A69" s="160">
        <v>5</v>
      </c>
      <c r="B69" s="160" t="s">
        <v>4871</v>
      </c>
      <c r="C69" s="157" t="s">
        <v>927</v>
      </c>
      <c r="D69" s="159">
        <v>180</v>
      </c>
      <c r="E69" s="159">
        <v>279.18</v>
      </c>
      <c r="F69" s="159">
        <v>50252.4</v>
      </c>
      <c r="G69" s="160" t="s">
        <v>4872</v>
      </c>
      <c r="H69" s="34" t="s">
        <v>925</v>
      </c>
    </row>
    <row r="70" spans="1:8" ht="33">
      <c r="A70" s="160">
        <v>6</v>
      </c>
      <c r="B70" s="160" t="s">
        <v>929</v>
      </c>
      <c r="C70" s="157" t="s">
        <v>927</v>
      </c>
      <c r="D70" s="159">
        <v>5</v>
      </c>
      <c r="E70" s="159">
        <v>1490.31</v>
      </c>
      <c r="F70" s="159">
        <v>7451.55</v>
      </c>
      <c r="G70" s="160" t="s">
        <v>930</v>
      </c>
      <c r="H70" s="34" t="s">
        <v>925</v>
      </c>
    </row>
    <row r="71" spans="1:8" ht="42.75">
      <c r="A71" s="160">
        <v>7</v>
      </c>
      <c r="B71" s="160" t="s">
        <v>4869</v>
      </c>
      <c r="C71" s="157" t="s">
        <v>927</v>
      </c>
      <c r="D71" s="159">
        <v>5</v>
      </c>
      <c r="E71" s="159">
        <v>398.41</v>
      </c>
      <c r="F71" s="159">
        <v>1992.05</v>
      </c>
      <c r="G71" s="160" t="s">
        <v>4870</v>
      </c>
      <c r="H71" s="34" t="s">
        <v>925</v>
      </c>
    </row>
    <row r="72" spans="1:8" ht="33">
      <c r="A72" s="160">
        <v>8</v>
      </c>
      <c r="B72" s="160" t="s">
        <v>931</v>
      </c>
      <c r="C72" s="157" t="s">
        <v>14</v>
      </c>
      <c r="D72" s="159">
        <v>1</v>
      </c>
      <c r="E72" s="159">
        <v>4082.33</v>
      </c>
      <c r="F72" s="159">
        <v>4082.33</v>
      </c>
      <c r="G72" s="160" t="s">
        <v>932</v>
      </c>
      <c r="H72" s="34" t="s">
        <v>925</v>
      </c>
    </row>
    <row r="73" spans="1:8" ht="16.5">
      <c r="A73" s="160"/>
      <c r="B73" s="160" t="s">
        <v>933</v>
      </c>
      <c r="C73" s="157" t="s">
        <v>1</v>
      </c>
      <c r="D73" s="159">
        <v>100</v>
      </c>
      <c r="E73" s="159"/>
      <c r="F73" s="159">
        <v>140160.06999999995</v>
      </c>
      <c r="G73" s="160"/>
    </row>
    <row r="74" spans="1:8" ht="33">
      <c r="A74" s="160"/>
      <c r="B74" s="160" t="s">
        <v>934</v>
      </c>
      <c r="C74" s="157" t="s">
        <v>1</v>
      </c>
      <c r="D74" s="159"/>
      <c r="E74" s="159"/>
      <c r="F74" s="159">
        <v>1401.6</v>
      </c>
      <c r="G74" s="160"/>
      <c r="H74" s="34" t="s">
        <v>925</v>
      </c>
    </row>
    <row r="75" spans="1:8" ht="33">
      <c r="A75" s="160"/>
      <c r="B75" s="160"/>
      <c r="C75" s="157"/>
      <c r="D75" s="159"/>
      <c r="E75" s="159"/>
      <c r="F75" s="159"/>
      <c r="G75" s="160"/>
      <c r="H75" s="34" t="s">
        <v>925</v>
      </c>
    </row>
    <row r="76" spans="1:8" ht="33">
      <c r="A76" s="160" t="s">
        <v>968</v>
      </c>
      <c r="B76" s="160" t="s">
        <v>958</v>
      </c>
      <c r="C76" s="157" t="s">
        <v>1</v>
      </c>
      <c r="D76" s="159">
        <v>1</v>
      </c>
      <c r="E76" s="159">
        <v>3565.68</v>
      </c>
      <c r="F76" s="159"/>
      <c r="G76" s="160" t="s">
        <v>959</v>
      </c>
      <c r="H76" s="34" t="s">
        <v>925</v>
      </c>
    </row>
    <row r="77" spans="1:8" ht="33">
      <c r="A77" s="160">
        <v>1</v>
      </c>
      <c r="B77" s="160" t="s">
        <v>4871</v>
      </c>
      <c r="C77" s="157" t="s">
        <v>927</v>
      </c>
      <c r="D77" s="159">
        <v>12.4</v>
      </c>
      <c r="E77" s="159">
        <v>279.18</v>
      </c>
      <c r="F77" s="159">
        <v>3461.83</v>
      </c>
      <c r="G77" s="160" t="s">
        <v>4872</v>
      </c>
      <c r="H77" s="34" t="s">
        <v>925</v>
      </c>
    </row>
    <row r="78" spans="1:8" ht="33">
      <c r="A78" s="160">
        <v>2</v>
      </c>
      <c r="B78" s="160" t="s">
        <v>955</v>
      </c>
      <c r="C78" s="157" t="s">
        <v>14</v>
      </c>
      <c r="D78" s="159">
        <v>1</v>
      </c>
      <c r="E78" s="159">
        <v>103.85</v>
      </c>
      <c r="F78" s="159">
        <v>103.85</v>
      </c>
      <c r="G78" s="160" t="s">
        <v>956</v>
      </c>
      <c r="H78" s="34" t="s">
        <v>925</v>
      </c>
    </row>
    <row r="79" spans="1:8" ht="16.5">
      <c r="A79" s="160"/>
      <c r="B79" s="160" t="s">
        <v>933</v>
      </c>
      <c r="C79" s="157" t="s">
        <v>1</v>
      </c>
      <c r="D79" s="159">
        <v>1</v>
      </c>
      <c r="E79" s="159"/>
      <c r="F79" s="159">
        <v>3565.68</v>
      </c>
      <c r="G79" s="160"/>
    </row>
    <row r="80" spans="1:8" ht="33">
      <c r="A80" s="160"/>
      <c r="B80" s="160" t="s">
        <v>934</v>
      </c>
      <c r="C80" s="157" t="s">
        <v>1</v>
      </c>
      <c r="D80" s="159"/>
      <c r="E80" s="159"/>
      <c r="F80" s="159">
        <v>3565.68</v>
      </c>
      <c r="G80" s="160"/>
      <c r="H80" s="34" t="s">
        <v>925</v>
      </c>
    </row>
    <row r="81" spans="1:8" ht="33">
      <c r="A81" s="160"/>
      <c r="B81" s="160"/>
      <c r="C81" s="157"/>
      <c r="D81" s="159"/>
      <c r="E81" s="159"/>
      <c r="F81" s="159"/>
      <c r="G81" s="160"/>
      <c r="H81" s="34" t="s">
        <v>925</v>
      </c>
    </row>
    <row r="82" spans="1:8" ht="33">
      <c r="A82" s="160" t="s">
        <v>970</v>
      </c>
      <c r="B82" s="160" t="s">
        <v>5496</v>
      </c>
      <c r="C82" s="157" t="s">
        <v>1</v>
      </c>
      <c r="D82" s="159">
        <v>100</v>
      </c>
      <c r="E82" s="159">
        <v>48.63</v>
      </c>
      <c r="F82" s="159"/>
      <c r="G82" s="160" t="s">
        <v>951</v>
      </c>
      <c r="H82" s="34" t="s">
        <v>925</v>
      </c>
    </row>
    <row r="83" spans="1:8" ht="33">
      <c r="A83" s="160">
        <v>1</v>
      </c>
      <c r="B83" s="160" t="s">
        <v>5498</v>
      </c>
      <c r="C83" s="157" t="s">
        <v>927</v>
      </c>
      <c r="D83" s="159">
        <v>2.5</v>
      </c>
      <c r="E83" s="159">
        <v>1490.31</v>
      </c>
      <c r="F83" s="159">
        <v>3725.78</v>
      </c>
      <c r="G83" s="160" t="s">
        <v>930</v>
      </c>
      <c r="H83" s="34" t="s">
        <v>925</v>
      </c>
    </row>
    <row r="84" spans="1:8" ht="42.75">
      <c r="A84" s="160">
        <v>2</v>
      </c>
      <c r="B84" s="160" t="s">
        <v>4869</v>
      </c>
      <c r="C84" s="157" t="s">
        <v>927</v>
      </c>
      <c r="D84" s="159">
        <v>2.5</v>
      </c>
      <c r="E84" s="159">
        <v>398.41</v>
      </c>
      <c r="F84" s="159">
        <v>996.03</v>
      </c>
      <c r="G84" s="160" t="s">
        <v>4870</v>
      </c>
      <c r="H84" s="34" t="s">
        <v>925</v>
      </c>
    </row>
    <row r="85" spans="1:8" ht="28.5">
      <c r="A85" s="160">
        <v>3</v>
      </c>
      <c r="B85" s="160" t="s">
        <v>931</v>
      </c>
      <c r="C85" s="157" t="s">
        <v>14</v>
      </c>
      <c r="D85" s="159">
        <v>1</v>
      </c>
      <c r="E85" s="159">
        <v>141.65</v>
      </c>
      <c r="F85" s="159">
        <v>141.65</v>
      </c>
      <c r="G85" s="160" t="s">
        <v>932</v>
      </c>
    </row>
    <row r="86" spans="1:8" ht="33">
      <c r="A86" s="160"/>
      <c r="B86" s="160" t="s">
        <v>933</v>
      </c>
      <c r="C86" s="157" t="s">
        <v>1</v>
      </c>
      <c r="D86" s="159">
        <v>100</v>
      </c>
      <c r="E86" s="159"/>
      <c r="F86" s="159">
        <v>4863.46</v>
      </c>
      <c r="G86" s="160"/>
      <c r="H86" s="34" t="s">
        <v>925</v>
      </c>
    </row>
    <row r="87" spans="1:8" ht="33">
      <c r="A87" s="160"/>
      <c r="B87" s="160" t="s">
        <v>934</v>
      </c>
      <c r="C87" s="157" t="s">
        <v>1</v>
      </c>
      <c r="D87" s="159"/>
      <c r="E87" s="159"/>
      <c r="F87" s="159">
        <v>48.63</v>
      </c>
      <c r="G87" s="160"/>
      <c r="H87" s="34" t="s">
        <v>925</v>
      </c>
    </row>
    <row r="88" spans="1:8" ht="33">
      <c r="A88" s="160"/>
      <c r="B88" s="160"/>
      <c r="C88" s="157"/>
      <c r="D88" s="159"/>
      <c r="E88" s="159"/>
      <c r="F88" s="159"/>
      <c r="G88" s="160"/>
      <c r="H88" s="34" t="s">
        <v>925</v>
      </c>
    </row>
    <row r="89" spans="1:8" ht="57">
      <c r="A89" s="160" t="s">
        <v>972</v>
      </c>
      <c r="B89" s="160" t="s">
        <v>5497</v>
      </c>
      <c r="C89" s="157" t="s">
        <v>1</v>
      </c>
      <c r="D89" s="159">
        <v>100</v>
      </c>
      <c r="E89" s="159">
        <v>64.78</v>
      </c>
      <c r="F89" s="159"/>
      <c r="G89" s="160" t="s">
        <v>983</v>
      </c>
      <c r="H89" s="34" t="s">
        <v>925</v>
      </c>
    </row>
    <row r="90" spans="1:8" ht="33">
      <c r="A90" s="160">
        <v>1</v>
      </c>
      <c r="B90" s="160" t="s">
        <v>929</v>
      </c>
      <c r="C90" s="157" t="s">
        <v>927</v>
      </c>
      <c r="D90" s="159">
        <v>3.33</v>
      </c>
      <c r="E90" s="159">
        <v>1490.31</v>
      </c>
      <c r="F90" s="159">
        <v>4962.7299999999996</v>
      </c>
      <c r="G90" s="160" t="s">
        <v>930</v>
      </c>
      <c r="H90" s="34" t="s">
        <v>925</v>
      </c>
    </row>
    <row r="91" spans="1:8" ht="42.75">
      <c r="A91" s="160">
        <v>2</v>
      </c>
      <c r="B91" s="160" t="s">
        <v>4869</v>
      </c>
      <c r="C91" s="157" t="s">
        <v>927</v>
      </c>
      <c r="D91" s="159">
        <v>3.33</v>
      </c>
      <c r="E91" s="159">
        <v>398.41</v>
      </c>
      <c r="F91" s="159">
        <v>1326.71</v>
      </c>
      <c r="G91" s="160" t="s">
        <v>4870</v>
      </c>
      <c r="H91" s="34" t="s">
        <v>925</v>
      </c>
    </row>
    <row r="92" spans="1:8" ht="33">
      <c r="A92" s="160">
        <v>3</v>
      </c>
      <c r="B92" s="160" t="s">
        <v>931</v>
      </c>
      <c r="C92" s="157" t="s">
        <v>14</v>
      </c>
      <c r="D92" s="159">
        <v>1</v>
      </c>
      <c r="E92" s="159">
        <v>188.68</v>
      </c>
      <c r="F92" s="159">
        <v>188.68</v>
      </c>
      <c r="G92" s="160" t="s">
        <v>932</v>
      </c>
      <c r="H92" s="34" t="s">
        <v>925</v>
      </c>
    </row>
    <row r="93" spans="1:8" ht="33">
      <c r="A93" s="160"/>
      <c r="B93" s="160" t="s">
        <v>933</v>
      </c>
      <c r="C93" s="157" t="s">
        <v>1</v>
      </c>
      <c r="D93" s="159">
        <v>100</v>
      </c>
      <c r="E93" s="159"/>
      <c r="F93" s="159">
        <v>6478.12</v>
      </c>
      <c r="G93" s="160"/>
      <c r="H93" s="34" t="s">
        <v>925</v>
      </c>
    </row>
    <row r="94" spans="1:8" ht="16.5">
      <c r="A94" s="160"/>
      <c r="B94" s="160" t="s">
        <v>934</v>
      </c>
      <c r="C94" s="157" t="s">
        <v>1</v>
      </c>
      <c r="D94" s="159"/>
      <c r="E94" s="159"/>
      <c r="F94" s="159">
        <v>64.78</v>
      </c>
      <c r="G94" s="160"/>
    </row>
    <row r="95" spans="1:8" ht="33">
      <c r="A95" s="160"/>
      <c r="B95" s="160"/>
      <c r="C95" s="157"/>
      <c r="D95" s="159"/>
      <c r="E95" s="159"/>
      <c r="F95" s="159"/>
      <c r="G95" s="160"/>
      <c r="H95" s="34" t="s">
        <v>925</v>
      </c>
    </row>
    <row r="96" spans="1:8" ht="42.75">
      <c r="A96" s="160" t="s">
        <v>974</v>
      </c>
      <c r="B96" s="160" t="s">
        <v>2579</v>
      </c>
      <c r="C96" s="157" t="s">
        <v>1</v>
      </c>
      <c r="D96" s="159">
        <v>100</v>
      </c>
      <c r="E96" s="159">
        <v>67.849999999999994</v>
      </c>
      <c r="F96" s="159"/>
      <c r="G96" s="160" t="s">
        <v>2580</v>
      </c>
      <c r="H96" s="34" t="s">
        <v>925</v>
      </c>
    </row>
    <row r="97" spans="1:8" ht="33">
      <c r="A97" s="160">
        <v>1</v>
      </c>
      <c r="B97" s="160" t="s">
        <v>929</v>
      </c>
      <c r="C97" s="157" t="s">
        <v>927</v>
      </c>
      <c r="D97" s="159">
        <v>2.88</v>
      </c>
      <c r="E97" s="159">
        <v>1490.31</v>
      </c>
      <c r="F97" s="159">
        <v>4292.09</v>
      </c>
      <c r="G97" s="160" t="s">
        <v>930</v>
      </c>
      <c r="H97" s="34" t="s">
        <v>925</v>
      </c>
    </row>
    <row r="98" spans="1:8" ht="33">
      <c r="A98" s="160">
        <v>2</v>
      </c>
      <c r="B98" s="160" t="s">
        <v>4046</v>
      </c>
      <c r="C98" s="157" t="s">
        <v>927</v>
      </c>
      <c r="D98" s="159">
        <v>2.88</v>
      </c>
      <c r="E98" s="159">
        <v>796.82</v>
      </c>
      <c r="F98" s="159">
        <v>2294.84</v>
      </c>
      <c r="G98" s="160" t="s">
        <v>2477</v>
      </c>
      <c r="H98" s="34" t="s">
        <v>925</v>
      </c>
    </row>
    <row r="99" spans="1:8" ht="33">
      <c r="A99" s="160">
        <v>3</v>
      </c>
      <c r="B99" s="160" t="s">
        <v>931</v>
      </c>
      <c r="C99" s="157" t="s">
        <v>14</v>
      </c>
      <c r="D99" s="159">
        <v>1</v>
      </c>
      <c r="E99" s="159">
        <v>197.61</v>
      </c>
      <c r="F99" s="159">
        <v>197.61</v>
      </c>
      <c r="G99" s="160" t="s">
        <v>932</v>
      </c>
      <c r="H99" s="34" t="s">
        <v>925</v>
      </c>
    </row>
    <row r="100" spans="1:8" ht="33">
      <c r="A100" s="160"/>
      <c r="B100" s="160" t="s">
        <v>933</v>
      </c>
      <c r="C100" s="157" t="s">
        <v>1</v>
      </c>
      <c r="D100" s="159">
        <v>100</v>
      </c>
      <c r="E100" s="159"/>
      <c r="F100" s="159">
        <v>6784.54</v>
      </c>
      <c r="G100" s="160"/>
      <c r="H100" s="34" t="s">
        <v>925</v>
      </c>
    </row>
    <row r="101" spans="1:8" ht="33">
      <c r="A101" s="160"/>
      <c r="B101" s="160" t="s">
        <v>934</v>
      </c>
      <c r="C101" s="157" t="s">
        <v>1</v>
      </c>
      <c r="D101" s="159"/>
      <c r="E101" s="159"/>
      <c r="F101" s="159">
        <v>67.849999999999994</v>
      </c>
      <c r="G101" s="160"/>
      <c r="H101" s="34" t="s">
        <v>925</v>
      </c>
    </row>
    <row r="102" spans="1:8" ht="33">
      <c r="A102" s="160"/>
      <c r="B102" s="160"/>
      <c r="C102" s="157"/>
      <c r="D102" s="159"/>
      <c r="E102" s="159"/>
      <c r="F102" s="159"/>
      <c r="G102" s="160"/>
      <c r="H102" s="34" t="s">
        <v>925</v>
      </c>
    </row>
    <row r="103" spans="1:8" ht="28.5">
      <c r="A103" s="160" t="s">
        <v>976</v>
      </c>
      <c r="B103" s="160" t="s">
        <v>964</v>
      </c>
      <c r="C103" s="157" t="s">
        <v>1</v>
      </c>
      <c r="D103" s="159">
        <v>1</v>
      </c>
      <c r="E103" s="159">
        <v>4945.96</v>
      </c>
      <c r="F103" s="159"/>
      <c r="G103" s="160" t="s">
        <v>965</v>
      </c>
    </row>
    <row r="104" spans="1:8" ht="33">
      <c r="A104" s="160">
        <v>1</v>
      </c>
      <c r="B104" s="160" t="s">
        <v>4871</v>
      </c>
      <c r="C104" s="157" t="s">
        <v>927</v>
      </c>
      <c r="D104" s="159">
        <v>17.2</v>
      </c>
      <c r="E104" s="159">
        <v>279.18</v>
      </c>
      <c r="F104" s="159">
        <v>4801.8999999999996</v>
      </c>
      <c r="G104" s="160" t="s">
        <v>4872</v>
      </c>
      <c r="H104" s="34" t="s">
        <v>925</v>
      </c>
    </row>
    <row r="105" spans="1:8" ht="33">
      <c r="A105" s="160">
        <v>2</v>
      </c>
      <c r="B105" s="160" t="s">
        <v>955</v>
      </c>
      <c r="C105" s="157" t="s">
        <v>14</v>
      </c>
      <c r="D105" s="159">
        <v>1</v>
      </c>
      <c r="E105" s="159">
        <v>144.06</v>
      </c>
      <c r="F105" s="159">
        <v>144.06</v>
      </c>
      <c r="G105" s="160" t="s">
        <v>956</v>
      </c>
      <c r="H105" s="34" t="s">
        <v>925</v>
      </c>
    </row>
    <row r="106" spans="1:8" ht="33">
      <c r="A106" s="160"/>
      <c r="B106" s="160" t="s">
        <v>933</v>
      </c>
      <c r="C106" s="157" t="s">
        <v>1</v>
      </c>
      <c r="D106" s="159">
        <v>1</v>
      </c>
      <c r="E106" s="159"/>
      <c r="F106" s="159">
        <v>4945.96</v>
      </c>
      <c r="G106" s="160"/>
      <c r="H106" s="34" t="s">
        <v>925</v>
      </c>
    </row>
    <row r="107" spans="1:8" ht="33">
      <c r="A107" s="160"/>
      <c r="B107" s="160" t="s">
        <v>934</v>
      </c>
      <c r="C107" s="157" t="s">
        <v>1</v>
      </c>
      <c r="D107" s="159"/>
      <c r="E107" s="159"/>
      <c r="F107" s="159">
        <v>4945.96</v>
      </c>
      <c r="G107" s="160"/>
      <c r="H107" s="34" t="s">
        <v>925</v>
      </c>
    </row>
    <row r="108" spans="1:8" ht="33">
      <c r="A108" s="160"/>
      <c r="B108" s="160"/>
      <c r="C108" s="157"/>
      <c r="D108" s="159"/>
      <c r="E108" s="159"/>
      <c r="F108" s="159"/>
      <c r="G108" s="160"/>
      <c r="H108" s="34" t="s">
        <v>925</v>
      </c>
    </row>
    <row r="109" spans="1:8" ht="42.75">
      <c r="A109" s="160" t="s">
        <v>978</v>
      </c>
      <c r="B109" s="160" t="s">
        <v>961</v>
      </c>
      <c r="C109" s="157" t="s">
        <v>1</v>
      </c>
      <c r="D109" s="159">
        <v>100</v>
      </c>
      <c r="E109" s="159">
        <v>471.35</v>
      </c>
      <c r="F109" s="159"/>
      <c r="G109" s="160" t="s">
        <v>962</v>
      </c>
    </row>
    <row r="110" spans="1:8" ht="33">
      <c r="A110" s="160">
        <v>1</v>
      </c>
      <c r="B110" s="160" t="s">
        <v>941</v>
      </c>
      <c r="C110" s="157" t="s">
        <v>927</v>
      </c>
      <c r="D110" s="159">
        <v>15</v>
      </c>
      <c r="E110" s="159">
        <v>342.77</v>
      </c>
      <c r="F110" s="159">
        <v>5141.55</v>
      </c>
      <c r="G110" s="160" t="s">
        <v>942</v>
      </c>
      <c r="H110" s="34" t="s">
        <v>925</v>
      </c>
    </row>
    <row r="111" spans="1:8" ht="33">
      <c r="A111" s="160">
        <v>2</v>
      </c>
      <c r="B111" s="160" t="s">
        <v>943</v>
      </c>
      <c r="C111" s="157" t="s">
        <v>927</v>
      </c>
      <c r="D111" s="159">
        <v>30</v>
      </c>
      <c r="E111" s="159">
        <v>302.04000000000002</v>
      </c>
      <c r="F111" s="159">
        <v>9061.2000000000007</v>
      </c>
      <c r="G111" s="160" t="s">
        <v>944</v>
      </c>
      <c r="H111" s="34" t="s">
        <v>925</v>
      </c>
    </row>
    <row r="112" spans="1:8" ht="33">
      <c r="A112" s="160">
        <v>3</v>
      </c>
      <c r="B112" s="160" t="s">
        <v>945</v>
      </c>
      <c r="C112" s="157" t="s">
        <v>927</v>
      </c>
      <c r="D112" s="159">
        <v>15</v>
      </c>
      <c r="E112" s="159">
        <v>398.41</v>
      </c>
      <c r="F112" s="159">
        <v>5976.15</v>
      </c>
      <c r="G112" s="160" t="s">
        <v>946</v>
      </c>
      <c r="H112" s="34" t="s">
        <v>925</v>
      </c>
    </row>
    <row r="113" spans="1:8" ht="33">
      <c r="A113" s="160">
        <v>4</v>
      </c>
      <c r="B113" s="160" t="s">
        <v>947</v>
      </c>
      <c r="C113" s="157" t="s">
        <v>927</v>
      </c>
      <c r="D113" s="159">
        <v>30</v>
      </c>
      <c r="E113" s="159">
        <v>398.41</v>
      </c>
      <c r="F113" s="159">
        <v>11952.3</v>
      </c>
      <c r="G113" s="160" t="s">
        <v>948</v>
      </c>
      <c r="H113" s="34" t="s">
        <v>925</v>
      </c>
    </row>
    <row r="114" spans="1:8" ht="33">
      <c r="A114" s="160">
        <v>5</v>
      </c>
      <c r="B114" s="160" t="s">
        <v>4871</v>
      </c>
      <c r="C114" s="157" t="s">
        <v>927</v>
      </c>
      <c r="D114" s="159">
        <v>15</v>
      </c>
      <c r="E114" s="159">
        <v>279.18</v>
      </c>
      <c r="F114" s="159">
        <v>4187.7</v>
      </c>
      <c r="G114" s="160" t="s">
        <v>4872</v>
      </c>
      <c r="H114" s="34" t="s">
        <v>925</v>
      </c>
    </row>
    <row r="115" spans="1:8" ht="33">
      <c r="A115" s="160">
        <v>6</v>
      </c>
      <c r="B115" s="160" t="s">
        <v>929</v>
      </c>
      <c r="C115" s="157" t="s">
        <v>927</v>
      </c>
      <c r="D115" s="159">
        <v>5</v>
      </c>
      <c r="E115" s="159">
        <v>1490.31</v>
      </c>
      <c r="F115" s="159">
        <v>7451.55</v>
      </c>
      <c r="G115" s="160" t="s">
        <v>930</v>
      </c>
      <c r="H115" s="34" t="s">
        <v>925</v>
      </c>
    </row>
    <row r="116" spans="1:8" ht="42.75">
      <c r="A116" s="160">
        <v>7</v>
      </c>
      <c r="B116" s="160" t="s">
        <v>4869</v>
      </c>
      <c r="C116" s="157" t="s">
        <v>927</v>
      </c>
      <c r="D116" s="159">
        <v>5</v>
      </c>
      <c r="E116" s="159">
        <v>398.41</v>
      </c>
      <c r="F116" s="159">
        <v>1992.05</v>
      </c>
      <c r="G116" s="160" t="s">
        <v>4870</v>
      </c>
      <c r="H116" s="34" t="s">
        <v>925</v>
      </c>
    </row>
    <row r="117" spans="1:8" ht="33">
      <c r="A117" s="160">
        <v>8</v>
      </c>
      <c r="B117" s="160" t="s">
        <v>931</v>
      </c>
      <c r="C117" s="157" t="s">
        <v>14</v>
      </c>
      <c r="D117" s="159">
        <v>1</v>
      </c>
      <c r="E117" s="159">
        <v>1372.88</v>
      </c>
      <c r="F117" s="159">
        <v>1372.88</v>
      </c>
      <c r="G117" s="160" t="s">
        <v>932</v>
      </c>
      <c r="H117" s="34" t="s">
        <v>925</v>
      </c>
    </row>
    <row r="118" spans="1:8" ht="33">
      <c r="A118" s="160"/>
      <c r="B118" s="160" t="s">
        <v>933</v>
      </c>
      <c r="C118" s="157" t="s">
        <v>1</v>
      </c>
      <c r="D118" s="159">
        <v>100</v>
      </c>
      <c r="E118" s="159"/>
      <c r="F118" s="159">
        <v>47135.380000000005</v>
      </c>
      <c r="G118" s="160"/>
      <c r="H118" s="34" t="s">
        <v>925</v>
      </c>
    </row>
    <row r="119" spans="1:8" ht="33">
      <c r="A119" s="160"/>
      <c r="B119" s="160" t="s">
        <v>934</v>
      </c>
      <c r="C119" s="157" t="s">
        <v>1</v>
      </c>
      <c r="D119" s="159"/>
      <c r="E119" s="159"/>
      <c r="F119" s="159">
        <v>471.35</v>
      </c>
      <c r="G119" s="160"/>
      <c r="H119" s="34" t="s">
        <v>925</v>
      </c>
    </row>
    <row r="120" spans="1:8" ht="33">
      <c r="A120" s="160"/>
      <c r="B120" s="160"/>
      <c r="C120" s="157"/>
      <c r="D120" s="159"/>
      <c r="E120" s="159"/>
      <c r="F120" s="159"/>
      <c r="G120" s="160"/>
      <c r="H120" s="34" t="s">
        <v>925</v>
      </c>
    </row>
    <row r="121" spans="1:8" ht="28.5">
      <c r="A121" s="160" t="s">
        <v>980</v>
      </c>
      <c r="B121" s="160" t="s">
        <v>985</v>
      </c>
      <c r="C121" s="157" t="s">
        <v>1</v>
      </c>
      <c r="D121" s="159">
        <v>1</v>
      </c>
      <c r="E121" s="159">
        <v>644.12</v>
      </c>
      <c r="F121" s="159"/>
      <c r="G121" s="160" t="s">
        <v>2206</v>
      </c>
    </row>
    <row r="122" spans="1:8" ht="33">
      <c r="A122" s="160">
        <v>1</v>
      </c>
      <c r="B122" s="160" t="s">
        <v>4871</v>
      </c>
      <c r="C122" s="157" t="s">
        <v>927</v>
      </c>
      <c r="D122" s="159">
        <v>2.2400000000000002</v>
      </c>
      <c r="E122" s="159">
        <v>279.18</v>
      </c>
      <c r="F122" s="159">
        <v>625.36</v>
      </c>
      <c r="G122" s="160" t="s">
        <v>4872</v>
      </c>
      <c r="H122" s="34" t="s">
        <v>925</v>
      </c>
    </row>
    <row r="123" spans="1:8" ht="33">
      <c r="A123" s="160">
        <v>2</v>
      </c>
      <c r="B123" s="160" t="s">
        <v>931</v>
      </c>
      <c r="C123" s="157" t="s">
        <v>14</v>
      </c>
      <c r="D123" s="159">
        <v>1</v>
      </c>
      <c r="E123" s="159">
        <v>18.760000000000002</v>
      </c>
      <c r="F123" s="159">
        <v>18.760000000000002</v>
      </c>
      <c r="G123" s="160" t="s">
        <v>932</v>
      </c>
      <c r="H123" s="34" t="s">
        <v>925</v>
      </c>
    </row>
    <row r="124" spans="1:8" ht="33">
      <c r="A124" s="160"/>
      <c r="B124" s="160" t="s">
        <v>933</v>
      </c>
      <c r="C124" s="157" t="s">
        <v>1</v>
      </c>
      <c r="D124" s="159">
        <v>1</v>
      </c>
      <c r="E124" s="159"/>
      <c r="F124" s="159">
        <v>644.12</v>
      </c>
      <c r="G124" s="160"/>
      <c r="H124" s="34" t="s">
        <v>925</v>
      </c>
    </row>
    <row r="125" spans="1:8" ht="33">
      <c r="A125" s="160"/>
      <c r="B125" s="160" t="s">
        <v>934</v>
      </c>
      <c r="C125" s="157" t="s">
        <v>1</v>
      </c>
      <c r="D125" s="159"/>
      <c r="E125" s="159"/>
      <c r="F125" s="159">
        <v>644.12</v>
      </c>
      <c r="G125" s="160"/>
      <c r="H125" s="34" t="s">
        <v>925</v>
      </c>
    </row>
    <row r="126" spans="1:8" ht="33">
      <c r="A126" s="160"/>
      <c r="B126" s="160"/>
      <c r="C126" s="157"/>
      <c r="D126" s="159"/>
      <c r="E126" s="159"/>
      <c r="F126" s="159"/>
      <c r="G126" s="160"/>
      <c r="H126" s="34" t="s">
        <v>925</v>
      </c>
    </row>
    <row r="127" spans="1:8" ht="28.5">
      <c r="A127" s="160" t="s">
        <v>982</v>
      </c>
      <c r="B127" s="160" t="s">
        <v>2214</v>
      </c>
      <c r="C127" s="157" t="s">
        <v>1</v>
      </c>
      <c r="D127" s="159">
        <v>1</v>
      </c>
      <c r="E127" s="159">
        <v>1483.81</v>
      </c>
      <c r="F127" s="159"/>
      <c r="G127" s="160" t="s">
        <v>2215</v>
      </c>
    </row>
    <row r="128" spans="1:8" ht="42.75">
      <c r="A128" s="160">
        <v>1</v>
      </c>
      <c r="B128" s="160" t="s">
        <v>4874</v>
      </c>
      <c r="C128" s="157" t="s">
        <v>927</v>
      </c>
      <c r="D128" s="159">
        <v>2.58</v>
      </c>
      <c r="E128" s="159">
        <v>558.37</v>
      </c>
      <c r="F128" s="159">
        <v>1440.59</v>
      </c>
      <c r="G128" s="160" t="s">
        <v>4875</v>
      </c>
      <c r="H128" s="34" t="s">
        <v>925</v>
      </c>
    </row>
    <row r="129" spans="1:8" ht="33">
      <c r="A129" s="160">
        <v>2</v>
      </c>
      <c r="B129" s="160" t="s">
        <v>931</v>
      </c>
      <c r="C129" s="157" t="s">
        <v>14</v>
      </c>
      <c r="D129" s="159">
        <v>1</v>
      </c>
      <c r="E129" s="159">
        <v>43.22</v>
      </c>
      <c r="F129" s="159">
        <v>43.22</v>
      </c>
      <c r="G129" s="160" t="s">
        <v>932</v>
      </c>
      <c r="H129" s="34" t="s">
        <v>925</v>
      </c>
    </row>
    <row r="130" spans="1:8" ht="33">
      <c r="A130" s="160"/>
      <c r="B130" s="160" t="s">
        <v>933</v>
      </c>
      <c r="C130" s="157" t="s">
        <v>1</v>
      </c>
      <c r="D130" s="159">
        <v>1</v>
      </c>
      <c r="E130" s="159"/>
      <c r="F130" s="159">
        <v>1483.81</v>
      </c>
      <c r="G130" s="160"/>
      <c r="H130" s="34" t="s">
        <v>925</v>
      </c>
    </row>
    <row r="131" spans="1:8" ht="33">
      <c r="A131" s="160"/>
      <c r="B131" s="160" t="s">
        <v>934</v>
      </c>
      <c r="C131" s="157" t="s">
        <v>1</v>
      </c>
      <c r="D131" s="159"/>
      <c r="E131" s="159"/>
      <c r="F131" s="159">
        <v>1483.81</v>
      </c>
      <c r="G131" s="160"/>
      <c r="H131" s="34" t="s">
        <v>925</v>
      </c>
    </row>
    <row r="132" spans="1:8" ht="33">
      <c r="A132" s="160"/>
      <c r="B132" s="160"/>
      <c r="C132" s="157"/>
      <c r="D132" s="159"/>
      <c r="E132" s="159"/>
      <c r="F132" s="159"/>
      <c r="G132" s="160"/>
      <c r="H132" s="34" t="s">
        <v>925</v>
      </c>
    </row>
    <row r="133" spans="1:8" ht="57">
      <c r="A133" s="160" t="s">
        <v>984</v>
      </c>
      <c r="B133" s="160" t="s">
        <v>5501</v>
      </c>
      <c r="C133" s="157" t="s">
        <v>0</v>
      </c>
      <c r="D133" s="159">
        <v>100</v>
      </c>
      <c r="E133" s="159">
        <v>906.82</v>
      </c>
      <c r="F133" s="159"/>
      <c r="G133" s="160" t="s">
        <v>971</v>
      </c>
      <c r="H133" s="34" t="s">
        <v>925</v>
      </c>
    </row>
    <row r="134" spans="1:8" ht="33">
      <c r="A134" s="160">
        <v>1</v>
      </c>
      <c r="B134" s="160" t="s">
        <v>926</v>
      </c>
      <c r="C134" s="157" t="s">
        <v>927</v>
      </c>
      <c r="D134" s="159">
        <v>31.92</v>
      </c>
      <c r="E134" s="159">
        <v>1291.5999999999999</v>
      </c>
      <c r="F134" s="159">
        <v>41227.870000000003</v>
      </c>
      <c r="G134" s="160" t="s">
        <v>928</v>
      </c>
      <c r="H134" s="34" t="s">
        <v>925</v>
      </c>
    </row>
    <row r="135" spans="1:8" ht="33">
      <c r="A135" s="160">
        <v>2</v>
      </c>
      <c r="B135" s="160" t="s">
        <v>929</v>
      </c>
      <c r="C135" s="157" t="s">
        <v>927</v>
      </c>
      <c r="D135" s="159">
        <v>6.65</v>
      </c>
      <c r="E135" s="159">
        <v>1490.31</v>
      </c>
      <c r="F135" s="159">
        <v>9910.56</v>
      </c>
      <c r="G135" s="160" t="s">
        <v>930</v>
      </c>
      <c r="H135" s="34" t="s">
        <v>925</v>
      </c>
    </row>
    <row r="136" spans="1:8" ht="42.75">
      <c r="A136" s="160">
        <v>3</v>
      </c>
      <c r="B136" s="160" t="s">
        <v>4869</v>
      </c>
      <c r="C136" s="157" t="s">
        <v>927</v>
      </c>
      <c r="D136" s="159">
        <v>38.57</v>
      </c>
      <c r="E136" s="159">
        <v>398.41</v>
      </c>
      <c r="F136" s="159">
        <v>15366.67</v>
      </c>
      <c r="G136" s="160" t="s">
        <v>4870</v>
      </c>
      <c r="H136" s="34" t="s">
        <v>925</v>
      </c>
    </row>
    <row r="137" spans="1:8" ht="33">
      <c r="A137" s="160">
        <v>4</v>
      </c>
      <c r="B137" s="160" t="s">
        <v>4871</v>
      </c>
      <c r="C137" s="157" t="s">
        <v>927</v>
      </c>
      <c r="D137" s="159">
        <v>77.14</v>
      </c>
      <c r="E137" s="159">
        <v>279.18</v>
      </c>
      <c r="F137" s="159">
        <v>21535.95</v>
      </c>
      <c r="G137" s="160" t="s">
        <v>4872</v>
      </c>
      <c r="H137" s="34" t="s">
        <v>925</v>
      </c>
    </row>
    <row r="138" spans="1:8" ht="33">
      <c r="A138" s="160">
        <v>5</v>
      </c>
      <c r="B138" s="160" t="s">
        <v>931</v>
      </c>
      <c r="C138" s="157" t="s">
        <v>14</v>
      </c>
      <c r="D138" s="159">
        <v>1</v>
      </c>
      <c r="E138" s="159">
        <v>2641.23</v>
      </c>
      <c r="F138" s="159">
        <v>2641.23</v>
      </c>
      <c r="G138" s="160" t="s">
        <v>932</v>
      </c>
      <c r="H138" s="34" t="s">
        <v>925</v>
      </c>
    </row>
    <row r="139" spans="1:8" ht="16.5">
      <c r="A139" s="160"/>
      <c r="B139" s="160" t="s">
        <v>933</v>
      </c>
      <c r="C139" s="157" t="s">
        <v>0</v>
      </c>
      <c r="D139" s="159">
        <v>100</v>
      </c>
      <c r="E139" s="159"/>
      <c r="F139" s="159">
        <v>90682.28</v>
      </c>
      <c r="G139" s="160"/>
    </row>
    <row r="140" spans="1:8" ht="33">
      <c r="A140" s="160"/>
      <c r="B140" s="160" t="s">
        <v>934</v>
      </c>
      <c r="C140" s="157" t="s">
        <v>0</v>
      </c>
      <c r="D140" s="159"/>
      <c r="E140" s="159"/>
      <c r="F140" s="159">
        <v>906.82</v>
      </c>
      <c r="G140" s="160"/>
      <c r="H140" s="34" t="s">
        <v>925</v>
      </c>
    </row>
    <row r="141" spans="1:8" ht="33">
      <c r="A141" s="160"/>
      <c r="B141" s="160"/>
      <c r="C141" s="157"/>
      <c r="D141" s="159"/>
      <c r="E141" s="159"/>
      <c r="F141" s="159"/>
      <c r="G141" s="160"/>
      <c r="H141" s="34" t="s">
        <v>925</v>
      </c>
    </row>
    <row r="142" spans="1:8" ht="57">
      <c r="A142" s="160" t="s">
        <v>987</v>
      </c>
      <c r="B142" s="160" t="s">
        <v>5502</v>
      </c>
      <c r="C142" s="157" t="s">
        <v>0</v>
      </c>
      <c r="D142" s="159">
        <v>100</v>
      </c>
      <c r="E142" s="159">
        <v>1399.63</v>
      </c>
      <c r="F142" s="159"/>
      <c r="G142" s="160" t="s">
        <v>973</v>
      </c>
      <c r="H142" s="34" t="s">
        <v>925</v>
      </c>
    </row>
    <row r="143" spans="1:8" ht="33">
      <c r="A143" s="160">
        <v>1</v>
      </c>
      <c r="B143" s="160" t="s">
        <v>926</v>
      </c>
      <c r="C143" s="157" t="s">
        <v>927</v>
      </c>
      <c r="D143" s="159">
        <v>53.2</v>
      </c>
      <c r="E143" s="159">
        <v>1291.5999999999999</v>
      </c>
      <c r="F143" s="159">
        <v>68713.119999999995</v>
      </c>
      <c r="G143" s="160" t="s">
        <v>928</v>
      </c>
      <c r="H143" s="34" t="s">
        <v>925</v>
      </c>
    </row>
    <row r="144" spans="1:8" ht="33">
      <c r="A144" s="160">
        <v>2</v>
      </c>
      <c r="B144" s="160" t="s">
        <v>929</v>
      </c>
      <c r="C144" s="157" t="s">
        <v>927</v>
      </c>
      <c r="D144" s="159">
        <v>6.65</v>
      </c>
      <c r="E144" s="159">
        <v>1490.31</v>
      </c>
      <c r="F144" s="159">
        <v>9910.56</v>
      </c>
      <c r="G144" s="160" t="s">
        <v>930</v>
      </c>
      <c r="H144" s="34" t="s">
        <v>925</v>
      </c>
    </row>
    <row r="145" spans="1:8" ht="42.75">
      <c r="A145" s="160">
        <v>3</v>
      </c>
      <c r="B145" s="160" t="s">
        <v>4869</v>
      </c>
      <c r="C145" s="157" t="s">
        <v>927</v>
      </c>
      <c r="D145" s="159">
        <v>59.85</v>
      </c>
      <c r="E145" s="159">
        <v>398.41</v>
      </c>
      <c r="F145" s="159">
        <v>23844.84</v>
      </c>
      <c r="G145" s="160" t="s">
        <v>4870</v>
      </c>
      <c r="H145" s="34" t="s">
        <v>925</v>
      </c>
    </row>
    <row r="146" spans="1:8" ht="28.5">
      <c r="A146" s="160">
        <v>4</v>
      </c>
      <c r="B146" s="160" t="s">
        <v>4871</v>
      </c>
      <c r="C146" s="157" t="s">
        <v>927</v>
      </c>
      <c r="D146" s="159">
        <v>119.7</v>
      </c>
      <c r="E146" s="159">
        <v>279.18</v>
      </c>
      <c r="F146" s="159">
        <v>33417.85</v>
      </c>
      <c r="G146" s="160" t="s">
        <v>4872</v>
      </c>
    </row>
    <row r="147" spans="1:8" ht="33">
      <c r="A147" s="160">
        <v>5</v>
      </c>
      <c r="B147" s="160" t="s">
        <v>931</v>
      </c>
      <c r="C147" s="157" t="s">
        <v>14</v>
      </c>
      <c r="D147" s="159">
        <v>1</v>
      </c>
      <c r="E147" s="159">
        <v>4076.59</v>
      </c>
      <c r="F147" s="159">
        <v>4076.59</v>
      </c>
      <c r="G147" s="160" t="s">
        <v>932</v>
      </c>
      <c r="H147" s="34" t="s">
        <v>925</v>
      </c>
    </row>
    <row r="148" spans="1:8" ht="33">
      <c r="A148" s="160"/>
      <c r="B148" s="160" t="s">
        <v>933</v>
      </c>
      <c r="C148" s="157" t="s">
        <v>0</v>
      </c>
      <c r="D148" s="159">
        <v>100</v>
      </c>
      <c r="E148" s="159"/>
      <c r="F148" s="159">
        <v>139962.96</v>
      </c>
      <c r="G148" s="160"/>
      <c r="H148" s="34" t="s">
        <v>925</v>
      </c>
    </row>
    <row r="149" spans="1:8" ht="33">
      <c r="A149" s="160"/>
      <c r="B149" s="160" t="s">
        <v>934</v>
      </c>
      <c r="C149" s="157" t="s">
        <v>0</v>
      </c>
      <c r="D149" s="159"/>
      <c r="E149" s="159"/>
      <c r="F149" s="159">
        <v>1399.63</v>
      </c>
      <c r="G149" s="160"/>
      <c r="H149" s="34" t="s">
        <v>925</v>
      </c>
    </row>
    <row r="150" spans="1:8" ht="33">
      <c r="A150" s="160"/>
      <c r="B150" s="160"/>
      <c r="C150" s="157"/>
      <c r="D150" s="159"/>
      <c r="E150" s="159"/>
      <c r="F150" s="159"/>
      <c r="G150" s="160"/>
      <c r="H150" s="34" t="s">
        <v>925</v>
      </c>
    </row>
    <row r="151" spans="1:8" ht="57">
      <c r="A151" s="160" t="s">
        <v>989</v>
      </c>
      <c r="B151" s="160" t="s">
        <v>5503</v>
      </c>
      <c r="C151" s="157" t="s">
        <v>1</v>
      </c>
      <c r="D151" s="159">
        <v>1</v>
      </c>
      <c r="E151" s="159">
        <v>4741.79</v>
      </c>
      <c r="F151" s="159"/>
      <c r="G151" s="160" t="s">
        <v>975</v>
      </c>
      <c r="H151" s="34" t="s">
        <v>925</v>
      </c>
    </row>
    <row r="152" spans="1:8" ht="28.5">
      <c r="A152" s="160">
        <v>1</v>
      </c>
      <c r="B152" s="160" t="s">
        <v>4871</v>
      </c>
      <c r="C152" s="157" t="s">
        <v>927</v>
      </c>
      <c r="D152" s="159">
        <v>16.489999999999998</v>
      </c>
      <c r="E152" s="159">
        <v>279.18</v>
      </c>
      <c r="F152" s="159">
        <v>4603.68</v>
      </c>
      <c r="G152" s="160" t="s">
        <v>4872</v>
      </c>
    </row>
    <row r="153" spans="1:8" ht="33">
      <c r="A153" s="160">
        <v>2</v>
      </c>
      <c r="B153" s="160" t="s">
        <v>955</v>
      </c>
      <c r="C153" s="157" t="s">
        <v>14</v>
      </c>
      <c r="D153" s="159">
        <v>1</v>
      </c>
      <c r="E153" s="159">
        <v>138.11000000000001</v>
      </c>
      <c r="F153" s="159">
        <v>138.11000000000001</v>
      </c>
      <c r="G153" s="160" t="s">
        <v>956</v>
      </c>
      <c r="H153" s="34" t="s">
        <v>925</v>
      </c>
    </row>
    <row r="154" spans="1:8" ht="33">
      <c r="A154" s="160"/>
      <c r="B154" s="160" t="s">
        <v>933</v>
      </c>
      <c r="C154" s="157" t="s">
        <v>1</v>
      </c>
      <c r="D154" s="159">
        <v>1</v>
      </c>
      <c r="E154" s="159"/>
      <c r="F154" s="159">
        <v>4741.79</v>
      </c>
      <c r="G154" s="160"/>
      <c r="H154" s="34" t="s">
        <v>925</v>
      </c>
    </row>
    <row r="155" spans="1:8" ht="33">
      <c r="A155" s="160"/>
      <c r="B155" s="160" t="s">
        <v>934</v>
      </c>
      <c r="C155" s="157" t="s">
        <v>1</v>
      </c>
      <c r="D155" s="159"/>
      <c r="E155" s="159"/>
      <c r="F155" s="159">
        <v>4741.79</v>
      </c>
      <c r="G155" s="160"/>
      <c r="H155" s="34" t="s">
        <v>925</v>
      </c>
    </row>
    <row r="156" spans="1:8" ht="33">
      <c r="A156" s="160"/>
      <c r="B156" s="160"/>
      <c r="C156" s="157"/>
      <c r="D156" s="159"/>
      <c r="E156" s="159"/>
      <c r="F156" s="159"/>
      <c r="G156" s="160"/>
      <c r="H156" s="34" t="s">
        <v>925</v>
      </c>
    </row>
    <row r="157" spans="1:8" ht="57">
      <c r="A157" s="160" t="s">
        <v>992</v>
      </c>
      <c r="B157" s="160" t="s">
        <v>5504</v>
      </c>
      <c r="C157" s="157" t="s">
        <v>1</v>
      </c>
      <c r="D157" s="159">
        <v>100</v>
      </c>
      <c r="E157" s="159">
        <v>626.9</v>
      </c>
      <c r="F157" s="159"/>
      <c r="G157" s="160" t="s">
        <v>977</v>
      </c>
      <c r="H157" s="34" t="s">
        <v>925</v>
      </c>
    </row>
    <row r="158" spans="1:8" ht="28.5">
      <c r="A158" s="160">
        <v>1</v>
      </c>
      <c r="B158" s="160" t="s">
        <v>941</v>
      </c>
      <c r="C158" s="157" t="s">
        <v>927</v>
      </c>
      <c r="D158" s="159">
        <v>19.95</v>
      </c>
      <c r="E158" s="159">
        <v>342.77</v>
      </c>
      <c r="F158" s="159">
        <v>6838.26</v>
      </c>
      <c r="G158" s="160" t="s">
        <v>942</v>
      </c>
    </row>
    <row r="159" spans="1:8" ht="33">
      <c r="A159" s="160">
        <v>2</v>
      </c>
      <c r="B159" s="160" t="s">
        <v>943</v>
      </c>
      <c r="C159" s="157" t="s">
        <v>927</v>
      </c>
      <c r="D159" s="159">
        <v>39.9</v>
      </c>
      <c r="E159" s="159">
        <v>302.04000000000002</v>
      </c>
      <c r="F159" s="159">
        <v>12051.4</v>
      </c>
      <c r="G159" s="160" t="s">
        <v>944</v>
      </c>
      <c r="H159" s="34" t="s">
        <v>925</v>
      </c>
    </row>
    <row r="160" spans="1:8" ht="33">
      <c r="A160" s="160">
        <v>3</v>
      </c>
      <c r="B160" s="160" t="s">
        <v>945</v>
      </c>
      <c r="C160" s="157" t="s">
        <v>927</v>
      </c>
      <c r="D160" s="159">
        <v>19.95</v>
      </c>
      <c r="E160" s="159">
        <v>398.41</v>
      </c>
      <c r="F160" s="159">
        <v>7948.28</v>
      </c>
      <c r="G160" s="160" t="s">
        <v>946</v>
      </c>
      <c r="H160" s="34" t="s">
        <v>925</v>
      </c>
    </row>
    <row r="161" spans="1:8" ht="33">
      <c r="A161" s="160">
        <v>4</v>
      </c>
      <c r="B161" s="160" t="s">
        <v>947</v>
      </c>
      <c r="C161" s="157" t="s">
        <v>927</v>
      </c>
      <c r="D161" s="159">
        <v>39.9</v>
      </c>
      <c r="E161" s="159">
        <v>398.41</v>
      </c>
      <c r="F161" s="159">
        <v>15896.56</v>
      </c>
      <c r="G161" s="160" t="s">
        <v>948</v>
      </c>
      <c r="H161" s="34" t="s">
        <v>925</v>
      </c>
    </row>
    <row r="162" spans="1:8" ht="33">
      <c r="A162" s="160">
        <v>5</v>
      </c>
      <c r="B162" s="160" t="s">
        <v>4871</v>
      </c>
      <c r="C162" s="157" t="s">
        <v>927</v>
      </c>
      <c r="D162" s="159">
        <v>19.95</v>
      </c>
      <c r="E162" s="159">
        <v>279.18</v>
      </c>
      <c r="F162" s="159">
        <v>5569.64</v>
      </c>
      <c r="G162" s="160" t="s">
        <v>4872</v>
      </c>
      <c r="H162" s="34" t="s">
        <v>925</v>
      </c>
    </row>
    <row r="163" spans="1:8" ht="33">
      <c r="A163" s="160">
        <v>6</v>
      </c>
      <c r="B163" s="160" t="s">
        <v>929</v>
      </c>
      <c r="C163" s="157" t="s">
        <v>927</v>
      </c>
      <c r="D163" s="159">
        <v>6.65</v>
      </c>
      <c r="E163" s="159">
        <v>1490.31</v>
      </c>
      <c r="F163" s="159">
        <v>9910.56</v>
      </c>
      <c r="G163" s="160" t="s">
        <v>930</v>
      </c>
      <c r="H163" s="34" t="s">
        <v>925</v>
      </c>
    </row>
    <row r="164" spans="1:8" ht="42.75">
      <c r="A164" s="160">
        <v>7</v>
      </c>
      <c r="B164" s="160" t="s">
        <v>4869</v>
      </c>
      <c r="C164" s="157" t="s">
        <v>927</v>
      </c>
      <c r="D164" s="159">
        <v>6.65</v>
      </c>
      <c r="E164" s="159">
        <v>398.41</v>
      </c>
      <c r="F164" s="159">
        <v>2649.43</v>
      </c>
      <c r="G164" s="160" t="s">
        <v>4870</v>
      </c>
      <c r="H164" s="34" t="s">
        <v>925</v>
      </c>
    </row>
    <row r="165" spans="1:8" ht="33">
      <c r="A165" s="160">
        <v>8</v>
      </c>
      <c r="B165" s="160" t="s">
        <v>931</v>
      </c>
      <c r="C165" s="157" t="s">
        <v>14</v>
      </c>
      <c r="D165" s="159">
        <v>1</v>
      </c>
      <c r="E165" s="159">
        <v>1825.92</v>
      </c>
      <c r="F165" s="159">
        <v>1825.92</v>
      </c>
      <c r="G165" s="160" t="s">
        <v>932</v>
      </c>
      <c r="H165" s="34" t="s">
        <v>925</v>
      </c>
    </row>
    <row r="166" spans="1:8" ht="16.5">
      <c r="A166" s="160"/>
      <c r="B166" s="160" t="s">
        <v>933</v>
      </c>
      <c r="C166" s="157" t="s">
        <v>1</v>
      </c>
      <c r="D166" s="159">
        <v>100</v>
      </c>
      <c r="E166" s="159"/>
      <c r="F166" s="159">
        <v>62690.049999999996</v>
      </c>
      <c r="G166" s="160"/>
    </row>
    <row r="167" spans="1:8" ht="33">
      <c r="A167" s="160"/>
      <c r="B167" s="160" t="s">
        <v>934</v>
      </c>
      <c r="C167" s="157" t="s">
        <v>1</v>
      </c>
      <c r="D167" s="159"/>
      <c r="E167" s="159"/>
      <c r="F167" s="159">
        <v>626.9</v>
      </c>
      <c r="G167" s="160"/>
      <c r="H167" s="34" t="s">
        <v>925</v>
      </c>
    </row>
    <row r="168" spans="1:8" ht="33">
      <c r="A168" s="160"/>
      <c r="B168" s="160"/>
      <c r="C168" s="157"/>
      <c r="D168" s="159"/>
      <c r="E168" s="159"/>
      <c r="F168" s="159"/>
      <c r="G168" s="160"/>
      <c r="H168" s="34" t="s">
        <v>925</v>
      </c>
    </row>
    <row r="169" spans="1:8" ht="57">
      <c r="A169" s="160" t="s">
        <v>994</v>
      </c>
      <c r="B169" s="160" t="s">
        <v>5505</v>
      </c>
      <c r="C169" s="157" t="s">
        <v>1</v>
      </c>
      <c r="D169" s="159">
        <v>1</v>
      </c>
      <c r="E169" s="159">
        <v>6579.27</v>
      </c>
      <c r="F169" s="159"/>
      <c r="G169" s="160" t="s">
        <v>979</v>
      </c>
      <c r="H169" s="34" t="s">
        <v>925</v>
      </c>
    </row>
    <row r="170" spans="1:8" ht="33">
      <c r="A170" s="160">
        <v>1</v>
      </c>
      <c r="B170" s="160" t="s">
        <v>4871</v>
      </c>
      <c r="C170" s="157" t="s">
        <v>927</v>
      </c>
      <c r="D170" s="159">
        <v>22.88</v>
      </c>
      <c r="E170" s="159">
        <v>279.18</v>
      </c>
      <c r="F170" s="159">
        <v>6387.64</v>
      </c>
      <c r="G170" s="160" t="s">
        <v>4872</v>
      </c>
      <c r="H170" s="34" t="s">
        <v>925</v>
      </c>
    </row>
    <row r="171" spans="1:8" ht="33">
      <c r="A171" s="160">
        <v>2</v>
      </c>
      <c r="B171" s="160" t="s">
        <v>955</v>
      </c>
      <c r="C171" s="157" t="s">
        <v>14</v>
      </c>
      <c r="D171" s="159">
        <v>1</v>
      </c>
      <c r="E171" s="159">
        <v>191.63</v>
      </c>
      <c r="F171" s="159">
        <v>191.63</v>
      </c>
      <c r="G171" s="160" t="s">
        <v>956</v>
      </c>
      <c r="H171" s="34" t="s">
        <v>925</v>
      </c>
    </row>
    <row r="172" spans="1:8" ht="33">
      <c r="A172" s="160"/>
      <c r="B172" s="160" t="s">
        <v>933</v>
      </c>
      <c r="C172" s="157" t="s">
        <v>1</v>
      </c>
      <c r="D172" s="159">
        <v>1</v>
      </c>
      <c r="E172" s="159"/>
      <c r="F172" s="159">
        <v>6579.27</v>
      </c>
      <c r="G172" s="160"/>
      <c r="H172" s="34" t="s">
        <v>925</v>
      </c>
    </row>
    <row r="173" spans="1:8" ht="33">
      <c r="A173" s="160"/>
      <c r="B173" s="160" t="s">
        <v>934</v>
      </c>
      <c r="C173" s="157" t="s">
        <v>1</v>
      </c>
      <c r="D173" s="159"/>
      <c r="E173" s="159"/>
      <c r="F173" s="159">
        <v>6579.27</v>
      </c>
      <c r="G173" s="160"/>
      <c r="H173" s="34" t="s">
        <v>925</v>
      </c>
    </row>
    <row r="174" spans="1:8" ht="16.5">
      <c r="A174" s="160"/>
      <c r="B174" s="160"/>
      <c r="C174" s="157"/>
      <c r="D174" s="159"/>
      <c r="E174" s="159"/>
      <c r="F174" s="159"/>
      <c r="G174" s="160"/>
    </row>
    <row r="175" spans="1:8" ht="57">
      <c r="A175" s="160" t="s">
        <v>1000</v>
      </c>
      <c r="B175" s="160" t="s">
        <v>5506</v>
      </c>
      <c r="C175" s="157" t="s">
        <v>1</v>
      </c>
      <c r="D175" s="159">
        <v>100</v>
      </c>
      <c r="E175" s="159">
        <v>1864.13</v>
      </c>
      <c r="F175" s="159"/>
      <c r="G175" s="160" t="s">
        <v>981</v>
      </c>
      <c r="H175" s="34" t="s">
        <v>925</v>
      </c>
    </row>
    <row r="176" spans="1:8" ht="33">
      <c r="A176" s="160">
        <v>1</v>
      </c>
      <c r="B176" s="160" t="s">
        <v>941</v>
      </c>
      <c r="C176" s="157" t="s">
        <v>927</v>
      </c>
      <c r="D176" s="159">
        <v>23.94</v>
      </c>
      <c r="E176" s="159">
        <v>342.77</v>
      </c>
      <c r="F176" s="159">
        <v>8205.91</v>
      </c>
      <c r="G176" s="160" t="s">
        <v>942</v>
      </c>
      <c r="H176" s="34" t="s">
        <v>925</v>
      </c>
    </row>
    <row r="177" spans="1:8" ht="33">
      <c r="A177" s="160">
        <v>2</v>
      </c>
      <c r="B177" s="160" t="s">
        <v>943</v>
      </c>
      <c r="C177" s="157" t="s">
        <v>927</v>
      </c>
      <c r="D177" s="159">
        <v>119.7</v>
      </c>
      <c r="E177" s="159">
        <v>302.04000000000002</v>
      </c>
      <c r="F177" s="159">
        <v>36154.19</v>
      </c>
      <c r="G177" s="160" t="s">
        <v>944</v>
      </c>
      <c r="H177" s="34" t="s">
        <v>925</v>
      </c>
    </row>
    <row r="178" spans="1:8" ht="33">
      <c r="A178" s="160">
        <v>3</v>
      </c>
      <c r="B178" s="160" t="s">
        <v>945</v>
      </c>
      <c r="C178" s="157" t="s">
        <v>927</v>
      </c>
      <c r="D178" s="159">
        <v>23.94</v>
      </c>
      <c r="E178" s="159">
        <v>398.41</v>
      </c>
      <c r="F178" s="159">
        <v>9537.94</v>
      </c>
      <c r="G178" s="160" t="s">
        <v>946</v>
      </c>
      <c r="H178" s="34" t="s">
        <v>925</v>
      </c>
    </row>
    <row r="179" spans="1:8" ht="33">
      <c r="A179" s="160">
        <v>4</v>
      </c>
      <c r="B179" s="160" t="s">
        <v>947</v>
      </c>
      <c r="C179" s="157" t="s">
        <v>927</v>
      </c>
      <c r="D179" s="159">
        <v>119.7</v>
      </c>
      <c r="E179" s="159">
        <v>398.41</v>
      </c>
      <c r="F179" s="159">
        <v>47689.68</v>
      </c>
      <c r="G179" s="160" t="s">
        <v>948</v>
      </c>
      <c r="H179" s="34" t="s">
        <v>925</v>
      </c>
    </row>
    <row r="180" spans="1:8" ht="33">
      <c r="A180" s="160">
        <v>5</v>
      </c>
      <c r="B180" s="160" t="s">
        <v>4871</v>
      </c>
      <c r="C180" s="157" t="s">
        <v>927</v>
      </c>
      <c r="D180" s="159">
        <v>239.4</v>
      </c>
      <c r="E180" s="159">
        <v>279.18</v>
      </c>
      <c r="F180" s="159">
        <v>66835.69</v>
      </c>
      <c r="G180" s="160" t="s">
        <v>4872</v>
      </c>
      <c r="H180" s="34" t="s">
        <v>925</v>
      </c>
    </row>
    <row r="181" spans="1:8" ht="28.5">
      <c r="A181" s="160">
        <v>6</v>
      </c>
      <c r="B181" s="160" t="s">
        <v>929</v>
      </c>
      <c r="C181" s="157" t="s">
        <v>927</v>
      </c>
      <c r="D181" s="159">
        <v>6.65</v>
      </c>
      <c r="E181" s="159">
        <v>1490.31</v>
      </c>
      <c r="F181" s="159">
        <v>9910.56</v>
      </c>
      <c r="G181" s="160" t="s">
        <v>930</v>
      </c>
    </row>
    <row r="182" spans="1:8" ht="42.75">
      <c r="A182" s="160">
        <v>7</v>
      </c>
      <c r="B182" s="160" t="s">
        <v>4869</v>
      </c>
      <c r="C182" s="157" t="s">
        <v>927</v>
      </c>
      <c r="D182" s="159">
        <v>6.65</v>
      </c>
      <c r="E182" s="159">
        <v>398.41</v>
      </c>
      <c r="F182" s="159">
        <v>2649.43</v>
      </c>
      <c r="G182" s="160" t="s">
        <v>4870</v>
      </c>
      <c r="H182" s="34" t="s">
        <v>925</v>
      </c>
    </row>
    <row r="183" spans="1:8" ht="33">
      <c r="A183" s="160">
        <v>8</v>
      </c>
      <c r="B183" s="160" t="s">
        <v>931</v>
      </c>
      <c r="C183" s="157" t="s">
        <v>14</v>
      </c>
      <c r="D183" s="159">
        <v>1</v>
      </c>
      <c r="E183" s="159">
        <v>5429.5</v>
      </c>
      <c r="F183" s="159">
        <v>5429.5</v>
      </c>
      <c r="G183" s="160" t="s">
        <v>932</v>
      </c>
      <c r="H183" s="34" t="s">
        <v>925</v>
      </c>
    </row>
    <row r="184" spans="1:8" ht="33">
      <c r="A184" s="160"/>
      <c r="B184" s="160" t="s">
        <v>933</v>
      </c>
      <c r="C184" s="157" t="s">
        <v>1</v>
      </c>
      <c r="D184" s="159">
        <v>100</v>
      </c>
      <c r="E184" s="159"/>
      <c r="F184" s="159">
        <v>186412.9</v>
      </c>
      <c r="G184" s="160"/>
      <c r="H184" s="34" t="s">
        <v>925</v>
      </c>
    </row>
    <row r="185" spans="1:8" ht="33">
      <c r="A185" s="160"/>
      <c r="B185" s="160" t="s">
        <v>934</v>
      </c>
      <c r="C185" s="157" t="s">
        <v>1</v>
      </c>
      <c r="D185" s="159"/>
      <c r="E185" s="159"/>
      <c r="F185" s="159">
        <v>1864.13</v>
      </c>
      <c r="G185" s="160"/>
      <c r="H185" s="34" t="s">
        <v>925</v>
      </c>
    </row>
    <row r="186" spans="1:8" ht="33">
      <c r="A186" s="160"/>
      <c r="B186" s="160"/>
      <c r="C186" s="157"/>
      <c r="D186" s="159"/>
      <c r="E186" s="159"/>
      <c r="F186" s="159"/>
      <c r="G186" s="160"/>
      <c r="H186" s="34" t="s">
        <v>925</v>
      </c>
    </row>
    <row r="187" spans="1:8" ht="57">
      <c r="A187" s="160" t="s">
        <v>1002</v>
      </c>
      <c r="B187" s="160" t="s">
        <v>5507</v>
      </c>
      <c r="C187" s="157" t="s">
        <v>1</v>
      </c>
      <c r="D187" s="159">
        <v>1</v>
      </c>
      <c r="E187" s="159">
        <v>856.92</v>
      </c>
      <c r="F187" s="159"/>
      <c r="G187" s="160" t="s">
        <v>986</v>
      </c>
      <c r="H187" s="34" t="s">
        <v>925</v>
      </c>
    </row>
    <row r="188" spans="1:8" ht="28.5">
      <c r="A188" s="160">
        <v>1</v>
      </c>
      <c r="B188" s="160" t="s">
        <v>4871</v>
      </c>
      <c r="C188" s="157" t="s">
        <v>927</v>
      </c>
      <c r="D188" s="159">
        <v>2.98</v>
      </c>
      <c r="E188" s="159">
        <v>279.18</v>
      </c>
      <c r="F188" s="159">
        <v>831.96</v>
      </c>
      <c r="G188" s="160" t="s">
        <v>4872</v>
      </c>
    </row>
    <row r="189" spans="1:8" ht="33">
      <c r="A189" s="160">
        <v>2</v>
      </c>
      <c r="B189" s="160" t="s">
        <v>931</v>
      </c>
      <c r="C189" s="157" t="s">
        <v>14</v>
      </c>
      <c r="D189" s="159">
        <v>1</v>
      </c>
      <c r="E189" s="159">
        <v>24.96</v>
      </c>
      <c r="F189" s="159">
        <v>24.96</v>
      </c>
      <c r="G189" s="160" t="s">
        <v>932</v>
      </c>
      <c r="H189" s="34" t="s">
        <v>925</v>
      </c>
    </row>
    <row r="190" spans="1:8" ht="33">
      <c r="A190" s="160"/>
      <c r="B190" s="160" t="s">
        <v>933</v>
      </c>
      <c r="C190" s="157" t="s">
        <v>1</v>
      </c>
      <c r="D190" s="159">
        <v>1</v>
      </c>
      <c r="E190" s="159"/>
      <c r="F190" s="159">
        <v>856.92000000000007</v>
      </c>
      <c r="G190" s="160"/>
      <c r="H190" s="34" t="s">
        <v>925</v>
      </c>
    </row>
    <row r="191" spans="1:8" ht="33">
      <c r="A191" s="160"/>
      <c r="B191" s="160" t="s">
        <v>934</v>
      </c>
      <c r="C191" s="157" t="s">
        <v>1</v>
      </c>
      <c r="D191" s="159"/>
      <c r="E191" s="159"/>
      <c r="F191" s="159">
        <v>856.92</v>
      </c>
      <c r="G191" s="160"/>
      <c r="H191" s="34" t="s">
        <v>925</v>
      </c>
    </row>
    <row r="192" spans="1:8" ht="33">
      <c r="A192" s="160"/>
      <c r="B192" s="160"/>
      <c r="C192" s="157"/>
      <c r="D192" s="159"/>
      <c r="E192" s="159"/>
      <c r="F192" s="159"/>
      <c r="G192" s="160"/>
      <c r="H192" s="34" t="s">
        <v>925</v>
      </c>
    </row>
    <row r="193" spans="1:8" ht="33">
      <c r="A193" s="160" t="s">
        <v>1009</v>
      </c>
      <c r="B193" s="160" t="s">
        <v>990</v>
      </c>
      <c r="C193" s="157" t="s">
        <v>17</v>
      </c>
      <c r="D193" s="159">
        <v>200</v>
      </c>
      <c r="E193" s="159">
        <v>89.32</v>
      </c>
      <c r="F193" s="159"/>
      <c r="G193" s="160" t="s">
        <v>991</v>
      </c>
      <c r="H193" s="34" t="s">
        <v>925</v>
      </c>
    </row>
    <row r="194" spans="1:8" ht="33">
      <c r="A194" s="160">
        <v>1</v>
      </c>
      <c r="B194" s="160" t="s">
        <v>929</v>
      </c>
      <c r="C194" s="157" t="s">
        <v>927</v>
      </c>
      <c r="D194" s="159">
        <v>8</v>
      </c>
      <c r="E194" s="159">
        <v>1490.31</v>
      </c>
      <c r="F194" s="159">
        <v>11922.48</v>
      </c>
      <c r="G194" s="160" t="s">
        <v>930</v>
      </c>
      <c r="H194" s="34" t="s">
        <v>925</v>
      </c>
    </row>
    <row r="195" spans="1:8" ht="42.75">
      <c r="A195" s="160">
        <v>2</v>
      </c>
      <c r="B195" s="160" t="s">
        <v>4869</v>
      </c>
      <c r="C195" s="157" t="s">
        <v>927</v>
      </c>
      <c r="D195" s="159">
        <v>8</v>
      </c>
      <c r="E195" s="159">
        <v>398.41</v>
      </c>
      <c r="F195" s="159">
        <v>3187.28</v>
      </c>
      <c r="G195" s="160" t="s">
        <v>4870</v>
      </c>
      <c r="H195" s="34" t="s">
        <v>925</v>
      </c>
    </row>
    <row r="196" spans="1:8" ht="33">
      <c r="A196" s="160">
        <v>3</v>
      </c>
      <c r="B196" s="160" t="s">
        <v>4871</v>
      </c>
      <c r="C196" s="157" t="s">
        <v>927</v>
      </c>
      <c r="D196" s="159">
        <v>8</v>
      </c>
      <c r="E196" s="159">
        <v>279.18</v>
      </c>
      <c r="F196" s="159">
        <v>2233.44</v>
      </c>
      <c r="G196" s="160" t="s">
        <v>4872</v>
      </c>
      <c r="H196" s="34" t="s">
        <v>925</v>
      </c>
    </row>
    <row r="197" spans="1:8" ht="33">
      <c r="A197" s="160">
        <v>4</v>
      </c>
      <c r="B197" s="160" t="s">
        <v>931</v>
      </c>
      <c r="C197" s="157" t="s">
        <v>14</v>
      </c>
      <c r="D197" s="159">
        <v>1</v>
      </c>
      <c r="E197" s="159">
        <v>520.29999999999995</v>
      </c>
      <c r="F197" s="159">
        <v>520.29999999999995</v>
      </c>
      <c r="G197" s="160" t="s">
        <v>932</v>
      </c>
      <c r="H197" s="34" t="s">
        <v>925</v>
      </c>
    </row>
    <row r="198" spans="1:8" ht="16.5">
      <c r="A198" s="160"/>
      <c r="B198" s="160" t="s">
        <v>933</v>
      </c>
      <c r="C198" s="157" t="s">
        <v>17</v>
      </c>
      <c r="D198" s="159">
        <v>200</v>
      </c>
      <c r="E198" s="159"/>
      <c r="F198" s="159">
        <v>17863.5</v>
      </c>
      <c r="G198" s="160"/>
    </row>
    <row r="199" spans="1:8" ht="33">
      <c r="A199" s="160"/>
      <c r="B199" s="160" t="s">
        <v>934</v>
      </c>
      <c r="C199" s="157" t="s">
        <v>17</v>
      </c>
      <c r="D199" s="159"/>
      <c r="E199" s="159"/>
      <c r="F199" s="159">
        <v>89.32</v>
      </c>
      <c r="G199" s="160"/>
      <c r="H199" s="34" t="s">
        <v>925</v>
      </c>
    </row>
    <row r="200" spans="1:8" ht="33">
      <c r="A200" s="160"/>
      <c r="B200" s="160"/>
      <c r="C200" s="157"/>
      <c r="D200" s="159"/>
      <c r="E200" s="159"/>
      <c r="F200" s="159"/>
      <c r="G200" s="160"/>
      <c r="H200" s="34" t="s">
        <v>925</v>
      </c>
    </row>
    <row r="201" spans="1:8" ht="57">
      <c r="A201" s="160" t="s">
        <v>1018</v>
      </c>
      <c r="B201" s="160" t="s">
        <v>5508</v>
      </c>
      <c r="C201" s="157" t="s">
        <v>17</v>
      </c>
      <c r="D201" s="159">
        <v>200</v>
      </c>
      <c r="E201" s="159">
        <v>118.79</v>
      </c>
      <c r="F201" s="159"/>
      <c r="G201" s="160" t="s">
        <v>993</v>
      </c>
      <c r="H201" s="34" t="s">
        <v>925</v>
      </c>
    </row>
    <row r="202" spans="1:8" ht="33">
      <c r="A202" s="160">
        <v>1</v>
      </c>
      <c r="B202" s="160" t="s">
        <v>929</v>
      </c>
      <c r="C202" s="157" t="s">
        <v>927</v>
      </c>
      <c r="D202" s="159">
        <v>10.64</v>
      </c>
      <c r="E202" s="159">
        <v>1490.31</v>
      </c>
      <c r="F202" s="159">
        <v>15856.9</v>
      </c>
      <c r="G202" s="160" t="s">
        <v>930</v>
      </c>
      <c r="H202" s="34" t="s">
        <v>925</v>
      </c>
    </row>
    <row r="203" spans="1:8" ht="42.75">
      <c r="A203" s="160">
        <v>2</v>
      </c>
      <c r="B203" s="160" t="s">
        <v>4869</v>
      </c>
      <c r="C203" s="157" t="s">
        <v>927</v>
      </c>
      <c r="D203" s="159">
        <v>10.64</v>
      </c>
      <c r="E203" s="159">
        <v>398.41</v>
      </c>
      <c r="F203" s="159">
        <v>4239.08</v>
      </c>
      <c r="G203" s="160" t="s">
        <v>4870</v>
      </c>
      <c r="H203" s="34" t="s">
        <v>925</v>
      </c>
    </row>
    <row r="204" spans="1:8" ht="33">
      <c r="A204" s="160">
        <v>3</v>
      </c>
      <c r="B204" s="160" t="s">
        <v>4871</v>
      </c>
      <c r="C204" s="157" t="s">
        <v>927</v>
      </c>
      <c r="D204" s="159">
        <v>10.64</v>
      </c>
      <c r="E204" s="159">
        <v>279.18</v>
      </c>
      <c r="F204" s="159">
        <v>2970.48</v>
      </c>
      <c r="G204" s="160" t="s">
        <v>4872</v>
      </c>
      <c r="H204" s="34" t="s">
        <v>925</v>
      </c>
    </row>
    <row r="205" spans="1:8" ht="33">
      <c r="A205" s="160">
        <v>4</v>
      </c>
      <c r="B205" s="160" t="s">
        <v>931</v>
      </c>
      <c r="C205" s="157" t="s">
        <v>14</v>
      </c>
      <c r="D205" s="159">
        <v>1</v>
      </c>
      <c r="E205" s="159">
        <v>691.99</v>
      </c>
      <c r="F205" s="159">
        <v>691.99</v>
      </c>
      <c r="G205" s="160" t="s">
        <v>932</v>
      </c>
      <c r="H205" s="34" t="s">
        <v>925</v>
      </c>
    </row>
    <row r="206" spans="1:8" ht="16.5">
      <c r="A206" s="160"/>
      <c r="B206" s="160" t="s">
        <v>933</v>
      </c>
      <c r="C206" s="157" t="s">
        <v>17</v>
      </c>
      <c r="D206" s="159">
        <v>200</v>
      </c>
      <c r="E206" s="159"/>
      <c r="F206" s="159">
        <v>23758.45</v>
      </c>
      <c r="G206" s="160"/>
    </row>
    <row r="207" spans="1:8" ht="33">
      <c r="A207" s="160"/>
      <c r="B207" s="160" t="s">
        <v>934</v>
      </c>
      <c r="C207" s="157" t="s">
        <v>17</v>
      </c>
      <c r="D207" s="159"/>
      <c r="E207" s="159"/>
      <c r="F207" s="159">
        <v>118.79</v>
      </c>
      <c r="G207" s="160"/>
      <c r="H207" s="34" t="s">
        <v>925</v>
      </c>
    </row>
    <row r="208" spans="1:8" ht="33">
      <c r="A208" s="160"/>
      <c r="B208" s="160"/>
      <c r="C208" s="157"/>
      <c r="D208" s="159"/>
      <c r="E208" s="159"/>
      <c r="F208" s="159"/>
      <c r="G208" s="160"/>
      <c r="H208" s="34" t="s">
        <v>925</v>
      </c>
    </row>
    <row r="209" spans="1:8" ht="33">
      <c r="A209" s="160" t="s">
        <v>1032</v>
      </c>
      <c r="B209" s="160" t="s">
        <v>995</v>
      </c>
      <c r="C209" s="157" t="s">
        <v>0</v>
      </c>
      <c r="D209" s="159">
        <v>100</v>
      </c>
      <c r="E209" s="159">
        <v>590.57000000000005</v>
      </c>
      <c r="F209" s="159"/>
      <c r="G209" s="160" t="s">
        <v>996</v>
      </c>
      <c r="H209" s="34" t="s">
        <v>925</v>
      </c>
    </row>
    <row r="210" spans="1:8" ht="33">
      <c r="A210" s="160">
        <v>1</v>
      </c>
      <c r="B210" s="160" t="s">
        <v>997</v>
      </c>
      <c r="C210" s="157" t="s">
        <v>927</v>
      </c>
      <c r="D210" s="159">
        <v>36.97</v>
      </c>
      <c r="E210" s="159">
        <v>1152.5</v>
      </c>
      <c r="F210" s="159">
        <v>42607.93</v>
      </c>
      <c r="G210" s="160" t="s">
        <v>998</v>
      </c>
      <c r="H210" s="34" t="s">
        <v>925</v>
      </c>
    </row>
    <row r="211" spans="1:8" ht="33">
      <c r="A211" s="160">
        <v>2</v>
      </c>
      <c r="B211" s="160" t="s">
        <v>999</v>
      </c>
      <c r="C211" s="157" t="s">
        <v>927</v>
      </c>
      <c r="D211" s="159">
        <v>36.97</v>
      </c>
      <c r="E211" s="159">
        <v>398.41</v>
      </c>
      <c r="F211" s="159">
        <v>14729.22</v>
      </c>
      <c r="G211" s="160" t="s">
        <v>4877</v>
      </c>
      <c r="H211" s="34" t="s">
        <v>925</v>
      </c>
    </row>
    <row r="212" spans="1:8" ht="33">
      <c r="A212" s="160">
        <v>3</v>
      </c>
      <c r="B212" s="160" t="s">
        <v>931</v>
      </c>
      <c r="C212" s="157" t="s">
        <v>14</v>
      </c>
      <c r="D212" s="159">
        <v>1</v>
      </c>
      <c r="E212" s="159">
        <v>1720.11</v>
      </c>
      <c r="F212" s="159">
        <v>1720.11</v>
      </c>
      <c r="G212" s="160" t="s">
        <v>932</v>
      </c>
      <c r="H212" s="34" t="s">
        <v>925</v>
      </c>
    </row>
    <row r="213" spans="1:8" ht="33">
      <c r="A213" s="160"/>
      <c r="B213" s="160" t="s">
        <v>933</v>
      </c>
      <c r="C213" s="157" t="s">
        <v>0</v>
      </c>
      <c r="D213" s="159">
        <v>100</v>
      </c>
      <c r="E213" s="159"/>
      <c r="F213" s="159">
        <v>59057.26</v>
      </c>
      <c r="G213" s="160"/>
      <c r="H213" s="34" t="s">
        <v>925</v>
      </c>
    </row>
    <row r="214" spans="1:8" ht="33">
      <c r="A214" s="160"/>
      <c r="B214" s="160" t="s">
        <v>934</v>
      </c>
      <c r="C214" s="157" t="s">
        <v>0</v>
      </c>
      <c r="D214" s="159"/>
      <c r="E214" s="159"/>
      <c r="F214" s="159">
        <v>590.57000000000005</v>
      </c>
      <c r="G214" s="160"/>
      <c r="H214" s="34" t="s">
        <v>925</v>
      </c>
    </row>
    <row r="215" spans="1:8" ht="33">
      <c r="A215" s="160"/>
      <c r="B215" s="160"/>
      <c r="C215" s="157"/>
      <c r="D215" s="159"/>
      <c r="E215" s="159"/>
      <c r="F215" s="159"/>
      <c r="G215" s="160"/>
      <c r="H215" s="34" t="s">
        <v>925</v>
      </c>
    </row>
    <row r="216" spans="1:8" ht="57">
      <c r="A216" s="160" t="s">
        <v>1035</v>
      </c>
      <c r="B216" s="160" t="s">
        <v>5509</v>
      </c>
      <c r="C216" s="157" t="s">
        <v>0</v>
      </c>
      <c r="D216" s="159">
        <v>100</v>
      </c>
      <c r="E216" s="159">
        <v>785.46</v>
      </c>
      <c r="F216" s="159"/>
      <c r="G216" s="160" t="s">
        <v>1001</v>
      </c>
      <c r="H216" s="34" t="s">
        <v>925</v>
      </c>
    </row>
    <row r="217" spans="1:8" ht="33">
      <c r="A217" s="160">
        <v>1</v>
      </c>
      <c r="B217" s="160" t="s">
        <v>997</v>
      </c>
      <c r="C217" s="157" t="s">
        <v>927</v>
      </c>
      <c r="D217" s="159">
        <v>49.17</v>
      </c>
      <c r="E217" s="159">
        <v>1152.5</v>
      </c>
      <c r="F217" s="159">
        <v>56668.43</v>
      </c>
      <c r="G217" s="160" t="s">
        <v>998</v>
      </c>
      <c r="H217" s="34" t="s">
        <v>925</v>
      </c>
    </row>
    <row r="218" spans="1:8" ht="33">
      <c r="A218" s="160">
        <v>2</v>
      </c>
      <c r="B218" s="160" t="s">
        <v>999</v>
      </c>
      <c r="C218" s="157" t="s">
        <v>927</v>
      </c>
      <c r="D218" s="159">
        <v>49.17</v>
      </c>
      <c r="E218" s="159">
        <v>398.41</v>
      </c>
      <c r="F218" s="159">
        <v>19589.82</v>
      </c>
      <c r="G218" s="160" t="s">
        <v>4877</v>
      </c>
      <c r="H218" s="34" t="s">
        <v>925</v>
      </c>
    </row>
    <row r="219" spans="1:8" ht="28.5">
      <c r="A219" s="160">
        <v>3</v>
      </c>
      <c r="B219" s="160" t="s">
        <v>931</v>
      </c>
      <c r="C219" s="157" t="s">
        <v>14</v>
      </c>
      <c r="D219" s="159">
        <v>1</v>
      </c>
      <c r="E219" s="159">
        <v>2287.75</v>
      </c>
      <c r="F219" s="159">
        <v>2287.75</v>
      </c>
      <c r="G219" s="160" t="s">
        <v>932</v>
      </c>
    </row>
    <row r="220" spans="1:8" ht="33">
      <c r="A220" s="160"/>
      <c r="B220" s="160" t="s">
        <v>933</v>
      </c>
      <c r="C220" s="157" t="s">
        <v>0</v>
      </c>
      <c r="D220" s="159">
        <v>100</v>
      </c>
      <c r="E220" s="159"/>
      <c r="F220" s="159">
        <v>78546</v>
      </c>
      <c r="G220" s="160"/>
      <c r="H220" s="34" t="s">
        <v>925</v>
      </c>
    </row>
    <row r="221" spans="1:8" ht="33">
      <c r="A221" s="160"/>
      <c r="B221" s="160" t="s">
        <v>934</v>
      </c>
      <c r="C221" s="157" t="s">
        <v>0</v>
      </c>
      <c r="D221" s="159"/>
      <c r="E221" s="159"/>
      <c r="F221" s="159">
        <v>785.46</v>
      </c>
      <c r="G221" s="160"/>
      <c r="H221" s="34" t="s">
        <v>925</v>
      </c>
    </row>
    <row r="222" spans="1:8" ht="33">
      <c r="A222" s="160"/>
      <c r="B222" s="160"/>
      <c r="C222" s="157"/>
      <c r="D222" s="159"/>
      <c r="E222" s="159"/>
      <c r="F222" s="159"/>
      <c r="G222" s="160"/>
      <c r="H222" s="34" t="s">
        <v>925</v>
      </c>
    </row>
    <row r="223" spans="1:8" ht="33">
      <c r="A223" s="160" t="s">
        <v>1042</v>
      </c>
      <c r="B223" s="160" t="s">
        <v>4443</v>
      </c>
      <c r="C223" s="157" t="s">
        <v>0</v>
      </c>
      <c r="D223" s="159">
        <v>100</v>
      </c>
      <c r="E223" s="159">
        <v>853.72</v>
      </c>
      <c r="F223" s="159"/>
      <c r="G223" s="160" t="s">
        <v>4878</v>
      </c>
      <c r="H223" s="34" t="s">
        <v>925</v>
      </c>
    </row>
    <row r="224" spans="1:8" ht="33">
      <c r="A224" s="160">
        <v>1</v>
      </c>
      <c r="B224" s="160" t="s">
        <v>997</v>
      </c>
      <c r="C224" s="157" t="s">
        <v>927</v>
      </c>
      <c r="D224" s="159">
        <v>42.52</v>
      </c>
      <c r="E224" s="159">
        <v>1152.5</v>
      </c>
      <c r="F224" s="159">
        <v>49004.3</v>
      </c>
      <c r="G224" s="160" t="s">
        <v>998</v>
      </c>
      <c r="H224" s="34" t="s">
        <v>925</v>
      </c>
    </row>
    <row r="225" spans="1:8" ht="28.5">
      <c r="A225" s="160">
        <v>2</v>
      </c>
      <c r="B225" s="160" t="s">
        <v>4879</v>
      </c>
      <c r="C225" s="157" t="s">
        <v>927</v>
      </c>
      <c r="D225" s="159">
        <v>42.52</v>
      </c>
      <c r="E225" s="159">
        <v>796.82</v>
      </c>
      <c r="F225" s="159">
        <v>33880.79</v>
      </c>
      <c r="G225" s="160" t="s">
        <v>4880</v>
      </c>
    </row>
    <row r="226" spans="1:8" ht="33">
      <c r="A226" s="160">
        <v>3</v>
      </c>
      <c r="B226" s="160" t="s">
        <v>931</v>
      </c>
      <c r="C226" s="157" t="s">
        <v>14</v>
      </c>
      <c r="D226" s="159">
        <v>1</v>
      </c>
      <c r="E226" s="159">
        <v>2486.5500000000002</v>
      </c>
      <c r="F226" s="159">
        <v>2486.5500000000002</v>
      </c>
      <c r="G226" s="160" t="s">
        <v>932</v>
      </c>
      <c r="H226" s="34" t="s">
        <v>925</v>
      </c>
    </row>
    <row r="227" spans="1:8" ht="33">
      <c r="A227" s="160"/>
      <c r="B227" s="160" t="s">
        <v>933</v>
      </c>
      <c r="C227" s="157" t="s">
        <v>0</v>
      </c>
      <c r="D227" s="159">
        <v>100</v>
      </c>
      <c r="E227" s="159"/>
      <c r="F227" s="159">
        <v>85371.64</v>
      </c>
      <c r="G227" s="160"/>
      <c r="H227" s="34" t="s">
        <v>925</v>
      </c>
    </row>
    <row r="228" spans="1:8" ht="33">
      <c r="A228" s="160"/>
      <c r="B228" s="160" t="s">
        <v>934</v>
      </c>
      <c r="C228" s="157" t="s">
        <v>0</v>
      </c>
      <c r="D228" s="159"/>
      <c r="E228" s="159"/>
      <c r="F228" s="159">
        <v>853.72</v>
      </c>
      <c r="G228" s="160"/>
      <c r="H228" s="34" t="s">
        <v>925</v>
      </c>
    </row>
    <row r="229" spans="1:8" ht="33">
      <c r="A229" s="160"/>
      <c r="B229" s="160"/>
      <c r="C229" s="157"/>
      <c r="D229" s="159"/>
      <c r="E229" s="159"/>
      <c r="F229" s="159"/>
      <c r="G229" s="160"/>
      <c r="H229" s="34" t="s">
        <v>925</v>
      </c>
    </row>
    <row r="230" spans="1:8" ht="33">
      <c r="A230" s="160" t="s">
        <v>1047</v>
      </c>
      <c r="B230" s="160" t="s">
        <v>1003</v>
      </c>
      <c r="C230" s="157" t="s">
        <v>1</v>
      </c>
      <c r="D230" s="159">
        <v>100</v>
      </c>
      <c r="E230" s="159">
        <v>98.13</v>
      </c>
      <c r="F230" s="159"/>
      <c r="G230" s="160" t="s">
        <v>1004</v>
      </c>
      <c r="H230" s="34" t="s">
        <v>925</v>
      </c>
    </row>
    <row r="231" spans="1:8" ht="33">
      <c r="A231" s="160">
        <v>1</v>
      </c>
      <c r="B231" s="160" t="s">
        <v>1005</v>
      </c>
      <c r="C231" s="157" t="s">
        <v>927</v>
      </c>
      <c r="D231" s="159">
        <v>2</v>
      </c>
      <c r="E231" s="159">
        <v>972.67</v>
      </c>
      <c r="F231" s="159">
        <v>1945.34</v>
      </c>
      <c r="G231" s="160" t="s">
        <v>1006</v>
      </c>
      <c r="H231" s="34" t="s">
        <v>925</v>
      </c>
    </row>
    <row r="232" spans="1:8" ht="33">
      <c r="A232" s="160">
        <v>2</v>
      </c>
      <c r="B232" s="160" t="s">
        <v>929</v>
      </c>
      <c r="C232" s="157" t="s">
        <v>927</v>
      </c>
      <c r="D232" s="159">
        <v>2</v>
      </c>
      <c r="E232" s="159">
        <v>1490.31</v>
      </c>
      <c r="F232" s="159">
        <v>2980.62</v>
      </c>
      <c r="G232" s="160" t="s">
        <v>930</v>
      </c>
      <c r="H232" s="34" t="s">
        <v>925</v>
      </c>
    </row>
    <row r="233" spans="1:8" ht="42.75">
      <c r="A233" s="160">
        <v>3</v>
      </c>
      <c r="B233" s="160" t="s">
        <v>4881</v>
      </c>
      <c r="C233" s="157" t="s">
        <v>927</v>
      </c>
      <c r="D233" s="159">
        <v>8</v>
      </c>
      <c r="E233" s="159">
        <v>398.41</v>
      </c>
      <c r="F233" s="159">
        <v>3187.28</v>
      </c>
      <c r="G233" s="160" t="s">
        <v>4882</v>
      </c>
    </row>
    <row r="234" spans="1:8" ht="33">
      <c r="A234" s="160">
        <v>4</v>
      </c>
      <c r="B234" s="160" t="s">
        <v>4871</v>
      </c>
      <c r="C234" s="157" t="s">
        <v>927</v>
      </c>
      <c r="D234" s="159">
        <v>4</v>
      </c>
      <c r="E234" s="159">
        <v>279.18</v>
      </c>
      <c r="F234" s="159">
        <v>1116.72</v>
      </c>
      <c r="G234" s="160" t="s">
        <v>4872</v>
      </c>
      <c r="H234" s="34" t="s">
        <v>925</v>
      </c>
    </row>
    <row r="235" spans="1:8" ht="33">
      <c r="A235" s="160">
        <v>5</v>
      </c>
      <c r="B235" s="160" t="s">
        <v>1007</v>
      </c>
      <c r="C235" s="157" t="s">
        <v>14</v>
      </c>
      <c r="D235" s="159">
        <v>1</v>
      </c>
      <c r="E235" s="159">
        <v>296.82</v>
      </c>
      <c r="F235" s="159">
        <v>296.82</v>
      </c>
      <c r="G235" s="160" t="s">
        <v>1008</v>
      </c>
      <c r="H235" s="34" t="s">
        <v>925</v>
      </c>
    </row>
    <row r="236" spans="1:8" ht="33">
      <c r="A236" s="160">
        <v>6</v>
      </c>
      <c r="B236" s="160" t="s">
        <v>931</v>
      </c>
      <c r="C236" s="157" t="s">
        <v>14</v>
      </c>
      <c r="D236" s="159">
        <v>1</v>
      </c>
      <c r="E236" s="159">
        <v>285.8</v>
      </c>
      <c r="F236" s="159">
        <v>285.8</v>
      </c>
      <c r="G236" s="160" t="s">
        <v>932</v>
      </c>
      <c r="H236" s="34" t="s">
        <v>925</v>
      </c>
    </row>
    <row r="237" spans="1:8" ht="33">
      <c r="A237" s="160"/>
      <c r="B237" s="160" t="s">
        <v>933</v>
      </c>
      <c r="C237" s="157" t="s">
        <v>1</v>
      </c>
      <c r="D237" s="159">
        <v>100</v>
      </c>
      <c r="E237" s="159"/>
      <c r="F237" s="159">
        <v>9812.5799999999981</v>
      </c>
      <c r="G237" s="160"/>
      <c r="H237" s="34" t="s">
        <v>925</v>
      </c>
    </row>
    <row r="238" spans="1:8" ht="33">
      <c r="A238" s="160"/>
      <c r="B238" s="160" t="s">
        <v>934</v>
      </c>
      <c r="C238" s="157" t="s">
        <v>1</v>
      </c>
      <c r="D238" s="159"/>
      <c r="E238" s="159"/>
      <c r="F238" s="159">
        <v>98.13</v>
      </c>
      <c r="G238" s="160"/>
      <c r="H238" s="34" t="s">
        <v>925</v>
      </c>
    </row>
    <row r="239" spans="1:8" ht="33">
      <c r="A239" s="160"/>
      <c r="B239" s="160"/>
      <c r="C239" s="157"/>
      <c r="D239" s="159"/>
      <c r="E239" s="159"/>
      <c r="F239" s="159"/>
      <c r="G239" s="160"/>
      <c r="H239" s="34" t="s">
        <v>925</v>
      </c>
    </row>
    <row r="240" spans="1:8" ht="28.5">
      <c r="A240" s="160" t="s">
        <v>1066</v>
      </c>
      <c r="B240" s="160" t="s">
        <v>1010</v>
      </c>
      <c r="C240" s="157" t="s">
        <v>1</v>
      </c>
      <c r="D240" s="159">
        <v>1</v>
      </c>
      <c r="E240" s="159">
        <v>598.66999999999996</v>
      </c>
      <c r="F240" s="159"/>
      <c r="G240" s="160" t="s">
        <v>1011</v>
      </c>
    </row>
    <row r="241" spans="1:8" ht="33">
      <c r="A241" s="160">
        <v>1</v>
      </c>
      <c r="B241" s="160" t="s">
        <v>1012</v>
      </c>
      <c r="C241" s="157" t="s">
        <v>1</v>
      </c>
      <c r="D241" s="159">
        <v>0.9</v>
      </c>
      <c r="E241" s="159">
        <v>347.74</v>
      </c>
      <c r="F241" s="159">
        <v>312.97000000000003</v>
      </c>
      <c r="G241" s="160" t="s">
        <v>1013</v>
      </c>
      <c r="H241" s="34" t="s">
        <v>925</v>
      </c>
    </row>
    <row r="242" spans="1:8" ht="33">
      <c r="A242" s="160">
        <v>2</v>
      </c>
      <c r="B242" s="160" t="s">
        <v>1014</v>
      </c>
      <c r="C242" s="157" t="s">
        <v>1</v>
      </c>
      <c r="D242" s="159">
        <v>0.1</v>
      </c>
      <c r="E242" s="159">
        <v>695.48</v>
      </c>
      <c r="F242" s="159">
        <v>69.55</v>
      </c>
      <c r="G242" s="160" t="s">
        <v>1015</v>
      </c>
      <c r="H242" s="34" t="s">
        <v>925</v>
      </c>
    </row>
    <row r="243" spans="1:8" ht="33">
      <c r="A243" s="160">
        <v>3</v>
      </c>
      <c r="B243" s="160" t="s">
        <v>1016</v>
      </c>
      <c r="C243" s="157" t="s">
        <v>1</v>
      </c>
      <c r="D243" s="159">
        <v>1</v>
      </c>
      <c r="E243" s="159">
        <v>198.71</v>
      </c>
      <c r="F243" s="159">
        <v>198.71</v>
      </c>
      <c r="G243" s="160" t="s">
        <v>1017</v>
      </c>
      <c r="H243" s="34" t="s">
        <v>925</v>
      </c>
    </row>
    <row r="244" spans="1:8" ht="33">
      <c r="A244" s="160">
        <v>4</v>
      </c>
      <c r="B244" s="160" t="s">
        <v>955</v>
      </c>
      <c r="C244" s="157" t="s">
        <v>14</v>
      </c>
      <c r="D244" s="159">
        <v>1</v>
      </c>
      <c r="E244" s="159">
        <v>17.440000000000001</v>
      </c>
      <c r="F244" s="159">
        <v>17.440000000000001</v>
      </c>
      <c r="G244" s="160" t="s">
        <v>956</v>
      </c>
      <c r="H244" s="34" t="s">
        <v>925</v>
      </c>
    </row>
    <row r="245" spans="1:8" ht="33">
      <c r="A245" s="160"/>
      <c r="B245" s="160" t="s">
        <v>933</v>
      </c>
      <c r="C245" s="157" t="s">
        <v>1</v>
      </c>
      <c r="D245" s="159">
        <v>1</v>
      </c>
      <c r="E245" s="159"/>
      <c r="F245" s="159">
        <v>598.67000000000007</v>
      </c>
      <c r="G245" s="160"/>
      <c r="H245" s="34" t="s">
        <v>925</v>
      </c>
    </row>
    <row r="246" spans="1:8" ht="33">
      <c r="A246" s="160"/>
      <c r="B246" s="160" t="s">
        <v>934</v>
      </c>
      <c r="C246" s="157" t="s">
        <v>1</v>
      </c>
      <c r="D246" s="159"/>
      <c r="E246" s="159"/>
      <c r="F246" s="159">
        <v>598.66999999999996</v>
      </c>
      <c r="G246" s="160"/>
      <c r="H246" s="34" t="s">
        <v>925</v>
      </c>
    </row>
    <row r="247" spans="1:8" ht="33">
      <c r="A247" s="160"/>
      <c r="B247" s="160"/>
      <c r="C247" s="157"/>
      <c r="D247" s="159"/>
      <c r="E247" s="159"/>
      <c r="F247" s="159"/>
      <c r="G247" s="160"/>
      <c r="H247" s="34" t="s">
        <v>925</v>
      </c>
    </row>
    <row r="248" spans="1:8" ht="33">
      <c r="A248" s="160" t="s">
        <v>1071</v>
      </c>
      <c r="B248" s="160" t="s">
        <v>1019</v>
      </c>
      <c r="C248" s="157" t="s">
        <v>1</v>
      </c>
      <c r="D248" s="159">
        <v>20000</v>
      </c>
      <c r="E248" s="159">
        <v>138.11000000000001</v>
      </c>
      <c r="F248" s="159"/>
      <c r="G248" s="160" t="s">
        <v>1020</v>
      </c>
      <c r="H248" s="34" t="s">
        <v>925</v>
      </c>
    </row>
    <row r="249" spans="1:8" ht="33">
      <c r="A249" s="160">
        <v>1</v>
      </c>
      <c r="B249" s="160" t="s">
        <v>1021</v>
      </c>
      <c r="C249" s="157" t="s">
        <v>14</v>
      </c>
      <c r="D249" s="159">
        <v>1</v>
      </c>
      <c r="E249" s="159">
        <v>149030.73000000001</v>
      </c>
      <c r="F249" s="159">
        <v>149030.73000000001</v>
      </c>
      <c r="G249" s="160" t="s">
        <v>1022</v>
      </c>
      <c r="H249" s="34" t="s">
        <v>925</v>
      </c>
    </row>
    <row r="250" spans="1:8" ht="33">
      <c r="A250" s="160">
        <v>2</v>
      </c>
      <c r="B250" s="160" t="s">
        <v>1023</v>
      </c>
      <c r="C250" s="157" t="s">
        <v>1024</v>
      </c>
      <c r="D250" s="159">
        <v>1</v>
      </c>
      <c r="E250" s="159">
        <v>496769.09</v>
      </c>
      <c r="F250" s="159">
        <v>496769.09</v>
      </c>
      <c r="G250" s="160" t="s">
        <v>1025</v>
      </c>
      <c r="H250" s="34" t="s">
        <v>925</v>
      </c>
    </row>
    <row r="251" spans="1:8" ht="33">
      <c r="A251" s="160">
        <v>3</v>
      </c>
      <c r="B251" s="160" t="s">
        <v>1026</v>
      </c>
      <c r="C251" s="157" t="s">
        <v>14</v>
      </c>
      <c r="D251" s="159">
        <v>1</v>
      </c>
      <c r="E251" s="159">
        <v>99353.82</v>
      </c>
      <c r="F251" s="159">
        <v>99353.82</v>
      </c>
      <c r="G251" s="160" t="s">
        <v>1027</v>
      </c>
      <c r="H251" s="34" t="s">
        <v>925</v>
      </c>
    </row>
    <row r="252" spans="1:8" ht="33">
      <c r="A252" s="160">
        <v>4</v>
      </c>
      <c r="B252" s="160" t="s">
        <v>1028</v>
      </c>
      <c r="C252" s="157" t="s">
        <v>1024</v>
      </c>
      <c r="D252" s="159">
        <v>1</v>
      </c>
      <c r="E252" s="159">
        <v>278190.69</v>
      </c>
      <c r="F252" s="159">
        <v>278190.69</v>
      </c>
      <c r="G252" s="160" t="s">
        <v>1029</v>
      </c>
      <c r="H252" s="34" t="s">
        <v>925</v>
      </c>
    </row>
    <row r="253" spans="1:8" ht="33">
      <c r="A253" s="160">
        <v>5</v>
      </c>
      <c r="B253" s="160" t="s">
        <v>929</v>
      </c>
      <c r="C253" s="157" t="s">
        <v>927</v>
      </c>
      <c r="D253" s="159">
        <v>800</v>
      </c>
      <c r="E253" s="159">
        <v>1490.31</v>
      </c>
      <c r="F253" s="159">
        <v>1192248</v>
      </c>
      <c r="G253" s="160" t="s">
        <v>930</v>
      </c>
      <c r="H253" s="34" t="s">
        <v>925</v>
      </c>
    </row>
    <row r="254" spans="1:8" ht="42.75">
      <c r="A254" s="160">
        <v>6</v>
      </c>
      <c r="B254" s="160" t="s">
        <v>4881</v>
      </c>
      <c r="C254" s="157" t="s">
        <v>927</v>
      </c>
      <c r="D254" s="159">
        <v>800</v>
      </c>
      <c r="E254" s="159">
        <v>398.41</v>
      </c>
      <c r="F254" s="159">
        <v>318728</v>
      </c>
      <c r="G254" s="160" t="s">
        <v>4882</v>
      </c>
      <c r="H254" s="34" t="s">
        <v>925</v>
      </c>
    </row>
    <row r="255" spans="1:8" ht="33">
      <c r="A255" s="160">
        <v>7</v>
      </c>
      <c r="B255" s="160" t="s">
        <v>4871</v>
      </c>
      <c r="C255" s="157" t="s">
        <v>927</v>
      </c>
      <c r="D255" s="159">
        <v>350</v>
      </c>
      <c r="E255" s="159">
        <v>279.18</v>
      </c>
      <c r="F255" s="159">
        <v>97713</v>
      </c>
      <c r="G255" s="160" t="s">
        <v>4872</v>
      </c>
      <c r="H255" s="34" t="s">
        <v>925</v>
      </c>
    </row>
    <row r="256" spans="1:8" ht="28.5">
      <c r="A256" s="160">
        <v>8</v>
      </c>
      <c r="B256" s="160" t="s">
        <v>1030</v>
      </c>
      <c r="C256" s="157" t="s">
        <v>14</v>
      </c>
      <c r="D256" s="159">
        <v>1</v>
      </c>
      <c r="E256" s="159">
        <v>49676.91</v>
      </c>
      <c r="F256" s="159">
        <v>49676.91</v>
      </c>
      <c r="G256" s="160" t="s">
        <v>1031</v>
      </c>
    </row>
    <row r="257" spans="1:8" ht="33">
      <c r="A257" s="160">
        <v>9</v>
      </c>
      <c r="B257" s="160" t="s">
        <v>931</v>
      </c>
      <c r="C257" s="157" t="s">
        <v>14</v>
      </c>
      <c r="D257" s="159">
        <v>1</v>
      </c>
      <c r="E257" s="159">
        <v>80451.31</v>
      </c>
      <c r="F257" s="159">
        <v>80451.31</v>
      </c>
      <c r="G257" s="160" t="s">
        <v>932</v>
      </c>
      <c r="H257" s="34" t="s">
        <v>925</v>
      </c>
    </row>
    <row r="258" spans="1:8" ht="33">
      <c r="A258" s="160"/>
      <c r="B258" s="160" t="s">
        <v>933</v>
      </c>
      <c r="C258" s="157" t="s">
        <v>1</v>
      </c>
      <c r="D258" s="159">
        <v>20000</v>
      </c>
      <c r="E258" s="159"/>
      <c r="F258" s="159">
        <v>2762161.5500000003</v>
      </c>
      <c r="G258" s="160"/>
      <c r="H258" s="34" t="s">
        <v>925</v>
      </c>
    </row>
    <row r="259" spans="1:8" ht="33">
      <c r="A259" s="160"/>
      <c r="B259" s="160" t="s">
        <v>934</v>
      </c>
      <c r="C259" s="157" t="s">
        <v>1</v>
      </c>
      <c r="D259" s="159"/>
      <c r="E259" s="159"/>
      <c r="F259" s="159">
        <v>138.11000000000001</v>
      </c>
      <c r="G259" s="160"/>
      <c r="H259" s="34" t="s">
        <v>925</v>
      </c>
    </row>
    <row r="260" spans="1:8" ht="33">
      <c r="A260" s="160"/>
      <c r="B260" s="160"/>
      <c r="C260" s="157"/>
      <c r="D260" s="159"/>
      <c r="E260" s="159"/>
      <c r="F260" s="159"/>
      <c r="G260" s="160"/>
      <c r="H260" s="34" t="s">
        <v>925</v>
      </c>
    </row>
    <row r="261" spans="1:8" ht="33">
      <c r="A261" s="160" t="s">
        <v>1074</v>
      </c>
      <c r="B261" s="160" t="s">
        <v>1033</v>
      </c>
      <c r="C261" s="157" t="s">
        <v>17</v>
      </c>
      <c r="D261" s="159">
        <v>50</v>
      </c>
      <c r="E261" s="159">
        <v>60.39</v>
      </c>
      <c r="F261" s="159"/>
      <c r="G261" s="160" t="s">
        <v>1034</v>
      </c>
      <c r="H261" s="34" t="s">
        <v>925</v>
      </c>
    </row>
    <row r="262" spans="1:8" ht="33">
      <c r="A262" s="160">
        <v>1</v>
      </c>
      <c r="B262" s="160" t="s">
        <v>4871</v>
      </c>
      <c r="C262" s="157" t="s">
        <v>927</v>
      </c>
      <c r="D262" s="159">
        <v>10.5</v>
      </c>
      <c r="E262" s="159">
        <v>279.18</v>
      </c>
      <c r="F262" s="159">
        <v>2931.39</v>
      </c>
      <c r="G262" s="160" t="s">
        <v>4872</v>
      </c>
      <c r="H262" s="34" t="s">
        <v>925</v>
      </c>
    </row>
    <row r="263" spans="1:8" ht="33">
      <c r="A263" s="160">
        <v>2</v>
      </c>
      <c r="B263" s="160" t="s">
        <v>931</v>
      </c>
      <c r="C263" s="157" t="s">
        <v>14</v>
      </c>
      <c r="D263" s="159">
        <v>1</v>
      </c>
      <c r="E263" s="159">
        <v>87.94</v>
      </c>
      <c r="F263" s="159">
        <v>87.94</v>
      </c>
      <c r="G263" s="160" t="s">
        <v>932</v>
      </c>
      <c r="H263" s="34" t="s">
        <v>925</v>
      </c>
    </row>
    <row r="264" spans="1:8" ht="16.5">
      <c r="A264" s="160"/>
      <c r="B264" s="160" t="s">
        <v>933</v>
      </c>
      <c r="C264" s="157" t="s">
        <v>17</v>
      </c>
      <c r="D264" s="159">
        <v>50</v>
      </c>
      <c r="E264" s="159"/>
      <c r="F264" s="159">
        <v>3019.33</v>
      </c>
      <c r="G264" s="160"/>
    </row>
    <row r="265" spans="1:8" ht="33">
      <c r="A265" s="160"/>
      <c r="B265" s="160" t="s">
        <v>934</v>
      </c>
      <c r="C265" s="157" t="s">
        <v>17</v>
      </c>
      <c r="D265" s="159"/>
      <c r="E265" s="159"/>
      <c r="F265" s="159">
        <v>60.39</v>
      </c>
      <c r="G265" s="160"/>
      <c r="H265" s="34" t="s">
        <v>925</v>
      </c>
    </row>
    <row r="266" spans="1:8" ht="33">
      <c r="A266" s="160"/>
      <c r="B266" s="160"/>
      <c r="C266" s="157"/>
      <c r="D266" s="159"/>
      <c r="E266" s="159"/>
      <c r="F266" s="159"/>
      <c r="G266" s="160"/>
      <c r="H266" s="34" t="s">
        <v>925</v>
      </c>
    </row>
    <row r="267" spans="1:8" ht="33">
      <c r="A267" s="160" t="s">
        <v>1082</v>
      </c>
      <c r="B267" s="160" t="s">
        <v>1036</v>
      </c>
      <c r="C267" s="157" t="s">
        <v>3</v>
      </c>
      <c r="D267" s="159">
        <v>100</v>
      </c>
      <c r="E267" s="159">
        <v>15.02</v>
      </c>
      <c r="F267" s="159"/>
      <c r="G267" s="160" t="s">
        <v>1037</v>
      </c>
      <c r="H267" s="34" t="s">
        <v>925</v>
      </c>
    </row>
    <row r="268" spans="1:8" ht="33">
      <c r="A268" s="160">
        <v>1</v>
      </c>
      <c r="B268" s="160" t="s">
        <v>1038</v>
      </c>
      <c r="C268" s="157" t="s">
        <v>927</v>
      </c>
      <c r="D268" s="159">
        <v>1.2</v>
      </c>
      <c r="E268" s="159">
        <v>69.55</v>
      </c>
      <c r="F268" s="159">
        <v>83.46</v>
      </c>
      <c r="G268" s="160" t="s">
        <v>1039</v>
      </c>
      <c r="H268" s="34" t="s">
        <v>925</v>
      </c>
    </row>
    <row r="269" spans="1:8" ht="33">
      <c r="A269" s="160">
        <v>2</v>
      </c>
      <c r="B269" s="160" t="s">
        <v>4871</v>
      </c>
      <c r="C269" s="157" t="s">
        <v>927</v>
      </c>
      <c r="D269" s="159">
        <v>4.8</v>
      </c>
      <c r="E269" s="159">
        <v>279.18</v>
      </c>
      <c r="F269" s="159">
        <v>1340.06</v>
      </c>
      <c r="G269" s="160" t="s">
        <v>4872</v>
      </c>
      <c r="H269" s="34" t="s">
        <v>925</v>
      </c>
    </row>
    <row r="270" spans="1:8" ht="33">
      <c r="A270" s="160">
        <v>3</v>
      </c>
      <c r="B270" s="160" t="s">
        <v>1040</v>
      </c>
      <c r="C270" s="157" t="s">
        <v>14</v>
      </c>
      <c r="D270" s="159">
        <v>1</v>
      </c>
      <c r="E270" s="159">
        <v>34.770000000000003</v>
      </c>
      <c r="F270" s="159">
        <v>34.770000000000003</v>
      </c>
      <c r="G270" s="160" t="s">
        <v>1041</v>
      </c>
      <c r="H270" s="34" t="s">
        <v>925</v>
      </c>
    </row>
    <row r="271" spans="1:8" ht="33">
      <c r="A271" s="160">
        <v>4</v>
      </c>
      <c r="B271" s="160" t="s">
        <v>931</v>
      </c>
      <c r="C271" s="157" t="s">
        <v>14</v>
      </c>
      <c r="D271" s="159">
        <v>1</v>
      </c>
      <c r="E271" s="159">
        <v>43.75</v>
      </c>
      <c r="F271" s="159">
        <v>43.75</v>
      </c>
      <c r="G271" s="160" t="s">
        <v>932</v>
      </c>
      <c r="H271" s="34" t="s">
        <v>925</v>
      </c>
    </row>
    <row r="272" spans="1:8" ht="33">
      <c r="A272" s="160"/>
      <c r="B272" s="160" t="s">
        <v>933</v>
      </c>
      <c r="C272" s="157" t="s">
        <v>3</v>
      </c>
      <c r="D272" s="159">
        <v>100</v>
      </c>
      <c r="E272" s="159"/>
      <c r="F272" s="159">
        <v>1502.04</v>
      </c>
      <c r="G272" s="160"/>
      <c r="H272" s="34" t="s">
        <v>925</v>
      </c>
    </row>
    <row r="273" spans="1:8" ht="16.5">
      <c r="A273" s="160"/>
      <c r="B273" s="160" t="s">
        <v>934</v>
      </c>
      <c r="C273" s="157" t="s">
        <v>3</v>
      </c>
      <c r="D273" s="159"/>
      <c r="E273" s="159"/>
      <c r="F273" s="159">
        <v>15.02</v>
      </c>
      <c r="G273" s="160"/>
    </row>
    <row r="274" spans="1:8" ht="33">
      <c r="A274" s="160"/>
      <c r="B274" s="160"/>
      <c r="C274" s="157"/>
      <c r="D274" s="159"/>
      <c r="E274" s="159"/>
      <c r="F274" s="159"/>
      <c r="G274" s="160"/>
      <c r="H274" s="34" t="s">
        <v>925</v>
      </c>
    </row>
    <row r="275" spans="1:8" ht="33">
      <c r="A275" s="160" t="s">
        <v>1088</v>
      </c>
      <c r="B275" s="160" t="s">
        <v>454</v>
      </c>
      <c r="C275" s="157" t="s">
        <v>0</v>
      </c>
      <c r="D275" s="159">
        <v>1</v>
      </c>
      <c r="E275" s="159">
        <v>306.01</v>
      </c>
      <c r="F275" s="159"/>
      <c r="G275" s="160" t="s">
        <v>1043</v>
      </c>
      <c r="H275" s="34" t="s">
        <v>925</v>
      </c>
    </row>
    <row r="276" spans="1:8" ht="33">
      <c r="A276" s="160">
        <v>1</v>
      </c>
      <c r="B276" s="160" t="s">
        <v>4871</v>
      </c>
      <c r="C276" s="157" t="s">
        <v>927</v>
      </c>
      <c r="D276" s="159">
        <v>1</v>
      </c>
      <c r="E276" s="159">
        <v>279.18</v>
      </c>
      <c r="F276" s="159">
        <v>279.18</v>
      </c>
      <c r="G276" s="160" t="s">
        <v>4872</v>
      </c>
      <c r="H276" s="34" t="s">
        <v>925</v>
      </c>
    </row>
    <row r="277" spans="1:8" ht="33">
      <c r="A277" s="160">
        <v>2</v>
      </c>
      <c r="B277" s="160" t="s">
        <v>1044</v>
      </c>
      <c r="C277" s="157" t="s">
        <v>14</v>
      </c>
      <c r="D277" s="159">
        <v>1</v>
      </c>
      <c r="E277" s="159">
        <v>19.87</v>
      </c>
      <c r="F277" s="159">
        <v>19.87</v>
      </c>
      <c r="G277" s="160" t="s">
        <v>1045</v>
      </c>
      <c r="H277" s="34" t="s">
        <v>925</v>
      </c>
    </row>
    <row r="278" spans="1:8" ht="33">
      <c r="A278" s="160">
        <v>3</v>
      </c>
      <c r="B278" s="160" t="s">
        <v>931</v>
      </c>
      <c r="C278" s="157" t="s">
        <v>14</v>
      </c>
      <c r="D278" s="159">
        <v>1</v>
      </c>
      <c r="E278" s="159">
        <v>6.96</v>
      </c>
      <c r="F278" s="159">
        <v>6.96</v>
      </c>
      <c r="G278" s="160" t="s">
        <v>1046</v>
      </c>
      <c r="H278" s="34" t="s">
        <v>925</v>
      </c>
    </row>
    <row r="279" spans="1:8" ht="33">
      <c r="A279" s="160"/>
      <c r="B279" s="160" t="s">
        <v>933</v>
      </c>
      <c r="C279" s="157" t="s">
        <v>0</v>
      </c>
      <c r="D279" s="159">
        <v>1</v>
      </c>
      <c r="E279" s="159"/>
      <c r="F279" s="159">
        <v>306.01</v>
      </c>
      <c r="G279" s="160"/>
      <c r="H279" s="34" t="s">
        <v>925</v>
      </c>
    </row>
    <row r="280" spans="1:8" ht="33">
      <c r="A280" s="160"/>
      <c r="B280" s="160" t="s">
        <v>934</v>
      </c>
      <c r="C280" s="157" t="s">
        <v>0</v>
      </c>
      <c r="D280" s="159"/>
      <c r="E280" s="159"/>
      <c r="F280" s="159">
        <v>306.01</v>
      </c>
      <c r="G280" s="160"/>
      <c r="H280" s="34" t="s">
        <v>925</v>
      </c>
    </row>
    <row r="281" spans="1:8" ht="16.5">
      <c r="A281" s="160"/>
      <c r="B281" s="160"/>
      <c r="C281" s="157"/>
      <c r="D281" s="159"/>
      <c r="E281" s="159"/>
      <c r="F281" s="159"/>
      <c r="G281" s="160"/>
    </row>
    <row r="282" spans="1:8" ht="33">
      <c r="A282" s="160" t="s">
        <v>1090</v>
      </c>
      <c r="B282" s="160" t="s">
        <v>1048</v>
      </c>
      <c r="C282" s="157" t="s">
        <v>15</v>
      </c>
      <c r="D282" s="159">
        <v>100</v>
      </c>
      <c r="E282" s="159">
        <v>58.02</v>
      </c>
      <c r="F282" s="159"/>
      <c r="G282" s="160" t="s">
        <v>1049</v>
      </c>
      <c r="H282" s="34" t="s">
        <v>925</v>
      </c>
    </row>
    <row r="283" spans="1:8" ht="33">
      <c r="A283" s="160">
        <v>1</v>
      </c>
      <c r="B283" s="160" t="s">
        <v>1050</v>
      </c>
      <c r="C283" s="157" t="s">
        <v>927</v>
      </c>
      <c r="D283" s="159">
        <v>0.48</v>
      </c>
      <c r="E283" s="159">
        <v>1390.95</v>
      </c>
      <c r="F283" s="159">
        <v>667.66</v>
      </c>
      <c r="G283" s="160" t="s">
        <v>1051</v>
      </c>
      <c r="H283" s="34" t="s">
        <v>925</v>
      </c>
    </row>
    <row r="284" spans="1:8" ht="33">
      <c r="A284" s="160">
        <v>2</v>
      </c>
      <c r="B284" s="160" t="s">
        <v>1052</v>
      </c>
      <c r="C284" s="157" t="s">
        <v>927</v>
      </c>
      <c r="D284" s="159">
        <v>0.53</v>
      </c>
      <c r="E284" s="159">
        <v>1142.57</v>
      </c>
      <c r="F284" s="159">
        <v>605.55999999999995</v>
      </c>
      <c r="G284" s="160" t="s">
        <v>1053</v>
      </c>
      <c r="H284" s="34" t="s">
        <v>925</v>
      </c>
    </row>
    <row r="285" spans="1:8" ht="33">
      <c r="A285" s="160">
        <v>3</v>
      </c>
      <c r="B285" s="160" t="s">
        <v>1054</v>
      </c>
      <c r="C285" s="157" t="s">
        <v>927</v>
      </c>
      <c r="D285" s="159">
        <v>0.68</v>
      </c>
      <c r="E285" s="159">
        <v>1152.5</v>
      </c>
      <c r="F285" s="159">
        <v>783.7</v>
      </c>
      <c r="G285" s="160" t="s">
        <v>1055</v>
      </c>
      <c r="H285" s="34" t="s">
        <v>925</v>
      </c>
    </row>
    <row r="286" spans="1:8" ht="33">
      <c r="A286" s="160">
        <v>4</v>
      </c>
      <c r="B286" s="160" t="s">
        <v>1056</v>
      </c>
      <c r="C286" s="157" t="s">
        <v>927</v>
      </c>
      <c r="D286" s="159">
        <v>1.25</v>
      </c>
      <c r="E286" s="159">
        <v>767.01</v>
      </c>
      <c r="F286" s="159">
        <v>958.76</v>
      </c>
      <c r="G286" s="160" t="s">
        <v>1057</v>
      </c>
      <c r="H286" s="34" t="s">
        <v>925</v>
      </c>
    </row>
    <row r="287" spans="1:8" ht="33">
      <c r="A287" s="160">
        <v>5</v>
      </c>
      <c r="B287" s="160" t="s">
        <v>1058</v>
      </c>
      <c r="C287" s="157" t="s">
        <v>927</v>
      </c>
      <c r="D287" s="159">
        <v>0.4</v>
      </c>
      <c r="E287" s="159">
        <v>62.59</v>
      </c>
      <c r="F287" s="159">
        <v>25.04</v>
      </c>
      <c r="G287" s="160" t="s">
        <v>1059</v>
      </c>
      <c r="H287" s="34" t="s">
        <v>925</v>
      </c>
    </row>
    <row r="288" spans="1:8" ht="42.75">
      <c r="A288" s="160">
        <v>6</v>
      </c>
      <c r="B288" s="160" t="s">
        <v>4883</v>
      </c>
      <c r="C288" s="157" t="s">
        <v>927</v>
      </c>
      <c r="D288" s="159">
        <v>0.48</v>
      </c>
      <c r="E288" s="159">
        <v>398.41</v>
      </c>
      <c r="F288" s="159">
        <v>191.24</v>
      </c>
      <c r="G288" s="160" t="s">
        <v>4884</v>
      </c>
      <c r="H288" s="34" t="s">
        <v>925</v>
      </c>
    </row>
    <row r="289" spans="1:8" ht="42.75">
      <c r="A289" s="160">
        <v>7</v>
      </c>
      <c r="B289" s="160" t="s">
        <v>4885</v>
      </c>
      <c r="C289" s="157" t="s">
        <v>927</v>
      </c>
      <c r="D289" s="159">
        <v>1.21</v>
      </c>
      <c r="E289" s="159">
        <v>398.41</v>
      </c>
      <c r="F289" s="159">
        <v>482.08</v>
      </c>
      <c r="G289" s="160" t="s">
        <v>4886</v>
      </c>
    </row>
    <row r="290" spans="1:8" ht="33">
      <c r="A290" s="160">
        <v>8</v>
      </c>
      <c r="B290" s="160" t="s">
        <v>1060</v>
      </c>
      <c r="C290" s="157" t="s">
        <v>927</v>
      </c>
      <c r="D290" s="159">
        <v>1.25</v>
      </c>
      <c r="E290" s="159">
        <v>398.41</v>
      </c>
      <c r="F290" s="159">
        <v>498.01</v>
      </c>
      <c r="G290" s="160" t="s">
        <v>1061</v>
      </c>
      <c r="H290" s="34" t="s">
        <v>925</v>
      </c>
    </row>
    <row r="291" spans="1:8" ht="33">
      <c r="A291" s="160">
        <v>9</v>
      </c>
      <c r="B291" s="160" t="s">
        <v>1062</v>
      </c>
      <c r="C291" s="157" t="s">
        <v>927</v>
      </c>
      <c r="D291" s="159">
        <v>0.4</v>
      </c>
      <c r="E291" s="159">
        <v>398.41</v>
      </c>
      <c r="F291" s="159">
        <v>159.36000000000001</v>
      </c>
      <c r="G291" s="160" t="s">
        <v>1063</v>
      </c>
      <c r="H291" s="34" t="s">
        <v>925</v>
      </c>
    </row>
    <row r="292" spans="1:8" ht="33">
      <c r="A292" s="160">
        <v>10</v>
      </c>
      <c r="B292" s="160" t="s">
        <v>4871</v>
      </c>
      <c r="C292" s="157" t="s">
        <v>927</v>
      </c>
      <c r="D292" s="159">
        <v>0.96</v>
      </c>
      <c r="E292" s="159">
        <v>279.18</v>
      </c>
      <c r="F292" s="159">
        <v>268.01</v>
      </c>
      <c r="G292" s="160" t="s">
        <v>4872</v>
      </c>
      <c r="H292" s="34" t="s">
        <v>925</v>
      </c>
    </row>
    <row r="293" spans="1:8" ht="33">
      <c r="A293" s="160">
        <v>11</v>
      </c>
      <c r="B293" s="160" t="s">
        <v>1064</v>
      </c>
      <c r="C293" s="157" t="s">
        <v>15</v>
      </c>
      <c r="D293" s="159">
        <v>100</v>
      </c>
      <c r="E293" s="159">
        <v>9.94</v>
      </c>
      <c r="F293" s="159">
        <v>994</v>
      </c>
      <c r="G293" s="160" t="s">
        <v>1065</v>
      </c>
      <c r="H293" s="34" t="s">
        <v>925</v>
      </c>
    </row>
    <row r="294" spans="1:8" ht="33">
      <c r="A294" s="160">
        <v>12</v>
      </c>
      <c r="B294" s="160" t="s">
        <v>931</v>
      </c>
      <c r="C294" s="157" t="s">
        <v>14</v>
      </c>
      <c r="D294" s="159">
        <v>1</v>
      </c>
      <c r="E294" s="159">
        <v>169</v>
      </c>
      <c r="F294" s="159">
        <v>169</v>
      </c>
      <c r="G294" s="160" t="s">
        <v>932</v>
      </c>
      <c r="H294" s="34" t="s">
        <v>925</v>
      </c>
    </row>
    <row r="295" spans="1:8" ht="33">
      <c r="A295" s="160"/>
      <c r="B295" s="160" t="s">
        <v>933</v>
      </c>
      <c r="C295" s="157" t="s">
        <v>15</v>
      </c>
      <c r="D295" s="159">
        <v>100</v>
      </c>
      <c r="E295" s="159"/>
      <c r="F295" s="159">
        <v>5802.42</v>
      </c>
      <c r="G295" s="160"/>
      <c r="H295" s="34" t="s">
        <v>925</v>
      </c>
    </row>
    <row r="296" spans="1:8" ht="33">
      <c r="A296" s="160"/>
      <c r="B296" s="160" t="s">
        <v>934</v>
      </c>
      <c r="C296" s="157" t="s">
        <v>15</v>
      </c>
      <c r="D296" s="159"/>
      <c r="E296" s="159"/>
      <c r="F296" s="159">
        <v>58.02</v>
      </c>
      <c r="G296" s="160"/>
      <c r="H296" s="34" t="s">
        <v>925</v>
      </c>
    </row>
    <row r="297" spans="1:8" ht="16.5">
      <c r="A297" s="160"/>
      <c r="B297" s="160"/>
      <c r="C297" s="157"/>
      <c r="D297" s="159"/>
      <c r="E297" s="159"/>
      <c r="F297" s="159"/>
      <c r="G297" s="160"/>
    </row>
    <row r="298" spans="1:8" ht="33">
      <c r="A298" s="160" t="s">
        <v>1095</v>
      </c>
      <c r="B298" s="160" t="s">
        <v>1067</v>
      </c>
      <c r="C298" s="157" t="s">
        <v>15</v>
      </c>
      <c r="D298" s="159">
        <v>1</v>
      </c>
      <c r="E298" s="159">
        <v>324.8</v>
      </c>
      <c r="F298" s="159"/>
      <c r="G298" s="160" t="s">
        <v>1068</v>
      </c>
      <c r="H298" s="34" t="s">
        <v>925</v>
      </c>
    </row>
    <row r="299" spans="1:8" ht="33">
      <c r="A299" s="160">
        <v>1</v>
      </c>
      <c r="B299" s="160" t="s">
        <v>4871</v>
      </c>
      <c r="C299" s="157" t="s">
        <v>927</v>
      </c>
      <c r="D299" s="159">
        <v>0.8</v>
      </c>
      <c r="E299" s="159">
        <v>279.18</v>
      </c>
      <c r="F299" s="159">
        <v>223.34</v>
      </c>
      <c r="G299" s="160" t="s">
        <v>4876</v>
      </c>
      <c r="H299" s="34" t="s">
        <v>925</v>
      </c>
    </row>
    <row r="300" spans="1:8" ht="33">
      <c r="A300" s="160">
        <v>2</v>
      </c>
      <c r="B300" s="160" t="s">
        <v>1069</v>
      </c>
      <c r="C300" s="157" t="s">
        <v>927</v>
      </c>
      <c r="D300" s="159">
        <v>0.2</v>
      </c>
      <c r="E300" s="159">
        <v>61.6</v>
      </c>
      <c r="F300" s="159">
        <v>12.32</v>
      </c>
      <c r="G300" s="160" t="s">
        <v>1070</v>
      </c>
      <c r="H300" s="34" t="s">
        <v>925</v>
      </c>
    </row>
    <row r="301" spans="1:8" ht="42.75">
      <c r="A301" s="160">
        <v>3</v>
      </c>
      <c r="B301" s="160" t="s">
        <v>4887</v>
      </c>
      <c r="C301" s="157" t="s">
        <v>927</v>
      </c>
      <c r="D301" s="159">
        <v>0.2</v>
      </c>
      <c r="E301" s="159">
        <v>398.41</v>
      </c>
      <c r="F301" s="159">
        <v>79.680000000000007</v>
      </c>
      <c r="G301" s="160" t="s">
        <v>4888</v>
      </c>
      <c r="H301" s="34" t="s">
        <v>925</v>
      </c>
    </row>
    <row r="302" spans="1:8" ht="33">
      <c r="A302" s="160">
        <v>4</v>
      </c>
      <c r="B302" s="160" t="s">
        <v>931</v>
      </c>
      <c r="C302" s="157" t="s">
        <v>14</v>
      </c>
      <c r="D302" s="159">
        <v>1</v>
      </c>
      <c r="E302" s="159">
        <v>9.4600000000000009</v>
      </c>
      <c r="F302" s="159">
        <v>9.4600000000000009</v>
      </c>
      <c r="G302" s="160" t="s">
        <v>932</v>
      </c>
      <c r="H302" s="34" t="s">
        <v>925</v>
      </c>
    </row>
    <row r="303" spans="1:8" ht="33">
      <c r="A303" s="160"/>
      <c r="B303" s="160" t="s">
        <v>933</v>
      </c>
      <c r="C303" s="157" t="s">
        <v>15</v>
      </c>
      <c r="D303" s="159">
        <v>1</v>
      </c>
      <c r="E303" s="159"/>
      <c r="F303" s="159">
        <v>324.8</v>
      </c>
      <c r="G303" s="160"/>
      <c r="H303" s="34" t="s">
        <v>925</v>
      </c>
    </row>
    <row r="304" spans="1:8" ht="33">
      <c r="A304" s="160"/>
      <c r="B304" s="160" t="s">
        <v>934</v>
      </c>
      <c r="C304" s="157" t="s">
        <v>15</v>
      </c>
      <c r="D304" s="159"/>
      <c r="E304" s="159"/>
      <c r="F304" s="159">
        <v>324.8</v>
      </c>
      <c r="G304" s="160"/>
      <c r="H304" s="34" t="s">
        <v>925</v>
      </c>
    </row>
    <row r="305" spans="1:8" ht="16.5">
      <c r="A305" s="160"/>
      <c r="B305" s="160"/>
      <c r="C305" s="157"/>
      <c r="D305" s="159"/>
      <c r="E305" s="159"/>
      <c r="F305" s="159"/>
      <c r="G305" s="160"/>
    </row>
    <row r="306" spans="1:8" ht="33">
      <c r="A306" s="160" t="s">
        <v>1098</v>
      </c>
      <c r="B306" s="160" t="s">
        <v>1072</v>
      </c>
      <c r="C306" s="157" t="s">
        <v>0</v>
      </c>
      <c r="D306" s="159">
        <v>100</v>
      </c>
      <c r="E306" s="159">
        <v>104.8</v>
      </c>
      <c r="F306" s="159"/>
      <c r="G306" s="160" t="s">
        <v>1073</v>
      </c>
      <c r="H306" s="34" t="s">
        <v>925</v>
      </c>
    </row>
    <row r="307" spans="1:8" ht="33">
      <c r="A307" s="160">
        <v>1</v>
      </c>
      <c r="B307" s="160" t="s">
        <v>929</v>
      </c>
      <c r="C307" s="157" t="s">
        <v>927</v>
      </c>
      <c r="D307" s="159">
        <v>2.5</v>
      </c>
      <c r="E307" s="159">
        <v>1490.31</v>
      </c>
      <c r="F307" s="159">
        <v>3725.78</v>
      </c>
      <c r="G307" s="160" t="s">
        <v>930</v>
      </c>
      <c r="H307" s="34" t="s">
        <v>925</v>
      </c>
    </row>
    <row r="308" spans="1:8" ht="42.75">
      <c r="A308" s="160">
        <v>2</v>
      </c>
      <c r="B308" s="160" t="s">
        <v>4869</v>
      </c>
      <c r="C308" s="157" t="s">
        <v>927</v>
      </c>
      <c r="D308" s="159">
        <v>2.5</v>
      </c>
      <c r="E308" s="159">
        <v>398.41</v>
      </c>
      <c r="F308" s="159">
        <v>996.03</v>
      </c>
      <c r="G308" s="160" t="s">
        <v>4870</v>
      </c>
      <c r="H308" s="34" t="s">
        <v>925</v>
      </c>
    </row>
    <row r="309" spans="1:8" ht="33">
      <c r="A309" s="160">
        <v>3</v>
      </c>
      <c r="B309" s="160" t="s">
        <v>1069</v>
      </c>
      <c r="C309" s="157" t="s">
        <v>927</v>
      </c>
      <c r="D309" s="159">
        <v>16</v>
      </c>
      <c r="E309" s="159">
        <v>61.6</v>
      </c>
      <c r="F309" s="159">
        <v>985.6</v>
      </c>
      <c r="G309" s="160" t="s">
        <v>1070</v>
      </c>
      <c r="H309" s="34" t="s">
        <v>925</v>
      </c>
    </row>
    <row r="310" spans="1:8" ht="33">
      <c r="A310" s="160">
        <v>4</v>
      </c>
      <c r="B310" s="160" t="s">
        <v>4871</v>
      </c>
      <c r="C310" s="157" t="s">
        <v>927</v>
      </c>
      <c r="D310" s="159">
        <v>16</v>
      </c>
      <c r="E310" s="159">
        <v>279.18</v>
      </c>
      <c r="F310" s="159">
        <v>4466.88</v>
      </c>
      <c r="G310" s="160" t="s">
        <v>4872</v>
      </c>
      <c r="H310" s="34" t="s">
        <v>925</v>
      </c>
    </row>
    <row r="311" spans="1:8" ht="33">
      <c r="A311" s="160">
        <v>5</v>
      </c>
      <c r="B311" s="160" t="s">
        <v>931</v>
      </c>
      <c r="C311" s="157" t="s">
        <v>14</v>
      </c>
      <c r="D311" s="159">
        <v>1</v>
      </c>
      <c r="E311" s="159">
        <v>305.23</v>
      </c>
      <c r="F311" s="159">
        <v>305.23</v>
      </c>
      <c r="G311" s="160" t="s">
        <v>932</v>
      </c>
      <c r="H311" s="34" t="s">
        <v>925</v>
      </c>
    </row>
    <row r="312" spans="1:8" ht="16.5">
      <c r="A312" s="160"/>
      <c r="B312" s="160" t="s">
        <v>933</v>
      </c>
      <c r="C312" s="157" t="s">
        <v>0</v>
      </c>
      <c r="D312" s="159">
        <v>100</v>
      </c>
      <c r="E312" s="159"/>
      <c r="F312" s="159">
        <v>10479.52</v>
      </c>
      <c r="G312" s="160"/>
    </row>
    <row r="313" spans="1:8" ht="33">
      <c r="A313" s="160"/>
      <c r="B313" s="160" t="s">
        <v>934</v>
      </c>
      <c r="C313" s="157" t="s">
        <v>0</v>
      </c>
      <c r="D313" s="159"/>
      <c r="E313" s="159"/>
      <c r="F313" s="159">
        <v>104.8</v>
      </c>
      <c r="G313" s="160"/>
      <c r="H313" s="34" t="s">
        <v>925</v>
      </c>
    </row>
    <row r="314" spans="1:8" ht="33">
      <c r="A314" s="160"/>
      <c r="B314" s="160"/>
      <c r="C314" s="157"/>
      <c r="D314" s="159"/>
      <c r="E314" s="159"/>
      <c r="F314" s="159"/>
      <c r="G314" s="160"/>
      <c r="H314" s="34" t="s">
        <v>925</v>
      </c>
    </row>
    <row r="315" spans="1:8" ht="42.75">
      <c r="A315" s="160" t="s">
        <v>1103</v>
      </c>
      <c r="B315" s="160" t="s">
        <v>543</v>
      </c>
      <c r="C315" s="157" t="s">
        <v>1</v>
      </c>
      <c r="D315" s="159">
        <v>100</v>
      </c>
      <c r="E315" s="159">
        <v>1188.32</v>
      </c>
      <c r="F315" s="159"/>
      <c r="G315" s="160" t="s">
        <v>1075</v>
      </c>
      <c r="H315" s="34" t="s">
        <v>925</v>
      </c>
    </row>
    <row r="316" spans="1:8" ht="33">
      <c r="A316" s="160">
        <v>1</v>
      </c>
      <c r="B316" s="160" t="s">
        <v>1076</v>
      </c>
      <c r="C316" s="157" t="s">
        <v>927</v>
      </c>
      <c r="D316" s="159">
        <v>120</v>
      </c>
      <c r="E316" s="159">
        <v>397.42</v>
      </c>
      <c r="F316" s="159">
        <v>47690.400000000001</v>
      </c>
      <c r="G316" s="160" t="s">
        <v>1077</v>
      </c>
      <c r="H316" s="34" t="s">
        <v>925</v>
      </c>
    </row>
    <row r="317" spans="1:8" ht="33">
      <c r="A317" s="160">
        <v>2</v>
      </c>
      <c r="B317" s="160" t="s">
        <v>1078</v>
      </c>
      <c r="C317" s="157" t="s">
        <v>927</v>
      </c>
      <c r="D317" s="159">
        <v>120</v>
      </c>
      <c r="E317" s="159">
        <v>398.41</v>
      </c>
      <c r="F317" s="159">
        <v>47809.2</v>
      </c>
      <c r="G317" s="160" t="s">
        <v>1079</v>
      </c>
      <c r="H317" s="34" t="s">
        <v>925</v>
      </c>
    </row>
    <row r="318" spans="1:8" ht="33">
      <c r="A318" s="160">
        <v>3</v>
      </c>
      <c r="B318" s="160" t="s">
        <v>1080</v>
      </c>
      <c r="C318" s="157" t="s">
        <v>1</v>
      </c>
      <c r="D318" s="159">
        <v>100</v>
      </c>
      <c r="E318" s="159">
        <v>198.71</v>
      </c>
      <c r="F318" s="159">
        <v>19871</v>
      </c>
      <c r="G318" s="160" t="s">
        <v>1081</v>
      </c>
      <c r="H318" s="34" t="s">
        <v>925</v>
      </c>
    </row>
    <row r="319" spans="1:8" ht="33">
      <c r="A319" s="160">
        <v>4</v>
      </c>
      <c r="B319" s="160" t="s">
        <v>931</v>
      </c>
      <c r="C319" s="157" t="s">
        <v>14</v>
      </c>
      <c r="D319" s="159">
        <v>1</v>
      </c>
      <c r="E319" s="159">
        <v>3461.12</v>
      </c>
      <c r="F319" s="159">
        <v>3461.12</v>
      </c>
      <c r="G319" s="160" t="s">
        <v>932</v>
      </c>
      <c r="H319" s="34" t="s">
        <v>925</v>
      </c>
    </row>
    <row r="320" spans="1:8" ht="16.5">
      <c r="A320" s="160"/>
      <c r="B320" s="160" t="s">
        <v>933</v>
      </c>
      <c r="C320" s="157" t="s">
        <v>1</v>
      </c>
      <c r="D320" s="159">
        <v>100</v>
      </c>
      <c r="E320" s="159"/>
      <c r="F320" s="159">
        <v>118831.72</v>
      </c>
      <c r="G320" s="160"/>
    </row>
    <row r="321" spans="1:8" ht="33">
      <c r="A321" s="160"/>
      <c r="B321" s="160" t="s">
        <v>934</v>
      </c>
      <c r="C321" s="157" t="s">
        <v>1</v>
      </c>
      <c r="D321" s="159"/>
      <c r="E321" s="159"/>
      <c r="F321" s="159">
        <v>1188.32</v>
      </c>
      <c r="G321" s="160"/>
      <c r="H321" s="34" t="s">
        <v>925</v>
      </c>
    </row>
    <row r="322" spans="1:8" ht="33">
      <c r="A322" s="160"/>
      <c r="B322" s="160"/>
      <c r="C322" s="157"/>
      <c r="D322" s="159"/>
      <c r="E322" s="159"/>
      <c r="F322" s="159"/>
      <c r="G322" s="160"/>
      <c r="H322" s="34" t="s">
        <v>925</v>
      </c>
    </row>
    <row r="323" spans="1:8" ht="33">
      <c r="A323" s="160" t="s">
        <v>1110</v>
      </c>
      <c r="B323" s="160" t="s">
        <v>3971</v>
      </c>
      <c r="C323" s="157" t="s">
        <v>1</v>
      </c>
      <c r="D323" s="159">
        <v>100</v>
      </c>
      <c r="E323" s="159">
        <v>1064.9000000000001</v>
      </c>
      <c r="F323" s="159"/>
      <c r="G323" s="160" t="s">
        <v>4016</v>
      </c>
      <c r="H323" s="34" t="s">
        <v>925</v>
      </c>
    </row>
    <row r="324" spans="1:8" ht="33">
      <c r="A324" s="160">
        <v>1</v>
      </c>
      <c r="B324" s="160" t="s">
        <v>4017</v>
      </c>
      <c r="C324" s="157" t="s">
        <v>927</v>
      </c>
      <c r="D324" s="159">
        <v>60</v>
      </c>
      <c r="E324" s="159">
        <v>993.54</v>
      </c>
      <c r="F324" s="159">
        <v>59612.4</v>
      </c>
      <c r="G324" s="160" t="s">
        <v>4018</v>
      </c>
      <c r="H324" s="34" t="s">
        <v>925</v>
      </c>
    </row>
    <row r="325" spans="1:8" ht="33">
      <c r="A325" s="160">
        <v>2</v>
      </c>
      <c r="B325" s="160" t="s">
        <v>1086</v>
      </c>
      <c r="C325" s="157" t="s">
        <v>927</v>
      </c>
      <c r="D325" s="159">
        <v>60</v>
      </c>
      <c r="E325" s="159">
        <v>398.41</v>
      </c>
      <c r="F325" s="159">
        <v>23904.6</v>
      </c>
      <c r="G325" s="160" t="s">
        <v>1087</v>
      </c>
      <c r="H325" s="34" t="s">
        <v>925</v>
      </c>
    </row>
    <row r="326" spans="1:8" ht="33">
      <c r="A326" s="160">
        <v>3</v>
      </c>
      <c r="B326" s="160" t="s">
        <v>1080</v>
      </c>
      <c r="C326" s="157" t="s">
        <v>1</v>
      </c>
      <c r="D326" s="159">
        <v>100</v>
      </c>
      <c r="E326" s="159">
        <v>198.71</v>
      </c>
      <c r="F326" s="159">
        <v>19871</v>
      </c>
      <c r="G326" s="160" t="s">
        <v>1081</v>
      </c>
      <c r="H326" s="34" t="s">
        <v>925</v>
      </c>
    </row>
    <row r="327" spans="1:8" ht="33">
      <c r="A327" s="160">
        <v>4</v>
      </c>
      <c r="B327" s="160" t="s">
        <v>931</v>
      </c>
      <c r="C327" s="157" t="s">
        <v>14</v>
      </c>
      <c r="D327" s="159">
        <v>1</v>
      </c>
      <c r="E327" s="159">
        <v>3101.64</v>
      </c>
      <c r="F327" s="159">
        <v>3101.64</v>
      </c>
      <c r="G327" s="160" t="s">
        <v>932</v>
      </c>
      <c r="H327" s="34" t="s">
        <v>925</v>
      </c>
    </row>
    <row r="328" spans="1:8" ht="33">
      <c r="A328" s="160"/>
      <c r="B328" s="160" t="s">
        <v>933</v>
      </c>
      <c r="C328" s="157" t="s">
        <v>1</v>
      </c>
      <c r="D328" s="159">
        <v>100</v>
      </c>
      <c r="E328" s="159"/>
      <c r="F328" s="159">
        <v>106489.64</v>
      </c>
      <c r="G328" s="160"/>
      <c r="H328" s="34" t="s">
        <v>925</v>
      </c>
    </row>
    <row r="329" spans="1:8" ht="16.5">
      <c r="A329" s="160"/>
      <c r="B329" s="160" t="s">
        <v>934</v>
      </c>
      <c r="C329" s="157" t="s">
        <v>1</v>
      </c>
      <c r="D329" s="159"/>
      <c r="E329" s="159"/>
      <c r="F329" s="159">
        <v>1064.9000000000001</v>
      </c>
      <c r="G329" s="160"/>
    </row>
    <row r="330" spans="1:8" ht="33">
      <c r="A330" s="160"/>
      <c r="B330" s="160"/>
      <c r="C330" s="157"/>
      <c r="D330" s="159"/>
      <c r="E330" s="159"/>
      <c r="F330" s="159"/>
      <c r="G330" s="160"/>
      <c r="H330" s="34" t="s">
        <v>925</v>
      </c>
    </row>
    <row r="331" spans="1:8" ht="33">
      <c r="A331" s="160" t="s">
        <v>1117</v>
      </c>
      <c r="B331" s="160" t="s">
        <v>26</v>
      </c>
      <c r="C331" s="157" t="s">
        <v>1</v>
      </c>
      <c r="D331" s="159">
        <v>100</v>
      </c>
      <c r="E331" s="159">
        <v>711.86</v>
      </c>
      <c r="F331" s="159"/>
      <c r="G331" s="160" t="s">
        <v>1089</v>
      </c>
      <c r="H331" s="34" t="s">
        <v>925</v>
      </c>
    </row>
    <row r="332" spans="1:8" ht="33">
      <c r="A332" s="160">
        <v>1</v>
      </c>
      <c r="B332" s="160" t="s">
        <v>997</v>
      </c>
      <c r="C332" s="157" t="s">
        <v>927</v>
      </c>
      <c r="D332" s="159">
        <v>31.75</v>
      </c>
      <c r="E332" s="159">
        <v>1152.5</v>
      </c>
      <c r="F332" s="159">
        <v>36591.879999999997</v>
      </c>
      <c r="G332" s="160" t="s">
        <v>998</v>
      </c>
      <c r="H332" s="34" t="s">
        <v>925</v>
      </c>
    </row>
    <row r="333" spans="1:8" ht="33">
      <c r="A333" s="160">
        <v>2</v>
      </c>
      <c r="B333" s="160" t="s">
        <v>1086</v>
      </c>
      <c r="C333" s="157" t="s">
        <v>927</v>
      </c>
      <c r="D333" s="159">
        <v>31.75</v>
      </c>
      <c r="E333" s="159">
        <v>398.41</v>
      </c>
      <c r="F333" s="159">
        <v>12649.52</v>
      </c>
      <c r="G333" s="160" t="s">
        <v>1087</v>
      </c>
      <c r="H333" s="34" t="s">
        <v>925</v>
      </c>
    </row>
    <row r="334" spans="1:8" ht="33">
      <c r="A334" s="160">
        <v>3</v>
      </c>
      <c r="B334" s="160" t="s">
        <v>1080</v>
      </c>
      <c r="C334" s="157" t="s">
        <v>1</v>
      </c>
      <c r="D334" s="159">
        <v>100</v>
      </c>
      <c r="E334" s="159">
        <v>198.71</v>
      </c>
      <c r="F334" s="159">
        <v>19871</v>
      </c>
      <c r="G334" s="160" t="s">
        <v>1081</v>
      </c>
      <c r="H334" s="34" t="s">
        <v>925</v>
      </c>
    </row>
    <row r="335" spans="1:8" ht="33">
      <c r="A335" s="160">
        <v>4</v>
      </c>
      <c r="B335" s="160" t="s">
        <v>931</v>
      </c>
      <c r="C335" s="157" t="s">
        <v>14</v>
      </c>
      <c r="D335" s="159">
        <v>1</v>
      </c>
      <c r="E335" s="159">
        <v>2073.37</v>
      </c>
      <c r="F335" s="159">
        <v>2073.37</v>
      </c>
      <c r="G335" s="160" t="s">
        <v>932</v>
      </c>
      <c r="H335" s="34" t="s">
        <v>925</v>
      </c>
    </row>
    <row r="336" spans="1:8" ht="33">
      <c r="A336" s="160"/>
      <c r="B336" s="160" t="s">
        <v>933</v>
      </c>
      <c r="C336" s="157" t="s">
        <v>1</v>
      </c>
      <c r="D336" s="159">
        <v>100</v>
      </c>
      <c r="E336" s="159"/>
      <c r="F336" s="159">
        <v>71185.76999999999</v>
      </c>
      <c r="G336" s="160"/>
      <c r="H336" s="34" t="s">
        <v>925</v>
      </c>
    </row>
    <row r="337" spans="1:8" ht="33">
      <c r="A337" s="160"/>
      <c r="B337" s="160" t="s">
        <v>934</v>
      </c>
      <c r="C337" s="157" t="s">
        <v>1</v>
      </c>
      <c r="D337" s="159"/>
      <c r="E337" s="159"/>
      <c r="F337" s="159">
        <v>711.86</v>
      </c>
      <c r="G337" s="160"/>
      <c r="H337" s="34" t="s">
        <v>925</v>
      </c>
    </row>
    <row r="338" spans="1:8" ht="33">
      <c r="A338" s="160"/>
      <c r="B338" s="160"/>
      <c r="C338" s="157"/>
      <c r="D338" s="159"/>
      <c r="E338" s="159"/>
      <c r="F338" s="159"/>
      <c r="G338" s="160"/>
      <c r="H338" s="34" t="s">
        <v>925</v>
      </c>
    </row>
    <row r="339" spans="1:8" ht="33">
      <c r="A339" s="160" t="s">
        <v>1129</v>
      </c>
      <c r="B339" s="160" t="s">
        <v>1091</v>
      </c>
      <c r="C339" s="157" t="s">
        <v>1</v>
      </c>
      <c r="D339" s="159">
        <v>100</v>
      </c>
      <c r="E339" s="159">
        <v>472.88</v>
      </c>
      <c r="F339" s="159"/>
      <c r="G339" s="160" t="s">
        <v>1092</v>
      </c>
      <c r="H339" s="34" t="s">
        <v>925</v>
      </c>
    </row>
    <row r="340" spans="1:8" ht="33">
      <c r="A340" s="160">
        <v>1</v>
      </c>
      <c r="B340" s="160" t="s">
        <v>1093</v>
      </c>
      <c r="C340" s="157" t="s">
        <v>927</v>
      </c>
      <c r="D340" s="159">
        <v>13.23</v>
      </c>
      <c r="E340" s="159">
        <v>1569.79</v>
      </c>
      <c r="F340" s="159">
        <v>20768.32</v>
      </c>
      <c r="G340" s="160" t="s">
        <v>1094</v>
      </c>
      <c r="H340" s="34" t="s">
        <v>925</v>
      </c>
    </row>
    <row r="341" spans="1:8" ht="33">
      <c r="A341" s="160">
        <v>2</v>
      </c>
      <c r="B341" s="160" t="s">
        <v>1086</v>
      </c>
      <c r="C341" s="157" t="s">
        <v>927</v>
      </c>
      <c r="D341" s="159">
        <v>13.23</v>
      </c>
      <c r="E341" s="159">
        <v>398.41</v>
      </c>
      <c r="F341" s="159">
        <v>5270.96</v>
      </c>
      <c r="G341" s="160" t="s">
        <v>1087</v>
      </c>
      <c r="H341" s="34" t="s">
        <v>925</v>
      </c>
    </row>
    <row r="342" spans="1:8" ht="28.5">
      <c r="A342" s="160">
        <v>3</v>
      </c>
      <c r="B342" s="160" t="s">
        <v>1080</v>
      </c>
      <c r="C342" s="157" t="s">
        <v>1</v>
      </c>
      <c r="D342" s="159">
        <v>100</v>
      </c>
      <c r="E342" s="159">
        <v>198.71</v>
      </c>
      <c r="F342" s="159">
        <v>19871</v>
      </c>
      <c r="G342" s="160" t="s">
        <v>1081</v>
      </c>
    </row>
    <row r="343" spans="1:8" ht="33">
      <c r="A343" s="160">
        <v>4</v>
      </c>
      <c r="B343" s="160" t="s">
        <v>931</v>
      </c>
      <c r="C343" s="157" t="s">
        <v>14</v>
      </c>
      <c r="D343" s="159">
        <v>1</v>
      </c>
      <c r="E343" s="159">
        <v>1377.31</v>
      </c>
      <c r="F343" s="159">
        <v>1377.31</v>
      </c>
      <c r="G343" s="160" t="s">
        <v>932</v>
      </c>
      <c r="H343" s="34" t="s">
        <v>925</v>
      </c>
    </row>
    <row r="344" spans="1:8" ht="33">
      <c r="A344" s="160"/>
      <c r="B344" s="160" t="s">
        <v>933</v>
      </c>
      <c r="C344" s="157" t="s">
        <v>1</v>
      </c>
      <c r="D344" s="159">
        <v>100</v>
      </c>
      <c r="E344" s="159"/>
      <c r="F344" s="159">
        <v>47287.59</v>
      </c>
      <c r="G344" s="160"/>
      <c r="H344" s="34" t="s">
        <v>925</v>
      </c>
    </row>
    <row r="345" spans="1:8" ht="33">
      <c r="A345" s="160"/>
      <c r="B345" s="160" t="s">
        <v>934</v>
      </c>
      <c r="C345" s="157" t="s">
        <v>1</v>
      </c>
      <c r="D345" s="159"/>
      <c r="E345" s="159"/>
      <c r="F345" s="159">
        <v>472.88</v>
      </c>
      <c r="G345" s="160"/>
      <c r="H345" s="34" t="s">
        <v>925</v>
      </c>
    </row>
    <row r="346" spans="1:8" ht="33">
      <c r="A346" s="160"/>
      <c r="B346" s="160"/>
      <c r="C346" s="157"/>
      <c r="D346" s="159"/>
      <c r="E346" s="159"/>
      <c r="F346" s="159"/>
      <c r="G346" s="160"/>
      <c r="H346" s="34" t="s">
        <v>925</v>
      </c>
    </row>
    <row r="347" spans="1:8" ht="33">
      <c r="A347" s="160" t="s">
        <v>1134</v>
      </c>
      <c r="B347" s="160" t="s">
        <v>1096</v>
      </c>
      <c r="C347" s="157" t="s">
        <v>1</v>
      </c>
      <c r="D347" s="159">
        <v>100</v>
      </c>
      <c r="E347" s="159">
        <v>507.19</v>
      </c>
      <c r="F347" s="159"/>
      <c r="G347" s="160" t="s">
        <v>1097</v>
      </c>
      <c r="H347" s="34" t="s">
        <v>925</v>
      </c>
    </row>
    <row r="348" spans="1:8" ht="33">
      <c r="A348" s="160">
        <v>1</v>
      </c>
      <c r="B348" s="160" t="s">
        <v>997</v>
      </c>
      <c r="C348" s="157" t="s">
        <v>927</v>
      </c>
      <c r="D348" s="159">
        <v>31.75</v>
      </c>
      <c r="E348" s="159">
        <v>1152.5</v>
      </c>
      <c r="F348" s="159">
        <v>36591.879999999997</v>
      </c>
      <c r="G348" s="160" t="s">
        <v>998</v>
      </c>
      <c r="H348" s="34" t="s">
        <v>925</v>
      </c>
    </row>
    <row r="349" spans="1:8" ht="33">
      <c r="A349" s="160">
        <v>2</v>
      </c>
      <c r="B349" s="160" t="s">
        <v>1086</v>
      </c>
      <c r="C349" s="157" t="s">
        <v>927</v>
      </c>
      <c r="D349" s="159">
        <v>31.75</v>
      </c>
      <c r="E349" s="159">
        <v>398.41</v>
      </c>
      <c r="F349" s="159">
        <v>12649.52</v>
      </c>
      <c r="G349" s="160" t="s">
        <v>1087</v>
      </c>
      <c r="H349" s="34" t="s">
        <v>925</v>
      </c>
    </row>
    <row r="350" spans="1:8" ht="33">
      <c r="A350" s="160">
        <v>3</v>
      </c>
      <c r="B350" s="160" t="s">
        <v>931</v>
      </c>
      <c r="C350" s="157" t="s">
        <v>14</v>
      </c>
      <c r="D350" s="159">
        <v>1</v>
      </c>
      <c r="E350" s="159">
        <v>1477.24</v>
      </c>
      <c r="F350" s="159">
        <v>1477.24</v>
      </c>
      <c r="G350" s="160" t="s">
        <v>932</v>
      </c>
      <c r="H350" s="34" t="s">
        <v>925</v>
      </c>
    </row>
    <row r="351" spans="1:8" ht="33">
      <c r="A351" s="160"/>
      <c r="B351" s="160" t="s">
        <v>933</v>
      </c>
      <c r="C351" s="157" t="s">
        <v>1</v>
      </c>
      <c r="D351" s="159">
        <v>100</v>
      </c>
      <c r="E351" s="159"/>
      <c r="F351" s="159">
        <v>50718.639999999992</v>
      </c>
      <c r="G351" s="160"/>
      <c r="H351" s="34" t="s">
        <v>925</v>
      </c>
    </row>
    <row r="352" spans="1:8" ht="33">
      <c r="A352" s="160"/>
      <c r="B352" s="160" t="s">
        <v>934</v>
      </c>
      <c r="C352" s="157" t="s">
        <v>1</v>
      </c>
      <c r="D352" s="159"/>
      <c r="E352" s="159"/>
      <c r="F352" s="159">
        <v>507.19</v>
      </c>
      <c r="G352" s="160"/>
      <c r="H352" s="34" t="s">
        <v>925</v>
      </c>
    </row>
    <row r="353" spans="1:8" ht="33">
      <c r="A353" s="160"/>
      <c r="B353" s="160"/>
      <c r="C353" s="157"/>
      <c r="D353" s="159"/>
      <c r="E353" s="159"/>
      <c r="F353" s="159"/>
      <c r="G353" s="160"/>
      <c r="H353" s="34" t="s">
        <v>925</v>
      </c>
    </row>
    <row r="354" spans="1:8" ht="33">
      <c r="A354" s="160" t="s">
        <v>1139</v>
      </c>
      <c r="B354" s="160" t="s">
        <v>1099</v>
      </c>
      <c r="C354" s="157" t="s">
        <v>0</v>
      </c>
      <c r="D354" s="159">
        <v>100</v>
      </c>
      <c r="E354" s="159">
        <v>947.22</v>
      </c>
      <c r="F354" s="159"/>
      <c r="G354" s="160" t="s">
        <v>1100</v>
      </c>
      <c r="H354" s="34" t="s">
        <v>925</v>
      </c>
    </row>
    <row r="355" spans="1:8" ht="33">
      <c r="A355" s="160">
        <v>1</v>
      </c>
      <c r="B355" s="160" t="s">
        <v>997</v>
      </c>
      <c r="C355" s="157" t="s">
        <v>927</v>
      </c>
      <c r="D355" s="159">
        <v>31.75</v>
      </c>
      <c r="E355" s="159">
        <v>1152.5</v>
      </c>
      <c r="F355" s="159">
        <v>36591.879999999997</v>
      </c>
      <c r="G355" s="160" t="s">
        <v>998</v>
      </c>
      <c r="H355" s="34" t="s">
        <v>925</v>
      </c>
    </row>
    <row r="356" spans="1:8" ht="33">
      <c r="A356" s="160">
        <v>2</v>
      </c>
      <c r="B356" s="160" t="s">
        <v>1086</v>
      </c>
      <c r="C356" s="157" t="s">
        <v>927</v>
      </c>
      <c r="D356" s="159">
        <v>31.75</v>
      </c>
      <c r="E356" s="159">
        <v>398.41</v>
      </c>
      <c r="F356" s="159">
        <v>12649.52</v>
      </c>
      <c r="G356" s="160" t="s">
        <v>1087</v>
      </c>
      <c r="H356" s="34" t="s">
        <v>925</v>
      </c>
    </row>
    <row r="357" spans="1:8" ht="33">
      <c r="A357" s="160">
        <v>3</v>
      </c>
      <c r="B357" s="160" t="s">
        <v>1101</v>
      </c>
      <c r="C357" s="157" t="s">
        <v>1</v>
      </c>
      <c r="D357" s="159">
        <v>100</v>
      </c>
      <c r="E357" s="159">
        <v>427.22</v>
      </c>
      <c r="F357" s="159">
        <v>42722</v>
      </c>
      <c r="G357" s="160" t="s">
        <v>1102</v>
      </c>
      <c r="H357" s="34" t="s">
        <v>925</v>
      </c>
    </row>
    <row r="358" spans="1:8" ht="28.5">
      <c r="A358" s="160">
        <v>4</v>
      </c>
      <c r="B358" s="160" t="s">
        <v>931</v>
      </c>
      <c r="C358" s="157" t="s">
        <v>14</v>
      </c>
      <c r="D358" s="159">
        <v>1</v>
      </c>
      <c r="E358" s="159">
        <v>2758.9</v>
      </c>
      <c r="F358" s="159">
        <v>2758.9</v>
      </c>
      <c r="G358" s="160" t="s">
        <v>932</v>
      </c>
    </row>
    <row r="359" spans="1:8" ht="33">
      <c r="A359" s="160"/>
      <c r="B359" s="160" t="s">
        <v>933</v>
      </c>
      <c r="C359" s="157" t="s">
        <v>0</v>
      </c>
      <c r="D359" s="159">
        <v>100</v>
      </c>
      <c r="E359" s="159"/>
      <c r="F359" s="159">
        <v>94722.299999999988</v>
      </c>
      <c r="G359" s="160"/>
      <c r="H359" s="34" t="s">
        <v>925</v>
      </c>
    </row>
    <row r="360" spans="1:8" ht="33">
      <c r="A360" s="160"/>
      <c r="B360" s="160" t="s">
        <v>934</v>
      </c>
      <c r="C360" s="157" t="s">
        <v>0</v>
      </c>
      <c r="D360" s="159"/>
      <c r="E360" s="159"/>
      <c r="F360" s="159">
        <v>947.22</v>
      </c>
      <c r="G360" s="160"/>
      <c r="H360" s="34" t="s">
        <v>925</v>
      </c>
    </row>
    <row r="361" spans="1:8" ht="33">
      <c r="A361" s="160"/>
      <c r="B361" s="160"/>
      <c r="C361" s="157"/>
      <c r="D361" s="159"/>
      <c r="E361" s="159"/>
      <c r="F361" s="159"/>
      <c r="G361" s="160"/>
      <c r="H361" s="34" t="s">
        <v>925</v>
      </c>
    </row>
    <row r="362" spans="1:8" ht="33">
      <c r="A362" s="160" t="s">
        <v>1148</v>
      </c>
      <c r="B362" s="160" t="s">
        <v>1104</v>
      </c>
      <c r="C362" s="157" t="s">
        <v>0</v>
      </c>
      <c r="D362" s="159">
        <v>1</v>
      </c>
      <c r="E362" s="159">
        <v>1479.26</v>
      </c>
      <c r="F362" s="159"/>
      <c r="G362" s="160" t="s">
        <v>1105</v>
      </c>
      <c r="H362" s="34" t="s">
        <v>925</v>
      </c>
    </row>
    <row r="363" spans="1:8" ht="33">
      <c r="A363" s="160">
        <v>1</v>
      </c>
      <c r="B363" s="160" t="s">
        <v>1106</v>
      </c>
      <c r="C363" s="157" t="s">
        <v>927</v>
      </c>
      <c r="D363" s="159">
        <v>0.25</v>
      </c>
      <c r="E363" s="159">
        <v>2285.14</v>
      </c>
      <c r="F363" s="159">
        <v>571.29</v>
      </c>
      <c r="G363" s="160" t="s">
        <v>1107</v>
      </c>
      <c r="H363" s="34" t="s">
        <v>925</v>
      </c>
    </row>
    <row r="364" spans="1:8" ht="33">
      <c r="A364" s="160">
        <v>2</v>
      </c>
      <c r="B364" s="160" t="s">
        <v>999</v>
      </c>
      <c r="C364" s="157" t="s">
        <v>927</v>
      </c>
      <c r="D364" s="159">
        <v>0.25</v>
      </c>
      <c r="E364" s="159">
        <v>398.41</v>
      </c>
      <c r="F364" s="159">
        <v>99.6</v>
      </c>
      <c r="G364" s="160" t="s">
        <v>4877</v>
      </c>
      <c r="H364" s="34" t="s">
        <v>925</v>
      </c>
    </row>
    <row r="365" spans="1:8" ht="28.5">
      <c r="A365" s="160">
        <v>3</v>
      </c>
      <c r="B365" s="160" t="s">
        <v>4871</v>
      </c>
      <c r="C365" s="157" t="s">
        <v>927</v>
      </c>
      <c r="D365" s="159">
        <v>0.25</v>
      </c>
      <c r="E365" s="159">
        <v>279.18</v>
      </c>
      <c r="F365" s="159">
        <v>69.8</v>
      </c>
      <c r="G365" s="160" t="s">
        <v>4876</v>
      </c>
    </row>
    <row r="366" spans="1:8" ht="33">
      <c r="A366" s="160">
        <v>4</v>
      </c>
      <c r="B366" s="160" t="s">
        <v>1108</v>
      </c>
      <c r="C366" s="157" t="s">
        <v>0</v>
      </c>
      <c r="D366" s="159">
        <v>1</v>
      </c>
      <c r="E366" s="159">
        <v>695.48</v>
      </c>
      <c r="F366" s="159">
        <v>695.48</v>
      </c>
      <c r="G366" s="160" t="s">
        <v>1109</v>
      </c>
      <c r="H366" s="34" t="s">
        <v>925</v>
      </c>
    </row>
    <row r="367" spans="1:8" ht="33">
      <c r="A367" s="160">
        <v>5</v>
      </c>
      <c r="B367" s="160" t="s">
        <v>931</v>
      </c>
      <c r="C367" s="157" t="s">
        <v>14</v>
      </c>
      <c r="D367" s="159">
        <v>1</v>
      </c>
      <c r="E367" s="159">
        <v>43.09</v>
      </c>
      <c r="F367" s="159">
        <v>43.09</v>
      </c>
      <c r="G367" s="160" t="s">
        <v>932</v>
      </c>
      <c r="H367" s="34" t="s">
        <v>925</v>
      </c>
    </row>
    <row r="368" spans="1:8" ht="33">
      <c r="A368" s="160"/>
      <c r="B368" s="160" t="s">
        <v>933</v>
      </c>
      <c r="C368" s="157" t="s">
        <v>0</v>
      </c>
      <c r="D368" s="159">
        <v>1</v>
      </c>
      <c r="E368" s="159"/>
      <c r="F368" s="159">
        <v>1479.26</v>
      </c>
      <c r="G368" s="160"/>
      <c r="H368" s="34" t="s">
        <v>925</v>
      </c>
    </row>
    <row r="369" spans="1:8" ht="33">
      <c r="A369" s="160"/>
      <c r="B369" s="160" t="s">
        <v>934</v>
      </c>
      <c r="C369" s="157" t="s">
        <v>0</v>
      </c>
      <c r="D369" s="159"/>
      <c r="E369" s="159"/>
      <c r="F369" s="159">
        <v>1479.26</v>
      </c>
      <c r="G369" s="160"/>
      <c r="H369" s="34" t="s">
        <v>925</v>
      </c>
    </row>
    <row r="370" spans="1:8" ht="33">
      <c r="A370" s="160"/>
      <c r="B370" s="160"/>
      <c r="C370" s="157"/>
      <c r="D370" s="159"/>
      <c r="E370" s="159"/>
      <c r="F370" s="159"/>
      <c r="G370" s="160"/>
      <c r="H370" s="34" t="s">
        <v>925</v>
      </c>
    </row>
    <row r="371" spans="1:8" ht="33">
      <c r="A371" s="160" t="s">
        <v>1153</v>
      </c>
      <c r="B371" s="160" t="s">
        <v>1111</v>
      </c>
      <c r="C371" s="157" t="s">
        <v>3</v>
      </c>
      <c r="D371" s="159">
        <v>1000</v>
      </c>
      <c r="E371" s="159">
        <v>11.87</v>
      </c>
      <c r="F371" s="159"/>
      <c r="G371" s="160" t="s">
        <v>1112</v>
      </c>
      <c r="H371" s="34" t="s">
        <v>925</v>
      </c>
    </row>
    <row r="372" spans="1:8" ht="28.5">
      <c r="A372" s="160">
        <v>1</v>
      </c>
      <c r="B372" s="160" t="s">
        <v>1050</v>
      </c>
      <c r="C372" s="157" t="s">
        <v>927</v>
      </c>
      <c r="D372" s="159">
        <v>2.5</v>
      </c>
      <c r="E372" s="159">
        <v>1390.95</v>
      </c>
      <c r="F372" s="159">
        <v>3477.38</v>
      </c>
      <c r="G372" s="160" t="s">
        <v>1051</v>
      </c>
    </row>
    <row r="373" spans="1:8" ht="33">
      <c r="A373" s="160">
        <v>2</v>
      </c>
      <c r="B373" s="160" t="s">
        <v>1113</v>
      </c>
      <c r="C373" s="157" t="s">
        <v>927</v>
      </c>
      <c r="D373" s="159">
        <v>1.88</v>
      </c>
      <c r="E373" s="159">
        <v>1162.44</v>
      </c>
      <c r="F373" s="159">
        <v>2185.39</v>
      </c>
      <c r="G373" s="160" t="s">
        <v>1114</v>
      </c>
      <c r="H373" s="34" t="s">
        <v>925</v>
      </c>
    </row>
    <row r="374" spans="1:8" ht="33">
      <c r="A374" s="160">
        <v>3</v>
      </c>
      <c r="B374" s="160" t="s">
        <v>1056</v>
      </c>
      <c r="C374" s="157" t="s">
        <v>927</v>
      </c>
      <c r="D374" s="159">
        <v>2.5</v>
      </c>
      <c r="E374" s="159">
        <v>767.01</v>
      </c>
      <c r="F374" s="159">
        <v>1917.53</v>
      </c>
      <c r="G374" s="160" t="s">
        <v>1057</v>
      </c>
      <c r="H374" s="34" t="s">
        <v>925</v>
      </c>
    </row>
    <row r="375" spans="1:8" ht="33">
      <c r="A375" s="160">
        <v>4</v>
      </c>
      <c r="B375" s="160" t="s">
        <v>1115</v>
      </c>
      <c r="C375" s="157" t="s">
        <v>14</v>
      </c>
      <c r="D375" s="159">
        <v>1</v>
      </c>
      <c r="E375" s="159">
        <v>85.17</v>
      </c>
      <c r="F375" s="159">
        <v>85.17</v>
      </c>
      <c r="G375" s="160" t="s">
        <v>1116</v>
      </c>
      <c r="H375" s="34" t="s">
        <v>925</v>
      </c>
    </row>
    <row r="376" spans="1:8" ht="42.75">
      <c r="A376" s="160">
        <v>5</v>
      </c>
      <c r="B376" s="160" t="s">
        <v>4883</v>
      </c>
      <c r="C376" s="157" t="s">
        <v>927</v>
      </c>
      <c r="D376" s="159">
        <v>2.5</v>
      </c>
      <c r="E376" s="159">
        <v>398.41</v>
      </c>
      <c r="F376" s="159">
        <v>996.03</v>
      </c>
      <c r="G376" s="160" t="s">
        <v>4884</v>
      </c>
      <c r="H376" s="34" t="s">
        <v>925</v>
      </c>
    </row>
    <row r="377" spans="1:8" ht="42.75">
      <c r="A377" s="160">
        <v>6</v>
      </c>
      <c r="B377" s="160" t="s">
        <v>4885</v>
      </c>
      <c r="C377" s="157" t="s">
        <v>927</v>
      </c>
      <c r="D377" s="159">
        <v>1.88</v>
      </c>
      <c r="E377" s="159">
        <v>398.41</v>
      </c>
      <c r="F377" s="159">
        <v>749.01</v>
      </c>
      <c r="G377" s="160" t="s">
        <v>4886</v>
      </c>
      <c r="H377" s="34" t="s">
        <v>925</v>
      </c>
    </row>
    <row r="378" spans="1:8" ht="33">
      <c r="A378" s="160">
        <v>7</v>
      </c>
      <c r="B378" s="160" t="s">
        <v>1060</v>
      </c>
      <c r="C378" s="157" t="s">
        <v>927</v>
      </c>
      <c r="D378" s="159">
        <v>2.5</v>
      </c>
      <c r="E378" s="159">
        <v>398.41</v>
      </c>
      <c r="F378" s="159">
        <v>996.03</v>
      </c>
      <c r="G378" s="160" t="s">
        <v>1061</v>
      </c>
      <c r="H378" s="34" t="s">
        <v>925</v>
      </c>
    </row>
    <row r="379" spans="1:8" ht="33">
      <c r="A379" s="160">
        <v>8</v>
      </c>
      <c r="B379" s="160" t="s">
        <v>4871</v>
      </c>
      <c r="C379" s="157" t="s">
        <v>927</v>
      </c>
      <c r="D379" s="159">
        <v>4</v>
      </c>
      <c r="E379" s="159">
        <v>279.18</v>
      </c>
      <c r="F379" s="159">
        <v>1116.72</v>
      </c>
      <c r="G379" s="160" t="s">
        <v>4876</v>
      </c>
      <c r="H379" s="34" t="s">
        <v>925</v>
      </c>
    </row>
    <row r="380" spans="1:8" ht="33">
      <c r="A380" s="160">
        <v>9</v>
      </c>
      <c r="B380" s="160" t="s">
        <v>931</v>
      </c>
      <c r="C380" s="157" t="s">
        <v>14</v>
      </c>
      <c r="D380" s="159">
        <v>1</v>
      </c>
      <c r="E380" s="159">
        <v>345.7</v>
      </c>
      <c r="F380" s="159">
        <v>345.7</v>
      </c>
      <c r="G380" s="160" t="s">
        <v>932</v>
      </c>
      <c r="H380" s="34" t="s">
        <v>925</v>
      </c>
    </row>
    <row r="381" spans="1:8" ht="33">
      <c r="A381" s="160"/>
      <c r="B381" s="160" t="s">
        <v>933</v>
      </c>
      <c r="C381" s="157" t="s">
        <v>3</v>
      </c>
      <c r="D381" s="159">
        <v>1000</v>
      </c>
      <c r="E381" s="159"/>
      <c r="F381" s="159">
        <v>11868.960000000001</v>
      </c>
      <c r="G381" s="160"/>
      <c r="H381" s="34" t="s">
        <v>925</v>
      </c>
    </row>
    <row r="382" spans="1:8" ht="16.5">
      <c r="A382" s="160"/>
      <c r="B382" s="160" t="s">
        <v>934</v>
      </c>
      <c r="C382" s="157" t="s">
        <v>3</v>
      </c>
      <c r="D382" s="159"/>
      <c r="E382" s="159"/>
      <c r="F382" s="159">
        <v>11.87</v>
      </c>
      <c r="G382" s="160"/>
    </row>
    <row r="383" spans="1:8" ht="33">
      <c r="A383" s="160"/>
      <c r="B383" s="160"/>
      <c r="C383" s="157"/>
      <c r="D383" s="159"/>
      <c r="E383" s="159"/>
      <c r="F383" s="159"/>
      <c r="G383" s="160"/>
      <c r="H383" s="34" t="s">
        <v>925</v>
      </c>
    </row>
    <row r="384" spans="1:8" ht="33">
      <c r="A384" s="160" t="s">
        <v>1161</v>
      </c>
      <c r="B384" s="160" t="s">
        <v>1118</v>
      </c>
      <c r="C384" s="157" t="s">
        <v>15</v>
      </c>
      <c r="D384" s="159">
        <v>100</v>
      </c>
      <c r="E384" s="159">
        <v>1290.1099999999999</v>
      </c>
      <c r="F384" s="159"/>
      <c r="G384" s="160" t="s">
        <v>1119</v>
      </c>
      <c r="H384" s="34" t="s">
        <v>925</v>
      </c>
    </row>
    <row r="385" spans="1:8" ht="33">
      <c r="A385" s="160">
        <v>1</v>
      </c>
      <c r="B385" s="160" t="s">
        <v>1120</v>
      </c>
      <c r="C385" s="157" t="s">
        <v>1121</v>
      </c>
      <c r="D385" s="159">
        <v>135</v>
      </c>
      <c r="E385" s="159">
        <v>820.66</v>
      </c>
      <c r="F385" s="159">
        <v>110789.1</v>
      </c>
      <c r="G385" s="160" t="s">
        <v>1122</v>
      </c>
      <c r="H385" s="34" t="s">
        <v>925</v>
      </c>
    </row>
    <row r="386" spans="1:8" ht="33">
      <c r="A386" s="160">
        <v>2</v>
      </c>
      <c r="B386" s="160" t="s">
        <v>1123</v>
      </c>
      <c r="C386" s="157" t="s">
        <v>927</v>
      </c>
      <c r="D386" s="159">
        <v>1.43</v>
      </c>
      <c r="E386" s="159">
        <v>1291.5999999999999</v>
      </c>
      <c r="F386" s="159">
        <v>1846.99</v>
      </c>
      <c r="G386" s="160" t="s">
        <v>1124</v>
      </c>
      <c r="H386" s="34" t="s">
        <v>925</v>
      </c>
    </row>
    <row r="387" spans="1:8" ht="33">
      <c r="A387" s="160">
        <v>3</v>
      </c>
      <c r="B387" s="160" t="s">
        <v>1113</v>
      </c>
      <c r="C387" s="157" t="s">
        <v>927</v>
      </c>
      <c r="D387" s="159">
        <v>2.5</v>
      </c>
      <c r="E387" s="159">
        <v>1162.44</v>
      </c>
      <c r="F387" s="159">
        <v>2906.1</v>
      </c>
      <c r="G387" s="160" t="s">
        <v>1114</v>
      </c>
      <c r="H387" s="34" t="s">
        <v>925</v>
      </c>
    </row>
    <row r="388" spans="1:8" ht="33">
      <c r="A388" s="160">
        <v>4</v>
      </c>
      <c r="B388" s="160" t="s">
        <v>1125</v>
      </c>
      <c r="C388" s="157" t="s">
        <v>927</v>
      </c>
      <c r="D388" s="159">
        <v>2.2999999999999998</v>
      </c>
      <c r="E388" s="159">
        <v>1291.5999999999999</v>
      </c>
      <c r="F388" s="159">
        <v>2970.68</v>
      </c>
      <c r="G388" s="160" t="s">
        <v>1126</v>
      </c>
      <c r="H388" s="34" t="s">
        <v>925</v>
      </c>
    </row>
    <row r="389" spans="1:8" ht="33">
      <c r="A389" s="160">
        <v>5</v>
      </c>
      <c r="B389" s="160" t="s">
        <v>1056</v>
      </c>
      <c r="C389" s="157" t="s">
        <v>927</v>
      </c>
      <c r="D389" s="159">
        <v>1.2</v>
      </c>
      <c r="E389" s="159">
        <v>767.01</v>
      </c>
      <c r="F389" s="159">
        <v>920.41</v>
      </c>
      <c r="G389" s="160" t="s">
        <v>1057</v>
      </c>
      <c r="H389" s="34" t="s">
        <v>925</v>
      </c>
    </row>
    <row r="390" spans="1:8" ht="33">
      <c r="A390" s="160">
        <v>6</v>
      </c>
      <c r="B390" s="160" t="s">
        <v>1115</v>
      </c>
      <c r="C390" s="157" t="s">
        <v>14</v>
      </c>
      <c r="D390" s="159">
        <v>1</v>
      </c>
      <c r="E390" s="159">
        <v>49.79</v>
      </c>
      <c r="F390" s="159">
        <v>49.79</v>
      </c>
      <c r="G390" s="160" t="s">
        <v>1116</v>
      </c>
      <c r="H390" s="34" t="s">
        <v>925</v>
      </c>
    </row>
    <row r="391" spans="1:8" ht="33">
      <c r="A391" s="160">
        <v>7</v>
      </c>
      <c r="B391" s="160" t="s">
        <v>1127</v>
      </c>
      <c r="C391" s="157" t="s">
        <v>927</v>
      </c>
      <c r="D391" s="159">
        <v>2.5</v>
      </c>
      <c r="E391" s="159">
        <v>454.05</v>
      </c>
      <c r="F391" s="159">
        <v>1135.1300000000001</v>
      </c>
      <c r="G391" s="160" t="s">
        <v>1128</v>
      </c>
      <c r="H391" s="34" t="s">
        <v>925</v>
      </c>
    </row>
    <row r="392" spans="1:8" ht="42.75">
      <c r="A392" s="160">
        <v>8</v>
      </c>
      <c r="B392" s="160" t="s">
        <v>4889</v>
      </c>
      <c r="C392" s="157" t="s">
        <v>927</v>
      </c>
      <c r="D392" s="159">
        <v>2.2999999999999998</v>
      </c>
      <c r="E392" s="159">
        <v>398.41</v>
      </c>
      <c r="F392" s="159">
        <v>916.34</v>
      </c>
      <c r="G392" s="160" t="s">
        <v>4890</v>
      </c>
    </row>
    <row r="393" spans="1:8" ht="42.75">
      <c r="A393" s="160">
        <v>9</v>
      </c>
      <c r="B393" s="160" t="s">
        <v>4885</v>
      </c>
      <c r="C393" s="157" t="s">
        <v>927</v>
      </c>
      <c r="D393" s="159">
        <v>3.93</v>
      </c>
      <c r="E393" s="159">
        <v>398.41</v>
      </c>
      <c r="F393" s="159">
        <v>1565.75</v>
      </c>
      <c r="G393" s="160" t="s">
        <v>4886</v>
      </c>
      <c r="H393" s="34" t="s">
        <v>925</v>
      </c>
    </row>
    <row r="394" spans="1:8" ht="33">
      <c r="A394" s="160">
        <v>10</v>
      </c>
      <c r="B394" s="160" t="s">
        <v>1060</v>
      </c>
      <c r="C394" s="157" t="s">
        <v>927</v>
      </c>
      <c r="D394" s="159">
        <v>1.2</v>
      </c>
      <c r="E394" s="159">
        <v>398.41</v>
      </c>
      <c r="F394" s="159">
        <v>478.09</v>
      </c>
      <c r="G394" s="160" t="s">
        <v>1061</v>
      </c>
      <c r="H394" s="34" t="s">
        <v>925</v>
      </c>
    </row>
    <row r="395" spans="1:8" ht="33">
      <c r="A395" s="160">
        <v>11</v>
      </c>
      <c r="B395" s="160" t="s">
        <v>4871</v>
      </c>
      <c r="C395" s="157" t="s">
        <v>927</v>
      </c>
      <c r="D395" s="159">
        <v>6</v>
      </c>
      <c r="E395" s="159">
        <v>279.18</v>
      </c>
      <c r="F395" s="159">
        <v>1675.08</v>
      </c>
      <c r="G395" s="160" t="s">
        <v>4876</v>
      </c>
      <c r="H395" s="34" t="s">
        <v>925</v>
      </c>
    </row>
    <row r="396" spans="1:8" ht="33">
      <c r="A396" s="160">
        <v>12</v>
      </c>
      <c r="B396" s="160" t="s">
        <v>931</v>
      </c>
      <c r="C396" s="157" t="s">
        <v>14</v>
      </c>
      <c r="D396" s="159">
        <v>1</v>
      </c>
      <c r="E396" s="159">
        <v>3757.6</v>
      </c>
      <c r="F396" s="159">
        <v>3757.6</v>
      </c>
      <c r="G396" s="160" t="s">
        <v>932</v>
      </c>
      <c r="H396" s="34" t="s">
        <v>925</v>
      </c>
    </row>
    <row r="397" spans="1:8" ht="33">
      <c r="A397" s="160"/>
      <c r="B397" s="160" t="s">
        <v>933</v>
      </c>
      <c r="C397" s="157" t="s">
        <v>15</v>
      </c>
      <c r="D397" s="159">
        <v>100</v>
      </c>
      <c r="E397" s="159"/>
      <c r="F397" s="159">
        <v>129011.06000000001</v>
      </c>
      <c r="G397" s="160"/>
      <c r="H397" s="34" t="s">
        <v>925</v>
      </c>
    </row>
    <row r="398" spans="1:8" ht="33">
      <c r="A398" s="160"/>
      <c r="B398" s="160" t="s">
        <v>934</v>
      </c>
      <c r="C398" s="157" t="s">
        <v>15</v>
      </c>
      <c r="D398" s="159"/>
      <c r="E398" s="159"/>
      <c r="F398" s="159">
        <v>1290.1099999999999</v>
      </c>
      <c r="G398" s="160"/>
      <c r="H398" s="34" t="s">
        <v>925</v>
      </c>
    </row>
    <row r="399" spans="1:8" ht="33">
      <c r="A399" s="160"/>
      <c r="B399" s="160"/>
      <c r="C399" s="157"/>
      <c r="D399" s="159"/>
      <c r="E399" s="159"/>
      <c r="F399" s="159"/>
      <c r="G399" s="160"/>
      <c r="H399" s="34" t="s">
        <v>925</v>
      </c>
    </row>
    <row r="400" spans="1:8" ht="28.5">
      <c r="A400" s="160" t="s">
        <v>1166</v>
      </c>
      <c r="B400" s="160" t="s">
        <v>1130</v>
      </c>
      <c r="C400" s="157" t="s">
        <v>15</v>
      </c>
      <c r="D400" s="159">
        <v>1</v>
      </c>
      <c r="E400" s="159">
        <v>1457.75</v>
      </c>
      <c r="F400" s="159"/>
      <c r="G400" s="160" t="s">
        <v>1131</v>
      </c>
    </row>
    <row r="401" spans="1:8" ht="33">
      <c r="A401" s="160">
        <v>1</v>
      </c>
      <c r="B401" s="160" t="s">
        <v>1132</v>
      </c>
      <c r="C401" s="157" t="s">
        <v>1121</v>
      </c>
      <c r="D401" s="159">
        <v>1.25</v>
      </c>
      <c r="E401" s="159">
        <v>685.54</v>
      </c>
      <c r="F401" s="159">
        <v>856.93</v>
      </c>
      <c r="G401" s="160" t="s">
        <v>1133</v>
      </c>
      <c r="H401" s="34" t="s">
        <v>925</v>
      </c>
    </row>
    <row r="402" spans="1:8" ht="33">
      <c r="A402" s="160">
        <v>2</v>
      </c>
      <c r="B402" s="160" t="s">
        <v>4871</v>
      </c>
      <c r="C402" s="157" t="s">
        <v>927</v>
      </c>
      <c r="D402" s="159">
        <v>2</v>
      </c>
      <c r="E402" s="159">
        <v>279.18</v>
      </c>
      <c r="F402" s="159">
        <v>558.36</v>
      </c>
      <c r="G402" s="160" t="s">
        <v>4876</v>
      </c>
      <c r="H402" s="34" t="s">
        <v>925</v>
      </c>
    </row>
    <row r="403" spans="1:8" ht="33">
      <c r="A403" s="160">
        <v>3</v>
      </c>
      <c r="B403" s="160" t="s">
        <v>955</v>
      </c>
      <c r="C403" s="157" t="s">
        <v>14</v>
      </c>
      <c r="D403" s="159">
        <v>1</v>
      </c>
      <c r="E403" s="159">
        <v>42.46</v>
      </c>
      <c r="F403" s="159">
        <v>42.46</v>
      </c>
      <c r="G403" s="160" t="s">
        <v>956</v>
      </c>
      <c r="H403" s="34" t="s">
        <v>925</v>
      </c>
    </row>
    <row r="404" spans="1:8" ht="33">
      <c r="A404" s="160"/>
      <c r="B404" s="160" t="s">
        <v>933</v>
      </c>
      <c r="C404" s="157" t="s">
        <v>15</v>
      </c>
      <c r="D404" s="159">
        <v>1</v>
      </c>
      <c r="E404" s="159"/>
      <c r="F404" s="159">
        <v>1457.75</v>
      </c>
      <c r="G404" s="160"/>
      <c r="H404" s="34" t="s">
        <v>925</v>
      </c>
    </row>
    <row r="405" spans="1:8" ht="33">
      <c r="A405" s="160"/>
      <c r="B405" s="160" t="s">
        <v>934</v>
      </c>
      <c r="C405" s="157" t="s">
        <v>15</v>
      </c>
      <c r="D405" s="159"/>
      <c r="E405" s="159"/>
      <c r="F405" s="159">
        <v>1457.75</v>
      </c>
      <c r="G405" s="160"/>
      <c r="H405" s="34" t="s">
        <v>925</v>
      </c>
    </row>
    <row r="406" spans="1:8" ht="33">
      <c r="A406" s="160"/>
      <c r="B406" s="160"/>
      <c r="C406" s="157"/>
      <c r="D406" s="159"/>
      <c r="E406" s="159"/>
      <c r="F406" s="159"/>
      <c r="G406" s="160"/>
      <c r="H406" s="34" t="s">
        <v>925</v>
      </c>
    </row>
    <row r="407" spans="1:8" ht="33">
      <c r="A407" s="160" t="s">
        <v>1170</v>
      </c>
      <c r="B407" s="160" t="s">
        <v>1135</v>
      </c>
      <c r="C407" s="157" t="s">
        <v>15</v>
      </c>
      <c r="D407" s="159">
        <v>1</v>
      </c>
      <c r="E407" s="159">
        <v>1326.76</v>
      </c>
      <c r="F407" s="159"/>
      <c r="G407" s="160" t="s">
        <v>1136</v>
      </c>
      <c r="H407" s="34" t="s">
        <v>925</v>
      </c>
    </row>
    <row r="408" spans="1:8" ht="28.5">
      <c r="A408" s="160">
        <v>1</v>
      </c>
      <c r="B408" s="160" t="s">
        <v>1137</v>
      </c>
      <c r="C408" s="157" t="s">
        <v>1121</v>
      </c>
      <c r="D408" s="159">
        <v>1.25</v>
      </c>
      <c r="E408" s="159">
        <v>695.48</v>
      </c>
      <c r="F408" s="159">
        <v>869.35</v>
      </c>
      <c r="G408" s="160" t="s">
        <v>1138</v>
      </c>
    </row>
    <row r="409" spans="1:8" ht="33">
      <c r="A409" s="160">
        <v>2</v>
      </c>
      <c r="B409" s="160" t="s">
        <v>4871</v>
      </c>
      <c r="C409" s="157" t="s">
        <v>927</v>
      </c>
      <c r="D409" s="159">
        <v>1.5</v>
      </c>
      <c r="E409" s="159">
        <v>279.18</v>
      </c>
      <c r="F409" s="159">
        <v>418.77</v>
      </c>
      <c r="G409" s="160" t="s">
        <v>4872</v>
      </c>
      <c r="H409" s="34" t="s">
        <v>925</v>
      </c>
    </row>
    <row r="410" spans="1:8" ht="33">
      <c r="A410" s="160">
        <v>3</v>
      </c>
      <c r="B410" s="160" t="s">
        <v>955</v>
      </c>
      <c r="C410" s="157" t="s">
        <v>14</v>
      </c>
      <c r="D410" s="159">
        <v>1</v>
      </c>
      <c r="E410" s="159">
        <v>38.64</v>
      </c>
      <c r="F410" s="159">
        <v>38.64</v>
      </c>
      <c r="G410" s="160" t="s">
        <v>956</v>
      </c>
      <c r="H410" s="34" t="s">
        <v>925</v>
      </c>
    </row>
    <row r="411" spans="1:8" ht="33">
      <c r="A411" s="160"/>
      <c r="B411" s="160" t="s">
        <v>933</v>
      </c>
      <c r="C411" s="157" t="s">
        <v>15</v>
      </c>
      <c r="D411" s="159">
        <v>1</v>
      </c>
      <c r="E411" s="159"/>
      <c r="F411" s="159">
        <v>1326.76</v>
      </c>
      <c r="G411" s="160"/>
      <c r="H411" s="34" t="s">
        <v>925</v>
      </c>
    </row>
    <row r="412" spans="1:8" ht="33">
      <c r="A412" s="160"/>
      <c r="B412" s="160" t="s">
        <v>934</v>
      </c>
      <c r="C412" s="157" t="s">
        <v>15</v>
      </c>
      <c r="D412" s="159"/>
      <c r="E412" s="159"/>
      <c r="F412" s="159">
        <v>1326.76</v>
      </c>
      <c r="G412" s="160"/>
      <c r="H412" s="34" t="s">
        <v>925</v>
      </c>
    </row>
    <row r="413" spans="1:8" ht="33">
      <c r="A413" s="160"/>
      <c r="B413" s="160"/>
      <c r="C413" s="157"/>
      <c r="D413" s="159"/>
      <c r="E413" s="159"/>
      <c r="F413" s="159"/>
      <c r="G413" s="160"/>
      <c r="H413" s="34" t="s">
        <v>925</v>
      </c>
    </row>
    <row r="414" spans="1:8" ht="33">
      <c r="A414" s="160" t="s">
        <v>1173</v>
      </c>
      <c r="B414" s="160" t="s">
        <v>1140</v>
      </c>
      <c r="C414" s="157" t="s">
        <v>3</v>
      </c>
      <c r="D414" s="159">
        <v>100</v>
      </c>
      <c r="E414" s="159">
        <v>44.1</v>
      </c>
      <c r="F414" s="159"/>
      <c r="G414" s="160" t="s">
        <v>1141</v>
      </c>
      <c r="H414" s="34" t="s">
        <v>925</v>
      </c>
    </row>
    <row r="415" spans="1:8" ht="33">
      <c r="A415" s="160">
        <v>1</v>
      </c>
      <c r="B415" s="160" t="s">
        <v>1142</v>
      </c>
      <c r="C415" s="157" t="s">
        <v>18</v>
      </c>
      <c r="D415" s="159">
        <v>80</v>
      </c>
      <c r="E415" s="159">
        <v>44.71</v>
      </c>
      <c r="F415" s="159">
        <v>3576.8</v>
      </c>
      <c r="G415" s="160" t="s">
        <v>1143</v>
      </c>
      <c r="H415" s="34" t="s">
        <v>925</v>
      </c>
    </row>
    <row r="416" spans="1:8" ht="28.5">
      <c r="A416" s="160">
        <v>2</v>
      </c>
      <c r="B416" s="160" t="s">
        <v>1144</v>
      </c>
      <c r="C416" s="157" t="s">
        <v>927</v>
      </c>
      <c r="D416" s="159">
        <v>0.2</v>
      </c>
      <c r="E416" s="159">
        <v>933.93</v>
      </c>
      <c r="F416" s="159">
        <v>186.79</v>
      </c>
      <c r="G416" s="160" t="s">
        <v>1145</v>
      </c>
    </row>
    <row r="417" spans="1:8" ht="42.75">
      <c r="A417" s="160">
        <v>3</v>
      </c>
      <c r="B417" s="160" t="s">
        <v>4891</v>
      </c>
      <c r="C417" s="157" t="s">
        <v>927</v>
      </c>
      <c r="D417" s="159">
        <v>0.2</v>
      </c>
      <c r="E417" s="159">
        <v>398.41</v>
      </c>
      <c r="F417" s="159">
        <v>79.680000000000007</v>
      </c>
      <c r="G417" s="160" t="s">
        <v>4892</v>
      </c>
      <c r="H417" s="34" t="s">
        <v>925</v>
      </c>
    </row>
    <row r="418" spans="1:8" ht="33">
      <c r="A418" s="160">
        <v>4</v>
      </c>
      <c r="B418" s="160" t="s">
        <v>1146</v>
      </c>
      <c r="C418" s="157" t="s">
        <v>18</v>
      </c>
      <c r="D418" s="159">
        <v>80</v>
      </c>
      <c r="E418" s="159">
        <v>1.99</v>
      </c>
      <c r="F418" s="159">
        <v>159.19999999999999</v>
      </c>
      <c r="G418" s="160" t="s">
        <v>1147</v>
      </c>
      <c r="H418" s="34" t="s">
        <v>925</v>
      </c>
    </row>
    <row r="419" spans="1:8" ht="33">
      <c r="A419" s="160">
        <v>5</v>
      </c>
      <c r="B419" s="160" t="s">
        <v>4871</v>
      </c>
      <c r="C419" s="157" t="s">
        <v>927</v>
      </c>
      <c r="D419" s="159">
        <v>1</v>
      </c>
      <c r="E419" s="159">
        <v>279.18</v>
      </c>
      <c r="F419" s="159">
        <v>279.18</v>
      </c>
      <c r="G419" s="160" t="s">
        <v>4876</v>
      </c>
      <c r="H419" s="34" t="s">
        <v>925</v>
      </c>
    </row>
    <row r="420" spans="1:8" ht="33">
      <c r="A420" s="160">
        <v>6</v>
      </c>
      <c r="B420" s="160" t="s">
        <v>931</v>
      </c>
      <c r="C420" s="157" t="s">
        <v>14</v>
      </c>
      <c r="D420" s="159">
        <v>1</v>
      </c>
      <c r="E420" s="159">
        <v>128.44999999999999</v>
      </c>
      <c r="F420" s="159">
        <v>128.44999999999999</v>
      </c>
      <c r="G420" s="160" t="s">
        <v>932</v>
      </c>
      <c r="H420" s="34" t="s">
        <v>925</v>
      </c>
    </row>
    <row r="421" spans="1:8" ht="33">
      <c r="A421" s="160"/>
      <c r="B421" s="160" t="s">
        <v>933</v>
      </c>
      <c r="C421" s="157" t="s">
        <v>3</v>
      </c>
      <c r="D421" s="159">
        <v>100</v>
      </c>
      <c r="E421" s="159"/>
      <c r="F421" s="159">
        <v>4410.0999999999995</v>
      </c>
      <c r="G421" s="160"/>
      <c r="H421" s="34" t="s">
        <v>925</v>
      </c>
    </row>
    <row r="422" spans="1:8" ht="33">
      <c r="A422" s="160"/>
      <c r="B422" s="160" t="s">
        <v>934</v>
      </c>
      <c r="C422" s="157" t="s">
        <v>3</v>
      </c>
      <c r="D422" s="159"/>
      <c r="E422" s="159"/>
      <c r="F422" s="159">
        <v>44.1</v>
      </c>
      <c r="G422" s="160"/>
      <c r="H422" s="34" t="s">
        <v>925</v>
      </c>
    </row>
    <row r="423" spans="1:8" ht="33">
      <c r="A423" s="160"/>
      <c r="B423" s="160"/>
      <c r="C423" s="157"/>
      <c r="D423" s="159"/>
      <c r="E423" s="159"/>
      <c r="F423" s="159"/>
      <c r="G423" s="160"/>
      <c r="H423" s="34" t="s">
        <v>925</v>
      </c>
    </row>
    <row r="424" spans="1:8" ht="28.5">
      <c r="A424" s="160" t="s">
        <v>1178</v>
      </c>
      <c r="B424" s="160" t="s">
        <v>1149</v>
      </c>
      <c r="C424" s="157" t="s">
        <v>3</v>
      </c>
      <c r="D424" s="159">
        <v>100</v>
      </c>
      <c r="E424" s="159">
        <v>17.53</v>
      </c>
      <c r="F424" s="159"/>
      <c r="G424" s="160" t="s">
        <v>1150</v>
      </c>
    </row>
    <row r="425" spans="1:8" ht="33">
      <c r="A425" s="160">
        <v>1</v>
      </c>
      <c r="B425" s="160" t="s">
        <v>1151</v>
      </c>
      <c r="C425" s="157" t="s">
        <v>18</v>
      </c>
      <c r="D425" s="159">
        <v>30</v>
      </c>
      <c r="E425" s="159">
        <v>44.71</v>
      </c>
      <c r="F425" s="159">
        <v>1341.3</v>
      </c>
      <c r="G425" s="160" t="s">
        <v>1152</v>
      </c>
      <c r="H425" s="34" t="s">
        <v>925</v>
      </c>
    </row>
    <row r="426" spans="1:8" ht="33">
      <c r="A426" s="160">
        <v>2</v>
      </c>
      <c r="B426" s="160" t="s">
        <v>1144</v>
      </c>
      <c r="C426" s="157" t="s">
        <v>927</v>
      </c>
      <c r="D426" s="159">
        <v>0.1</v>
      </c>
      <c r="E426" s="159">
        <v>933.93</v>
      </c>
      <c r="F426" s="159">
        <v>93.39</v>
      </c>
      <c r="G426" s="160" t="s">
        <v>1145</v>
      </c>
      <c r="H426" s="34" t="s">
        <v>925</v>
      </c>
    </row>
    <row r="427" spans="1:8" ht="42.75">
      <c r="A427" s="160">
        <v>3</v>
      </c>
      <c r="B427" s="160" t="s">
        <v>4891</v>
      </c>
      <c r="C427" s="157" t="s">
        <v>927</v>
      </c>
      <c r="D427" s="159">
        <v>0.1</v>
      </c>
      <c r="E427" s="159">
        <v>398.41</v>
      </c>
      <c r="F427" s="159">
        <v>39.840000000000003</v>
      </c>
      <c r="G427" s="160" t="s">
        <v>4892</v>
      </c>
      <c r="H427" s="34" t="s">
        <v>925</v>
      </c>
    </row>
    <row r="428" spans="1:8" ht="33">
      <c r="A428" s="160">
        <v>4</v>
      </c>
      <c r="B428" s="160" t="s">
        <v>1146</v>
      </c>
      <c r="C428" s="157" t="s">
        <v>18</v>
      </c>
      <c r="D428" s="159">
        <v>30</v>
      </c>
      <c r="E428" s="159">
        <v>1.99</v>
      </c>
      <c r="F428" s="159">
        <v>59.7</v>
      </c>
      <c r="G428" s="160" t="s">
        <v>1147</v>
      </c>
      <c r="H428" s="34" t="s">
        <v>925</v>
      </c>
    </row>
    <row r="429" spans="1:8" ht="33">
      <c r="A429" s="160">
        <v>5</v>
      </c>
      <c r="B429" s="160" t="s">
        <v>4871</v>
      </c>
      <c r="C429" s="157" t="s">
        <v>927</v>
      </c>
      <c r="D429" s="159">
        <v>0.6</v>
      </c>
      <c r="E429" s="159">
        <v>279.18</v>
      </c>
      <c r="F429" s="159">
        <v>167.51</v>
      </c>
      <c r="G429" s="160" t="s">
        <v>4876</v>
      </c>
      <c r="H429" s="34" t="s">
        <v>925</v>
      </c>
    </row>
    <row r="430" spans="1:8" ht="33">
      <c r="A430" s="160">
        <v>6</v>
      </c>
      <c r="B430" s="160" t="s">
        <v>931</v>
      </c>
      <c r="C430" s="157" t="s">
        <v>14</v>
      </c>
      <c r="D430" s="159">
        <v>1</v>
      </c>
      <c r="E430" s="159">
        <v>51.05</v>
      </c>
      <c r="F430" s="159">
        <v>51.05</v>
      </c>
      <c r="G430" s="160" t="s">
        <v>932</v>
      </c>
      <c r="H430" s="34" t="s">
        <v>925</v>
      </c>
    </row>
    <row r="431" spans="1:8" ht="33">
      <c r="A431" s="160"/>
      <c r="B431" s="160" t="s">
        <v>933</v>
      </c>
      <c r="C431" s="157" t="s">
        <v>3</v>
      </c>
      <c r="D431" s="159">
        <v>100</v>
      </c>
      <c r="E431" s="159"/>
      <c r="F431" s="159">
        <v>1752.79</v>
      </c>
      <c r="G431" s="160"/>
      <c r="H431" s="34" t="s">
        <v>925</v>
      </c>
    </row>
    <row r="432" spans="1:8" ht="16.5">
      <c r="A432" s="160"/>
      <c r="B432" s="160" t="s">
        <v>934</v>
      </c>
      <c r="C432" s="157" t="s">
        <v>3</v>
      </c>
      <c r="D432" s="159"/>
      <c r="E432" s="159"/>
      <c r="F432" s="159">
        <v>17.53</v>
      </c>
      <c r="G432" s="160"/>
    </row>
    <row r="433" spans="1:8" ht="33">
      <c r="A433" s="160"/>
      <c r="B433" s="160"/>
      <c r="C433" s="157"/>
      <c r="D433" s="159"/>
      <c r="E433" s="159"/>
      <c r="F433" s="159"/>
      <c r="G433" s="160"/>
      <c r="H433" s="34" t="s">
        <v>925</v>
      </c>
    </row>
    <row r="434" spans="1:8" ht="33">
      <c r="A434" s="160" t="s">
        <v>1181</v>
      </c>
      <c r="B434" s="160" t="s">
        <v>4467</v>
      </c>
      <c r="C434" s="157" t="s">
        <v>3</v>
      </c>
      <c r="D434" s="159">
        <v>100</v>
      </c>
      <c r="E434" s="159">
        <v>20.54</v>
      </c>
      <c r="F434" s="159"/>
      <c r="G434" s="160" t="s">
        <v>4893</v>
      </c>
      <c r="H434" s="34" t="s">
        <v>925</v>
      </c>
    </row>
    <row r="435" spans="1:8" ht="33">
      <c r="A435" s="160">
        <v>1</v>
      </c>
      <c r="B435" s="160" t="s">
        <v>1151</v>
      </c>
      <c r="C435" s="157" t="s">
        <v>18</v>
      </c>
      <c r="D435" s="159">
        <v>30</v>
      </c>
      <c r="E435" s="159">
        <v>44.71</v>
      </c>
      <c r="F435" s="159">
        <v>1341.3</v>
      </c>
      <c r="G435" s="160" t="s">
        <v>1152</v>
      </c>
      <c r="H435" s="34" t="s">
        <v>925</v>
      </c>
    </row>
    <row r="436" spans="1:8" ht="33">
      <c r="A436" s="160">
        <v>2</v>
      </c>
      <c r="B436" s="160" t="s">
        <v>1144</v>
      </c>
      <c r="C436" s="157" t="s">
        <v>927</v>
      </c>
      <c r="D436" s="159">
        <v>0.12</v>
      </c>
      <c r="E436" s="159">
        <v>933.93</v>
      </c>
      <c r="F436" s="159">
        <v>112.07</v>
      </c>
      <c r="G436" s="160" t="s">
        <v>1145</v>
      </c>
      <c r="H436" s="34" t="s">
        <v>925</v>
      </c>
    </row>
    <row r="437" spans="1:8" ht="42.75">
      <c r="A437" s="160">
        <v>3</v>
      </c>
      <c r="B437" s="160" t="s">
        <v>4894</v>
      </c>
      <c r="C437" s="157" t="s">
        <v>927</v>
      </c>
      <c r="D437" s="159">
        <v>0.12</v>
      </c>
      <c r="E437" s="159">
        <v>796.82</v>
      </c>
      <c r="F437" s="159">
        <v>95.62</v>
      </c>
      <c r="G437" s="160" t="s">
        <v>4895</v>
      </c>
      <c r="H437" s="34" t="s">
        <v>925</v>
      </c>
    </row>
    <row r="438" spans="1:8" ht="33">
      <c r="A438" s="160">
        <v>4</v>
      </c>
      <c r="B438" s="160" t="s">
        <v>1146</v>
      </c>
      <c r="C438" s="157" t="s">
        <v>18</v>
      </c>
      <c r="D438" s="159">
        <v>30</v>
      </c>
      <c r="E438" s="159">
        <v>1.99</v>
      </c>
      <c r="F438" s="159">
        <v>59.7</v>
      </c>
      <c r="G438" s="160" t="s">
        <v>1147</v>
      </c>
      <c r="H438" s="34" t="s">
        <v>925</v>
      </c>
    </row>
    <row r="439" spans="1:8" ht="42.75">
      <c r="A439" s="160">
        <v>5</v>
      </c>
      <c r="B439" s="160" t="s">
        <v>4874</v>
      </c>
      <c r="C439" s="157" t="s">
        <v>927</v>
      </c>
      <c r="D439" s="159">
        <v>0.69</v>
      </c>
      <c r="E439" s="159">
        <v>558.37</v>
      </c>
      <c r="F439" s="159">
        <v>385.28</v>
      </c>
      <c r="G439" s="160" t="s">
        <v>4875</v>
      </c>
      <c r="H439" s="34" t="s">
        <v>925</v>
      </c>
    </row>
    <row r="440" spans="1:8" ht="28.5">
      <c r="A440" s="160">
        <v>6</v>
      </c>
      <c r="B440" s="160" t="s">
        <v>931</v>
      </c>
      <c r="C440" s="157" t="s">
        <v>14</v>
      </c>
      <c r="D440" s="159">
        <v>1</v>
      </c>
      <c r="E440" s="159">
        <v>59.82</v>
      </c>
      <c r="F440" s="159">
        <v>59.82</v>
      </c>
      <c r="G440" s="160" t="s">
        <v>932</v>
      </c>
    </row>
    <row r="441" spans="1:8" ht="33">
      <c r="A441" s="160"/>
      <c r="B441" s="160" t="s">
        <v>933</v>
      </c>
      <c r="C441" s="157" t="s">
        <v>3</v>
      </c>
      <c r="D441" s="159">
        <v>100</v>
      </c>
      <c r="E441" s="159"/>
      <c r="F441" s="159">
        <v>2053.79</v>
      </c>
      <c r="G441" s="160"/>
      <c r="H441" s="34" t="s">
        <v>925</v>
      </c>
    </row>
    <row r="442" spans="1:8" ht="33">
      <c r="A442" s="160"/>
      <c r="B442" s="160" t="s">
        <v>934</v>
      </c>
      <c r="C442" s="157" t="s">
        <v>3</v>
      </c>
      <c r="D442" s="159"/>
      <c r="E442" s="159"/>
      <c r="F442" s="159">
        <v>20.54</v>
      </c>
      <c r="G442" s="160"/>
      <c r="H442" s="34" t="s">
        <v>925</v>
      </c>
    </row>
    <row r="443" spans="1:8" ht="33">
      <c r="A443" s="160"/>
      <c r="B443" s="160"/>
      <c r="C443" s="157"/>
      <c r="D443" s="159"/>
      <c r="E443" s="159"/>
      <c r="F443" s="159"/>
      <c r="G443" s="160"/>
      <c r="H443" s="34" t="s">
        <v>925</v>
      </c>
    </row>
    <row r="444" spans="1:8" ht="33">
      <c r="A444" s="160" t="s">
        <v>1186</v>
      </c>
      <c r="B444" s="160" t="s">
        <v>1154</v>
      </c>
      <c r="C444" s="157" t="s">
        <v>0</v>
      </c>
      <c r="D444" s="159">
        <v>1</v>
      </c>
      <c r="E444" s="159">
        <v>7703.82</v>
      </c>
      <c r="F444" s="159"/>
      <c r="G444" s="160" t="s">
        <v>1155</v>
      </c>
      <c r="H444" s="34" t="s">
        <v>925</v>
      </c>
    </row>
    <row r="445" spans="1:8" ht="42.75">
      <c r="A445" s="160">
        <v>1</v>
      </c>
      <c r="B445" s="160" t="s">
        <v>1156</v>
      </c>
      <c r="C445" s="157" t="s">
        <v>0</v>
      </c>
      <c r="D445" s="159">
        <v>1</v>
      </c>
      <c r="E445" s="159">
        <v>7083.93</v>
      </c>
      <c r="F445" s="159">
        <v>7083.93</v>
      </c>
      <c r="G445" s="160" t="s">
        <v>1157</v>
      </c>
      <c r="H445" s="34" t="s">
        <v>925</v>
      </c>
    </row>
    <row r="446" spans="1:8" ht="33">
      <c r="A446" s="160">
        <v>2</v>
      </c>
      <c r="B446" s="160" t="s">
        <v>4896</v>
      </c>
      <c r="C446" s="157" t="s">
        <v>0</v>
      </c>
      <c r="D446" s="159">
        <v>1</v>
      </c>
      <c r="E446" s="159">
        <v>369.68</v>
      </c>
      <c r="F446" s="159">
        <v>369.68</v>
      </c>
      <c r="G446" s="160" t="s">
        <v>1158</v>
      </c>
      <c r="H446" s="34" t="s">
        <v>925</v>
      </c>
    </row>
    <row r="447" spans="1:8" ht="33">
      <c r="A447" s="160">
        <v>3</v>
      </c>
      <c r="B447" s="160" t="s">
        <v>1159</v>
      </c>
      <c r="C447" s="157" t="s">
        <v>0</v>
      </c>
      <c r="D447" s="159">
        <v>1</v>
      </c>
      <c r="E447" s="159">
        <v>25.83</v>
      </c>
      <c r="F447" s="159">
        <v>25.83</v>
      </c>
      <c r="G447" s="160" t="s">
        <v>1160</v>
      </c>
      <c r="H447" s="34" t="s">
        <v>925</v>
      </c>
    </row>
    <row r="448" spans="1:8" ht="28.5">
      <c r="A448" s="160">
        <v>4</v>
      </c>
      <c r="B448" s="160" t="s">
        <v>931</v>
      </c>
      <c r="C448" s="157" t="s">
        <v>14</v>
      </c>
      <c r="D448" s="159">
        <v>1</v>
      </c>
      <c r="E448" s="159">
        <v>224.38</v>
      </c>
      <c r="F448" s="159">
        <v>224.38</v>
      </c>
      <c r="G448" s="160" t="s">
        <v>932</v>
      </c>
    </row>
    <row r="449" spans="1:8" ht="33">
      <c r="A449" s="160"/>
      <c r="B449" s="160" t="s">
        <v>933</v>
      </c>
      <c r="C449" s="157" t="s">
        <v>0</v>
      </c>
      <c r="D449" s="159">
        <v>1</v>
      </c>
      <c r="E449" s="159"/>
      <c r="F449" s="159">
        <v>7703.8200000000006</v>
      </c>
      <c r="G449" s="160"/>
      <c r="H449" s="34" t="s">
        <v>925</v>
      </c>
    </row>
    <row r="450" spans="1:8" ht="33">
      <c r="A450" s="160"/>
      <c r="B450" s="160" t="s">
        <v>934</v>
      </c>
      <c r="C450" s="157" t="s">
        <v>0</v>
      </c>
      <c r="D450" s="159"/>
      <c r="E450" s="159"/>
      <c r="F450" s="159">
        <v>7703.82</v>
      </c>
      <c r="G450" s="160"/>
      <c r="H450" s="34" t="s">
        <v>925</v>
      </c>
    </row>
    <row r="451" spans="1:8" ht="33">
      <c r="A451" s="160"/>
      <c r="B451" s="160"/>
      <c r="C451" s="157"/>
      <c r="D451" s="159"/>
      <c r="E451" s="159"/>
      <c r="F451" s="159"/>
      <c r="G451" s="160"/>
      <c r="H451" s="34" t="s">
        <v>925</v>
      </c>
    </row>
    <row r="452" spans="1:8" ht="33">
      <c r="A452" s="160" t="s">
        <v>1191</v>
      </c>
      <c r="B452" s="160" t="s">
        <v>3639</v>
      </c>
      <c r="C452" s="157" t="s">
        <v>0</v>
      </c>
      <c r="D452" s="159">
        <v>1</v>
      </c>
      <c r="E452" s="159">
        <v>8203.94</v>
      </c>
      <c r="F452" s="159"/>
      <c r="G452" s="160" t="s">
        <v>4019</v>
      </c>
      <c r="H452" s="34" t="s">
        <v>925</v>
      </c>
    </row>
    <row r="453" spans="1:8" ht="33">
      <c r="A453" s="160">
        <v>1</v>
      </c>
      <c r="B453" s="160" t="s">
        <v>1167</v>
      </c>
      <c r="C453" s="157" t="s">
        <v>0</v>
      </c>
      <c r="D453" s="159">
        <v>1</v>
      </c>
      <c r="E453" s="159">
        <v>7083.93</v>
      </c>
      <c r="F453" s="159">
        <v>7083.93</v>
      </c>
      <c r="G453" s="160" t="s">
        <v>1168</v>
      </c>
      <c r="H453" s="34" t="s">
        <v>925</v>
      </c>
    </row>
    <row r="454" spans="1:8" ht="33">
      <c r="A454" s="160">
        <v>2</v>
      </c>
      <c r="B454" s="160" t="s">
        <v>4897</v>
      </c>
      <c r="C454" s="157" t="s">
        <v>0</v>
      </c>
      <c r="D454" s="159">
        <v>1</v>
      </c>
      <c r="E454" s="159">
        <v>855.23</v>
      </c>
      <c r="F454" s="159">
        <v>855.23</v>
      </c>
      <c r="G454" s="160" t="s">
        <v>1169</v>
      </c>
      <c r="H454" s="34" t="s">
        <v>925</v>
      </c>
    </row>
    <row r="455" spans="1:8" ht="33">
      <c r="A455" s="160">
        <v>3</v>
      </c>
      <c r="B455" s="160" t="s">
        <v>1159</v>
      </c>
      <c r="C455" s="157" t="s">
        <v>0</v>
      </c>
      <c r="D455" s="159">
        <v>1</v>
      </c>
      <c r="E455" s="159">
        <v>25.83</v>
      </c>
      <c r="F455" s="159">
        <v>25.83</v>
      </c>
      <c r="G455" s="160" t="s">
        <v>1160</v>
      </c>
      <c r="H455" s="34" t="s">
        <v>925</v>
      </c>
    </row>
    <row r="456" spans="1:8" ht="28.5">
      <c r="A456" s="160">
        <v>4</v>
      </c>
      <c r="B456" s="160" t="s">
        <v>931</v>
      </c>
      <c r="C456" s="157" t="s">
        <v>14</v>
      </c>
      <c r="D456" s="159">
        <v>1</v>
      </c>
      <c r="E456" s="159">
        <v>238.95</v>
      </c>
      <c r="F456" s="159">
        <v>238.95</v>
      </c>
      <c r="G456" s="160" t="s">
        <v>932</v>
      </c>
    </row>
    <row r="457" spans="1:8" ht="33">
      <c r="A457" s="160"/>
      <c r="B457" s="160" t="s">
        <v>933</v>
      </c>
      <c r="C457" s="157" t="s">
        <v>0</v>
      </c>
      <c r="D457" s="159">
        <v>1</v>
      </c>
      <c r="E457" s="159"/>
      <c r="F457" s="159">
        <v>8203.94</v>
      </c>
      <c r="G457" s="160"/>
      <c r="H457" s="34" t="s">
        <v>925</v>
      </c>
    </row>
    <row r="458" spans="1:8" ht="33">
      <c r="A458" s="160"/>
      <c r="B458" s="160" t="s">
        <v>934</v>
      </c>
      <c r="C458" s="157" t="s">
        <v>0</v>
      </c>
      <c r="D458" s="159"/>
      <c r="E458" s="159"/>
      <c r="F458" s="159">
        <v>8203.94</v>
      </c>
      <c r="G458" s="160"/>
      <c r="H458" s="34" t="s">
        <v>925</v>
      </c>
    </row>
    <row r="459" spans="1:8" ht="33">
      <c r="A459" s="160"/>
      <c r="B459" s="160"/>
      <c r="C459" s="157"/>
      <c r="D459" s="159"/>
      <c r="E459" s="159"/>
      <c r="F459" s="159"/>
      <c r="G459" s="160"/>
      <c r="H459" s="34" t="s">
        <v>925</v>
      </c>
    </row>
    <row r="460" spans="1:8" ht="42.75">
      <c r="A460" s="160" t="s">
        <v>1194</v>
      </c>
      <c r="B460" s="160" t="s">
        <v>4049</v>
      </c>
      <c r="C460" s="157" t="s">
        <v>0</v>
      </c>
      <c r="D460" s="159">
        <v>1</v>
      </c>
      <c r="E460" s="159">
        <v>8697.4699999999993</v>
      </c>
      <c r="F460" s="159"/>
      <c r="G460" s="160" t="s">
        <v>2582</v>
      </c>
      <c r="H460" s="34" t="s">
        <v>925</v>
      </c>
    </row>
    <row r="461" spans="1:8" ht="33">
      <c r="A461" s="160">
        <v>1</v>
      </c>
      <c r="B461" s="160" t="s">
        <v>1167</v>
      </c>
      <c r="C461" s="157" t="s">
        <v>0</v>
      </c>
      <c r="D461" s="159">
        <v>1</v>
      </c>
      <c r="E461" s="159">
        <v>7083.93</v>
      </c>
      <c r="F461" s="159">
        <v>7083.93</v>
      </c>
      <c r="G461" s="160" t="s">
        <v>1168</v>
      </c>
      <c r="H461" s="34" t="s">
        <v>925</v>
      </c>
    </row>
    <row r="462" spans="1:8" ht="33">
      <c r="A462" s="160">
        <v>2</v>
      </c>
      <c r="B462" s="160" t="s">
        <v>4898</v>
      </c>
      <c r="C462" s="157" t="s">
        <v>0</v>
      </c>
      <c r="D462" s="159">
        <v>1</v>
      </c>
      <c r="E462" s="159">
        <v>1334.39</v>
      </c>
      <c r="F462" s="159">
        <v>1334.39</v>
      </c>
      <c r="G462" s="160" t="s">
        <v>4899</v>
      </c>
      <c r="H462" s="34" t="s">
        <v>925</v>
      </c>
    </row>
    <row r="463" spans="1:8" ht="33">
      <c r="A463" s="160">
        <v>3</v>
      </c>
      <c r="B463" s="160" t="s">
        <v>1159</v>
      </c>
      <c r="C463" s="157" t="s">
        <v>0</v>
      </c>
      <c r="D463" s="159">
        <v>1</v>
      </c>
      <c r="E463" s="159">
        <v>25.83</v>
      </c>
      <c r="F463" s="159">
        <v>25.83</v>
      </c>
      <c r="G463" s="160" t="s">
        <v>1160</v>
      </c>
      <c r="H463" s="34" t="s">
        <v>925</v>
      </c>
    </row>
    <row r="464" spans="1:8" ht="28.5">
      <c r="A464" s="160">
        <v>4</v>
      </c>
      <c r="B464" s="160" t="s">
        <v>931</v>
      </c>
      <c r="C464" s="157" t="s">
        <v>14</v>
      </c>
      <c r="D464" s="159">
        <v>1</v>
      </c>
      <c r="E464" s="159">
        <v>253.32</v>
      </c>
      <c r="F464" s="159">
        <v>253.32</v>
      </c>
      <c r="G464" s="160" t="s">
        <v>932</v>
      </c>
    </row>
    <row r="465" spans="1:8" ht="33">
      <c r="A465" s="160"/>
      <c r="B465" s="160" t="s">
        <v>933</v>
      </c>
      <c r="C465" s="157" t="s">
        <v>0</v>
      </c>
      <c r="D465" s="159">
        <v>1</v>
      </c>
      <c r="E465" s="159"/>
      <c r="F465" s="159">
        <v>8697.4699999999993</v>
      </c>
      <c r="G465" s="160"/>
      <c r="H465" s="34" t="s">
        <v>925</v>
      </c>
    </row>
    <row r="466" spans="1:8" ht="33">
      <c r="A466" s="160"/>
      <c r="B466" s="160" t="s">
        <v>934</v>
      </c>
      <c r="C466" s="157" t="s">
        <v>0</v>
      </c>
      <c r="D466" s="159"/>
      <c r="E466" s="159"/>
      <c r="F466" s="159">
        <v>8697.4699999999993</v>
      </c>
      <c r="G466" s="160"/>
      <c r="H466" s="34" t="s">
        <v>925</v>
      </c>
    </row>
    <row r="467" spans="1:8" ht="33">
      <c r="A467" s="160"/>
      <c r="B467" s="160"/>
      <c r="C467" s="157"/>
      <c r="D467" s="159"/>
      <c r="E467" s="159"/>
      <c r="F467" s="159"/>
      <c r="G467" s="160"/>
      <c r="H467" s="34" t="s">
        <v>925</v>
      </c>
    </row>
    <row r="468" spans="1:8" ht="33">
      <c r="A468" s="160" t="s">
        <v>1199</v>
      </c>
      <c r="B468" s="160" t="s">
        <v>1162</v>
      </c>
      <c r="C468" s="157" t="s">
        <v>0</v>
      </c>
      <c r="D468" s="159">
        <v>1</v>
      </c>
      <c r="E468" s="159">
        <v>7642.41</v>
      </c>
      <c r="F468" s="159"/>
      <c r="G468" s="160" t="s">
        <v>1163</v>
      </c>
      <c r="H468" s="34" t="s">
        <v>925</v>
      </c>
    </row>
    <row r="469" spans="1:8" ht="42.75">
      <c r="A469" s="160">
        <v>1</v>
      </c>
      <c r="B469" s="160" t="s">
        <v>1164</v>
      </c>
      <c r="C469" s="157" t="s">
        <v>0</v>
      </c>
      <c r="D469" s="159">
        <v>1</v>
      </c>
      <c r="E469" s="159">
        <v>7024.31</v>
      </c>
      <c r="F469" s="159">
        <v>7024.31</v>
      </c>
      <c r="G469" s="160" t="s">
        <v>1165</v>
      </c>
      <c r="H469" s="34" t="s">
        <v>925</v>
      </c>
    </row>
    <row r="470" spans="1:8" ht="33">
      <c r="A470" s="160">
        <v>2</v>
      </c>
      <c r="B470" s="160" t="s">
        <v>4896</v>
      </c>
      <c r="C470" s="157" t="s">
        <v>0</v>
      </c>
      <c r="D470" s="159">
        <v>1</v>
      </c>
      <c r="E470" s="159">
        <v>369.68</v>
      </c>
      <c r="F470" s="159">
        <v>369.68</v>
      </c>
      <c r="G470" s="160" t="s">
        <v>1158</v>
      </c>
      <c r="H470" s="34" t="s">
        <v>925</v>
      </c>
    </row>
    <row r="471" spans="1:8" ht="33">
      <c r="A471" s="160">
        <v>3</v>
      </c>
      <c r="B471" s="160" t="s">
        <v>1159</v>
      </c>
      <c r="C471" s="157" t="s">
        <v>0</v>
      </c>
      <c r="D471" s="159">
        <v>1</v>
      </c>
      <c r="E471" s="159">
        <v>25.83</v>
      </c>
      <c r="F471" s="159">
        <v>25.83</v>
      </c>
      <c r="G471" s="160" t="s">
        <v>1160</v>
      </c>
      <c r="H471" s="34" t="s">
        <v>925</v>
      </c>
    </row>
    <row r="472" spans="1:8" ht="28.5">
      <c r="A472" s="160">
        <v>4</v>
      </c>
      <c r="B472" s="160" t="s">
        <v>931</v>
      </c>
      <c r="C472" s="157" t="s">
        <v>14</v>
      </c>
      <c r="D472" s="159">
        <v>1</v>
      </c>
      <c r="E472" s="159">
        <v>222.59</v>
      </c>
      <c r="F472" s="159">
        <v>222.59</v>
      </c>
      <c r="G472" s="160" t="s">
        <v>932</v>
      </c>
    </row>
    <row r="473" spans="1:8" ht="33">
      <c r="A473" s="160"/>
      <c r="B473" s="160" t="s">
        <v>933</v>
      </c>
      <c r="C473" s="157" t="s">
        <v>0</v>
      </c>
      <c r="D473" s="159">
        <v>1</v>
      </c>
      <c r="E473" s="159"/>
      <c r="F473" s="159">
        <v>7642.4100000000008</v>
      </c>
      <c r="G473" s="160"/>
      <c r="H473" s="34" t="s">
        <v>925</v>
      </c>
    </row>
    <row r="474" spans="1:8" ht="33">
      <c r="A474" s="160"/>
      <c r="B474" s="160" t="s">
        <v>934</v>
      </c>
      <c r="C474" s="157" t="s">
        <v>0</v>
      </c>
      <c r="D474" s="159"/>
      <c r="E474" s="159"/>
      <c r="F474" s="159">
        <v>7642.41</v>
      </c>
      <c r="G474" s="160"/>
      <c r="H474" s="34" t="s">
        <v>925</v>
      </c>
    </row>
    <row r="475" spans="1:8" ht="33">
      <c r="A475" s="160"/>
      <c r="B475" s="160"/>
      <c r="C475" s="157"/>
      <c r="D475" s="159"/>
      <c r="E475" s="159"/>
      <c r="F475" s="159"/>
      <c r="G475" s="160"/>
      <c r="H475" s="34" t="s">
        <v>925</v>
      </c>
    </row>
    <row r="476" spans="1:8" ht="42.75">
      <c r="A476" s="160" t="s">
        <v>1202</v>
      </c>
      <c r="B476" s="160" t="s">
        <v>3640</v>
      </c>
      <c r="C476" s="157" t="s">
        <v>0</v>
      </c>
      <c r="D476" s="159">
        <v>1</v>
      </c>
      <c r="E476" s="159">
        <v>8142.53</v>
      </c>
      <c r="F476" s="159"/>
      <c r="G476" s="160" t="s">
        <v>4020</v>
      </c>
      <c r="H476" s="34" t="s">
        <v>925</v>
      </c>
    </row>
    <row r="477" spans="1:8" ht="33">
      <c r="A477" s="160">
        <v>1</v>
      </c>
      <c r="B477" s="160" t="s">
        <v>1171</v>
      </c>
      <c r="C477" s="157" t="s">
        <v>0</v>
      </c>
      <c r="D477" s="159">
        <v>1</v>
      </c>
      <c r="E477" s="159">
        <v>7024.31</v>
      </c>
      <c r="F477" s="159">
        <v>7024.31</v>
      </c>
      <c r="G477" s="160" t="s">
        <v>1172</v>
      </c>
      <c r="H477" s="34" t="s">
        <v>925</v>
      </c>
    </row>
    <row r="478" spans="1:8" ht="33">
      <c r="A478" s="160">
        <v>2</v>
      </c>
      <c r="B478" s="160" t="s">
        <v>4897</v>
      </c>
      <c r="C478" s="157" t="s">
        <v>0</v>
      </c>
      <c r="D478" s="159">
        <v>1</v>
      </c>
      <c r="E478" s="159">
        <v>855.23</v>
      </c>
      <c r="F478" s="159">
        <v>855.23</v>
      </c>
      <c r="G478" s="160" t="s">
        <v>1169</v>
      </c>
      <c r="H478" s="34" t="s">
        <v>925</v>
      </c>
    </row>
    <row r="479" spans="1:8" ht="33">
      <c r="A479" s="160">
        <v>3</v>
      </c>
      <c r="B479" s="160" t="s">
        <v>1159</v>
      </c>
      <c r="C479" s="157" t="s">
        <v>0</v>
      </c>
      <c r="D479" s="159">
        <v>1</v>
      </c>
      <c r="E479" s="159">
        <v>25.83</v>
      </c>
      <c r="F479" s="159">
        <v>25.83</v>
      </c>
      <c r="G479" s="160" t="s">
        <v>1160</v>
      </c>
      <c r="H479" s="34" t="s">
        <v>925</v>
      </c>
    </row>
    <row r="480" spans="1:8" ht="28.5">
      <c r="A480" s="160">
        <v>4</v>
      </c>
      <c r="B480" s="160" t="s">
        <v>931</v>
      </c>
      <c r="C480" s="157" t="s">
        <v>14</v>
      </c>
      <c r="D480" s="159">
        <v>1</v>
      </c>
      <c r="E480" s="159">
        <v>237.16</v>
      </c>
      <c r="F480" s="159">
        <v>237.16</v>
      </c>
      <c r="G480" s="160" t="s">
        <v>932</v>
      </c>
    </row>
    <row r="481" spans="1:8" ht="33">
      <c r="A481" s="160"/>
      <c r="B481" s="160" t="s">
        <v>933</v>
      </c>
      <c r="C481" s="157" t="s">
        <v>0</v>
      </c>
      <c r="D481" s="159">
        <v>1</v>
      </c>
      <c r="E481" s="159"/>
      <c r="F481" s="159">
        <v>8142.5300000000007</v>
      </c>
      <c r="G481" s="160"/>
      <c r="H481" s="34" t="s">
        <v>925</v>
      </c>
    </row>
    <row r="482" spans="1:8" ht="33">
      <c r="A482" s="160"/>
      <c r="B482" s="160" t="s">
        <v>934</v>
      </c>
      <c r="C482" s="157" t="s">
        <v>0</v>
      </c>
      <c r="D482" s="159"/>
      <c r="E482" s="159"/>
      <c r="F482" s="159">
        <v>8142.53</v>
      </c>
      <c r="G482" s="160"/>
      <c r="H482" s="34" t="s">
        <v>925</v>
      </c>
    </row>
    <row r="483" spans="1:8" ht="33">
      <c r="A483" s="160"/>
      <c r="B483" s="160"/>
      <c r="C483" s="157"/>
      <c r="D483" s="159"/>
      <c r="E483" s="159"/>
      <c r="F483" s="159"/>
      <c r="G483" s="160"/>
      <c r="H483" s="34" t="s">
        <v>925</v>
      </c>
    </row>
    <row r="484" spans="1:8" ht="42.75">
      <c r="A484" s="160" t="s">
        <v>1214</v>
      </c>
      <c r="B484" s="160" t="s">
        <v>4048</v>
      </c>
      <c r="C484" s="157" t="s">
        <v>0</v>
      </c>
      <c r="D484" s="159">
        <v>1</v>
      </c>
      <c r="E484" s="159">
        <v>8636.07</v>
      </c>
      <c r="F484" s="159"/>
      <c r="G484" s="160" t="s">
        <v>2581</v>
      </c>
      <c r="H484" s="34" t="s">
        <v>925</v>
      </c>
    </row>
    <row r="485" spans="1:8" ht="33">
      <c r="A485" s="160">
        <v>1</v>
      </c>
      <c r="B485" s="160" t="s">
        <v>1171</v>
      </c>
      <c r="C485" s="157" t="s">
        <v>0</v>
      </c>
      <c r="D485" s="159">
        <v>1</v>
      </c>
      <c r="E485" s="159">
        <v>7024.31</v>
      </c>
      <c r="F485" s="159">
        <v>7024.31</v>
      </c>
      <c r="G485" s="160" t="s">
        <v>1172</v>
      </c>
      <c r="H485" s="34" t="s">
        <v>925</v>
      </c>
    </row>
    <row r="486" spans="1:8" ht="33">
      <c r="A486" s="160">
        <v>2</v>
      </c>
      <c r="B486" s="160" t="s">
        <v>4898</v>
      </c>
      <c r="C486" s="157" t="s">
        <v>0</v>
      </c>
      <c r="D486" s="159">
        <v>1</v>
      </c>
      <c r="E486" s="159">
        <v>1334.39</v>
      </c>
      <c r="F486" s="159">
        <v>1334.39</v>
      </c>
      <c r="G486" s="160" t="s">
        <v>4899</v>
      </c>
      <c r="H486" s="34" t="s">
        <v>925</v>
      </c>
    </row>
    <row r="487" spans="1:8" ht="33">
      <c r="A487" s="160">
        <v>3</v>
      </c>
      <c r="B487" s="160" t="s">
        <v>1159</v>
      </c>
      <c r="C487" s="157" t="s">
        <v>0</v>
      </c>
      <c r="D487" s="159">
        <v>1</v>
      </c>
      <c r="E487" s="159">
        <v>25.83</v>
      </c>
      <c r="F487" s="159">
        <v>25.83</v>
      </c>
      <c r="G487" s="160" t="s">
        <v>1160</v>
      </c>
      <c r="H487" s="34" t="s">
        <v>925</v>
      </c>
    </row>
    <row r="488" spans="1:8" ht="33">
      <c r="A488" s="160">
        <v>4</v>
      </c>
      <c r="B488" s="160" t="s">
        <v>931</v>
      </c>
      <c r="C488" s="157" t="s">
        <v>14</v>
      </c>
      <c r="D488" s="159">
        <v>1</v>
      </c>
      <c r="E488" s="159">
        <v>251.54</v>
      </c>
      <c r="F488" s="159">
        <v>251.54</v>
      </c>
      <c r="G488" s="160" t="s">
        <v>932</v>
      </c>
      <c r="H488" s="34" t="s">
        <v>925</v>
      </c>
    </row>
    <row r="489" spans="1:8" ht="16.5">
      <c r="A489" s="160"/>
      <c r="B489" s="160" t="s">
        <v>933</v>
      </c>
      <c r="C489" s="157" t="s">
        <v>0</v>
      </c>
      <c r="D489" s="159">
        <v>1</v>
      </c>
      <c r="E489" s="159"/>
      <c r="F489" s="159">
        <v>8636.0700000000015</v>
      </c>
      <c r="G489" s="160"/>
    </row>
    <row r="490" spans="1:8" ht="33">
      <c r="A490" s="160"/>
      <c r="B490" s="160" t="s">
        <v>934</v>
      </c>
      <c r="C490" s="157" t="s">
        <v>0</v>
      </c>
      <c r="D490" s="159"/>
      <c r="E490" s="159"/>
      <c r="F490" s="159">
        <v>8636.07</v>
      </c>
      <c r="G490" s="160"/>
      <c r="H490" s="34" t="s">
        <v>925</v>
      </c>
    </row>
    <row r="491" spans="1:8" ht="33">
      <c r="A491" s="160"/>
      <c r="B491" s="160"/>
      <c r="C491" s="157"/>
      <c r="D491" s="159"/>
      <c r="E491" s="159"/>
      <c r="F491" s="159"/>
      <c r="G491" s="160"/>
      <c r="H491" s="34" t="s">
        <v>925</v>
      </c>
    </row>
    <row r="492" spans="1:8" ht="33">
      <c r="A492" s="160" t="s">
        <v>1230</v>
      </c>
      <c r="B492" s="160" t="s">
        <v>1174</v>
      </c>
      <c r="C492" s="157" t="s">
        <v>0</v>
      </c>
      <c r="D492" s="159">
        <v>1</v>
      </c>
      <c r="E492" s="159">
        <v>7468.45</v>
      </c>
      <c r="F492" s="159"/>
      <c r="G492" s="160" t="s">
        <v>1175</v>
      </c>
      <c r="H492" s="34" t="s">
        <v>925</v>
      </c>
    </row>
    <row r="493" spans="1:8" ht="42.75">
      <c r="A493" s="160">
        <v>1</v>
      </c>
      <c r="B493" s="160" t="s">
        <v>1176</v>
      </c>
      <c r="C493" s="157" t="s">
        <v>0</v>
      </c>
      <c r="D493" s="159">
        <v>1</v>
      </c>
      <c r="E493" s="159">
        <v>6855.41</v>
      </c>
      <c r="F493" s="159">
        <v>6855.41</v>
      </c>
      <c r="G493" s="160" t="s">
        <v>1177</v>
      </c>
      <c r="H493" s="34" t="s">
        <v>925</v>
      </c>
    </row>
    <row r="494" spans="1:8" ht="33">
      <c r="A494" s="160">
        <v>2</v>
      </c>
      <c r="B494" s="160" t="s">
        <v>1159</v>
      </c>
      <c r="C494" s="157" t="s">
        <v>0</v>
      </c>
      <c r="D494" s="159">
        <v>1</v>
      </c>
      <c r="E494" s="159">
        <v>25.83</v>
      </c>
      <c r="F494" s="159">
        <v>25.83</v>
      </c>
      <c r="G494" s="160" t="s">
        <v>1160</v>
      </c>
      <c r="H494" s="34" t="s">
        <v>925</v>
      </c>
    </row>
    <row r="495" spans="1:8" ht="33">
      <c r="A495" s="160">
        <v>3</v>
      </c>
      <c r="B495" s="160" t="s">
        <v>4896</v>
      </c>
      <c r="C495" s="157" t="s">
        <v>0</v>
      </c>
      <c r="D495" s="159">
        <v>1</v>
      </c>
      <c r="E495" s="159">
        <v>369.68</v>
      </c>
      <c r="F495" s="159">
        <v>369.68</v>
      </c>
      <c r="G495" s="160" t="s">
        <v>1158</v>
      </c>
      <c r="H495" s="34" t="s">
        <v>925</v>
      </c>
    </row>
    <row r="496" spans="1:8" ht="33">
      <c r="A496" s="160">
        <v>4</v>
      </c>
      <c r="B496" s="160" t="s">
        <v>931</v>
      </c>
      <c r="C496" s="157" t="s">
        <v>14</v>
      </c>
      <c r="D496" s="159">
        <v>1</v>
      </c>
      <c r="E496" s="159">
        <v>217.53</v>
      </c>
      <c r="F496" s="159">
        <v>217.53</v>
      </c>
      <c r="G496" s="160" t="s">
        <v>932</v>
      </c>
      <c r="H496" s="34" t="s">
        <v>925</v>
      </c>
    </row>
    <row r="497" spans="1:8" ht="33">
      <c r="A497" s="160"/>
      <c r="B497" s="160" t="s">
        <v>933</v>
      </c>
      <c r="C497" s="157" t="s">
        <v>0</v>
      </c>
      <c r="D497" s="159">
        <v>1</v>
      </c>
      <c r="E497" s="159"/>
      <c r="F497" s="159">
        <v>7468.45</v>
      </c>
      <c r="G497" s="160"/>
      <c r="H497" s="34" t="s">
        <v>925</v>
      </c>
    </row>
    <row r="498" spans="1:8" ht="33">
      <c r="A498" s="160"/>
      <c r="B498" s="160" t="s">
        <v>934</v>
      </c>
      <c r="C498" s="157" t="s">
        <v>0</v>
      </c>
      <c r="D498" s="159"/>
      <c r="E498" s="159"/>
      <c r="F498" s="159">
        <v>7468.45</v>
      </c>
      <c r="G498" s="160"/>
      <c r="H498" s="34" t="s">
        <v>925</v>
      </c>
    </row>
    <row r="499" spans="1:8" ht="33">
      <c r="A499" s="160"/>
      <c r="B499" s="160"/>
      <c r="C499" s="157"/>
      <c r="D499" s="159"/>
      <c r="E499" s="159"/>
      <c r="F499" s="159"/>
      <c r="G499" s="160"/>
      <c r="H499" s="34" t="s">
        <v>925</v>
      </c>
    </row>
    <row r="500" spans="1:8" ht="42.75">
      <c r="A500" s="160" t="s">
        <v>1235</v>
      </c>
      <c r="B500" s="160" t="s">
        <v>1179</v>
      </c>
      <c r="C500" s="157" t="s">
        <v>0</v>
      </c>
      <c r="D500" s="159">
        <v>1</v>
      </c>
      <c r="E500" s="159">
        <v>7968.56</v>
      </c>
      <c r="F500" s="159"/>
      <c r="G500" s="160" t="s">
        <v>1180</v>
      </c>
      <c r="H500" s="34" t="s">
        <v>925</v>
      </c>
    </row>
    <row r="501" spans="1:8" ht="42.75">
      <c r="A501" s="160">
        <v>1</v>
      </c>
      <c r="B501" s="160" t="s">
        <v>1176</v>
      </c>
      <c r="C501" s="157" t="s">
        <v>0</v>
      </c>
      <c r="D501" s="159">
        <v>1</v>
      </c>
      <c r="E501" s="159">
        <v>6855.41</v>
      </c>
      <c r="F501" s="159">
        <v>6855.41</v>
      </c>
      <c r="G501" s="160" t="s">
        <v>1177</v>
      </c>
      <c r="H501" s="34" t="s">
        <v>925</v>
      </c>
    </row>
    <row r="502" spans="1:8" ht="28.5">
      <c r="A502" s="160">
        <v>2</v>
      </c>
      <c r="B502" s="160" t="s">
        <v>1159</v>
      </c>
      <c r="C502" s="157" t="s">
        <v>0</v>
      </c>
      <c r="D502" s="159">
        <v>1</v>
      </c>
      <c r="E502" s="159">
        <v>25.83</v>
      </c>
      <c r="F502" s="159">
        <v>25.83</v>
      </c>
      <c r="G502" s="160" t="s">
        <v>1160</v>
      </c>
    </row>
    <row r="503" spans="1:8" ht="33">
      <c r="A503" s="160">
        <v>3</v>
      </c>
      <c r="B503" s="160" t="s">
        <v>4897</v>
      </c>
      <c r="C503" s="157" t="s">
        <v>0</v>
      </c>
      <c r="D503" s="159">
        <v>1</v>
      </c>
      <c r="E503" s="159">
        <v>855.23</v>
      </c>
      <c r="F503" s="159">
        <v>855.23</v>
      </c>
      <c r="G503" s="160" t="s">
        <v>1169</v>
      </c>
      <c r="H503" s="34" t="s">
        <v>925</v>
      </c>
    </row>
    <row r="504" spans="1:8" ht="33">
      <c r="A504" s="160">
        <v>4</v>
      </c>
      <c r="B504" s="160" t="s">
        <v>931</v>
      </c>
      <c r="C504" s="157" t="s">
        <v>14</v>
      </c>
      <c r="D504" s="159">
        <v>1</v>
      </c>
      <c r="E504" s="159">
        <v>232.09</v>
      </c>
      <c r="F504" s="159">
        <v>232.09</v>
      </c>
      <c r="G504" s="160" t="s">
        <v>932</v>
      </c>
      <c r="H504" s="34" t="s">
        <v>925</v>
      </c>
    </row>
    <row r="505" spans="1:8" ht="33">
      <c r="A505" s="160"/>
      <c r="B505" s="160" t="s">
        <v>933</v>
      </c>
      <c r="C505" s="157" t="s">
        <v>0</v>
      </c>
      <c r="D505" s="159">
        <v>1</v>
      </c>
      <c r="E505" s="159"/>
      <c r="F505" s="159">
        <v>7968.5599999999995</v>
      </c>
      <c r="G505" s="160"/>
      <c r="H505" s="34" t="s">
        <v>925</v>
      </c>
    </row>
    <row r="506" spans="1:8" ht="33">
      <c r="A506" s="160"/>
      <c r="B506" s="160" t="s">
        <v>934</v>
      </c>
      <c r="C506" s="157" t="s">
        <v>0</v>
      </c>
      <c r="D506" s="159"/>
      <c r="E506" s="159"/>
      <c r="F506" s="159">
        <v>7968.56</v>
      </c>
      <c r="G506" s="160"/>
      <c r="H506" s="34" t="s">
        <v>925</v>
      </c>
    </row>
    <row r="507" spans="1:8" ht="33">
      <c r="A507" s="160"/>
      <c r="B507" s="160"/>
      <c r="C507" s="157"/>
      <c r="D507" s="159"/>
      <c r="E507" s="159"/>
      <c r="F507" s="159"/>
      <c r="G507" s="160"/>
      <c r="H507" s="34" t="s">
        <v>925</v>
      </c>
    </row>
    <row r="508" spans="1:8" ht="42.75">
      <c r="A508" s="160" t="s">
        <v>1238</v>
      </c>
      <c r="B508" s="160" t="s">
        <v>4477</v>
      </c>
      <c r="C508" s="157" t="s">
        <v>0</v>
      </c>
      <c r="D508" s="159">
        <v>1</v>
      </c>
      <c r="E508" s="159">
        <v>8462.1</v>
      </c>
      <c r="F508" s="159"/>
      <c r="G508" s="160" t="s">
        <v>4900</v>
      </c>
      <c r="H508" s="34" t="s">
        <v>925</v>
      </c>
    </row>
    <row r="509" spans="1:8" ht="42.75">
      <c r="A509" s="160">
        <v>1</v>
      </c>
      <c r="B509" s="160" t="s">
        <v>1176</v>
      </c>
      <c r="C509" s="157" t="s">
        <v>0</v>
      </c>
      <c r="D509" s="159">
        <v>1</v>
      </c>
      <c r="E509" s="159">
        <v>6855.41</v>
      </c>
      <c r="F509" s="159">
        <v>6855.41</v>
      </c>
      <c r="G509" s="160" t="s">
        <v>1177</v>
      </c>
      <c r="H509" s="34" t="s">
        <v>925</v>
      </c>
    </row>
    <row r="510" spans="1:8" ht="33">
      <c r="A510" s="160">
        <v>2</v>
      </c>
      <c r="B510" s="160" t="s">
        <v>1159</v>
      </c>
      <c r="C510" s="157" t="s">
        <v>0</v>
      </c>
      <c r="D510" s="159">
        <v>1</v>
      </c>
      <c r="E510" s="159">
        <v>25.83</v>
      </c>
      <c r="F510" s="159">
        <v>25.83</v>
      </c>
      <c r="G510" s="160" t="s">
        <v>1160</v>
      </c>
      <c r="H510" s="34" t="s">
        <v>925</v>
      </c>
    </row>
    <row r="511" spans="1:8" ht="33">
      <c r="A511" s="160">
        <v>3</v>
      </c>
      <c r="B511" s="160" t="s">
        <v>4898</v>
      </c>
      <c r="C511" s="157" t="s">
        <v>0</v>
      </c>
      <c r="D511" s="159">
        <v>1</v>
      </c>
      <c r="E511" s="159">
        <v>1334.39</v>
      </c>
      <c r="F511" s="159">
        <v>1334.39</v>
      </c>
      <c r="G511" s="160" t="s">
        <v>4899</v>
      </c>
      <c r="H511" s="34" t="s">
        <v>925</v>
      </c>
    </row>
    <row r="512" spans="1:8" ht="33">
      <c r="A512" s="160">
        <v>4</v>
      </c>
      <c r="B512" s="160" t="s">
        <v>931</v>
      </c>
      <c r="C512" s="157" t="s">
        <v>14</v>
      </c>
      <c r="D512" s="159">
        <v>1</v>
      </c>
      <c r="E512" s="159">
        <v>246.47</v>
      </c>
      <c r="F512" s="159">
        <v>246.47</v>
      </c>
      <c r="G512" s="160" t="s">
        <v>932</v>
      </c>
      <c r="H512" s="34" t="s">
        <v>925</v>
      </c>
    </row>
    <row r="513" spans="1:8" ht="33">
      <c r="A513" s="160"/>
      <c r="B513" s="160" t="s">
        <v>933</v>
      </c>
      <c r="C513" s="157" t="s">
        <v>0</v>
      </c>
      <c r="D513" s="159">
        <v>1</v>
      </c>
      <c r="E513" s="159"/>
      <c r="F513" s="159">
        <v>8462.0999999999985</v>
      </c>
      <c r="G513" s="160"/>
      <c r="H513" s="34" t="s">
        <v>925</v>
      </c>
    </row>
    <row r="514" spans="1:8" ht="33">
      <c r="A514" s="160"/>
      <c r="B514" s="160" t="s">
        <v>934</v>
      </c>
      <c r="C514" s="157" t="s">
        <v>0</v>
      </c>
      <c r="D514" s="159"/>
      <c r="E514" s="159"/>
      <c r="F514" s="159">
        <v>8462.1</v>
      </c>
      <c r="G514" s="160"/>
      <c r="H514" s="34" t="s">
        <v>925</v>
      </c>
    </row>
    <row r="515" spans="1:8" ht="16.5">
      <c r="A515" s="160"/>
      <c r="B515" s="160"/>
      <c r="C515" s="157"/>
      <c r="D515" s="159"/>
      <c r="E515" s="159"/>
      <c r="F515" s="159"/>
      <c r="G515" s="160"/>
    </row>
    <row r="516" spans="1:8" ht="33">
      <c r="A516" s="160" t="s">
        <v>1241</v>
      </c>
      <c r="B516" s="160" t="s">
        <v>1182</v>
      </c>
      <c r="C516" s="157" t="s">
        <v>0</v>
      </c>
      <c r="D516" s="159">
        <v>1</v>
      </c>
      <c r="E516" s="159">
        <v>7980.12</v>
      </c>
      <c r="F516" s="159"/>
      <c r="G516" s="160" t="s">
        <v>1183</v>
      </c>
      <c r="H516" s="34" t="s">
        <v>925</v>
      </c>
    </row>
    <row r="517" spans="1:8" ht="33">
      <c r="A517" s="160">
        <v>1</v>
      </c>
      <c r="B517" s="160" t="s">
        <v>1184</v>
      </c>
      <c r="C517" s="157" t="s">
        <v>0</v>
      </c>
      <c r="D517" s="159">
        <v>1</v>
      </c>
      <c r="E517" s="159">
        <v>7352.18</v>
      </c>
      <c r="F517" s="159">
        <v>7352.18</v>
      </c>
      <c r="G517" s="160" t="s">
        <v>1185</v>
      </c>
      <c r="H517" s="34" t="s">
        <v>925</v>
      </c>
    </row>
    <row r="518" spans="1:8" ht="33">
      <c r="A518" s="160">
        <v>2</v>
      </c>
      <c r="B518" s="160" t="s">
        <v>4896</v>
      </c>
      <c r="C518" s="157" t="s">
        <v>0</v>
      </c>
      <c r="D518" s="159">
        <v>1</v>
      </c>
      <c r="E518" s="159">
        <v>369.68</v>
      </c>
      <c r="F518" s="159">
        <v>369.68</v>
      </c>
      <c r="G518" s="160" t="s">
        <v>1158</v>
      </c>
      <c r="H518" s="34" t="s">
        <v>925</v>
      </c>
    </row>
    <row r="519" spans="1:8" ht="33">
      <c r="A519" s="160">
        <v>3</v>
      </c>
      <c r="B519" s="160" t="s">
        <v>1159</v>
      </c>
      <c r="C519" s="157" t="s">
        <v>0</v>
      </c>
      <c r="D519" s="159">
        <v>1</v>
      </c>
      <c r="E519" s="159">
        <v>25.83</v>
      </c>
      <c r="F519" s="159">
        <v>25.83</v>
      </c>
      <c r="G519" s="160" t="s">
        <v>1160</v>
      </c>
      <c r="H519" s="34" t="s">
        <v>925</v>
      </c>
    </row>
    <row r="520" spans="1:8" ht="33">
      <c r="A520" s="160">
        <v>4</v>
      </c>
      <c r="B520" s="160" t="s">
        <v>931</v>
      </c>
      <c r="C520" s="157" t="s">
        <v>14</v>
      </c>
      <c r="D520" s="159">
        <v>1</v>
      </c>
      <c r="E520" s="159">
        <v>232.43</v>
      </c>
      <c r="F520" s="159">
        <v>232.43</v>
      </c>
      <c r="G520" s="160" t="s">
        <v>932</v>
      </c>
      <c r="H520" s="34" t="s">
        <v>925</v>
      </c>
    </row>
    <row r="521" spans="1:8" ht="33">
      <c r="A521" s="160"/>
      <c r="B521" s="160" t="s">
        <v>933</v>
      </c>
      <c r="C521" s="157" t="s">
        <v>0</v>
      </c>
      <c r="D521" s="159">
        <v>1</v>
      </c>
      <c r="E521" s="159"/>
      <c r="F521" s="159">
        <v>7980.1200000000008</v>
      </c>
      <c r="G521" s="160"/>
      <c r="H521" s="34" t="s">
        <v>925</v>
      </c>
    </row>
    <row r="522" spans="1:8" ht="33">
      <c r="A522" s="160"/>
      <c r="B522" s="160" t="s">
        <v>934</v>
      </c>
      <c r="C522" s="157" t="s">
        <v>0</v>
      </c>
      <c r="D522" s="159"/>
      <c r="E522" s="159"/>
      <c r="F522" s="159">
        <v>7980.12</v>
      </c>
      <c r="G522" s="160"/>
      <c r="H522" s="34" t="s">
        <v>925</v>
      </c>
    </row>
    <row r="523" spans="1:8" ht="33">
      <c r="A523" s="160"/>
      <c r="B523" s="160"/>
      <c r="C523" s="157"/>
      <c r="D523" s="159"/>
      <c r="E523" s="159"/>
      <c r="F523" s="159"/>
      <c r="G523" s="160"/>
      <c r="H523" s="34" t="s">
        <v>925</v>
      </c>
    </row>
    <row r="524" spans="1:8" ht="33">
      <c r="A524" s="160" t="s">
        <v>1249</v>
      </c>
      <c r="B524" s="160" t="s">
        <v>1187</v>
      </c>
      <c r="C524" s="157" t="s">
        <v>0</v>
      </c>
      <c r="D524" s="159">
        <v>1</v>
      </c>
      <c r="E524" s="159">
        <v>7079.58</v>
      </c>
      <c r="F524" s="159"/>
      <c r="G524" s="160" t="s">
        <v>1188</v>
      </c>
      <c r="H524" s="34" t="s">
        <v>925</v>
      </c>
    </row>
    <row r="525" spans="1:8" ht="33">
      <c r="A525" s="160">
        <v>1</v>
      </c>
      <c r="B525" s="160" t="s">
        <v>4896</v>
      </c>
      <c r="C525" s="157" t="s">
        <v>0</v>
      </c>
      <c r="D525" s="159">
        <v>1</v>
      </c>
      <c r="E525" s="159">
        <v>369.68</v>
      </c>
      <c r="F525" s="159">
        <v>369.68</v>
      </c>
      <c r="G525" s="160" t="s">
        <v>1158</v>
      </c>
      <c r="H525" s="34" t="s">
        <v>925</v>
      </c>
    </row>
    <row r="526" spans="1:8" ht="42.75">
      <c r="A526" s="160">
        <v>2</v>
      </c>
      <c r="B526" s="160" t="s">
        <v>1189</v>
      </c>
      <c r="C526" s="157" t="s">
        <v>0</v>
      </c>
      <c r="D526" s="159">
        <v>1</v>
      </c>
      <c r="E526" s="159">
        <v>6477.87</v>
      </c>
      <c r="F526" s="159">
        <v>6477.87</v>
      </c>
      <c r="G526" s="160" t="s">
        <v>1190</v>
      </c>
      <c r="H526" s="34" t="s">
        <v>925</v>
      </c>
    </row>
    <row r="527" spans="1:8" ht="33">
      <c r="A527" s="160">
        <v>3</v>
      </c>
      <c r="B527" s="160" t="s">
        <v>1159</v>
      </c>
      <c r="C527" s="157" t="s">
        <v>0</v>
      </c>
      <c r="D527" s="159">
        <v>1</v>
      </c>
      <c r="E527" s="159">
        <v>25.83</v>
      </c>
      <c r="F527" s="159">
        <v>25.83</v>
      </c>
      <c r="G527" s="160" t="s">
        <v>1160</v>
      </c>
      <c r="H527" s="34" t="s">
        <v>925</v>
      </c>
    </row>
    <row r="528" spans="1:8" ht="28.5">
      <c r="A528" s="160">
        <v>4</v>
      </c>
      <c r="B528" s="160" t="s">
        <v>931</v>
      </c>
      <c r="C528" s="157" t="s">
        <v>14</v>
      </c>
      <c r="D528" s="159">
        <v>1</v>
      </c>
      <c r="E528" s="159">
        <v>206.2</v>
      </c>
      <c r="F528" s="159">
        <v>206.2</v>
      </c>
      <c r="G528" s="160" t="s">
        <v>932</v>
      </c>
    </row>
    <row r="529" spans="1:8" ht="33">
      <c r="A529" s="160"/>
      <c r="B529" s="160" t="s">
        <v>933</v>
      </c>
      <c r="C529" s="157" t="s">
        <v>0</v>
      </c>
      <c r="D529" s="159">
        <v>1</v>
      </c>
      <c r="E529" s="159"/>
      <c r="F529" s="159">
        <v>7079.58</v>
      </c>
      <c r="G529" s="160"/>
      <c r="H529" s="34" t="s">
        <v>925</v>
      </c>
    </row>
    <row r="530" spans="1:8" ht="33">
      <c r="A530" s="160"/>
      <c r="B530" s="160" t="s">
        <v>934</v>
      </c>
      <c r="C530" s="157" t="s">
        <v>0</v>
      </c>
      <c r="D530" s="159"/>
      <c r="E530" s="159"/>
      <c r="F530" s="159">
        <v>7079.58</v>
      </c>
      <c r="G530" s="160"/>
      <c r="H530" s="34" t="s">
        <v>925</v>
      </c>
    </row>
    <row r="531" spans="1:8" ht="33">
      <c r="A531" s="160"/>
      <c r="B531" s="160"/>
      <c r="C531" s="157"/>
      <c r="D531" s="159"/>
      <c r="E531" s="159"/>
      <c r="F531" s="159"/>
      <c r="G531" s="160"/>
      <c r="H531" s="34" t="s">
        <v>925</v>
      </c>
    </row>
    <row r="532" spans="1:8" ht="42.75">
      <c r="A532" s="160" t="s">
        <v>1252</v>
      </c>
      <c r="B532" s="160" t="s">
        <v>1192</v>
      </c>
      <c r="C532" s="157" t="s">
        <v>0</v>
      </c>
      <c r="D532" s="159">
        <v>1</v>
      </c>
      <c r="E532" s="159">
        <v>7579.7</v>
      </c>
      <c r="F532" s="159"/>
      <c r="G532" s="160" t="s">
        <v>1193</v>
      </c>
      <c r="H532" s="34" t="s">
        <v>925</v>
      </c>
    </row>
    <row r="533" spans="1:8" ht="33">
      <c r="A533" s="160">
        <v>1</v>
      </c>
      <c r="B533" s="160" t="s">
        <v>4897</v>
      </c>
      <c r="C533" s="157" t="s">
        <v>0</v>
      </c>
      <c r="D533" s="159">
        <v>1</v>
      </c>
      <c r="E533" s="159">
        <v>855.23</v>
      </c>
      <c r="F533" s="159">
        <v>855.23</v>
      </c>
      <c r="G533" s="160" t="s">
        <v>1169</v>
      </c>
      <c r="H533" s="34" t="s">
        <v>925</v>
      </c>
    </row>
    <row r="534" spans="1:8" ht="42.75">
      <c r="A534" s="160">
        <v>2</v>
      </c>
      <c r="B534" s="160" t="s">
        <v>1189</v>
      </c>
      <c r="C534" s="157" t="s">
        <v>0</v>
      </c>
      <c r="D534" s="159">
        <v>1</v>
      </c>
      <c r="E534" s="159">
        <v>6477.87</v>
      </c>
      <c r="F534" s="159">
        <v>6477.87</v>
      </c>
      <c r="G534" s="160" t="s">
        <v>1190</v>
      </c>
      <c r="H534" s="34" t="s">
        <v>925</v>
      </c>
    </row>
    <row r="535" spans="1:8" ht="33">
      <c r="A535" s="160">
        <v>3</v>
      </c>
      <c r="B535" s="160" t="s">
        <v>1159</v>
      </c>
      <c r="C535" s="157" t="s">
        <v>0</v>
      </c>
      <c r="D535" s="159">
        <v>1</v>
      </c>
      <c r="E535" s="159">
        <v>25.83</v>
      </c>
      <c r="F535" s="159">
        <v>25.83</v>
      </c>
      <c r="G535" s="160" t="s">
        <v>1160</v>
      </c>
      <c r="H535" s="34" t="s">
        <v>925</v>
      </c>
    </row>
    <row r="536" spans="1:8" ht="33">
      <c r="A536" s="160">
        <v>4</v>
      </c>
      <c r="B536" s="160" t="s">
        <v>931</v>
      </c>
      <c r="C536" s="157" t="s">
        <v>14</v>
      </c>
      <c r="D536" s="159">
        <v>1</v>
      </c>
      <c r="E536" s="159">
        <v>220.77</v>
      </c>
      <c r="F536" s="159">
        <v>220.77</v>
      </c>
      <c r="G536" s="160" t="s">
        <v>932</v>
      </c>
      <c r="H536" s="34" t="s">
        <v>925</v>
      </c>
    </row>
    <row r="537" spans="1:8" ht="33">
      <c r="A537" s="160"/>
      <c r="B537" s="160" t="s">
        <v>933</v>
      </c>
      <c r="C537" s="157" t="s">
        <v>0</v>
      </c>
      <c r="D537" s="159">
        <v>1</v>
      </c>
      <c r="E537" s="159"/>
      <c r="F537" s="159">
        <v>7579.7000000000007</v>
      </c>
      <c r="G537" s="160"/>
      <c r="H537" s="34" t="s">
        <v>925</v>
      </c>
    </row>
    <row r="538" spans="1:8" ht="33">
      <c r="A538" s="160"/>
      <c r="B538" s="160" t="s">
        <v>934</v>
      </c>
      <c r="C538" s="157" t="s">
        <v>0</v>
      </c>
      <c r="D538" s="159"/>
      <c r="E538" s="159"/>
      <c r="F538" s="159">
        <v>7579.7</v>
      </c>
      <c r="G538" s="160"/>
      <c r="H538" s="34" t="s">
        <v>925</v>
      </c>
    </row>
    <row r="539" spans="1:8" ht="33">
      <c r="A539" s="160"/>
      <c r="B539" s="160"/>
      <c r="C539" s="157"/>
      <c r="D539" s="159"/>
      <c r="E539" s="159"/>
      <c r="F539" s="159"/>
      <c r="G539" s="160"/>
      <c r="H539" s="34" t="s">
        <v>925</v>
      </c>
    </row>
    <row r="540" spans="1:8" ht="42.75">
      <c r="A540" s="160" t="s">
        <v>1257</v>
      </c>
      <c r="B540" s="160" t="s">
        <v>4482</v>
      </c>
      <c r="C540" s="157" t="s">
        <v>0</v>
      </c>
      <c r="D540" s="159">
        <v>1</v>
      </c>
      <c r="E540" s="159">
        <v>8073.23</v>
      </c>
      <c r="F540" s="159"/>
      <c r="G540" s="160" t="s">
        <v>4901</v>
      </c>
      <c r="H540" s="34" t="s">
        <v>925</v>
      </c>
    </row>
    <row r="541" spans="1:8" ht="28.5">
      <c r="A541" s="160">
        <v>1</v>
      </c>
      <c r="B541" s="160" t="s">
        <v>4898</v>
      </c>
      <c r="C541" s="157" t="s">
        <v>0</v>
      </c>
      <c r="D541" s="159">
        <v>1</v>
      </c>
      <c r="E541" s="159">
        <v>1334.39</v>
      </c>
      <c r="F541" s="159">
        <v>1334.39</v>
      </c>
      <c r="G541" s="160" t="s">
        <v>4899</v>
      </c>
    </row>
    <row r="542" spans="1:8" ht="42.75">
      <c r="A542" s="160">
        <v>2</v>
      </c>
      <c r="B542" s="160" t="s">
        <v>1189</v>
      </c>
      <c r="C542" s="157" t="s">
        <v>0</v>
      </c>
      <c r="D542" s="159">
        <v>1</v>
      </c>
      <c r="E542" s="159">
        <v>6477.87</v>
      </c>
      <c r="F542" s="159">
        <v>6477.87</v>
      </c>
      <c r="G542" s="160" t="s">
        <v>1190</v>
      </c>
      <c r="H542" s="34" t="s">
        <v>925</v>
      </c>
    </row>
    <row r="543" spans="1:8" ht="33">
      <c r="A543" s="160">
        <v>3</v>
      </c>
      <c r="B543" s="160" t="s">
        <v>1159</v>
      </c>
      <c r="C543" s="157" t="s">
        <v>0</v>
      </c>
      <c r="D543" s="159">
        <v>1</v>
      </c>
      <c r="E543" s="159">
        <v>25.83</v>
      </c>
      <c r="F543" s="159">
        <v>25.83</v>
      </c>
      <c r="G543" s="160" t="s">
        <v>1160</v>
      </c>
      <c r="H543" s="34" t="s">
        <v>925</v>
      </c>
    </row>
    <row r="544" spans="1:8" ht="33">
      <c r="A544" s="160">
        <v>4</v>
      </c>
      <c r="B544" s="160" t="s">
        <v>931</v>
      </c>
      <c r="C544" s="157" t="s">
        <v>14</v>
      </c>
      <c r="D544" s="159">
        <v>1</v>
      </c>
      <c r="E544" s="159">
        <v>235.14</v>
      </c>
      <c r="F544" s="159">
        <v>235.14</v>
      </c>
      <c r="G544" s="160" t="s">
        <v>932</v>
      </c>
      <c r="H544" s="34" t="s">
        <v>925</v>
      </c>
    </row>
    <row r="545" spans="1:8" ht="33">
      <c r="A545" s="160"/>
      <c r="B545" s="160" t="s">
        <v>933</v>
      </c>
      <c r="C545" s="157" t="s">
        <v>0</v>
      </c>
      <c r="D545" s="159">
        <v>1</v>
      </c>
      <c r="E545" s="159"/>
      <c r="F545" s="159">
        <v>8073.2300000000005</v>
      </c>
      <c r="G545" s="160"/>
      <c r="H545" s="34" t="s">
        <v>925</v>
      </c>
    </row>
    <row r="546" spans="1:8" ht="33">
      <c r="A546" s="160"/>
      <c r="B546" s="160" t="s">
        <v>934</v>
      </c>
      <c r="C546" s="157" t="s">
        <v>0</v>
      </c>
      <c r="D546" s="159"/>
      <c r="E546" s="159"/>
      <c r="F546" s="159">
        <v>8073.23</v>
      </c>
      <c r="G546" s="160"/>
      <c r="H546" s="34" t="s">
        <v>925</v>
      </c>
    </row>
    <row r="547" spans="1:8" ht="33">
      <c r="A547" s="160"/>
      <c r="B547" s="160"/>
      <c r="C547" s="157"/>
      <c r="D547" s="159"/>
      <c r="E547" s="159"/>
      <c r="F547" s="159"/>
      <c r="G547" s="160"/>
      <c r="H547" s="34" t="s">
        <v>925</v>
      </c>
    </row>
    <row r="548" spans="1:8" ht="33">
      <c r="A548" s="160" t="s">
        <v>1269</v>
      </c>
      <c r="B548" s="160" t="s">
        <v>1195</v>
      </c>
      <c r="C548" s="157" t="s">
        <v>0</v>
      </c>
      <c r="D548" s="159">
        <v>1</v>
      </c>
      <c r="E548" s="159">
        <v>6711.18</v>
      </c>
      <c r="F548" s="159"/>
      <c r="G548" s="160" t="s">
        <v>1196</v>
      </c>
      <c r="H548" s="34" t="s">
        <v>925</v>
      </c>
    </row>
    <row r="549" spans="1:8" ht="33">
      <c r="A549" s="160">
        <v>1</v>
      </c>
      <c r="B549" s="160" t="s">
        <v>4896</v>
      </c>
      <c r="C549" s="157" t="s">
        <v>0</v>
      </c>
      <c r="D549" s="159">
        <v>1</v>
      </c>
      <c r="E549" s="159">
        <v>369.68</v>
      </c>
      <c r="F549" s="159">
        <v>369.68</v>
      </c>
      <c r="G549" s="160" t="s">
        <v>1158</v>
      </c>
      <c r="H549" s="34" t="s">
        <v>925</v>
      </c>
    </row>
    <row r="550" spans="1:8" ht="42.75">
      <c r="A550" s="160">
        <v>2</v>
      </c>
      <c r="B550" s="160" t="s">
        <v>1197</v>
      </c>
      <c r="C550" s="157" t="s">
        <v>0</v>
      </c>
      <c r="D550" s="159">
        <v>1</v>
      </c>
      <c r="E550" s="159">
        <v>6120.2</v>
      </c>
      <c r="F550" s="159">
        <v>6120.2</v>
      </c>
      <c r="G550" s="160" t="s">
        <v>1198</v>
      </c>
      <c r="H550" s="34" t="s">
        <v>925</v>
      </c>
    </row>
    <row r="551" spans="1:8" ht="28.5">
      <c r="A551" s="160">
        <v>3</v>
      </c>
      <c r="B551" s="160" t="s">
        <v>1159</v>
      </c>
      <c r="C551" s="157" t="s">
        <v>0</v>
      </c>
      <c r="D551" s="159">
        <v>1</v>
      </c>
      <c r="E551" s="159">
        <v>25.83</v>
      </c>
      <c r="F551" s="159">
        <v>25.83</v>
      </c>
      <c r="G551" s="160" t="s">
        <v>1160</v>
      </c>
    </row>
    <row r="552" spans="1:8" ht="33">
      <c r="A552" s="160">
        <v>4</v>
      </c>
      <c r="B552" s="160" t="s">
        <v>931</v>
      </c>
      <c r="C552" s="157" t="s">
        <v>14</v>
      </c>
      <c r="D552" s="159">
        <v>1</v>
      </c>
      <c r="E552" s="159">
        <v>195.47</v>
      </c>
      <c r="F552" s="159">
        <v>195.47</v>
      </c>
      <c r="G552" s="160" t="s">
        <v>932</v>
      </c>
      <c r="H552" s="34" t="s">
        <v>925</v>
      </c>
    </row>
    <row r="553" spans="1:8" ht="33">
      <c r="A553" s="160"/>
      <c r="B553" s="160" t="s">
        <v>933</v>
      </c>
      <c r="C553" s="157" t="s">
        <v>0</v>
      </c>
      <c r="D553" s="159">
        <v>1</v>
      </c>
      <c r="E553" s="159"/>
      <c r="F553" s="159">
        <v>6711.18</v>
      </c>
      <c r="G553" s="160"/>
      <c r="H553" s="34" t="s">
        <v>925</v>
      </c>
    </row>
    <row r="554" spans="1:8" ht="33">
      <c r="A554" s="160"/>
      <c r="B554" s="160" t="s">
        <v>934</v>
      </c>
      <c r="C554" s="157" t="s">
        <v>0</v>
      </c>
      <c r="D554" s="159"/>
      <c r="E554" s="159"/>
      <c r="F554" s="159">
        <v>6711.18</v>
      </c>
      <c r="G554" s="160"/>
      <c r="H554" s="34" t="s">
        <v>925</v>
      </c>
    </row>
    <row r="555" spans="1:8" ht="33">
      <c r="A555" s="160"/>
      <c r="B555" s="160"/>
      <c r="C555" s="157"/>
      <c r="D555" s="159"/>
      <c r="E555" s="159"/>
      <c r="F555" s="159"/>
      <c r="G555" s="160"/>
      <c r="H555" s="34" t="s">
        <v>925</v>
      </c>
    </row>
    <row r="556" spans="1:8" ht="42.75">
      <c r="A556" s="160" t="s">
        <v>1274</v>
      </c>
      <c r="B556" s="160" t="s">
        <v>1200</v>
      </c>
      <c r="C556" s="157" t="s">
        <v>0</v>
      </c>
      <c r="D556" s="159">
        <v>1</v>
      </c>
      <c r="E556" s="159">
        <v>7211.3</v>
      </c>
      <c r="F556" s="159"/>
      <c r="G556" s="160" t="s">
        <v>1201</v>
      </c>
      <c r="H556" s="34" t="s">
        <v>925</v>
      </c>
    </row>
    <row r="557" spans="1:8" ht="33">
      <c r="A557" s="160">
        <v>1</v>
      </c>
      <c r="B557" s="160" t="s">
        <v>4897</v>
      </c>
      <c r="C557" s="157" t="s">
        <v>0</v>
      </c>
      <c r="D557" s="159">
        <v>1</v>
      </c>
      <c r="E557" s="159">
        <v>855.23</v>
      </c>
      <c r="F557" s="159">
        <v>855.23</v>
      </c>
      <c r="G557" s="160" t="s">
        <v>1169</v>
      </c>
      <c r="H557" s="34" t="s">
        <v>925</v>
      </c>
    </row>
    <row r="558" spans="1:8" ht="42.75">
      <c r="A558" s="160">
        <v>2</v>
      </c>
      <c r="B558" s="160" t="s">
        <v>1197</v>
      </c>
      <c r="C558" s="157" t="s">
        <v>0</v>
      </c>
      <c r="D558" s="159">
        <v>1</v>
      </c>
      <c r="E558" s="159">
        <v>6120.2</v>
      </c>
      <c r="F558" s="159">
        <v>6120.2</v>
      </c>
      <c r="G558" s="160" t="s">
        <v>1198</v>
      </c>
      <c r="H558" s="34" t="s">
        <v>925</v>
      </c>
    </row>
    <row r="559" spans="1:8" ht="33">
      <c r="A559" s="160">
        <v>3</v>
      </c>
      <c r="B559" s="160" t="s">
        <v>1159</v>
      </c>
      <c r="C559" s="157" t="s">
        <v>0</v>
      </c>
      <c r="D559" s="159">
        <v>1</v>
      </c>
      <c r="E559" s="159">
        <v>25.83</v>
      </c>
      <c r="F559" s="159">
        <v>25.83</v>
      </c>
      <c r="G559" s="160" t="s">
        <v>1160</v>
      </c>
      <c r="H559" s="34" t="s">
        <v>925</v>
      </c>
    </row>
    <row r="560" spans="1:8" ht="33">
      <c r="A560" s="160">
        <v>4</v>
      </c>
      <c r="B560" s="160" t="s">
        <v>931</v>
      </c>
      <c r="C560" s="157" t="s">
        <v>14</v>
      </c>
      <c r="D560" s="159">
        <v>1</v>
      </c>
      <c r="E560" s="159">
        <v>210.04</v>
      </c>
      <c r="F560" s="159">
        <v>210.04</v>
      </c>
      <c r="G560" s="160" t="s">
        <v>932</v>
      </c>
      <c r="H560" s="34" t="s">
        <v>925</v>
      </c>
    </row>
    <row r="561" spans="1:8" ht="16.5">
      <c r="A561" s="160"/>
      <c r="B561" s="160" t="s">
        <v>933</v>
      </c>
      <c r="C561" s="157" t="s">
        <v>0</v>
      </c>
      <c r="D561" s="159">
        <v>1</v>
      </c>
      <c r="E561" s="159"/>
      <c r="F561" s="159">
        <v>7211.3</v>
      </c>
      <c r="G561" s="160"/>
    </row>
    <row r="562" spans="1:8" ht="33">
      <c r="A562" s="160"/>
      <c r="B562" s="160" t="s">
        <v>934</v>
      </c>
      <c r="C562" s="157" t="s">
        <v>0</v>
      </c>
      <c r="D562" s="159"/>
      <c r="E562" s="159"/>
      <c r="F562" s="159">
        <v>7211.3</v>
      </c>
      <c r="G562" s="160"/>
      <c r="H562" s="34" t="s">
        <v>925</v>
      </c>
    </row>
    <row r="563" spans="1:8" ht="33">
      <c r="A563" s="160"/>
      <c r="B563" s="160"/>
      <c r="C563" s="157"/>
      <c r="D563" s="159"/>
      <c r="E563" s="159"/>
      <c r="F563" s="159"/>
      <c r="G563" s="160"/>
      <c r="H563" s="34" t="s">
        <v>925</v>
      </c>
    </row>
    <row r="564" spans="1:8" ht="42.75">
      <c r="A564" s="160" t="s">
        <v>1279</v>
      </c>
      <c r="B564" s="160" t="s">
        <v>4486</v>
      </c>
      <c r="C564" s="157" t="s">
        <v>0</v>
      </c>
      <c r="D564" s="159">
        <v>1</v>
      </c>
      <c r="E564" s="159">
        <v>7704.83</v>
      </c>
      <c r="F564" s="159"/>
      <c r="G564" s="160" t="s">
        <v>4902</v>
      </c>
      <c r="H564" s="34" t="s">
        <v>925</v>
      </c>
    </row>
    <row r="565" spans="1:8" ht="33">
      <c r="A565" s="160">
        <v>1</v>
      </c>
      <c r="B565" s="160" t="s">
        <v>4898</v>
      </c>
      <c r="C565" s="157" t="s">
        <v>0</v>
      </c>
      <c r="D565" s="159">
        <v>1</v>
      </c>
      <c r="E565" s="159">
        <v>1334.39</v>
      </c>
      <c r="F565" s="159">
        <v>1334.39</v>
      </c>
      <c r="G565" s="160" t="s">
        <v>4899</v>
      </c>
      <c r="H565" s="34" t="s">
        <v>925</v>
      </c>
    </row>
    <row r="566" spans="1:8" ht="42.75">
      <c r="A566" s="160">
        <v>2</v>
      </c>
      <c r="B566" s="160" t="s">
        <v>1197</v>
      </c>
      <c r="C566" s="157" t="s">
        <v>0</v>
      </c>
      <c r="D566" s="159">
        <v>1</v>
      </c>
      <c r="E566" s="159">
        <v>6120.2</v>
      </c>
      <c r="F566" s="159">
        <v>6120.2</v>
      </c>
      <c r="G566" s="160" t="s">
        <v>1198</v>
      </c>
      <c r="H566" s="34" t="s">
        <v>925</v>
      </c>
    </row>
    <row r="567" spans="1:8" ht="33">
      <c r="A567" s="160">
        <v>3</v>
      </c>
      <c r="B567" s="160" t="s">
        <v>1159</v>
      </c>
      <c r="C567" s="157" t="s">
        <v>0</v>
      </c>
      <c r="D567" s="159">
        <v>1</v>
      </c>
      <c r="E567" s="159">
        <v>25.83</v>
      </c>
      <c r="F567" s="159">
        <v>25.83</v>
      </c>
      <c r="G567" s="160" t="s">
        <v>1160</v>
      </c>
      <c r="H567" s="34" t="s">
        <v>925</v>
      </c>
    </row>
    <row r="568" spans="1:8" ht="33">
      <c r="A568" s="160">
        <v>4</v>
      </c>
      <c r="B568" s="160" t="s">
        <v>931</v>
      </c>
      <c r="C568" s="157" t="s">
        <v>14</v>
      </c>
      <c r="D568" s="159">
        <v>1</v>
      </c>
      <c r="E568" s="159">
        <v>224.41</v>
      </c>
      <c r="F568" s="159">
        <v>224.41</v>
      </c>
      <c r="G568" s="160" t="s">
        <v>932</v>
      </c>
      <c r="H568" s="34" t="s">
        <v>925</v>
      </c>
    </row>
    <row r="569" spans="1:8" ht="33">
      <c r="A569" s="160"/>
      <c r="B569" s="160" t="s">
        <v>933</v>
      </c>
      <c r="C569" s="157" t="s">
        <v>0</v>
      </c>
      <c r="D569" s="159">
        <v>1</v>
      </c>
      <c r="E569" s="159"/>
      <c r="F569" s="159">
        <v>7704.83</v>
      </c>
      <c r="G569" s="160"/>
      <c r="H569" s="34" t="s">
        <v>925</v>
      </c>
    </row>
    <row r="570" spans="1:8" ht="33">
      <c r="A570" s="160"/>
      <c r="B570" s="160" t="s">
        <v>934</v>
      </c>
      <c r="C570" s="157" t="s">
        <v>0</v>
      </c>
      <c r="D570" s="159"/>
      <c r="E570" s="159"/>
      <c r="F570" s="159">
        <v>7704.83</v>
      </c>
      <c r="G570" s="160"/>
      <c r="H570" s="34" t="s">
        <v>925</v>
      </c>
    </row>
    <row r="571" spans="1:8" ht="33">
      <c r="A571" s="160"/>
      <c r="B571" s="160"/>
      <c r="C571" s="157"/>
      <c r="D571" s="159"/>
      <c r="E571" s="159"/>
      <c r="F571" s="159"/>
      <c r="G571" s="160"/>
      <c r="H571" s="34" t="s">
        <v>925</v>
      </c>
    </row>
    <row r="572" spans="1:8" ht="28.5">
      <c r="A572" s="160" t="s">
        <v>1284</v>
      </c>
      <c r="B572" s="160" t="s">
        <v>1203</v>
      </c>
      <c r="C572" s="157" t="s">
        <v>0</v>
      </c>
      <c r="D572" s="159">
        <v>1</v>
      </c>
      <c r="E572" s="159">
        <v>57072.22</v>
      </c>
      <c r="F572" s="159"/>
      <c r="G572" s="160" t="s">
        <v>1204</v>
      </c>
    </row>
    <row r="573" spans="1:8" ht="33">
      <c r="A573" s="160">
        <v>1</v>
      </c>
      <c r="B573" s="160" t="s">
        <v>1205</v>
      </c>
      <c r="C573" s="157" t="s">
        <v>1206</v>
      </c>
      <c r="D573" s="159">
        <v>575</v>
      </c>
      <c r="E573" s="159">
        <v>89.42</v>
      </c>
      <c r="F573" s="159">
        <v>51416.5</v>
      </c>
      <c r="G573" s="160" t="s">
        <v>1207</v>
      </c>
      <c r="H573" s="34" t="s">
        <v>925</v>
      </c>
    </row>
    <row r="574" spans="1:8" ht="33">
      <c r="A574" s="160">
        <v>2</v>
      </c>
      <c r="B574" s="160" t="s">
        <v>1208</v>
      </c>
      <c r="C574" s="157" t="s">
        <v>0</v>
      </c>
      <c r="D574" s="159">
        <v>0.42</v>
      </c>
      <c r="E574" s="159">
        <v>566.32000000000005</v>
      </c>
      <c r="F574" s="159">
        <v>237.85</v>
      </c>
      <c r="G574" s="160" t="s">
        <v>1209</v>
      </c>
      <c r="H574" s="34" t="s">
        <v>925</v>
      </c>
    </row>
    <row r="575" spans="1:8" ht="33">
      <c r="A575" s="160">
        <v>3</v>
      </c>
      <c r="B575" s="160" t="s">
        <v>1210</v>
      </c>
      <c r="C575" s="157" t="s">
        <v>927</v>
      </c>
      <c r="D575" s="159">
        <v>8</v>
      </c>
      <c r="E575" s="159">
        <v>407.35</v>
      </c>
      <c r="F575" s="159">
        <v>3258.8</v>
      </c>
      <c r="G575" s="160" t="s">
        <v>1211</v>
      </c>
      <c r="H575" s="34" t="s">
        <v>925</v>
      </c>
    </row>
    <row r="576" spans="1:8" ht="33">
      <c r="A576" s="160">
        <v>4</v>
      </c>
      <c r="B576" s="160" t="s">
        <v>1212</v>
      </c>
      <c r="C576" s="157" t="s">
        <v>14</v>
      </c>
      <c r="D576" s="159">
        <v>1</v>
      </c>
      <c r="E576" s="159">
        <v>496.77</v>
      </c>
      <c r="F576" s="159">
        <v>496.77</v>
      </c>
      <c r="G576" s="160" t="s">
        <v>1213</v>
      </c>
      <c r="H576" s="34" t="s">
        <v>925</v>
      </c>
    </row>
    <row r="577" spans="1:8" ht="33">
      <c r="A577" s="160">
        <v>5</v>
      </c>
      <c r="B577" s="160" t="s">
        <v>931</v>
      </c>
      <c r="C577" s="157" t="s">
        <v>14</v>
      </c>
      <c r="D577" s="159">
        <v>1</v>
      </c>
      <c r="E577" s="159">
        <v>1662.3</v>
      </c>
      <c r="F577" s="159">
        <v>1662.3</v>
      </c>
      <c r="G577" s="160" t="s">
        <v>932</v>
      </c>
      <c r="H577" s="34" t="s">
        <v>925</v>
      </c>
    </row>
    <row r="578" spans="1:8" ht="33">
      <c r="A578" s="160"/>
      <c r="B578" s="160" t="s">
        <v>933</v>
      </c>
      <c r="C578" s="157" t="s">
        <v>0</v>
      </c>
      <c r="D578" s="159">
        <v>1</v>
      </c>
      <c r="E578" s="159"/>
      <c r="F578" s="159">
        <v>57072.22</v>
      </c>
      <c r="G578" s="160"/>
      <c r="H578" s="34" t="s">
        <v>925</v>
      </c>
    </row>
    <row r="579" spans="1:8" ht="33">
      <c r="A579" s="160"/>
      <c r="B579" s="160" t="s">
        <v>934</v>
      </c>
      <c r="C579" s="157" t="s">
        <v>0</v>
      </c>
      <c r="D579" s="159"/>
      <c r="E579" s="159"/>
      <c r="F579" s="159">
        <v>57072.22</v>
      </c>
      <c r="G579" s="160"/>
      <c r="H579" s="34" t="s">
        <v>925</v>
      </c>
    </row>
    <row r="580" spans="1:8" ht="33">
      <c r="A580" s="160"/>
      <c r="B580" s="160"/>
      <c r="C580" s="157"/>
      <c r="D580" s="159"/>
      <c r="E580" s="159"/>
      <c r="F580" s="159"/>
      <c r="G580" s="160"/>
      <c r="H580" s="34" t="s">
        <v>925</v>
      </c>
    </row>
    <row r="581" spans="1:8" ht="33">
      <c r="A581" s="160" t="s">
        <v>1286</v>
      </c>
      <c r="B581" s="160" t="s">
        <v>1215</v>
      </c>
      <c r="C581" s="157" t="s">
        <v>3</v>
      </c>
      <c r="D581" s="159">
        <v>200</v>
      </c>
      <c r="E581" s="159">
        <v>25.42</v>
      </c>
      <c r="F581" s="159"/>
      <c r="G581" s="160" t="s">
        <v>1216</v>
      </c>
      <c r="H581" s="34" t="s">
        <v>925</v>
      </c>
    </row>
    <row r="582" spans="1:8" ht="33">
      <c r="A582" s="160">
        <v>1</v>
      </c>
      <c r="B582" s="160" t="s">
        <v>1217</v>
      </c>
      <c r="C582" s="157" t="s">
        <v>927</v>
      </c>
      <c r="D582" s="159">
        <v>1</v>
      </c>
      <c r="E582" s="159">
        <v>1013.41</v>
      </c>
      <c r="F582" s="159">
        <v>1013.41</v>
      </c>
      <c r="G582" s="160" t="s">
        <v>1218</v>
      </c>
      <c r="H582" s="34" t="s">
        <v>925</v>
      </c>
    </row>
    <row r="583" spans="1:8" ht="28.5">
      <c r="A583" s="160">
        <v>2</v>
      </c>
      <c r="B583" s="160" t="s">
        <v>1219</v>
      </c>
      <c r="C583" s="157" t="s">
        <v>1220</v>
      </c>
      <c r="D583" s="159">
        <v>6</v>
      </c>
      <c r="E583" s="159">
        <v>119.22</v>
      </c>
      <c r="F583" s="159">
        <v>715.32</v>
      </c>
      <c r="G583" s="160" t="s">
        <v>1221</v>
      </c>
    </row>
    <row r="584" spans="1:8" ht="33">
      <c r="A584" s="160">
        <v>3</v>
      </c>
      <c r="B584" s="160" t="s">
        <v>1222</v>
      </c>
      <c r="C584" s="157" t="s">
        <v>927</v>
      </c>
      <c r="D584" s="159">
        <v>1</v>
      </c>
      <c r="E584" s="159">
        <v>645.79999999999995</v>
      </c>
      <c r="F584" s="159">
        <v>645.79999999999995</v>
      </c>
      <c r="G584" s="160" t="s">
        <v>1223</v>
      </c>
      <c r="H584" s="34" t="s">
        <v>925</v>
      </c>
    </row>
    <row r="585" spans="1:8" ht="42.75">
      <c r="A585" s="160">
        <v>4</v>
      </c>
      <c r="B585" s="160" t="s">
        <v>4891</v>
      </c>
      <c r="C585" s="157" t="s">
        <v>927</v>
      </c>
      <c r="D585" s="159">
        <v>1</v>
      </c>
      <c r="E585" s="159">
        <v>398.41</v>
      </c>
      <c r="F585" s="159">
        <v>398.41</v>
      </c>
      <c r="G585" s="160" t="s">
        <v>4892</v>
      </c>
      <c r="H585" s="34" t="s">
        <v>925</v>
      </c>
    </row>
    <row r="586" spans="1:8" ht="33">
      <c r="A586" s="160">
        <v>5</v>
      </c>
      <c r="B586" s="160" t="s">
        <v>1224</v>
      </c>
      <c r="C586" s="157" t="s">
        <v>927</v>
      </c>
      <c r="D586" s="159">
        <v>1</v>
      </c>
      <c r="E586" s="159">
        <v>536.51</v>
      </c>
      <c r="F586" s="159">
        <v>536.51</v>
      </c>
      <c r="G586" s="160" t="s">
        <v>1225</v>
      </c>
      <c r="H586" s="34" t="s">
        <v>925</v>
      </c>
    </row>
    <row r="587" spans="1:8" ht="33">
      <c r="A587" s="160">
        <v>6</v>
      </c>
      <c r="B587" s="160" t="s">
        <v>1226</v>
      </c>
      <c r="C587" s="157" t="s">
        <v>927</v>
      </c>
      <c r="D587" s="159">
        <v>1</v>
      </c>
      <c r="E587" s="159">
        <v>398.41</v>
      </c>
      <c r="F587" s="159">
        <v>398.41</v>
      </c>
      <c r="G587" s="160" t="s">
        <v>1227</v>
      </c>
      <c r="H587" s="34" t="s">
        <v>925</v>
      </c>
    </row>
    <row r="588" spans="1:8" ht="33">
      <c r="A588" s="160">
        <v>7</v>
      </c>
      <c r="B588" s="160" t="s">
        <v>4871</v>
      </c>
      <c r="C588" s="157" t="s">
        <v>927</v>
      </c>
      <c r="D588" s="159">
        <v>2.2000000000000002</v>
      </c>
      <c r="E588" s="159">
        <v>279.18</v>
      </c>
      <c r="F588" s="159">
        <v>614.20000000000005</v>
      </c>
      <c r="G588" s="160" t="s">
        <v>4872</v>
      </c>
      <c r="H588" s="34" t="s">
        <v>925</v>
      </c>
    </row>
    <row r="589" spans="1:8" ht="33">
      <c r="A589" s="160">
        <v>8</v>
      </c>
      <c r="B589" s="160" t="s">
        <v>1228</v>
      </c>
      <c r="C589" s="157" t="s">
        <v>927</v>
      </c>
      <c r="D589" s="159">
        <v>2.2000000000000002</v>
      </c>
      <c r="E589" s="159">
        <v>279.18</v>
      </c>
      <c r="F589" s="159">
        <v>614.20000000000005</v>
      </c>
      <c r="G589" s="160" t="s">
        <v>1229</v>
      </c>
      <c r="H589" s="34" t="s">
        <v>925</v>
      </c>
    </row>
    <row r="590" spans="1:8" ht="33">
      <c r="A590" s="160">
        <v>9</v>
      </c>
      <c r="B590" s="160" t="s">
        <v>931</v>
      </c>
      <c r="C590" s="157" t="s">
        <v>14</v>
      </c>
      <c r="D590" s="159">
        <v>1</v>
      </c>
      <c r="E590" s="159">
        <v>148.09</v>
      </c>
      <c r="F590" s="159">
        <v>148.09</v>
      </c>
      <c r="G590" s="160" t="s">
        <v>932</v>
      </c>
      <c r="H590" s="34" t="s">
        <v>925</v>
      </c>
    </row>
    <row r="591" spans="1:8" ht="33">
      <c r="A591" s="160"/>
      <c r="B591" s="160" t="s">
        <v>933</v>
      </c>
      <c r="C591" s="157" t="s">
        <v>3</v>
      </c>
      <c r="D591" s="159">
        <v>200</v>
      </c>
      <c r="E591" s="159"/>
      <c r="F591" s="159">
        <v>5084.3499999999995</v>
      </c>
      <c r="G591" s="160"/>
      <c r="H591" s="34" t="s">
        <v>925</v>
      </c>
    </row>
    <row r="592" spans="1:8" ht="33">
      <c r="A592" s="160"/>
      <c r="B592" s="160" t="s">
        <v>934</v>
      </c>
      <c r="C592" s="157" t="s">
        <v>3</v>
      </c>
      <c r="D592" s="159"/>
      <c r="E592" s="159"/>
      <c r="F592" s="159">
        <v>25.42</v>
      </c>
      <c r="G592" s="160"/>
      <c r="H592" s="34" t="s">
        <v>925</v>
      </c>
    </row>
    <row r="593" spans="1:8" ht="33">
      <c r="A593" s="160"/>
      <c r="B593" s="160"/>
      <c r="C593" s="157"/>
      <c r="D593" s="159"/>
      <c r="E593" s="159"/>
      <c r="F593" s="159"/>
      <c r="G593" s="160"/>
      <c r="H593" s="34" t="s">
        <v>925</v>
      </c>
    </row>
    <row r="594" spans="1:8" ht="42.75">
      <c r="A594" s="160" t="s">
        <v>1291</v>
      </c>
      <c r="B594" s="160" t="s">
        <v>4490</v>
      </c>
      <c r="C594" s="157" t="s">
        <v>3</v>
      </c>
      <c r="D594" s="159">
        <v>200</v>
      </c>
      <c r="E594" s="159">
        <v>40.68</v>
      </c>
      <c r="F594" s="159"/>
      <c r="G594" s="160" t="s">
        <v>4903</v>
      </c>
    </row>
    <row r="595" spans="1:8" ht="33">
      <c r="A595" s="160">
        <v>1</v>
      </c>
      <c r="B595" s="160" t="s">
        <v>1217</v>
      </c>
      <c r="C595" s="157" t="s">
        <v>927</v>
      </c>
      <c r="D595" s="159">
        <v>1.1499999999999999</v>
      </c>
      <c r="E595" s="159">
        <v>1013.41</v>
      </c>
      <c r="F595" s="159">
        <v>1165.42</v>
      </c>
      <c r="G595" s="160" t="s">
        <v>1218</v>
      </c>
      <c r="H595" s="34" t="s">
        <v>925</v>
      </c>
    </row>
    <row r="596" spans="1:8" ht="33">
      <c r="A596" s="160">
        <v>2</v>
      </c>
      <c r="B596" s="160" t="s">
        <v>1219</v>
      </c>
      <c r="C596" s="157" t="s">
        <v>1220</v>
      </c>
      <c r="D596" s="159">
        <v>6</v>
      </c>
      <c r="E596" s="159">
        <v>119.22</v>
      </c>
      <c r="F596" s="159">
        <v>715.32</v>
      </c>
      <c r="G596" s="160" t="s">
        <v>1221</v>
      </c>
      <c r="H596" s="34" t="s">
        <v>925</v>
      </c>
    </row>
    <row r="597" spans="1:8" ht="33">
      <c r="A597" s="160">
        <v>3</v>
      </c>
      <c r="B597" s="160" t="s">
        <v>1222</v>
      </c>
      <c r="C597" s="157" t="s">
        <v>927</v>
      </c>
      <c r="D597" s="159">
        <v>1.1499999999999999</v>
      </c>
      <c r="E597" s="159">
        <v>645.79999999999995</v>
      </c>
      <c r="F597" s="159">
        <v>742.67</v>
      </c>
      <c r="G597" s="160" t="s">
        <v>1223</v>
      </c>
      <c r="H597" s="34" t="s">
        <v>925</v>
      </c>
    </row>
    <row r="598" spans="1:8" ht="42.75">
      <c r="A598" s="160">
        <v>4</v>
      </c>
      <c r="B598" s="160" t="s">
        <v>4894</v>
      </c>
      <c r="C598" s="157" t="s">
        <v>927</v>
      </c>
      <c r="D598" s="159">
        <v>1.1499999999999999</v>
      </c>
      <c r="E598" s="159">
        <v>796.82</v>
      </c>
      <c r="F598" s="159">
        <v>916.34</v>
      </c>
      <c r="G598" s="160" t="s">
        <v>4895</v>
      </c>
      <c r="H598" s="34" t="s">
        <v>925</v>
      </c>
    </row>
    <row r="599" spans="1:8" ht="33">
      <c r="A599" s="160">
        <v>5</v>
      </c>
      <c r="B599" s="160" t="s">
        <v>1224</v>
      </c>
      <c r="C599" s="157" t="s">
        <v>927</v>
      </c>
      <c r="D599" s="159">
        <v>1.1499999999999999</v>
      </c>
      <c r="E599" s="159">
        <v>536.51</v>
      </c>
      <c r="F599" s="159">
        <v>616.99</v>
      </c>
      <c r="G599" s="160" t="s">
        <v>1225</v>
      </c>
      <c r="H599" s="34" t="s">
        <v>925</v>
      </c>
    </row>
    <row r="600" spans="1:8" ht="33">
      <c r="A600" s="160">
        <v>6</v>
      </c>
      <c r="B600" s="160" t="s">
        <v>4904</v>
      </c>
      <c r="C600" s="157" t="s">
        <v>927</v>
      </c>
      <c r="D600" s="159">
        <v>1.1499999999999999</v>
      </c>
      <c r="E600" s="159">
        <v>796.82</v>
      </c>
      <c r="F600" s="159">
        <v>916.34</v>
      </c>
      <c r="G600" s="160" t="s">
        <v>4905</v>
      </c>
      <c r="H600" s="34" t="s">
        <v>925</v>
      </c>
    </row>
    <row r="601" spans="1:8" ht="42.75">
      <c r="A601" s="160">
        <v>7</v>
      </c>
      <c r="B601" s="160" t="s">
        <v>4874</v>
      </c>
      <c r="C601" s="157" t="s">
        <v>927</v>
      </c>
      <c r="D601" s="159">
        <v>2.5299999999999998</v>
      </c>
      <c r="E601" s="159">
        <v>558.37</v>
      </c>
      <c r="F601" s="159">
        <v>1412.68</v>
      </c>
      <c r="G601" s="160" t="s">
        <v>4875</v>
      </c>
      <c r="H601" s="34" t="s">
        <v>925</v>
      </c>
    </row>
    <row r="602" spans="1:8" ht="33">
      <c r="A602" s="160">
        <v>8</v>
      </c>
      <c r="B602" s="160" t="s">
        <v>2567</v>
      </c>
      <c r="C602" s="157" t="s">
        <v>927</v>
      </c>
      <c r="D602" s="159">
        <v>2.5299999999999998</v>
      </c>
      <c r="E602" s="159">
        <v>558.37</v>
      </c>
      <c r="F602" s="159">
        <v>1412.68</v>
      </c>
      <c r="G602" s="160" t="s">
        <v>2568</v>
      </c>
      <c r="H602" s="34" t="s">
        <v>925</v>
      </c>
    </row>
    <row r="603" spans="1:8" ht="33">
      <c r="A603" s="160">
        <v>9</v>
      </c>
      <c r="B603" s="160" t="s">
        <v>931</v>
      </c>
      <c r="C603" s="157" t="s">
        <v>14</v>
      </c>
      <c r="D603" s="159">
        <v>1</v>
      </c>
      <c r="E603" s="159">
        <v>236.95</v>
      </c>
      <c r="F603" s="159">
        <v>236.95</v>
      </c>
      <c r="G603" s="160" t="s">
        <v>932</v>
      </c>
      <c r="H603" s="34" t="s">
        <v>925</v>
      </c>
    </row>
    <row r="604" spans="1:8" ht="33">
      <c r="A604" s="160"/>
      <c r="B604" s="160" t="s">
        <v>933</v>
      </c>
      <c r="C604" s="157" t="s">
        <v>3</v>
      </c>
      <c r="D604" s="159">
        <v>200</v>
      </c>
      <c r="E604" s="159"/>
      <c r="F604" s="159">
        <v>8135.3900000000012</v>
      </c>
      <c r="G604" s="160"/>
      <c r="H604" s="34" t="s">
        <v>925</v>
      </c>
    </row>
    <row r="605" spans="1:8" ht="16.5">
      <c r="A605" s="160"/>
      <c r="B605" s="160" t="s">
        <v>934</v>
      </c>
      <c r="C605" s="157" t="s">
        <v>3</v>
      </c>
      <c r="D605" s="159"/>
      <c r="E605" s="159"/>
      <c r="F605" s="159">
        <v>40.68</v>
      </c>
      <c r="G605" s="160"/>
    </row>
    <row r="606" spans="1:8" ht="33">
      <c r="A606" s="160"/>
      <c r="B606" s="160"/>
      <c r="C606" s="157"/>
      <c r="D606" s="159"/>
      <c r="E606" s="159"/>
      <c r="F606" s="159"/>
      <c r="G606" s="160"/>
      <c r="H606" s="34" t="s">
        <v>925</v>
      </c>
    </row>
    <row r="607" spans="1:8" ht="33">
      <c r="A607" s="160" t="s">
        <v>1305</v>
      </c>
      <c r="B607" s="160" t="s">
        <v>1231</v>
      </c>
      <c r="C607" s="157" t="s">
        <v>3</v>
      </c>
      <c r="D607" s="159">
        <v>360</v>
      </c>
      <c r="E607" s="159">
        <v>16.57</v>
      </c>
      <c r="F607" s="159"/>
      <c r="G607" s="160" t="s">
        <v>1232</v>
      </c>
      <c r="H607" s="34" t="s">
        <v>925</v>
      </c>
    </row>
    <row r="608" spans="1:8" ht="33">
      <c r="A608" s="160">
        <v>1</v>
      </c>
      <c r="B608" s="160" t="s">
        <v>1233</v>
      </c>
      <c r="C608" s="157" t="s">
        <v>927</v>
      </c>
      <c r="D608" s="159">
        <v>1</v>
      </c>
      <c r="E608" s="159">
        <v>1390.95</v>
      </c>
      <c r="F608" s="159">
        <v>1390.95</v>
      </c>
      <c r="G608" s="160" t="s">
        <v>1234</v>
      </c>
      <c r="H608" s="34" t="s">
        <v>925</v>
      </c>
    </row>
    <row r="609" spans="1:8" ht="33">
      <c r="A609" s="160">
        <v>2</v>
      </c>
      <c r="B609" s="160" t="s">
        <v>1219</v>
      </c>
      <c r="C609" s="157" t="s">
        <v>1220</v>
      </c>
      <c r="D609" s="159">
        <v>10</v>
      </c>
      <c r="E609" s="159">
        <v>119.22</v>
      </c>
      <c r="F609" s="159">
        <v>1192.2</v>
      </c>
      <c r="G609" s="160" t="s">
        <v>1221</v>
      </c>
      <c r="H609" s="34" t="s">
        <v>925</v>
      </c>
    </row>
    <row r="610" spans="1:8" ht="33">
      <c r="A610" s="160">
        <v>3</v>
      </c>
      <c r="B610" s="160" t="s">
        <v>1222</v>
      </c>
      <c r="C610" s="157" t="s">
        <v>927</v>
      </c>
      <c r="D610" s="159">
        <v>1</v>
      </c>
      <c r="E610" s="159">
        <v>645.79999999999995</v>
      </c>
      <c r="F610" s="159">
        <v>645.79999999999995</v>
      </c>
      <c r="G610" s="160" t="s">
        <v>1223</v>
      </c>
      <c r="H610" s="34" t="s">
        <v>925</v>
      </c>
    </row>
    <row r="611" spans="1:8" ht="42.75">
      <c r="A611" s="160">
        <v>4</v>
      </c>
      <c r="B611" s="160" t="s">
        <v>4891</v>
      </c>
      <c r="C611" s="157" t="s">
        <v>927</v>
      </c>
      <c r="D611" s="159">
        <v>1</v>
      </c>
      <c r="E611" s="159">
        <v>398.41</v>
      </c>
      <c r="F611" s="159">
        <v>398.41</v>
      </c>
      <c r="G611" s="160" t="s">
        <v>4892</v>
      </c>
      <c r="H611" s="34" t="s">
        <v>925</v>
      </c>
    </row>
    <row r="612" spans="1:8" ht="33">
      <c r="A612" s="160">
        <v>5</v>
      </c>
      <c r="B612" s="160" t="s">
        <v>1224</v>
      </c>
      <c r="C612" s="157" t="s">
        <v>927</v>
      </c>
      <c r="D612" s="159">
        <v>1</v>
      </c>
      <c r="E612" s="159">
        <v>536.51</v>
      </c>
      <c r="F612" s="159">
        <v>536.51</v>
      </c>
      <c r="G612" s="160" t="s">
        <v>1225</v>
      </c>
      <c r="H612" s="34" t="s">
        <v>925</v>
      </c>
    </row>
    <row r="613" spans="1:8" ht="33">
      <c r="A613" s="160">
        <v>6</v>
      </c>
      <c r="B613" s="160" t="s">
        <v>1226</v>
      </c>
      <c r="C613" s="157" t="s">
        <v>927</v>
      </c>
      <c r="D613" s="159">
        <v>1</v>
      </c>
      <c r="E613" s="159">
        <v>398.41</v>
      </c>
      <c r="F613" s="159">
        <v>398.41</v>
      </c>
      <c r="G613" s="160" t="s">
        <v>1227</v>
      </c>
      <c r="H613" s="34" t="s">
        <v>925</v>
      </c>
    </row>
    <row r="614" spans="1:8" ht="33">
      <c r="A614" s="160">
        <v>7</v>
      </c>
      <c r="B614" s="160" t="s">
        <v>4871</v>
      </c>
      <c r="C614" s="157" t="s">
        <v>927</v>
      </c>
      <c r="D614" s="159">
        <v>2.2000000000000002</v>
      </c>
      <c r="E614" s="159">
        <v>279.18</v>
      </c>
      <c r="F614" s="159">
        <v>614.20000000000005</v>
      </c>
      <c r="G614" s="160" t="s">
        <v>4872</v>
      </c>
      <c r="H614" s="34" t="s">
        <v>925</v>
      </c>
    </row>
    <row r="615" spans="1:8" ht="33">
      <c r="A615" s="160">
        <v>8</v>
      </c>
      <c r="B615" s="160" t="s">
        <v>1228</v>
      </c>
      <c r="C615" s="157" t="s">
        <v>927</v>
      </c>
      <c r="D615" s="159">
        <v>2.2000000000000002</v>
      </c>
      <c r="E615" s="159">
        <v>279.18</v>
      </c>
      <c r="F615" s="159">
        <v>614.20000000000005</v>
      </c>
      <c r="G615" s="160" t="s">
        <v>1229</v>
      </c>
      <c r="H615" s="34" t="s">
        <v>925</v>
      </c>
    </row>
    <row r="616" spans="1:8" ht="28.5">
      <c r="A616" s="160">
        <v>9</v>
      </c>
      <c r="B616" s="160" t="s">
        <v>931</v>
      </c>
      <c r="C616" s="157" t="s">
        <v>14</v>
      </c>
      <c r="D616" s="159">
        <v>1</v>
      </c>
      <c r="E616" s="159">
        <v>173.72</v>
      </c>
      <c r="F616" s="159">
        <v>173.72</v>
      </c>
      <c r="G616" s="160" t="s">
        <v>932</v>
      </c>
    </row>
    <row r="617" spans="1:8" ht="33">
      <c r="A617" s="160"/>
      <c r="B617" s="160" t="s">
        <v>933</v>
      </c>
      <c r="C617" s="157" t="s">
        <v>3</v>
      </c>
      <c r="D617" s="159">
        <v>360</v>
      </c>
      <c r="E617" s="159"/>
      <c r="F617" s="159">
        <v>5964.4</v>
      </c>
      <c r="G617" s="160"/>
      <c r="H617" s="34" t="s">
        <v>925</v>
      </c>
    </row>
    <row r="618" spans="1:8" ht="33">
      <c r="A618" s="160"/>
      <c r="B618" s="160" t="s">
        <v>934</v>
      </c>
      <c r="C618" s="157" t="s">
        <v>3</v>
      </c>
      <c r="D618" s="159"/>
      <c r="E618" s="159"/>
      <c r="F618" s="159">
        <v>16.57</v>
      </c>
      <c r="G618" s="160"/>
      <c r="H618" s="34" t="s">
        <v>925</v>
      </c>
    </row>
    <row r="619" spans="1:8" ht="33">
      <c r="A619" s="160"/>
      <c r="B619" s="160"/>
      <c r="C619" s="157"/>
      <c r="D619" s="159"/>
      <c r="E619" s="159"/>
      <c r="F619" s="159"/>
      <c r="G619" s="160"/>
      <c r="H619" s="34" t="s">
        <v>925</v>
      </c>
    </row>
    <row r="620" spans="1:8" ht="33">
      <c r="A620" s="160" t="s">
        <v>1308</v>
      </c>
      <c r="B620" s="160" t="s">
        <v>1236</v>
      </c>
      <c r="C620" s="157" t="s">
        <v>3</v>
      </c>
      <c r="D620" s="159">
        <v>120</v>
      </c>
      <c r="E620" s="159">
        <v>43.39</v>
      </c>
      <c r="F620" s="159"/>
      <c r="G620" s="160" t="s">
        <v>1237</v>
      </c>
      <c r="H620" s="34" t="s">
        <v>925</v>
      </c>
    </row>
    <row r="621" spans="1:8" ht="33">
      <c r="A621" s="160">
        <v>1</v>
      </c>
      <c r="B621" s="160" t="s">
        <v>1217</v>
      </c>
      <c r="C621" s="157" t="s">
        <v>927</v>
      </c>
      <c r="D621" s="159">
        <v>1</v>
      </c>
      <c r="E621" s="159">
        <v>1013.41</v>
      </c>
      <c r="F621" s="159">
        <v>1013.41</v>
      </c>
      <c r="G621" s="160" t="s">
        <v>1218</v>
      </c>
      <c r="H621" s="34" t="s">
        <v>925</v>
      </c>
    </row>
    <row r="622" spans="1:8" ht="33">
      <c r="A622" s="160">
        <v>2</v>
      </c>
      <c r="B622" s="160" t="s">
        <v>1219</v>
      </c>
      <c r="C622" s="157" t="s">
        <v>1220</v>
      </c>
      <c r="D622" s="159">
        <v>7</v>
      </c>
      <c r="E622" s="159">
        <v>119.22</v>
      </c>
      <c r="F622" s="159">
        <v>834.54</v>
      </c>
      <c r="G622" s="160" t="s">
        <v>1221</v>
      </c>
      <c r="H622" s="34" t="s">
        <v>925</v>
      </c>
    </row>
    <row r="623" spans="1:8" ht="33">
      <c r="A623" s="160">
        <v>3</v>
      </c>
      <c r="B623" s="160" t="s">
        <v>1222</v>
      </c>
      <c r="C623" s="157" t="s">
        <v>927</v>
      </c>
      <c r="D623" s="159">
        <v>1</v>
      </c>
      <c r="E623" s="159">
        <v>645.79999999999995</v>
      </c>
      <c r="F623" s="159">
        <v>645.79999999999995</v>
      </c>
      <c r="G623" s="160" t="s">
        <v>1223</v>
      </c>
      <c r="H623" s="34" t="s">
        <v>925</v>
      </c>
    </row>
    <row r="624" spans="1:8" ht="42.75">
      <c r="A624" s="160">
        <v>4</v>
      </c>
      <c r="B624" s="160" t="s">
        <v>4891</v>
      </c>
      <c r="C624" s="157" t="s">
        <v>927</v>
      </c>
      <c r="D624" s="159">
        <v>1</v>
      </c>
      <c r="E624" s="159">
        <v>398.41</v>
      </c>
      <c r="F624" s="159">
        <v>398.41</v>
      </c>
      <c r="G624" s="160" t="s">
        <v>4892</v>
      </c>
      <c r="H624" s="34" t="s">
        <v>925</v>
      </c>
    </row>
    <row r="625" spans="1:8" ht="33">
      <c r="A625" s="160">
        <v>5</v>
      </c>
      <c r="B625" s="160" t="s">
        <v>1224</v>
      </c>
      <c r="C625" s="157" t="s">
        <v>927</v>
      </c>
      <c r="D625" s="159">
        <v>1</v>
      </c>
      <c r="E625" s="159">
        <v>536.51</v>
      </c>
      <c r="F625" s="159">
        <v>536.51</v>
      </c>
      <c r="G625" s="160" t="s">
        <v>1225</v>
      </c>
      <c r="H625" s="34" t="s">
        <v>925</v>
      </c>
    </row>
    <row r="626" spans="1:8" ht="33">
      <c r="A626" s="160">
        <v>6</v>
      </c>
      <c r="B626" s="160" t="s">
        <v>1226</v>
      </c>
      <c r="C626" s="157" t="s">
        <v>927</v>
      </c>
      <c r="D626" s="159">
        <v>1</v>
      </c>
      <c r="E626" s="159">
        <v>398.41</v>
      </c>
      <c r="F626" s="159">
        <v>398.41</v>
      </c>
      <c r="G626" s="160" t="s">
        <v>1227</v>
      </c>
      <c r="H626" s="34" t="s">
        <v>925</v>
      </c>
    </row>
    <row r="627" spans="1:8" ht="28.5">
      <c r="A627" s="160">
        <v>7</v>
      </c>
      <c r="B627" s="160" t="s">
        <v>4871</v>
      </c>
      <c r="C627" s="157" t="s">
        <v>927</v>
      </c>
      <c r="D627" s="159">
        <v>2.2000000000000002</v>
      </c>
      <c r="E627" s="159">
        <v>279.18</v>
      </c>
      <c r="F627" s="159">
        <v>614.20000000000005</v>
      </c>
      <c r="G627" s="160" t="s">
        <v>4872</v>
      </c>
    </row>
    <row r="628" spans="1:8" ht="33">
      <c r="A628" s="160">
        <v>8</v>
      </c>
      <c r="B628" s="160" t="s">
        <v>1228</v>
      </c>
      <c r="C628" s="157" t="s">
        <v>927</v>
      </c>
      <c r="D628" s="159">
        <v>2.2000000000000002</v>
      </c>
      <c r="E628" s="159">
        <v>279.18</v>
      </c>
      <c r="F628" s="159">
        <v>614.20000000000005</v>
      </c>
      <c r="G628" s="160" t="s">
        <v>1229</v>
      </c>
      <c r="H628" s="34" t="s">
        <v>925</v>
      </c>
    </row>
    <row r="629" spans="1:8" ht="33">
      <c r="A629" s="160">
        <v>9</v>
      </c>
      <c r="B629" s="160" t="s">
        <v>931</v>
      </c>
      <c r="C629" s="157" t="s">
        <v>14</v>
      </c>
      <c r="D629" s="159">
        <v>1</v>
      </c>
      <c r="E629" s="159">
        <v>151.66</v>
      </c>
      <c r="F629" s="159">
        <v>151.66</v>
      </c>
      <c r="G629" s="160" t="s">
        <v>932</v>
      </c>
      <c r="H629" s="34" t="s">
        <v>925</v>
      </c>
    </row>
    <row r="630" spans="1:8" ht="33">
      <c r="A630" s="160"/>
      <c r="B630" s="160" t="s">
        <v>933</v>
      </c>
      <c r="C630" s="157" t="s">
        <v>3</v>
      </c>
      <c r="D630" s="159">
        <v>120</v>
      </c>
      <c r="E630" s="159"/>
      <c r="F630" s="159">
        <v>5207.1399999999994</v>
      </c>
      <c r="G630" s="160"/>
      <c r="H630" s="34" t="s">
        <v>925</v>
      </c>
    </row>
    <row r="631" spans="1:8" ht="33">
      <c r="A631" s="160"/>
      <c r="B631" s="160" t="s">
        <v>934</v>
      </c>
      <c r="C631" s="157" t="s">
        <v>3</v>
      </c>
      <c r="D631" s="159"/>
      <c r="E631" s="159"/>
      <c r="F631" s="159">
        <v>43.39</v>
      </c>
      <c r="G631" s="160"/>
      <c r="H631" s="34" t="s">
        <v>925</v>
      </c>
    </row>
    <row r="632" spans="1:8" ht="33">
      <c r="A632" s="160"/>
      <c r="B632" s="160"/>
      <c r="C632" s="157"/>
      <c r="D632" s="159"/>
      <c r="E632" s="159"/>
      <c r="F632" s="159"/>
      <c r="G632" s="160"/>
      <c r="H632" s="34" t="s">
        <v>925</v>
      </c>
    </row>
    <row r="633" spans="1:8" ht="42.75">
      <c r="A633" s="160" t="s">
        <v>1311</v>
      </c>
      <c r="B633" s="160" t="s">
        <v>4494</v>
      </c>
      <c r="C633" s="157" t="s">
        <v>3</v>
      </c>
      <c r="D633" s="159">
        <v>120</v>
      </c>
      <c r="E633" s="159">
        <v>68.819999999999993</v>
      </c>
      <c r="F633" s="159"/>
      <c r="G633" s="160" t="s">
        <v>4906</v>
      </c>
      <c r="H633" s="34" t="s">
        <v>925</v>
      </c>
    </row>
    <row r="634" spans="1:8" ht="33">
      <c r="A634" s="160">
        <v>1</v>
      </c>
      <c r="B634" s="160" t="s">
        <v>1217</v>
      </c>
      <c r="C634" s="157" t="s">
        <v>927</v>
      </c>
      <c r="D634" s="159">
        <v>1.1499999999999999</v>
      </c>
      <c r="E634" s="159">
        <v>1013.41</v>
      </c>
      <c r="F634" s="159">
        <v>1165.42</v>
      </c>
      <c r="G634" s="160" t="s">
        <v>1218</v>
      </c>
      <c r="H634" s="34" t="s">
        <v>925</v>
      </c>
    </row>
    <row r="635" spans="1:8" ht="33">
      <c r="A635" s="160">
        <v>2</v>
      </c>
      <c r="B635" s="160" t="s">
        <v>1219</v>
      </c>
      <c r="C635" s="157" t="s">
        <v>1220</v>
      </c>
      <c r="D635" s="159">
        <v>7</v>
      </c>
      <c r="E635" s="159">
        <v>119.22</v>
      </c>
      <c r="F635" s="159">
        <v>834.54</v>
      </c>
      <c r="G635" s="160" t="s">
        <v>1221</v>
      </c>
      <c r="H635" s="34" t="s">
        <v>925</v>
      </c>
    </row>
    <row r="636" spans="1:8" ht="33">
      <c r="A636" s="160">
        <v>3</v>
      </c>
      <c r="B636" s="160" t="s">
        <v>1222</v>
      </c>
      <c r="C636" s="157" t="s">
        <v>927</v>
      </c>
      <c r="D636" s="159">
        <v>1.1499999999999999</v>
      </c>
      <c r="E636" s="159">
        <v>645.79999999999995</v>
      </c>
      <c r="F636" s="159">
        <v>742.67</v>
      </c>
      <c r="G636" s="160" t="s">
        <v>1223</v>
      </c>
      <c r="H636" s="34" t="s">
        <v>925</v>
      </c>
    </row>
    <row r="637" spans="1:8" ht="42.75">
      <c r="A637" s="160">
        <v>4</v>
      </c>
      <c r="B637" s="160" t="s">
        <v>4894</v>
      </c>
      <c r="C637" s="157" t="s">
        <v>927</v>
      </c>
      <c r="D637" s="159">
        <v>1.1499999999999999</v>
      </c>
      <c r="E637" s="159">
        <v>796.82</v>
      </c>
      <c r="F637" s="159">
        <v>916.34</v>
      </c>
      <c r="G637" s="160" t="s">
        <v>4895</v>
      </c>
      <c r="H637" s="34" t="s">
        <v>925</v>
      </c>
    </row>
    <row r="638" spans="1:8" ht="28.5">
      <c r="A638" s="160">
        <v>5</v>
      </c>
      <c r="B638" s="160" t="s">
        <v>1224</v>
      </c>
      <c r="C638" s="157" t="s">
        <v>927</v>
      </c>
      <c r="D638" s="159">
        <v>1.1499999999999999</v>
      </c>
      <c r="E638" s="159">
        <v>536.51</v>
      </c>
      <c r="F638" s="159">
        <v>616.99</v>
      </c>
      <c r="G638" s="160" t="s">
        <v>1225</v>
      </c>
    </row>
    <row r="639" spans="1:8" ht="33">
      <c r="A639" s="160">
        <v>6</v>
      </c>
      <c r="B639" s="160" t="s">
        <v>4904</v>
      </c>
      <c r="C639" s="157" t="s">
        <v>927</v>
      </c>
      <c r="D639" s="159">
        <v>1.1499999999999999</v>
      </c>
      <c r="E639" s="159">
        <v>796.82</v>
      </c>
      <c r="F639" s="159">
        <v>916.34</v>
      </c>
      <c r="G639" s="160" t="s">
        <v>4905</v>
      </c>
      <c r="H639" s="34" t="s">
        <v>925</v>
      </c>
    </row>
    <row r="640" spans="1:8" ht="42.75">
      <c r="A640" s="160">
        <v>7</v>
      </c>
      <c r="B640" s="160" t="s">
        <v>4874</v>
      </c>
      <c r="C640" s="157" t="s">
        <v>927</v>
      </c>
      <c r="D640" s="159">
        <v>2.5299999999999998</v>
      </c>
      <c r="E640" s="159">
        <v>558.37</v>
      </c>
      <c r="F640" s="159">
        <v>1412.68</v>
      </c>
      <c r="G640" s="160" t="s">
        <v>4875</v>
      </c>
      <c r="H640" s="34" t="s">
        <v>925</v>
      </c>
    </row>
    <row r="641" spans="1:8" ht="33">
      <c r="A641" s="160">
        <v>8</v>
      </c>
      <c r="B641" s="160" t="s">
        <v>2567</v>
      </c>
      <c r="C641" s="157" t="s">
        <v>927</v>
      </c>
      <c r="D641" s="159">
        <v>2.5299999999999998</v>
      </c>
      <c r="E641" s="159">
        <v>558.37</v>
      </c>
      <c r="F641" s="159">
        <v>1412.68</v>
      </c>
      <c r="G641" s="160" t="s">
        <v>2568</v>
      </c>
      <c r="H641" s="34" t="s">
        <v>925</v>
      </c>
    </row>
    <row r="642" spans="1:8" ht="33">
      <c r="A642" s="160">
        <v>9</v>
      </c>
      <c r="B642" s="160" t="s">
        <v>931</v>
      </c>
      <c r="C642" s="157" t="s">
        <v>14</v>
      </c>
      <c r="D642" s="159">
        <v>1</v>
      </c>
      <c r="E642" s="159">
        <v>240.53</v>
      </c>
      <c r="F642" s="159">
        <v>240.53</v>
      </c>
      <c r="G642" s="160" t="s">
        <v>932</v>
      </c>
      <c r="H642" s="34" t="s">
        <v>925</v>
      </c>
    </row>
    <row r="643" spans="1:8" ht="33">
      <c r="A643" s="160"/>
      <c r="B643" s="160" t="s">
        <v>933</v>
      </c>
      <c r="C643" s="157" t="s">
        <v>3</v>
      </c>
      <c r="D643" s="159">
        <v>120</v>
      </c>
      <c r="E643" s="159"/>
      <c r="F643" s="159">
        <v>8258.19</v>
      </c>
      <c r="G643" s="160"/>
      <c r="H643" s="34" t="s">
        <v>925</v>
      </c>
    </row>
    <row r="644" spans="1:8" ht="33">
      <c r="A644" s="160"/>
      <c r="B644" s="160" t="s">
        <v>934</v>
      </c>
      <c r="C644" s="157" t="s">
        <v>3</v>
      </c>
      <c r="D644" s="159"/>
      <c r="E644" s="159"/>
      <c r="F644" s="159">
        <v>68.819999999999993</v>
      </c>
      <c r="G644" s="160"/>
      <c r="H644" s="34" t="s">
        <v>925</v>
      </c>
    </row>
    <row r="645" spans="1:8" ht="33">
      <c r="A645" s="160"/>
      <c r="B645" s="160"/>
      <c r="C645" s="157"/>
      <c r="D645" s="159"/>
      <c r="E645" s="159"/>
      <c r="F645" s="159"/>
      <c r="G645" s="160"/>
      <c r="H645" s="34" t="s">
        <v>925</v>
      </c>
    </row>
    <row r="646" spans="1:8" ht="33">
      <c r="A646" s="160" t="s">
        <v>1314</v>
      </c>
      <c r="B646" s="160" t="s">
        <v>1239</v>
      </c>
      <c r="C646" s="157" t="s">
        <v>3</v>
      </c>
      <c r="D646" s="159">
        <v>216</v>
      </c>
      <c r="E646" s="159">
        <v>28.56</v>
      </c>
      <c r="F646" s="159"/>
      <c r="G646" s="160" t="s">
        <v>1240</v>
      </c>
      <c r="H646" s="34" t="s">
        <v>925</v>
      </c>
    </row>
    <row r="647" spans="1:8" ht="33">
      <c r="A647" s="160">
        <v>1</v>
      </c>
      <c r="B647" s="160" t="s">
        <v>1233</v>
      </c>
      <c r="C647" s="157" t="s">
        <v>927</v>
      </c>
      <c r="D647" s="159">
        <v>1</v>
      </c>
      <c r="E647" s="159">
        <v>1390.95</v>
      </c>
      <c r="F647" s="159">
        <v>1390.95</v>
      </c>
      <c r="G647" s="160" t="s">
        <v>1234</v>
      </c>
      <c r="H647" s="34" t="s">
        <v>925</v>
      </c>
    </row>
    <row r="648" spans="1:8" ht="33">
      <c r="A648" s="160">
        <v>2</v>
      </c>
      <c r="B648" s="160" t="s">
        <v>1219</v>
      </c>
      <c r="C648" s="157" t="s">
        <v>1220</v>
      </c>
      <c r="D648" s="159">
        <v>12.6</v>
      </c>
      <c r="E648" s="159">
        <v>119.22</v>
      </c>
      <c r="F648" s="159">
        <v>1502.17</v>
      </c>
      <c r="G648" s="160" t="s">
        <v>1221</v>
      </c>
      <c r="H648" s="34" t="s">
        <v>925</v>
      </c>
    </row>
    <row r="649" spans="1:8" ht="33">
      <c r="A649" s="160">
        <v>3</v>
      </c>
      <c r="B649" s="160" t="s">
        <v>1222</v>
      </c>
      <c r="C649" s="157" t="s">
        <v>927</v>
      </c>
      <c r="D649" s="159">
        <v>1</v>
      </c>
      <c r="E649" s="159">
        <v>645.79999999999995</v>
      </c>
      <c r="F649" s="159">
        <v>645.79999999999995</v>
      </c>
      <c r="G649" s="160" t="s">
        <v>1223</v>
      </c>
      <c r="H649" s="34" t="s">
        <v>925</v>
      </c>
    </row>
    <row r="650" spans="1:8" ht="42.75">
      <c r="A650" s="160">
        <v>4</v>
      </c>
      <c r="B650" s="160" t="s">
        <v>4891</v>
      </c>
      <c r="C650" s="157" t="s">
        <v>927</v>
      </c>
      <c r="D650" s="159">
        <v>1</v>
      </c>
      <c r="E650" s="159">
        <v>398.41</v>
      </c>
      <c r="F650" s="159">
        <v>398.41</v>
      </c>
      <c r="G650" s="160" t="s">
        <v>4892</v>
      </c>
      <c r="H650" s="34" t="s">
        <v>925</v>
      </c>
    </row>
    <row r="651" spans="1:8" ht="28.5">
      <c r="A651" s="160">
        <v>5</v>
      </c>
      <c r="B651" s="160" t="s">
        <v>1224</v>
      </c>
      <c r="C651" s="157" t="s">
        <v>927</v>
      </c>
      <c r="D651" s="159">
        <v>1</v>
      </c>
      <c r="E651" s="159">
        <v>536.51</v>
      </c>
      <c r="F651" s="159">
        <v>536.51</v>
      </c>
      <c r="G651" s="160" t="s">
        <v>1225</v>
      </c>
    </row>
    <row r="652" spans="1:8" ht="33">
      <c r="A652" s="160">
        <v>6</v>
      </c>
      <c r="B652" s="160" t="s">
        <v>1226</v>
      </c>
      <c r="C652" s="157" t="s">
        <v>927</v>
      </c>
      <c r="D652" s="159">
        <v>1</v>
      </c>
      <c r="E652" s="159">
        <v>398.41</v>
      </c>
      <c r="F652" s="159">
        <v>398.41</v>
      </c>
      <c r="G652" s="160" t="s">
        <v>1227</v>
      </c>
      <c r="H652" s="34" t="s">
        <v>925</v>
      </c>
    </row>
    <row r="653" spans="1:8" ht="33">
      <c r="A653" s="160">
        <v>7</v>
      </c>
      <c r="B653" s="160" t="s">
        <v>4871</v>
      </c>
      <c r="C653" s="157" t="s">
        <v>927</v>
      </c>
      <c r="D653" s="159">
        <v>2</v>
      </c>
      <c r="E653" s="159">
        <v>279.18</v>
      </c>
      <c r="F653" s="159">
        <v>558.36</v>
      </c>
      <c r="G653" s="160" t="s">
        <v>4872</v>
      </c>
      <c r="H653" s="34" t="s">
        <v>925</v>
      </c>
    </row>
    <row r="654" spans="1:8" ht="33">
      <c r="A654" s="160">
        <v>8</v>
      </c>
      <c r="B654" s="160" t="s">
        <v>1228</v>
      </c>
      <c r="C654" s="157" t="s">
        <v>927</v>
      </c>
      <c r="D654" s="159">
        <v>2</v>
      </c>
      <c r="E654" s="159">
        <v>279.18</v>
      </c>
      <c r="F654" s="159">
        <v>558.36</v>
      </c>
      <c r="G654" s="160" t="s">
        <v>1229</v>
      </c>
      <c r="H654" s="34" t="s">
        <v>925</v>
      </c>
    </row>
    <row r="655" spans="1:8" ht="33">
      <c r="A655" s="160">
        <v>9</v>
      </c>
      <c r="B655" s="160" t="s">
        <v>931</v>
      </c>
      <c r="C655" s="157" t="s">
        <v>14</v>
      </c>
      <c r="D655" s="159">
        <v>1</v>
      </c>
      <c r="E655" s="159">
        <v>179.67</v>
      </c>
      <c r="F655" s="159">
        <v>179.67</v>
      </c>
      <c r="G655" s="160" t="s">
        <v>932</v>
      </c>
      <c r="H655" s="34" t="s">
        <v>925</v>
      </c>
    </row>
    <row r="656" spans="1:8" ht="33">
      <c r="A656" s="160"/>
      <c r="B656" s="160" t="s">
        <v>933</v>
      </c>
      <c r="C656" s="157" t="s">
        <v>3</v>
      </c>
      <c r="D656" s="159">
        <v>216</v>
      </c>
      <c r="E656" s="159"/>
      <c r="F656" s="159">
        <v>6168.6399999999994</v>
      </c>
      <c r="G656" s="160"/>
      <c r="H656" s="34" t="s">
        <v>925</v>
      </c>
    </row>
    <row r="657" spans="1:8" ht="33">
      <c r="A657" s="160"/>
      <c r="B657" s="160" t="s">
        <v>934</v>
      </c>
      <c r="C657" s="157" t="s">
        <v>3</v>
      </c>
      <c r="D657" s="159"/>
      <c r="E657" s="159"/>
      <c r="F657" s="159">
        <v>28.56</v>
      </c>
      <c r="G657" s="160"/>
      <c r="H657" s="34" t="s">
        <v>925</v>
      </c>
    </row>
    <row r="658" spans="1:8" ht="33">
      <c r="A658" s="160"/>
      <c r="B658" s="160"/>
      <c r="C658" s="157"/>
      <c r="D658" s="159"/>
      <c r="E658" s="159"/>
      <c r="F658" s="159"/>
      <c r="G658" s="160"/>
      <c r="H658" s="34" t="s">
        <v>925</v>
      </c>
    </row>
    <row r="659" spans="1:8" ht="33">
      <c r="A659" s="160" t="s">
        <v>1319</v>
      </c>
      <c r="B659" s="160" t="s">
        <v>462</v>
      </c>
      <c r="C659" s="157" t="s">
        <v>17</v>
      </c>
      <c r="D659" s="159">
        <v>280</v>
      </c>
      <c r="E659" s="159">
        <v>65.77</v>
      </c>
      <c r="F659" s="159"/>
      <c r="G659" s="160" t="s">
        <v>1242</v>
      </c>
      <c r="H659" s="34" t="s">
        <v>925</v>
      </c>
    </row>
    <row r="660" spans="1:8" ht="33">
      <c r="A660" s="160">
        <v>1</v>
      </c>
      <c r="B660" s="160" t="s">
        <v>1243</v>
      </c>
      <c r="C660" s="157" t="s">
        <v>927</v>
      </c>
      <c r="D660" s="159">
        <v>8</v>
      </c>
      <c r="E660" s="159">
        <v>948.63</v>
      </c>
      <c r="F660" s="159">
        <v>7589.04</v>
      </c>
      <c r="G660" s="160" t="s">
        <v>1244</v>
      </c>
      <c r="H660" s="34" t="s">
        <v>925</v>
      </c>
    </row>
    <row r="661" spans="1:8" ht="33">
      <c r="A661" s="160">
        <v>2</v>
      </c>
      <c r="B661" s="160" t="s">
        <v>1245</v>
      </c>
      <c r="C661" s="157" t="s">
        <v>14</v>
      </c>
      <c r="D661" s="159">
        <v>1</v>
      </c>
      <c r="E661" s="159">
        <v>4470.92</v>
      </c>
      <c r="F661" s="159">
        <v>4470.92</v>
      </c>
      <c r="G661" s="160" t="s">
        <v>1246</v>
      </c>
      <c r="H661" s="34" t="s">
        <v>925</v>
      </c>
    </row>
    <row r="662" spans="1:8" ht="42.75">
      <c r="A662" s="160">
        <v>3</v>
      </c>
      <c r="B662" s="160" t="s">
        <v>4907</v>
      </c>
      <c r="C662" s="157" t="s">
        <v>927</v>
      </c>
      <c r="D662" s="159">
        <v>8</v>
      </c>
      <c r="E662" s="159">
        <v>398.41</v>
      </c>
      <c r="F662" s="159">
        <v>3187.28</v>
      </c>
      <c r="G662" s="160" t="s">
        <v>4908</v>
      </c>
      <c r="H662" s="34" t="s">
        <v>925</v>
      </c>
    </row>
    <row r="663" spans="1:8" ht="33">
      <c r="A663" s="160">
        <v>4</v>
      </c>
      <c r="B663" s="160" t="s">
        <v>4871</v>
      </c>
      <c r="C663" s="157" t="s">
        <v>927</v>
      </c>
      <c r="D663" s="159">
        <v>8</v>
      </c>
      <c r="E663" s="159">
        <v>279.18</v>
      </c>
      <c r="F663" s="159">
        <v>2233.44</v>
      </c>
      <c r="G663" s="160" t="s">
        <v>4876</v>
      </c>
      <c r="H663" s="34" t="s">
        <v>925</v>
      </c>
    </row>
    <row r="664" spans="1:8" ht="28.5">
      <c r="A664" s="160">
        <v>5</v>
      </c>
      <c r="B664" s="160" t="s">
        <v>1247</v>
      </c>
      <c r="C664" s="157" t="s">
        <v>14</v>
      </c>
      <c r="D664" s="159">
        <v>1</v>
      </c>
      <c r="E664" s="159">
        <v>397.42</v>
      </c>
      <c r="F664" s="159">
        <v>397.42</v>
      </c>
      <c r="G664" s="160" t="s">
        <v>1248</v>
      </c>
    </row>
    <row r="665" spans="1:8" ht="33">
      <c r="A665" s="160">
        <v>6</v>
      </c>
      <c r="B665" s="160" t="s">
        <v>955</v>
      </c>
      <c r="C665" s="157" t="s">
        <v>14</v>
      </c>
      <c r="D665" s="159">
        <v>1</v>
      </c>
      <c r="E665" s="159">
        <v>536.34</v>
      </c>
      <c r="F665" s="159">
        <v>536.34</v>
      </c>
      <c r="G665" s="160" t="s">
        <v>956</v>
      </c>
      <c r="H665" s="34" t="s">
        <v>925</v>
      </c>
    </row>
    <row r="666" spans="1:8" ht="33">
      <c r="A666" s="160"/>
      <c r="B666" s="160" t="s">
        <v>933</v>
      </c>
      <c r="C666" s="157" t="s">
        <v>17</v>
      </c>
      <c r="D666" s="159">
        <v>280</v>
      </c>
      <c r="E666" s="159"/>
      <c r="F666" s="159">
        <v>18414.439999999999</v>
      </c>
      <c r="G666" s="160"/>
      <c r="H666" s="34" t="s">
        <v>925</v>
      </c>
    </row>
    <row r="667" spans="1:8" ht="33">
      <c r="A667" s="160"/>
      <c r="B667" s="160" t="s">
        <v>934</v>
      </c>
      <c r="C667" s="157" t="s">
        <v>17</v>
      </c>
      <c r="D667" s="159"/>
      <c r="E667" s="159"/>
      <c r="F667" s="159">
        <v>65.77</v>
      </c>
      <c r="G667" s="160"/>
      <c r="H667" s="34" t="s">
        <v>925</v>
      </c>
    </row>
    <row r="668" spans="1:8" ht="33">
      <c r="A668" s="160"/>
      <c r="B668" s="160"/>
      <c r="C668" s="157"/>
      <c r="D668" s="159"/>
      <c r="E668" s="159"/>
      <c r="F668" s="159"/>
      <c r="G668" s="160"/>
      <c r="H668" s="34" t="s">
        <v>925</v>
      </c>
    </row>
    <row r="669" spans="1:8" ht="33">
      <c r="A669" s="160" t="s">
        <v>1325</v>
      </c>
      <c r="B669" s="160" t="s">
        <v>1250</v>
      </c>
      <c r="C669" s="157" t="s">
        <v>17</v>
      </c>
      <c r="D669" s="159">
        <v>240</v>
      </c>
      <c r="E669" s="159">
        <v>76.73</v>
      </c>
      <c r="F669" s="159"/>
      <c r="G669" s="160" t="s">
        <v>1251</v>
      </c>
      <c r="H669" s="34" t="s">
        <v>925</v>
      </c>
    </row>
    <row r="670" spans="1:8" ht="33">
      <c r="A670" s="160">
        <v>1</v>
      </c>
      <c r="B670" s="160" t="s">
        <v>1243</v>
      </c>
      <c r="C670" s="157" t="s">
        <v>927</v>
      </c>
      <c r="D670" s="159">
        <v>8</v>
      </c>
      <c r="E670" s="159">
        <v>948.63</v>
      </c>
      <c r="F670" s="159">
        <v>7589.04</v>
      </c>
      <c r="G670" s="160" t="s">
        <v>1244</v>
      </c>
      <c r="H670" s="34" t="s">
        <v>925</v>
      </c>
    </row>
    <row r="671" spans="1:8" ht="33">
      <c r="A671" s="160">
        <v>2</v>
      </c>
      <c r="B671" s="160" t="s">
        <v>1245</v>
      </c>
      <c r="C671" s="157" t="s">
        <v>14</v>
      </c>
      <c r="D671" s="159">
        <v>1</v>
      </c>
      <c r="E671" s="159">
        <v>4470.92</v>
      </c>
      <c r="F671" s="159">
        <v>4470.92</v>
      </c>
      <c r="G671" s="160" t="s">
        <v>1246</v>
      </c>
      <c r="H671" s="34" t="s">
        <v>925</v>
      </c>
    </row>
    <row r="672" spans="1:8" ht="42.75">
      <c r="A672" s="160">
        <v>3</v>
      </c>
      <c r="B672" s="160" t="s">
        <v>4907</v>
      </c>
      <c r="C672" s="157" t="s">
        <v>927</v>
      </c>
      <c r="D672" s="159">
        <v>8</v>
      </c>
      <c r="E672" s="159">
        <v>398.41</v>
      </c>
      <c r="F672" s="159">
        <v>3187.28</v>
      </c>
      <c r="G672" s="160" t="s">
        <v>4908</v>
      </c>
      <c r="H672" s="34" t="s">
        <v>925</v>
      </c>
    </row>
    <row r="673" spans="1:8" ht="33">
      <c r="A673" s="160">
        <v>4</v>
      </c>
      <c r="B673" s="160" t="s">
        <v>4871</v>
      </c>
      <c r="C673" s="157" t="s">
        <v>927</v>
      </c>
      <c r="D673" s="159">
        <v>8</v>
      </c>
      <c r="E673" s="159">
        <v>279.18</v>
      </c>
      <c r="F673" s="159">
        <v>2233.44</v>
      </c>
      <c r="G673" s="160" t="s">
        <v>4872</v>
      </c>
      <c r="H673" s="34" t="s">
        <v>925</v>
      </c>
    </row>
    <row r="674" spans="1:8" ht="33">
      <c r="A674" s="160">
        <v>5</v>
      </c>
      <c r="B674" s="160" t="s">
        <v>1247</v>
      </c>
      <c r="C674" s="157" t="s">
        <v>14</v>
      </c>
      <c r="D674" s="159">
        <v>1</v>
      </c>
      <c r="E674" s="159">
        <v>397.42</v>
      </c>
      <c r="F674" s="159">
        <v>397.42</v>
      </c>
      <c r="G674" s="160" t="s">
        <v>1248</v>
      </c>
      <c r="H674" s="34" t="s">
        <v>925</v>
      </c>
    </row>
    <row r="675" spans="1:8" ht="33">
      <c r="A675" s="160">
        <v>6</v>
      </c>
      <c r="B675" s="160" t="s">
        <v>955</v>
      </c>
      <c r="C675" s="157" t="s">
        <v>14</v>
      </c>
      <c r="D675" s="159">
        <v>1</v>
      </c>
      <c r="E675" s="159">
        <v>536.34</v>
      </c>
      <c r="F675" s="159">
        <v>536.34</v>
      </c>
      <c r="G675" s="160" t="s">
        <v>956</v>
      </c>
      <c r="H675" s="34" t="s">
        <v>925</v>
      </c>
    </row>
    <row r="676" spans="1:8" ht="33">
      <c r="A676" s="160"/>
      <c r="B676" s="160" t="s">
        <v>933</v>
      </c>
      <c r="C676" s="157" t="s">
        <v>17</v>
      </c>
      <c r="D676" s="159">
        <v>240</v>
      </c>
      <c r="E676" s="159"/>
      <c r="F676" s="159">
        <v>18414.439999999999</v>
      </c>
      <c r="G676" s="160"/>
      <c r="H676" s="34" t="s">
        <v>925</v>
      </c>
    </row>
    <row r="677" spans="1:8" ht="16.5">
      <c r="A677" s="160"/>
      <c r="B677" s="160" t="s">
        <v>934</v>
      </c>
      <c r="C677" s="157" t="s">
        <v>17</v>
      </c>
      <c r="D677" s="159"/>
      <c r="E677" s="159"/>
      <c r="F677" s="159">
        <v>76.73</v>
      </c>
      <c r="G677" s="160"/>
    </row>
    <row r="678" spans="1:8" ht="33">
      <c r="A678" s="160"/>
      <c r="B678" s="160"/>
      <c r="C678" s="157"/>
      <c r="D678" s="159"/>
      <c r="E678" s="159"/>
      <c r="F678" s="159"/>
      <c r="G678" s="160"/>
      <c r="H678" s="34" t="s">
        <v>925</v>
      </c>
    </row>
    <row r="679" spans="1:8" ht="33">
      <c r="A679" s="160" t="s">
        <v>1327</v>
      </c>
      <c r="B679" s="160" t="s">
        <v>1253</v>
      </c>
      <c r="C679" s="157" t="s">
        <v>17</v>
      </c>
      <c r="D679" s="159">
        <v>160</v>
      </c>
      <c r="E679" s="159">
        <v>139.19999999999999</v>
      </c>
      <c r="F679" s="159"/>
      <c r="G679" s="160" t="s">
        <v>1254</v>
      </c>
      <c r="H679" s="34" t="s">
        <v>925</v>
      </c>
    </row>
    <row r="680" spans="1:8" ht="33">
      <c r="A680" s="160">
        <v>1</v>
      </c>
      <c r="B680" s="160" t="s">
        <v>1243</v>
      </c>
      <c r="C680" s="157" t="s">
        <v>927</v>
      </c>
      <c r="D680" s="159">
        <v>8</v>
      </c>
      <c r="E680" s="159">
        <v>948.63</v>
      </c>
      <c r="F680" s="159">
        <v>7589.04</v>
      </c>
      <c r="G680" s="160" t="s">
        <v>1244</v>
      </c>
      <c r="H680" s="34" t="s">
        <v>925</v>
      </c>
    </row>
    <row r="681" spans="1:8" ht="33">
      <c r="A681" s="160">
        <v>2</v>
      </c>
      <c r="B681" s="160" t="s">
        <v>1245</v>
      </c>
      <c r="C681" s="157" t="s">
        <v>14</v>
      </c>
      <c r="D681" s="159">
        <v>1</v>
      </c>
      <c r="E681" s="159">
        <v>4470.92</v>
      </c>
      <c r="F681" s="159">
        <v>4470.92</v>
      </c>
      <c r="G681" s="160" t="s">
        <v>1246</v>
      </c>
      <c r="H681" s="34" t="s">
        <v>925</v>
      </c>
    </row>
    <row r="682" spans="1:8" ht="42.75">
      <c r="A682" s="160">
        <v>3</v>
      </c>
      <c r="B682" s="160" t="s">
        <v>4907</v>
      </c>
      <c r="C682" s="157" t="s">
        <v>927</v>
      </c>
      <c r="D682" s="159">
        <v>8</v>
      </c>
      <c r="E682" s="159">
        <v>398.41</v>
      </c>
      <c r="F682" s="159">
        <v>3187.28</v>
      </c>
      <c r="G682" s="160" t="s">
        <v>4908</v>
      </c>
      <c r="H682" s="34" t="s">
        <v>925</v>
      </c>
    </row>
    <row r="683" spans="1:8" ht="33">
      <c r="A683" s="160">
        <v>4</v>
      </c>
      <c r="B683" s="160" t="s">
        <v>4871</v>
      </c>
      <c r="C683" s="157" t="s">
        <v>927</v>
      </c>
      <c r="D683" s="159">
        <v>10</v>
      </c>
      <c r="E683" s="159">
        <v>279.18</v>
      </c>
      <c r="F683" s="159">
        <v>2791.8</v>
      </c>
      <c r="G683" s="160" t="s">
        <v>4872</v>
      </c>
      <c r="H683" s="34" t="s">
        <v>925</v>
      </c>
    </row>
    <row r="684" spans="1:8" ht="33">
      <c r="A684" s="160">
        <v>5</v>
      </c>
      <c r="B684" s="160" t="s">
        <v>1255</v>
      </c>
      <c r="C684" s="157" t="s">
        <v>927</v>
      </c>
      <c r="D684" s="159">
        <v>8</v>
      </c>
      <c r="E684" s="159">
        <v>398.41</v>
      </c>
      <c r="F684" s="159">
        <v>3187.28</v>
      </c>
      <c r="G684" s="160" t="s">
        <v>1256</v>
      </c>
      <c r="H684" s="34" t="s">
        <v>925</v>
      </c>
    </row>
    <row r="685" spans="1:8" ht="33">
      <c r="A685" s="160">
        <v>6</v>
      </c>
      <c r="B685" s="160" t="s">
        <v>1247</v>
      </c>
      <c r="C685" s="157" t="s">
        <v>14</v>
      </c>
      <c r="D685" s="159">
        <v>1</v>
      </c>
      <c r="E685" s="159">
        <v>397.42</v>
      </c>
      <c r="F685" s="159">
        <v>397.42</v>
      </c>
      <c r="G685" s="160" t="s">
        <v>1248</v>
      </c>
      <c r="H685" s="34" t="s">
        <v>925</v>
      </c>
    </row>
    <row r="686" spans="1:8" ht="33">
      <c r="A686" s="160">
        <v>7</v>
      </c>
      <c r="B686" s="160" t="s">
        <v>955</v>
      </c>
      <c r="C686" s="157" t="s">
        <v>14</v>
      </c>
      <c r="D686" s="159">
        <v>1</v>
      </c>
      <c r="E686" s="159">
        <v>648.71</v>
      </c>
      <c r="F686" s="159">
        <v>648.71</v>
      </c>
      <c r="G686" s="160" t="s">
        <v>956</v>
      </c>
      <c r="H686" s="34" t="s">
        <v>925</v>
      </c>
    </row>
    <row r="687" spans="1:8" ht="33">
      <c r="A687" s="160"/>
      <c r="B687" s="160" t="s">
        <v>933</v>
      </c>
      <c r="C687" s="157" t="s">
        <v>17</v>
      </c>
      <c r="D687" s="159">
        <v>160</v>
      </c>
      <c r="E687" s="159"/>
      <c r="F687" s="159">
        <v>22272.449999999997</v>
      </c>
      <c r="G687" s="160"/>
      <c r="H687" s="34" t="s">
        <v>925</v>
      </c>
    </row>
    <row r="688" spans="1:8" ht="33">
      <c r="A688" s="160"/>
      <c r="B688" s="160" t="s">
        <v>934</v>
      </c>
      <c r="C688" s="157" t="s">
        <v>17</v>
      </c>
      <c r="D688" s="159"/>
      <c r="E688" s="159"/>
      <c r="F688" s="159">
        <v>139.19999999999999</v>
      </c>
      <c r="G688" s="160"/>
      <c r="H688" s="34" t="s">
        <v>925</v>
      </c>
    </row>
    <row r="689" spans="1:8" ht="33">
      <c r="A689" s="160"/>
      <c r="B689" s="160"/>
      <c r="C689" s="157"/>
      <c r="D689" s="159"/>
      <c r="E689" s="159"/>
      <c r="F689" s="159"/>
      <c r="G689" s="160"/>
      <c r="H689" s="34" t="s">
        <v>925</v>
      </c>
    </row>
    <row r="690" spans="1:8" ht="28.5">
      <c r="A690" s="160" t="s">
        <v>1332</v>
      </c>
      <c r="B690" s="160" t="s">
        <v>464</v>
      </c>
      <c r="C690" s="157" t="s">
        <v>0</v>
      </c>
      <c r="D690" s="159">
        <v>1</v>
      </c>
      <c r="E690" s="159">
        <v>3319</v>
      </c>
      <c r="F690" s="159"/>
      <c r="G690" s="160" t="s">
        <v>1258</v>
      </c>
    </row>
    <row r="691" spans="1:8" ht="33">
      <c r="A691" s="160">
        <v>1</v>
      </c>
      <c r="B691" s="160" t="s">
        <v>1259</v>
      </c>
      <c r="C691" s="157" t="s">
        <v>0</v>
      </c>
      <c r="D691" s="159">
        <v>1</v>
      </c>
      <c r="E691" s="159">
        <v>2940.87</v>
      </c>
      <c r="F691" s="159">
        <v>2940.87</v>
      </c>
      <c r="G691" s="160" t="s">
        <v>1260</v>
      </c>
      <c r="H691" s="34" t="s">
        <v>925</v>
      </c>
    </row>
    <row r="692" spans="1:8" ht="33">
      <c r="A692" s="160">
        <v>2</v>
      </c>
      <c r="B692" s="160" t="s">
        <v>4909</v>
      </c>
      <c r="C692" s="157" t="s">
        <v>927</v>
      </c>
      <c r="D692" s="159">
        <v>0.24</v>
      </c>
      <c r="E692" s="159">
        <v>407.35</v>
      </c>
      <c r="F692" s="159">
        <v>97.76</v>
      </c>
      <c r="G692" s="160" t="s">
        <v>4910</v>
      </c>
      <c r="H692" s="34" t="s">
        <v>925</v>
      </c>
    </row>
    <row r="693" spans="1:8" ht="33">
      <c r="A693" s="160">
        <v>3</v>
      </c>
      <c r="B693" s="160" t="s">
        <v>4871</v>
      </c>
      <c r="C693" s="157" t="s">
        <v>927</v>
      </c>
      <c r="D693" s="159">
        <v>0.48</v>
      </c>
      <c r="E693" s="159">
        <v>279.18</v>
      </c>
      <c r="F693" s="159">
        <v>134.01</v>
      </c>
      <c r="G693" s="160" t="s">
        <v>4876</v>
      </c>
      <c r="H693" s="34" t="s">
        <v>925</v>
      </c>
    </row>
    <row r="694" spans="1:8" ht="33">
      <c r="A694" s="160">
        <v>4</v>
      </c>
      <c r="B694" s="160" t="s">
        <v>1263</v>
      </c>
      <c r="C694" s="157" t="s">
        <v>14</v>
      </c>
      <c r="D694" s="159">
        <v>1</v>
      </c>
      <c r="E694" s="159">
        <v>9.94</v>
      </c>
      <c r="F694" s="159">
        <v>9.94</v>
      </c>
      <c r="G694" s="160" t="s">
        <v>1264</v>
      </c>
      <c r="H694" s="34" t="s">
        <v>925</v>
      </c>
    </row>
    <row r="695" spans="1:8" ht="33">
      <c r="A695" s="160">
        <v>5</v>
      </c>
      <c r="B695" s="160" t="s">
        <v>1265</v>
      </c>
      <c r="C695" s="157" t="s">
        <v>14</v>
      </c>
      <c r="D695" s="159">
        <v>1</v>
      </c>
      <c r="E695" s="159">
        <v>9.94</v>
      </c>
      <c r="F695" s="159">
        <v>9.94</v>
      </c>
      <c r="G695" s="160" t="s">
        <v>1266</v>
      </c>
      <c r="H695" s="34" t="s">
        <v>925</v>
      </c>
    </row>
    <row r="696" spans="1:8" ht="33">
      <c r="A696" s="160">
        <v>6</v>
      </c>
      <c r="B696" s="160" t="s">
        <v>1267</v>
      </c>
      <c r="C696" s="157" t="s">
        <v>14</v>
      </c>
      <c r="D696" s="159">
        <v>1</v>
      </c>
      <c r="E696" s="159">
        <v>29.81</v>
      </c>
      <c r="F696" s="159">
        <v>29.81</v>
      </c>
      <c r="G696" s="160" t="s">
        <v>1268</v>
      </c>
      <c r="H696" s="34" t="s">
        <v>925</v>
      </c>
    </row>
    <row r="697" spans="1:8" ht="33">
      <c r="A697" s="160">
        <v>7</v>
      </c>
      <c r="B697" s="160" t="s">
        <v>931</v>
      </c>
      <c r="C697" s="157" t="s">
        <v>14</v>
      </c>
      <c r="D697" s="159">
        <v>1</v>
      </c>
      <c r="E697" s="159">
        <v>96.67</v>
      </c>
      <c r="F697" s="159">
        <v>96.67</v>
      </c>
      <c r="G697" s="160" t="s">
        <v>932</v>
      </c>
      <c r="H697" s="34" t="s">
        <v>925</v>
      </c>
    </row>
    <row r="698" spans="1:8" ht="33">
      <c r="A698" s="160"/>
      <c r="B698" s="160" t="s">
        <v>933</v>
      </c>
      <c r="C698" s="157" t="s">
        <v>0</v>
      </c>
      <c r="D698" s="159">
        <v>1</v>
      </c>
      <c r="E698" s="159"/>
      <c r="F698" s="159">
        <v>3319.0000000000005</v>
      </c>
      <c r="G698" s="160"/>
      <c r="H698" s="34" t="s">
        <v>925</v>
      </c>
    </row>
    <row r="699" spans="1:8" ht="33">
      <c r="A699" s="160"/>
      <c r="B699" s="160" t="s">
        <v>934</v>
      </c>
      <c r="C699" s="157" t="s">
        <v>0</v>
      </c>
      <c r="D699" s="159"/>
      <c r="E699" s="159"/>
      <c r="F699" s="159">
        <v>3319</v>
      </c>
      <c r="G699" s="160"/>
      <c r="H699" s="34" t="s">
        <v>925</v>
      </c>
    </row>
    <row r="700" spans="1:8" ht="33">
      <c r="A700" s="160"/>
      <c r="B700" s="160"/>
      <c r="C700" s="157"/>
      <c r="D700" s="159"/>
      <c r="E700" s="159"/>
      <c r="F700" s="159"/>
      <c r="G700" s="160"/>
      <c r="H700" s="34" t="s">
        <v>925</v>
      </c>
    </row>
    <row r="701" spans="1:8" ht="28.5">
      <c r="A701" s="160" t="s">
        <v>1346</v>
      </c>
      <c r="B701" s="160" t="s">
        <v>4501</v>
      </c>
      <c r="C701" s="157" t="s">
        <v>0</v>
      </c>
      <c r="D701" s="159">
        <v>1</v>
      </c>
      <c r="E701" s="159">
        <v>3631.55</v>
      </c>
      <c r="F701" s="159"/>
      <c r="G701" s="160" t="s">
        <v>4911</v>
      </c>
    </row>
    <row r="702" spans="1:8" ht="33">
      <c r="A702" s="160">
        <v>1</v>
      </c>
      <c r="B702" s="160" t="s">
        <v>1259</v>
      </c>
      <c r="C702" s="157" t="s">
        <v>0</v>
      </c>
      <c r="D702" s="159">
        <v>1</v>
      </c>
      <c r="E702" s="159">
        <v>2940.87</v>
      </c>
      <c r="F702" s="159">
        <v>2940.87</v>
      </c>
      <c r="G702" s="160" t="s">
        <v>1260</v>
      </c>
      <c r="H702" s="34" t="s">
        <v>925</v>
      </c>
    </row>
    <row r="703" spans="1:8" ht="33">
      <c r="A703" s="160">
        <v>2</v>
      </c>
      <c r="B703" s="160" t="s">
        <v>4912</v>
      </c>
      <c r="C703" s="157" t="s">
        <v>927</v>
      </c>
      <c r="D703" s="159">
        <v>0.28000000000000003</v>
      </c>
      <c r="E703" s="159">
        <v>814.7</v>
      </c>
      <c r="F703" s="159">
        <v>228.12</v>
      </c>
      <c r="G703" s="160" t="s">
        <v>4913</v>
      </c>
      <c r="H703" s="34" t="s">
        <v>925</v>
      </c>
    </row>
    <row r="704" spans="1:8" ht="42.75">
      <c r="A704" s="160">
        <v>3</v>
      </c>
      <c r="B704" s="160" t="s">
        <v>4874</v>
      </c>
      <c r="C704" s="157" t="s">
        <v>927</v>
      </c>
      <c r="D704" s="159">
        <v>0.55000000000000004</v>
      </c>
      <c r="E704" s="159">
        <v>558.37</v>
      </c>
      <c r="F704" s="159">
        <v>307.10000000000002</v>
      </c>
      <c r="G704" s="160" t="s">
        <v>4875</v>
      </c>
      <c r="H704" s="34" t="s">
        <v>925</v>
      </c>
    </row>
    <row r="705" spans="1:8" ht="33">
      <c r="A705" s="160">
        <v>4</v>
      </c>
      <c r="B705" s="160" t="s">
        <v>1263</v>
      </c>
      <c r="C705" s="157" t="s">
        <v>14</v>
      </c>
      <c r="D705" s="159">
        <v>1</v>
      </c>
      <c r="E705" s="159">
        <v>9.94</v>
      </c>
      <c r="F705" s="159">
        <v>9.94</v>
      </c>
      <c r="G705" s="160" t="s">
        <v>1264</v>
      </c>
      <c r="H705" s="34" t="s">
        <v>925</v>
      </c>
    </row>
    <row r="706" spans="1:8" ht="33">
      <c r="A706" s="160">
        <v>5</v>
      </c>
      <c r="B706" s="160" t="s">
        <v>1265</v>
      </c>
      <c r="C706" s="157" t="s">
        <v>14</v>
      </c>
      <c r="D706" s="159">
        <v>1</v>
      </c>
      <c r="E706" s="159">
        <v>9.94</v>
      </c>
      <c r="F706" s="159">
        <v>9.94</v>
      </c>
      <c r="G706" s="160" t="s">
        <v>1266</v>
      </c>
      <c r="H706" s="34" t="s">
        <v>925</v>
      </c>
    </row>
    <row r="707" spans="1:8" ht="33">
      <c r="A707" s="160">
        <v>6</v>
      </c>
      <c r="B707" s="160" t="s">
        <v>1267</v>
      </c>
      <c r="C707" s="157" t="s">
        <v>14</v>
      </c>
      <c r="D707" s="159">
        <v>1</v>
      </c>
      <c r="E707" s="159">
        <v>29.81</v>
      </c>
      <c r="F707" s="159">
        <v>29.81</v>
      </c>
      <c r="G707" s="160" t="s">
        <v>1268</v>
      </c>
      <c r="H707" s="34" t="s">
        <v>925</v>
      </c>
    </row>
    <row r="708" spans="1:8" ht="33">
      <c r="A708" s="160">
        <v>7</v>
      </c>
      <c r="B708" s="160" t="s">
        <v>931</v>
      </c>
      <c r="C708" s="157" t="s">
        <v>14</v>
      </c>
      <c r="D708" s="159">
        <v>1</v>
      </c>
      <c r="E708" s="159">
        <v>105.77</v>
      </c>
      <c r="F708" s="159">
        <v>105.77</v>
      </c>
      <c r="G708" s="160" t="s">
        <v>932</v>
      </c>
      <c r="H708" s="34" t="s">
        <v>925</v>
      </c>
    </row>
    <row r="709" spans="1:8" ht="33">
      <c r="A709" s="160"/>
      <c r="B709" s="160" t="s">
        <v>933</v>
      </c>
      <c r="C709" s="157" t="s">
        <v>0</v>
      </c>
      <c r="D709" s="159">
        <v>1</v>
      </c>
      <c r="E709" s="159"/>
      <c r="F709" s="159">
        <v>3631.5499999999997</v>
      </c>
      <c r="G709" s="160"/>
      <c r="H709" s="34" t="s">
        <v>925</v>
      </c>
    </row>
    <row r="710" spans="1:8" ht="33">
      <c r="A710" s="160"/>
      <c r="B710" s="160" t="s">
        <v>934</v>
      </c>
      <c r="C710" s="157" t="s">
        <v>0</v>
      </c>
      <c r="D710" s="159"/>
      <c r="E710" s="159"/>
      <c r="F710" s="159">
        <v>3631.55</v>
      </c>
      <c r="G710" s="160"/>
      <c r="H710" s="34" t="s">
        <v>925</v>
      </c>
    </row>
    <row r="711" spans="1:8" ht="33">
      <c r="A711" s="160"/>
      <c r="B711" s="160"/>
      <c r="C711" s="157"/>
      <c r="D711" s="159"/>
      <c r="E711" s="159"/>
      <c r="F711" s="159"/>
      <c r="G711" s="160"/>
      <c r="H711" s="34" t="s">
        <v>925</v>
      </c>
    </row>
    <row r="712" spans="1:8" ht="28.5">
      <c r="A712" s="160" t="s">
        <v>1351</v>
      </c>
      <c r="B712" s="160" t="s">
        <v>1270</v>
      </c>
      <c r="C712" s="157" t="s">
        <v>0</v>
      </c>
      <c r="D712" s="159">
        <v>1</v>
      </c>
      <c r="E712" s="159">
        <v>3411.1</v>
      </c>
      <c r="F712" s="159"/>
      <c r="G712" s="160" t="s">
        <v>1271</v>
      </c>
    </row>
    <row r="713" spans="1:8" ht="33">
      <c r="A713" s="160">
        <v>1</v>
      </c>
      <c r="B713" s="160" t="s">
        <v>1272</v>
      </c>
      <c r="C713" s="157" t="s">
        <v>0</v>
      </c>
      <c r="D713" s="159">
        <v>1</v>
      </c>
      <c r="E713" s="159">
        <v>3030.29</v>
      </c>
      <c r="F713" s="159">
        <v>3030.29</v>
      </c>
      <c r="G713" s="160" t="s">
        <v>1273</v>
      </c>
      <c r="H713" s="34" t="s">
        <v>925</v>
      </c>
    </row>
    <row r="714" spans="1:8" ht="33">
      <c r="A714" s="160">
        <v>2</v>
      </c>
      <c r="B714" s="160" t="s">
        <v>4909</v>
      </c>
      <c r="C714" s="157" t="s">
        <v>927</v>
      </c>
      <c r="D714" s="159">
        <v>0.24</v>
      </c>
      <c r="E714" s="159">
        <v>407.35</v>
      </c>
      <c r="F714" s="159">
        <v>97.76</v>
      </c>
      <c r="G714" s="160" t="s">
        <v>4910</v>
      </c>
      <c r="H714" s="34" t="s">
        <v>925</v>
      </c>
    </row>
    <row r="715" spans="1:8" ht="33">
      <c r="A715" s="160">
        <v>3</v>
      </c>
      <c r="B715" s="160" t="s">
        <v>4871</v>
      </c>
      <c r="C715" s="157" t="s">
        <v>927</v>
      </c>
      <c r="D715" s="159">
        <v>0.48</v>
      </c>
      <c r="E715" s="159">
        <v>279.18</v>
      </c>
      <c r="F715" s="159">
        <v>134.01</v>
      </c>
      <c r="G715" s="160" t="s">
        <v>4876</v>
      </c>
      <c r="H715" s="34" t="s">
        <v>925</v>
      </c>
    </row>
    <row r="716" spans="1:8" ht="33">
      <c r="A716" s="160">
        <v>4</v>
      </c>
      <c r="B716" s="160" t="s">
        <v>1263</v>
      </c>
      <c r="C716" s="157" t="s">
        <v>14</v>
      </c>
      <c r="D716" s="159">
        <v>1</v>
      </c>
      <c r="E716" s="159">
        <v>9.94</v>
      </c>
      <c r="F716" s="159">
        <v>9.94</v>
      </c>
      <c r="G716" s="160" t="s">
        <v>1264</v>
      </c>
      <c r="H716" s="34" t="s">
        <v>925</v>
      </c>
    </row>
    <row r="717" spans="1:8" ht="33">
      <c r="A717" s="160">
        <v>5</v>
      </c>
      <c r="B717" s="160" t="s">
        <v>1265</v>
      </c>
      <c r="C717" s="157" t="s">
        <v>14</v>
      </c>
      <c r="D717" s="159">
        <v>1</v>
      </c>
      <c r="E717" s="159">
        <v>9.94</v>
      </c>
      <c r="F717" s="159">
        <v>9.94</v>
      </c>
      <c r="G717" s="160" t="s">
        <v>1266</v>
      </c>
      <c r="H717" s="34" t="s">
        <v>925</v>
      </c>
    </row>
    <row r="718" spans="1:8" ht="33">
      <c r="A718" s="160">
        <v>6</v>
      </c>
      <c r="B718" s="160" t="s">
        <v>1267</v>
      </c>
      <c r="C718" s="157" t="s">
        <v>14</v>
      </c>
      <c r="D718" s="159">
        <v>1</v>
      </c>
      <c r="E718" s="159">
        <v>29.81</v>
      </c>
      <c r="F718" s="159">
        <v>29.81</v>
      </c>
      <c r="G718" s="160" t="s">
        <v>1268</v>
      </c>
      <c r="H718" s="34" t="s">
        <v>925</v>
      </c>
    </row>
    <row r="719" spans="1:8" ht="33">
      <c r="A719" s="160">
        <v>7</v>
      </c>
      <c r="B719" s="160" t="s">
        <v>931</v>
      </c>
      <c r="C719" s="157" t="s">
        <v>14</v>
      </c>
      <c r="D719" s="159">
        <v>1</v>
      </c>
      <c r="E719" s="159">
        <v>99.35</v>
      </c>
      <c r="F719" s="159">
        <v>99.35</v>
      </c>
      <c r="G719" s="160" t="s">
        <v>932</v>
      </c>
      <c r="H719" s="34" t="s">
        <v>925</v>
      </c>
    </row>
    <row r="720" spans="1:8" ht="33">
      <c r="A720" s="160"/>
      <c r="B720" s="160" t="s">
        <v>933</v>
      </c>
      <c r="C720" s="157" t="s">
        <v>0</v>
      </c>
      <c r="D720" s="159">
        <v>1</v>
      </c>
      <c r="E720" s="159"/>
      <c r="F720" s="159">
        <v>3411.1000000000004</v>
      </c>
      <c r="G720" s="160"/>
      <c r="H720" s="34" t="s">
        <v>925</v>
      </c>
    </row>
    <row r="721" spans="1:8" ht="16.5">
      <c r="A721" s="160"/>
      <c r="B721" s="160" t="s">
        <v>934</v>
      </c>
      <c r="C721" s="157" t="s">
        <v>0</v>
      </c>
      <c r="D721" s="159"/>
      <c r="E721" s="159"/>
      <c r="F721" s="159">
        <v>3411.1</v>
      </c>
      <c r="G721" s="160"/>
    </row>
    <row r="722" spans="1:8" ht="33">
      <c r="A722" s="160"/>
      <c r="B722" s="160"/>
      <c r="C722" s="157"/>
      <c r="D722" s="159"/>
      <c r="E722" s="159"/>
      <c r="F722" s="159"/>
      <c r="G722" s="160"/>
      <c r="H722" s="34" t="s">
        <v>925</v>
      </c>
    </row>
    <row r="723" spans="1:8" ht="57">
      <c r="A723" s="160" t="s">
        <v>1356</v>
      </c>
      <c r="B723" s="160" t="s">
        <v>1275</v>
      </c>
      <c r="C723" s="157" t="s">
        <v>0</v>
      </c>
      <c r="D723" s="159">
        <v>1</v>
      </c>
      <c r="E723" s="159">
        <v>3513.44</v>
      </c>
      <c r="F723" s="159"/>
      <c r="G723" s="160" t="s">
        <v>1276</v>
      </c>
      <c r="H723" s="34" t="s">
        <v>925</v>
      </c>
    </row>
    <row r="724" spans="1:8" ht="57">
      <c r="A724" s="160">
        <v>1</v>
      </c>
      <c r="B724" s="160" t="s">
        <v>1277</v>
      </c>
      <c r="C724" s="157" t="s">
        <v>0</v>
      </c>
      <c r="D724" s="159">
        <v>1</v>
      </c>
      <c r="E724" s="159">
        <v>3129.65</v>
      </c>
      <c r="F724" s="159">
        <v>3129.65</v>
      </c>
      <c r="G724" s="160" t="s">
        <v>1278</v>
      </c>
      <c r="H724" s="34" t="s">
        <v>925</v>
      </c>
    </row>
    <row r="725" spans="1:8" ht="33">
      <c r="A725" s="160">
        <v>2</v>
      </c>
      <c r="B725" s="160" t="s">
        <v>4909</v>
      </c>
      <c r="C725" s="157" t="s">
        <v>927</v>
      </c>
      <c r="D725" s="159">
        <v>0.24</v>
      </c>
      <c r="E725" s="159">
        <v>407.35</v>
      </c>
      <c r="F725" s="159">
        <v>97.76</v>
      </c>
      <c r="G725" s="160" t="s">
        <v>4910</v>
      </c>
      <c r="H725" s="34" t="s">
        <v>925</v>
      </c>
    </row>
    <row r="726" spans="1:8" ht="33">
      <c r="A726" s="160">
        <v>3</v>
      </c>
      <c r="B726" s="160" t="s">
        <v>4871</v>
      </c>
      <c r="C726" s="157" t="s">
        <v>927</v>
      </c>
      <c r="D726" s="159">
        <v>0.48</v>
      </c>
      <c r="E726" s="159">
        <v>279.18</v>
      </c>
      <c r="F726" s="159">
        <v>134.01</v>
      </c>
      <c r="G726" s="160" t="s">
        <v>4876</v>
      </c>
      <c r="H726" s="34" t="s">
        <v>925</v>
      </c>
    </row>
    <row r="727" spans="1:8" ht="33">
      <c r="A727" s="160">
        <v>4</v>
      </c>
      <c r="B727" s="160" t="s">
        <v>1263</v>
      </c>
      <c r="C727" s="157" t="s">
        <v>14</v>
      </c>
      <c r="D727" s="159">
        <v>1</v>
      </c>
      <c r="E727" s="159">
        <v>9.94</v>
      </c>
      <c r="F727" s="159">
        <v>9.94</v>
      </c>
      <c r="G727" s="160" t="s">
        <v>1264</v>
      </c>
      <c r="H727" s="34" t="s">
        <v>925</v>
      </c>
    </row>
    <row r="728" spans="1:8" ht="33">
      <c r="A728" s="160">
        <v>5</v>
      </c>
      <c r="B728" s="160" t="s">
        <v>1265</v>
      </c>
      <c r="C728" s="157" t="s">
        <v>14</v>
      </c>
      <c r="D728" s="159">
        <v>1</v>
      </c>
      <c r="E728" s="159">
        <v>9.94</v>
      </c>
      <c r="F728" s="159">
        <v>9.94</v>
      </c>
      <c r="G728" s="160" t="s">
        <v>1266</v>
      </c>
      <c r="H728" s="34" t="s">
        <v>925</v>
      </c>
    </row>
    <row r="729" spans="1:8" ht="28.5">
      <c r="A729" s="160">
        <v>6</v>
      </c>
      <c r="B729" s="160" t="s">
        <v>1267</v>
      </c>
      <c r="C729" s="157" t="s">
        <v>14</v>
      </c>
      <c r="D729" s="159">
        <v>1</v>
      </c>
      <c r="E729" s="159">
        <v>29.81</v>
      </c>
      <c r="F729" s="159">
        <v>29.81</v>
      </c>
      <c r="G729" s="160" t="s">
        <v>1268</v>
      </c>
    </row>
    <row r="730" spans="1:8" ht="33">
      <c r="A730" s="160">
        <v>7</v>
      </c>
      <c r="B730" s="160" t="s">
        <v>931</v>
      </c>
      <c r="C730" s="157" t="s">
        <v>14</v>
      </c>
      <c r="D730" s="159">
        <v>1</v>
      </c>
      <c r="E730" s="159">
        <v>102.33</v>
      </c>
      <c r="F730" s="159">
        <v>102.33</v>
      </c>
      <c r="G730" s="160" t="s">
        <v>932</v>
      </c>
      <c r="H730" s="34" t="s">
        <v>925</v>
      </c>
    </row>
    <row r="731" spans="1:8" ht="33">
      <c r="A731" s="160"/>
      <c r="B731" s="160" t="s">
        <v>933</v>
      </c>
      <c r="C731" s="157" t="s">
        <v>0</v>
      </c>
      <c r="D731" s="159">
        <v>1</v>
      </c>
      <c r="E731" s="159"/>
      <c r="F731" s="159">
        <v>3513.44</v>
      </c>
      <c r="G731" s="160"/>
      <c r="H731" s="34" t="s">
        <v>925</v>
      </c>
    </row>
    <row r="732" spans="1:8" ht="33">
      <c r="A732" s="160"/>
      <c r="B732" s="160" t="s">
        <v>934</v>
      </c>
      <c r="C732" s="157" t="s">
        <v>0</v>
      </c>
      <c r="D732" s="159"/>
      <c r="E732" s="159"/>
      <c r="F732" s="159">
        <v>3513.44</v>
      </c>
      <c r="G732" s="160"/>
      <c r="H732" s="34" t="s">
        <v>925</v>
      </c>
    </row>
    <row r="733" spans="1:8" ht="33">
      <c r="A733" s="160"/>
      <c r="B733" s="160"/>
      <c r="C733" s="157"/>
      <c r="D733" s="159"/>
      <c r="E733" s="159"/>
      <c r="F733" s="159"/>
      <c r="G733" s="160"/>
      <c r="H733" s="34" t="s">
        <v>925</v>
      </c>
    </row>
    <row r="734" spans="1:8" ht="57">
      <c r="A734" s="160" t="s">
        <v>1359</v>
      </c>
      <c r="B734" s="160" t="s">
        <v>4505</v>
      </c>
      <c r="C734" s="157" t="s">
        <v>0</v>
      </c>
      <c r="D734" s="159">
        <v>1</v>
      </c>
      <c r="E734" s="159">
        <v>3826</v>
      </c>
      <c r="F734" s="159"/>
      <c r="G734" s="160" t="s">
        <v>4914</v>
      </c>
      <c r="H734" s="34" t="s">
        <v>925</v>
      </c>
    </row>
    <row r="735" spans="1:8" ht="57">
      <c r="A735" s="160">
        <v>1</v>
      </c>
      <c r="B735" s="160" t="s">
        <v>1277</v>
      </c>
      <c r="C735" s="157" t="s">
        <v>0</v>
      </c>
      <c r="D735" s="159">
        <v>1</v>
      </c>
      <c r="E735" s="159">
        <v>3129.65</v>
      </c>
      <c r="F735" s="159">
        <v>3129.65</v>
      </c>
      <c r="G735" s="160" t="s">
        <v>1278</v>
      </c>
      <c r="H735" s="34" t="s">
        <v>925</v>
      </c>
    </row>
    <row r="736" spans="1:8" ht="33">
      <c r="A736" s="160">
        <v>2</v>
      </c>
      <c r="B736" s="160" t="s">
        <v>4912</v>
      </c>
      <c r="C736" s="157" t="s">
        <v>927</v>
      </c>
      <c r="D736" s="159">
        <v>0.28000000000000003</v>
      </c>
      <c r="E736" s="159">
        <v>814.7</v>
      </c>
      <c r="F736" s="159">
        <v>228.12</v>
      </c>
      <c r="G736" s="160" t="s">
        <v>4913</v>
      </c>
      <c r="H736" s="34" t="s">
        <v>925</v>
      </c>
    </row>
    <row r="737" spans="1:8" ht="42.75">
      <c r="A737" s="160">
        <v>3</v>
      </c>
      <c r="B737" s="160" t="s">
        <v>4874</v>
      </c>
      <c r="C737" s="157" t="s">
        <v>927</v>
      </c>
      <c r="D737" s="159">
        <v>0.55000000000000004</v>
      </c>
      <c r="E737" s="159">
        <v>558.37</v>
      </c>
      <c r="F737" s="159">
        <v>307.10000000000002</v>
      </c>
      <c r="G737" s="160" t="s">
        <v>4875</v>
      </c>
      <c r="H737" s="34" t="s">
        <v>925</v>
      </c>
    </row>
    <row r="738" spans="1:8" ht="33">
      <c r="A738" s="160">
        <v>4</v>
      </c>
      <c r="B738" s="160" t="s">
        <v>1263</v>
      </c>
      <c r="C738" s="157" t="s">
        <v>14</v>
      </c>
      <c r="D738" s="159">
        <v>1</v>
      </c>
      <c r="E738" s="159">
        <v>9.94</v>
      </c>
      <c r="F738" s="159">
        <v>9.94</v>
      </c>
      <c r="G738" s="160" t="s">
        <v>1264</v>
      </c>
      <c r="H738" s="34" t="s">
        <v>925</v>
      </c>
    </row>
    <row r="739" spans="1:8" ht="33">
      <c r="A739" s="160">
        <v>5</v>
      </c>
      <c r="B739" s="160" t="s">
        <v>1265</v>
      </c>
      <c r="C739" s="157" t="s">
        <v>14</v>
      </c>
      <c r="D739" s="159">
        <v>1</v>
      </c>
      <c r="E739" s="159">
        <v>9.94</v>
      </c>
      <c r="F739" s="159">
        <v>9.94</v>
      </c>
      <c r="G739" s="160" t="s">
        <v>1266</v>
      </c>
      <c r="H739" s="34" t="s">
        <v>925</v>
      </c>
    </row>
    <row r="740" spans="1:8" ht="33">
      <c r="A740" s="160">
        <v>6</v>
      </c>
      <c r="B740" s="160" t="s">
        <v>1267</v>
      </c>
      <c r="C740" s="157" t="s">
        <v>14</v>
      </c>
      <c r="D740" s="159">
        <v>1</v>
      </c>
      <c r="E740" s="159">
        <v>29.81</v>
      </c>
      <c r="F740" s="159">
        <v>29.81</v>
      </c>
      <c r="G740" s="160" t="s">
        <v>1268</v>
      </c>
      <c r="H740" s="34" t="s">
        <v>925</v>
      </c>
    </row>
    <row r="741" spans="1:8" ht="33">
      <c r="A741" s="160">
        <v>7</v>
      </c>
      <c r="B741" s="160" t="s">
        <v>931</v>
      </c>
      <c r="C741" s="157" t="s">
        <v>14</v>
      </c>
      <c r="D741" s="159">
        <v>1</v>
      </c>
      <c r="E741" s="159">
        <v>111.44</v>
      </c>
      <c r="F741" s="159">
        <v>111.44</v>
      </c>
      <c r="G741" s="160" t="s">
        <v>932</v>
      </c>
      <c r="H741" s="34" t="s">
        <v>925</v>
      </c>
    </row>
    <row r="742" spans="1:8" ht="16.5">
      <c r="A742" s="160"/>
      <c r="B742" s="160" t="s">
        <v>933</v>
      </c>
      <c r="C742" s="157" t="s">
        <v>0</v>
      </c>
      <c r="D742" s="159">
        <v>1</v>
      </c>
      <c r="E742" s="159"/>
      <c r="F742" s="159">
        <v>3826</v>
      </c>
      <c r="G742" s="160"/>
    </row>
    <row r="743" spans="1:8" ht="33">
      <c r="A743" s="160"/>
      <c r="B743" s="160" t="s">
        <v>934</v>
      </c>
      <c r="C743" s="157" t="s">
        <v>0</v>
      </c>
      <c r="D743" s="159"/>
      <c r="E743" s="159"/>
      <c r="F743" s="159">
        <v>3826</v>
      </c>
      <c r="G743" s="160"/>
      <c r="H743" s="34" t="s">
        <v>925</v>
      </c>
    </row>
    <row r="744" spans="1:8" ht="33">
      <c r="A744" s="160"/>
      <c r="B744" s="160"/>
      <c r="C744" s="157"/>
      <c r="D744" s="159"/>
      <c r="E744" s="159"/>
      <c r="F744" s="159"/>
      <c r="G744" s="160"/>
      <c r="H744" s="34" t="s">
        <v>925</v>
      </c>
    </row>
    <row r="745" spans="1:8" ht="33">
      <c r="A745" s="160" t="s">
        <v>1362</v>
      </c>
      <c r="B745" s="160" t="s">
        <v>1280</v>
      </c>
      <c r="C745" s="157" t="s">
        <v>0</v>
      </c>
      <c r="D745" s="159">
        <v>1</v>
      </c>
      <c r="E745" s="159">
        <v>3682.24</v>
      </c>
      <c r="F745" s="159"/>
      <c r="G745" s="160" t="s">
        <v>1281</v>
      </c>
      <c r="H745" s="34" t="s">
        <v>925</v>
      </c>
    </row>
    <row r="746" spans="1:8" ht="33">
      <c r="A746" s="160">
        <v>1</v>
      </c>
      <c r="B746" s="160" t="s">
        <v>1282</v>
      </c>
      <c r="C746" s="157" t="s">
        <v>0</v>
      </c>
      <c r="D746" s="159">
        <v>1</v>
      </c>
      <c r="E746" s="159">
        <v>3238.93</v>
      </c>
      <c r="F746" s="159">
        <v>3238.93</v>
      </c>
      <c r="G746" s="160" t="s">
        <v>1283</v>
      </c>
      <c r="H746" s="34" t="s">
        <v>925</v>
      </c>
    </row>
    <row r="747" spans="1:8" ht="33">
      <c r="A747" s="160">
        <v>2</v>
      </c>
      <c r="B747" s="160" t="s">
        <v>4909</v>
      </c>
      <c r="C747" s="157" t="s">
        <v>927</v>
      </c>
      <c r="D747" s="159">
        <v>0.24</v>
      </c>
      <c r="E747" s="159">
        <v>407.35</v>
      </c>
      <c r="F747" s="159">
        <v>97.76</v>
      </c>
      <c r="G747" s="160" t="s">
        <v>4910</v>
      </c>
      <c r="H747" s="34" t="s">
        <v>925</v>
      </c>
    </row>
    <row r="748" spans="1:8" ht="33">
      <c r="A748" s="160">
        <v>3</v>
      </c>
      <c r="B748" s="160" t="s">
        <v>4871</v>
      </c>
      <c r="C748" s="157" t="s">
        <v>927</v>
      </c>
      <c r="D748" s="159">
        <v>0.64</v>
      </c>
      <c r="E748" s="159">
        <v>279.18</v>
      </c>
      <c r="F748" s="159">
        <v>178.68</v>
      </c>
      <c r="G748" s="160" t="s">
        <v>4876</v>
      </c>
      <c r="H748" s="34" t="s">
        <v>925</v>
      </c>
    </row>
    <row r="749" spans="1:8" ht="33">
      <c r="A749" s="160">
        <v>4</v>
      </c>
      <c r="B749" s="160" t="s">
        <v>1263</v>
      </c>
      <c r="C749" s="157" t="s">
        <v>14</v>
      </c>
      <c r="D749" s="159">
        <v>1</v>
      </c>
      <c r="E749" s="159">
        <v>12.92</v>
      </c>
      <c r="F749" s="159">
        <v>12.92</v>
      </c>
      <c r="G749" s="160" t="s">
        <v>1264</v>
      </c>
      <c r="H749" s="34" t="s">
        <v>925</v>
      </c>
    </row>
    <row r="750" spans="1:8" ht="33">
      <c r="A750" s="160">
        <v>5</v>
      </c>
      <c r="B750" s="160" t="s">
        <v>1265</v>
      </c>
      <c r="C750" s="157" t="s">
        <v>14</v>
      </c>
      <c r="D750" s="159">
        <v>1</v>
      </c>
      <c r="E750" s="159">
        <v>9.94</v>
      </c>
      <c r="F750" s="159">
        <v>9.94</v>
      </c>
      <c r="G750" s="160" t="s">
        <v>1266</v>
      </c>
      <c r="H750" s="34" t="s">
        <v>925</v>
      </c>
    </row>
    <row r="751" spans="1:8" ht="33">
      <c r="A751" s="160">
        <v>6</v>
      </c>
      <c r="B751" s="160" t="s">
        <v>1267</v>
      </c>
      <c r="C751" s="157" t="s">
        <v>14</v>
      </c>
      <c r="D751" s="159">
        <v>1</v>
      </c>
      <c r="E751" s="159">
        <v>36.76</v>
      </c>
      <c r="F751" s="159">
        <v>36.76</v>
      </c>
      <c r="G751" s="160" t="s">
        <v>1268</v>
      </c>
      <c r="H751" s="34" t="s">
        <v>925</v>
      </c>
    </row>
    <row r="752" spans="1:8" ht="33">
      <c r="A752" s="160">
        <v>7</v>
      </c>
      <c r="B752" s="160" t="s">
        <v>931</v>
      </c>
      <c r="C752" s="157" t="s">
        <v>14</v>
      </c>
      <c r="D752" s="159">
        <v>1</v>
      </c>
      <c r="E752" s="159">
        <v>107.25</v>
      </c>
      <c r="F752" s="159">
        <v>107.25</v>
      </c>
      <c r="G752" s="160" t="s">
        <v>932</v>
      </c>
      <c r="H752" s="34" t="s">
        <v>925</v>
      </c>
    </row>
    <row r="753" spans="1:8" ht="33">
      <c r="A753" s="160"/>
      <c r="B753" s="160" t="s">
        <v>933</v>
      </c>
      <c r="C753" s="157" t="s">
        <v>0</v>
      </c>
      <c r="D753" s="159">
        <v>1</v>
      </c>
      <c r="E753" s="159"/>
      <c r="F753" s="159">
        <v>3682.2400000000002</v>
      </c>
      <c r="G753" s="160"/>
      <c r="H753" s="34" t="s">
        <v>925</v>
      </c>
    </row>
    <row r="754" spans="1:8" ht="33">
      <c r="A754" s="160"/>
      <c r="B754" s="160" t="s">
        <v>934</v>
      </c>
      <c r="C754" s="157" t="s">
        <v>0</v>
      </c>
      <c r="D754" s="159"/>
      <c r="E754" s="159"/>
      <c r="F754" s="159">
        <v>3682.24</v>
      </c>
      <c r="G754" s="160"/>
      <c r="H754" s="34" t="s">
        <v>925</v>
      </c>
    </row>
    <row r="755" spans="1:8" ht="16.5">
      <c r="A755" s="160"/>
      <c r="B755" s="160"/>
      <c r="C755" s="157"/>
      <c r="D755" s="159"/>
      <c r="E755" s="159"/>
      <c r="F755" s="159"/>
      <c r="G755" s="160"/>
    </row>
    <row r="756" spans="1:8" ht="57">
      <c r="A756" s="160" t="s">
        <v>1368</v>
      </c>
      <c r="B756" s="160" t="s">
        <v>16</v>
      </c>
      <c r="C756" s="157" t="s">
        <v>0</v>
      </c>
      <c r="D756" s="159">
        <v>1</v>
      </c>
      <c r="E756" s="159">
        <v>3837.05</v>
      </c>
      <c r="F756" s="159"/>
      <c r="G756" s="160" t="s">
        <v>4021</v>
      </c>
      <c r="H756" s="34" t="s">
        <v>925</v>
      </c>
    </row>
    <row r="757" spans="1:8" ht="57">
      <c r="A757" s="160">
        <v>1</v>
      </c>
      <c r="B757" s="160" t="s">
        <v>1285</v>
      </c>
      <c r="C757" s="157" t="s">
        <v>0</v>
      </c>
      <c r="D757" s="159">
        <v>1</v>
      </c>
      <c r="E757" s="159">
        <v>3328.35</v>
      </c>
      <c r="F757" s="159">
        <v>3328.35</v>
      </c>
      <c r="G757" s="160" t="s">
        <v>4915</v>
      </c>
      <c r="H757" s="34" t="s">
        <v>925</v>
      </c>
    </row>
    <row r="758" spans="1:8" ht="33">
      <c r="A758" s="160">
        <v>2</v>
      </c>
      <c r="B758" s="160" t="s">
        <v>4909</v>
      </c>
      <c r="C758" s="157" t="s">
        <v>927</v>
      </c>
      <c r="D758" s="159">
        <v>0.32</v>
      </c>
      <c r="E758" s="159">
        <v>407.35</v>
      </c>
      <c r="F758" s="159">
        <v>130.35</v>
      </c>
      <c r="G758" s="160" t="s">
        <v>4910</v>
      </c>
      <c r="H758" s="34" t="s">
        <v>925</v>
      </c>
    </row>
    <row r="759" spans="1:8" ht="33">
      <c r="A759" s="160">
        <v>3</v>
      </c>
      <c r="B759" s="160" t="s">
        <v>4871</v>
      </c>
      <c r="C759" s="157" t="s">
        <v>927</v>
      </c>
      <c r="D759" s="159">
        <v>0.72</v>
      </c>
      <c r="E759" s="159">
        <v>279.18</v>
      </c>
      <c r="F759" s="159">
        <v>201.01</v>
      </c>
      <c r="G759" s="160" t="s">
        <v>4876</v>
      </c>
      <c r="H759" s="34" t="s">
        <v>925</v>
      </c>
    </row>
    <row r="760" spans="1:8" ht="33">
      <c r="A760" s="160">
        <v>4</v>
      </c>
      <c r="B760" s="160" t="s">
        <v>1263</v>
      </c>
      <c r="C760" s="157" t="s">
        <v>14</v>
      </c>
      <c r="D760" s="159">
        <v>1</v>
      </c>
      <c r="E760" s="159">
        <v>12.92</v>
      </c>
      <c r="F760" s="159">
        <v>12.92</v>
      </c>
      <c r="G760" s="160" t="s">
        <v>1264</v>
      </c>
      <c r="H760" s="34" t="s">
        <v>925</v>
      </c>
    </row>
    <row r="761" spans="1:8" ht="33">
      <c r="A761" s="160">
        <v>5</v>
      </c>
      <c r="B761" s="160" t="s">
        <v>1265</v>
      </c>
      <c r="C761" s="157" t="s">
        <v>14</v>
      </c>
      <c r="D761" s="159">
        <v>1</v>
      </c>
      <c r="E761" s="159">
        <v>12.92</v>
      </c>
      <c r="F761" s="159">
        <v>12.92</v>
      </c>
      <c r="G761" s="160" t="s">
        <v>1266</v>
      </c>
      <c r="H761" s="34" t="s">
        <v>925</v>
      </c>
    </row>
    <row r="762" spans="1:8" ht="33">
      <c r="A762" s="160">
        <v>6</v>
      </c>
      <c r="B762" s="160" t="s">
        <v>1267</v>
      </c>
      <c r="C762" s="157" t="s">
        <v>14</v>
      </c>
      <c r="D762" s="159">
        <v>1</v>
      </c>
      <c r="E762" s="159">
        <v>39.74</v>
      </c>
      <c r="F762" s="159">
        <v>39.74</v>
      </c>
      <c r="G762" s="160" t="s">
        <v>1268</v>
      </c>
      <c r="H762" s="34" t="s">
        <v>925</v>
      </c>
    </row>
    <row r="763" spans="1:8" ht="33">
      <c r="A763" s="160">
        <v>7</v>
      </c>
      <c r="B763" s="160" t="s">
        <v>931</v>
      </c>
      <c r="C763" s="157" t="s">
        <v>14</v>
      </c>
      <c r="D763" s="159">
        <v>1</v>
      </c>
      <c r="E763" s="159">
        <v>111.76</v>
      </c>
      <c r="F763" s="159">
        <v>111.76</v>
      </c>
      <c r="G763" s="160" t="s">
        <v>932</v>
      </c>
      <c r="H763" s="34" t="s">
        <v>925</v>
      </c>
    </row>
    <row r="764" spans="1:8" ht="33">
      <c r="A764" s="160"/>
      <c r="B764" s="160" t="s">
        <v>933</v>
      </c>
      <c r="C764" s="157" t="s">
        <v>0</v>
      </c>
      <c r="D764" s="159">
        <v>1</v>
      </c>
      <c r="E764" s="159"/>
      <c r="F764" s="159">
        <v>3837.05</v>
      </c>
      <c r="G764" s="160"/>
      <c r="H764" s="34" t="s">
        <v>925</v>
      </c>
    </row>
    <row r="765" spans="1:8" ht="33">
      <c r="A765" s="160"/>
      <c r="B765" s="160" t="s">
        <v>934</v>
      </c>
      <c r="C765" s="157" t="s">
        <v>0</v>
      </c>
      <c r="D765" s="159"/>
      <c r="E765" s="159"/>
      <c r="F765" s="159">
        <v>3837.05</v>
      </c>
      <c r="G765" s="160"/>
      <c r="H765" s="34" t="s">
        <v>925</v>
      </c>
    </row>
    <row r="766" spans="1:8" ht="33">
      <c r="A766" s="160"/>
      <c r="B766" s="160"/>
      <c r="C766" s="157"/>
      <c r="D766" s="159"/>
      <c r="E766" s="159"/>
      <c r="F766" s="159"/>
      <c r="G766" s="160"/>
      <c r="H766" s="34" t="s">
        <v>925</v>
      </c>
    </row>
    <row r="767" spans="1:8" ht="57">
      <c r="A767" s="160" t="s">
        <v>1371</v>
      </c>
      <c r="B767" s="160" t="s">
        <v>4509</v>
      </c>
      <c r="C767" s="157" t="s">
        <v>0</v>
      </c>
      <c r="D767" s="159">
        <v>1</v>
      </c>
      <c r="E767" s="159">
        <v>4283.58</v>
      </c>
      <c r="F767" s="159"/>
      <c r="G767" s="160" t="s">
        <v>4916</v>
      </c>
      <c r="H767" s="34" t="s">
        <v>925</v>
      </c>
    </row>
    <row r="768" spans="1:8" ht="57">
      <c r="A768" s="160">
        <v>1</v>
      </c>
      <c r="B768" s="160" t="s">
        <v>1285</v>
      </c>
      <c r="C768" s="157" t="s">
        <v>0</v>
      </c>
      <c r="D768" s="159">
        <v>1</v>
      </c>
      <c r="E768" s="159">
        <v>3328.35</v>
      </c>
      <c r="F768" s="159">
        <v>3328.35</v>
      </c>
      <c r="G768" s="160" t="s">
        <v>4915</v>
      </c>
    </row>
    <row r="769" spans="1:8" ht="33">
      <c r="A769" s="160">
        <v>2</v>
      </c>
      <c r="B769" s="160" t="s">
        <v>4912</v>
      </c>
      <c r="C769" s="157" t="s">
        <v>927</v>
      </c>
      <c r="D769" s="159">
        <v>0.37</v>
      </c>
      <c r="E769" s="159">
        <v>814.7</v>
      </c>
      <c r="F769" s="159">
        <v>301.44</v>
      </c>
      <c r="G769" s="160" t="s">
        <v>4913</v>
      </c>
      <c r="H769" s="34" t="s">
        <v>925</v>
      </c>
    </row>
    <row r="770" spans="1:8" ht="42.75">
      <c r="A770" s="160">
        <v>3</v>
      </c>
      <c r="B770" s="160" t="s">
        <v>4874</v>
      </c>
      <c r="C770" s="157" t="s">
        <v>927</v>
      </c>
      <c r="D770" s="159">
        <v>0.83</v>
      </c>
      <c r="E770" s="159">
        <v>558.37</v>
      </c>
      <c r="F770" s="159">
        <v>463.45</v>
      </c>
      <c r="G770" s="160" t="s">
        <v>4875</v>
      </c>
      <c r="H770" s="34" t="s">
        <v>925</v>
      </c>
    </row>
    <row r="771" spans="1:8" ht="33">
      <c r="A771" s="160">
        <v>4</v>
      </c>
      <c r="B771" s="160" t="s">
        <v>1263</v>
      </c>
      <c r="C771" s="157" t="s">
        <v>14</v>
      </c>
      <c r="D771" s="159">
        <v>1</v>
      </c>
      <c r="E771" s="159">
        <v>12.92</v>
      </c>
      <c r="F771" s="159">
        <v>12.92</v>
      </c>
      <c r="G771" s="160" t="s">
        <v>1264</v>
      </c>
      <c r="H771" s="34" t="s">
        <v>925</v>
      </c>
    </row>
    <row r="772" spans="1:8" ht="33">
      <c r="A772" s="160">
        <v>5</v>
      </c>
      <c r="B772" s="160" t="s">
        <v>1265</v>
      </c>
      <c r="C772" s="157" t="s">
        <v>14</v>
      </c>
      <c r="D772" s="159">
        <v>1</v>
      </c>
      <c r="E772" s="159">
        <v>12.92</v>
      </c>
      <c r="F772" s="159">
        <v>12.92</v>
      </c>
      <c r="G772" s="160" t="s">
        <v>1266</v>
      </c>
      <c r="H772" s="34" t="s">
        <v>925</v>
      </c>
    </row>
    <row r="773" spans="1:8" ht="33">
      <c r="A773" s="160">
        <v>6</v>
      </c>
      <c r="B773" s="160" t="s">
        <v>1267</v>
      </c>
      <c r="C773" s="157" t="s">
        <v>14</v>
      </c>
      <c r="D773" s="159">
        <v>1</v>
      </c>
      <c r="E773" s="159">
        <v>39.74</v>
      </c>
      <c r="F773" s="159">
        <v>39.74</v>
      </c>
      <c r="G773" s="160" t="s">
        <v>1268</v>
      </c>
      <c r="H773" s="34" t="s">
        <v>925</v>
      </c>
    </row>
    <row r="774" spans="1:8" ht="33">
      <c r="A774" s="160">
        <v>7</v>
      </c>
      <c r="B774" s="160" t="s">
        <v>931</v>
      </c>
      <c r="C774" s="157" t="s">
        <v>14</v>
      </c>
      <c r="D774" s="159">
        <v>1</v>
      </c>
      <c r="E774" s="159">
        <v>124.76</v>
      </c>
      <c r="F774" s="159">
        <v>124.76</v>
      </c>
      <c r="G774" s="160" t="s">
        <v>932</v>
      </c>
      <c r="H774" s="34" t="s">
        <v>925</v>
      </c>
    </row>
    <row r="775" spans="1:8" ht="33">
      <c r="A775" s="160"/>
      <c r="B775" s="160" t="s">
        <v>933</v>
      </c>
      <c r="C775" s="157" t="s">
        <v>0</v>
      </c>
      <c r="D775" s="159">
        <v>1</v>
      </c>
      <c r="E775" s="159"/>
      <c r="F775" s="159">
        <v>4283.58</v>
      </c>
      <c r="G775" s="160"/>
      <c r="H775" s="34" t="s">
        <v>925</v>
      </c>
    </row>
    <row r="776" spans="1:8" ht="33">
      <c r="A776" s="160"/>
      <c r="B776" s="160" t="s">
        <v>934</v>
      </c>
      <c r="C776" s="157" t="s">
        <v>0</v>
      </c>
      <c r="D776" s="159"/>
      <c r="E776" s="159"/>
      <c r="F776" s="159">
        <v>4283.58</v>
      </c>
      <c r="G776" s="160"/>
      <c r="H776" s="34" t="s">
        <v>925</v>
      </c>
    </row>
    <row r="777" spans="1:8" ht="33">
      <c r="A777" s="160"/>
      <c r="B777" s="160"/>
      <c r="C777" s="157"/>
      <c r="D777" s="159"/>
      <c r="E777" s="159"/>
      <c r="F777" s="159"/>
      <c r="G777" s="160"/>
      <c r="H777" s="34" t="s">
        <v>925</v>
      </c>
    </row>
    <row r="778" spans="1:8" ht="33">
      <c r="A778" s="160" t="s">
        <v>1374</v>
      </c>
      <c r="B778" s="160" t="s">
        <v>1287</v>
      </c>
      <c r="C778" s="157" t="s">
        <v>0</v>
      </c>
      <c r="D778" s="159">
        <v>1</v>
      </c>
      <c r="E778" s="159">
        <v>4105.46</v>
      </c>
      <c r="F778" s="159"/>
      <c r="G778" s="160" t="s">
        <v>1288</v>
      </c>
      <c r="H778" s="34" t="s">
        <v>925</v>
      </c>
    </row>
    <row r="779" spans="1:8" ht="33">
      <c r="A779" s="160">
        <v>1</v>
      </c>
      <c r="B779" s="160" t="s">
        <v>1289</v>
      </c>
      <c r="C779" s="157" t="s">
        <v>0</v>
      </c>
      <c r="D779" s="159">
        <v>1</v>
      </c>
      <c r="E779" s="159">
        <v>3527.06</v>
      </c>
      <c r="F779" s="159">
        <v>3527.06</v>
      </c>
      <c r="G779" s="160" t="s">
        <v>1290</v>
      </c>
      <c r="H779" s="34" t="s">
        <v>925</v>
      </c>
    </row>
    <row r="780" spans="1:8" ht="28.5">
      <c r="A780" s="160">
        <v>2</v>
      </c>
      <c r="B780" s="160" t="s">
        <v>4909</v>
      </c>
      <c r="C780" s="157" t="s">
        <v>927</v>
      </c>
      <c r="D780" s="159">
        <v>0.4</v>
      </c>
      <c r="E780" s="159">
        <v>407.35</v>
      </c>
      <c r="F780" s="159">
        <v>162.94</v>
      </c>
      <c r="G780" s="160" t="s">
        <v>4910</v>
      </c>
    </row>
    <row r="781" spans="1:8" ht="33">
      <c r="A781" s="160">
        <v>3</v>
      </c>
      <c r="B781" s="160" t="s">
        <v>4871</v>
      </c>
      <c r="C781" s="157" t="s">
        <v>927</v>
      </c>
      <c r="D781" s="159">
        <v>0.8</v>
      </c>
      <c r="E781" s="159">
        <v>279.18</v>
      </c>
      <c r="F781" s="159">
        <v>223.34</v>
      </c>
      <c r="G781" s="160" t="s">
        <v>4876</v>
      </c>
      <c r="H781" s="34" t="s">
        <v>925</v>
      </c>
    </row>
    <row r="782" spans="1:8" ht="33">
      <c r="A782" s="160">
        <v>4</v>
      </c>
      <c r="B782" s="160" t="s">
        <v>1263</v>
      </c>
      <c r="C782" s="157" t="s">
        <v>14</v>
      </c>
      <c r="D782" s="159">
        <v>1</v>
      </c>
      <c r="E782" s="159">
        <v>12.92</v>
      </c>
      <c r="F782" s="159">
        <v>12.92</v>
      </c>
      <c r="G782" s="160" t="s">
        <v>1264</v>
      </c>
      <c r="H782" s="34" t="s">
        <v>925</v>
      </c>
    </row>
    <row r="783" spans="1:8" ht="33">
      <c r="A783" s="160">
        <v>5</v>
      </c>
      <c r="B783" s="160" t="s">
        <v>1265</v>
      </c>
      <c r="C783" s="157" t="s">
        <v>14</v>
      </c>
      <c r="D783" s="159">
        <v>1</v>
      </c>
      <c r="E783" s="159">
        <v>9.94</v>
      </c>
      <c r="F783" s="159">
        <v>9.94</v>
      </c>
      <c r="G783" s="160" t="s">
        <v>1266</v>
      </c>
      <c r="H783" s="34" t="s">
        <v>925</v>
      </c>
    </row>
    <row r="784" spans="1:8" ht="33">
      <c r="A784" s="160">
        <v>6</v>
      </c>
      <c r="B784" s="160" t="s">
        <v>1267</v>
      </c>
      <c r="C784" s="157" t="s">
        <v>14</v>
      </c>
      <c r="D784" s="159">
        <v>1</v>
      </c>
      <c r="E784" s="159">
        <v>49.68</v>
      </c>
      <c r="F784" s="159">
        <v>49.68</v>
      </c>
      <c r="G784" s="160" t="s">
        <v>1268</v>
      </c>
      <c r="H784" s="34" t="s">
        <v>925</v>
      </c>
    </row>
    <row r="785" spans="1:8" ht="33">
      <c r="A785" s="160">
        <v>7</v>
      </c>
      <c r="B785" s="160" t="s">
        <v>931</v>
      </c>
      <c r="C785" s="157" t="s">
        <v>14</v>
      </c>
      <c r="D785" s="159">
        <v>1</v>
      </c>
      <c r="E785" s="159">
        <v>119.58</v>
      </c>
      <c r="F785" s="159">
        <v>119.58</v>
      </c>
      <c r="G785" s="160" t="s">
        <v>932</v>
      </c>
      <c r="H785" s="34" t="s">
        <v>925</v>
      </c>
    </row>
    <row r="786" spans="1:8" ht="33">
      <c r="A786" s="160"/>
      <c r="B786" s="160" t="s">
        <v>933</v>
      </c>
      <c r="C786" s="157" t="s">
        <v>0</v>
      </c>
      <c r="D786" s="159">
        <v>1</v>
      </c>
      <c r="E786" s="159"/>
      <c r="F786" s="159">
        <v>4105.46</v>
      </c>
      <c r="G786" s="160"/>
      <c r="H786" s="34" t="s">
        <v>925</v>
      </c>
    </row>
    <row r="787" spans="1:8" ht="33">
      <c r="A787" s="160"/>
      <c r="B787" s="160" t="s">
        <v>934</v>
      </c>
      <c r="C787" s="157" t="s">
        <v>0</v>
      </c>
      <c r="D787" s="159"/>
      <c r="E787" s="159"/>
      <c r="F787" s="159">
        <v>4105.46</v>
      </c>
      <c r="G787" s="160"/>
      <c r="H787" s="34" t="s">
        <v>925</v>
      </c>
    </row>
    <row r="788" spans="1:8" ht="33">
      <c r="A788" s="160"/>
      <c r="B788" s="160"/>
      <c r="C788" s="157"/>
      <c r="D788" s="159"/>
      <c r="E788" s="159"/>
      <c r="F788" s="159"/>
      <c r="G788" s="160"/>
      <c r="H788" s="34" t="s">
        <v>925</v>
      </c>
    </row>
    <row r="789" spans="1:8" ht="57">
      <c r="A789" s="160" t="s">
        <v>1377</v>
      </c>
      <c r="B789" s="160" t="s">
        <v>1292</v>
      </c>
      <c r="C789" s="157" t="s">
        <v>0</v>
      </c>
      <c r="D789" s="159">
        <v>1</v>
      </c>
      <c r="E789" s="159">
        <v>4367.29</v>
      </c>
      <c r="F789" s="159"/>
      <c r="G789" s="160" t="s">
        <v>1293</v>
      </c>
      <c r="H789" s="34" t="s">
        <v>925</v>
      </c>
    </row>
    <row r="790" spans="1:8" ht="33">
      <c r="A790" s="160">
        <v>1</v>
      </c>
      <c r="B790" s="160" t="s">
        <v>1294</v>
      </c>
      <c r="C790" s="157" t="s">
        <v>1295</v>
      </c>
      <c r="D790" s="159">
        <v>4.5</v>
      </c>
      <c r="E790" s="159">
        <v>165.92</v>
      </c>
      <c r="F790" s="159">
        <v>746.64</v>
      </c>
      <c r="G790" s="160" t="s">
        <v>1296</v>
      </c>
      <c r="H790" s="34" t="s">
        <v>925</v>
      </c>
    </row>
    <row r="791" spans="1:8" ht="33">
      <c r="A791" s="160">
        <v>2</v>
      </c>
      <c r="B791" s="160" t="s">
        <v>1297</v>
      </c>
      <c r="C791" s="157" t="s">
        <v>1121</v>
      </c>
      <c r="D791" s="159">
        <v>0.75</v>
      </c>
      <c r="E791" s="159">
        <v>710.38</v>
      </c>
      <c r="F791" s="159">
        <v>532.79</v>
      </c>
      <c r="G791" s="160" t="s">
        <v>1298</v>
      </c>
      <c r="H791" s="34" t="s">
        <v>925</v>
      </c>
    </row>
    <row r="792" spans="1:8" ht="28.5">
      <c r="A792" s="160">
        <v>3</v>
      </c>
      <c r="B792" s="160" t="s">
        <v>1299</v>
      </c>
      <c r="C792" s="157" t="s">
        <v>1121</v>
      </c>
      <c r="D792" s="159">
        <v>0.53</v>
      </c>
      <c r="E792" s="159">
        <v>723.3</v>
      </c>
      <c r="F792" s="159">
        <v>383.35</v>
      </c>
      <c r="G792" s="160" t="s">
        <v>1300</v>
      </c>
    </row>
    <row r="793" spans="1:8" ht="33">
      <c r="A793" s="160">
        <v>4</v>
      </c>
      <c r="B793" s="160" t="s">
        <v>1301</v>
      </c>
      <c r="C793" s="157" t="s">
        <v>927</v>
      </c>
      <c r="D793" s="159">
        <v>0.24</v>
      </c>
      <c r="E793" s="159">
        <v>398.41</v>
      </c>
      <c r="F793" s="159">
        <v>95.62</v>
      </c>
      <c r="G793" s="160" t="s">
        <v>1302</v>
      </c>
      <c r="H793" s="34" t="s">
        <v>925</v>
      </c>
    </row>
    <row r="794" spans="1:8" ht="33">
      <c r="A794" s="160">
        <v>5</v>
      </c>
      <c r="B794" s="160" t="s">
        <v>1261</v>
      </c>
      <c r="C794" s="157" t="s">
        <v>927</v>
      </c>
      <c r="D794" s="159">
        <v>0.24</v>
      </c>
      <c r="E794" s="159">
        <v>398.41</v>
      </c>
      <c r="F794" s="159">
        <v>95.62</v>
      </c>
      <c r="G794" s="160" t="s">
        <v>1262</v>
      </c>
      <c r="H794" s="34" t="s">
        <v>925</v>
      </c>
    </row>
    <row r="795" spans="1:8" ht="33">
      <c r="A795" s="160">
        <v>6</v>
      </c>
      <c r="B795" s="160" t="s">
        <v>4871</v>
      </c>
      <c r="C795" s="157" t="s">
        <v>927</v>
      </c>
      <c r="D795" s="159">
        <v>3.6</v>
      </c>
      <c r="E795" s="159">
        <v>279.18</v>
      </c>
      <c r="F795" s="159">
        <v>1005.05</v>
      </c>
      <c r="G795" s="160" t="s">
        <v>4872</v>
      </c>
      <c r="H795" s="34" t="s">
        <v>925</v>
      </c>
    </row>
    <row r="796" spans="1:8" ht="33">
      <c r="A796" s="160">
        <v>7</v>
      </c>
      <c r="B796" s="160" t="s">
        <v>1265</v>
      </c>
      <c r="C796" s="157" t="s">
        <v>14</v>
      </c>
      <c r="D796" s="159">
        <v>1</v>
      </c>
      <c r="E796" s="159">
        <v>9.94</v>
      </c>
      <c r="F796" s="159">
        <v>9.94</v>
      </c>
      <c r="G796" s="160" t="s">
        <v>1266</v>
      </c>
      <c r="H796" s="34" t="s">
        <v>925</v>
      </c>
    </row>
    <row r="797" spans="1:8" ht="33">
      <c r="A797" s="160">
        <v>8</v>
      </c>
      <c r="B797" s="160" t="s">
        <v>1303</v>
      </c>
      <c r="C797" s="157" t="s">
        <v>14</v>
      </c>
      <c r="D797" s="159">
        <v>1</v>
      </c>
      <c r="E797" s="159">
        <v>1371.08</v>
      </c>
      <c r="F797" s="159">
        <v>1371.08</v>
      </c>
      <c r="G797" s="160" t="s">
        <v>1304</v>
      </c>
      <c r="H797" s="34" t="s">
        <v>925</v>
      </c>
    </row>
    <row r="798" spans="1:8" ht="33">
      <c r="A798" s="160">
        <v>9</v>
      </c>
      <c r="B798" s="160" t="s">
        <v>931</v>
      </c>
      <c r="C798" s="157" t="s">
        <v>14</v>
      </c>
      <c r="D798" s="159">
        <v>1</v>
      </c>
      <c r="E798" s="159">
        <v>127.2</v>
      </c>
      <c r="F798" s="159">
        <v>127.2</v>
      </c>
      <c r="G798" s="160" t="s">
        <v>932</v>
      </c>
      <c r="H798" s="34" t="s">
        <v>925</v>
      </c>
    </row>
    <row r="799" spans="1:8" ht="33">
      <c r="A799" s="160"/>
      <c r="B799" s="160" t="s">
        <v>933</v>
      </c>
      <c r="C799" s="157" t="s">
        <v>0</v>
      </c>
      <c r="D799" s="159">
        <v>1</v>
      </c>
      <c r="E799" s="159"/>
      <c r="F799" s="159">
        <v>4367.29</v>
      </c>
      <c r="G799" s="160"/>
      <c r="H799" s="34" t="s">
        <v>925</v>
      </c>
    </row>
    <row r="800" spans="1:8" ht="33">
      <c r="A800" s="160"/>
      <c r="B800" s="160" t="s">
        <v>934</v>
      </c>
      <c r="C800" s="157" t="s">
        <v>0</v>
      </c>
      <c r="D800" s="159"/>
      <c r="E800" s="159"/>
      <c r="F800" s="159">
        <v>4367.29</v>
      </c>
      <c r="G800" s="160"/>
      <c r="H800" s="34" t="s">
        <v>925</v>
      </c>
    </row>
    <row r="801" spans="1:8" ht="16.5">
      <c r="A801" s="160"/>
      <c r="B801" s="160"/>
      <c r="C801" s="157"/>
      <c r="D801" s="159"/>
      <c r="E801" s="159"/>
      <c r="F801" s="159"/>
      <c r="G801" s="160"/>
    </row>
    <row r="802" spans="1:8" ht="57">
      <c r="A802" s="160" t="s">
        <v>1380</v>
      </c>
      <c r="B802" s="160" t="s">
        <v>1306</v>
      </c>
      <c r="C802" s="157" t="s">
        <v>0</v>
      </c>
      <c r="D802" s="159">
        <v>1</v>
      </c>
      <c r="E802" s="159">
        <v>4523.42</v>
      </c>
      <c r="F802" s="159"/>
      <c r="G802" s="160" t="s">
        <v>1307</v>
      </c>
      <c r="H802" s="34" t="s">
        <v>925</v>
      </c>
    </row>
    <row r="803" spans="1:8" ht="33">
      <c r="A803" s="160">
        <v>1</v>
      </c>
      <c r="B803" s="160" t="s">
        <v>1294</v>
      </c>
      <c r="C803" s="157" t="s">
        <v>1295</v>
      </c>
      <c r="D803" s="159">
        <v>5.5</v>
      </c>
      <c r="E803" s="159">
        <v>165.92</v>
      </c>
      <c r="F803" s="159">
        <v>912.56</v>
      </c>
      <c r="G803" s="160" t="s">
        <v>1296</v>
      </c>
      <c r="H803" s="34" t="s">
        <v>925</v>
      </c>
    </row>
    <row r="804" spans="1:8" ht="33">
      <c r="A804" s="160">
        <v>2</v>
      </c>
      <c r="B804" s="160" t="s">
        <v>1297</v>
      </c>
      <c r="C804" s="157" t="s">
        <v>1121</v>
      </c>
      <c r="D804" s="159">
        <v>0.74</v>
      </c>
      <c r="E804" s="159">
        <v>710.38</v>
      </c>
      <c r="F804" s="159">
        <v>525.67999999999995</v>
      </c>
      <c r="G804" s="160" t="s">
        <v>1298</v>
      </c>
      <c r="H804" s="34" t="s">
        <v>925</v>
      </c>
    </row>
    <row r="805" spans="1:8" ht="33">
      <c r="A805" s="160">
        <v>3</v>
      </c>
      <c r="B805" s="160" t="s">
        <v>1299</v>
      </c>
      <c r="C805" s="157" t="s">
        <v>1121</v>
      </c>
      <c r="D805" s="159">
        <v>0.52</v>
      </c>
      <c r="E805" s="159">
        <v>723.3</v>
      </c>
      <c r="F805" s="159">
        <v>376.12</v>
      </c>
      <c r="G805" s="160" t="s">
        <v>1300</v>
      </c>
      <c r="H805" s="34" t="s">
        <v>925</v>
      </c>
    </row>
    <row r="806" spans="1:8" ht="33">
      <c r="A806" s="160">
        <v>4</v>
      </c>
      <c r="B806" s="160" t="s">
        <v>1301</v>
      </c>
      <c r="C806" s="157" t="s">
        <v>927</v>
      </c>
      <c r="D806" s="159">
        <v>0.24</v>
      </c>
      <c r="E806" s="159">
        <v>398.41</v>
      </c>
      <c r="F806" s="159">
        <v>95.62</v>
      </c>
      <c r="G806" s="160" t="s">
        <v>1302</v>
      </c>
      <c r="H806" s="34" t="s">
        <v>925</v>
      </c>
    </row>
    <row r="807" spans="1:8" ht="33">
      <c r="A807" s="160">
        <v>5</v>
      </c>
      <c r="B807" s="160" t="s">
        <v>1261</v>
      </c>
      <c r="C807" s="157" t="s">
        <v>927</v>
      </c>
      <c r="D807" s="159">
        <v>0.24</v>
      </c>
      <c r="E807" s="159">
        <v>398.41</v>
      </c>
      <c r="F807" s="159">
        <v>95.62</v>
      </c>
      <c r="G807" s="160" t="s">
        <v>1262</v>
      </c>
      <c r="H807" s="34" t="s">
        <v>925</v>
      </c>
    </row>
    <row r="808" spans="1:8" ht="33">
      <c r="A808" s="160">
        <v>6</v>
      </c>
      <c r="B808" s="160" t="s">
        <v>4871</v>
      </c>
      <c r="C808" s="157" t="s">
        <v>927</v>
      </c>
      <c r="D808" s="159">
        <v>3.6</v>
      </c>
      <c r="E808" s="159">
        <v>279.18</v>
      </c>
      <c r="F808" s="159">
        <v>1005.05</v>
      </c>
      <c r="G808" s="160" t="s">
        <v>4872</v>
      </c>
      <c r="H808" s="34" t="s">
        <v>925</v>
      </c>
    </row>
    <row r="809" spans="1:8" ht="33">
      <c r="A809" s="160">
        <v>7</v>
      </c>
      <c r="B809" s="160" t="s">
        <v>1265</v>
      </c>
      <c r="C809" s="157" t="s">
        <v>14</v>
      </c>
      <c r="D809" s="159">
        <v>1</v>
      </c>
      <c r="E809" s="159">
        <v>9.94</v>
      </c>
      <c r="F809" s="159">
        <v>9.94</v>
      </c>
      <c r="G809" s="160" t="s">
        <v>1266</v>
      </c>
      <c r="H809" s="34" t="s">
        <v>925</v>
      </c>
    </row>
    <row r="810" spans="1:8" ht="28.5">
      <c r="A810" s="160">
        <v>8</v>
      </c>
      <c r="B810" s="160" t="s">
        <v>1303</v>
      </c>
      <c r="C810" s="157" t="s">
        <v>14</v>
      </c>
      <c r="D810" s="159">
        <v>1</v>
      </c>
      <c r="E810" s="159">
        <v>1371.08</v>
      </c>
      <c r="F810" s="159">
        <v>1371.08</v>
      </c>
      <c r="G810" s="160" t="s">
        <v>1304</v>
      </c>
    </row>
    <row r="811" spans="1:8" ht="33">
      <c r="A811" s="160">
        <v>9</v>
      </c>
      <c r="B811" s="160" t="s">
        <v>931</v>
      </c>
      <c r="C811" s="157" t="s">
        <v>14</v>
      </c>
      <c r="D811" s="159">
        <v>1</v>
      </c>
      <c r="E811" s="159">
        <v>131.75</v>
      </c>
      <c r="F811" s="159">
        <v>131.75</v>
      </c>
      <c r="G811" s="160" t="s">
        <v>932</v>
      </c>
      <c r="H811" s="34" t="s">
        <v>925</v>
      </c>
    </row>
    <row r="812" spans="1:8" ht="33">
      <c r="A812" s="160"/>
      <c r="B812" s="160" t="s">
        <v>933</v>
      </c>
      <c r="C812" s="157" t="s">
        <v>0</v>
      </c>
      <c r="D812" s="159">
        <v>1</v>
      </c>
      <c r="E812" s="159"/>
      <c r="F812" s="159">
        <v>4523.42</v>
      </c>
      <c r="G812" s="160"/>
      <c r="H812" s="34" t="s">
        <v>925</v>
      </c>
    </row>
    <row r="813" spans="1:8" ht="33">
      <c r="A813" s="160"/>
      <c r="B813" s="160" t="s">
        <v>934</v>
      </c>
      <c r="C813" s="157" t="s">
        <v>0</v>
      </c>
      <c r="D813" s="159"/>
      <c r="E813" s="159"/>
      <c r="F813" s="159">
        <v>4523.42</v>
      </c>
      <c r="G813" s="160"/>
      <c r="H813" s="34" t="s">
        <v>925</v>
      </c>
    </row>
    <row r="814" spans="1:8" ht="33">
      <c r="A814" s="160"/>
      <c r="B814" s="160"/>
      <c r="C814" s="157"/>
      <c r="D814" s="159"/>
      <c r="E814" s="159"/>
      <c r="F814" s="159"/>
      <c r="G814" s="160"/>
      <c r="H814" s="34" t="s">
        <v>925</v>
      </c>
    </row>
    <row r="815" spans="1:8" ht="57">
      <c r="A815" s="160" t="s">
        <v>1383</v>
      </c>
      <c r="B815" s="160" t="s">
        <v>1309</v>
      </c>
      <c r="C815" s="157" t="s">
        <v>0</v>
      </c>
      <c r="D815" s="159">
        <v>1</v>
      </c>
      <c r="E815" s="159">
        <v>4687</v>
      </c>
      <c r="F815" s="159"/>
      <c r="G815" s="160" t="s">
        <v>1310</v>
      </c>
      <c r="H815" s="34" t="s">
        <v>925</v>
      </c>
    </row>
    <row r="816" spans="1:8" ht="33">
      <c r="A816" s="160">
        <v>1</v>
      </c>
      <c r="B816" s="160" t="s">
        <v>1294</v>
      </c>
      <c r="C816" s="157" t="s">
        <v>1295</v>
      </c>
      <c r="D816" s="159">
        <v>6.5</v>
      </c>
      <c r="E816" s="159">
        <v>165.92</v>
      </c>
      <c r="F816" s="159">
        <v>1078.48</v>
      </c>
      <c r="G816" s="160" t="s">
        <v>1296</v>
      </c>
      <c r="H816" s="34" t="s">
        <v>925</v>
      </c>
    </row>
    <row r="817" spans="1:8" ht="33">
      <c r="A817" s="160">
        <v>2</v>
      </c>
      <c r="B817" s="160" t="s">
        <v>1297</v>
      </c>
      <c r="C817" s="157" t="s">
        <v>1121</v>
      </c>
      <c r="D817" s="159">
        <v>0.73</v>
      </c>
      <c r="E817" s="159">
        <v>710.38</v>
      </c>
      <c r="F817" s="159">
        <v>518.58000000000004</v>
      </c>
      <c r="G817" s="160" t="s">
        <v>1298</v>
      </c>
      <c r="H817" s="34" t="s">
        <v>925</v>
      </c>
    </row>
    <row r="818" spans="1:8" ht="33">
      <c r="A818" s="160">
        <v>3</v>
      </c>
      <c r="B818" s="160" t="s">
        <v>1299</v>
      </c>
      <c r="C818" s="157" t="s">
        <v>1121</v>
      </c>
      <c r="D818" s="159">
        <v>0.52</v>
      </c>
      <c r="E818" s="159">
        <v>723.3</v>
      </c>
      <c r="F818" s="159">
        <v>376.12</v>
      </c>
      <c r="G818" s="160" t="s">
        <v>1300</v>
      </c>
      <c r="H818" s="34" t="s">
        <v>925</v>
      </c>
    </row>
    <row r="819" spans="1:8" ht="28.5">
      <c r="A819" s="160">
        <v>4</v>
      </c>
      <c r="B819" s="160" t="s">
        <v>1301</v>
      </c>
      <c r="C819" s="157" t="s">
        <v>927</v>
      </c>
      <c r="D819" s="159">
        <v>0.24</v>
      </c>
      <c r="E819" s="159">
        <v>398.41</v>
      </c>
      <c r="F819" s="159">
        <v>95.62</v>
      </c>
      <c r="G819" s="160" t="s">
        <v>1302</v>
      </c>
    </row>
    <row r="820" spans="1:8" ht="33">
      <c r="A820" s="160">
        <v>5</v>
      </c>
      <c r="B820" s="160" t="s">
        <v>1261</v>
      </c>
      <c r="C820" s="157" t="s">
        <v>927</v>
      </c>
      <c r="D820" s="159">
        <v>0.24</v>
      </c>
      <c r="E820" s="159">
        <v>398.41</v>
      </c>
      <c r="F820" s="159">
        <v>95.62</v>
      </c>
      <c r="G820" s="160" t="s">
        <v>1262</v>
      </c>
      <c r="H820" s="34" t="s">
        <v>925</v>
      </c>
    </row>
    <row r="821" spans="1:8" ht="33">
      <c r="A821" s="160">
        <v>6</v>
      </c>
      <c r="B821" s="160" t="s">
        <v>4871</v>
      </c>
      <c r="C821" s="157" t="s">
        <v>927</v>
      </c>
      <c r="D821" s="159">
        <v>3.6</v>
      </c>
      <c r="E821" s="159">
        <v>279.18</v>
      </c>
      <c r="F821" s="159">
        <v>1005.05</v>
      </c>
      <c r="G821" s="160" t="s">
        <v>4872</v>
      </c>
      <c r="H821" s="34" t="s">
        <v>925</v>
      </c>
    </row>
    <row r="822" spans="1:8" ht="33">
      <c r="A822" s="160">
        <v>7</v>
      </c>
      <c r="B822" s="160" t="s">
        <v>1265</v>
      </c>
      <c r="C822" s="157" t="s">
        <v>14</v>
      </c>
      <c r="D822" s="159">
        <v>1</v>
      </c>
      <c r="E822" s="159">
        <v>9.94</v>
      </c>
      <c r="F822" s="159">
        <v>9.94</v>
      </c>
      <c r="G822" s="160" t="s">
        <v>1266</v>
      </c>
      <c r="H822" s="34" t="s">
        <v>925</v>
      </c>
    </row>
    <row r="823" spans="1:8" ht="33">
      <c r="A823" s="160">
        <v>8</v>
      </c>
      <c r="B823" s="160" t="s">
        <v>1303</v>
      </c>
      <c r="C823" s="157" t="s">
        <v>14</v>
      </c>
      <c r="D823" s="159">
        <v>1</v>
      </c>
      <c r="E823" s="159">
        <v>1371.08</v>
      </c>
      <c r="F823" s="159">
        <v>1371.08</v>
      </c>
      <c r="G823" s="160" t="s">
        <v>1304</v>
      </c>
      <c r="H823" s="34" t="s">
        <v>925</v>
      </c>
    </row>
    <row r="824" spans="1:8" ht="33">
      <c r="A824" s="160">
        <v>9</v>
      </c>
      <c r="B824" s="160" t="s">
        <v>931</v>
      </c>
      <c r="C824" s="157" t="s">
        <v>14</v>
      </c>
      <c r="D824" s="159">
        <v>1</v>
      </c>
      <c r="E824" s="159">
        <v>136.51</v>
      </c>
      <c r="F824" s="159">
        <v>136.51</v>
      </c>
      <c r="G824" s="160" t="s">
        <v>932</v>
      </c>
      <c r="H824" s="34" t="s">
        <v>925</v>
      </c>
    </row>
    <row r="825" spans="1:8" ht="33">
      <c r="A825" s="160"/>
      <c r="B825" s="160" t="s">
        <v>933</v>
      </c>
      <c r="C825" s="157" t="s">
        <v>0</v>
      </c>
      <c r="D825" s="159">
        <v>1</v>
      </c>
      <c r="E825" s="159"/>
      <c r="F825" s="159">
        <v>4687</v>
      </c>
      <c r="G825" s="160"/>
      <c r="H825" s="34" t="s">
        <v>925</v>
      </c>
    </row>
    <row r="826" spans="1:8" ht="33">
      <c r="A826" s="160"/>
      <c r="B826" s="160" t="s">
        <v>934</v>
      </c>
      <c r="C826" s="157" t="s">
        <v>0</v>
      </c>
      <c r="D826" s="159"/>
      <c r="E826" s="159"/>
      <c r="F826" s="159">
        <v>4687</v>
      </c>
      <c r="G826" s="160"/>
      <c r="H826" s="34" t="s">
        <v>925</v>
      </c>
    </row>
    <row r="827" spans="1:8" ht="33">
      <c r="A827" s="160"/>
      <c r="B827" s="160"/>
      <c r="C827" s="157"/>
      <c r="D827" s="159"/>
      <c r="E827" s="159"/>
      <c r="F827" s="159"/>
      <c r="G827" s="160"/>
      <c r="H827" s="34" t="s">
        <v>925</v>
      </c>
    </row>
    <row r="828" spans="1:8" ht="57">
      <c r="A828" s="160" t="s">
        <v>1386</v>
      </c>
      <c r="B828" s="160" t="s">
        <v>1312</v>
      </c>
      <c r="C828" s="157" t="s">
        <v>0</v>
      </c>
      <c r="D828" s="159">
        <v>1</v>
      </c>
      <c r="E828" s="159">
        <v>4765.13</v>
      </c>
      <c r="F828" s="159"/>
      <c r="G828" s="160" t="s">
        <v>1313</v>
      </c>
    </row>
    <row r="829" spans="1:8" ht="33">
      <c r="A829" s="160">
        <v>1</v>
      </c>
      <c r="B829" s="160" t="s">
        <v>1294</v>
      </c>
      <c r="C829" s="157" t="s">
        <v>1295</v>
      </c>
      <c r="D829" s="159">
        <v>7</v>
      </c>
      <c r="E829" s="159">
        <v>165.92</v>
      </c>
      <c r="F829" s="159">
        <v>1161.44</v>
      </c>
      <c r="G829" s="160" t="s">
        <v>1296</v>
      </c>
      <c r="H829" s="34" t="s">
        <v>925</v>
      </c>
    </row>
    <row r="830" spans="1:8" ht="33">
      <c r="A830" s="160">
        <v>2</v>
      </c>
      <c r="B830" s="160" t="s">
        <v>1297</v>
      </c>
      <c r="C830" s="157" t="s">
        <v>1121</v>
      </c>
      <c r="D830" s="159">
        <v>0.72</v>
      </c>
      <c r="E830" s="159">
        <v>710.38</v>
      </c>
      <c r="F830" s="159">
        <v>511.47</v>
      </c>
      <c r="G830" s="160" t="s">
        <v>1298</v>
      </c>
      <c r="H830" s="34" t="s">
        <v>925</v>
      </c>
    </row>
    <row r="831" spans="1:8" ht="33">
      <c r="A831" s="160">
        <v>3</v>
      </c>
      <c r="B831" s="160" t="s">
        <v>1299</v>
      </c>
      <c r="C831" s="157" t="s">
        <v>1121</v>
      </c>
      <c r="D831" s="159">
        <v>0.52</v>
      </c>
      <c r="E831" s="159">
        <v>723.3</v>
      </c>
      <c r="F831" s="159">
        <v>376.12</v>
      </c>
      <c r="G831" s="160" t="s">
        <v>1300</v>
      </c>
      <c r="H831" s="34" t="s">
        <v>925</v>
      </c>
    </row>
    <row r="832" spans="1:8" ht="33">
      <c r="A832" s="160">
        <v>4</v>
      </c>
      <c r="B832" s="160" t="s">
        <v>1301</v>
      </c>
      <c r="C832" s="157" t="s">
        <v>927</v>
      </c>
      <c r="D832" s="159">
        <v>0.24</v>
      </c>
      <c r="E832" s="159">
        <v>398.41</v>
      </c>
      <c r="F832" s="159">
        <v>95.62</v>
      </c>
      <c r="G832" s="160" t="s">
        <v>1302</v>
      </c>
      <c r="H832" s="34" t="s">
        <v>925</v>
      </c>
    </row>
    <row r="833" spans="1:8" ht="33">
      <c r="A833" s="160">
        <v>5</v>
      </c>
      <c r="B833" s="160" t="s">
        <v>1261</v>
      </c>
      <c r="C833" s="157" t="s">
        <v>927</v>
      </c>
      <c r="D833" s="159">
        <v>0.24</v>
      </c>
      <c r="E833" s="159">
        <v>398.41</v>
      </c>
      <c r="F833" s="159">
        <v>95.62</v>
      </c>
      <c r="G833" s="160" t="s">
        <v>1262</v>
      </c>
      <c r="H833" s="34" t="s">
        <v>925</v>
      </c>
    </row>
    <row r="834" spans="1:8" ht="33">
      <c r="A834" s="160">
        <v>6</v>
      </c>
      <c r="B834" s="160" t="s">
        <v>4871</v>
      </c>
      <c r="C834" s="157" t="s">
        <v>927</v>
      </c>
      <c r="D834" s="159">
        <v>3.6</v>
      </c>
      <c r="E834" s="159">
        <v>279.18</v>
      </c>
      <c r="F834" s="159">
        <v>1005.05</v>
      </c>
      <c r="G834" s="160" t="s">
        <v>4872</v>
      </c>
      <c r="H834" s="34" t="s">
        <v>925</v>
      </c>
    </row>
    <row r="835" spans="1:8" ht="33">
      <c r="A835" s="160">
        <v>7</v>
      </c>
      <c r="B835" s="160" t="s">
        <v>1265</v>
      </c>
      <c r="C835" s="157" t="s">
        <v>14</v>
      </c>
      <c r="D835" s="159">
        <v>1</v>
      </c>
      <c r="E835" s="159">
        <v>9.94</v>
      </c>
      <c r="F835" s="159">
        <v>9.94</v>
      </c>
      <c r="G835" s="160" t="s">
        <v>1266</v>
      </c>
      <c r="H835" s="34" t="s">
        <v>925</v>
      </c>
    </row>
    <row r="836" spans="1:8" ht="33">
      <c r="A836" s="160">
        <v>8</v>
      </c>
      <c r="B836" s="160" t="s">
        <v>1303</v>
      </c>
      <c r="C836" s="157" t="s">
        <v>14</v>
      </c>
      <c r="D836" s="159">
        <v>1</v>
      </c>
      <c r="E836" s="159">
        <v>1371.08</v>
      </c>
      <c r="F836" s="159">
        <v>1371.08</v>
      </c>
      <c r="G836" s="160" t="s">
        <v>1304</v>
      </c>
      <c r="H836" s="34" t="s">
        <v>925</v>
      </c>
    </row>
    <row r="837" spans="1:8" ht="28.5">
      <c r="A837" s="160">
        <v>9</v>
      </c>
      <c r="B837" s="160" t="s">
        <v>931</v>
      </c>
      <c r="C837" s="157" t="s">
        <v>14</v>
      </c>
      <c r="D837" s="159">
        <v>1</v>
      </c>
      <c r="E837" s="159">
        <v>138.79</v>
      </c>
      <c r="F837" s="159">
        <v>138.79</v>
      </c>
      <c r="G837" s="160" t="s">
        <v>932</v>
      </c>
    </row>
    <row r="838" spans="1:8" ht="33">
      <c r="A838" s="160"/>
      <c r="B838" s="160" t="s">
        <v>933</v>
      </c>
      <c r="C838" s="157" t="s">
        <v>0</v>
      </c>
      <c r="D838" s="159">
        <v>1</v>
      </c>
      <c r="E838" s="159"/>
      <c r="F838" s="159">
        <v>4765.13</v>
      </c>
      <c r="G838" s="160"/>
      <c r="H838" s="34" t="s">
        <v>925</v>
      </c>
    </row>
    <row r="839" spans="1:8" ht="33">
      <c r="A839" s="160"/>
      <c r="B839" s="160" t="s">
        <v>934</v>
      </c>
      <c r="C839" s="157" t="s">
        <v>0</v>
      </c>
      <c r="D839" s="159"/>
      <c r="E839" s="159"/>
      <c r="F839" s="159">
        <v>4765.13</v>
      </c>
      <c r="G839" s="160"/>
      <c r="H839" s="34" t="s">
        <v>925</v>
      </c>
    </row>
    <row r="840" spans="1:8" ht="33">
      <c r="A840" s="160"/>
      <c r="B840" s="160"/>
      <c r="C840" s="157"/>
      <c r="D840" s="159"/>
      <c r="E840" s="159"/>
      <c r="F840" s="159"/>
      <c r="G840" s="160"/>
      <c r="H840" s="34" t="s">
        <v>925</v>
      </c>
    </row>
    <row r="841" spans="1:8" ht="57">
      <c r="A841" s="160" t="s">
        <v>1388</v>
      </c>
      <c r="B841" s="160" t="s">
        <v>1315</v>
      </c>
      <c r="C841" s="157" t="s">
        <v>0</v>
      </c>
      <c r="D841" s="159">
        <v>1</v>
      </c>
      <c r="E841" s="159">
        <v>6832.15</v>
      </c>
      <c r="F841" s="159"/>
      <c r="G841" s="160" t="s">
        <v>1316</v>
      </c>
      <c r="H841" s="34" t="s">
        <v>925</v>
      </c>
    </row>
    <row r="842" spans="1:8" ht="33">
      <c r="A842" s="160">
        <v>1</v>
      </c>
      <c r="B842" s="160" t="s">
        <v>1301</v>
      </c>
      <c r="C842" s="157" t="s">
        <v>927</v>
      </c>
      <c r="D842" s="159">
        <v>0.26</v>
      </c>
      <c r="E842" s="159">
        <v>398.41</v>
      </c>
      <c r="F842" s="159">
        <v>103.59</v>
      </c>
      <c r="G842" s="160" t="s">
        <v>1302</v>
      </c>
      <c r="H842" s="34" t="s">
        <v>925</v>
      </c>
    </row>
    <row r="843" spans="1:8" ht="33">
      <c r="A843" s="160">
        <v>2</v>
      </c>
      <c r="B843" s="160" t="s">
        <v>1261</v>
      </c>
      <c r="C843" s="157" t="s">
        <v>927</v>
      </c>
      <c r="D843" s="159">
        <v>0.26</v>
      </c>
      <c r="E843" s="159">
        <v>398.41</v>
      </c>
      <c r="F843" s="159">
        <v>103.59</v>
      </c>
      <c r="G843" s="160" t="s">
        <v>1262</v>
      </c>
      <c r="H843" s="34" t="s">
        <v>925</v>
      </c>
    </row>
    <row r="844" spans="1:8" ht="33">
      <c r="A844" s="160">
        <v>3</v>
      </c>
      <c r="B844" s="160" t="s">
        <v>4871</v>
      </c>
      <c r="C844" s="157" t="s">
        <v>927</v>
      </c>
      <c r="D844" s="159">
        <v>3.8</v>
      </c>
      <c r="E844" s="159">
        <v>279.18</v>
      </c>
      <c r="F844" s="159">
        <v>1060.8800000000001</v>
      </c>
      <c r="G844" s="160" t="s">
        <v>4872</v>
      </c>
      <c r="H844" s="34" t="s">
        <v>925</v>
      </c>
    </row>
    <row r="845" spans="1:8" ht="33">
      <c r="A845" s="160">
        <v>4</v>
      </c>
      <c r="B845" s="160" t="s">
        <v>1265</v>
      </c>
      <c r="C845" s="157" t="s">
        <v>14</v>
      </c>
      <c r="D845" s="159">
        <v>1</v>
      </c>
      <c r="E845" s="159">
        <v>39.74</v>
      </c>
      <c r="F845" s="159">
        <v>39.74</v>
      </c>
      <c r="G845" s="160" t="s">
        <v>1266</v>
      </c>
      <c r="H845" s="34" t="s">
        <v>925</v>
      </c>
    </row>
    <row r="846" spans="1:8" ht="28.5">
      <c r="A846" s="160">
        <v>5</v>
      </c>
      <c r="B846" s="160" t="s">
        <v>1303</v>
      </c>
      <c r="C846" s="157" t="s">
        <v>14</v>
      </c>
      <c r="D846" s="159">
        <v>1</v>
      </c>
      <c r="E846" s="159">
        <v>1371.08</v>
      </c>
      <c r="F846" s="159">
        <v>1371.08</v>
      </c>
      <c r="G846" s="160" t="s">
        <v>1304</v>
      </c>
    </row>
    <row r="847" spans="1:8" ht="33">
      <c r="A847" s="160">
        <v>6</v>
      </c>
      <c r="B847" s="160" t="s">
        <v>1317</v>
      </c>
      <c r="C847" s="157" t="s">
        <v>0</v>
      </c>
      <c r="D847" s="159">
        <v>1</v>
      </c>
      <c r="E847" s="159">
        <v>3954.28</v>
      </c>
      <c r="F847" s="159">
        <v>3954.28</v>
      </c>
      <c r="G847" s="160" t="s">
        <v>1318</v>
      </c>
      <c r="H847" s="34" t="s">
        <v>925</v>
      </c>
    </row>
    <row r="848" spans="1:8" ht="33">
      <c r="A848" s="160">
        <v>7</v>
      </c>
      <c r="B848" s="160" t="s">
        <v>931</v>
      </c>
      <c r="C848" s="157" t="s">
        <v>14</v>
      </c>
      <c r="D848" s="159">
        <v>1</v>
      </c>
      <c r="E848" s="159">
        <v>198.99</v>
      </c>
      <c r="F848" s="159">
        <v>198.99</v>
      </c>
      <c r="G848" s="160" t="s">
        <v>932</v>
      </c>
      <c r="H848" s="34" t="s">
        <v>925</v>
      </c>
    </row>
    <row r="849" spans="1:8" ht="33">
      <c r="A849" s="160"/>
      <c r="B849" s="160" t="s">
        <v>933</v>
      </c>
      <c r="C849" s="157" t="s">
        <v>0</v>
      </c>
      <c r="D849" s="159">
        <v>1</v>
      </c>
      <c r="E849" s="159"/>
      <c r="F849" s="159">
        <v>6832.15</v>
      </c>
      <c r="G849" s="160"/>
      <c r="H849" s="34" t="s">
        <v>925</v>
      </c>
    </row>
    <row r="850" spans="1:8" ht="33">
      <c r="A850" s="160"/>
      <c r="B850" s="160" t="s">
        <v>934</v>
      </c>
      <c r="C850" s="157" t="s">
        <v>0</v>
      </c>
      <c r="D850" s="159"/>
      <c r="E850" s="159"/>
      <c r="F850" s="159">
        <v>6832.15</v>
      </c>
      <c r="G850" s="160"/>
      <c r="H850" s="34" t="s">
        <v>925</v>
      </c>
    </row>
    <row r="851" spans="1:8" ht="33">
      <c r="A851" s="160"/>
      <c r="B851" s="160"/>
      <c r="C851" s="157"/>
      <c r="D851" s="159"/>
      <c r="E851" s="159"/>
      <c r="F851" s="159"/>
      <c r="G851" s="160"/>
      <c r="H851" s="34" t="s">
        <v>925</v>
      </c>
    </row>
    <row r="852" spans="1:8" ht="57">
      <c r="A852" s="160" t="s">
        <v>1391</v>
      </c>
      <c r="B852" s="160" t="s">
        <v>4517</v>
      </c>
      <c r="C852" s="157" t="s">
        <v>0</v>
      </c>
      <c r="D852" s="159">
        <v>1</v>
      </c>
      <c r="E852" s="159">
        <v>8531.7800000000007</v>
      </c>
      <c r="F852" s="159"/>
      <c r="G852" s="160" t="s">
        <v>4917</v>
      </c>
      <c r="H852" s="34" t="s">
        <v>925</v>
      </c>
    </row>
    <row r="853" spans="1:8" ht="33">
      <c r="A853" s="160">
        <v>1</v>
      </c>
      <c r="B853" s="160" t="s">
        <v>4918</v>
      </c>
      <c r="C853" s="157" t="s">
        <v>927</v>
      </c>
      <c r="D853" s="159">
        <v>0.3</v>
      </c>
      <c r="E853" s="159">
        <v>796.82</v>
      </c>
      <c r="F853" s="159">
        <v>239.05</v>
      </c>
      <c r="G853" s="160" t="s">
        <v>4919</v>
      </c>
      <c r="H853" s="34" t="s">
        <v>925</v>
      </c>
    </row>
    <row r="854" spans="1:8" ht="33">
      <c r="A854" s="160">
        <v>2</v>
      </c>
      <c r="B854" s="160" t="s">
        <v>4920</v>
      </c>
      <c r="C854" s="157" t="s">
        <v>927</v>
      </c>
      <c r="D854" s="159">
        <v>0.3</v>
      </c>
      <c r="E854" s="159">
        <v>796.82</v>
      </c>
      <c r="F854" s="159">
        <v>239.05</v>
      </c>
      <c r="G854" s="160" t="s">
        <v>4921</v>
      </c>
      <c r="H854" s="34" t="s">
        <v>925</v>
      </c>
    </row>
    <row r="855" spans="1:8" ht="42.75">
      <c r="A855" s="160">
        <v>3</v>
      </c>
      <c r="B855" s="160" t="s">
        <v>4874</v>
      </c>
      <c r="C855" s="157" t="s">
        <v>927</v>
      </c>
      <c r="D855" s="159">
        <v>4.37</v>
      </c>
      <c r="E855" s="159">
        <v>558.37</v>
      </c>
      <c r="F855" s="159">
        <v>2440.08</v>
      </c>
      <c r="G855" s="160" t="s">
        <v>4875</v>
      </c>
      <c r="H855" s="34" t="s">
        <v>925</v>
      </c>
    </row>
    <row r="856" spans="1:8" ht="33">
      <c r="A856" s="160">
        <v>4</v>
      </c>
      <c r="B856" s="160" t="s">
        <v>1265</v>
      </c>
      <c r="C856" s="157" t="s">
        <v>14</v>
      </c>
      <c r="D856" s="159">
        <v>1</v>
      </c>
      <c r="E856" s="159">
        <v>39.74</v>
      </c>
      <c r="F856" s="159">
        <v>39.74</v>
      </c>
      <c r="G856" s="160" t="s">
        <v>1266</v>
      </c>
      <c r="H856" s="34" t="s">
        <v>925</v>
      </c>
    </row>
    <row r="857" spans="1:8" ht="33">
      <c r="A857" s="160">
        <v>5</v>
      </c>
      <c r="B857" s="160" t="s">
        <v>1303</v>
      </c>
      <c r="C857" s="157" t="s">
        <v>14</v>
      </c>
      <c r="D857" s="159">
        <v>1</v>
      </c>
      <c r="E857" s="159">
        <v>1371.08</v>
      </c>
      <c r="F857" s="159">
        <v>1371.08</v>
      </c>
      <c r="G857" s="160" t="s">
        <v>1304</v>
      </c>
      <c r="H857" s="34" t="s">
        <v>925</v>
      </c>
    </row>
    <row r="858" spans="1:8" ht="33">
      <c r="A858" s="160">
        <v>6</v>
      </c>
      <c r="B858" s="160" t="s">
        <v>1317</v>
      </c>
      <c r="C858" s="157" t="s">
        <v>0</v>
      </c>
      <c r="D858" s="159">
        <v>1</v>
      </c>
      <c r="E858" s="159">
        <v>3954.28</v>
      </c>
      <c r="F858" s="159">
        <v>3954.28</v>
      </c>
      <c r="G858" s="160" t="s">
        <v>1318</v>
      </c>
      <c r="H858" s="34" t="s">
        <v>925</v>
      </c>
    </row>
    <row r="859" spans="1:8" ht="28.5">
      <c r="A859" s="160">
        <v>7</v>
      </c>
      <c r="B859" s="160" t="s">
        <v>931</v>
      </c>
      <c r="C859" s="157" t="s">
        <v>14</v>
      </c>
      <c r="D859" s="159">
        <v>1</v>
      </c>
      <c r="E859" s="159">
        <v>248.5</v>
      </c>
      <c r="F859" s="159">
        <v>248.5</v>
      </c>
      <c r="G859" s="160" t="s">
        <v>932</v>
      </c>
    </row>
    <row r="860" spans="1:8" ht="33">
      <c r="A860" s="160"/>
      <c r="B860" s="160" t="s">
        <v>933</v>
      </c>
      <c r="C860" s="157" t="s">
        <v>0</v>
      </c>
      <c r="D860" s="159">
        <v>1</v>
      </c>
      <c r="E860" s="159"/>
      <c r="F860" s="159">
        <v>8531.7800000000007</v>
      </c>
      <c r="G860" s="160"/>
      <c r="H860" s="34" t="s">
        <v>925</v>
      </c>
    </row>
    <row r="861" spans="1:8" ht="33">
      <c r="A861" s="160"/>
      <c r="B861" s="160" t="s">
        <v>934</v>
      </c>
      <c r="C861" s="157" t="s">
        <v>0</v>
      </c>
      <c r="D861" s="159"/>
      <c r="E861" s="159"/>
      <c r="F861" s="159">
        <v>8531.7800000000007</v>
      </c>
      <c r="G861" s="160"/>
      <c r="H861" s="34" t="s">
        <v>925</v>
      </c>
    </row>
    <row r="862" spans="1:8" ht="33">
      <c r="A862" s="160"/>
      <c r="B862" s="160"/>
      <c r="C862" s="157"/>
      <c r="D862" s="159"/>
      <c r="E862" s="159"/>
      <c r="F862" s="159"/>
      <c r="G862" s="160"/>
      <c r="H862" s="34" t="s">
        <v>925</v>
      </c>
    </row>
    <row r="863" spans="1:8" ht="57">
      <c r="A863" s="160" t="s">
        <v>1394</v>
      </c>
      <c r="B863" s="160" t="s">
        <v>4519</v>
      </c>
      <c r="C863" s="157" t="s">
        <v>0</v>
      </c>
      <c r="D863" s="159">
        <v>1</v>
      </c>
      <c r="E863" s="159">
        <v>1745.15</v>
      </c>
      <c r="F863" s="159"/>
      <c r="G863" s="160" t="s">
        <v>4922</v>
      </c>
      <c r="H863" s="34" t="s">
        <v>925</v>
      </c>
    </row>
    <row r="864" spans="1:8" ht="33">
      <c r="A864" s="160">
        <v>1</v>
      </c>
      <c r="B864" s="160" t="s">
        <v>4923</v>
      </c>
      <c r="C864" s="157" t="s">
        <v>0</v>
      </c>
      <c r="D864" s="159">
        <v>1</v>
      </c>
      <c r="E864" s="159">
        <v>1490.31</v>
      </c>
      <c r="F864" s="159">
        <v>1490.31</v>
      </c>
      <c r="G864" s="160" t="s">
        <v>4924</v>
      </c>
      <c r="H864" s="34" t="s">
        <v>925</v>
      </c>
    </row>
    <row r="865" spans="1:8" ht="33">
      <c r="A865" s="160">
        <v>2</v>
      </c>
      <c r="B865" s="160" t="s">
        <v>4909</v>
      </c>
      <c r="C865" s="157" t="s">
        <v>927</v>
      </c>
      <c r="D865" s="159">
        <v>0.19</v>
      </c>
      <c r="E865" s="159">
        <v>407.35</v>
      </c>
      <c r="F865" s="159">
        <v>77.400000000000006</v>
      </c>
      <c r="G865" s="160" t="s">
        <v>4910</v>
      </c>
      <c r="H865" s="34" t="s">
        <v>925</v>
      </c>
    </row>
    <row r="866" spans="1:8" ht="33">
      <c r="A866" s="160">
        <v>3</v>
      </c>
      <c r="B866" s="160" t="s">
        <v>4871</v>
      </c>
      <c r="C866" s="157" t="s">
        <v>927</v>
      </c>
      <c r="D866" s="159">
        <v>0.39</v>
      </c>
      <c r="E866" s="159">
        <v>279.18</v>
      </c>
      <c r="F866" s="159">
        <v>108.88</v>
      </c>
      <c r="G866" s="160" t="s">
        <v>4876</v>
      </c>
      <c r="H866" s="34" t="s">
        <v>925</v>
      </c>
    </row>
    <row r="867" spans="1:8" ht="33">
      <c r="A867" s="160">
        <v>4</v>
      </c>
      <c r="B867" s="160" t="s">
        <v>1267</v>
      </c>
      <c r="C867" s="157" t="s">
        <v>14</v>
      </c>
      <c r="D867" s="159">
        <v>1</v>
      </c>
      <c r="E867" s="159">
        <v>17.73</v>
      </c>
      <c r="F867" s="159">
        <v>17.73</v>
      </c>
      <c r="G867" s="160" t="s">
        <v>1268</v>
      </c>
      <c r="H867" s="34" t="s">
        <v>925</v>
      </c>
    </row>
    <row r="868" spans="1:8" ht="33">
      <c r="A868" s="160">
        <v>5</v>
      </c>
      <c r="B868" s="160" t="s">
        <v>955</v>
      </c>
      <c r="C868" s="157" t="s">
        <v>14</v>
      </c>
      <c r="D868" s="159">
        <v>1</v>
      </c>
      <c r="E868" s="159">
        <v>50.83</v>
      </c>
      <c r="F868" s="159">
        <v>50.83</v>
      </c>
      <c r="G868" s="160" t="s">
        <v>956</v>
      </c>
      <c r="H868" s="34" t="s">
        <v>925</v>
      </c>
    </row>
    <row r="869" spans="1:8" ht="33">
      <c r="A869" s="160"/>
      <c r="B869" s="160" t="s">
        <v>933</v>
      </c>
      <c r="C869" s="157" t="s">
        <v>0</v>
      </c>
      <c r="D869" s="159">
        <v>1</v>
      </c>
      <c r="E869" s="159"/>
      <c r="F869" s="159">
        <v>1745.15</v>
      </c>
      <c r="G869" s="160"/>
      <c r="H869" s="34" t="s">
        <v>925</v>
      </c>
    </row>
    <row r="870" spans="1:8" ht="33">
      <c r="A870" s="160"/>
      <c r="B870" s="160" t="s">
        <v>934</v>
      </c>
      <c r="C870" s="157" t="s">
        <v>0</v>
      </c>
      <c r="D870" s="159"/>
      <c r="E870" s="159"/>
      <c r="F870" s="159">
        <v>1745.15</v>
      </c>
      <c r="G870" s="160"/>
      <c r="H870" s="34" t="s">
        <v>925</v>
      </c>
    </row>
    <row r="871" spans="1:8" ht="33">
      <c r="A871" s="160"/>
      <c r="B871" s="160"/>
      <c r="C871" s="157"/>
      <c r="D871" s="159"/>
      <c r="E871" s="159"/>
      <c r="F871" s="159"/>
      <c r="G871" s="160"/>
      <c r="H871" s="34" t="s">
        <v>925</v>
      </c>
    </row>
    <row r="872" spans="1:8" ht="57">
      <c r="A872" s="160" t="s">
        <v>1397</v>
      </c>
      <c r="B872" s="160" t="s">
        <v>4521</v>
      </c>
      <c r="C872" s="157" t="s">
        <v>0</v>
      </c>
      <c r="D872" s="159">
        <v>1</v>
      </c>
      <c r="E872" s="159">
        <v>1996.7</v>
      </c>
      <c r="F872" s="159"/>
      <c r="G872" s="160" t="s">
        <v>4925</v>
      </c>
    </row>
    <row r="873" spans="1:8" ht="33">
      <c r="A873" s="160">
        <v>1</v>
      </c>
      <c r="B873" s="160" t="s">
        <v>4923</v>
      </c>
      <c r="C873" s="157" t="s">
        <v>0</v>
      </c>
      <c r="D873" s="159">
        <v>1</v>
      </c>
      <c r="E873" s="159">
        <v>1490.31</v>
      </c>
      <c r="F873" s="159">
        <v>1490.31</v>
      </c>
      <c r="G873" s="160" t="s">
        <v>4924</v>
      </c>
      <c r="H873" s="34" t="s">
        <v>925</v>
      </c>
    </row>
    <row r="874" spans="1:8" ht="33">
      <c r="A874" s="160">
        <v>2</v>
      </c>
      <c r="B874" s="160" t="s">
        <v>4912</v>
      </c>
      <c r="C874" s="157" t="s">
        <v>927</v>
      </c>
      <c r="D874" s="159">
        <v>0.22</v>
      </c>
      <c r="E874" s="159">
        <v>814.7</v>
      </c>
      <c r="F874" s="159">
        <v>179.23</v>
      </c>
      <c r="G874" s="160" t="s">
        <v>4913</v>
      </c>
      <c r="H874" s="34" t="s">
        <v>925</v>
      </c>
    </row>
    <row r="875" spans="1:8" ht="42.75">
      <c r="A875" s="160">
        <v>3</v>
      </c>
      <c r="B875" s="160" t="s">
        <v>4874</v>
      </c>
      <c r="C875" s="157" t="s">
        <v>927</v>
      </c>
      <c r="D875" s="159">
        <v>0.45</v>
      </c>
      <c r="E875" s="159">
        <v>558.37</v>
      </c>
      <c r="F875" s="159">
        <v>251.27</v>
      </c>
      <c r="G875" s="160" t="s">
        <v>4875</v>
      </c>
      <c r="H875" s="34" t="s">
        <v>925</v>
      </c>
    </row>
    <row r="876" spans="1:8" ht="33">
      <c r="A876" s="160">
        <v>4</v>
      </c>
      <c r="B876" s="160" t="s">
        <v>1267</v>
      </c>
      <c r="C876" s="157" t="s">
        <v>14</v>
      </c>
      <c r="D876" s="159">
        <v>1</v>
      </c>
      <c r="E876" s="159">
        <v>17.73</v>
      </c>
      <c r="F876" s="159">
        <v>17.73</v>
      </c>
      <c r="G876" s="160" t="s">
        <v>1268</v>
      </c>
      <c r="H876" s="34" t="s">
        <v>925</v>
      </c>
    </row>
    <row r="877" spans="1:8" ht="33">
      <c r="A877" s="160">
        <v>5</v>
      </c>
      <c r="B877" s="160" t="s">
        <v>955</v>
      </c>
      <c r="C877" s="157" t="s">
        <v>14</v>
      </c>
      <c r="D877" s="159">
        <v>1</v>
      </c>
      <c r="E877" s="159">
        <v>58.16</v>
      </c>
      <c r="F877" s="159">
        <v>58.16</v>
      </c>
      <c r="G877" s="160" t="s">
        <v>956</v>
      </c>
      <c r="H877" s="34" t="s">
        <v>925</v>
      </c>
    </row>
    <row r="878" spans="1:8" ht="33">
      <c r="A878" s="160"/>
      <c r="B878" s="160" t="s">
        <v>933</v>
      </c>
      <c r="C878" s="157" t="s">
        <v>0</v>
      </c>
      <c r="D878" s="159">
        <v>1</v>
      </c>
      <c r="E878" s="159"/>
      <c r="F878" s="159">
        <v>1996.7</v>
      </c>
      <c r="G878" s="160"/>
      <c r="H878" s="34" t="s">
        <v>925</v>
      </c>
    </row>
    <row r="879" spans="1:8" ht="33">
      <c r="A879" s="160"/>
      <c r="B879" s="160" t="s">
        <v>934</v>
      </c>
      <c r="C879" s="157" t="s">
        <v>0</v>
      </c>
      <c r="D879" s="159"/>
      <c r="E879" s="159"/>
      <c r="F879" s="159">
        <v>1996.7</v>
      </c>
      <c r="G879" s="160"/>
      <c r="H879" s="34" t="s">
        <v>925</v>
      </c>
    </row>
    <row r="880" spans="1:8" ht="33">
      <c r="A880" s="160"/>
      <c r="B880" s="160"/>
      <c r="C880" s="157"/>
      <c r="D880" s="159"/>
      <c r="E880" s="159"/>
      <c r="F880" s="159"/>
      <c r="G880" s="160"/>
      <c r="H880" s="34" t="s">
        <v>925</v>
      </c>
    </row>
    <row r="881" spans="1:8" ht="33">
      <c r="A881" s="160" t="s">
        <v>1399</v>
      </c>
      <c r="B881" s="160" t="s">
        <v>1320</v>
      </c>
      <c r="C881" s="157" t="s">
        <v>0</v>
      </c>
      <c r="D881" s="159">
        <v>1</v>
      </c>
      <c r="E881" s="159">
        <v>5062.71</v>
      </c>
      <c r="F881" s="159"/>
      <c r="G881" s="160" t="s">
        <v>1321</v>
      </c>
      <c r="H881" s="34" t="s">
        <v>925</v>
      </c>
    </row>
    <row r="882" spans="1:8" ht="33">
      <c r="A882" s="160">
        <v>1</v>
      </c>
      <c r="B882" s="160" t="s">
        <v>1322</v>
      </c>
      <c r="C882" s="157" t="s">
        <v>0</v>
      </c>
      <c r="D882" s="159">
        <v>1</v>
      </c>
      <c r="E882" s="159">
        <v>4470.92</v>
      </c>
      <c r="F882" s="159">
        <v>4470.92</v>
      </c>
      <c r="G882" s="160" t="s">
        <v>1323</v>
      </c>
      <c r="H882" s="34" t="s">
        <v>925</v>
      </c>
    </row>
    <row r="883" spans="1:8" ht="33">
      <c r="A883" s="160">
        <v>2</v>
      </c>
      <c r="B883" s="160" t="s">
        <v>1261</v>
      </c>
      <c r="C883" s="157" t="s">
        <v>927</v>
      </c>
      <c r="D883" s="159">
        <v>0.5</v>
      </c>
      <c r="E883" s="159">
        <v>398.41</v>
      </c>
      <c r="F883" s="159">
        <v>199.21</v>
      </c>
      <c r="G883" s="160" t="s">
        <v>1262</v>
      </c>
      <c r="H883" s="34" t="s">
        <v>925</v>
      </c>
    </row>
    <row r="884" spans="1:8" ht="33">
      <c r="A884" s="160">
        <v>3</v>
      </c>
      <c r="B884" s="160" t="s">
        <v>4871</v>
      </c>
      <c r="C884" s="157" t="s">
        <v>927</v>
      </c>
      <c r="D884" s="159">
        <v>0.7</v>
      </c>
      <c r="E884" s="159">
        <v>279.18</v>
      </c>
      <c r="F884" s="159">
        <v>195.43</v>
      </c>
      <c r="G884" s="160" t="s">
        <v>1324</v>
      </c>
      <c r="H884" s="34" t="s">
        <v>925</v>
      </c>
    </row>
    <row r="885" spans="1:8" ht="28.5">
      <c r="A885" s="160">
        <v>4</v>
      </c>
      <c r="B885" s="160" t="s">
        <v>1263</v>
      </c>
      <c r="C885" s="157" t="s">
        <v>14</v>
      </c>
      <c r="D885" s="159">
        <v>1</v>
      </c>
      <c r="E885" s="159">
        <v>9.94</v>
      </c>
      <c r="F885" s="159">
        <v>9.94</v>
      </c>
      <c r="G885" s="160" t="s">
        <v>1264</v>
      </c>
    </row>
    <row r="886" spans="1:8" ht="33">
      <c r="A886" s="160">
        <v>5</v>
      </c>
      <c r="B886" s="160" t="s">
        <v>1265</v>
      </c>
      <c r="C886" s="157" t="s">
        <v>14</v>
      </c>
      <c r="D886" s="159">
        <v>1</v>
      </c>
      <c r="E886" s="159">
        <v>9.94</v>
      </c>
      <c r="F886" s="159">
        <v>9.94</v>
      </c>
      <c r="G886" s="160" t="s">
        <v>1266</v>
      </c>
      <c r="H886" s="34" t="s">
        <v>925</v>
      </c>
    </row>
    <row r="887" spans="1:8" ht="33">
      <c r="A887" s="160">
        <v>6</v>
      </c>
      <c r="B887" s="160" t="s">
        <v>1267</v>
      </c>
      <c r="C887" s="157" t="s">
        <v>14</v>
      </c>
      <c r="D887" s="159">
        <v>1</v>
      </c>
      <c r="E887" s="159">
        <v>29.81</v>
      </c>
      <c r="F887" s="159">
        <v>29.81</v>
      </c>
      <c r="G887" s="160" t="s">
        <v>1268</v>
      </c>
      <c r="H887" s="34" t="s">
        <v>925</v>
      </c>
    </row>
    <row r="888" spans="1:8" ht="33">
      <c r="A888" s="160">
        <v>7</v>
      </c>
      <c r="B888" s="160" t="s">
        <v>931</v>
      </c>
      <c r="C888" s="157" t="s">
        <v>14</v>
      </c>
      <c r="D888" s="159">
        <v>1</v>
      </c>
      <c r="E888" s="159">
        <v>147.46</v>
      </c>
      <c r="F888" s="159">
        <v>147.46</v>
      </c>
      <c r="G888" s="160" t="s">
        <v>932</v>
      </c>
      <c r="H888" s="34" t="s">
        <v>925</v>
      </c>
    </row>
    <row r="889" spans="1:8" ht="33">
      <c r="A889" s="160"/>
      <c r="B889" s="160" t="s">
        <v>933</v>
      </c>
      <c r="C889" s="157" t="s">
        <v>0</v>
      </c>
      <c r="D889" s="159">
        <v>1</v>
      </c>
      <c r="E889" s="159"/>
      <c r="F889" s="159">
        <v>5062.71</v>
      </c>
      <c r="G889" s="160"/>
      <c r="H889" s="34" t="s">
        <v>925</v>
      </c>
    </row>
    <row r="890" spans="1:8" ht="33">
      <c r="A890" s="160"/>
      <c r="B890" s="160" t="s">
        <v>934</v>
      </c>
      <c r="C890" s="157" t="s">
        <v>0</v>
      </c>
      <c r="D890" s="159"/>
      <c r="E890" s="159"/>
      <c r="F890" s="159">
        <v>5062.71</v>
      </c>
      <c r="G890" s="160"/>
      <c r="H890" s="34" t="s">
        <v>925</v>
      </c>
    </row>
    <row r="891" spans="1:8" ht="33">
      <c r="A891" s="160"/>
      <c r="B891" s="160"/>
      <c r="C891" s="157"/>
      <c r="D891" s="159"/>
      <c r="E891" s="159"/>
      <c r="F891" s="159"/>
      <c r="G891" s="160"/>
      <c r="H891" s="34" t="s">
        <v>925</v>
      </c>
    </row>
    <row r="892" spans="1:8" ht="33">
      <c r="A892" s="160" t="s">
        <v>1401</v>
      </c>
      <c r="B892" s="160" t="s">
        <v>1328</v>
      </c>
      <c r="C892" s="157" t="s">
        <v>3</v>
      </c>
      <c r="D892" s="159">
        <v>1</v>
      </c>
      <c r="E892" s="159">
        <v>264.25</v>
      </c>
      <c r="F892" s="159"/>
      <c r="G892" s="160" t="s">
        <v>1329</v>
      </c>
      <c r="H892" s="34" t="s">
        <v>925</v>
      </c>
    </row>
    <row r="893" spans="1:8" ht="33">
      <c r="A893" s="160">
        <v>1</v>
      </c>
      <c r="B893" s="160" t="s">
        <v>1294</v>
      </c>
      <c r="C893" s="157" t="s">
        <v>1295</v>
      </c>
      <c r="D893" s="159">
        <v>0.02</v>
      </c>
      <c r="E893" s="159">
        <v>165.92</v>
      </c>
      <c r="F893" s="159">
        <v>3.32</v>
      </c>
      <c r="G893" s="160" t="s">
        <v>1296</v>
      </c>
      <c r="H893" s="34" t="s">
        <v>925</v>
      </c>
    </row>
    <row r="894" spans="1:8" ht="33">
      <c r="A894" s="160">
        <v>2</v>
      </c>
      <c r="B894" s="160" t="s">
        <v>4871</v>
      </c>
      <c r="C894" s="157" t="s">
        <v>927</v>
      </c>
      <c r="D894" s="159">
        <v>0.48</v>
      </c>
      <c r="E894" s="159">
        <v>279.18</v>
      </c>
      <c r="F894" s="159">
        <v>134.01</v>
      </c>
      <c r="G894" s="160" t="s">
        <v>4872</v>
      </c>
      <c r="H894" s="34" t="s">
        <v>925</v>
      </c>
    </row>
    <row r="895" spans="1:8" ht="33">
      <c r="A895" s="160">
        <v>3</v>
      </c>
      <c r="B895" s="160" t="s">
        <v>1330</v>
      </c>
      <c r="C895" s="157" t="s">
        <v>14</v>
      </c>
      <c r="D895" s="159">
        <v>1</v>
      </c>
      <c r="E895" s="159">
        <v>119.22</v>
      </c>
      <c r="F895" s="159">
        <v>119.22</v>
      </c>
      <c r="G895" s="160" t="s">
        <v>1331</v>
      </c>
      <c r="H895" s="34" t="s">
        <v>925</v>
      </c>
    </row>
    <row r="896" spans="1:8" ht="33">
      <c r="A896" s="160">
        <v>4</v>
      </c>
      <c r="B896" s="160" t="s">
        <v>931</v>
      </c>
      <c r="C896" s="157" t="s">
        <v>14</v>
      </c>
      <c r="D896" s="159">
        <v>1</v>
      </c>
      <c r="E896" s="159">
        <v>7.7</v>
      </c>
      <c r="F896" s="159">
        <v>7.7</v>
      </c>
      <c r="G896" s="160" t="s">
        <v>932</v>
      </c>
      <c r="H896" s="34" t="s">
        <v>925</v>
      </c>
    </row>
    <row r="897" spans="1:8" ht="16.5">
      <c r="A897" s="160"/>
      <c r="B897" s="160" t="s">
        <v>933</v>
      </c>
      <c r="C897" s="157" t="s">
        <v>3</v>
      </c>
      <c r="D897" s="159">
        <v>1</v>
      </c>
      <c r="E897" s="159"/>
      <c r="F897" s="159">
        <v>264.24999999999994</v>
      </c>
      <c r="G897" s="160"/>
    </row>
    <row r="898" spans="1:8" ht="33">
      <c r="A898" s="160"/>
      <c r="B898" s="160" t="s">
        <v>934</v>
      </c>
      <c r="C898" s="157" t="s">
        <v>3</v>
      </c>
      <c r="D898" s="159"/>
      <c r="E898" s="159"/>
      <c r="F898" s="159">
        <v>264.25</v>
      </c>
      <c r="G898" s="160"/>
      <c r="H898" s="34" t="s">
        <v>925</v>
      </c>
    </row>
    <row r="899" spans="1:8" ht="33">
      <c r="A899" s="160"/>
      <c r="B899" s="160"/>
      <c r="C899" s="157"/>
      <c r="D899" s="159"/>
      <c r="E899" s="159"/>
      <c r="F899" s="159"/>
      <c r="G899" s="160"/>
      <c r="H899" s="34" t="s">
        <v>925</v>
      </c>
    </row>
    <row r="900" spans="1:8" ht="33">
      <c r="A900" s="160" t="s">
        <v>1403</v>
      </c>
      <c r="B900" s="160" t="s">
        <v>1333</v>
      </c>
      <c r="C900" s="157" t="s">
        <v>3</v>
      </c>
      <c r="D900" s="159">
        <v>10</v>
      </c>
      <c r="E900" s="159">
        <v>954.42</v>
      </c>
      <c r="F900" s="159"/>
      <c r="G900" s="160" t="s">
        <v>1334</v>
      </c>
      <c r="H900" s="34" t="s">
        <v>925</v>
      </c>
    </row>
    <row r="901" spans="1:8" ht="33">
      <c r="A901" s="160">
        <v>1</v>
      </c>
      <c r="B901" s="160" t="s">
        <v>1335</v>
      </c>
      <c r="C901" s="157" t="s">
        <v>0</v>
      </c>
      <c r="D901" s="159">
        <v>0.03</v>
      </c>
      <c r="E901" s="159">
        <v>21460.42</v>
      </c>
      <c r="F901" s="159">
        <v>643.80999999999995</v>
      </c>
      <c r="G901" s="160" t="s">
        <v>4926</v>
      </c>
      <c r="H901" s="34" t="s">
        <v>925</v>
      </c>
    </row>
    <row r="902" spans="1:8" ht="33">
      <c r="A902" s="160">
        <v>2</v>
      </c>
      <c r="B902" s="160" t="s">
        <v>1336</v>
      </c>
      <c r="C902" s="157" t="s">
        <v>0</v>
      </c>
      <c r="D902" s="159">
        <v>0.03</v>
      </c>
      <c r="E902" s="159">
        <v>22851.38</v>
      </c>
      <c r="F902" s="159">
        <v>685.54</v>
      </c>
      <c r="G902" s="160" t="s">
        <v>1337</v>
      </c>
      <c r="H902" s="34" t="s">
        <v>925</v>
      </c>
    </row>
    <row r="903" spans="1:8" ht="33">
      <c r="A903" s="160">
        <v>3</v>
      </c>
      <c r="B903" s="160" t="s">
        <v>1338</v>
      </c>
      <c r="C903" s="157" t="s">
        <v>3</v>
      </c>
      <c r="D903" s="159">
        <v>3.33</v>
      </c>
      <c r="E903" s="159">
        <v>83.46</v>
      </c>
      <c r="F903" s="159">
        <v>277.92</v>
      </c>
      <c r="G903" s="160" t="s">
        <v>1339</v>
      </c>
      <c r="H903" s="34" t="s">
        <v>925</v>
      </c>
    </row>
    <row r="904" spans="1:8" ht="33">
      <c r="A904" s="160">
        <v>4</v>
      </c>
      <c r="B904" s="160" t="s">
        <v>1340</v>
      </c>
      <c r="C904" s="157" t="s">
        <v>14</v>
      </c>
      <c r="D904" s="159">
        <v>1</v>
      </c>
      <c r="E904" s="159">
        <v>546.45000000000005</v>
      </c>
      <c r="F904" s="159">
        <v>546.45000000000005</v>
      </c>
      <c r="G904" s="160" t="s">
        <v>1341</v>
      </c>
      <c r="H904" s="34" t="s">
        <v>925</v>
      </c>
    </row>
    <row r="905" spans="1:8" ht="42.75">
      <c r="A905" s="160">
        <v>5</v>
      </c>
      <c r="B905" s="160" t="s">
        <v>4927</v>
      </c>
      <c r="C905" s="157" t="s">
        <v>927</v>
      </c>
      <c r="D905" s="159">
        <v>9.6</v>
      </c>
      <c r="E905" s="159">
        <v>407.35</v>
      </c>
      <c r="F905" s="159">
        <v>3910.56</v>
      </c>
      <c r="G905" s="160" t="s">
        <v>4928</v>
      </c>
      <c r="H905" s="34" t="s">
        <v>925</v>
      </c>
    </row>
    <row r="906" spans="1:8" ht="33">
      <c r="A906" s="160">
        <v>6</v>
      </c>
      <c r="B906" s="160" t="s">
        <v>4871</v>
      </c>
      <c r="C906" s="157" t="s">
        <v>927</v>
      </c>
      <c r="D906" s="159">
        <v>11.2</v>
      </c>
      <c r="E906" s="159">
        <v>279.18</v>
      </c>
      <c r="F906" s="159">
        <v>3126.82</v>
      </c>
      <c r="G906" s="160" t="s">
        <v>4876</v>
      </c>
      <c r="H906" s="34" t="s">
        <v>925</v>
      </c>
    </row>
    <row r="907" spans="1:8" ht="33">
      <c r="A907" s="160">
        <v>7</v>
      </c>
      <c r="B907" s="160" t="s">
        <v>1342</v>
      </c>
      <c r="C907" s="157" t="s">
        <v>18</v>
      </c>
      <c r="D907" s="159">
        <v>1</v>
      </c>
      <c r="E907" s="159">
        <v>35.770000000000003</v>
      </c>
      <c r="F907" s="159">
        <v>35.770000000000003</v>
      </c>
      <c r="G907" s="160" t="s">
        <v>1343</v>
      </c>
      <c r="H907" s="34" t="s">
        <v>925</v>
      </c>
    </row>
    <row r="908" spans="1:8" ht="33">
      <c r="A908" s="160">
        <v>8</v>
      </c>
      <c r="B908" s="160" t="s">
        <v>1344</v>
      </c>
      <c r="C908" s="157" t="s">
        <v>18</v>
      </c>
      <c r="D908" s="159">
        <v>1.1000000000000001</v>
      </c>
      <c r="E908" s="159">
        <v>35.770000000000003</v>
      </c>
      <c r="F908" s="159">
        <v>39.35</v>
      </c>
      <c r="G908" s="160" t="s">
        <v>1345</v>
      </c>
      <c r="H908" s="34" t="s">
        <v>925</v>
      </c>
    </row>
    <row r="909" spans="1:8" ht="28.5">
      <c r="A909" s="160">
        <v>9</v>
      </c>
      <c r="B909" s="160" t="s">
        <v>931</v>
      </c>
      <c r="C909" s="157" t="s">
        <v>14</v>
      </c>
      <c r="D909" s="159">
        <v>1</v>
      </c>
      <c r="E909" s="159">
        <v>277.99</v>
      </c>
      <c r="F909" s="159">
        <v>277.99</v>
      </c>
      <c r="G909" s="160" t="s">
        <v>932</v>
      </c>
    </row>
    <row r="910" spans="1:8" ht="33">
      <c r="A910" s="160"/>
      <c r="B910" s="160" t="s">
        <v>933</v>
      </c>
      <c r="C910" s="157" t="s">
        <v>3</v>
      </c>
      <c r="D910" s="159">
        <v>10</v>
      </c>
      <c r="E910" s="159"/>
      <c r="F910" s="159">
        <v>9544.2100000000009</v>
      </c>
      <c r="G910" s="160"/>
      <c r="H910" s="34" t="s">
        <v>925</v>
      </c>
    </row>
    <row r="911" spans="1:8" ht="33">
      <c r="A911" s="160"/>
      <c r="B911" s="160" t="s">
        <v>934</v>
      </c>
      <c r="C911" s="157" t="s">
        <v>3</v>
      </c>
      <c r="D911" s="159"/>
      <c r="E911" s="159"/>
      <c r="F911" s="159">
        <v>954.42</v>
      </c>
      <c r="G911" s="160"/>
      <c r="H911" s="34" t="s">
        <v>925</v>
      </c>
    </row>
    <row r="912" spans="1:8" ht="33">
      <c r="A912" s="160"/>
      <c r="B912" s="160"/>
      <c r="C912" s="157"/>
      <c r="D912" s="159"/>
      <c r="E912" s="159"/>
      <c r="F912" s="159"/>
      <c r="G912" s="160"/>
      <c r="H912" s="34" t="s">
        <v>925</v>
      </c>
    </row>
    <row r="913" spans="1:8" ht="57">
      <c r="A913" s="160" t="s">
        <v>1405</v>
      </c>
      <c r="B913" s="160" t="s">
        <v>5510</v>
      </c>
      <c r="C913" s="157" t="s">
        <v>3</v>
      </c>
      <c r="D913" s="159">
        <v>10</v>
      </c>
      <c r="E913" s="159">
        <v>1193.82</v>
      </c>
      <c r="F913" s="159"/>
      <c r="G913" s="160" t="s">
        <v>1385</v>
      </c>
      <c r="H913" s="34" t="s">
        <v>925</v>
      </c>
    </row>
    <row r="914" spans="1:8" ht="33">
      <c r="A914" s="160">
        <v>1</v>
      </c>
      <c r="B914" s="160" t="s">
        <v>1335</v>
      </c>
      <c r="C914" s="157" t="s">
        <v>0</v>
      </c>
      <c r="D914" s="159">
        <v>0.03</v>
      </c>
      <c r="E914" s="159">
        <v>21460.42</v>
      </c>
      <c r="F914" s="159">
        <v>643.80999999999995</v>
      </c>
      <c r="G914" s="160" t="s">
        <v>4926</v>
      </c>
      <c r="H914" s="34" t="s">
        <v>925</v>
      </c>
    </row>
    <row r="915" spans="1:8" ht="33">
      <c r="A915" s="160">
        <v>2</v>
      </c>
      <c r="B915" s="160" t="s">
        <v>1336</v>
      </c>
      <c r="C915" s="157" t="s">
        <v>0</v>
      </c>
      <c r="D915" s="159">
        <v>0.03</v>
      </c>
      <c r="E915" s="159">
        <v>22851.38</v>
      </c>
      <c r="F915" s="159">
        <v>685.54</v>
      </c>
      <c r="G915" s="160" t="s">
        <v>1337</v>
      </c>
      <c r="H915" s="34" t="s">
        <v>925</v>
      </c>
    </row>
    <row r="916" spans="1:8" ht="33">
      <c r="A916" s="160">
        <v>3</v>
      </c>
      <c r="B916" s="160" t="s">
        <v>1338</v>
      </c>
      <c r="C916" s="157" t="s">
        <v>3</v>
      </c>
      <c r="D916" s="159">
        <v>3.33</v>
      </c>
      <c r="E916" s="159">
        <v>83.46</v>
      </c>
      <c r="F916" s="159">
        <v>277.92</v>
      </c>
      <c r="G916" s="160" t="s">
        <v>1339</v>
      </c>
      <c r="H916" s="34" t="s">
        <v>925</v>
      </c>
    </row>
    <row r="917" spans="1:8" ht="33">
      <c r="A917" s="160">
        <v>4</v>
      </c>
      <c r="B917" s="160" t="s">
        <v>1340</v>
      </c>
      <c r="C917" s="157" t="s">
        <v>14</v>
      </c>
      <c r="D917" s="159">
        <v>1</v>
      </c>
      <c r="E917" s="159">
        <v>546.45000000000005</v>
      </c>
      <c r="F917" s="159">
        <v>546.45000000000005</v>
      </c>
      <c r="G917" s="160" t="s">
        <v>1341</v>
      </c>
      <c r="H917" s="34" t="s">
        <v>925</v>
      </c>
    </row>
    <row r="918" spans="1:8" ht="42.75">
      <c r="A918" s="160">
        <v>5</v>
      </c>
      <c r="B918" s="160" t="s">
        <v>4927</v>
      </c>
      <c r="C918" s="157" t="s">
        <v>927</v>
      </c>
      <c r="D918" s="159">
        <v>12.77</v>
      </c>
      <c r="E918" s="159">
        <v>407.35</v>
      </c>
      <c r="F918" s="159">
        <v>5201.8599999999997</v>
      </c>
      <c r="G918" s="160" t="s">
        <v>4928</v>
      </c>
    </row>
    <row r="919" spans="1:8" ht="33">
      <c r="A919" s="160">
        <v>6</v>
      </c>
      <c r="B919" s="160" t="s">
        <v>4871</v>
      </c>
      <c r="C919" s="157" t="s">
        <v>927</v>
      </c>
      <c r="D919" s="159">
        <v>14.9</v>
      </c>
      <c r="E919" s="159">
        <v>279.18</v>
      </c>
      <c r="F919" s="159">
        <v>4159.78</v>
      </c>
      <c r="G919" s="160" t="s">
        <v>4872</v>
      </c>
      <c r="H919" s="34" t="s">
        <v>925</v>
      </c>
    </row>
    <row r="920" spans="1:8" ht="33">
      <c r="A920" s="160">
        <v>7</v>
      </c>
      <c r="B920" s="160" t="s">
        <v>1342</v>
      </c>
      <c r="C920" s="157" t="s">
        <v>18</v>
      </c>
      <c r="D920" s="159">
        <v>1</v>
      </c>
      <c r="E920" s="159">
        <v>35.770000000000003</v>
      </c>
      <c r="F920" s="159">
        <v>35.770000000000003</v>
      </c>
      <c r="G920" s="160" t="s">
        <v>1343</v>
      </c>
      <c r="H920" s="34" t="s">
        <v>925</v>
      </c>
    </row>
    <row r="921" spans="1:8" ht="33">
      <c r="A921" s="160">
        <v>8</v>
      </c>
      <c r="B921" s="160" t="s">
        <v>1344</v>
      </c>
      <c r="C921" s="157" t="s">
        <v>18</v>
      </c>
      <c r="D921" s="159">
        <v>1.1000000000000001</v>
      </c>
      <c r="E921" s="159">
        <v>35.770000000000003</v>
      </c>
      <c r="F921" s="159">
        <v>39.35</v>
      </c>
      <c r="G921" s="160" t="s">
        <v>1345</v>
      </c>
      <c r="H921" s="34" t="s">
        <v>925</v>
      </c>
    </row>
    <row r="922" spans="1:8" ht="33">
      <c r="A922" s="160">
        <v>9</v>
      </c>
      <c r="B922" s="160" t="s">
        <v>931</v>
      </c>
      <c r="C922" s="157" t="s">
        <v>14</v>
      </c>
      <c r="D922" s="159">
        <v>1</v>
      </c>
      <c r="E922" s="159">
        <v>347.71</v>
      </c>
      <c r="F922" s="159">
        <v>347.71</v>
      </c>
      <c r="G922" s="160" t="s">
        <v>932</v>
      </c>
      <c r="H922" s="34" t="s">
        <v>925</v>
      </c>
    </row>
    <row r="923" spans="1:8" ht="33">
      <c r="A923" s="160"/>
      <c r="B923" s="160" t="s">
        <v>933</v>
      </c>
      <c r="C923" s="157" t="s">
        <v>3</v>
      </c>
      <c r="D923" s="159">
        <v>10</v>
      </c>
      <c r="E923" s="159"/>
      <c r="F923" s="159">
        <v>11938.19</v>
      </c>
      <c r="G923" s="160"/>
      <c r="H923" s="34" t="s">
        <v>925</v>
      </c>
    </row>
    <row r="924" spans="1:8" ht="33">
      <c r="A924" s="160"/>
      <c r="B924" s="160" t="s">
        <v>934</v>
      </c>
      <c r="C924" s="157" t="s">
        <v>3</v>
      </c>
      <c r="D924" s="159"/>
      <c r="E924" s="159"/>
      <c r="F924" s="159">
        <v>1193.82</v>
      </c>
      <c r="G924" s="160"/>
      <c r="H924" s="34" t="s">
        <v>925</v>
      </c>
    </row>
    <row r="925" spans="1:8" ht="33">
      <c r="A925" s="160"/>
      <c r="B925" s="160"/>
      <c r="C925" s="157"/>
      <c r="D925" s="159"/>
      <c r="E925" s="159"/>
      <c r="F925" s="159"/>
      <c r="G925" s="160"/>
      <c r="H925" s="34" t="s">
        <v>925</v>
      </c>
    </row>
    <row r="926" spans="1:8" ht="71.25">
      <c r="A926" s="160" t="s">
        <v>1407</v>
      </c>
      <c r="B926" s="160" t="s">
        <v>1347</v>
      </c>
      <c r="C926" s="157" t="s">
        <v>3</v>
      </c>
      <c r="D926" s="159">
        <v>100</v>
      </c>
      <c r="E926" s="159">
        <v>799.59</v>
      </c>
      <c r="F926" s="159"/>
      <c r="G926" s="160" t="s">
        <v>1348</v>
      </c>
      <c r="H926" s="34" t="s">
        <v>925</v>
      </c>
    </row>
    <row r="927" spans="1:8" ht="28.5">
      <c r="A927" s="160">
        <v>1</v>
      </c>
      <c r="B927" s="160" t="s">
        <v>1335</v>
      </c>
      <c r="C927" s="157" t="s">
        <v>0</v>
      </c>
      <c r="D927" s="159">
        <v>0.3</v>
      </c>
      <c r="E927" s="159">
        <v>21460.42</v>
      </c>
      <c r="F927" s="159">
        <v>6438.13</v>
      </c>
      <c r="G927" s="160" t="s">
        <v>4926</v>
      </c>
    </row>
    <row r="928" spans="1:8" ht="33">
      <c r="A928" s="160">
        <v>2</v>
      </c>
      <c r="B928" s="160" t="s">
        <v>1336</v>
      </c>
      <c r="C928" s="157" t="s">
        <v>0</v>
      </c>
      <c r="D928" s="159">
        <v>0.21</v>
      </c>
      <c r="E928" s="159">
        <v>22851.38</v>
      </c>
      <c r="F928" s="159">
        <v>4798.79</v>
      </c>
      <c r="G928" s="160" t="s">
        <v>1337</v>
      </c>
      <c r="H928" s="34" t="s">
        <v>925</v>
      </c>
    </row>
    <row r="929" spans="1:8" ht="33">
      <c r="A929" s="160">
        <v>3</v>
      </c>
      <c r="B929" s="160" t="s">
        <v>1338</v>
      </c>
      <c r="C929" s="157" t="s">
        <v>3</v>
      </c>
      <c r="D929" s="159">
        <v>33.299999999999997</v>
      </c>
      <c r="E929" s="159">
        <v>83.46</v>
      </c>
      <c r="F929" s="159">
        <v>2779.22</v>
      </c>
      <c r="G929" s="160" t="s">
        <v>1339</v>
      </c>
      <c r="H929" s="34" t="s">
        <v>925</v>
      </c>
    </row>
    <row r="930" spans="1:8" ht="33">
      <c r="A930" s="160">
        <v>4</v>
      </c>
      <c r="B930" s="160" t="s">
        <v>1349</v>
      </c>
      <c r="C930" s="157" t="s">
        <v>14</v>
      </c>
      <c r="D930" s="159">
        <v>1</v>
      </c>
      <c r="E930" s="159">
        <v>2305.0100000000002</v>
      </c>
      <c r="F930" s="159">
        <v>2305.0100000000002</v>
      </c>
      <c r="G930" s="160" t="s">
        <v>1350</v>
      </c>
      <c r="H930" s="34" t="s">
        <v>925</v>
      </c>
    </row>
    <row r="931" spans="1:8" ht="42.75">
      <c r="A931" s="160">
        <v>5</v>
      </c>
      <c r="B931" s="160" t="s">
        <v>4927</v>
      </c>
      <c r="C931" s="157" t="s">
        <v>927</v>
      </c>
      <c r="D931" s="159">
        <v>88</v>
      </c>
      <c r="E931" s="159">
        <v>407.35</v>
      </c>
      <c r="F931" s="159">
        <v>35846.800000000003</v>
      </c>
      <c r="G931" s="160" t="s">
        <v>4928</v>
      </c>
      <c r="H931" s="34" t="s">
        <v>925</v>
      </c>
    </row>
    <row r="932" spans="1:8" ht="33">
      <c r="A932" s="160">
        <v>6</v>
      </c>
      <c r="B932" s="160" t="s">
        <v>4871</v>
      </c>
      <c r="C932" s="157" t="s">
        <v>927</v>
      </c>
      <c r="D932" s="159">
        <v>88</v>
      </c>
      <c r="E932" s="159">
        <v>279.18</v>
      </c>
      <c r="F932" s="159">
        <v>24567.84</v>
      </c>
      <c r="G932" s="160" t="s">
        <v>4872</v>
      </c>
      <c r="H932" s="34" t="s">
        <v>925</v>
      </c>
    </row>
    <row r="933" spans="1:8" ht="33">
      <c r="A933" s="160">
        <v>7</v>
      </c>
      <c r="B933" s="160" t="s">
        <v>1342</v>
      </c>
      <c r="C933" s="157" t="s">
        <v>18</v>
      </c>
      <c r="D933" s="159">
        <v>12</v>
      </c>
      <c r="E933" s="159">
        <v>35.770000000000003</v>
      </c>
      <c r="F933" s="159">
        <v>429.24</v>
      </c>
      <c r="G933" s="160" t="s">
        <v>1343</v>
      </c>
      <c r="H933" s="34" t="s">
        <v>925</v>
      </c>
    </row>
    <row r="934" spans="1:8" ht="33">
      <c r="A934" s="160">
        <v>8</v>
      </c>
      <c r="B934" s="160" t="s">
        <v>1344</v>
      </c>
      <c r="C934" s="157" t="s">
        <v>18</v>
      </c>
      <c r="D934" s="159">
        <v>13</v>
      </c>
      <c r="E934" s="159">
        <v>35.770000000000003</v>
      </c>
      <c r="F934" s="159">
        <v>465.01</v>
      </c>
      <c r="G934" s="160" t="s">
        <v>1345</v>
      </c>
      <c r="H934" s="34" t="s">
        <v>925</v>
      </c>
    </row>
    <row r="935" spans="1:8" ht="33">
      <c r="A935" s="160">
        <v>9</v>
      </c>
      <c r="B935" s="160" t="s">
        <v>931</v>
      </c>
      <c r="C935" s="157" t="s">
        <v>14</v>
      </c>
      <c r="D935" s="159">
        <v>1</v>
      </c>
      <c r="E935" s="159">
        <v>2328.9</v>
      </c>
      <c r="F935" s="159">
        <v>2328.9</v>
      </c>
      <c r="G935" s="160" t="s">
        <v>932</v>
      </c>
      <c r="H935" s="34" t="s">
        <v>925</v>
      </c>
    </row>
    <row r="936" spans="1:8" ht="16.5">
      <c r="A936" s="160"/>
      <c r="B936" s="160" t="s">
        <v>933</v>
      </c>
      <c r="C936" s="157" t="s">
        <v>3</v>
      </c>
      <c r="D936" s="159">
        <v>100</v>
      </c>
      <c r="E936" s="159"/>
      <c r="F936" s="159">
        <v>79958.94</v>
      </c>
      <c r="G936" s="160"/>
    </row>
    <row r="937" spans="1:8" ht="33">
      <c r="A937" s="160"/>
      <c r="B937" s="160" t="s">
        <v>934</v>
      </c>
      <c r="C937" s="157" t="s">
        <v>3</v>
      </c>
      <c r="D937" s="159"/>
      <c r="E937" s="159"/>
      <c r="F937" s="159">
        <v>799.59</v>
      </c>
      <c r="G937" s="160"/>
      <c r="H937" s="34" t="s">
        <v>925</v>
      </c>
    </row>
    <row r="938" spans="1:8" ht="33">
      <c r="A938" s="160"/>
      <c r="B938" s="160"/>
      <c r="C938" s="157"/>
      <c r="D938" s="159"/>
      <c r="E938" s="159"/>
      <c r="F938" s="159"/>
      <c r="G938" s="160"/>
      <c r="H938" s="34" t="s">
        <v>925</v>
      </c>
    </row>
    <row r="939" spans="1:8" ht="99.75">
      <c r="A939" s="160" t="s">
        <v>1409</v>
      </c>
      <c r="B939" s="160" t="s">
        <v>5493</v>
      </c>
      <c r="C939" s="157" t="s">
        <v>3</v>
      </c>
      <c r="D939" s="159">
        <v>100</v>
      </c>
      <c r="E939" s="159">
        <v>1004.94</v>
      </c>
      <c r="F939" s="159"/>
      <c r="G939" s="160" t="s">
        <v>1387</v>
      </c>
      <c r="H939" s="34" t="s">
        <v>925</v>
      </c>
    </row>
    <row r="940" spans="1:8" ht="33">
      <c r="A940" s="160">
        <v>1</v>
      </c>
      <c r="B940" s="160" t="s">
        <v>1335</v>
      </c>
      <c r="C940" s="157" t="s">
        <v>0</v>
      </c>
      <c r="D940" s="159">
        <v>0.3</v>
      </c>
      <c r="E940" s="159">
        <v>21460.42</v>
      </c>
      <c r="F940" s="159">
        <v>6438.13</v>
      </c>
      <c r="G940" s="160" t="s">
        <v>4926</v>
      </c>
      <c r="H940" s="34" t="s">
        <v>925</v>
      </c>
    </row>
    <row r="941" spans="1:8" ht="33">
      <c r="A941" s="160">
        <v>2</v>
      </c>
      <c r="B941" s="160" t="s">
        <v>1336</v>
      </c>
      <c r="C941" s="157" t="s">
        <v>0</v>
      </c>
      <c r="D941" s="159">
        <v>0.21</v>
      </c>
      <c r="E941" s="159">
        <v>22851.38</v>
      </c>
      <c r="F941" s="159">
        <v>4798.79</v>
      </c>
      <c r="G941" s="160" t="s">
        <v>1337</v>
      </c>
      <c r="H941" s="34" t="s">
        <v>925</v>
      </c>
    </row>
    <row r="942" spans="1:8" ht="33">
      <c r="A942" s="160">
        <v>3</v>
      </c>
      <c r="B942" s="160" t="s">
        <v>1338</v>
      </c>
      <c r="C942" s="157" t="s">
        <v>3</v>
      </c>
      <c r="D942" s="159">
        <v>33.299999999999997</v>
      </c>
      <c r="E942" s="159">
        <v>83.46</v>
      </c>
      <c r="F942" s="159">
        <v>2779.22</v>
      </c>
      <c r="G942" s="160" t="s">
        <v>1339</v>
      </c>
      <c r="H942" s="34" t="s">
        <v>925</v>
      </c>
    </row>
    <row r="943" spans="1:8" ht="33">
      <c r="A943" s="160">
        <v>4</v>
      </c>
      <c r="B943" s="160" t="s">
        <v>1349</v>
      </c>
      <c r="C943" s="157" t="s">
        <v>14</v>
      </c>
      <c r="D943" s="159">
        <v>1</v>
      </c>
      <c r="E943" s="159">
        <v>2305.0100000000002</v>
      </c>
      <c r="F943" s="159">
        <v>2305.0100000000002</v>
      </c>
      <c r="G943" s="160" t="s">
        <v>1350</v>
      </c>
      <c r="H943" s="34" t="s">
        <v>925</v>
      </c>
    </row>
    <row r="944" spans="1:8" ht="42.75">
      <c r="A944" s="160">
        <v>5</v>
      </c>
      <c r="B944" s="160" t="s">
        <v>4927</v>
      </c>
      <c r="C944" s="157" t="s">
        <v>927</v>
      </c>
      <c r="D944" s="159">
        <v>117.04</v>
      </c>
      <c r="E944" s="159">
        <v>407.35</v>
      </c>
      <c r="F944" s="159">
        <v>47676.24</v>
      </c>
      <c r="G944" s="160" t="s">
        <v>4928</v>
      </c>
      <c r="H944" s="34" t="s">
        <v>925</v>
      </c>
    </row>
    <row r="945" spans="1:8" ht="28.5">
      <c r="A945" s="160">
        <v>6</v>
      </c>
      <c r="B945" s="160" t="s">
        <v>4871</v>
      </c>
      <c r="C945" s="157" t="s">
        <v>927</v>
      </c>
      <c r="D945" s="159">
        <v>117.04</v>
      </c>
      <c r="E945" s="159">
        <v>279.18</v>
      </c>
      <c r="F945" s="159">
        <v>32675.23</v>
      </c>
      <c r="G945" s="160" t="s">
        <v>4872</v>
      </c>
    </row>
    <row r="946" spans="1:8" ht="33">
      <c r="A946" s="160">
        <v>7</v>
      </c>
      <c r="B946" s="160" t="s">
        <v>1342</v>
      </c>
      <c r="C946" s="157" t="s">
        <v>18</v>
      </c>
      <c r="D946" s="159">
        <v>12</v>
      </c>
      <c r="E946" s="159">
        <v>35.770000000000003</v>
      </c>
      <c r="F946" s="159">
        <v>429.24</v>
      </c>
      <c r="G946" s="160" t="s">
        <v>1343</v>
      </c>
      <c r="H946" s="34" t="s">
        <v>925</v>
      </c>
    </row>
    <row r="947" spans="1:8" ht="33">
      <c r="A947" s="160">
        <v>8</v>
      </c>
      <c r="B947" s="160" t="s">
        <v>1344</v>
      </c>
      <c r="C947" s="157" t="s">
        <v>18</v>
      </c>
      <c r="D947" s="159">
        <v>13</v>
      </c>
      <c r="E947" s="159">
        <v>35.770000000000003</v>
      </c>
      <c r="F947" s="159">
        <v>465.01</v>
      </c>
      <c r="G947" s="160" t="s">
        <v>1345</v>
      </c>
      <c r="H947" s="34" t="s">
        <v>925</v>
      </c>
    </row>
    <row r="948" spans="1:8" ht="33">
      <c r="A948" s="160">
        <v>9</v>
      </c>
      <c r="B948" s="160" t="s">
        <v>931</v>
      </c>
      <c r="C948" s="157" t="s">
        <v>14</v>
      </c>
      <c r="D948" s="159">
        <v>1</v>
      </c>
      <c r="E948" s="159">
        <v>2927.01</v>
      </c>
      <c r="F948" s="159">
        <v>2927.01</v>
      </c>
      <c r="G948" s="160" t="s">
        <v>932</v>
      </c>
      <c r="H948" s="34" t="s">
        <v>925</v>
      </c>
    </row>
    <row r="949" spans="1:8" ht="33">
      <c r="A949" s="160"/>
      <c r="B949" s="160" t="s">
        <v>933</v>
      </c>
      <c r="C949" s="157" t="s">
        <v>3</v>
      </c>
      <c r="D949" s="159">
        <v>100</v>
      </c>
      <c r="E949" s="159"/>
      <c r="F949" s="159">
        <v>100493.87999999999</v>
      </c>
      <c r="G949" s="160"/>
      <c r="H949" s="34" t="s">
        <v>925</v>
      </c>
    </row>
    <row r="950" spans="1:8" ht="33">
      <c r="A950" s="160"/>
      <c r="B950" s="160" t="s">
        <v>934</v>
      </c>
      <c r="C950" s="157" t="s">
        <v>3</v>
      </c>
      <c r="D950" s="159"/>
      <c r="E950" s="159"/>
      <c r="F950" s="159">
        <v>1004.94</v>
      </c>
      <c r="G950" s="160"/>
      <c r="H950" s="34" t="s">
        <v>925</v>
      </c>
    </row>
    <row r="951" spans="1:8" ht="33">
      <c r="A951" s="160"/>
      <c r="B951" s="160"/>
      <c r="C951" s="157"/>
      <c r="D951" s="159"/>
      <c r="E951" s="159"/>
      <c r="F951" s="159"/>
      <c r="G951" s="160"/>
      <c r="H951" s="34" t="s">
        <v>925</v>
      </c>
    </row>
    <row r="952" spans="1:8" ht="33">
      <c r="A952" s="160" t="s">
        <v>1416</v>
      </c>
      <c r="B952" s="160" t="s">
        <v>1352</v>
      </c>
      <c r="C952" s="157" t="s">
        <v>3</v>
      </c>
      <c r="D952" s="159">
        <v>100</v>
      </c>
      <c r="E952" s="159">
        <v>548.87</v>
      </c>
      <c r="F952" s="159"/>
      <c r="G952" s="160" t="s">
        <v>1353</v>
      </c>
      <c r="H952" s="34" t="s">
        <v>925</v>
      </c>
    </row>
    <row r="953" spans="1:8" ht="33">
      <c r="A953" s="160">
        <v>1</v>
      </c>
      <c r="B953" s="160" t="s">
        <v>1335</v>
      </c>
      <c r="C953" s="157" t="s">
        <v>0</v>
      </c>
      <c r="D953" s="159">
        <v>0.23</v>
      </c>
      <c r="E953" s="159">
        <v>21460.42</v>
      </c>
      <c r="F953" s="159">
        <v>4935.8999999999996</v>
      </c>
      <c r="G953" s="160" t="s">
        <v>4926</v>
      </c>
      <c r="H953" s="34" t="s">
        <v>925</v>
      </c>
    </row>
    <row r="954" spans="1:8" ht="28.5">
      <c r="A954" s="160">
        <v>2</v>
      </c>
      <c r="B954" s="160" t="s">
        <v>1336</v>
      </c>
      <c r="C954" s="157" t="s">
        <v>0</v>
      </c>
      <c r="D954" s="159">
        <v>0.13</v>
      </c>
      <c r="E954" s="159">
        <v>22851.38</v>
      </c>
      <c r="F954" s="159">
        <v>2970.68</v>
      </c>
      <c r="G954" s="160" t="s">
        <v>1337</v>
      </c>
    </row>
    <row r="955" spans="1:8" ht="33">
      <c r="A955" s="160">
        <v>3</v>
      </c>
      <c r="B955" s="160" t="s">
        <v>1338</v>
      </c>
      <c r="C955" s="157" t="s">
        <v>3</v>
      </c>
      <c r="D955" s="159">
        <v>33.299999999999997</v>
      </c>
      <c r="E955" s="159">
        <v>83.46</v>
      </c>
      <c r="F955" s="159">
        <v>2779.22</v>
      </c>
      <c r="G955" s="160" t="s">
        <v>1339</v>
      </c>
      <c r="H955" s="34" t="s">
        <v>925</v>
      </c>
    </row>
    <row r="956" spans="1:8" ht="33">
      <c r="A956" s="160">
        <v>4</v>
      </c>
      <c r="B956" s="160" t="s">
        <v>1354</v>
      </c>
      <c r="C956" s="157" t="s">
        <v>14</v>
      </c>
      <c r="D956" s="159">
        <v>1</v>
      </c>
      <c r="E956" s="159">
        <v>1390.95</v>
      </c>
      <c r="F956" s="159">
        <v>1390.95</v>
      </c>
      <c r="G956" s="160" t="s">
        <v>1355</v>
      </c>
      <c r="H956" s="34" t="s">
        <v>925</v>
      </c>
    </row>
    <row r="957" spans="1:8" ht="42.75">
      <c r="A957" s="160">
        <v>5</v>
      </c>
      <c r="B957" s="160" t="s">
        <v>4927</v>
      </c>
      <c r="C957" s="157" t="s">
        <v>927</v>
      </c>
      <c r="D957" s="159">
        <v>72</v>
      </c>
      <c r="E957" s="159">
        <v>407.35</v>
      </c>
      <c r="F957" s="159">
        <v>29329.200000000001</v>
      </c>
      <c r="G957" s="160" t="s">
        <v>4928</v>
      </c>
      <c r="H957" s="34" t="s">
        <v>925</v>
      </c>
    </row>
    <row r="958" spans="1:8" ht="33">
      <c r="A958" s="160">
        <v>6</v>
      </c>
      <c r="B958" s="160" t="s">
        <v>4871</v>
      </c>
      <c r="C958" s="157" t="s">
        <v>927</v>
      </c>
      <c r="D958" s="159">
        <v>40</v>
      </c>
      <c r="E958" s="159">
        <v>279.18</v>
      </c>
      <c r="F958" s="159">
        <v>11167.2</v>
      </c>
      <c r="G958" s="160" t="s">
        <v>4876</v>
      </c>
      <c r="H958" s="34" t="s">
        <v>925</v>
      </c>
    </row>
    <row r="959" spans="1:8" ht="33">
      <c r="A959" s="160">
        <v>7</v>
      </c>
      <c r="B959" s="160" t="s">
        <v>1342</v>
      </c>
      <c r="C959" s="157" t="s">
        <v>18</v>
      </c>
      <c r="D959" s="159">
        <v>10</v>
      </c>
      <c r="E959" s="159">
        <v>35.770000000000003</v>
      </c>
      <c r="F959" s="159">
        <v>357.7</v>
      </c>
      <c r="G959" s="160" t="s">
        <v>1343</v>
      </c>
      <c r="H959" s="34" t="s">
        <v>925</v>
      </c>
    </row>
    <row r="960" spans="1:8" ht="33">
      <c r="A960" s="160">
        <v>8</v>
      </c>
      <c r="B960" s="160" t="s">
        <v>1344</v>
      </c>
      <c r="C960" s="157" t="s">
        <v>18</v>
      </c>
      <c r="D960" s="159">
        <v>10</v>
      </c>
      <c r="E960" s="159">
        <v>35.770000000000003</v>
      </c>
      <c r="F960" s="159">
        <v>357.7</v>
      </c>
      <c r="G960" s="160" t="s">
        <v>1345</v>
      </c>
      <c r="H960" s="34" t="s">
        <v>925</v>
      </c>
    </row>
    <row r="961" spans="1:8" ht="33">
      <c r="A961" s="160">
        <v>9</v>
      </c>
      <c r="B961" s="160" t="s">
        <v>931</v>
      </c>
      <c r="C961" s="157" t="s">
        <v>14</v>
      </c>
      <c r="D961" s="159">
        <v>1</v>
      </c>
      <c r="E961" s="159">
        <v>1598.66</v>
      </c>
      <c r="F961" s="159">
        <v>1598.66</v>
      </c>
      <c r="G961" s="160" t="s">
        <v>932</v>
      </c>
      <c r="H961" s="34" t="s">
        <v>925</v>
      </c>
    </row>
    <row r="962" spans="1:8" ht="33">
      <c r="A962" s="160"/>
      <c r="B962" s="160" t="s">
        <v>933</v>
      </c>
      <c r="C962" s="157" t="s">
        <v>3</v>
      </c>
      <c r="D962" s="159">
        <v>100</v>
      </c>
      <c r="E962" s="159"/>
      <c r="F962" s="159">
        <v>54887.209999999992</v>
      </c>
      <c r="G962" s="160"/>
      <c r="H962" s="34" t="s">
        <v>925</v>
      </c>
    </row>
    <row r="963" spans="1:8" ht="16.5">
      <c r="A963" s="160"/>
      <c r="B963" s="160" t="s">
        <v>934</v>
      </c>
      <c r="C963" s="157" t="s">
        <v>3</v>
      </c>
      <c r="D963" s="159"/>
      <c r="E963" s="159"/>
      <c r="F963" s="159">
        <v>548.87</v>
      </c>
      <c r="G963" s="160"/>
    </row>
    <row r="964" spans="1:8" ht="33">
      <c r="A964" s="160"/>
      <c r="B964" s="160"/>
      <c r="C964" s="157"/>
      <c r="D964" s="159"/>
      <c r="E964" s="159"/>
      <c r="F964" s="159"/>
      <c r="G964" s="160"/>
      <c r="H964" s="34" t="s">
        <v>925</v>
      </c>
    </row>
    <row r="965" spans="1:8" ht="57">
      <c r="A965" s="160" t="s">
        <v>1419</v>
      </c>
      <c r="B965" s="160" t="s">
        <v>5511</v>
      </c>
      <c r="C965" s="157" t="s">
        <v>3</v>
      </c>
      <c r="D965" s="159">
        <v>100</v>
      </c>
      <c r="E965" s="159">
        <v>686.52</v>
      </c>
      <c r="F965" s="159"/>
      <c r="G965" s="160" t="s">
        <v>1390</v>
      </c>
      <c r="H965" s="34" t="s">
        <v>925</v>
      </c>
    </row>
    <row r="966" spans="1:8" ht="33">
      <c r="A966" s="160">
        <v>1</v>
      </c>
      <c r="B966" s="160" t="s">
        <v>1335</v>
      </c>
      <c r="C966" s="157" t="s">
        <v>0</v>
      </c>
      <c r="D966" s="159">
        <v>0.23</v>
      </c>
      <c r="E966" s="159">
        <v>21460.42</v>
      </c>
      <c r="F966" s="159">
        <v>4935.8999999999996</v>
      </c>
      <c r="G966" s="160" t="s">
        <v>4926</v>
      </c>
      <c r="H966" s="34" t="s">
        <v>925</v>
      </c>
    </row>
    <row r="967" spans="1:8" ht="33">
      <c r="A967" s="160">
        <v>2</v>
      </c>
      <c r="B967" s="160" t="s">
        <v>1336</v>
      </c>
      <c r="C967" s="157" t="s">
        <v>0</v>
      </c>
      <c r="D967" s="159">
        <v>0.13</v>
      </c>
      <c r="E967" s="159">
        <v>22851.38</v>
      </c>
      <c r="F967" s="159">
        <v>2970.68</v>
      </c>
      <c r="G967" s="160" t="s">
        <v>1337</v>
      </c>
      <c r="H967" s="34" t="s">
        <v>925</v>
      </c>
    </row>
    <row r="968" spans="1:8" ht="33">
      <c r="A968" s="160">
        <v>3</v>
      </c>
      <c r="B968" s="160" t="s">
        <v>1338</v>
      </c>
      <c r="C968" s="157" t="s">
        <v>3</v>
      </c>
      <c r="D968" s="159">
        <v>33.299999999999997</v>
      </c>
      <c r="E968" s="159">
        <v>83.46</v>
      </c>
      <c r="F968" s="159">
        <v>2779.22</v>
      </c>
      <c r="G968" s="160" t="s">
        <v>1339</v>
      </c>
      <c r="H968" s="34" t="s">
        <v>925</v>
      </c>
    </row>
    <row r="969" spans="1:8" ht="33">
      <c r="A969" s="160">
        <v>4</v>
      </c>
      <c r="B969" s="160" t="s">
        <v>1354</v>
      </c>
      <c r="C969" s="157" t="s">
        <v>14</v>
      </c>
      <c r="D969" s="159">
        <v>1</v>
      </c>
      <c r="E969" s="159">
        <v>1390.95</v>
      </c>
      <c r="F969" s="159">
        <v>1390.95</v>
      </c>
      <c r="G969" s="160" t="s">
        <v>1355</v>
      </c>
      <c r="H969" s="34" t="s">
        <v>925</v>
      </c>
    </row>
    <row r="970" spans="1:8" ht="42.75">
      <c r="A970" s="160">
        <v>5</v>
      </c>
      <c r="B970" s="160" t="s">
        <v>4927</v>
      </c>
      <c r="C970" s="157" t="s">
        <v>927</v>
      </c>
      <c r="D970" s="159">
        <v>95.76</v>
      </c>
      <c r="E970" s="159">
        <v>407.35</v>
      </c>
      <c r="F970" s="159">
        <v>39007.839999999997</v>
      </c>
      <c r="G970" s="160" t="s">
        <v>4928</v>
      </c>
      <c r="H970" s="34" t="s">
        <v>925</v>
      </c>
    </row>
    <row r="971" spans="1:8" ht="33">
      <c r="A971" s="160">
        <v>6</v>
      </c>
      <c r="B971" s="160" t="s">
        <v>4871</v>
      </c>
      <c r="C971" s="157" t="s">
        <v>927</v>
      </c>
      <c r="D971" s="159">
        <v>53.2</v>
      </c>
      <c r="E971" s="159">
        <v>279.18</v>
      </c>
      <c r="F971" s="159">
        <v>14852.38</v>
      </c>
      <c r="G971" s="160" t="s">
        <v>4872</v>
      </c>
      <c r="H971" s="34" t="s">
        <v>925</v>
      </c>
    </row>
    <row r="972" spans="1:8" ht="28.5">
      <c r="A972" s="160">
        <v>7</v>
      </c>
      <c r="B972" s="160" t="s">
        <v>1342</v>
      </c>
      <c r="C972" s="157" t="s">
        <v>18</v>
      </c>
      <c r="D972" s="159">
        <v>10</v>
      </c>
      <c r="E972" s="159">
        <v>35.770000000000003</v>
      </c>
      <c r="F972" s="159">
        <v>357.7</v>
      </c>
      <c r="G972" s="160" t="s">
        <v>1343</v>
      </c>
    </row>
    <row r="973" spans="1:8" ht="33">
      <c r="A973" s="160">
        <v>8</v>
      </c>
      <c r="B973" s="160" t="s">
        <v>1344</v>
      </c>
      <c r="C973" s="157" t="s">
        <v>18</v>
      </c>
      <c r="D973" s="159">
        <v>10</v>
      </c>
      <c r="E973" s="159">
        <v>35.770000000000003</v>
      </c>
      <c r="F973" s="159">
        <v>357.7</v>
      </c>
      <c r="G973" s="160" t="s">
        <v>1345</v>
      </c>
      <c r="H973" s="34" t="s">
        <v>925</v>
      </c>
    </row>
    <row r="974" spans="1:8" ht="33">
      <c r="A974" s="160">
        <v>9</v>
      </c>
      <c r="B974" s="160" t="s">
        <v>931</v>
      </c>
      <c r="C974" s="157" t="s">
        <v>14</v>
      </c>
      <c r="D974" s="159">
        <v>1</v>
      </c>
      <c r="E974" s="159">
        <v>1999.57</v>
      </c>
      <c r="F974" s="159">
        <v>1999.57</v>
      </c>
      <c r="G974" s="160" t="s">
        <v>932</v>
      </c>
      <c r="H974" s="34" t="s">
        <v>925</v>
      </c>
    </row>
    <row r="975" spans="1:8" ht="33">
      <c r="A975" s="160"/>
      <c r="B975" s="160" t="s">
        <v>933</v>
      </c>
      <c r="C975" s="157" t="s">
        <v>3</v>
      </c>
      <c r="D975" s="159">
        <v>100</v>
      </c>
      <c r="E975" s="159"/>
      <c r="F975" s="159">
        <v>68651.94</v>
      </c>
      <c r="G975" s="160"/>
      <c r="H975" s="34" t="s">
        <v>925</v>
      </c>
    </row>
    <row r="976" spans="1:8" ht="33">
      <c r="A976" s="160"/>
      <c r="B976" s="160" t="s">
        <v>934</v>
      </c>
      <c r="C976" s="157" t="s">
        <v>3</v>
      </c>
      <c r="D976" s="159"/>
      <c r="E976" s="159"/>
      <c r="F976" s="159">
        <v>686.52</v>
      </c>
      <c r="G976" s="160"/>
      <c r="H976" s="34" t="s">
        <v>925</v>
      </c>
    </row>
    <row r="977" spans="1:8" ht="33">
      <c r="A977" s="160"/>
      <c r="B977" s="160"/>
      <c r="C977" s="157"/>
      <c r="D977" s="159"/>
      <c r="E977" s="159"/>
      <c r="F977" s="159"/>
      <c r="G977" s="160"/>
      <c r="H977" s="34" t="s">
        <v>925</v>
      </c>
    </row>
    <row r="978" spans="1:8" ht="33">
      <c r="A978" s="160" t="s">
        <v>1424</v>
      </c>
      <c r="B978" s="160" t="s">
        <v>4531</v>
      </c>
      <c r="C978" s="157" t="s">
        <v>3</v>
      </c>
      <c r="D978" s="159">
        <v>100</v>
      </c>
      <c r="E978" s="159">
        <v>1091.1199999999999</v>
      </c>
      <c r="F978" s="159"/>
      <c r="G978" s="160" t="s">
        <v>4929</v>
      </c>
      <c r="H978" s="34" t="s">
        <v>925</v>
      </c>
    </row>
    <row r="979" spans="1:8" ht="33">
      <c r="A979" s="160">
        <v>1</v>
      </c>
      <c r="B979" s="160" t="s">
        <v>1335</v>
      </c>
      <c r="C979" s="157" t="s">
        <v>0</v>
      </c>
      <c r="D979" s="159">
        <v>0.23</v>
      </c>
      <c r="E979" s="159">
        <v>21460.42</v>
      </c>
      <c r="F979" s="159">
        <v>4935.8999999999996</v>
      </c>
      <c r="G979" s="160" t="s">
        <v>4926</v>
      </c>
      <c r="H979" s="34" t="s">
        <v>925</v>
      </c>
    </row>
    <row r="980" spans="1:8" ht="33">
      <c r="A980" s="160">
        <v>2</v>
      </c>
      <c r="B980" s="160" t="s">
        <v>1336</v>
      </c>
      <c r="C980" s="157" t="s">
        <v>0</v>
      </c>
      <c r="D980" s="159">
        <v>0.13</v>
      </c>
      <c r="E980" s="159">
        <v>22851.38</v>
      </c>
      <c r="F980" s="159">
        <v>2970.68</v>
      </c>
      <c r="G980" s="160" t="s">
        <v>1337</v>
      </c>
      <c r="H980" s="34" t="s">
        <v>925</v>
      </c>
    </row>
    <row r="981" spans="1:8" ht="28.5">
      <c r="A981" s="160">
        <v>3</v>
      </c>
      <c r="B981" s="160" t="s">
        <v>1338</v>
      </c>
      <c r="C981" s="157" t="s">
        <v>3</v>
      </c>
      <c r="D981" s="159">
        <v>33.299999999999997</v>
      </c>
      <c r="E981" s="159">
        <v>83.46</v>
      </c>
      <c r="F981" s="159">
        <v>2779.22</v>
      </c>
      <c r="G981" s="160" t="s">
        <v>1339</v>
      </c>
    </row>
    <row r="982" spans="1:8" ht="33">
      <c r="A982" s="160">
        <v>4</v>
      </c>
      <c r="B982" s="160" t="s">
        <v>1354</v>
      </c>
      <c r="C982" s="157" t="s">
        <v>14</v>
      </c>
      <c r="D982" s="159">
        <v>1</v>
      </c>
      <c r="E982" s="159">
        <v>1390.95</v>
      </c>
      <c r="F982" s="159">
        <v>1390.95</v>
      </c>
      <c r="G982" s="160" t="s">
        <v>1355</v>
      </c>
      <c r="H982" s="34" t="s">
        <v>925</v>
      </c>
    </row>
    <row r="983" spans="1:8" ht="42.75">
      <c r="A983" s="160">
        <v>5</v>
      </c>
      <c r="B983" s="160" t="s">
        <v>4930</v>
      </c>
      <c r="C983" s="157" t="s">
        <v>927</v>
      </c>
      <c r="D983" s="159">
        <v>82.8</v>
      </c>
      <c r="E983" s="159">
        <v>814.7</v>
      </c>
      <c r="F983" s="159">
        <v>67457.16</v>
      </c>
      <c r="G983" s="160" t="s">
        <v>4931</v>
      </c>
      <c r="H983" s="34" t="s">
        <v>925</v>
      </c>
    </row>
    <row r="984" spans="1:8" ht="42.75">
      <c r="A984" s="160">
        <v>6</v>
      </c>
      <c r="B984" s="160" t="s">
        <v>4874</v>
      </c>
      <c r="C984" s="157" t="s">
        <v>927</v>
      </c>
      <c r="D984" s="159">
        <v>46</v>
      </c>
      <c r="E984" s="159">
        <v>558.37</v>
      </c>
      <c r="F984" s="159">
        <v>25685.02</v>
      </c>
      <c r="G984" s="160" t="s">
        <v>4875</v>
      </c>
      <c r="H984" s="34" t="s">
        <v>925</v>
      </c>
    </row>
    <row r="985" spans="1:8" ht="33">
      <c r="A985" s="160">
        <v>7</v>
      </c>
      <c r="B985" s="160" t="s">
        <v>1342</v>
      </c>
      <c r="C985" s="157" t="s">
        <v>18</v>
      </c>
      <c r="D985" s="159">
        <v>10</v>
      </c>
      <c r="E985" s="159">
        <v>35.770000000000003</v>
      </c>
      <c r="F985" s="159">
        <v>357.7</v>
      </c>
      <c r="G985" s="160" t="s">
        <v>1343</v>
      </c>
      <c r="H985" s="34" t="s">
        <v>925</v>
      </c>
    </row>
    <row r="986" spans="1:8" ht="33">
      <c r="A986" s="160">
        <v>8</v>
      </c>
      <c r="B986" s="160" t="s">
        <v>1344</v>
      </c>
      <c r="C986" s="157" t="s">
        <v>18</v>
      </c>
      <c r="D986" s="159">
        <v>10</v>
      </c>
      <c r="E986" s="159">
        <v>35.770000000000003</v>
      </c>
      <c r="F986" s="159">
        <v>357.7</v>
      </c>
      <c r="G986" s="160" t="s">
        <v>1345</v>
      </c>
      <c r="H986" s="34" t="s">
        <v>925</v>
      </c>
    </row>
    <row r="987" spans="1:8" ht="33">
      <c r="A987" s="160">
        <v>9</v>
      </c>
      <c r="B987" s="160" t="s">
        <v>931</v>
      </c>
      <c r="C987" s="157" t="s">
        <v>14</v>
      </c>
      <c r="D987" s="159">
        <v>1</v>
      </c>
      <c r="E987" s="159">
        <v>3178.03</v>
      </c>
      <c r="F987" s="159">
        <v>3178.03</v>
      </c>
      <c r="G987" s="160" t="s">
        <v>932</v>
      </c>
      <c r="H987" s="34" t="s">
        <v>925</v>
      </c>
    </row>
    <row r="988" spans="1:8" ht="33">
      <c r="A988" s="160"/>
      <c r="B988" s="160" t="s">
        <v>933</v>
      </c>
      <c r="C988" s="157" t="s">
        <v>3</v>
      </c>
      <c r="D988" s="159">
        <v>100</v>
      </c>
      <c r="E988" s="159"/>
      <c r="F988" s="159">
        <v>109112.36</v>
      </c>
      <c r="G988" s="160"/>
      <c r="H988" s="34" t="s">
        <v>925</v>
      </c>
    </row>
    <row r="989" spans="1:8" ht="33">
      <c r="A989" s="160"/>
      <c r="B989" s="160" t="s">
        <v>934</v>
      </c>
      <c r="C989" s="157" t="s">
        <v>3</v>
      </c>
      <c r="D989" s="159"/>
      <c r="E989" s="159"/>
      <c r="F989" s="159">
        <v>1091.1199999999999</v>
      </c>
      <c r="G989" s="160"/>
      <c r="H989" s="34" t="s">
        <v>925</v>
      </c>
    </row>
    <row r="990" spans="1:8" ht="16.5">
      <c r="A990" s="160"/>
      <c r="B990" s="160"/>
      <c r="C990" s="157"/>
      <c r="D990" s="159"/>
      <c r="E990" s="159"/>
      <c r="F990" s="159"/>
      <c r="G990" s="160"/>
    </row>
    <row r="991" spans="1:8" ht="42.75">
      <c r="A991" s="160" t="s">
        <v>1429</v>
      </c>
      <c r="B991" s="160" t="s">
        <v>1357</v>
      </c>
      <c r="C991" s="157" t="s">
        <v>3</v>
      </c>
      <c r="D991" s="159">
        <v>10</v>
      </c>
      <c r="E991" s="159">
        <v>653.63</v>
      </c>
      <c r="F991" s="159"/>
      <c r="G991" s="160" t="s">
        <v>1358</v>
      </c>
      <c r="H991" s="34" t="s">
        <v>925</v>
      </c>
    </row>
    <row r="992" spans="1:8" ht="33">
      <c r="A992" s="160">
        <v>1</v>
      </c>
      <c r="B992" s="160" t="s">
        <v>1335</v>
      </c>
      <c r="C992" s="157" t="s">
        <v>0</v>
      </c>
      <c r="D992" s="159">
        <v>0.03</v>
      </c>
      <c r="E992" s="159">
        <v>21460.42</v>
      </c>
      <c r="F992" s="159">
        <v>643.80999999999995</v>
      </c>
      <c r="G992" s="160" t="s">
        <v>4926</v>
      </c>
      <c r="H992" s="34" t="s">
        <v>925</v>
      </c>
    </row>
    <row r="993" spans="1:8" ht="33">
      <c r="A993" s="160">
        <v>2</v>
      </c>
      <c r="B993" s="160" t="s">
        <v>1336</v>
      </c>
      <c r="C993" s="157" t="s">
        <v>0</v>
      </c>
      <c r="D993" s="159">
        <v>0.02</v>
      </c>
      <c r="E993" s="159">
        <v>22851.38</v>
      </c>
      <c r="F993" s="159">
        <v>457.03</v>
      </c>
      <c r="G993" s="160" t="s">
        <v>1337</v>
      </c>
      <c r="H993" s="34" t="s">
        <v>925</v>
      </c>
    </row>
    <row r="994" spans="1:8" ht="33">
      <c r="A994" s="160">
        <v>3</v>
      </c>
      <c r="B994" s="160" t="s">
        <v>1349</v>
      </c>
      <c r="C994" s="157" t="s">
        <v>14</v>
      </c>
      <c r="D994" s="159">
        <v>1</v>
      </c>
      <c r="E994" s="159">
        <v>230.5</v>
      </c>
      <c r="F994" s="159">
        <v>230.5</v>
      </c>
      <c r="G994" s="160" t="s">
        <v>1350</v>
      </c>
      <c r="H994" s="34" t="s">
        <v>925</v>
      </c>
    </row>
    <row r="995" spans="1:8" ht="42.75">
      <c r="A995" s="160">
        <v>4</v>
      </c>
      <c r="B995" s="160" t="s">
        <v>4927</v>
      </c>
      <c r="C995" s="157" t="s">
        <v>927</v>
      </c>
      <c r="D995" s="159">
        <v>7.2</v>
      </c>
      <c r="E995" s="159">
        <v>407.35</v>
      </c>
      <c r="F995" s="159">
        <v>2932.92</v>
      </c>
      <c r="G995" s="160" t="s">
        <v>4928</v>
      </c>
      <c r="H995" s="34" t="s">
        <v>925</v>
      </c>
    </row>
    <row r="996" spans="1:8" ht="33">
      <c r="A996" s="160">
        <v>5</v>
      </c>
      <c r="B996" s="160" t="s">
        <v>4871</v>
      </c>
      <c r="C996" s="157" t="s">
        <v>927</v>
      </c>
      <c r="D996" s="159">
        <v>7.2</v>
      </c>
      <c r="E996" s="159">
        <v>279.18</v>
      </c>
      <c r="F996" s="159">
        <v>2010.1</v>
      </c>
      <c r="G996" s="160" t="s">
        <v>4876</v>
      </c>
      <c r="H996" s="34" t="s">
        <v>925</v>
      </c>
    </row>
    <row r="997" spans="1:8" ht="33">
      <c r="A997" s="160">
        <v>6</v>
      </c>
      <c r="B997" s="160" t="s">
        <v>1342</v>
      </c>
      <c r="C997" s="157" t="s">
        <v>18</v>
      </c>
      <c r="D997" s="159">
        <v>1</v>
      </c>
      <c r="E997" s="159">
        <v>35.770000000000003</v>
      </c>
      <c r="F997" s="159">
        <v>35.770000000000003</v>
      </c>
      <c r="G997" s="160" t="s">
        <v>1343</v>
      </c>
      <c r="H997" s="34" t="s">
        <v>925</v>
      </c>
    </row>
    <row r="998" spans="1:8" ht="33">
      <c r="A998" s="160">
        <v>7</v>
      </c>
      <c r="B998" s="160" t="s">
        <v>1344</v>
      </c>
      <c r="C998" s="157" t="s">
        <v>18</v>
      </c>
      <c r="D998" s="159">
        <v>1</v>
      </c>
      <c r="E998" s="159">
        <v>35.770000000000003</v>
      </c>
      <c r="F998" s="159">
        <v>35.770000000000003</v>
      </c>
      <c r="G998" s="160" t="s">
        <v>1345</v>
      </c>
      <c r="H998" s="34" t="s">
        <v>925</v>
      </c>
    </row>
    <row r="999" spans="1:8" ht="28.5">
      <c r="A999" s="160">
        <v>8</v>
      </c>
      <c r="B999" s="160" t="s">
        <v>931</v>
      </c>
      <c r="C999" s="157" t="s">
        <v>14</v>
      </c>
      <c r="D999" s="159">
        <v>1</v>
      </c>
      <c r="E999" s="159">
        <v>190.38</v>
      </c>
      <c r="F999" s="159">
        <v>190.38</v>
      </c>
      <c r="G999" s="160" t="s">
        <v>932</v>
      </c>
    </row>
    <row r="1000" spans="1:8" ht="33">
      <c r="A1000" s="160"/>
      <c r="B1000" s="160" t="s">
        <v>933</v>
      </c>
      <c r="C1000" s="157" t="s">
        <v>3</v>
      </c>
      <c r="D1000" s="159">
        <v>10</v>
      </c>
      <c r="E1000" s="159"/>
      <c r="F1000" s="159">
        <v>6536.2800000000016</v>
      </c>
      <c r="G1000" s="160"/>
      <c r="H1000" s="34" t="s">
        <v>925</v>
      </c>
    </row>
    <row r="1001" spans="1:8" ht="33">
      <c r="A1001" s="160"/>
      <c r="B1001" s="160" t="s">
        <v>934</v>
      </c>
      <c r="C1001" s="157" t="s">
        <v>3</v>
      </c>
      <c r="D1001" s="159"/>
      <c r="E1001" s="159"/>
      <c r="F1001" s="159">
        <v>653.63</v>
      </c>
      <c r="G1001" s="160"/>
      <c r="H1001" s="34" t="s">
        <v>925</v>
      </c>
    </row>
    <row r="1002" spans="1:8" ht="33">
      <c r="A1002" s="160"/>
      <c r="B1002" s="160"/>
      <c r="C1002" s="157"/>
      <c r="D1002" s="159"/>
      <c r="E1002" s="159"/>
      <c r="F1002" s="159"/>
      <c r="G1002" s="160"/>
      <c r="H1002" s="34" t="s">
        <v>925</v>
      </c>
    </row>
    <row r="1003" spans="1:8" ht="85.5">
      <c r="A1003" s="160" t="s">
        <v>1430</v>
      </c>
      <c r="B1003" s="160" t="s">
        <v>5494</v>
      </c>
      <c r="C1003" s="157" t="s">
        <v>3</v>
      </c>
      <c r="D1003" s="159">
        <v>10</v>
      </c>
      <c r="E1003" s="159">
        <v>821.92</v>
      </c>
      <c r="F1003" s="159"/>
      <c r="G1003" s="160" t="s">
        <v>1393</v>
      </c>
      <c r="H1003" s="34" t="s">
        <v>925</v>
      </c>
    </row>
    <row r="1004" spans="1:8" ht="33">
      <c r="A1004" s="160">
        <v>1</v>
      </c>
      <c r="B1004" s="160" t="s">
        <v>1335</v>
      </c>
      <c r="C1004" s="157" t="s">
        <v>0</v>
      </c>
      <c r="D1004" s="159">
        <v>0.03</v>
      </c>
      <c r="E1004" s="159">
        <v>21460.42</v>
      </c>
      <c r="F1004" s="159">
        <v>643.80999999999995</v>
      </c>
      <c r="G1004" s="160" t="s">
        <v>4926</v>
      </c>
      <c r="H1004" s="34" t="s">
        <v>925</v>
      </c>
    </row>
    <row r="1005" spans="1:8" ht="33">
      <c r="A1005" s="160">
        <v>2</v>
      </c>
      <c r="B1005" s="160" t="s">
        <v>1336</v>
      </c>
      <c r="C1005" s="157" t="s">
        <v>0</v>
      </c>
      <c r="D1005" s="159">
        <v>0.02</v>
      </c>
      <c r="E1005" s="159">
        <v>22851.38</v>
      </c>
      <c r="F1005" s="159">
        <v>457.03</v>
      </c>
      <c r="G1005" s="160" t="s">
        <v>1337</v>
      </c>
      <c r="H1005" s="34" t="s">
        <v>925</v>
      </c>
    </row>
    <row r="1006" spans="1:8" ht="33">
      <c r="A1006" s="160">
        <v>3</v>
      </c>
      <c r="B1006" s="160" t="s">
        <v>1349</v>
      </c>
      <c r="C1006" s="157" t="s">
        <v>14</v>
      </c>
      <c r="D1006" s="159">
        <v>1</v>
      </c>
      <c r="E1006" s="159">
        <v>230.5</v>
      </c>
      <c r="F1006" s="159">
        <v>230.5</v>
      </c>
      <c r="G1006" s="160" t="s">
        <v>1350</v>
      </c>
      <c r="H1006" s="34" t="s">
        <v>925</v>
      </c>
    </row>
    <row r="1007" spans="1:8" ht="42.75">
      <c r="A1007" s="160">
        <v>4</v>
      </c>
      <c r="B1007" s="160" t="s">
        <v>4927</v>
      </c>
      <c r="C1007" s="157" t="s">
        <v>927</v>
      </c>
      <c r="D1007" s="159">
        <v>9.58</v>
      </c>
      <c r="E1007" s="159">
        <v>407.35</v>
      </c>
      <c r="F1007" s="159">
        <v>3902.41</v>
      </c>
      <c r="G1007" s="160" t="s">
        <v>4928</v>
      </c>
      <c r="H1007" s="34" t="s">
        <v>925</v>
      </c>
    </row>
    <row r="1008" spans="1:8" ht="28.5">
      <c r="A1008" s="160">
        <v>5</v>
      </c>
      <c r="B1008" s="160" t="s">
        <v>4871</v>
      </c>
      <c r="C1008" s="157" t="s">
        <v>927</v>
      </c>
      <c r="D1008" s="159">
        <v>9.58</v>
      </c>
      <c r="E1008" s="159">
        <v>279.18</v>
      </c>
      <c r="F1008" s="159">
        <v>2674.54</v>
      </c>
      <c r="G1008" s="160" t="s">
        <v>4872</v>
      </c>
    </row>
    <row r="1009" spans="1:8" ht="33">
      <c r="A1009" s="160">
        <v>6</v>
      </c>
      <c r="B1009" s="160" t="s">
        <v>1342</v>
      </c>
      <c r="C1009" s="157" t="s">
        <v>18</v>
      </c>
      <c r="D1009" s="159">
        <v>1</v>
      </c>
      <c r="E1009" s="159">
        <v>35.770000000000003</v>
      </c>
      <c r="F1009" s="159">
        <v>35.770000000000003</v>
      </c>
      <c r="G1009" s="160" t="s">
        <v>1343</v>
      </c>
      <c r="H1009" s="34" t="s">
        <v>925</v>
      </c>
    </row>
    <row r="1010" spans="1:8" ht="33">
      <c r="A1010" s="160">
        <v>7</v>
      </c>
      <c r="B1010" s="160" t="s">
        <v>1344</v>
      </c>
      <c r="C1010" s="157" t="s">
        <v>18</v>
      </c>
      <c r="D1010" s="159">
        <v>1</v>
      </c>
      <c r="E1010" s="159">
        <v>35.770000000000003</v>
      </c>
      <c r="F1010" s="159">
        <v>35.770000000000003</v>
      </c>
      <c r="G1010" s="160" t="s">
        <v>1345</v>
      </c>
      <c r="H1010" s="34" t="s">
        <v>925</v>
      </c>
    </row>
    <row r="1011" spans="1:8" ht="33">
      <c r="A1011" s="160">
        <v>8</v>
      </c>
      <c r="B1011" s="160" t="s">
        <v>931</v>
      </c>
      <c r="C1011" s="157" t="s">
        <v>14</v>
      </c>
      <c r="D1011" s="159">
        <v>1</v>
      </c>
      <c r="E1011" s="159">
        <v>239.39</v>
      </c>
      <c r="F1011" s="159">
        <v>239.39</v>
      </c>
      <c r="G1011" s="160" t="s">
        <v>932</v>
      </c>
      <c r="H1011" s="34" t="s">
        <v>925</v>
      </c>
    </row>
    <row r="1012" spans="1:8" ht="33">
      <c r="A1012" s="160"/>
      <c r="B1012" s="160" t="s">
        <v>933</v>
      </c>
      <c r="C1012" s="157" t="s">
        <v>3</v>
      </c>
      <c r="D1012" s="159">
        <v>10</v>
      </c>
      <c r="E1012" s="159"/>
      <c r="F1012" s="159">
        <v>8219.2200000000012</v>
      </c>
      <c r="G1012" s="160"/>
      <c r="H1012" s="34" t="s">
        <v>925</v>
      </c>
    </row>
    <row r="1013" spans="1:8" ht="33">
      <c r="A1013" s="160"/>
      <c r="B1013" s="160" t="s">
        <v>934</v>
      </c>
      <c r="C1013" s="157" t="s">
        <v>3</v>
      </c>
      <c r="D1013" s="159"/>
      <c r="E1013" s="159"/>
      <c r="F1013" s="159">
        <v>821.92</v>
      </c>
      <c r="G1013" s="160"/>
      <c r="H1013" s="34" t="s">
        <v>925</v>
      </c>
    </row>
    <row r="1014" spans="1:8" ht="33">
      <c r="A1014" s="160"/>
      <c r="B1014" s="160"/>
      <c r="C1014" s="157"/>
      <c r="D1014" s="159"/>
      <c r="E1014" s="159"/>
      <c r="F1014" s="159"/>
      <c r="G1014" s="160"/>
      <c r="H1014" s="34" t="s">
        <v>925</v>
      </c>
    </row>
    <row r="1015" spans="1:8" ht="42.75">
      <c r="A1015" s="160" t="s">
        <v>1432</v>
      </c>
      <c r="B1015" s="160" t="s">
        <v>1360</v>
      </c>
      <c r="C1015" s="157" t="s">
        <v>3</v>
      </c>
      <c r="D1015" s="159">
        <v>10</v>
      </c>
      <c r="E1015" s="159">
        <v>416.42</v>
      </c>
      <c r="F1015" s="159"/>
      <c r="G1015" s="160" t="s">
        <v>1361</v>
      </c>
      <c r="H1015" s="34" t="s">
        <v>925</v>
      </c>
    </row>
    <row r="1016" spans="1:8" ht="33">
      <c r="A1016" s="160">
        <v>1</v>
      </c>
      <c r="B1016" s="160" t="s">
        <v>1335</v>
      </c>
      <c r="C1016" s="157" t="s">
        <v>0</v>
      </c>
      <c r="D1016" s="159">
        <v>0.02</v>
      </c>
      <c r="E1016" s="159">
        <v>21460.42</v>
      </c>
      <c r="F1016" s="159">
        <v>429.21</v>
      </c>
      <c r="G1016" s="160" t="s">
        <v>4926</v>
      </c>
      <c r="H1016" s="34" t="s">
        <v>925</v>
      </c>
    </row>
    <row r="1017" spans="1:8" ht="28.5">
      <c r="A1017" s="160">
        <v>2</v>
      </c>
      <c r="B1017" s="160" t="s">
        <v>1336</v>
      </c>
      <c r="C1017" s="157" t="s">
        <v>0</v>
      </c>
      <c r="D1017" s="159">
        <v>0.01</v>
      </c>
      <c r="E1017" s="159">
        <v>22851.38</v>
      </c>
      <c r="F1017" s="159">
        <v>228.51</v>
      </c>
      <c r="G1017" s="160" t="s">
        <v>1337</v>
      </c>
    </row>
    <row r="1018" spans="1:8" ht="33">
      <c r="A1018" s="160">
        <v>3</v>
      </c>
      <c r="B1018" s="160" t="s">
        <v>1354</v>
      </c>
      <c r="C1018" s="157" t="s">
        <v>14</v>
      </c>
      <c r="D1018" s="159">
        <v>1</v>
      </c>
      <c r="E1018" s="159">
        <v>139.1</v>
      </c>
      <c r="F1018" s="159">
        <v>139.1</v>
      </c>
      <c r="G1018" s="160" t="s">
        <v>1355</v>
      </c>
      <c r="H1018" s="34" t="s">
        <v>925</v>
      </c>
    </row>
    <row r="1019" spans="1:8" ht="42.75">
      <c r="A1019" s="160">
        <v>4</v>
      </c>
      <c r="B1019" s="160" t="s">
        <v>4927</v>
      </c>
      <c r="C1019" s="157" t="s">
        <v>927</v>
      </c>
      <c r="D1019" s="159">
        <v>5.6</v>
      </c>
      <c r="E1019" s="159">
        <v>407.35</v>
      </c>
      <c r="F1019" s="159">
        <v>2281.16</v>
      </c>
      <c r="G1019" s="160" t="s">
        <v>4928</v>
      </c>
      <c r="H1019" s="34" t="s">
        <v>925</v>
      </c>
    </row>
    <row r="1020" spans="1:8" ht="33">
      <c r="A1020" s="160">
        <v>5</v>
      </c>
      <c r="B1020" s="160" t="s">
        <v>4871</v>
      </c>
      <c r="C1020" s="157" t="s">
        <v>927</v>
      </c>
      <c r="D1020" s="159">
        <v>3.2</v>
      </c>
      <c r="E1020" s="159">
        <v>279.18</v>
      </c>
      <c r="F1020" s="159">
        <v>893.38</v>
      </c>
      <c r="G1020" s="160" t="s">
        <v>4876</v>
      </c>
      <c r="H1020" s="34" t="s">
        <v>925</v>
      </c>
    </row>
    <row r="1021" spans="1:8" ht="33">
      <c r="A1021" s="160">
        <v>6</v>
      </c>
      <c r="B1021" s="160" t="s">
        <v>1342</v>
      </c>
      <c r="C1021" s="157" t="s">
        <v>18</v>
      </c>
      <c r="D1021" s="159">
        <v>1</v>
      </c>
      <c r="E1021" s="159">
        <v>35.770000000000003</v>
      </c>
      <c r="F1021" s="159">
        <v>35.770000000000003</v>
      </c>
      <c r="G1021" s="160" t="s">
        <v>1343</v>
      </c>
      <c r="H1021" s="34" t="s">
        <v>925</v>
      </c>
    </row>
    <row r="1022" spans="1:8" ht="33">
      <c r="A1022" s="160">
        <v>7</v>
      </c>
      <c r="B1022" s="160" t="s">
        <v>1344</v>
      </c>
      <c r="C1022" s="157" t="s">
        <v>18</v>
      </c>
      <c r="D1022" s="159">
        <v>1</v>
      </c>
      <c r="E1022" s="159">
        <v>35.770000000000003</v>
      </c>
      <c r="F1022" s="159">
        <v>35.770000000000003</v>
      </c>
      <c r="G1022" s="160" t="s">
        <v>1345</v>
      </c>
      <c r="H1022" s="34" t="s">
        <v>925</v>
      </c>
    </row>
    <row r="1023" spans="1:8" ht="33">
      <c r="A1023" s="160">
        <v>8</v>
      </c>
      <c r="B1023" s="160" t="s">
        <v>931</v>
      </c>
      <c r="C1023" s="157" t="s">
        <v>14</v>
      </c>
      <c r="D1023" s="159">
        <v>1</v>
      </c>
      <c r="E1023" s="159">
        <v>121.29</v>
      </c>
      <c r="F1023" s="159">
        <v>121.29</v>
      </c>
      <c r="G1023" s="160" t="s">
        <v>932</v>
      </c>
      <c r="H1023" s="34" t="s">
        <v>925</v>
      </c>
    </row>
    <row r="1024" spans="1:8" ht="33">
      <c r="A1024" s="160"/>
      <c r="B1024" s="160" t="s">
        <v>933</v>
      </c>
      <c r="C1024" s="157" t="s">
        <v>3</v>
      </c>
      <c r="D1024" s="159">
        <v>10</v>
      </c>
      <c r="E1024" s="159"/>
      <c r="F1024" s="159">
        <v>4164.1900000000005</v>
      </c>
      <c r="G1024" s="160"/>
      <c r="H1024" s="34" t="s">
        <v>925</v>
      </c>
    </row>
    <row r="1025" spans="1:8" ht="33">
      <c r="A1025" s="160"/>
      <c r="B1025" s="160" t="s">
        <v>934</v>
      </c>
      <c r="C1025" s="157" t="s">
        <v>3</v>
      </c>
      <c r="D1025" s="159"/>
      <c r="E1025" s="159"/>
      <c r="F1025" s="159">
        <v>416.42</v>
      </c>
      <c r="G1025" s="160"/>
      <c r="H1025" s="34" t="s">
        <v>925</v>
      </c>
    </row>
    <row r="1026" spans="1:8" ht="16.5">
      <c r="A1026" s="160"/>
      <c r="B1026" s="160"/>
      <c r="C1026" s="157"/>
      <c r="D1026" s="159"/>
      <c r="E1026" s="159"/>
      <c r="F1026" s="159"/>
      <c r="G1026" s="160"/>
    </row>
    <row r="1027" spans="1:8" ht="71.25">
      <c r="A1027" s="160" t="s">
        <v>1434</v>
      </c>
      <c r="B1027" s="160" t="s">
        <v>5495</v>
      </c>
      <c r="C1027" s="157" t="s">
        <v>3</v>
      </c>
      <c r="D1027" s="159">
        <v>10</v>
      </c>
      <c r="E1027" s="159">
        <v>524.52</v>
      </c>
      <c r="F1027" s="159"/>
      <c r="G1027" s="160" t="s">
        <v>1396</v>
      </c>
      <c r="H1027" s="34" t="s">
        <v>925</v>
      </c>
    </row>
    <row r="1028" spans="1:8" ht="33">
      <c r="A1028" s="160">
        <v>1</v>
      </c>
      <c r="B1028" s="160" t="s">
        <v>1335</v>
      </c>
      <c r="C1028" s="157" t="s">
        <v>0</v>
      </c>
      <c r="D1028" s="159">
        <v>0.02</v>
      </c>
      <c r="E1028" s="159">
        <v>21460.42</v>
      </c>
      <c r="F1028" s="159">
        <v>429.21</v>
      </c>
      <c r="G1028" s="160" t="s">
        <v>4926</v>
      </c>
      <c r="H1028" s="34" t="s">
        <v>925</v>
      </c>
    </row>
    <row r="1029" spans="1:8" ht="33">
      <c r="A1029" s="160">
        <v>2</v>
      </c>
      <c r="B1029" s="160" t="s">
        <v>1336</v>
      </c>
      <c r="C1029" s="157" t="s">
        <v>0</v>
      </c>
      <c r="D1029" s="159">
        <v>0.01</v>
      </c>
      <c r="E1029" s="159">
        <v>22851.38</v>
      </c>
      <c r="F1029" s="159">
        <v>228.51</v>
      </c>
      <c r="G1029" s="160" t="s">
        <v>1337</v>
      </c>
      <c r="H1029" s="34" t="s">
        <v>925</v>
      </c>
    </row>
    <row r="1030" spans="1:8" ht="33">
      <c r="A1030" s="160">
        <v>3</v>
      </c>
      <c r="B1030" s="160" t="s">
        <v>1354</v>
      </c>
      <c r="C1030" s="157" t="s">
        <v>14</v>
      </c>
      <c r="D1030" s="159">
        <v>1</v>
      </c>
      <c r="E1030" s="159">
        <v>139.1</v>
      </c>
      <c r="F1030" s="159">
        <v>139.1</v>
      </c>
      <c r="G1030" s="160" t="s">
        <v>1355</v>
      </c>
      <c r="H1030" s="34" t="s">
        <v>925</v>
      </c>
    </row>
    <row r="1031" spans="1:8" ht="42.75">
      <c r="A1031" s="160">
        <v>4</v>
      </c>
      <c r="B1031" s="160" t="s">
        <v>4927</v>
      </c>
      <c r="C1031" s="157" t="s">
        <v>927</v>
      </c>
      <c r="D1031" s="159">
        <v>7.45</v>
      </c>
      <c r="E1031" s="159">
        <v>407.35</v>
      </c>
      <c r="F1031" s="159">
        <v>3034.76</v>
      </c>
      <c r="G1031" s="160" t="s">
        <v>4928</v>
      </c>
      <c r="H1031" s="34" t="s">
        <v>925</v>
      </c>
    </row>
    <row r="1032" spans="1:8" ht="33">
      <c r="A1032" s="160">
        <v>5</v>
      </c>
      <c r="B1032" s="160" t="s">
        <v>4871</v>
      </c>
      <c r="C1032" s="157" t="s">
        <v>927</v>
      </c>
      <c r="D1032" s="159">
        <v>4.26</v>
      </c>
      <c r="E1032" s="159">
        <v>279.18</v>
      </c>
      <c r="F1032" s="159">
        <v>1189.31</v>
      </c>
      <c r="G1032" s="160" t="s">
        <v>4872</v>
      </c>
      <c r="H1032" s="34" t="s">
        <v>925</v>
      </c>
    </row>
    <row r="1033" spans="1:8" ht="33">
      <c r="A1033" s="160">
        <v>6</v>
      </c>
      <c r="B1033" s="160" t="s">
        <v>1342</v>
      </c>
      <c r="C1033" s="157" t="s">
        <v>18</v>
      </c>
      <c r="D1033" s="159">
        <v>1</v>
      </c>
      <c r="E1033" s="159">
        <v>35.770000000000003</v>
      </c>
      <c r="F1033" s="159">
        <v>35.770000000000003</v>
      </c>
      <c r="G1033" s="160" t="s">
        <v>1343</v>
      </c>
      <c r="H1033" s="34" t="s">
        <v>925</v>
      </c>
    </row>
    <row r="1034" spans="1:8" ht="33">
      <c r="A1034" s="160">
        <v>7</v>
      </c>
      <c r="B1034" s="160" t="s">
        <v>1344</v>
      </c>
      <c r="C1034" s="157" t="s">
        <v>18</v>
      </c>
      <c r="D1034" s="159">
        <v>1</v>
      </c>
      <c r="E1034" s="159">
        <v>35.770000000000003</v>
      </c>
      <c r="F1034" s="159">
        <v>35.770000000000003</v>
      </c>
      <c r="G1034" s="160" t="s">
        <v>1345</v>
      </c>
      <c r="H1034" s="34" t="s">
        <v>925</v>
      </c>
    </row>
    <row r="1035" spans="1:8" ht="28.5">
      <c r="A1035" s="160">
        <v>8</v>
      </c>
      <c r="B1035" s="160" t="s">
        <v>931</v>
      </c>
      <c r="C1035" s="157" t="s">
        <v>14</v>
      </c>
      <c r="D1035" s="159">
        <v>1</v>
      </c>
      <c r="E1035" s="159">
        <v>152.77000000000001</v>
      </c>
      <c r="F1035" s="159">
        <v>152.77000000000001</v>
      </c>
      <c r="G1035" s="160" t="s">
        <v>932</v>
      </c>
    </row>
    <row r="1036" spans="1:8" ht="33">
      <c r="A1036" s="160"/>
      <c r="B1036" s="160" t="s">
        <v>933</v>
      </c>
      <c r="C1036" s="157" t="s">
        <v>3</v>
      </c>
      <c r="D1036" s="159">
        <v>10</v>
      </c>
      <c r="E1036" s="159"/>
      <c r="F1036" s="159">
        <v>5245.2000000000016</v>
      </c>
      <c r="G1036" s="160"/>
      <c r="H1036" s="34" t="s">
        <v>925</v>
      </c>
    </row>
    <row r="1037" spans="1:8" ht="33">
      <c r="A1037" s="160"/>
      <c r="B1037" s="160" t="s">
        <v>934</v>
      </c>
      <c r="C1037" s="157" t="s">
        <v>3</v>
      </c>
      <c r="D1037" s="159"/>
      <c r="E1037" s="159"/>
      <c r="F1037" s="159">
        <v>524.52</v>
      </c>
      <c r="G1037" s="160"/>
      <c r="H1037" s="34" t="s">
        <v>925</v>
      </c>
    </row>
    <row r="1038" spans="1:8" ht="33">
      <c r="A1038" s="160"/>
      <c r="B1038" s="160"/>
      <c r="C1038" s="157"/>
      <c r="D1038" s="159"/>
      <c r="E1038" s="159"/>
      <c r="F1038" s="159"/>
      <c r="G1038" s="160"/>
      <c r="H1038" s="34" t="s">
        <v>925</v>
      </c>
    </row>
    <row r="1039" spans="1:8" ht="42.75">
      <c r="A1039" s="160" t="s">
        <v>1436</v>
      </c>
      <c r="B1039" s="160" t="s">
        <v>4537</v>
      </c>
      <c r="C1039" s="157" t="s">
        <v>3</v>
      </c>
      <c r="D1039" s="159">
        <v>10</v>
      </c>
      <c r="E1039" s="159">
        <v>841.49</v>
      </c>
      <c r="F1039" s="159"/>
      <c r="G1039" s="160" t="s">
        <v>4932</v>
      </c>
      <c r="H1039" s="34" t="s">
        <v>925</v>
      </c>
    </row>
    <row r="1040" spans="1:8" ht="33">
      <c r="A1040" s="160">
        <v>1</v>
      </c>
      <c r="B1040" s="160" t="s">
        <v>1335</v>
      </c>
      <c r="C1040" s="157" t="s">
        <v>0</v>
      </c>
      <c r="D1040" s="159">
        <v>0.02</v>
      </c>
      <c r="E1040" s="159">
        <v>21460.42</v>
      </c>
      <c r="F1040" s="159">
        <v>429.21</v>
      </c>
      <c r="G1040" s="160" t="s">
        <v>4926</v>
      </c>
      <c r="H1040" s="34" t="s">
        <v>925</v>
      </c>
    </row>
    <row r="1041" spans="1:8" ht="33">
      <c r="A1041" s="160">
        <v>2</v>
      </c>
      <c r="B1041" s="160" t="s">
        <v>1336</v>
      </c>
      <c r="C1041" s="157" t="s">
        <v>0</v>
      </c>
      <c r="D1041" s="159">
        <v>0.01</v>
      </c>
      <c r="E1041" s="159">
        <v>22851.38</v>
      </c>
      <c r="F1041" s="159">
        <v>228.51</v>
      </c>
      <c r="G1041" s="160" t="s">
        <v>1337</v>
      </c>
      <c r="H1041" s="34" t="s">
        <v>925</v>
      </c>
    </row>
    <row r="1042" spans="1:8" ht="33">
      <c r="A1042" s="160">
        <v>3</v>
      </c>
      <c r="B1042" s="160" t="s">
        <v>1354</v>
      </c>
      <c r="C1042" s="157" t="s">
        <v>14</v>
      </c>
      <c r="D1042" s="159">
        <v>1</v>
      </c>
      <c r="E1042" s="159">
        <v>139.1</v>
      </c>
      <c r="F1042" s="159">
        <v>139.1</v>
      </c>
      <c r="G1042" s="160" t="s">
        <v>1355</v>
      </c>
      <c r="H1042" s="34" t="s">
        <v>925</v>
      </c>
    </row>
    <row r="1043" spans="1:8" ht="42.75">
      <c r="A1043" s="160">
        <v>4</v>
      </c>
      <c r="B1043" s="160" t="s">
        <v>4930</v>
      </c>
      <c r="C1043" s="157" t="s">
        <v>927</v>
      </c>
      <c r="D1043" s="159">
        <v>6.44</v>
      </c>
      <c r="E1043" s="159">
        <v>814.7</v>
      </c>
      <c r="F1043" s="159">
        <v>5246.67</v>
      </c>
      <c r="G1043" s="160" t="s">
        <v>4931</v>
      </c>
      <c r="H1043" s="34" t="s">
        <v>925</v>
      </c>
    </row>
    <row r="1044" spans="1:8" ht="42.75">
      <c r="A1044" s="160">
        <v>5</v>
      </c>
      <c r="B1044" s="160" t="s">
        <v>4874</v>
      </c>
      <c r="C1044" s="157" t="s">
        <v>927</v>
      </c>
      <c r="D1044" s="159">
        <v>3.68</v>
      </c>
      <c r="E1044" s="159">
        <v>558.37</v>
      </c>
      <c r="F1044" s="159">
        <v>2054.8000000000002</v>
      </c>
      <c r="G1044" s="160" t="s">
        <v>4875</v>
      </c>
    </row>
    <row r="1045" spans="1:8" ht="33">
      <c r="A1045" s="160">
        <v>6</v>
      </c>
      <c r="B1045" s="160" t="s">
        <v>1342</v>
      </c>
      <c r="C1045" s="157" t="s">
        <v>18</v>
      </c>
      <c r="D1045" s="159">
        <v>1</v>
      </c>
      <c r="E1045" s="159">
        <v>35.770000000000003</v>
      </c>
      <c r="F1045" s="159">
        <v>35.770000000000003</v>
      </c>
      <c r="G1045" s="160" t="s">
        <v>1343</v>
      </c>
      <c r="H1045" s="34" t="s">
        <v>925</v>
      </c>
    </row>
    <row r="1046" spans="1:8" ht="33">
      <c r="A1046" s="160">
        <v>7</v>
      </c>
      <c r="B1046" s="160" t="s">
        <v>1344</v>
      </c>
      <c r="C1046" s="157" t="s">
        <v>18</v>
      </c>
      <c r="D1046" s="159">
        <v>1</v>
      </c>
      <c r="E1046" s="159">
        <v>35.770000000000003</v>
      </c>
      <c r="F1046" s="159">
        <v>35.770000000000003</v>
      </c>
      <c r="G1046" s="160" t="s">
        <v>1345</v>
      </c>
      <c r="H1046" s="34" t="s">
        <v>925</v>
      </c>
    </row>
    <row r="1047" spans="1:8" ht="33">
      <c r="A1047" s="160">
        <v>8</v>
      </c>
      <c r="B1047" s="160" t="s">
        <v>931</v>
      </c>
      <c r="C1047" s="157" t="s">
        <v>14</v>
      </c>
      <c r="D1047" s="159">
        <v>1</v>
      </c>
      <c r="E1047" s="159">
        <v>245.09</v>
      </c>
      <c r="F1047" s="159">
        <v>245.09</v>
      </c>
      <c r="G1047" s="160" t="s">
        <v>932</v>
      </c>
      <c r="H1047" s="34" t="s">
        <v>925</v>
      </c>
    </row>
    <row r="1048" spans="1:8" ht="33">
      <c r="A1048" s="160"/>
      <c r="B1048" s="160" t="s">
        <v>933</v>
      </c>
      <c r="C1048" s="157" t="s">
        <v>3</v>
      </c>
      <c r="D1048" s="159">
        <v>10</v>
      </c>
      <c r="E1048" s="159"/>
      <c r="F1048" s="159">
        <v>8414.92</v>
      </c>
      <c r="G1048" s="160"/>
      <c r="H1048" s="34" t="s">
        <v>925</v>
      </c>
    </row>
    <row r="1049" spans="1:8" ht="33">
      <c r="A1049" s="160"/>
      <c r="B1049" s="160" t="s">
        <v>934</v>
      </c>
      <c r="C1049" s="157" t="s">
        <v>3</v>
      </c>
      <c r="D1049" s="159"/>
      <c r="E1049" s="159"/>
      <c r="F1049" s="159">
        <v>841.49</v>
      </c>
      <c r="G1049" s="160"/>
      <c r="H1049" s="34" t="s">
        <v>925</v>
      </c>
    </row>
    <row r="1050" spans="1:8" ht="33">
      <c r="A1050" s="160"/>
      <c r="B1050" s="160"/>
      <c r="C1050" s="157"/>
      <c r="D1050" s="159"/>
      <c r="E1050" s="159"/>
      <c r="F1050" s="159"/>
      <c r="G1050" s="160"/>
      <c r="H1050" s="34" t="s">
        <v>925</v>
      </c>
    </row>
    <row r="1051" spans="1:8" ht="28.5">
      <c r="A1051" s="160" t="s">
        <v>1447</v>
      </c>
      <c r="B1051" s="160" t="s">
        <v>404</v>
      </c>
      <c r="C1051" s="157" t="s">
        <v>17</v>
      </c>
      <c r="D1051" s="159">
        <v>10</v>
      </c>
      <c r="E1051" s="159">
        <v>637.04999999999995</v>
      </c>
      <c r="F1051" s="159"/>
      <c r="G1051" s="160" t="s">
        <v>1363</v>
      </c>
    </row>
    <row r="1052" spans="1:8" ht="33">
      <c r="A1052" s="160">
        <v>1</v>
      </c>
      <c r="B1052" s="160" t="s">
        <v>1364</v>
      </c>
      <c r="C1052" s="157" t="s">
        <v>3</v>
      </c>
      <c r="D1052" s="159">
        <v>0.25</v>
      </c>
      <c r="E1052" s="159">
        <v>2980.61</v>
      </c>
      <c r="F1052" s="159">
        <v>745.15</v>
      </c>
      <c r="G1052" s="160" t="s">
        <v>1365</v>
      </c>
      <c r="H1052" s="34" t="s">
        <v>925</v>
      </c>
    </row>
    <row r="1053" spans="1:8" ht="33">
      <c r="A1053" s="160">
        <v>2</v>
      </c>
      <c r="B1053" s="160" t="s">
        <v>1366</v>
      </c>
      <c r="C1053" s="157" t="s">
        <v>14</v>
      </c>
      <c r="D1053" s="159">
        <v>1</v>
      </c>
      <c r="E1053" s="159">
        <v>496.77</v>
      </c>
      <c r="F1053" s="159">
        <v>496.77</v>
      </c>
      <c r="G1053" s="160" t="s">
        <v>1367</v>
      </c>
      <c r="H1053" s="34" t="s">
        <v>925</v>
      </c>
    </row>
    <row r="1054" spans="1:8" ht="42.75">
      <c r="A1054" s="160">
        <v>3</v>
      </c>
      <c r="B1054" s="160" t="s">
        <v>4927</v>
      </c>
      <c r="C1054" s="157" t="s">
        <v>927</v>
      </c>
      <c r="D1054" s="159">
        <v>7.2</v>
      </c>
      <c r="E1054" s="159">
        <v>407.35</v>
      </c>
      <c r="F1054" s="159">
        <v>2932.92</v>
      </c>
      <c r="G1054" s="160" t="s">
        <v>4928</v>
      </c>
      <c r="H1054" s="34" t="s">
        <v>925</v>
      </c>
    </row>
    <row r="1055" spans="1:8" ht="33">
      <c r="A1055" s="160">
        <v>4</v>
      </c>
      <c r="B1055" s="160" t="s">
        <v>4871</v>
      </c>
      <c r="C1055" s="157" t="s">
        <v>927</v>
      </c>
      <c r="D1055" s="159">
        <v>7.2</v>
      </c>
      <c r="E1055" s="159">
        <v>279.18</v>
      </c>
      <c r="F1055" s="159">
        <v>2010.1</v>
      </c>
      <c r="G1055" s="160" t="s">
        <v>4872</v>
      </c>
      <c r="H1055" s="34" t="s">
        <v>925</v>
      </c>
    </row>
    <row r="1056" spans="1:8" ht="33">
      <c r="A1056" s="160">
        <v>5</v>
      </c>
      <c r="B1056" s="160" t="s">
        <v>931</v>
      </c>
      <c r="C1056" s="157" t="s">
        <v>14</v>
      </c>
      <c r="D1056" s="159">
        <v>1</v>
      </c>
      <c r="E1056" s="159">
        <v>185.55</v>
      </c>
      <c r="F1056" s="159">
        <v>185.55</v>
      </c>
      <c r="G1056" s="160" t="s">
        <v>932</v>
      </c>
      <c r="H1056" s="34" t="s">
        <v>925</v>
      </c>
    </row>
    <row r="1057" spans="1:8" ht="33">
      <c r="A1057" s="160"/>
      <c r="B1057" s="160" t="s">
        <v>933</v>
      </c>
      <c r="C1057" s="157" t="s">
        <v>17</v>
      </c>
      <c r="D1057" s="159">
        <v>10</v>
      </c>
      <c r="E1057" s="159"/>
      <c r="F1057" s="159">
        <v>6370.4900000000007</v>
      </c>
      <c r="G1057" s="160"/>
      <c r="H1057" s="34" t="s">
        <v>925</v>
      </c>
    </row>
    <row r="1058" spans="1:8" ht="16.5">
      <c r="A1058" s="160"/>
      <c r="B1058" s="160" t="s">
        <v>934</v>
      </c>
      <c r="C1058" s="157" t="s">
        <v>17</v>
      </c>
      <c r="D1058" s="159"/>
      <c r="E1058" s="159"/>
      <c r="F1058" s="159">
        <v>637.04999999999995</v>
      </c>
      <c r="G1058" s="160"/>
    </row>
    <row r="1059" spans="1:8" ht="33">
      <c r="A1059" s="160"/>
      <c r="B1059" s="160"/>
      <c r="C1059" s="157"/>
      <c r="D1059" s="159"/>
      <c r="E1059" s="159"/>
      <c r="F1059" s="159"/>
      <c r="G1059" s="160"/>
      <c r="H1059" s="34" t="s">
        <v>925</v>
      </c>
    </row>
    <row r="1060" spans="1:8" ht="33">
      <c r="A1060" s="160" t="s">
        <v>1454</v>
      </c>
      <c r="B1060" s="160" t="s">
        <v>1369</v>
      </c>
      <c r="C1060" s="157" t="s">
        <v>3</v>
      </c>
      <c r="D1060" s="159">
        <v>10</v>
      </c>
      <c r="E1060" s="159">
        <v>380.07</v>
      </c>
      <c r="F1060" s="159"/>
      <c r="G1060" s="160" t="s">
        <v>1370</v>
      </c>
      <c r="H1060" s="34" t="s">
        <v>925</v>
      </c>
    </row>
    <row r="1061" spans="1:8" ht="33">
      <c r="A1061" s="160">
        <v>1</v>
      </c>
      <c r="B1061" s="160" t="s">
        <v>1364</v>
      </c>
      <c r="C1061" s="157" t="s">
        <v>3</v>
      </c>
      <c r="D1061" s="159">
        <v>0.25</v>
      </c>
      <c r="E1061" s="159">
        <v>2980.61</v>
      </c>
      <c r="F1061" s="159">
        <v>745.15</v>
      </c>
      <c r="G1061" s="160" t="s">
        <v>1365</v>
      </c>
      <c r="H1061" s="34" t="s">
        <v>925</v>
      </c>
    </row>
    <row r="1062" spans="1:8" ht="33">
      <c r="A1062" s="160">
        <v>2</v>
      </c>
      <c r="B1062" s="160" t="s">
        <v>1366</v>
      </c>
      <c r="C1062" s="157" t="s">
        <v>14</v>
      </c>
      <c r="D1062" s="159">
        <v>1</v>
      </c>
      <c r="E1062" s="159">
        <v>198.71</v>
      </c>
      <c r="F1062" s="159">
        <v>198.71</v>
      </c>
      <c r="G1062" s="160" t="s">
        <v>1367</v>
      </c>
      <c r="H1062" s="34" t="s">
        <v>925</v>
      </c>
    </row>
    <row r="1063" spans="1:8" ht="42.75">
      <c r="A1063" s="160">
        <v>3</v>
      </c>
      <c r="B1063" s="160" t="s">
        <v>4927</v>
      </c>
      <c r="C1063" s="157" t="s">
        <v>927</v>
      </c>
      <c r="D1063" s="159">
        <v>4</v>
      </c>
      <c r="E1063" s="159">
        <v>407.35</v>
      </c>
      <c r="F1063" s="159">
        <v>1629.4</v>
      </c>
      <c r="G1063" s="160" t="s">
        <v>4928</v>
      </c>
      <c r="H1063" s="34" t="s">
        <v>925</v>
      </c>
    </row>
    <row r="1064" spans="1:8" ht="33">
      <c r="A1064" s="160">
        <v>4</v>
      </c>
      <c r="B1064" s="160" t="s">
        <v>4871</v>
      </c>
      <c r="C1064" s="157" t="s">
        <v>927</v>
      </c>
      <c r="D1064" s="159">
        <v>4</v>
      </c>
      <c r="E1064" s="159">
        <v>279.18</v>
      </c>
      <c r="F1064" s="159">
        <v>1116.72</v>
      </c>
      <c r="G1064" s="160" t="s">
        <v>4872</v>
      </c>
      <c r="H1064" s="34" t="s">
        <v>925</v>
      </c>
    </row>
    <row r="1065" spans="1:8" ht="33">
      <c r="A1065" s="160">
        <v>5</v>
      </c>
      <c r="B1065" s="160" t="s">
        <v>931</v>
      </c>
      <c r="C1065" s="157" t="s">
        <v>14</v>
      </c>
      <c r="D1065" s="159">
        <v>1</v>
      </c>
      <c r="E1065" s="159">
        <v>110.7</v>
      </c>
      <c r="F1065" s="159">
        <v>110.7</v>
      </c>
      <c r="G1065" s="160" t="s">
        <v>932</v>
      </c>
      <c r="H1065" s="34" t="s">
        <v>925</v>
      </c>
    </row>
    <row r="1066" spans="1:8" ht="16.5">
      <c r="A1066" s="160"/>
      <c r="B1066" s="160" t="s">
        <v>933</v>
      </c>
      <c r="C1066" s="157" t="s">
        <v>3</v>
      </c>
      <c r="D1066" s="159">
        <v>10</v>
      </c>
      <c r="E1066" s="159"/>
      <c r="F1066" s="159">
        <v>3800.6800000000003</v>
      </c>
      <c r="G1066" s="160"/>
    </row>
    <row r="1067" spans="1:8" ht="33">
      <c r="A1067" s="160"/>
      <c r="B1067" s="160" t="s">
        <v>934</v>
      </c>
      <c r="C1067" s="157" t="s">
        <v>3</v>
      </c>
      <c r="D1067" s="159"/>
      <c r="E1067" s="159"/>
      <c r="F1067" s="159">
        <v>380.07</v>
      </c>
      <c r="G1067" s="160"/>
      <c r="H1067" s="34" t="s">
        <v>925</v>
      </c>
    </row>
    <row r="1068" spans="1:8" ht="33">
      <c r="A1068" s="160"/>
      <c r="B1068" s="160"/>
      <c r="C1068" s="157"/>
      <c r="D1068" s="159"/>
      <c r="E1068" s="159"/>
      <c r="F1068" s="159"/>
      <c r="G1068" s="160"/>
      <c r="H1068" s="34" t="s">
        <v>925</v>
      </c>
    </row>
    <row r="1069" spans="1:8" ht="33">
      <c r="A1069" s="160" t="s">
        <v>1459</v>
      </c>
      <c r="B1069" s="160" t="s">
        <v>1372</v>
      </c>
      <c r="C1069" s="157" t="s">
        <v>17</v>
      </c>
      <c r="D1069" s="159">
        <v>10</v>
      </c>
      <c r="E1069" s="159">
        <v>775.08</v>
      </c>
      <c r="F1069" s="159"/>
      <c r="G1069" s="160" t="s">
        <v>1373</v>
      </c>
      <c r="H1069" s="34" t="s">
        <v>925</v>
      </c>
    </row>
    <row r="1070" spans="1:8" ht="33">
      <c r="A1070" s="160">
        <v>1</v>
      </c>
      <c r="B1070" s="160" t="s">
        <v>1364</v>
      </c>
      <c r="C1070" s="157" t="s">
        <v>3</v>
      </c>
      <c r="D1070" s="159">
        <v>0.25</v>
      </c>
      <c r="E1070" s="159">
        <v>2980.61</v>
      </c>
      <c r="F1070" s="159">
        <v>745.15</v>
      </c>
      <c r="G1070" s="160" t="s">
        <v>1365</v>
      </c>
      <c r="H1070" s="34" t="s">
        <v>925</v>
      </c>
    </row>
    <row r="1071" spans="1:8" ht="33">
      <c r="A1071" s="160">
        <v>2</v>
      </c>
      <c r="B1071" s="160" t="s">
        <v>1366</v>
      </c>
      <c r="C1071" s="157" t="s">
        <v>14</v>
      </c>
      <c r="D1071" s="159">
        <v>1</v>
      </c>
      <c r="E1071" s="159">
        <v>496.77</v>
      </c>
      <c r="F1071" s="159">
        <v>496.77</v>
      </c>
      <c r="G1071" s="160" t="s">
        <v>1367</v>
      </c>
      <c r="H1071" s="34" t="s">
        <v>925</v>
      </c>
    </row>
    <row r="1072" spans="1:8" ht="42.75">
      <c r="A1072" s="160">
        <v>3</v>
      </c>
      <c r="B1072" s="160" t="s">
        <v>4927</v>
      </c>
      <c r="C1072" s="157" t="s">
        <v>927</v>
      </c>
      <c r="D1072" s="159">
        <v>7.2</v>
      </c>
      <c r="E1072" s="159">
        <v>407.35</v>
      </c>
      <c r="F1072" s="159">
        <v>2932.92</v>
      </c>
      <c r="G1072" s="160" t="s">
        <v>4928</v>
      </c>
      <c r="H1072" s="34" t="s">
        <v>925</v>
      </c>
    </row>
    <row r="1073" spans="1:8" ht="33">
      <c r="A1073" s="160">
        <v>4</v>
      </c>
      <c r="B1073" s="160" t="s">
        <v>4871</v>
      </c>
      <c r="C1073" s="157" t="s">
        <v>927</v>
      </c>
      <c r="D1073" s="159">
        <v>12</v>
      </c>
      <c r="E1073" s="159">
        <v>279.18</v>
      </c>
      <c r="F1073" s="159">
        <v>3350.16</v>
      </c>
      <c r="G1073" s="160" t="s">
        <v>4872</v>
      </c>
      <c r="H1073" s="34" t="s">
        <v>925</v>
      </c>
    </row>
    <row r="1074" spans="1:8" ht="28.5">
      <c r="A1074" s="160">
        <v>5</v>
      </c>
      <c r="B1074" s="160" t="s">
        <v>931</v>
      </c>
      <c r="C1074" s="157" t="s">
        <v>14</v>
      </c>
      <c r="D1074" s="159">
        <v>1</v>
      </c>
      <c r="E1074" s="159">
        <v>225.75</v>
      </c>
      <c r="F1074" s="159">
        <v>225.75</v>
      </c>
      <c r="G1074" s="160" t="s">
        <v>932</v>
      </c>
    </row>
    <row r="1075" spans="1:8" ht="33">
      <c r="A1075" s="160"/>
      <c r="B1075" s="160" t="s">
        <v>933</v>
      </c>
      <c r="C1075" s="157" t="s">
        <v>17</v>
      </c>
      <c r="D1075" s="159">
        <v>10</v>
      </c>
      <c r="E1075" s="159"/>
      <c r="F1075" s="159">
        <v>7750.75</v>
      </c>
      <c r="G1075" s="160"/>
      <c r="H1075" s="34" t="s">
        <v>925</v>
      </c>
    </row>
    <row r="1076" spans="1:8" ht="33">
      <c r="A1076" s="160"/>
      <c r="B1076" s="160" t="s">
        <v>934</v>
      </c>
      <c r="C1076" s="157" t="s">
        <v>17</v>
      </c>
      <c r="D1076" s="159"/>
      <c r="E1076" s="159"/>
      <c r="F1076" s="159">
        <v>775.08</v>
      </c>
      <c r="G1076" s="160"/>
      <c r="H1076" s="34" t="s">
        <v>925</v>
      </c>
    </row>
    <row r="1077" spans="1:8" ht="33">
      <c r="A1077" s="160"/>
      <c r="B1077" s="160"/>
      <c r="C1077" s="157"/>
      <c r="D1077" s="159"/>
      <c r="E1077" s="159"/>
      <c r="F1077" s="159"/>
      <c r="G1077" s="160"/>
      <c r="H1077" s="34" t="s">
        <v>925</v>
      </c>
    </row>
    <row r="1078" spans="1:8" ht="33">
      <c r="A1078" s="160" t="s">
        <v>1468</v>
      </c>
      <c r="B1078" s="160" t="s">
        <v>1375</v>
      </c>
      <c r="C1078" s="157" t="s">
        <v>3</v>
      </c>
      <c r="D1078" s="159">
        <v>10</v>
      </c>
      <c r="E1078" s="159">
        <v>459.31</v>
      </c>
      <c r="F1078" s="159"/>
      <c r="G1078" s="160" t="s">
        <v>1376</v>
      </c>
      <c r="H1078" s="34" t="s">
        <v>925</v>
      </c>
    </row>
    <row r="1079" spans="1:8" ht="33">
      <c r="A1079" s="160">
        <v>1</v>
      </c>
      <c r="B1079" s="160" t="s">
        <v>1364</v>
      </c>
      <c r="C1079" s="157" t="s">
        <v>3</v>
      </c>
      <c r="D1079" s="159">
        <v>0.25</v>
      </c>
      <c r="E1079" s="159">
        <v>2980.61</v>
      </c>
      <c r="F1079" s="159">
        <v>745.15</v>
      </c>
      <c r="G1079" s="160" t="s">
        <v>1365</v>
      </c>
      <c r="H1079" s="34" t="s">
        <v>925</v>
      </c>
    </row>
    <row r="1080" spans="1:8" ht="33">
      <c r="A1080" s="160">
        <v>2</v>
      </c>
      <c r="B1080" s="160" t="s">
        <v>1366</v>
      </c>
      <c r="C1080" s="157" t="s">
        <v>14</v>
      </c>
      <c r="D1080" s="159">
        <v>1</v>
      </c>
      <c r="E1080" s="159">
        <v>298.06</v>
      </c>
      <c r="F1080" s="159">
        <v>298.06</v>
      </c>
      <c r="G1080" s="160" t="s">
        <v>1367</v>
      </c>
      <c r="H1080" s="34" t="s">
        <v>925</v>
      </c>
    </row>
    <row r="1081" spans="1:8" ht="42.75">
      <c r="A1081" s="160">
        <v>3</v>
      </c>
      <c r="B1081" s="160" t="s">
        <v>4927</v>
      </c>
      <c r="C1081" s="157" t="s">
        <v>927</v>
      </c>
      <c r="D1081" s="159">
        <v>4</v>
      </c>
      <c r="E1081" s="159">
        <v>407.35</v>
      </c>
      <c r="F1081" s="159">
        <v>1629.4</v>
      </c>
      <c r="G1081" s="160" t="s">
        <v>4928</v>
      </c>
      <c r="H1081" s="34" t="s">
        <v>925</v>
      </c>
    </row>
    <row r="1082" spans="1:8" ht="28.5">
      <c r="A1082" s="160">
        <v>4</v>
      </c>
      <c r="B1082" s="160" t="s">
        <v>4871</v>
      </c>
      <c r="C1082" s="157" t="s">
        <v>927</v>
      </c>
      <c r="D1082" s="159">
        <v>6.4</v>
      </c>
      <c r="E1082" s="159">
        <v>279.18</v>
      </c>
      <c r="F1082" s="159">
        <v>1786.75</v>
      </c>
      <c r="G1082" s="160" t="s">
        <v>4872</v>
      </c>
    </row>
    <row r="1083" spans="1:8" ht="33">
      <c r="A1083" s="160">
        <v>5</v>
      </c>
      <c r="B1083" s="160" t="s">
        <v>931</v>
      </c>
      <c r="C1083" s="157" t="s">
        <v>14</v>
      </c>
      <c r="D1083" s="159">
        <v>1</v>
      </c>
      <c r="E1083" s="159">
        <v>133.78</v>
      </c>
      <c r="F1083" s="159">
        <v>133.78</v>
      </c>
      <c r="G1083" s="160" t="s">
        <v>932</v>
      </c>
      <c r="H1083" s="34" t="s">
        <v>925</v>
      </c>
    </row>
    <row r="1084" spans="1:8" ht="33">
      <c r="A1084" s="160"/>
      <c r="B1084" s="160" t="s">
        <v>933</v>
      </c>
      <c r="C1084" s="157" t="s">
        <v>3</v>
      </c>
      <c r="D1084" s="159">
        <v>10</v>
      </c>
      <c r="E1084" s="159"/>
      <c r="F1084" s="159">
        <v>4593.1400000000003</v>
      </c>
      <c r="G1084" s="160"/>
      <c r="H1084" s="34" t="s">
        <v>925</v>
      </c>
    </row>
    <row r="1085" spans="1:8" ht="33">
      <c r="A1085" s="160"/>
      <c r="B1085" s="160" t="s">
        <v>934</v>
      </c>
      <c r="C1085" s="157" t="s">
        <v>3</v>
      </c>
      <c r="D1085" s="159"/>
      <c r="E1085" s="159"/>
      <c r="F1085" s="159">
        <v>459.31</v>
      </c>
      <c r="G1085" s="160"/>
      <c r="H1085" s="34" t="s">
        <v>925</v>
      </c>
    </row>
    <row r="1086" spans="1:8" ht="33">
      <c r="A1086" s="160"/>
      <c r="B1086" s="160"/>
      <c r="C1086" s="157"/>
      <c r="D1086" s="159"/>
      <c r="E1086" s="159"/>
      <c r="F1086" s="159"/>
      <c r="G1086" s="160"/>
      <c r="H1086" s="34" t="s">
        <v>925</v>
      </c>
    </row>
    <row r="1087" spans="1:8" ht="33">
      <c r="A1087" s="160" t="s">
        <v>1471</v>
      </c>
      <c r="B1087" s="160" t="s">
        <v>1378</v>
      </c>
      <c r="C1087" s="157" t="s">
        <v>17</v>
      </c>
      <c r="D1087" s="159">
        <v>10</v>
      </c>
      <c r="E1087" s="159">
        <v>900.33</v>
      </c>
      <c r="F1087" s="159"/>
      <c r="G1087" s="160" t="s">
        <v>1379</v>
      </c>
      <c r="H1087" s="34" t="s">
        <v>925</v>
      </c>
    </row>
    <row r="1088" spans="1:8" ht="33">
      <c r="A1088" s="160">
        <v>1</v>
      </c>
      <c r="B1088" s="160" t="s">
        <v>1364</v>
      </c>
      <c r="C1088" s="157" t="s">
        <v>3</v>
      </c>
      <c r="D1088" s="159">
        <v>0.25</v>
      </c>
      <c r="E1088" s="159">
        <v>2980.61</v>
      </c>
      <c r="F1088" s="159">
        <v>745.15</v>
      </c>
      <c r="G1088" s="160" t="s">
        <v>1365</v>
      </c>
      <c r="H1088" s="34" t="s">
        <v>925</v>
      </c>
    </row>
    <row r="1089" spans="1:8" ht="33">
      <c r="A1089" s="160">
        <v>2</v>
      </c>
      <c r="B1089" s="160" t="s">
        <v>1366</v>
      </c>
      <c r="C1089" s="157" t="s">
        <v>14</v>
      </c>
      <c r="D1089" s="159">
        <v>1</v>
      </c>
      <c r="E1089" s="159">
        <v>596.12</v>
      </c>
      <c r="F1089" s="159">
        <v>596.12</v>
      </c>
      <c r="G1089" s="160" t="s">
        <v>1367</v>
      </c>
      <c r="H1089" s="34" t="s">
        <v>925</v>
      </c>
    </row>
    <row r="1090" spans="1:8" ht="42.75">
      <c r="A1090" s="160">
        <v>3</v>
      </c>
      <c r="B1090" s="160" t="s">
        <v>4927</v>
      </c>
      <c r="C1090" s="157" t="s">
        <v>927</v>
      </c>
      <c r="D1090" s="159">
        <v>7.2</v>
      </c>
      <c r="E1090" s="159">
        <v>407.35</v>
      </c>
      <c r="F1090" s="159">
        <v>2932.92</v>
      </c>
      <c r="G1090" s="160" t="s">
        <v>4928</v>
      </c>
      <c r="H1090" s="34" t="s">
        <v>925</v>
      </c>
    </row>
    <row r="1091" spans="1:8" ht="33">
      <c r="A1091" s="160">
        <v>4</v>
      </c>
      <c r="B1091" s="160" t="s">
        <v>4871</v>
      </c>
      <c r="C1091" s="157" t="s">
        <v>927</v>
      </c>
      <c r="D1091" s="159">
        <v>16</v>
      </c>
      <c r="E1091" s="159">
        <v>279.18</v>
      </c>
      <c r="F1091" s="159">
        <v>4466.88</v>
      </c>
      <c r="G1091" s="160" t="s">
        <v>4872</v>
      </c>
      <c r="H1091" s="34" t="s">
        <v>925</v>
      </c>
    </row>
    <row r="1092" spans="1:8" ht="28.5">
      <c r="A1092" s="160">
        <v>5</v>
      </c>
      <c r="B1092" s="160" t="s">
        <v>931</v>
      </c>
      <c r="C1092" s="157" t="s">
        <v>14</v>
      </c>
      <c r="D1092" s="159">
        <v>1</v>
      </c>
      <c r="E1092" s="159">
        <v>262.23</v>
      </c>
      <c r="F1092" s="159">
        <v>262.23</v>
      </c>
      <c r="G1092" s="160" t="s">
        <v>932</v>
      </c>
    </row>
    <row r="1093" spans="1:8" ht="33">
      <c r="A1093" s="160"/>
      <c r="B1093" s="160" t="s">
        <v>933</v>
      </c>
      <c r="C1093" s="157" t="s">
        <v>17</v>
      </c>
      <c r="D1093" s="159">
        <v>10</v>
      </c>
      <c r="E1093" s="159"/>
      <c r="F1093" s="159">
        <v>9003.2999999999993</v>
      </c>
      <c r="G1093" s="160"/>
      <c r="H1093" s="34" t="s">
        <v>925</v>
      </c>
    </row>
    <row r="1094" spans="1:8" ht="33">
      <c r="A1094" s="160"/>
      <c r="B1094" s="160" t="s">
        <v>934</v>
      </c>
      <c r="C1094" s="157" t="s">
        <v>17</v>
      </c>
      <c r="D1094" s="159"/>
      <c r="E1094" s="159"/>
      <c r="F1094" s="159">
        <v>900.33</v>
      </c>
      <c r="G1094" s="160"/>
      <c r="H1094" s="34" t="s">
        <v>925</v>
      </c>
    </row>
    <row r="1095" spans="1:8" ht="33">
      <c r="A1095" s="160"/>
      <c r="B1095" s="160"/>
      <c r="C1095" s="157"/>
      <c r="D1095" s="159"/>
      <c r="E1095" s="159"/>
      <c r="F1095" s="159"/>
      <c r="G1095" s="160"/>
      <c r="H1095" s="34" t="s">
        <v>925</v>
      </c>
    </row>
    <row r="1096" spans="1:8" ht="33">
      <c r="A1096" s="160" t="s">
        <v>1474</v>
      </c>
      <c r="B1096" s="160" t="s">
        <v>1381</v>
      </c>
      <c r="C1096" s="157" t="s">
        <v>3</v>
      </c>
      <c r="D1096" s="159">
        <v>10</v>
      </c>
      <c r="E1096" s="159">
        <v>534.51</v>
      </c>
      <c r="F1096" s="159"/>
      <c r="G1096" s="160" t="s">
        <v>1382</v>
      </c>
      <c r="H1096" s="34" t="s">
        <v>925</v>
      </c>
    </row>
    <row r="1097" spans="1:8" ht="33">
      <c r="A1097" s="160">
        <v>1</v>
      </c>
      <c r="B1097" s="160" t="s">
        <v>1364</v>
      </c>
      <c r="C1097" s="157" t="s">
        <v>3</v>
      </c>
      <c r="D1097" s="159">
        <v>0.25</v>
      </c>
      <c r="E1097" s="159">
        <v>2980.61</v>
      </c>
      <c r="F1097" s="159">
        <v>745.15</v>
      </c>
      <c r="G1097" s="160" t="s">
        <v>1365</v>
      </c>
      <c r="H1097" s="34" t="s">
        <v>925</v>
      </c>
    </row>
    <row r="1098" spans="1:8" ht="33">
      <c r="A1098" s="160">
        <v>2</v>
      </c>
      <c r="B1098" s="160" t="s">
        <v>1366</v>
      </c>
      <c r="C1098" s="157" t="s">
        <v>14</v>
      </c>
      <c r="D1098" s="159">
        <v>1</v>
      </c>
      <c r="E1098" s="159">
        <v>397.42</v>
      </c>
      <c r="F1098" s="159">
        <v>397.42</v>
      </c>
      <c r="G1098" s="160" t="s">
        <v>1367</v>
      </c>
      <c r="H1098" s="34" t="s">
        <v>925</v>
      </c>
    </row>
    <row r="1099" spans="1:8" ht="42.75">
      <c r="A1099" s="160">
        <v>3</v>
      </c>
      <c r="B1099" s="160" t="s">
        <v>4927</v>
      </c>
      <c r="C1099" s="157" t="s">
        <v>927</v>
      </c>
      <c r="D1099" s="159">
        <v>5</v>
      </c>
      <c r="E1099" s="159">
        <v>407.35</v>
      </c>
      <c r="F1099" s="159">
        <v>2036.75</v>
      </c>
      <c r="G1099" s="160" t="s">
        <v>4928</v>
      </c>
      <c r="H1099" s="34" t="s">
        <v>925</v>
      </c>
    </row>
    <row r="1100" spans="1:8" ht="33">
      <c r="A1100" s="160">
        <v>4</v>
      </c>
      <c r="B1100" s="160" t="s">
        <v>4871</v>
      </c>
      <c r="C1100" s="157" t="s">
        <v>927</v>
      </c>
      <c r="D1100" s="159">
        <v>7.2</v>
      </c>
      <c r="E1100" s="159">
        <v>279.18</v>
      </c>
      <c r="F1100" s="159">
        <v>2010.1</v>
      </c>
      <c r="G1100" s="160" t="s">
        <v>4872</v>
      </c>
      <c r="H1100" s="34" t="s">
        <v>925</v>
      </c>
    </row>
    <row r="1101" spans="1:8" ht="33">
      <c r="A1101" s="160">
        <v>5</v>
      </c>
      <c r="B1101" s="160" t="s">
        <v>931</v>
      </c>
      <c r="C1101" s="157" t="s">
        <v>14</v>
      </c>
      <c r="D1101" s="159">
        <v>1</v>
      </c>
      <c r="E1101" s="159">
        <v>155.68</v>
      </c>
      <c r="F1101" s="159">
        <v>155.68</v>
      </c>
      <c r="G1101" s="160" t="s">
        <v>932</v>
      </c>
      <c r="H1101" s="34" t="s">
        <v>925</v>
      </c>
    </row>
    <row r="1102" spans="1:8" ht="16.5">
      <c r="A1102" s="160"/>
      <c r="B1102" s="160" t="s">
        <v>933</v>
      </c>
      <c r="C1102" s="157" t="s">
        <v>3</v>
      </c>
      <c r="D1102" s="159">
        <v>10</v>
      </c>
      <c r="E1102" s="159"/>
      <c r="F1102" s="159">
        <v>5345.1</v>
      </c>
      <c r="G1102" s="160"/>
    </row>
    <row r="1103" spans="1:8" ht="33">
      <c r="A1103" s="160"/>
      <c r="B1103" s="160" t="s">
        <v>934</v>
      </c>
      <c r="C1103" s="157" t="s">
        <v>3</v>
      </c>
      <c r="D1103" s="159"/>
      <c r="E1103" s="159"/>
      <c r="F1103" s="159">
        <v>534.51</v>
      </c>
      <c r="G1103" s="160"/>
      <c r="H1103" s="34" t="s">
        <v>925</v>
      </c>
    </row>
    <row r="1104" spans="1:8" ht="33">
      <c r="A1104" s="160"/>
      <c r="B1104" s="160"/>
      <c r="C1104" s="157"/>
      <c r="D1104" s="159"/>
      <c r="E1104" s="159"/>
      <c r="F1104" s="159"/>
      <c r="G1104" s="160"/>
      <c r="H1104" s="34" t="s">
        <v>925</v>
      </c>
    </row>
    <row r="1105" spans="1:8" ht="57">
      <c r="A1105" s="160" t="s">
        <v>1483</v>
      </c>
      <c r="B1105" s="160" t="s">
        <v>5512</v>
      </c>
      <c r="C1105" s="157" t="s">
        <v>17</v>
      </c>
      <c r="D1105" s="159">
        <v>10</v>
      </c>
      <c r="E1105" s="159">
        <v>805.34</v>
      </c>
      <c r="F1105" s="159"/>
      <c r="G1105" s="160" t="s">
        <v>1398</v>
      </c>
      <c r="H1105" s="34" t="s">
        <v>925</v>
      </c>
    </row>
    <row r="1106" spans="1:8" ht="33">
      <c r="A1106" s="160">
        <v>1</v>
      </c>
      <c r="B1106" s="160" t="s">
        <v>1364</v>
      </c>
      <c r="C1106" s="157" t="s">
        <v>3</v>
      </c>
      <c r="D1106" s="159">
        <v>0.25</v>
      </c>
      <c r="E1106" s="159">
        <v>2980.61</v>
      </c>
      <c r="F1106" s="159">
        <v>745.15</v>
      </c>
      <c r="G1106" s="160" t="s">
        <v>1365</v>
      </c>
      <c r="H1106" s="34" t="s">
        <v>925</v>
      </c>
    </row>
    <row r="1107" spans="1:8" ht="33">
      <c r="A1107" s="160">
        <v>2</v>
      </c>
      <c r="B1107" s="160" t="s">
        <v>1366</v>
      </c>
      <c r="C1107" s="157" t="s">
        <v>14</v>
      </c>
      <c r="D1107" s="159">
        <v>1</v>
      </c>
      <c r="E1107" s="159">
        <v>496.77</v>
      </c>
      <c r="F1107" s="159">
        <v>496.77</v>
      </c>
      <c r="G1107" s="160" t="s">
        <v>1367</v>
      </c>
      <c r="H1107" s="34" t="s">
        <v>925</v>
      </c>
    </row>
    <row r="1108" spans="1:8" ht="42.75">
      <c r="A1108" s="160">
        <v>3</v>
      </c>
      <c r="B1108" s="160" t="s">
        <v>4927</v>
      </c>
      <c r="C1108" s="157" t="s">
        <v>927</v>
      </c>
      <c r="D1108" s="159">
        <v>9.58</v>
      </c>
      <c r="E1108" s="159">
        <v>407.35</v>
      </c>
      <c r="F1108" s="159">
        <v>3902.41</v>
      </c>
      <c r="G1108" s="160" t="s">
        <v>4928</v>
      </c>
      <c r="H1108" s="34" t="s">
        <v>925</v>
      </c>
    </row>
    <row r="1109" spans="1:8" ht="33">
      <c r="A1109" s="160">
        <v>4</v>
      </c>
      <c r="B1109" s="160" t="s">
        <v>4871</v>
      </c>
      <c r="C1109" s="157" t="s">
        <v>927</v>
      </c>
      <c r="D1109" s="159">
        <v>9.58</v>
      </c>
      <c r="E1109" s="159">
        <v>279.18</v>
      </c>
      <c r="F1109" s="159">
        <v>2674.54</v>
      </c>
      <c r="G1109" s="160" t="s">
        <v>4872</v>
      </c>
      <c r="H1109" s="34" t="s">
        <v>925</v>
      </c>
    </row>
    <row r="1110" spans="1:8" ht="33">
      <c r="A1110" s="160">
        <v>5</v>
      </c>
      <c r="B1110" s="160" t="s">
        <v>931</v>
      </c>
      <c r="C1110" s="157" t="s">
        <v>14</v>
      </c>
      <c r="D1110" s="159">
        <v>1</v>
      </c>
      <c r="E1110" s="159">
        <v>234.57</v>
      </c>
      <c r="F1110" s="159">
        <v>234.57</v>
      </c>
      <c r="G1110" s="160" t="s">
        <v>932</v>
      </c>
      <c r="H1110" s="34" t="s">
        <v>925</v>
      </c>
    </row>
    <row r="1111" spans="1:8" ht="33">
      <c r="A1111" s="160"/>
      <c r="B1111" s="160" t="s">
        <v>933</v>
      </c>
      <c r="C1111" s="157" t="s">
        <v>17</v>
      </c>
      <c r="D1111" s="159">
        <v>10</v>
      </c>
      <c r="E1111" s="159"/>
      <c r="F1111" s="159">
        <v>8053.44</v>
      </c>
      <c r="G1111" s="160"/>
      <c r="H1111" s="34" t="s">
        <v>925</v>
      </c>
    </row>
    <row r="1112" spans="1:8" ht="16.5">
      <c r="A1112" s="160"/>
      <c r="B1112" s="160" t="s">
        <v>934</v>
      </c>
      <c r="C1112" s="157" t="s">
        <v>17</v>
      </c>
      <c r="D1112" s="159"/>
      <c r="E1112" s="159"/>
      <c r="F1112" s="159">
        <v>805.34</v>
      </c>
      <c r="G1112" s="160"/>
    </row>
    <row r="1113" spans="1:8" ht="33">
      <c r="A1113" s="160"/>
      <c r="B1113" s="160"/>
      <c r="C1113" s="157"/>
      <c r="D1113" s="159"/>
      <c r="E1113" s="159"/>
      <c r="F1113" s="159"/>
      <c r="G1113" s="160"/>
      <c r="H1113" s="34" t="s">
        <v>925</v>
      </c>
    </row>
    <row r="1114" spans="1:8" ht="57">
      <c r="A1114" s="160" t="s">
        <v>1488</v>
      </c>
      <c r="B1114" s="160" t="s">
        <v>5513</v>
      </c>
      <c r="C1114" s="157" t="s">
        <v>3</v>
      </c>
      <c r="D1114" s="159">
        <v>10</v>
      </c>
      <c r="E1114" s="159">
        <v>473.41</v>
      </c>
      <c r="F1114" s="159"/>
      <c r="G1114" s="160" t="s">
        <v>1400</v>
      </c>
      <c r="H1114" s="34" t="s">
        <v>925</v>
      </c>
    </row>
    <row r="1115" spans="1:8" ht="33">
      <c r="A1115" s="160">
        <v>1</v>
      </c>
      <c r="B1115" s="160" t="s">
        <v>1364</v>
      </c>
      <c r="C1115" s="157" t="s">
        <v>3</v>
      </c>
      <c r="D1115" s="159">
        <v>0.25</v>
      </c>
      <c r="E1115" s="159">
        <v>2980.61</v>
      </c>
      <c r="F1115" s="159">
        <v>745.15</v>
      </c>
      <c r="G1115" s="160" t="s">
        <v>1365</v>
      </c>
      <c r="H1115" s="34" t="s">
        <v>925</v>
      </c>
    </row>
    <row r="1116" spans="1:8" ht="33">
      <c r="A1116" s="160">
        <v>2</v>
      </c>
      <c r="B1116" s="160" t="s">
        <v>1366</v>
      </c>
      <c r="C1116" s="157" t="s">
        <v>14</v>
      </c>
      <c r="D1116" s="159">
        <v>1</v>
      </c>
      <c r="E1116" s="159">
        <v>198.71</v>
      </c>
      <c r="F1116" s="159">
        <v>198.71</v>
      </c>
      <c r="G1116" s="160" t="s">
        <v>1367</v>
      </c>
      <c r="H1116" s="34" t="s">
        <v>925</v>
      </c>
    </row>
    <row r="1117" spans="1:8" ht="42.75">
      <c r="A1117" s="160">
        <v>3</v>
      </c>
      <c r="B1117" s="160" t="s">
        <v>4927</v>
      </c>
      <c r="C1117" s="157" t="s">
        <v>927</v>
      </c>
      <c r="D1117" s="159">
        <v>5.32</v>
      </c>
      <c r="E1117" s="159">
        <v>407.35</v>
      </c>
      <c r="F1117" s="159">
        <v>2167.1</v>
      </c>
      <c r="G1117" s="160" t="s">
        <v>4928</v>
      </c>
      <c r="H1117" s="34" t="s">
        <v>925</v>
      </c>
    </row>
    <row r="1118" spans="1:8" ht="33">
      <c r="A1118" s="160">
        <v>4</v>
      </c>
      <c r="B1118" s="160" t="s">
        <v>4871</v>
      </c>
      <c r="C1118" s="157" t="s">
        <v>927</v>
      </c>
      <c r="D1118" s="159">
        <v>5.32</v>
      </c>
      <c r="E1118" s="159">
        <v>279.18</v>
      </c>
      <c r="F1118" s="159">
        <v>1485.24</v>
      </c>
      <c r="G1118" s="160" t="s">
        <v>4872</v>
      </c>
      <c r="H1118" s="34" t="s">
        <v>925</v>
      </c>
    </row>
    <row r="1119" spans="1:8" ht="33">
      <c r="A1119" s="160">
        <v>5</v>
      </c>
      <c r="B1119" s="160" t="s">
        <v>931</v>
      </c>
      <c r="C1119" s="157" t="s">
        <v>14</v>
      </c>
      <c r="D1119" s="159">
        <v>1</v>
      </c>
      <c r="E1119" s="159">
        <v>137.88999999999999</v>
      </c>
      <c r="F1119" s="159">
        <v>137.88999999999999</v>
      </c>
      <c r="G1119" s="160" t="s">
        <v>932</v>
      </c>
      <c r="H1119" s="34" t="s">
        <v>925</v>
      </c>
    </row>
    <row r="1120" spans="1:8" ht="33">
      <c r="A1120" s="160"/>
      <c r="B1120" s="160" t="s">
        <v>933</v>
      </c>
      <c r="C1120" s="157" t="s">
        <v>3</v>
      </c>
      <c r="D1120" s="159">
        <v>10</v>
      </c>
      <c r="E1120" s="159"/>
      <c r="F1120" s="159">
        <v>4734.09</v>
      </c>
      <c r="G1120" s="160"/>
      <c r="H1120" s="34" t="s">
        <v>925</v>
      </c>
    </row>
    <row r="1121" spans="1:8" ht="33">
      <c r="A1121" s="160"/>
      <c r="B1121" s="160" t="s">
        <v>934</v>
      </c>
      <c r="C1121" s="157" t="s">
        <v>3</v>
      </c>
      <c r="D1121" s="159"/>
      <c r="E1121" s="159"/>
      <c r="F1121" s="159">
        <v>473.41</v>
      </c>
      <c r="G1121" s="160"/>
      <c r="H1121" s="34" t="s">
        <v>925</v>
      </c>
    </row>
    <row r="1122" spans="1:8" ht="33">
      <c r="A1122" s="160"/>
      <c r="B1122" s="160"/>
      <c r="C1122" s="157"/>
      <c r="D1122" s="159"/>
      <c r="E1122" s="159"/>
      <c r="F1122" s="159"/>
      <c r="G1122" s="160"/>
      <c r="H1122" s="34" t="s">
        <v>925</v>
      </c>
    </row>
    <row r="1123" spans="1:8" ht="57">
      <c r="A1123" s="160" t="s">
        <v>1493</v>
      </c>
      <c r="B1123" s="160" t="s">
        <v>5514</v>
      </c>
      <c r="C1123" s="157" t="s">
        <v>17</v>
      </c>
      <c r="D1123" s="159">
        <v>10</v>
      </c>
      <c r="E1123" s="159">
        <v>988.8</v>
      </c>
      <c r="F1123" s="159"/>
      <c r="G1123" s="160" t="s">
        <v>1402</v>
      </c>
    </row>
    <row r="1124" spans="1:8" ht="33">
      <c r="A1124" s="160">
        <v>1</v>
      </c>
      <c r="B1124" s="160" t="s">
        <v>1364</v>
      </c>
      <c r="C1124" s="157" t="s">
        <v>3</v>
      </c>
      <c r="D1124" s="159">
        <v>0.25</v>
      </c>
      <c r="E1124" s="159">
        <v>2980.61</v>
      </c>
      <c r="F1124" s="159">
        <v>745.15</v>
      </c>
      <c r="G1124" s="160" t="s">
        <v>1365</v>
      </c>
      <c r="H1124" s="34" t="s">
        <v>925</v>
      </c>
    </row>
    <row r="1125" spans="1:8" ht="33">
      <c r="A1125" s="160">
        <v>2</v>
      </c>
      <c r="B1125" s="160" t="s">
        <v>1366</v>
      </c>
      <c r="C1125" s="157" t="s">
        <v>14</v>
      </c>
      <c r="D1125" s="159">
        <v>1</v>
      </c>
      <c r="E1125" s="159">
        <v>496.77</v>
      </c>
      <c r="F1125" s="159">
        <v>496.77</v>
      </c>
      <c r="G1125" s="160" t="s">
        <v>1367</v>
      </c>
      <c r="H1125" s="34" t="s">
        <v>925</v>
      </c>
    </row>
    <row r="1126" spans="1:8" ht="42.75">
      <c r="A1126" s="160">
        <v>3</v>
      </c>
      <c r="B1126" s="160" t="s">
        <v>4927</v>
      </c>
      <c r="C1126" s="157" t="s">
        <v>927</v>
      </c>
      <c r="D1126" s="159">
        <v>9.58</v>
      </c>
      <c r="E1126" s="159">
        <v>407.35</v>
      </c>
      <c r="F1126" s="159">
        <v>3902.41</v>
      </c>
      <c r="G1126" s="160" t="s">
        <v>4928</v>
      </c>
      <c r="H1126" s="34" t="s">
        <v>925</v>
      </c>
    </row>
    <row r="1127" spans="1:8" ht="33">
      <c r="A1127" s="160">
        <v>4</v>
      </c>
      <c r="B1127" s="160" t="s">
        <v>4871</v>
      </c>
      <c r="C1127" s="157" t="s">
        <v>927</v>
      </c>
      <c r="D1127" s="159">
        <v>15.96</v>
      </c>
      <c r="E1127" s="159">
        <v>279.18</v>
      </c>
      <c r="F1127" s="159">
        <v>4455.71</v>
      </c>
      <c r="G1127" s="160" t="s">
        <v>4872</v>
      </c>
      <c r="H1127" s="34" t="s">
        <v>925</v>
      </c>
    </row>
    <row r="1128" spans="1:8" ht="33">
      <c r="A1128" s="160">
        <v>5</v>
      </c>
      <c r="B1128" s="160" t="s">
        <v>931</v>
      </c>
      <c r="C1128" s="157" t="s">
        <v>14</v>
      </c>
      <c r="D1128" s="159">
        <v>1</v>
      </c>
      <c r="E1128" s="159">
        <v>288</v>
      </c>
      <c r="F1128" s="159">
        <v>288</v>
      </c>
      <c r="G1128" s="160" t="s">
        <v>932</v>
      </c>
      <c r="H1128" s="34" t="s">
        <v>925</v>
      </c>
    </row>
    <row r="1129" spans="1:8" ht="33">
      <c r="A1129" s="160"/>
      <c r="B1129" s="160" t="s">
        <v>933</v>
      </c>
      <c r="C1129" s="157" t="s">
        <v>17</v>
      </c>
      <c r="D1129" s="159">
        <v>10</v>
      </c>
      <c r="E1129" s="159"/>
      <c r="F1129" s="159">
        <v>9888.0400000000009</v>
      </c>
      <c r="G1129" s="160"/>
      <c r="H1129" s="34" t="s">
        <v>925</v>
      </c>
    </row>
    <row r="1130" spans="1:8" ht="33">
      <c r="A1130" s="160"/>
      <c r="B1130" s="160" t="s">
        <v>934</v>
      </c>
      <c r="C1130" s="157" t="s">
        <v>17</v>
      </c>
      <c r="D1130" s="159"/>
      <c r="E1130" s="159"/>
      <c r="F1130" s="159">
        <v>988.8</v>
      </c>
      <c r="G1130" s="160"/>
      <c r="H1130" s="34" t="s">
        <v>925</v>
      </c>
    </row>
    <row r="1131" spans="1:8" ht="33">
      <c r="A1131" s="160"/>
      <c r="B1131" s="160"/>
      <c r="C1131" s="157"/>
      <c r="D1131" s="159"/>
      <c r="E1131" s="159"/>
      <c r="F1131" s="159"/>
      <c r="G1131" s="160"/>
      <c r="H1131" s="34" t="s">
        <v>925</v>
      </c>
    </row>
    <row r="1132" spans="1:8" ht="57">
      <c r="A1132" s="160" t="s">
        <v>1507</v>
      </c>
      <c r="B1132" s="160" t="s">
        <v>5515</v>
      </c>
      <c r="C1132" s="157" t="s">
        <v>3</v>
      </c>
      <c r="D1132" s="159">
        <v>10</v>
      </c>
      <c r="E1132" s="159">
        <v>575.37</v>
      </c>
      <c r="F1132" s="159"/>
      <c r="G1132" s="160" t="s">
        <v>1404</v>
      </c>
      <c r="H1132" s="34" t="s">
        <v>925</v>
      </c>
    </row>
    <row r="1133" spans="1:8" ht="33">
      <c r="A1133" s="160">
        <v>1</v>
      </c>
      <c r="B1133" s="160" t="s">
        <v>1364</v>
      </c>
      <c r="C1133" s="157" t="s">
        <v>3</v>
      </c>
      <c r="D1133" s="159">
        <v>0.25</v>
      </c>
      <c r="E1133" s="159">
        <v>2980.61</v>
      </c>
      <c r="F1133" s="159">
        <v>745.15</v>
      </c>
      <c r="G1133" s="160" t="s">
        <v>1365</v>
      </c>
      <c r="H1133" s="34" t="s">
        <v>925</v>
      </c>
    </row>
    <row r="1134" spans="1:8" ht="28.5">
      <c r="A1134" s="160">
        <v>2</v>
      </c>
      <c r="B1134" s="160" t="s">
        <v>1366</v>
      </c>
      <c r="C1134" s="157" t="s">
        <v>14</v>
      </c>
      <c r="D1134" s="159">
        <v>1</v>
      </c>
      <c r="E1134" s="159">
        <v>298.06</v>
      </c>
      <c r="F1134" s="159">
        <v>298.06</v>
      </c>
      <c r="G1134" s="160" t="s">
        <v>1367</v>
      </c>
    </row>
    <row r="1135" spans="1:8" ht="42.75">
      <c r="A1135" s="160">
        <v>3</v>
      </c>
      <c r="B1135" s="160" t="s">
        <v>4927</v>
      </c>
      <c r="C1135" s="157" t="s">
        <v>927</v>
      </c>
      <c r="D1135" s="159">
        <v>5.32</v>
      </c>
      <c r="E1135" s="159">
        <v>407.35</v>
      </c>
      <c r="F1135" s="159">
        <v>2167.1</v>
      </c>
      <c r="G1135" s="160" t="s">
        <v>4928</v>
      </c>
      <c r="H1135" s="34" t="s">
        <v>925</v>
      </c>
    </row>
    <row r="1136" spans="1:8" ht="33">
      <c r="A1136" s="160">
        <v>4</v>
      </c>
      <c r="B1136" s="160" t="s">
        <v>4871</v>
      </c>
      <c r="C1136" s="157" t="s">
        <v>927</v>
      </c>
      <c r="D1136" s="159">
        <v>8.51</v>
      </c>
      <c r="E1136" s="159">
        <v>279.18</v>
      </c>
      <c r="F1136" s="159">
        <v>2375.8200000000002</v>
      </c>
      <c r="G1136" s="160" t="s">
        <v>4872</v>
      </c>
      <c r="H1136" s="34" t="s">
        <v>925</v>
      </c>
    </row>
    <row r="1137" spans="1:8" ht="33">
      <c r="A1137" s="160">
        <v>5</v>
      </c>
      <c r="B1137" s="160" t="s">
        <v>931</v>
      </c>
      <c r="C1137" s="157" t="s">
        <v>14</v>
      </c>
      <c r="D1137" s="159">
        <v>1</v>
      </c>
      <c r="E1137" s="159">
        <v>167.58</v>
      </c>
      <c r="F1137" s="159">
        <v>167.58</v>
      </c>
      <c r="G1137" s="160" t="s">
        <v>932</v>
      </c>
      <c r="H1137" s="34" t="s">
        <v>925</v>
      </c>
    </row>
    <row r="1138" spans="1:8" ht="33">
      <c r="A1138" s="160"/>
      <c r="B1138" s="160" t="s">
        <v>933</v>
      </c>
      <c r="C1138" s="157" t="s">
        <v>3</v>
      </c>
      <c r="D1138" s="159">
        <v>10</v>
      </c>
      <c r="E1138" s="159"/>
      <c r="F1138" s="159">
        <v>5753.71</v>
      </c>
      <c r="G1138" s="160"/>
      <c r="H1138" s="34" t="s">
        <v>925</v>
      </c>
    </row>
    <row r="1139" spans="1:8" ht="33">
      <c r="A1139" s="160"/>
      <c r="B1139" s="160" t="s">
        <v>934</v>
      </c>
      <c r="C1139" s="157" t="s">
        <v>3</v>
      </c>
      <c r="D1139" s="159"/>
      <c r="E1139" s="159"/>
      <c r="F1139" s="159">
        <v>575.37</v>
      </c>
      <c r="G1139" s="160"/>
      <c r="H1139" s="34" t="s">
        <v>925</v>
      </c>
    </row>
    <row r="1140" spans="1:8" ht="33">
      <c r="A1140" s="160"/>
      <c r="B1140" s="160"/>
      <c r="C1140" s="157"/>
      <c r="D1140" s="159"/>
      <c r="E1140" s="159"/>
      <c r="F1140" s="159"/>
      <c r="G1140" s="160"/>
      <c r="H1140" s="34" t="s">
        <v>925</v>
      </c>
    </row>
    <row r="1141" spans="1:8" ht="57">
      <c r="A1141" s="160" t="s">
        <v>1512</v>
      </c>
      <c r="B1141" s="160" t="s">
        <v>5516</v>
      </c>
      <c r="C1141" s="157" t="s">
        <v>17</v>
      </c>
      <c r="D1141" s="159">
        <v>10</v>
      </c>
      <c r="E1141" s="159">
        <v>1152.02</v>
      </c>
      <c r="F1141" s="159"/>
      <c r="G1141" s="160" t="s">
        <v>1406</v>
      </c>
      <c r="H1141" s="34" t="s">
        <v>925</v>
      </c>
    </row>
    <row r="1142" spans="1:8" ht="33">
      <c r="A1142" s="160">
        <v>1</v>
      </c>
      <c r="B1142" s="160" t="s">
        <v>1364</v>
      </c>
      <c r="C1142" s="157" t="s">
        <v>3</v>
      </c>
      <c r="D1142" s="159">
        <v>0.25</v>
      </c>
      <c r="E1142" s="159">
        <v>2980.61</v>
      </c>
      <c r="F1142" s="159">
        <v>745.15</v>
      </c>
      <c r="G1142" s="160" t="s">
        <v>1365</v>
      </c>
      <c r="H1142" s="34" t="s">
        <v>925</v>
      </c>
    </row>
    <row r="1143" spans="1:8" ht="33">
      <c r="A1143" s="160">
        <v>2</v>
      </c>
      <c r="B1143" s="160" t="s">
        <v>1366</v>
      </c>
      <c r="C1143" s="157" t="s">
        <v>14</v>
      </c>
      <c r="D1143" s="159">
        <v>1</v>
      </c>
      <c r="E1143" s="159">
        <v>596.12</v>
      </c>
      <c r="F1143" s="159">
        <v>596.12</v>
      </c>
      <c r="G1143" s="160" t="s">
        <v>1367</v>
      </c>
      <c r="H1143" s="34" t="s">
        <v>925</v>
      </c>
    </row>
    <row r="1144" spans="1:8" ht="42.75">
      <c r="A1144" s="160">
        <v>3</v>
      </c>
      <c r="B1144" s="160" t="s">
        <v>4927</v>
      </c>
      <c r="C1144" s="157" t="s">
        <v>927</v>
      </c>
      <c r="D1144" s="159">
        <v>9.58</v>
      </c>
      <c r="E1144" s="159">
        <v>407.35</v>
      </c>
      <c r="F1144" s="159">
        <v>3902.41</v>
      </c>
      <c r="G1144" s="160" t="s">
        <v>4928</v>
      </c>
      <c r="H1144" s="34" t="s">
        <v>925</v>
      </c>
    </row>
    <row r="1145" spans="1:8" ht="28.5">
      <c r="A1145" s="160">
        <v>4</v>
      </c>
      <c r="B1145" s="160" t="s">
        <v>4871</v>
      </c>
      <c r="C1145" s="157" t="s">
        <v>927</v>
      </c>
      <c r="D1145" s="159">
        <v>21.28</v>
      </c>
      <c r="E1145" s="159">
        <v>279.18</v>
      </c>
      <c r="F1145" s="159">
        <v>5940.95</v>
      </c>
      <c r="G1145" s="160" t="s">
        <v>4872</v>
      </c>
    </row>
    <row r="1146" spans="1:8" ht="33">
      <c r="A1146" s="160">
        <v>5</v>
      </c>
      <c r="B1146" s="160" t="s">
        <v>931</v>
      </c>
      <c r="C1146" s="157" t="s">
        <v>14</v>
      </c>
      <c r="D1146" s="159">
        <v>1</v>
      </c>
      <c r="E1146" s="159">
        <v>335.54</v>
      </c>
      <c r="F1146" s="159">
        <v>335.54</v>
      </c>
      <c r="G1146" s="160" t="s">
        <v>932</v>
      </c>
      <c r="H1146" s="34" t="s">
        <v>925</v>
      </c>
    </row>
    <row r="1147" spans="1:8" ht="33">
      <c r="A1147" s="160"/>
      <c r="B1147" s="160" t="s">
        <v>933</v>
      </c>
      <c r="C1147" s="157" t="s">
        <v>17</v>
      </c>
      <c r="D1147" s="159">
        <v>10</v>
      </c>
      <c r="E1147" s="159"/>
      <c r="F1147" s="159">
        <v>11520.170000000002</v>
      </c>
      <c r="G1147" s="160"/>
      <c r="H1147" s="34" t="s">
        <v>925</v>
      </c>
    </row>
    <row r="1148" spans="1:8" ht="33">
      <c r="A1148" s="160"/>
      <c r="B1148" s="160" t="s">
        <v>934</v>
      </c>
      <c r="C1148" s="157" t="s">
        <v>17</v>
      </c>
      <c r="D1148" s="159"/>
      <c r="E1148" s="159"/>
      <c r="F1148" s="159">
        <v>1152.02</v>
      </c>
      <c r="G1148" s="160"/>
      <c r="H1148" s="34" t="s">
        <v>925</v>
      </c>
    </row>
    <row r="1149" spans="1:8" ht="33">
      <c r="A1149" s="160"/>
      <c r="B1149" s="160"/>
      <c r="C1149" s="157"/>
      <c r="D1149" s="159"/>
      <c r="E1149" s="159"/>
      <c r="F1149" s="159"/>
      <c r="G1149" s="160"/>
      <c r="H1149" s="34" t="s">
        <v>925</v>
      </c>
    </row>
    <row r="1150" spans="1:8" ht="57">
      <c r="A1150" s="160" t="s">
        <v>1517</v>
      </c>
      <c r="B1150" s="160" t="s">
        <v>5517</v>
      </c>
      <c r="C1150" s="157" t="s">
        <v>3</v>
      </c>
      <c r="D1150" s="159">
        <v>10</v>
      </c>
      <c r="E1150" s="159">
        <v>672.18</v>
      </c>
      <c r="F1150" s="159"/>
      <c r="G1150" s="160" t="s">
        <v>1408</v>
      </c>
      <c r="H1150" s="34" t="s">
        <v>925</v>
      </c>
    </row>
    <row r="1151" spans="1:8" ht="33">
      <c r="A1151" s="160">
        <v>1</v>
      </c>
      <c r="B1151" s="160" t="s">
        <v>1364</v>
      </c>
      <c r="C1151" s="157" t="s">
        <v>3</v>
      </c>
      <c r="D1151" s="159">
        <v>0.25</v>
      </c>
      <c r="E1151" s="159">
        <v>2980.61</v>
      </c>
      <c r="F1151" s="159">
        <v>745.15</v>
      </c>
      <c r="G1151" s="160" t="s">
        <v>1365</v>
      </c>
      <c r="H1151" s="34" t="s">
        <v>925</v>
      </c>
    </row>
    <row r="1152" spans="1:8" ht="28.5">
      <c r="A1152" s="160">
        <v>2</v>
      </c>
      <c r="B1152" s="160" t="s">
        <v>1366</v>
      </c>
      <c r="C1152" s="157" t="s">
        <v>14</v>
      </c>
      <c r="D1152" s="159">
        <v>1</v>
      </c>
      <c r="E1152" s="159">
        <v>397.42</v>
      </c>
      <c r="F1152" s="159">
        <v>397.42</v>
      </c>
      <c r="G1152" s="160" t="s">
        <v>1367</v>
      </c>
    </row>
    <row r="1153" spans="1:8" ht="42.75">
      <c r="A1153" s="160">
        <v>3</v>
      </c>
      <c r="B1153" s="160" t="s">
        <v>4927</v>
      </c>
      <c r="C1153" s="157" t="s">
        <v>927</v>
      </c>
      <c r="D1153" s="159">
        <v>6.65</v>
      </c>
      <c r="E1153" s="159">
        <v>407.35</v>
      </c>
      <c r="F1153" s="159">
        <v>2708.88</v>
      </c>
      <c r="G1153" s="160" t="s">
        <v>4928</v>
      </c>
      <c r="H1153" s="34" t="s">
        <v>925</v>
      </c>
    </row>
    <row r="1154" spans="1:8" ht="33">
      <c r="A1154" s="160">
        <v>4</v>
      </c>
      <c r="B1154" s="160" t="s">
        <v>4871</v>
      </c>
      <c r="C1154" s="157" t="s">
        <v>927</v>
      </c>
      <c r="D1154" s="159">
        <v>9.58</v>
      </c>
      <c r="E1154" s="159">
        <v>279.18</v>
      </c>
      <c r="F1154" s="159">
        <v>2674.54</v>
      </c>
      <c r="G1154" s="160" t="s">
        <v>4872</v>
      </c>
      <c r="H1154" s="34" t="s">
        <v>925</v>
      </c>
    </row>
    <row r="1155" spans="1:8" ht="33">
      <c r="A1155" s="160">
        <v>5</v>
      </c>
      <c r="B1155" s="160" t="s">
        <v>931</v>
      </c>
      <c r="C1155" s="157" t="s">
        <v>14</v>
      </c>
      <c r="D1155" s="159">
        <v>1</v>
      </c>
      <c r="E1155" s="159">
        <v>195.78</v>
      </c>
      <c r="F1155" s="159">
        <v>195.78</v>
      </c>
      <c r="G1155" s="160" t="s">
        <v>932</v>
      </c>
      <c r="H1155" s="34" t="s">
        <v>925</v>
      </c>
    </row>
    <row r="1156" spans="1:8" ht="33">
      <c r="A1156" s="160"/>
      <c r="B1156" s="160" t="s">
        <v>933</v>
      </c>
      <c r="C1156" s="157" t="s">
        <v>3</v>
      </c>
      <c r="D1156" s="159">
        <v>10</v>
      </c>
      <c r="E1156" s="159"/>
      <c r="F1156" s="159">
        <v>6721.7699999999995</v>
      </c>
      <c r="G1156" s="160"/>
      <c r="H1156" s="34" t="s">
        <v>925</v>
      </c>
    </row>
    <row r="1157" spans="1:8" ht="33">
      <c r="A1157" s="160"/>
      <c r="B1157" s="160" t="s">
        <v>934</v>
      </c>
      <c r="C1157" s="157" t="s">
        <v>3</v>
      </c>
      <c r="D1157" s="159"/>
      <c r="E1157" s="159"/>
      <c r="F1157" s="159">
        <v>672.18</v>
      </c>
      <c r="G1157" s="160"/>
      <c r="H1157" s="34" t="s">
        <v>925</v>
      </c>
    </row>
    <row r="1158" spans="1:8" ht="33">
      <c r="A1158" s="160"/>
      <c r="B1158" s="160"/>
      <c r="C1158" s="157"/>
      <c r="D1158" s="159"/>
      <c r="E1158" s="159"/>
      <c r="F1158" s="159"/>
      <c r="G1158" s="160"/>
      <c r="H1158" s="34" t="s">
        <v>925</v>
      </c>
    </row>
    <row r="1159" spans="1:8" ht="28.5">
      <c r="A1159" s="160" t="s">
        <v>1524</v>
      </c>
      <c r="B1159" s="160" t="s">
        <v>4551</v>
      </c>
      <c r="C1159" s="157" t="s">
        <v>17</v>
      </c>
      <c r="D1159" s="159">
        <v>10</v>
      </c>
      <c r="E1159" s="159">
        <v>1298.93</v>
      </c>
      <c r="F1159" s="159"/>
      <c r="G1159" s="160" t="s">
        <v>4933</v>
      </c>
    </row>
    <row r="1160" spans="1:8" ht="33">
      <c r="A1160" s="160">
        <v>1</v>
      </c>
      <c r="B1160" s="160" t="s">
        <v>1364</v>
      </c>
      <c r="C1160" s="157" t="s">
        <v>3</v>
      </c>
      <c r="D1160" s="159">
        <v>0.25</v>
      </c>
      <c r="E1160" s="159">
        <v>2980.61</v>
      </c>
      <c r="F1160" s="159">
        <v>745.15</v>
      </c>
      <c r="G1160" s="160" t="s">
        <v>1365</v>
      </c>
      <c r="H1160" s="34" t="s">
        <v>925</v>
      </c>
    </row>
    <row r="1161" spans="1:8" ht="33">
      <c r="A1161" s="160">
        <v>2</v>
      </c>
      <c r="B1161" s="160" t="s">
        <v>1366</v>
      </c>
      <c r="C1161" s="157" t="s">
        <v>14</v>
      </c>
      <c r="D1161" s="159">
        <v>1</v>
      </c>
      <c r="E1161" s="159">
        <v>496.77</v>
      </c>
      <c r="F1161" s="159">
        <v>496.77</v>
      </c>
      <c r="G1161" s="160" t="s">
        <v>1367</v>
      </c>
      <c r="H1161" s="34" t="s">
        <v>925</v>
      </c>
    </row>
    <row r="1162" spans="1:8" ht="42.75">
      <c r="A1162" s="160">
        <v>3</v>
      </c>
      <c r="B1162" s="160" t="s">
        <v>4930</v>
      </c>
      <c r="C1162" s="157" t="s">
        <v>927</v>
      </c>
      <c r="D1162" s="159">
        <v>8.2799999999999994</v>
      </c>
      <c r="E1162" s="159">
        <v>814.7</v>
      </c>
      <c r="F1162" s="159">
        <v>6745.72</v>
      </c>
      <c r="G1162" s="160" t="s">
        <v>4931</v>
      </c>
      <c r="H1162" s="34" t="s">
        <v>925</v>
      </c>
    </row>
    <row r="1163" spans="1:8" ht="42.75">
      <c r="A1163" s="160">
        <v>4</v>
      </c>
      <c r="B1163" s="160" t="s">
        <v>4874</v>
      </c>
      <c r="C1163" s="157" t="s">
        <v>927</v>
      </c>
      <c r="D1163" s="159">
        <v>8.2799999999999994</v>
      </c>
      <c r="E1163" s="159">
        <v>558.37</v>
      </c>
      <c r="F1163" s="159">
        <v>4623.3</v>
      </c>
      <c r="G1163" s="160" t="s">
        <v>4875</v>
      </c>
      <c r="H1163" s="34" t="s">
        <v>925</v>
      </c>
    </row>
    <row r="1164" spans="1:8" ht="33">
      <c r="A1164" s="160">
        <v>5</v>
      </c>
      <c r="B1164" s="160" t="s">
        <v>931</v>
      </c>
      <c r="C1164" s="157" t="s">
        <v>14</v>
      </c>
      <c r="D1164" s="159">
        <v>1</v>
      </c>
      <c r="E1164" s="159">
        <v>378.33</v>
      </c>
      <c r="F1164" s="159">
        <v>378.33</v>
      </c>
      <c r="G1164" s="160" t="s">
        <v>932</v>
      </c>
      <c r="H1164" s="34" t="s">
        <v>925</v>
      </c>
    </row>
    <row r="1165" spans="1:8" ht="33">
      <c r="A1165" s="160"/>
      <c r="B1165" s="160" t="s">
        <v>933</v>
      </c>
      <c r="C1165" s="157" t="s">
        <v>17</v>
      </c>
      <c r="D1165" s="159">
        <v>10</v>
      </c>
      <c r="E1165" s="159"/>
      <c r="F1165" s="159">
        <v>12989.27</v>
      </c>
      <c r="G1165" s="160"/>
      <c r="H1165" s="34" t="s">
        <v>925</v>
      </c>
    </row>
    <row r="1166" spans="1:8" ht="33">
      <c r="A1166" s="160"/>
      <c r="B1166" s="160" t="s">
        <v>934</v>
      </c>
      <c r="C1166" s="157" t="s">
        <v>17</v>
      </c>
      <c r="D1166" s="159"/>
      <c r="E1166" s="159"/>
      <c r="F1166" s="159">
        <v>1298.93</v>
      </c>
      <c r="G1166" s="160"/>
      <c r="H1166" s="34" t="s">
        <v>925</v>
      </c>
    </row>
    <row r="1167" spans="1:8" ht="16.5">
      <c r="A1167" s="160"/>
      <c r="B1167" s="160"/>
      <c r="C1167" s="157"/>
      <c r="D1167" s="159"/>
      <c r="E1167" s="159"/>
      <c r="F1167" s="159"/>
      <c r="G1167" s="160"/>
    </row>
    <row r="1168" spans="1:8" ht="33">
      <c r="A1168" s="160" t="s">
        <v>1532</v>
      </c>
      <c r="B1168" s="160" t="s">
        <v>4553</v>
      </c>
      <c r="C1168" s="157" t="s">
        <v>3</v>
      </c>
      <c r="D1168" s="159">
        <v>10</v>
      </c>
      <c r="E1168" s="159">
        <v>747.78</v>
      </c>
      <c r="F1168" s="159"/>
      <c r="G1168" s="160" t="s">
        <v>4934</v>
      </c>
      <c r="H1168" s="34" t="s">
        <v>925</v>
      </c>
    </row>
    <row r="1169" spans="1:8" ht="33">
      <c r="A1169" s="160">
        <v>1</v>
      </c>
      <c r="B1169" s="160" t="s">
        <v>1364</v>
      </c>
      <c r="C1169" s="157" t="s">
        <v>3</v>
      </c>
      <c r="D1169" s="159">
        <v>0.25</v>
      </c>
      <c r="E1169" s="159">
        <v>2980.61</v>
      </c>
      <c r="F1169" s="159">
        <v>745.15</v>
      </c>
      <c r="G1169" s="160" t="s">
        <v>1365</v>
      </c>
      <c r="H1169" s="34" t="s">
        <v>925</v>
      </c>
    </row>
    <row r="1170" spans="1:8" ht="33">
      <c r="A1170" s="160">
        <v>2</v>
      </c>
      <c r="B1170" s="160" t="s">
        <v>1366</v>
      </c>
      <c r="C1170" s="157" t="s">
        <v>14</v>
      </c>
      <c r="D1170" s="159">
        <v>1</v>
      </c>
      <c r="E1170" s="159">
        <v>198.71</v>
      </c>
      <c r="F1170" s="159">
        <v>198.71</v>
      </c>
      <c r="G1170" s="160" t="s">
        <v>1367</v>
      </c>
      <c r="H1170" s="34" t="s">
        <v>925</v>
      </c>
    </row>
    <row r="1171" spans="1:8" ht="42.75">
      <c r="A1171" s="160">
        <v>3</v>
      </c>
      <c r="B1171" s="160" t="s">
        <v>4930</v>
      </c>
      <c r="C1171" s="157" t="s">
        <v>927</v>
      </c>
      <c r="D1171" s="159">
        <v>4.5999999999999996</v>
      </c>
      <c r="E1171" s="159">
        <v>814.7</v>
      </c>
      <c r="F1171" s="159">
        <v>3747.62</v>
      </c>
      <c r="G1171" s="160" t="s">
        <v>4931</v>
      </c>
      <c r="H1171" s="34" t="s">
        <v>925</v>
      </c>
    </row>
    <row r="1172" spans="1:8" ht="42.75">
      <c r="A1172" s="160">
        <v>4</v>
      </c>
      <c r="B1172" s="160" t="s">
        <v>4874</v>
      </c>
      <c r="C1172" s="157" t="s">
        <v>927</v>
      </c>
      <c r="D1172" s="159">
        <v>4.5999999999999996</v>
      </c>
      <c r="E1172" s="159">
        <v>558.37</v>
      </c>
      <c r="F1172" s="159">
        <v>2568.5</v>
      </c>
      <c r="G1172" s="160" t="s">
        <v>4875</v>
      </c>
      <c r="H1172" s="34" t="s">
        <v>925</v>
      </c>
    </row>
    <row r="1173" spans="1:8" ht="33">
      <c r="A1173" s="160">
        <v>5</v>
      </c>
      <c r="B1173" s="160" t="s">
        <v>931</v>
      </c>
      <c r="C1173" s="157" t="s">
        <v>14</v>
      </c>
      <c r="D1173" s="159">
        <v>1</v>
      </c>
      <c r="E1173" s="159">
        <v>217.8</v>
      </c>
      <c r="F1173" s="159">
        <v>217.8</v>
      </c>
      <c r="G1173" s="160" t="s">
        <v>932</v>
      </c>
      <c r="H1173" s="34" t="s">
        <v>925</v>
      </c>
    </row>
    <row r="1174" spans="1:8" ht="33">
      <c r="A1174" s="160"/>
      <c r="B1174" s="160" t="s">
        <v>933</v>
      </c>
      <c r="C1174" s="157" t="s">
        <v>3</v>
      </c>
      <c r="D1174" s="159">
        <v>10</v>
      </c>
      <c r="E1174" s="159"/>
      <c r="F1174" s="159">
        <v>7477.78</v>
      </c>
      <c r="G1174" s="160"/>
      <c r="H1174" s="34" t="s">
        <v>925</v>
      </c>
    </row>
    <row r="1175" spans="1:8" ht="16.5">
      <c r="A1175" s="160"/>
      <c r="B1175" s="160" t="s">
        <v>934</v>
      </c>
      <c r="C1175" s="157" t="s">
        <v>3</v>
      </c>
      <c r="D1175" s="159"/>
      <c r="E1175" s="159"/>
      <c r="F1175" s="159">
        <v>747.78</v>
      </c>
      <c r="G1175" s="160"/>
    </row>
    <row r="1176" spans="1:8" ht="33">
      <c r="A1176" s="160"/>
      <c r="B1176" s="160"/>
      <c r="C1176" s="157"/>
      <c r="D1176" s="159"/>
      <c r="E1176" s="159"/>
      <c r="F1176" s="159"/>
      <c r="G1176" s="160"/>
      <c r="H1176" s="34" t="s">
        <v>925</v>
      </c>
    </row>
    <row r="1177" spans="1:8" ht="33">
      <c r="A1177" s="160" t="s">
        <v>1542</v>
      </c>
      <c r="B1177" s="160" t="s">
        <v>4555</v>
      </c>
      <c r="C1177" s="157" t="s">
        <v>17</v>
      </c>
      <c r="D1177" s="159">
        <v>10</v>
      </c>
      <c r="E1177" s="159">
        <v>1616.39</v>
      </c>
      <c r="F1177" s="159"/>
      <c r="G1177" s="160" t="s">
        <v>4935</v>
      </c>
      <c r="H1177" s="34" t="s">
        <v>925</v>
      </c>
    </row>
    <row r="1178" spans="1:8" ht="33">
      <c r="A1178" s="160">
        <v>1</v>
      </c>
      <c r="B1178" s="160" t="s">
        <v>1364</v>
      </c>
      <c r="C1178" s="157" t="s">
        <v>3</v>
      </c>
      <c r="D1178" s="159">
        <v>0.25</v>
      </c>
      <c r="E1178" s="159">
        <v>2980.61</v>
      </c>
      <c r="F1178" s="159">
        <v>745.15</v>
      </c>
      <c r="G1178" s="160" t="s">
        <v>1365</v>
      </c>
      <c r="H1178" s="34" t="s">
        <v>925</v>
      </c>
    </row>
    <row r="1179" spans="1:8" ht="33">
      <c r="A1179" s="160">
        <v>2</v>
      </c>
      <c r="B1179" s="160" t="s">
        <v>1366</v>
      </c>
      <c r="C1179" s="157" t="s">
        <v>14</v>
      </c>
      <c r="D1179" s="159">
        <v>1</v>
      </c>
      <c r="E1179" s="159">
        <v>496.77</v>
      </c>
      <c r="F1179" s="159">
        <v>496.77</v>
      </c>
      <c r="G1179" s="160" t="s">
        <v>1367</v>
      </c>
      <c r="H1179" s="34" t="s">
        <v>925</v>
      </c>
    </row>
    <row r="1180" spans="1:8" ht="42.75">
      <c r="A1180" s="160">
        <v>3</v>
      </c>
      <c r="B1180" s="160" t="s">
        <v>4930</v>
      </c>
      <c r="C1180" s="157" t="s">
        <v>927</v>
      </c>
      <c r="D1180" s="159">
        <v>8.2799999999999994</v>
      </c>
      <c r="E1180" s="159">
        <v>814.7</v>
      </c>
      <c r="F1180" s="159">
        <v>6745.72</v>
      </c>
      <c r="G1180" s="160" t="s">
        <v>4931</v>
      </c>
      <c r="H1180" s="34" t="s">
        <v>925</v>
      </c>
    </row>
    <row r="1181" spans="1:8" ht="42.75">
      <c r="A1181" s="160">
        <v>4</v>
      </c>
      <c r="B1181" s="160" t="s">
        <v>4874</v>
      </c>
      <c r="C1181" s="157" t="s">
        <v>927</v>
      </c>
      <c r="D1181" s="159">
        <v>13.8</v>
      </c>
      <c r="E1181" s="159">
        <v>558.37</v>
      </c>
      <c r="F1181" s="159">
        <v>7705.51</v>
      </c>
      <c r="G1181" s="160" t="s">
        <v>4875</v>
      </c>
      <c r="H1181" s="34" t="s">
        <v>925</v>
      </c>
    </row>
    <row r="1182" spans="1:8" ht="33">
      <c r="A1182" s="160">
        <v>5</v>
      </c>
      <c r="B1182" s="160" t="s">
        <v>931</v>
      </c>
      <c r="C1182" s="157" t="s">
        <v>14</v>
      </c>
      <c r="D1182" s="159">
        <v>1</v>
      </c>
      <c r="E1182" s="159">
        <v>470.79</v>
      </c>
      <c r="F1182" s="159">
        <v>470.79</v>
      </c>
      <c r="G1182" s="160" t="s">
        <v>932</v>
      </c>
      <c r="H1182" s="34" t="s">
        <v>925</v>
      </c>
    </row>
    <row r="1183" spans="1:8" ht="16.5">
      <c r="A1183" s="160"/>
      <c r="B1183" s="160" t="s">
        <v>933</v>
      </c>
      <c r="C1183" s="157" t="s">
        <v>17</v>
      </c>
      <c r="D1183" s="159">
        <v>10</v>
      </c>
      <c r="E1183" s="159"/>
      <c r="F1183" s="159">
        <v>16163.940000000002</v>
      </c>
      <c r="G1183" s="160"/>
    </row>
    <row r="1184" spans="1:8" ht="33">
      <c r="A1184" s="160"/>
      <c r="B1184" s="160" t="s">
        <v>934</v>
      </c>
      <c r="C1184" s="157" t="s">
        <v>17</v>
      </c>
      <c r="D1184" s="159"/>
      <c r="E1184" s="159"/>
      <c r="F1184" s="159">
        <v>1616.39</v>
      </c>
      <c r="G1184" s="160"/>
      <c r="H1184" s="34" t="s">
        <v>925</v>
      </c>
    </row>
    <row r="1185" spans="1:8" ht="33">
      <c r="A1185" s="160"/>
      <c r="B1185" s="160"/>
      <c r="C1185" s="157"/>
      <c r="D1185" s="159"/>
      <c r="E1185" s="159"/>
      <c r="F1185" s="159"/>
      <c r="G1185" s="160"/>
      <c r="H1185" s="34" t="s">
        <v>925</v>
      </c>
    </row>
    <row r="1186" spans="1:8" ht="33">
      <c r="A1186" s="160" t="s">
        <v>1549</v>
      </c>
      <c r="B1186" s="160" t="s">
        <v>4557</v>
      </c>
      <c r="C1186" s="157" t="s">
        <v>3</v>
      </c>
      <c r="D1186" s="159">
        <v>10</v>
      </c>
      <c r="E1186" s="159">
        <v>916.74</v>
      </c>
      <c r="F1186" s="159"/>
      <c r="G1186" s="160" t="s">
        <v>4936</v>
      </c>
      <c r="H1186" s="34" t="s">
        <v>925</v>
      </c>
    </row>
    <row r="1187" spans="1:8" ht="33">
      <c r="A1187" s="160">
        <v>1</v>
      </c>
      <c r="B1187" s="160" t="s">
        <v>1364</v>
      </c>
      <c r="C1187" s="157" t="s">
        <v>3</v>
      </c>
      <c r="D1187" s="159">
        <v>0.25</v>
      </c>
      <c r="E1187" s="159">
        <v>2980.61</v>
      </c>
      <c r="F1187" s="159">
        <v>745.15</v>
      </c>
      <c r="G1187" s="160" t="s">
        <v>1365</v>
      </c>
      <c r="H1187" s="34" t="s">
        <v>925</v>
      </c>
    </row>
    <row r="1188" spans="1:8" ht="33">
      <c r="A1188" s="160">
        <v>2</v>
      </c>
      <c r="B1188" s="160" t="s">
        <v>1366</v>
      </c>
      <c r="C1188" s="157" t="s">
        <v>14</v>
      </c>
      <c r="D1188" s="159">
        <v>1</v>
      </c>
      <c r="E1188" s="159">
        <v>298.06</v>
      </c>
      <c r="F1188" s="159">
        <v>298.06</v>
      </c>
      <c r="G1188" s="160" t="s">
        <v>1367</v>
      </c>
      <c r="H1188" s="34" t="s">
        <v>925</v>
      </c>
    </row>
    <row r="1189" spans="1:8" ht="42.75">
      <c r="A1189" s="160">
        <v>3</v>
      </c>
      <c r="B1189" s="160" t="s">
        <v>4930</v>
      </c>
      <c r="C1189" s="157" t="s">
        <v>927</v>
      </c>
      <c r="D1189" s="159">
        <v>4.5999999999999996</v>
      </c>
      <c r="E1189" s="159">
        <v>814.7</v>
      </c>
      <c r="F1189" s="159">
        <v>3747.62</v>
      </c>
      <c r="G1189" s="160" t="s">
        <v>4931</v>
      </c>
      <c r="H1189" s="34" t="s">
        <v>925</v>
      </c>
    </row>
    <row r="1190" spans="1:8" ht="42.75">
      <c r="A1190" s="160">
        <v>4</v>
      </c>
      <c r="B1190" s="160" t="s">
        <v>4874</v>
      </c>
      <c r="C1190" s="157" t="s">
        <v>927</v>
      </c>
      <c r="D1190" s="159">
        <v>7.36</v>
      </c>
      <c r="E1190" s="159">
        <v>558.37</v>
      </c>
      <c r="F1190" s="159">
        <v>4109.6000000000004</v>
      </c>
      <c r="G1190" s="160" t="s">
        <v>4875</v>
      </c>
      <c r="H1190" s="34" t="s">
        <v>925</v>
      </c>
    </row>
    <row r="1191" spans="1:8" ht="28.5">
      <c r="A1191" s="160">
        <v>5</v>
      </c>
      <c r="B1191" s="160" t="s">
        <v>931</v>
      </c>
      <c r="C1191" s="157" t="s">
        <v>14</v>
      </c>
      <c r="D1191" s="159">
        <v>1</v>
      </c>
      <c r="E1191" s="159">
        <v>267.01</v>
      </c>
      <c r="F1191" s="159">
        <v>267.01</v>
      </c>
      <c r="G1191" s="160" t="s">
        <v>932</v>
      </c>
    </row>
    <row r="1192" spans="1:8" ht="33">
      <c r="A1192" s="160"/>
      <c r="B1192" s="160" t="s">
        <v>933</v>
      </c>
      <c r="C1192" s="157" t="s">
        <v>3</v>
      </c>
      <c r="D1192" s="159">
        <v>10</v>
      </c>
      <c r="E1192" s="159"/>
      <c r="F1192" s="159">
        <v>9167.44</v>
      </c>
      <c r="G1192" s="160"/>
      <c r="H1192" s="34" t="s">
        <v>925</v>
      </c>
    </row>
    <row r="1193" spans="1:8" ht="33">
      <c r="A1193" s="160"/>
      <c r="B1193" s="160" t="s">
        <v>934</v>
      </c>
      <c r="C1193" s="157" t="s">
        <v>3</v>
      </c>
      <c r="D1193" s="159"/>
      <c r="E1193" s="159"/>
      <c r="F1193" s="159">
        <v>916.74</v>
      </c>
      <c r="G1193" s="160"/>
      <c r="H1193" s="34" t="s">
        <v>925</v>
      </c>
    </row>
    <row r="1194" spans="1:8" ht="33">
      <c r="A1194" s="160"/>
      <c r="B1194" s="160"/>
      <c r="C1194" s="157"/>
      <c r="D1194" s="159"/>
      <c r="E1194" s="159"/>
      <c r="F1194" s="159"/>
      <c r="G1194" s="160"/>
      <c r="H1194" s="34" t="s">
        <v>925</v>
      </c>
    </row>
    <row r="1195" spans="1:8" ht="33">
      <c r="A1195" s="160" t="s">
        <v>1556</v>
      </c>
      <c r="B1195" s="160" t="s">
        <v>4559</v>
      </c>
      <c r="C1195" s="157" t="s">
        <v>17</v>
      </c>
      <c r="D1195" s="159">
        <v>10</v>
      </c>
      <c r="E1195" s="159">
        <v>1891.18</v>
      </c>
      <c r="F1195" s="159"/>
      <c r="G1195" s="160" t="s">
        <v>4937</v>
      </c>
      <c r="H1195" s="34" t="s">
        <v>925</v>
      </c>
    </row>
    <row r="1196" spans="1:8" ht="33">
      <c r="A1196" s="160">
        <v>1</v>
      </c>
      <c r="B1196" s="160" t="s">
        <v>1364</v>
      </c>
      <c r="C1196" s="157" t="s">
        <v>3</v>
      </c>
      <c r="D1196" s="159">
        <v>0.25</v>
      </c>
      <c r="E1196" s="159">
        <v>2980.61</v>
      </c>
      <c r="F1196" s="159">
        <v>745.15</v>
      </c>
      <c r="G1196" s="160" t="s">
        <v>1365</v>
      </c>
      <c r="H1196" s="34" t="s">
        <v>925</v>
      </c>
    </row>
    <row r="1197" spans="1:8" ht="33">
      <c r="A1197" s="160">
        <v>2</v>
      </c>
      <c r="B1197" s="160" t="s">
        <v>1366</v>
      </c>
      <c r="C1197" s="157" t="s">
        <v>14</v>
      </c>
      <c r="D1197" s="159">
        <v>1</v>
      </c>
      <c r="E1197" s="159">
        <v>596.12</v>
      </c>
      <c r="F1197" s="159">
        <v>596.12</v>
      </c>
      <c r="G1197" s="160" t="s">
        <v>1367</v>
      </c>
      <c r="H1197" s="34" t="s">
        <v>925</v>
      </c>
    </row>
    <row r="1198" spans="1:8" ht="42.75">
      <c r="A1198" s="160">
        <v>3</v>
      </c>
      <c r="B1198" s="160" t="s">
        <v>4930</v>
      </c>
      <c r="C1198" s="157" t="s">
        <v>927</v>
      </c>
      <c r="D1198" s="159">
        <v>8.2799999999999994</v>
      </c>
      <c r="E1198" s="159">
        <v>814.7</v>
      </c>
      <c r="F1198" s="159">
        <v>6745.72</v>
      </c>
      <c r="G1198" s="160" t="s">
        <v>4931</v>
      </c>
      <c r="H1198" s="34" t="s">
        <v>925</v>
      </c>
    </row>
    <row r="1199" spans="1:8" ht="42.75">
      <c r="A1199" s="160">
        <v>4</v>
      </c>
      <c r="B1199" s="160" t="s">
        <v>4874</v>
      </c>
      <c r="C1199" s="157" t="s">
        <v>927</v>
      </c>
      <c r="D1199" s="159">
        <v>18.399999999999999</v>
      </c>
      <c r="E1199" s="159">
        <v>558.37</v>
      </c>
      <c r="F1199" s="159">
        <v>10274.01</v>
      </c>
      <c r="G1199" s="160" t="s">
        <v>4875</v>
      </c>
    </row>
    <row r="1200" spans="1:8" ht="33">
      <c r="A1200" s="160">
        <v>5</v>
      </c>
      <c r="B1200" s="160" t="s">
        <v>931</v>
      </c>
      <c r="C1200" s="157" t="s">
        <v>14</v>
      </c>
      <c r="D1200" s="159">
        <v>1</v>
      </c>
      <c r="E1200" s="159">
        <v>550.83000000000004</v>
      </c>
      <c r="F1200" s="159">
        <v>550.83000000000004</v>
      </c>
      <c r="G1200" s="160" t="s">
        <v>932</v>
      </c>
      <c r="H1200" s="34" t="s">
        <v>925</v>
      </c>
    </row>
    <row r="1201" spans="1:8" ht="33">
      <c r="A1201" s="160"/>
      <c r="B1201" s="160" t="s">
        <v>933</v>
      </c>
      <c r="C1201" s="157" t="s">
        <v>17</v>
      </c>
      <c r="D1201" s="159">
        <v>10</v>
      </c>
      <c r="E1201" s="159"/>
      <c r="F1201" s="159">
        <v>18911.830000000002</v>
      </c>
      <c r="G1201" s="160"/>
      <c r="H1201" s="34" t="s">
        <v>925</v>
      </c>
    </row>
    <row r="1202" spans="1:8" ht="33">
      <c r="A1202" s="160"/>
      <c r="B1202" s="160" t="s">
        <v>934</v>
      </c>
      <c r="C1202" s="157" t="s">
        <v>17</v>
      </c>
      <c r="D1202" s="159"/>
      <c r="E1202" s="159"/>
      <c r="F1202" s="159">
        <v>1891.18</v>
      </c>
      <c r="G1202" s="160"/>
      <c r="H1202" s="34" t="s">
        <v>925</v>
      </c>
    </row>
    <row r="1203" spans="1:8" ht="33">
      <c r="A1203" s="160"/>
      <c r="B1203" s="160"/>
      <c r="C1203" s="157"/>
      <c r="D1203" s="159"/>
      <c r="E1203" s="159"/>
      <c r="F1203" s="159"/>
      <c r="G1203" s="160"/>
      <c r="H1203" s="34" t="s">
        <v>925</v>
      </c>
    </row>
    <row r="1204" spans="1:8" ht="33">
      <c r="A1204" s="160" t="s">
        <v>1563</v>
      </c>
      <c r="B1204" s="160" t="s">
        <v>4561</v>
      </c>
      <c r="C1204" s="157" t="s">
        <v>3</v>
      </c>
      <c r="D1204" s="159">
        <v>10</v>
      </c>
      <c r="E1204" s="159">
        <v>1076.3900000000001</v>
      </c>
      <c r="F1204" s="159"/>
      <c r="G1204" s="160" t="s">
        <v>4938</v>
      </c>
      <c r="H1204" s="34" t="s">
        <v>925</v>
      </c>
    </row>
    <row r="1205" spans="1:8" ht="33">
      <c r="A1205" s="160">
        <v>1</v>
      </c>
      <c r="B1205" s="160" t="s">
        <v>1364</v>
      </c>
      <c r="C1205" s="157" t="s">
        <v>3</v>
      </c>
      <c r="D1205" s="159">
        <v>0.25</v>
      </c>
      <c r="E1205" s="159">
        <v>2980.61</v>
      </c>
      <c r="F1205" s="159">
        <v>745.15</v>
      </c>
      <c r="G1205" s="160" t="s">
        <v>1365</v>
      </c>
      <c r="H1205" s="34" t="s">
        <v>925</v>
      </c>
    </row>
    <row r="1206" spans="1:8" ht="33">
      <c r="A1206" s="160">
        <v>2</v>
      </c>
      <c r="B1206" s="160" t="s">
        <v>1366</v>
      </c>
      <c r="C1206" s="157" t="s">
        <v>14</v>
      </c>
      <c r="D1206" s="159">
        <v>1</v>
      </c>
      <c r="E1206" s="159">
        <v>397.42</v>
      </c>
      <c r="F1206" s="159">
        <v>397.42</v>
      </c>
      <c r="G1206" s="160" t="s">
        <v>1367</v>
      </c>
      <c r="H1206" s="34" t="s">
        <v>925</v>
      </c>
    </row>
    <row r="1207" spans="1:8" ht="42.75">
      <c r="A1207" s="160">
        <v>3</v>
      </c>
      <c r="B1207" s="160" t="s">
        <v>4930</v>
      </c>
      <c r="C1207" s="157" t="s">
        <v>927</v>
      </c>
      <c r="D1207" s="159">
        <v>5.75</v>
      </c>
      <c r="E1207" s="159">
        <v>814.7</v>
      </c>
      <c r="F1207" s="159">
        <v>4684.53</v>
      </c>
      <c r="G1207" s="160" t="s">
        <v>4931</v>
      </c>
    </row>
    <row r="1208" spans="1:8" ht="42.75">
      <c r="A1208" s="160">
        <v>4</v>
      </c>
      <c r="B1208" s="160" t="s">
        <v>4874</v>
      </c>
      <c r="C1208" s="157" t="s">
        <v>927</v>
      </c>
      <c r="D1208" s="159">
        <v>8.2799999999999994</v>
      </c>
      <c r="E1208" s="159">
        <v>558.37</v>
      </c>
      <c r="F1208" s="159">
        <v>4623.3</v>
      </c>
      <c r="G1208" s="160" t="s">
        <v>4875</v>
      </c>
      <c r="H1208" s="34" t="s">
        <v>925</v>
      </c>
    </row>
    <row r="1209" spans="1:8" ht="33">
      <c r="A1209" s="160">
        <v>5</v>
      </c>
      <c r="B1209" s="160" t="s">
        <v>931</v>
      </c>
      <c r="C1209" s="157" t="s">
        <v>14</v>
      </c>
      <c r="D1209" s="159">
        <v>1</v>
      </c>
      <c r="E1209" s="159">
        <v>313.51</v>
      </c>
      <c r="F1209" s="159">
        <v>313.51</v>
      </c>
      <c r="G1209" s="160" t="s">
        <v>932</v>
      </c>
      <c r="H1209" s="34" t="s">
        <v>925</v>
      </c>
    </row>
    <row r="1210" spans="1:8" ht="33">
      <c r="A1210" s="160"/>
      <c r="B1210" s="160" t="s">
        <v>933</v>
      </c>
      <c r="C1210" s="157" t="s">
        <v>3</v>
      </c>
      <c r="D1210" s="159">
        <v>10</v>
      </c>
      <c r="E1210" s="159"/>
      <c r="F1210" s="159">
        <v>10763.91</v>
      </c>
      <c r="G1210" s="160"/>
      <c r="H1210" s="34" t="s">
        <v>925</v>
      </c>
    </row>
    <row r="1211" spans="1:8" ht="33">
      <c r="A1211" s="160"/>
      <c r="B1211" s="160" t="s">
        <v>934</v>
      </c>
      <c r="C1211" s="157" t="s">
        <v>3</v>
      </c>
      <c r="D1211" s="159"/>
      <c r="E1211" s="159"/>
      <c r="F1211" s="159">
        <v>1076.3900000000001</v>
      </c>
      <c r="G1211" s="160"/>
      <c r="H1211" s="34" t="s">
        <v>925</v>
      </c>
    </row>
    <row r="1212" spans="1:8" ht="33">
      <c r="A1212" s="160"/>
      <c r="B1212" s="160"/>
      <c r="C1212" s="157"/>
      <c r="D1212" s="159"/>
      <c r="E1212" s="159"/>
      <c r="F1212" s="159"/>
      <c r="G1212" s="160"/>
      <c r="H1212" s="34" t="s">
        <v>925</v>
      </c>
    </row>
    <row r="1213" spans="1:8" ht="33">
      <c r="A1213" s="160" t="s">
        <v>1570</v>
      </c>
      <c r="B1213" s="160" t="s">
        <v>1472</v>
      </c>
      <c r="C1213" s="157" t="s">
        <v>4563</v>
      </c>
      <c r="D1213" s="159">
        <v>10</v>
      </c>
      <c r="E1213" s="159">
        <v>265.05</v>
      </c>
      <c r="F1213" s="159"/>
      <c r="G1213" s="160" t="s">
        <v>1473</v>
      </c>
      <c r="H1213" s="34" t="s">
        <v>925</v>
      </c>
    </row>
    <row r="1214" spans="1:8" ht="28.5">
      <c r="A1214" s="160">
        <v>1</v>
      </c>
      <c r="B1214" s="160" t="s">
        <v>1364</v>
      </c>
      <c r="C1214" s="157" t="s">
        <v>3</v>
      </c>
      <c r="D1214" s="159">
        <v>0.25</v>
      </c>
      <c r="E1214" s="159">
        <v>2980.61</v>
      </c>
      <c r="F1214" s="159">
        <v>745.15</v>
      </c>
      <c r="G1214" s="160" t="s">
        <v>1365</v>
      </c>
    </row>
    <row r="1215" spans="1:8" ht="33">
      <c r="A1215" s="160">
        <v>2</v>
      </c>
      <c r="B1215" s="160" t="s">
        <v>1366</v>
      </c>
      <c r="C1215" s="157" t="s">
        <v>14</v>
      </c>
      <c r="D1215" s="159">
        <v>1</v>
      </c>
      <c r="E1215" s="159">
        <v>198.71</v>
      </c>
      <c r="F1215" s="159">
        <v>198.71</v>
      </c>
      <c r="G1215" s="160" t="s">
        <v>1367</v>
      </c>
      <c r="H1215" s="34" t="s">
        <v>925</v>
      </c>
    </row>
    <row r="1216" spans="1:8" ht="42.75">
      <c r="A1216" s="160">
        <v>3</v>
      </c>
      <c r="B1216" s="160" t="s">
        <v>4927</v>
      </c>
      <c r="C1216" s="157" t="s">
        <v>927</v>
      </c>
      <c r="D1216" s="159">
        <v>4</v>
      </c>
      <c r="E1216" s="159">
        <v>407.35</v>
      </c>
      <c r="F1216" s="159">
        <v>1629.4</v>
      </c>
      <c r="G1216" s="160" t="s">
        <v>4928</v>
      </c>
      <c r="H1216" s="34" t="s">
        <v>925</v>
      </c>
    </row>
    <row r="1217" spans="1:8" ht="33">
      <c r="A1217" s="160">
        <v>4</v>
      </c>
      <c r="B1217" s="160" t="s">
        <v>931</v>
      </c>
      <c r="C1217" s="157" t="s">
        <v>14</v>
      </c>
      <c r="D1217" s="159">
        <v>1</v>
      </c>
      <c r="E1217" s="159">
        <v>77.2</v>
      </c>
      <c r="F1217" s="159">
        <v>77.2</v>
      </c>
      <c r="G1217" s="160" t="s">
        <v>932</v>
      </c>
      <c r="H1217" s="34" t="s">
        <v>925</v>
      </c>
    </row>
    <row r="1218" spans="1:8" ht="33">
      <c r="A1218" s="160"/>
      <c r="B1218" s="160" t="s">
        <v>933</v>
      </c>
      <c r="C1218" s="157" t="s">
        <v>4563</v>
      </c>
      <c r="D1218" s="159">
        <v>10</v>
      </c>
      <c r="E1218" s="159"/>
      <c r="F1218" s="159">
        <v>2650.46</v>
      </c>
      <c r="G1218" s="160"/>
      <c r="H1218" s="34" t="s">
        <v>925</v>
      </c>
    </row>
    <row r="1219" spans="1:8" ht="33">
      <c r="A1219" s="160"/>
      <c r="B1219" s="160" t="s">
        <v>934</v>
      </c>
      <c r="C1219" s="157" t="s">
        <v>4563</v>
      </c>
      <c r="D1219" s="159"/>
      <c r="E1219" s="159"/>
      <c r="F1219" s="159">
        <v>265.05</v>
      </c>
      <c r="G1219" s="160"/>
      <c r="H1219" s="34" t="s">
        <v>925</v>
      </c>
    </row>
    <row r="1220" spans="1:8" ht="33">
      <c r="A1220" s="160"/>
      <c r="B1220" s="160"/>
      <c r="C1220" s="157"/>
      <c r="D1220" s="159"/>
      <c r="E1220" s="159"/>
      <c r="F1220" s="159"/>
      <c r="G1220" s="160"/>
      <c r="H1220" s="34" t="s">
        <v>925</v>
      </c>
    </row>
    <row r="1221" spans="1:8" ht="28.5">
      <c r="A1221" s="160" t="s">
        <v>1577</v>
      </c>
      <c r="B1221" s="160" t="s">
        <v>4565</v>
      </c>
      <c r="C1221" s="157" t="s">
        <v>4563</v>
      </c>
      <c r="D1221" s="159">
        <v>10</v>
      </c>
      <c r="E1221" s="159">
        <v>483.22</v>
      </c>
      <c r="F1221" s="159"/>
      <c r="G1221" s="160" t="s">
        <v>4939</v>
      </c>
    </row>
    <row r="1222" spans="1:8" ht="33">
      <c r="A1222" s="160">
        <v>1</v>
      </c>
      <c r="B1222" s="160" t="s">
        <v>1364</v>
      </c>
      <c r="C1222" s="157" t="s">
        <v>3</v>
      </c>
      <c r="D1222" s="159">
        <v>0.25</v>
      </c>
      <c r="E1222" s="159">
        <v>2980.61</v>
      </c>
      <c r="F1222" s="159">
        <v>745.15</v>
      </c>
      <c r="G1222" s="160" t="s">
        <v>1365</v>
      </c>
      <c r="H1222" s="34" t="s">
        <v>925</v>
      </c>
    </row>
    <row r="1223" spans="1:8" ht="33">
      <c r="A1223" s="160">
        <v>2</v>
      </c>
      <c r="B1223" s="160" t="s">
        <v>1366</v>
      </c>
      <c r="C1223" s="157" t="s">
        <v>14</v>
      </c>
      <c r="D1223" s="159">
        <v>1</v>
      </c>
      <c r="E1223" s="159">
        <v>198.71</v>
      </c>
      <c r="F1223" s="159">
        <v>198.71</v>
      </c>
      <c r="G1223" s="160" t="s">
        <v>1367</v>
      </c>
      <c r="H1223" s="34" t="s">
        <v>925</v>
      </c>
    </row>
    <row r="1224" spans="1:8" ht="42.75">
      <c r="A1224" s="160">
        <v>3</v>
      </c>
      <c r="B1224" s="160" t="s">
        <v>4930</v>
      </c>
      <c r="C1224" s="157" t="s">
        <v>927</v>
      </c>
      <c r="D1224" s="159">
        <v>4.5999999999999996</v>
      </c>
      <c r="E1224" s="159">
        <v>814.7</v>
      </c>
      <c r="F1224" s="159">
        <v>3747.62</v>
      </c>
      <c r="G1224" s="160" t="s">
        <v>4931</v>
      </c>
      <c r="H1224" s="34" t="s">
        <v>925</v>
      </c>
    </row>
    <row r="1225" spans="1:8" ht="33">
      <c r="A1225" s="160">
        <v>4</v>
      </c>
      <c r="B1225" s="160" t="s">
        <v>931</v>
      </c>
      <c r="C1225" s="157" t="s">
        <v>14</v>
      </c>
      <c r="D1225" s="159">
        <v>1</v>
      </c>
      <c r="E1225" s="159">
        <v>140.74</v>
      </c>
      <c r="F1225" s="159">
        <v>140.74</v>
      </c>
      <c r="G1225" s="160" t="s">
        <v>932</v>
      </c>
      <c r="H1225" s="34" t="s">
        <v>925</v>
      </c>
    </row>
    <row r="1226" spans="1:8" ht="33">
      <c r="A1226" s="160"/>
      <c r="B1226" s="160" t="s">
        <v>933</v>
      </c>
      <c r="C1226" s="157" t="s">
        <v>4563</v>
      </c>
      <c r="D1226" s="159">
        <v>10</v>
      </c>
      <c r="E1226" s="159"/>
      <c r="F1226" s="159">
        <v>4832.2199999999993</v>
      </c>
      <c r="G1226" s="160"/>
      <c r="H1226" s="34" t="s">
        <v>925</v>
      </c>
    </row>
    <row r="1227" spans="1:8" ht="33">
      <c r="A1227" s="160"/>
      <c r="B1227" s="160" t="s">
        <v>934</v>
      </c>
      <c r="C1227" s="157" t="s">
        <v>4563</v>
      </c>
      <c r="D1227" s="159"/>
      <c r="E1227" s="159"/>
      <c r="F1227" s="159">
        <v>483.22</v>
      </c>
      <c r="G1227" s="160"/>
      <c r="H1227" s="34" t="s">
        <v>925</v>
      </c>
    </row>
    <row r="1228" spans="1:8" ht="16.5">
      <c r="A1228" s="160"/>
      <c r="B1228" s="160"/>
      <c r="C1228" s="157"/>
      <c r="D1228" s="159"/>
      <c r="E1228" s="159"/>
      <c r="F1228" s="159"/>
      <c r="G1228" s="160"/>
    </row>
    <row r="1229" spans="1:8" ht="42.75">
      <c r="A1229" s="160" t="s">
        <v>1584</v>
      </c>
      <c r="B1229" s="160" t="s">
        <v>513</v>
      </c>
      <c r="C1229" s="157" t="s">
        <v>18</v>
      </c>
      <c r="D1229" s="159">
        <v>1000</v>
      </c>
      <c r="E1229" s="159">
        <v>31.93</v>
      </c>
      <c r="F1229" s="159"/>
      <c r="G1229" s="160" t="s">
        <v>1410</v>
      </c>
      <c r="H1229" s="34" t="s">
        <v>925</v>
      </c>
    </row>
    <row r="1230" spans="1:8" ht="42.75">
      <c r="A1230" s="160">
        <v>1</v>
      </c>
      <c r="B1230" s="160" t="s">
        <v>1411</v>
      </c>
      <c r="C1230" s="157" t="s">
        <v>1412</v>
      </c>
      <c r="D1230" s="159">
        <v>1.05</v>
      </c>
      <c r="E1230" s="159">
        <v>21311.39</v>
      </c>
      <c r="F1230" s="159">
        <v>22376.959999999999</v>
      </c>
      <c r="G1230" s="160" t="s">
        <v>1413</v>
      </c>
      <c r="H1230" s="34" t="s">
        <v>925</v>
      </c>
    </row>
    <row r="1231" spans="1:8" ht="42.75">
      <c r="A1231" s="160">
        <v>2</v>
      </c>
      <c r="B1231" s="160" t="s">
        <v>4940</v>
      </c>
      <c r="C1231" s="157" t="s">
        <v>927</v>
      </c>
      <c r="D1231" s="159">
        <v>10.4</v>
      </c>
      <c r="E1231" s="159">
        <v>407.35</v>
      </c>
      <c r="F1231" s="159">
        <v>4236.4399999999996</v>
      </c>
      <c r="G1231" s="160" t="s">
        <v>4941</v>
      </c>
      <c r="H1231" s="34" t="s">
        <v>925</v>
      </c>
    </row>
    <row r="1232" spans="1:8" ht="42.75">
      <c r="A1232" s="160">
        <v>3</v>
      </c>
      <c r="B1232" s="160" t="s">
        <v>4942</v>
      </c>
      <c r="C1232" s="157" t="s">
        <v>927</v>
      </c>
      <c r="D1232" s="159">
        <v>10.4</v>
      </c>
      <c r="E1232" s="159">
        <v>407.35</v>
      </c>
      <c r="F1232" s="159">
        <v>4236.4399999999996</v>
      </c>
      <c r="G1232" s="160" t="s">
        <v>4943</v>
      </c>
      <c r="H1232" s="34" t="s">
        <v>925</v>
      </c>
    </row>
    <row r="1233" spans="1:8" ht="33">
      <c r="A1233" s="160">
        <v>4</v>
      </c>
      <c r="B1233" s="160" t="s">
        <v>1414</v>
      </c>
      <c r="C1233" s="157" t="s">
        <v>18</v>
      </c>
      <c r="D1233" s="159">
        <v>4</v>
      </c>
      <c r="E1233" s="159">
        <v>38.15</v>
      </c>
      <c r="F1233" s="159">
        <v>152.6</v>
      </c>
      <c r="G1233" s="160" t="s">
        <v>1415</v>
      </c>
      <c r="H1233" s="34" t="s">
        <v>925</v>
      </c>
    </row>
    <row r="1234" spans="1:8" ht="33">
      <c r="A1234" s="160">
        <v>5</v>
      </c>
      <c r="B1234" s="160" t="s">
        <v>931</v>
      </c>
      <c r="C1234" s="157" t="s">
        <v>14</v>
      </c>
      <c r="D1234" s="159">
        <v>1</v>
      </c>
      <c r="E1234" s="159">
        <v>930.07</v>
      </c>
      <c r="F1234" s="159">
        <v>930.07</v>
      </c>
      <c r="G1234" s="160" t="s">
        <v>932</v>
      </c>
      <c r="H1234" s="34" t="s">
        <v>925</v>
      </c>
    </row>
    <row r="1235" spans="1:8" ht="16.5">
      <c r="A1235" s="160"/>
      <c r="B1235" s="160" t="s">
        <v>933</v>
      </c>
      <c r="C1235" s="157" t="s">
        <v>18</v>
      </c>
      <c r="D1235" s="159">
        <v>1000</v>
      </c>
      <c r="E1235" s="159"/>
      <c r="F1235" s="159">
        <v>31932.509999999995</v>
      </c>
      <c r="G1235" s="160"/>
    </row>
    <row r="1236" spans="1:8" ht="33">
      <c r="A1236" s="160"/>
      <c r="B1236" s="160" t="s">
        <v>934</v>
      </c>
      <c r="C1236" s="157" t="s">
        <v>18</v>
      </c>
      <c r="D1236" s="159"/>
      <c r="E1236" s="159"/>
      <c r="F1236" s="159">
        <v>31.93</v>
      </c>
      <c r="G1236" s="160"/>
      <c r="H1236" s="34" t="s">
        <v>925</v>
      </c>
    </row>
    <row r="1237" spans="1:8" ht="33">
      <c r="A1237" s="160"/>
      <c r="B1237" s="160"/>
      <c r="C1237" s="157"/>
      <c r="D1237" s="159"/>
      <c r="E1237" s="159"/>
      <c r="F1237" s="159"/>
      <c r="G1237" s="160"/>
      <c r="H1237" s="34" t="s">
        <v>925</v>
      </c>
    </row>
    <row r="1238" spans="1:8" ht="42.75">
      <c r="A1238" s="160" t="s">
        <v>1591</v>
      </c>
      <c r="B1238" s="160" t="s">
        <v>1417</v>
      </c>
      <c r="C1238" s="157" t="s">
        <v>18</v>
      </c>
      <c r="D1238" s="159">
        <v>1000</v>
      </c>
      <c r="E1238" s="159">
        <v>31.55</v>
      </c>
      <c r="F1238" s="159"/>
      <c r="G1238" s="160" t="s">
        <v>4022</v>
      </c>
      <c r="H1238" s="34" t="s">
        <v>925</v>
      </c>
    </row>
    <row r="1239" spans="1:8" ht="42.75">
      <c r="A1239" s="160">
        <v>1</v>
      </c>
      <c r="B1239" s="160" t="s">
        <v>1418</v>
      </c>
      <c r="C1239" s="157" t="s">
        <v>1412</v>
      </c>
      <c r="D1239" s="159">
        <v>1.05</v>
      </c>
      <c r="E1239" s="159">
        <v>20953.72</v>
      </c>
      <c r="F1239" s="159">
        <v>22001.41</v>
      </c>
      <c r="G1239" s="160" t="s">
        <v>4944</v>
      </c>
      <c r="H1239" s="34" t="s">
        <v>925</v>
      </c>
    </row>
    <row r="1240" spans="1:8" ht="42.75">
      <c r="A1240" s="160">
        <v>2</v>
      </c>
      <c r="B1240" s="160" t="s">
        <v>4940</v>
      </c>
      <c r="C1240" s="157" t="s">
        <v>927</v>
      </c>
      <c r="D1240" s="159">
        <v>10.4</v>
      </c>
      <c r="E1240" s="159">
        <v>407.35</v>
      </c>
      <c r="F1240" s="159">
        <v>4236.4399999999996</v>
      </c>
      <c r="G1240" s="160" t="s">
        <v>4941</v>
      </c>
      <c r="H1240" s="34" t="s">
        <v>925</v>
      </c>
    </row>
    <row r="1241" spans="1:8" ht="42.75">
      <c r="A1241" s="160">
        <v>3</v>
      </c>
      <c r="B1241" s="160" t="s">
        <v>4942</v>
      </c>
      <c r="C1241" s="157" t="s">
        <v>927</v>
      </c>
      <c r="D1241" s="159">
        <v>10.4</v>
      </c>
      <c r="E1241" s="159">
        <v>407.35</v>
      </c>
      <c r="F1241" s="159">
        <v>4236.4399999999996</v>
      </c>
      <c r="G1241" s="160" t="s">
        <v>4943</v>
      </c>
      <c r="H1241" s="34" t="s">
        <v>925</v>
      </c>
    </row>
    <row r="1242" spans="1:8" ht="33">
      <c r="A1242" s="160">
        <v>4</v>
      </c>
      <c r="B1242" s="160" t="s">
        <v>1414</v>
      </c>
      <c r="C1242" s="157" t="s">
        <v>18</v>
      </c>
      <c r="D1242" s="159">
        <v>4</v>
      </c>
      <c r="E1242" s="159">
        <v>38.15</v>
      </c>
      <c r="F1242" s="159">
        <v>152.6</v>
      </c>
      <c r="G1242" s="160" t="s">
        <v>1415</v>
      </c>
      <c r="H1242" s="34" t="s">
        <v>925</v>
      </c>
    </row>
    <row r="1243" spans="1:8" ht="28.5">
      <c r="A1243" s="160">
        <v>5</v>
      </c>
      <c r="B1243" s="160" t="s">
        <v>931</v>
      </c>
      <c r="C1243" s="157" t="s">
        <v>14</v>
      </c>
      <c r="D1243" s="159">
        <v>1</v>
      </c>
      <c r="E1243" s="159">
        <v>918.81</v>
      </c>
      <c r="F1243" s="159">
        <v>918.81</v>
      </c>
      <c r="G1243" s="160" t="s">
        <v>932</v>
      </c>
    </row>
    <row r="1244" spans="1:8" ht="33">
      <c r="A1244" s="160"/>
      <c r="B1244" s="160" t="s">
        <v>933</v>
      </c>
      <c r="C1244" s="157" t="s">
        <v>18</v>
      </c>
      <c r="D1244" s="159">
        <v>1000</v>
      </c>
      <c r="E1244" s="159"/>
      <c r="F1244" s="159">
        <v>31545.699999999997</v>
      </c>
      <c r="G1244" s="160"/>
      <c r="H1244" s="34" t="s">
        <v>925</v>
      </c>
    </row>
    <row r="1245" spans="1:8" ht="33">
      <c r="A1245" s="160"/>
      <c r="B1245" s="160" t="s">
        <v>934</v>
      </c>
      <c r="C1245" s="157" t="s">
        <v>18</v>
      </c>
      <c r="D1245" s="159"/>
      <c r="E1245" s="159"/>
      <c r="F1245" s="159">
        <v>31.55</v>
      </c>
      <c r="G1245" s="160"/>
      <c r="H1245" s="34" t="s">
        <v>925</v>
      </c>
    </row>
    <row r="1246" spans="1:8" ht="33">
      <c r="A1246" s="160"/>
      <c r="B1246" s="160"/>
      <c r="C1246" s="157"/>
      <c r="D1246" s="159"/>
      <c r="E1246" s="159"/>
      <c r="F1246" s="159"/>
      <c r="G1246" s="160"/>
      <c r="H1246" s="34" t="s">
        <v>925</v>
      </c>
    </row>
    <row r="1247" spans="1:8" ht="33">
      <c r="A1247" s="160" t="s">
        <v>1598</v>
      </c>
      <c r="B1247" s="160" t="s">
        <v>1420</v>
      </c>
      <c r="C1247" s="157" t="s">
        <v>18</v>
      </c>
      <c r="D1247" s="159">
        <v>1000</v>
      </c>
      <c r="E1247" s="159">
        <v>33.54</v>
      </c>
      <c r="F1247" s="159"/>
      <c r="G1247" s="160" t="s">
        <v>1421</v>
      </c>
      <c r="H1247" s="34" t="s">
        <v>925</v>
      </c>
    </row>
    <row r="1248" spans="1:8" ht="33">
      <c r="A1248" s="160">
        <v>1</v>
      </c>
      <c r="B1248" s="160" t="s">
        <v>1422</v>
      </c>
      <c r="C1248" s="157" t="s">
        <v>1412</v>
      </c>
      <c r="D1248" s="159">
        <v>1.1000000000000001</v>
      </c>
      <c r="E1248" s="159">
        <v>22056.55</v>
      </c>
      <c r="F1248" s="159">
        <v>24262.21</v>
      </c>
      <c r="G1248" s="160" t="s">
        <v>1423</v>
      </c>
      <c r="H1248" s="34" t="s">
        <v>925</v>
      </c>
    </row>
    <row r="1249" spans="1:8" ht="42.75">
      <c r="A1249" s="160">
        <v>2</v>
      </c>
      <c r="B1249" s="160" t="s">
        <v>4940</v>
      </c>
      <c r="C1249" s="157" t="s">
        <v>927</v>
      </c>
      <c r="D1249" s="159">
        <v>10</v>
      </c>
      <c r="E1249" s="159">
        <v>407.35</v>
      </c>
      <c r="F1249" s="159">
        <v>4073.5</v>
      </c>
      <c r="G1249" s="160" t="s">
        <v>4941</v>
      </c>
      <c r="H1249" s="34" t="s">
        <v>925</v>
      </c>
    </row>
    <row r="1250" spans="1:8" ht="42.75">
      <c r="A1250" s="160">
        <v>3</v>
      </c>
      <c r="B1250" s="160" t="s">
        <v>4942</v>
      </c>
      <c r="C1250" s="157" t="s">
        <v>927</v>
      </c>
      <c r="D1250" s="159">
        <v>10</v>
      </c>
      <c r="E1250" s="159">
        <v>407.35</v>
      </c>
      <c r="F1250" s="159">
        <v>4073.5</v>
      </c>
      <c r="G1250" s="160" t="s">
        <v>4943</v>
      </c>
      <c r="H1250" s="34" t="s">
        <v>925</v>
      </c>
    </row>
    <row r="1251" spans="1:8" ht="28.5">
      <c r="A1251" s="160">
        <v>4</v>
      </c>
      <c r="B1251" s="160" t="s">
        <v>1414</v>
      </c>
      <c r="C1251" s="157" t="s">
        <v>18</v>
      </c>
      <c r="D1251" s="159">
        <v>4</v>
      </c>
      <c r="E1251" s="159">
        <v>38.15</v>
      </c>
      <c r="F1251" s="159">
        <v>152.6</v>
      </c>
      <c r="G1251" s="160" t="s">
        <v>1415</v>
      </c>
    </row>
    <row r="1252" spans="1:8" ht="33">
      <c r="A1252" s="160">
        <v>5</v>
      </c>
      <c r="B1252" s="160" t="s">
        <v>931</v>
      </c>
      <c r="C1252" s="157" t="s">
        <v>14</v>
      </c>
      <c r="D1252" s="159">
        <v>1</v>
      </c>
      <c r="E1252" s="159">
        <v>976.85</v>
      </c>
      <c r="F1252" s="159">
        <v>976.85</v>
      </c>
      <c r="G1252" s="160" t="s">
        <v>932</v>
      </c>
      <c r="H1252" s="34" t="s">
        <v>925</v>
      </c>
    </row>
    <row r="1253" spans="1:8" ht="33">
      <c r="A1253" s="160"/>
      <c r="B1253" s="160" t="s">
        <v>933</v>
      </c>
      <c r="C1253" s="157" t="s">
        <v>18</v>
      </c>
      <c r="D1253" s="159">
        <v>1000</v>
      </c>
      <c r="E1253" s="159"/>
      <c r="F1253" s="159">
        <v>33538.659999999996</v>
      </c>
      <c r="G1253" s="160"/>
      <c r="H1253" s="34" t="s">
        <v>925</v>
      </c>
    </row>
    <row r="1254" spans="1:8" ht="33">
      <c r="A1254" s="160"/>
      <c r="B1254" s="160" t="s">
        <v>934</v>
      </c>
      <c r="C1254" s="157" t="s">
        <v>18</v>
      </c>
      <c r="D1254" s="159"/>
      <c r="E1254" s="159"/>
      <c r="F1254" s="159">
        <v>33.54</v>
      </c>
      <c r="G1254" s="160"/>
      <c r="H1254" s="34" t="s">
        <v>925</v>
      </c>
    </row>
    <row r="1255" spans="1:8" ht="33">
      <c r="A1255" s="160"/>
      <c r="B1255" s="160"/>
      <c r="C1255" s="157"/>
      <c r="D1255" s="159"/>
      <c r="E1255" s="159"/>
      <c r="F1255" s="159"/>
      <c r="G1255" s="160"/>
      <c r="H1255" s="34" t="s">
        <v>925</v>
      </c>
    </row>
    <row r="1256" spans="1:8" ht="33">
      <c r="A1256" s="160" t="s">
        <v>1605</v>
      </c>
      <c r="B1256" s="160" t="s">
        <v>1425</v>
      </c>
      <c r="C1256" s="157" t="s">
        <v>18</v>
      </c>
      <c r="D1256" s="159">
        <v>1000</v>
      </c>
      <c r="E1256" s="159">
        <v>33.74</v>
      </c>
      <c r="F1256" s="159"/>
      <c r="G1256" s="160" t="s">
        <v>1426</v>
      </c>
      <c r="H1256" s="34" t="s">
        <v>925</v>
      </c>
    </row>
    <row r="1257" spans="1:8" ht="33">
      <c r="A1257" s="160">
        <v>1</v>
      </c>
      <c r="B1257" s="160" t="s">
        <v>1427</v>
      </c>
      <c r="C1257" s="157" t="s">
        <v>1412</v>
      </c>
      <c r="D1257" s="159">
        <v>1.1000000000000001</v>
      </c>
      <c r="E1257" s="159">
        <v>22235.38</v>
      </c>
      <c r="F1257" s="159">
        <v>24458.92</v>
      </c>
      <c r="G1257" s="160" t="s">
        <v>1428</v>
      </c>
      <c r="H1257" s="34" t="s">
        <v>925</v>
      </c>
    </row>
    <row r="1258" spans="1:8" ht="42.75">
      <c r="A1258" s="160">
        <v>2</v>
      </c>
      <c r="B1258" s="160" t="s">
        <v>4940</v>
      </c>
      <c r="C1258" s="157" t="s">
        <v>927</v>
      </c>
      <c r="D1258" s="159">
        <v>10</v>
      </c>
      <c r="E1258" s="159">
        <v>407.35</v>
      </c>
      <c r="F1258" s="159">
        <v>4073.5</v>
      </c>
      <c r="G1258" s="160" t="s">
        <v>4941</v>
      </c>
    </row>
    <row r="1259" spans="1:8" ht="42.75">
      <c r="A1259" s="160">
        <v>3</v>
      </c>
      <c r="B1259" s="160" t="s">
        <v>4942</v>
      </c>
      <c r="C1259" s="157" t="s">
        <v>927</v>
      </c>
      <c r="D1259" s="159">
        <v>10</v>
      </c>
      <c r="E1259" s="159">
        <v>407.35</v>
      </c>
      <c r="F1259" s="159">
        <v>4073.5</v>
      </c>
      <c r="G1259" s="160" t="s">
        <v>4943</v>
      </c>
      <c r="H1259" s="34" t="s">
        <v>925</v>
      </c>
    </row>
    <row r="1260" spans="1:8" ht="33">
      <c r="A1260" s="160">
        <v>4</v>
      </c>
      <c r="B1260" s="160" t="s">
        <v>1414</v>
      </c>
      <c r="C1260" s="157" t="s">
        <v>18</v>
      </c>
      <c r="D1260" s="159">
        <v>4</v>
      </c>
      <c r="E1260" s="159">
        <v>38.15</v>
      </c>
      <c r="F1260" s="159">
        <v>152.6</v>
      </c>
      <c r="G1260" s="160" t="s">
        <v>1415</v>
      </c>
      <c r="H1260" s="34" t="s">
        <v>925</v>
      </c>
    </row>
    <row r="1261" spans="1:8" ht="33">
      <c r="A1261" s="160">
        <v>5</v>
      </c>
      <c r="B1261" s="160" t="s">
        <v>931</v>
      </c>
      <c r="C1261" s="157" t="s">
        <v>14</v>
      </c>
      <c r="D1261" s="159">
        <v>1</v>
      </c>
      <c r="E1261" s="159">
        <v>982.76</v>
      </c>
      <c r="F1261" s="159">
        <v>982.76</v>
      </c>
      <c r="G1261" s="160" t="s">
        <v>932</v>
      </c>
      <c r="H1261" s="34" t="s">
        <v>925</v>
      </c>
    </row>
    <row r="1262" spans="1:8" ht="33">
      <c r="A1262" s="160"/>
      <c r="B1262" s="160" t="s">
        <v>933</v>
      </c>
      <c r="C1262" s="157" t="s">
        <v>18</v>
      </c>
      <c r="D1262" s="159">
        <v>1000</v>
      </c>
      <c r="E1262" s="159"/>
      <c r="F1262" s="159">
        <v>33741.279999999999</v>
      </c>
      <c r="G1262" s="160"/>
      <c r="H1262" s="34" t="s">
        <v>925</v>
      </c>
    </row>
    <row r="1263" spans="1:8" ht="33">
      <c r="A1263" s="160"/>
      <c r="B1263" s="160" t="s">
        <v>934</v>
      </c>
      <c r="C1263" s="157" t="s">
        <v>18</v>
      </c>
      <c r="D1263" s="159"/>
      <c r="E1263" s="159"/>
      <c r="F1263" s="159">
        <v>33.74</v>
      </c>
      <c r="G1263" s="160"/>
      <c r="H1263" s="34" t="s">
        <v>925</v>
      </c>
    </row>
    <row r="1264" spans="1:8" ht="33">
      <c r="A1264" s="160"/>
      <c r="B1264" s="160"/>
      <c r="C1264" s="157"/>
      <c r="D1264" s="159"/>
      <c r="E1264" s="159"/>
      <c r="F1264" s="159"/>
      <c r="G1264" s="160"/>
      <c r="H1264" s="34" t="s">
        <v>925</v>
      </c>
    </row>
    <row r="1265" spans="1:8" ht="85.5">
      <c r="A1265" s="160" t="s">
        <v>1612</v>
      </c>
      <c r="B1265" s="160" t="s">
        <v>5518</v>
      </c>
      <c r="C1265" s="157" t="s">
        <v>18</v>
      </c>
      <c r="D1265" s="159">
        <v>1000</v>
      </c>
      <c r="E1265" s="159">
        <v>34.42</v>
      </c>
      <c r="F1265" s="159"/>
      <c r="G1265" s="160" t="s">
        <v>4024</v>
      </c>
    </row>
    <row r="1266" spans="1:8" ht="42.75">
      <c r="A1266" s="160">
        <v>1</v>
      </c>
      <c r="B1266" s="160" t="s">
        <v>1418</v>
      </c>
      <c r="C1266" s="157" t="s">
        <v>1412</v>
      </c>
      <c r="D1266" s="159">
        <v>1.05</v>
      </c>
      <c r="E1266" s="159">
        <v>20953.72</v>
      </c>
      <c r="F1266" s="159">
        <v>22001.41</v>
      </c>
      <c r="G1266" s="160" t="s">
        <v>4944</v>
      </c>
      <c r="H1266" s="34" t="s">
        <v>925</v>
      </c>
    </row>
    <row r="1267" spans="1:8" ht="42.75">
      <c r="A1267" s="160">
        <v>2</v>
      </c>
      <c r="B1267" s="160" t="s">
        <v>4940</v>
      </c>
      <c r="C1267" s="157" t="s">
        <v>927</v>
      </c>
      <c r="D1267" s="159">
        <v>13.83</v>
      </c>
      <c r="E1267" s="159">
        <v>407.35</v>
      </c>
      <c r="F1267" s="159">
        <v>5633.65</v>
      </c>
      <c r="G1267" s="160" t="s">
        <v>4941</v>
      </c>
      <c r="H1267" s="34" t="s">
        <v>925</v>
      </c>
    </row>
    <row r="1268" spans="1:8" ht="42.75">
      <c r="A1268" s="160">
        <v>3</v>
      </c>
      <c r="B1268" s="160" t="s">
        <v>4942</v>
      </c>
      <c r="C1268" s="157" t="s">
        <v>927</v>
      </c>
      <c r="D1268" s="159">
        <v>13.83</v>
      </c>
      <c r="E1268" s="159">
        <v>407.35</v>
      </c>
      <c r="F1268" s="159">
        <v>5633.65</v>
      </c>
      <c r="G1268" s="160" t="s">
        <v>4943</v>
      </c>
      <c r="H1268" s="34" t="s">
        <v>925</v>
      </c>
    </row>
    <row r="1269" spans="1:8" ht="33">
      <c r="A1269" s="160">
        <v>4</v>
      </c>
      <c r="B1269" s="160" t="s">
        <v>1414</v>
      </c>
      <c r="C1269" s="157" t="s">
        <v>18</v>
      </c>
      <c r="D1269" s="159">
        <v>4</v>
      </c>
      <c r="E1269" s="159">
        <v>38.15</v>
      </c>
      <c r="F1269" s="159">
        <v>152.6</v>
      </c>
      <c r="G1269" s="160" t="s">
        <v>1415</v>
      </c>
      <c r="H1269" s="34" t="s">
        <v>925</v>
      </c>
    </row>
    <row r="1270" spans="1:8" ht="33">
      <c r="A1270" s="160">
        <v>5</v>
      </c>
      <c r="B1270" s="160" t="s">
        <v>931</v>
      </c>
      <c r="C1270" s="157" t="s">
        <v>14</v>
      </c>
      <c r="D1270" s="159">
        <v>1</v>
      </c>
      <c r="E1270" s="159">
        <v>1002.64</v>
      </c>
      <c r="F1270" s="159">
        <v>1002.64</v>
      </c>
      <c r="G1270" s="160" t="s">
        <v>932</v>
      </c>
      <c r="H1270" s="34" t="s">
        <v>925</v>
      </c>
    </row>
    <row r="1271" spans="1:8" ht="33">
      <c r="A1271" s="160"/>
      <c r="B1271" s="160" t="s">
        <v>933</v>
      </c>
      <c r="C1271" s="157" t="s">
        <v>18</v>
      </c>
      <c r="D1271" s="159">
        <v>1000</v>
      </c>
      <c r="E1271" s="159"/>
      <c r="F1271" s="159">
        <v>34423.949999999997</v>
      </c>
      <c r="G1271" s="160"/>
      <c r="H1271" s="34" t="s">
        <v>925</v>
      </c>
    </row>
    <row r="1272" spans="1:8" ht="33">
      <c r="A1272" s="160"/>
      <c r="B1272" s="160" t="s">
        <v>934</v>
      </c>
      <c r="C1272" s="157" t="s">
        <v>18</v>
      </c>
      <c r="D1272" s="159"/>
      <c r="E1272" s="159"/>
      <c r="F1272" s="159">
        <v>34.42</v>
      </c>
      <c r="G1272" s="160"/>
      <c r="H1272" s="34" t="s">
        <v>925</v>
      </c>
    </row>
    <row r="1273" spans="1:8" ht="16.5">
      <c r="A1273" s="160"/>
      <c r="B1273" s="160"/>
      <c r="C1273" s="157"/>
      <c r="D1273" s="159"/>
      <c r="E1273" s="159"/>
      <c r="F1273" s="159"/>
      <c r="G1273" s="160"/>
    </row>
    <row r="1274" spans="1:8" ht="85.5">
      <c r="A1274" s="160" t="s">
        <v>1619</v>
      </c>
      <c r="B1274" s="160" t="s">
        <v>5519</v>
      </c>
      <c r="C1274" s="157" t="s">
        <v>18</v>
      </c>
      <c r="D1274" s="159">
        <v>1000</v>
      </c>
      <c r="E1274" s="159">
        <v>34.81</v>
      </c>
      <c r="F1274" s="159"/>
      <c r="G1274" s="160" t="s">
        <v>1431</v>
      </c>
      <c r="H1274" s="34" t="s">
        <v>925</v>
      </c>
    </row>
    <row r="1275" spans="1:8" ht="42.75">
      <c r="A1275" s="160">
        <v>1</v>
      </c>
      <c r="B1275" s="160" t="s">
        <v>1411</v>
      </c>
      <c r="C1275" s="157" t="s">
        <v>1412</v>
      </c>
      <c r="D1275" s="159">
        <v>1.05</v>
      </c>
      <c r="E1275" s="159">
        <v>21311.39</v>
      </c>
      <c r="F1275" s="159">
        <v>22376.959999999999</v>
      </c>
      <c r="G1275" s="160" t="s">
        <v>1413</v>
      </c>
      <c r="H1275" s="34" t="s">
        <v>925</v>
      </c>
    </row>
    <row r="1276" spans="1:8" ht="42.75">
      <c r="A1276" s="160">
        <v>2</v>
      </c>
      <c r="B1276" s="160" t="s">
        <v>4940</v>
      </c>
      <c r="C1276" s="157" t="s">
        <v>927</v>
      </c>
      <c r="D1276" s="159">
        <v>13.83</v>
      </c>
      <c r="E1276" s="159">
        <v>407.35</v>
      </c>
      <c r="F1276" s="159">
        <v>5633.65</v>
      </c>
      <c r="G1276" s="160" t="s">
        <v>4941</v>
      </c>
      <c r="H1276" s="34" t="s">
        <v>925</v>
      </c>
    </row>
    <row r="1277" spans="1:8" ht="42.75">
      <c r="A1277" s="160">
        <v>3</v>
      </c>
      <c r="B1277" s="160" t="s">
        <v>4942</v>
      </c>
      <c r="C1277" s="157" t="s">
        <v>927</v>
      </c>
      <c r="D1277" s="159">
        <v>13.83</v>
      </c>
      <c r="E1277" s="159">
        <v>407.35</v>
      </c>
      <c r="F1277" s="159">
        <v>5633.65</v>
      </c>
      <c r="G1277" s="160" t="s">
        <v>4943</v>
      </c>
      <c r="H1277" s="34" t="s">
        <v>925</v>
      </c>
    </row>
    <row r="1278" spans="1:8" ht="33">
      <c r="A1278" s="160">
        <v>4</v>
      </c>
      <c r="B1278" s="160" t="s">
        <v>1414</v>
      </c>
      <c r="C1278" s="157" t="s">
        <v>18</v>
      </c>
      <c r="D1278" s="159">
        <v>4</v>
      </c>
      <c r="E1278" s="159">
        <v>38.15</v>
      </c>
      <c r="F1278" s="159">
        <v>152.6</v>
      </c>
      <c r="G1278" s="160" t="s">
        <v>1415</v>
      </c>
      <c r="H1278" s="34" t="s">
        <v>925</v>
      </c>
    </row>
    <row r="1279" spans="1:8" ht="33">
      <c r="A1279" s="160">
        <v>5</v>
      </c>
      <c r="B1279" s="160" t="s">
        <v>931</v>
      </c>
      <c r="C1279" s="157" t="s">
        <v>14</v>
      </c>
      <c r="D1279" s="159">
        <v>1</v>
      </c>
      <c r="E1279" s="159">
        <v>1013.91</v>
      </c>
      <c r="F1279" s="159">
        <v>1013.91</v>
      </c>
      <c r="G1279" s="160" t="s">
        <v>932</v>
      </c>
      <c r="H1279" s="34" t="s">
        <v>925</v>
      </c>
    </row>
    <row r="1280" spans="1:8" ht="33">
      <c r="A1280" s="160"/>
      <c r="B1280" s="160" t="s">
        <v>933</v>
      </c>
      <c r="C1280" s="157" t="s">
        <v>18</v>
      </c>
      <c r="D1280" s="159">
        <v>1000</v>
      </c>
      <c r="E1280" s="159"/>
      <c r="F1280" s="159">
        <v>34810.770000000004</v>
      </c>
      <c r="G1280" s="160"/>
      <c r="H1280" s="34" t="s">
        <v>925</v>
      </c>
    </row>
    <row r="1281" spans="1:8" ht="16.5">
      <c r="A1281" s="160"/>
      <c r="B1281" s="160" t="s">
        <v>934</v>
      </c>
      <c r="C1281" s="157" t="s">
        <v>18</v>
      </c>
      <c r="D1281" s="159"/>
      <c r="E1281" s="159"/>
      <c r="F1281" s="159">
        <v>34.81</v>
      </c>
      <c r="G1281" s="160"/>
    </row>
    <row r="1282" spans="1:8" ht="33">
      <c r="A1282" s="160"/>
      <c r="B1282" s="160"/>
      <c r="C1282" s="157"/>
      <c r="D1282" s="159"/>
      <c r="E1282" s="159"/>
      <c r="F1282" s="159"/>
      <c r="G1282" s="160"/>
      <c r="H1282" s="34" t="s">
        <v>925</v>
      </c>
    </row>
    <row r="1283" spans="1:8" ht="57">
      <c r="A1283" s="160" t="s">
        <v>1624</v>
      </c>
      <c r="B1283" s="160" t="s">
        <v>5520</v>
      </c>
      <c r="C1283" s="157" t="s">
        <v>18</v>
      </c>
      <c r="D1283" s="159">
        <v>1000</v>
      </c>
      <c r="E1283" s="159">
        <v>36.31</v>
      </c>
      <c r="F1283" s="159"/>
      <c r="G1283" s="160" t="s">
        <v>1433</v>
      </c>
      <c r="H1283" s="34" t="s">
        <v>925</v>
      </c>
    </row>
    <row r="1284" spans="1:8" ht="33">
      <c r="A1284" s="160">
        <v>1</v>
      </c>
      <c r="B1284" s="160" t="s">
        <v>1422</v>
      </c>
      <c r="C1284" s="157" t="s">
        <v>1412</v>
      </c>
      <c r="D1284" s="159">
        <v>1.1000000000000001</v>
      </c>
      <c r="E1284" s="159">
        <v>22056.55</v>
      </c>
      <c r="F1284" s="159">
        <v>24262.21</v>
      </c>
      <c r="G1284" s="160" t="s">
        <v>1423</v>
      </c>
      <c r="H1284" s="34" t="s">
        <v>925</v>
      </c>
    </row>
    <row r="1285" spans="1:8" ht="42.75">
      <c r="A1285" s="160">
        <v>2</v>
      </c>
      <c r="B1285" s="160" t="s">
        <v>4940</v>
      </c>
      <c r="C1285" s="157" t="s">
        <v>927</v>
      </c>
      <c r="D1285" s="159">
        <v>13.3</v>
      </c>
      <c r="E1285" s="159">
        <v>407.35</v>
      </c>
      <c r="F1285" s="159">
        <v>5417.76</v>
      </c>
      <c r="G1285" s="160" t="s">
        <v>4941</v>
      </c>
      <c r="H1285" s="34" t="s">
        <v>925</v>
      </c>
    </row>
    <row r="1286" spans="1:8" ht="42.75">
      <c r="A1286" s="160">
        <v>3</v>
      </c>
      <c r="B1286" s="160" t="s">
        <v>4942</v>
      </c>
      <c r="C1286" s="157" t="s">
        <v>927</v>
      </c>
      <c r="D1286" s="159">
        <v>13.3</v>
      </c>
      <c r="E1286" s="159">
        <v>407.35</v>
      </c>
      <c r="F1286" s="159">
        <v>5417.76</v>
      </c>
      <c r="G1286" s="160" t="s">
        <v>4943</v>
      </c>
      <c r="H1286" s="34" t="s">
        <v>925</v>
      </c>
    </row>
    <row r="1287" spans="1:8" ht="33">
      <c r="A1287" s="160">
        <v>4</v>
      </c>
      <c r="B1287" s="160" t="s">
        <v>1414</v>
      </c>
      <c r="C1287" s="157" t="s">
        <v>18</v>
      </c>
      <c r="D1287" s="159">
        <v>4</v>
      </c>
      <c r="E1287" s="159">
        <v>38.15</v>
      </c>
      <c r="F1287" s="159">
        <v>152.6</v>
      </c>
      <c r="G1287" s="160" t="s">
        <v>1415</v>
      </c>
      <c r="H1287" s="34" t="s">
        <v>925</v>
      </c>
    </row>
    <row r="1288" spans="1:8" ht="33">
      <c r="A1288" s="160">
        <v>5</v>
      </c>
      <c r="B1288" s="160" t="s">
        <v>931</v>
      </c>
      <c r="C1288" s="157" t="s">
        <v>14</v>
      </c>
      <c r="D1288" s="159">
        <v>1</v>
      </c>
      <c r="E1288" s="159">
        <v>1057.51</v>
      </c>
      <c r="F1288" s="159">
        <v>1057.51</v>
      </c>
      <c r="G1288" s="160" t="s">
        <v>932</v>
      </c>
      <c r="H1288" s="34" t="s">
        <v>925</v>
      </c>
    </row>
    <row r="1289" spans="1:8" ht="16.5">
      <c r="A1289" s="160"/>
      <c r="B1289" s="160" t="s">
        <v>933</v>
      </c>
      <c r="C1289" s="157" t="s">
        <v>18</v>
      </c>
      <c r="D1289" s="159">
        <v>1000</v>
      </c>
      <c r="E1289" s="159"/>
      <c r="F1289" s="159">
        <v>36307.840000000004</v>
      </c>
      <c r="G1289" s="160"/>
    </row>
    <row r="1290" spans="1:8" ht="33">
      <c r="A1290" s="160"/>
      <c r="B1290" s="160" t="s">
        <v>934</v>
      </c>
      <c r="C1290" s="157" t="s">
        <v>18</v>
      </c>
      <c r="D1290" s="159"/>
      <c r="E1290" s="159"/>
      <c r="F1290" s="159">
        <v>36.31</v>
      </c>
      <c r="G1290" s="160"/>
      <c r="H1290" s="34" t="s">
        <v>925</v>
      </c>
    </row>
    <row r="1291" spans="1:8" ht="33">
      <c r="A1291" s="160"/>
      <c r="B1291" s="160"/>
      <c r="C1291" s="157"/>
      <c r="D1291" s="159"/>
      <c r="E1291" s="159"/>
      <c r="F1291" s="159"/>
      <c r="G1291" s="160"/>
      <c r="H1291" s="34" t="s">
        <v>925</v>
      </c>
    </row>
    <row r="1292" spans="1:8" ht="57">
      <c r="A1292" s="160" t="s">
        <v>1629</v>
      </c>
      <c r="B1292" s="160" t="s">
        <v>5521</v>
      </c>
      <c r="C1292" s="157" t="s">
        <v>18</v>
      </c>
      <c r="D1292" s="159">
        <v>1000</v>
      </c>
      <c r="E1292" s="159">
        <v>36.51</v>
      </c>
      <c r="F1292" s="159"/>
      <c r="G1292" s="160" t="s">
        <v>1435</v>
      </c>
      <c r="H1292" s="34" t="s">
        <v>925</v>
      </c>
    </row>
    <row r="1293" spans="1:8" ht="33">
      <c r="A1293" s="160">
        <v>1</v>
      </c>
      <c r="B1293" s="160" t="s">
        <v>1427</v>
      </c>
      <c r="C1293" s="157" t="s">
        <v>1412</v>
      </c>
      <c r="D1293" s="159">
        <v>1.1000000000000001</v>
      </c>
      <c r="E1293" s="159">
        <v>22235.38</v>
      </c>
      <c r="F1293" s="159">
        <v>24458.92</v>
      </c>
      <c r="G1293" s="160" t="s">
        <v>4023</v>
      </c>
      <c r="H1293" s="34" t="s">
        <v>925</v>
      </c>
    </row>
    <row r="1294" spans="1:8" ht="42.75">
      <c r="A1294" s="160">
        <v>2</v>
      </c>
      <c r="B1294" s="160" t="s">
        <v>4940</v>
      </c>
      <c r="C1294" s="157" t="s">
        <v>927</v>
      </c>
      <c r="D1294" s="159">
        <v>13.3</v>
      </c>
      <c r="E1294" s="159">
        <v>407.35</v>
      </c>
      <c r="F1294" s="159">
        <v>5417.76</v>
      </c>
      <c r="G1294" s="160" t="s">
        <v>4941</v>
      </c>
      <c r="H1294" s="34" t="s">
        <v>925</v>
      </c>
    </row>
    <row r="1295" spans="1:8" ht="42.75">
      <c r="A1295" s="160">
        <v>3</v>
      </c>
      <c r="B1295" s="160" t="s">
        <v>4942</v>
      </c>
      <c r="C1295" s="157" t="s">
        <v>927</v>
      </c>
      <c r="D1295" s="159">
        <v>13.3</v>
      </c>
      <c r="E1295" s="159">
        <v>407.35</v>
      </c>
      <c r="F1295" s="159">
        <v>5417.76</v>
      </c>
      <c r="G1295" s="160" t="s">
        <v>4943</v>
      </c>
      <c r="H1295" s="34" t="s">
        <v>925</v>
      </c>
    </row>
    <row r="1296" spans="1:8" ht="33">
      <c r="A1296" s="160">
        <v>4</v>
      </c>
      <c r="B1296" s="160" t="s">
        <v>1414</v>
      </c>
      <c r="C1296" s="157" t="s">
        <v>18</v>
      </c>
      <c r="D1296" s="159">
        <v>4</v>
      </c>
      <c r="E1296" s="159">
        <v>38.15</v>
      </c>
      <c r="F1296" s="159">
        <v>152.6</v>
      </c>
      <c r="G1296" s="160" t="s">
        <v>1415</v>
      </c>
      <c r="H1296" s="34" t="s">
        <v>925</v>
      </c>
    </row>
    <row r="1297" spans="1:8" ht="28.5">
      <c r="A1297" s="160">
        <v>5</v>
      </c>
      <c r="B1297" s="160" t="s">
        <v>931</v>
      </c>
      <c r="C1297" s="157" t="s">
        <v>14</v>
      </c>
      <c r="D1297" s="159">
        <v>1</v>
      </c>
      <c r="E1297" s="159">
        <v>1063.4100000000001</v>
      </c>
      <c r="F1297" s="159">
        <v>1063.4100000000001</v>
      </c>
      <c r="G1297" s="160" t="s">
        <v>932</v>
      </c>
    </row>
    <row r="1298" spans="1:8" ht="33">
      <c r="A1298" s="160"/>
      <c r="B1298" s="160" t="s">
        <v>933</v>
      </c>
      <c r="C1298" s="157" t="s">
        <v>18</v>
      </c>
      <c r="D1298" s="159">
        <v>1000</v>
      </c>
      <c r="E1298" s="159"/>
      <c r="F1298" s="159">
        <v>36510.450000000004</v>
      </c>
      <c r="G1298" s="160"/>
      <c r="H1298" s="34" t="s">
        <v>925</v>
      </c>
    </row>
    <row r="1299" spans="1:8" ht="33">
      <c r="A1299" s="160"/>
      <c r="B1299" s="160" t="s">
        <v>934</v>
      </c>
      <c r="C1299" s="157" t="s">
        <v>18</v>
      </c>
      <c r="D1299" s="159"/>
      <c r="E1299" s="159"/>
      <c r="F1299" s="159">
        <v>36.51</v>
      </c>
      <c r="G1299" s="160"/>
      <c r="H1299" s="34" t="s">
        <v>925</v>
      </c>
    </row>
    <row r="1300" spans="1:8" ht="33">
      <c r="A1300" s="160"/>
      <c r="B1300" s="160"/>
      <c r="C1300" s="157"/>
      <c r="D1300" s="159"/>
      <c r="E1300" s="159"/>
      <c r="F1300" s="159"/>
      <c r="G1300" s="160"/>
      <c r="H1300" s="34" t="s">
        <v>925</v>
      </c>
    </row>
    <row r="1301" spans="1:8" ht="42.75">
      <c r="A1301" s="160" t="s">
        <v>1634</v>
      </c>
      <c r="B1301" s="160" t="s">
        <v>4575</v>
      </c>
      <c r="C1301" s="157" t="s">
        <v>18</v>
      </c>
      <c r="D1301" s="159">
        <v>1000</v>
      </c>
      <c r="E1301" s="159">
        <v>43.28</v>
      </c>
      <c r="F1301" s="159"/>
      <c r="G1301" s="160" t="s">
        <v>4945</v>
      </c>
      <c r="H1301" s="34" t="s">
        <v>925</v>
      </c>
    </row>
    <row r="1302" spans="1:8" ht="42.75">
      <c r="A1302" s="160">
        <v>1</v>
      </c>
      <c r="B1302" s="160" t="s">
        <v>1411</v>
      </c>
      <c r="C1302" s="157" t="s">
        <v>1412</v>
      </c>
      <c r="D1302" s="159">
        <v>1.05</v>
      </c>
      <c r="E1302" s="159">
        <v>21311.39</v>
      </c>
      <c r="F1302" s="159">
        <v>22376.959999999999</v>
      </c>
      <c r="G1302" s="160" t="s">
        <v>1413</v>
      </c>
      <c r="H1302" s="34" t="s">
        <v>925</v>
      </c>
    </row>
    <row r="1303" spans="1:8" ht="42.75">
      <c r="A1303" s="160">
        <v>2</v>
      </c>
      <c r="B1303" s="160" t="s">
        <v>4946</v>
      </c>
      <c r="C1303" s="157" t="s">
        <v>927</v>
      </c>
      <c r="D1303" s="159">
        <v>11.96</v>
      </c>
      <c r="E1303" s="159">
        <v>814.7</v>
      </c>
      <c r="F1303" s="159">
        <v>9743.81</v>
      </c>
      <c r="G1303" s="160" t="s">
        <v>4947</v>
      </c>
      <c r="H1303" s="34" t="s">
        <v>925</v>
      </c>
    </row>
    <row r="1304" spans="1:8" ht="42.75">
      <c r="A1304" s="160">
        <v>3</v>
      </c>
      <c r="B1304" s="160" t="s">
        <v>4948</v>
      </c>
      <c r="C1304" s="157" t="s">
        <v>927</v>
      </c>
      <c r="D1304" s="159">
        <v>11.96</v>
      </c>
      <c r="E1304" s="159">
        <v>814.7</v>
      </c>
      <c r="F1304" s="159">
        <v>9743.81</v>
      </c>
      <c r="G1304" s="160" t="s">
        <v>4949</v>
      </c>
      <c r="H1304" s="34" t="s">
        <v>925</v>
      </c>
    </row>
    <row r="1305" spans="1:8" ht="33">
      <c r="A1305" s="160">
        <v>4</v>
      </c>
      <c r="B1305" s="160" t="s">
        <v>1414</v>
      </c>
      <c r="C1305" s="157" t="s">
        <v>18</v>
      </c>
      <c r="D1305" s="159">
        <v>4</v>
      </c>
      <c r="E1305" s="159">
        <v>38.15</v>
      </c>
      <c r="F1305" s="159">
        <v>152.6</v>
      </c>
      <c r="G1305" s="160" t="s">
        <v>1415</v>
      </c>
      <c r="H1305" s="34" t="s">
        <v>925</v>
      </c>
    </row>
    <row r="1306" spans="1:8" ht="33">
      <c r="A1306" s="160">
        <v>5</v>
      </c>
      <c r="B1306" s="160" t="s">
        <v>931</v>
      </c>
      <c r="C1306" s="157" t="s">
        <v>14</v>
      </c>
      <c r="D1306" s="159">
        <v>1</v>
      </c>
      <c r="E1306" s="159">
        <v>1260.52</v>
      </c>
      <c r="F1306" s="159">
        <v>1260.52</v>
      </c>
      <c r="G1306" s="160" t="s">
        <v>932</v>
      </c>
      <c r="H1306" s="34" t="s">
        <v>925</v>
      </c>
    </row>
    <row r="1307" spans="1:8" ht="16.5">
      <c r="A1307" s="160"/>
      <c r="B1307" s="160" t="s">
        <v>933</v>
      </c>
      <c r="C1307" s="157" t="s">
        <v>18</v>
      </c>
      <c r="D1307" s="159">
        <v>1000</v>
      </c>
      <c r="E1307" s="159"/>
      <c r="F1307" s="159">
        <v>43277.69999999999</v>
      </c>
      <c r="G1307" s="160"/>
    </row>
    <row r="1308" spans="1:8" ht="33">
      <c r="A1308" s="160"/>
      <c r="B1308" s="160" t="s">
        <v>934</v>
      </c>
      <c r="C1308" s="157" t="s">
        <v>18</v>
      </c>
      <c r="D1308" s="159"/>
      <c r="E1308" s="159"/>
      <c r="F1308" s="159">
        <v>43.28</v>
      </c>
      <c r="G1308" s="160"/>
      <c r="H1308" s="34" t="s">
        <v>925</v>
      </c>
    </row>
    <row r="1309" spans="1:8" ht="33">
      <c r="A1309" s="160"/>
      <c r="B1309" s="160"/>
      <c r="C1309" s="157"/>
      <c r="D1309" s="159"/>
      <c r="E1309" s="159"/>
      <c r="F1309" s="159"/>
      <c r="G1309" s="160"/>
      <c r="H1309" s="34" t="s">
        <v>925</v>
      </c>
    </row>
    <row r="1310" spans="1:8" ht="33">
      <c r="A1310" s="160" t="s">
        <v>1640</v>
      </c>
      <c r="B1310" s="160" t="s">
        <v>4577</v>
      </c>
      <c r="C1310" s="157" t="s">
        <v>18</v>
      </c>
      <c r="D1310" s="159">
        <v>1000</v>
      </c>
      <c r="E1310" s="159">
        <v>44.65</v>
      </c>
      <c r="F1310" s="159"/>
      <c r="G1310" s="160" t="s">
        <v>4950</v>
      </c>
      <c r="H1310" s="34" t="s">
        <v>925</v>
      </c>
    </row>
    <row r="1311" spans="1:8" ht="33">
      <c r="A1311" s="160">
        <v>1</v>
      </c>
      <c r="B1311" s="160" t="s">
        <v>1427</v>
      </c>
      <c r="C1311" s="157" t="s">
        <v>1412</v>
      </c>
      <c r="D1311" s="159">
        <v>1.1000000000000001</v>
      </c>
      <c r="E1311" s="159">
        <v>22235.38</v>
      </c>
      <c r="F1311" s="159">
        <v>24458.92</v>
      </c>
      <c r="G1311" s="160" t="s">
        <v>1428</v>
      </c>
      <c r="H1311" s="34" t="s">
        <v>925</v>
      </c>
    </row>
    <row r="1312" spans="1:8" ht="42.75">
      <c r="A1312" s="160">
        <v>2</v>
      </c>
      <c r="B1312" s="160" t="s">
        <v>4948</v>
      </c>
      <c r="C1312" s="157" t="s">
        <v>927</v>
      </c>
      <c r="D1312" s="159">
        <v>11.5</v>
      </c>
      <c r="E1312" s="159">
        <v>814.7</v>
      </c>
      <c r="F1312" s="159">
        <v>9369.0499999999993</v>
      </c>
      <c r="G1312" s="160" t="s">
        <v>4949</v>
      </c>
      <c r="H1312" s="34" t="s">
        <v>925</v>
      </c>
    </row>
    <row r="1313" spans="1:8" ht="42.75">
      <c r="A1313" s="160">
        <v>3</v>
      </c>
      <c r="B1313" s="160" t="s">
        <v>4946</v>
      </c>
      <c r="C1313" s="157" t="s">
        <v>927</v>
      </c>
      <c r="D1313" s="159">
        <v>11.5</v>
      </c>
      <c r="E1313" s="159">
        <v>814.7</v>
      </c>
      <c r="F1313" s="159">
        <v>9369.0499999999993</v>
      </c>
      <c r="G1313" s="160" t="s">
        <v>4947</v>
      </c>
      <c r="H1313" s="34" t="s">
        <v>925</v>
      </c>
    </row>
    <row r="1314" spans="1:8" ht="33">
      <c r="A1314" s="160">
        <v>4</v>
      </c>
      <c r="B1314" s="160" t="s">
        <v>1414</v>
      </c>
      <c r="C1314" s="157" t="s">
        <v>18</v>
      </c>
      <c r="D1314" s="159">
        <v>4</v>
      </c>
      <c r="E1314" s="159">
        <v>38.15</v>
      </c>
      <c r="F1314" s="159">
        <v>152.6</v>
      </c>
      <c r="G1314" s="160" t="s">
        <v>1415</v>
      </c>
      <c r="H1314" s="34" t="s">
        <v>925</v>
      </c>
    </row>
    <row r="1315" spans="1:8" ht="28.5">
      <c r="A1315" s="160">
        <v>5</v>
      </c>
      <c r="B1315" s="160" t="s">
        <v>931</v>
      </c>
      <c r="C1315" s="157" t="s">
        <v>14</v>
      </c>
      <c r="D1315" s="159">
        <v>1</v>
      </c>
      <c r="E1315" s="159">
        <v>1300.49</v>
      </c>
      <c r="F1315" s="159">
        <v>1300.49</v>
      </c>
      <c r="G1315" s="160" t="s">
        <v>932</v>
      </c>
    </row>
    <row r="1316" spans="1:8" ht="33">
      <c r="A1316" s="160"/>
      <c r="B1316" s="160" t="s">
        <v>933</v>
      </c>
      <c r="C1316" s="157" t="s">
        <v>18</v>
      </c>
      <c r="D1316" s="159">
        <v>1000</v>
      </c>
      <c r="E1316" s="159"/>
      <c r="F1316" s="159">
        <v>44650.11</v>
      </c>
      <c r="G1316" s="160"/>
      <c r="H1316" s="34" t="s">
        <v>925</v>
      </c>
    </row>
    <row r="1317" spans="1:8" ht="33">
      <c r="A1317" s="160"/>
      <c r="B1317" s="160" t="s">
        <v>934</v>
      </c>
      <c r="C1317" s="157" t="s">
        <v>18</v>
      </c>
      <c r="D1317" s="159"/>
      <c r="E1317" s="159"/>
      <c r="F1317" s="159">
        <v>44.65</v>
      </c>
      <c r="G1317" s="160"/>
      <c r="H1317" s="34" t="s">
        <v>925</v>
      </c>
    </row>
    <row r="1318" spans="1:8" ht="33">
      <c r="A1318" s="160"/>
      <c r="B1318" s="160"/>
      <c r="C1318" s="157"/>
      <c r="D1318" s="159"/>
      <c r="E1318" s="159"/>
      <c r="F1318" s="159"/>
      <c r="G1318" s="160"/>
      <c r="H1318" s="34" t="s">
        <v>925</v>
      </c>
    </row>
    <row r="1319" spans="1:8" ht="33">
      <c r="A1319" s="160" t="s">
        <v>1646</v>
      </c>
      <c r="B1319" s="160" t="s">
        <v>1437</v>
      </c>
      <c r="C1319" s="157" t="s">
        <v>18</v>
      </c>
      <c r="D1319" s="159">
        <v>1000</v>
      </c>
      <c r="E1319" s="159">
        <v>35.340000000000003</v>
      </c>
      <c r="F1319" s="159"/>
      <c r="G1319" s="160" t="s">
        <v>1438</v>
      </c>
      <c r="H1319" s="34" t="s">
        <v>925</v>
      </c>
    </row>
    <row r="1320" spans="1:8" ht="33">
      <c r="A1320" s="160">
        <v>1</v>
      </c>
      <c r="B1320" s="160" t="s">
        <v>1439</v>
      </c>
      <c r="C1320" s="157" t="s">
        <v>14</v>
      </c>
      <c r="D1320" s="159">
        <v>1</v>
      </c>
      <c r="E1320" s="159">
        <v>8941.84</v>
      </c>
      <c r="F1320" s="159">
        <v>8941.84</v>
      </c>
      <c r="G1320" s="160" t="s">
        <v>1440</v>
      </c>
      <c r="H1320" s="34" t="s">
        <v>925</v>
      </c>
    </row>
    <row r="1321" spans="1:8" ht="33">
      <c r="A1321" s="160">
        <v>2</v>
      </c>
      <c r="B1321" s="160" t="s">
        <v>1441</v>
      </c>
      <c r="C1321" s="157" t="s">
        <v>927</v>
      </c>
      <c r="D1321" s="159">
        <v>2</v>
      </c>
      <c r="E1321" s="159">
        <v>1356.18</v>
      </c>
      <c r="F1321" s="159">
        <v>2712.36</v>
      </c>
      <c r="G1321" s="160" t="s">
        <v>1442</v>
      </c>
      <c r="H1321" s="34" t="s">
        <v>925</v>
      </c>
    </row>
    <row r="1322" spans="1:8" ht="33">
      <c r="A1322" s="160">
        <v>3</v>
      </c>
      <c r="B1322" s="160" t="s">
        <v>1443</v>
      </c>
      <c r="C1322" s="157" t="s">
        <v>927</v>
      </c>
      <c r="D1322" s="159">
        <v>2</v>
      </c>
      <c r="E1322" s="159">
        <v>398.41</v>
      </c>
      <c r="F1322" s="159">
        <v>796.82</v>
      </c>
      <c r="G1322" s="160" t="s">
        <v>1444</v>
      </c>
      <c r="H1322" s="34" t="s">
        <v>925</v>
      </c>
    </row>
    <row r="1323" spans="1:8" ht="28.5">
      <c r="A1323" s="160">
        <v>4</v>
      </c>
      <c r="B1323" s="160" t="s">
        <v>1445</v>
      </c>
      <c r="C1323" s="157" t="s">
        <v>18</v>
      </c>
      <c r="D1323" s="159">
        <v>1000</v>
      </c>
      <c r="E1323" s="159">
        <v>21.86</v>
      </c>
      <c r="F1323" s="159">
        <v>21860</v>
      </c>
      <c r="G1323" s="160" t="s">
        <v>1446</v>
      </c>
    </row>
    <row r="1324" spans="1:8" ht="33">
      <c r="A1324" s="160">
        <v>5</v>
      </c>
      <c r="B1324" s="160" t="s">
        <v>931</v>
      </c>
      <c r="C1324" s="157" t="s">
        <v>14</v>
      </c>
      <c r="D1324" s="159">
        <v>1</v>
      </c>
      <c r="E1324" s="159">
        <v>1029.33</v>
      </c>
      <c r="F1324" s="159">
        <v>1029.33</v>
      </c>
      <c r="G1324" s="160" t="s">
        <v>932</v>
      </c>
      <c r="H1324" s="34" t="s">
        <v>925</v>
      </c>
    </row>
    <row r="1325" spans="1:8" ht="33">
      <c r="A1325" s="160"/>
      <c r="B1325" s="160" t="s">
        <v>933</v>
      </c>
      <c r="C1325" s="157" t="s">
        <v>18</v>
      </c>
      <c r="D1325" s="159">
        <v>1000</v>
      </c>
      <c r="E1325" s="159"/>
      <c r="F1325" s="159">
        <v>35340.350000000006</v>
      </c>
      <c r="G1325" s="160"/>
      <c r="H1325" s="34" t="s">
        <v>925</v>
      </c>
    </row>
    <row r="1326" spans="1:8" ht="33">
      <c r="A1326" s="160"/>
      <c r="B1326" s="160" t="s">
        <v>934</v>
      </c>
      <c r="C1326" s="157" t="s">
        <v>18</v>
      </c>
      <c r="D1326" s="159"/>
      <c r="E1326" s="159"/>
      <c r="F1326" s="159">
        <v>35.340000000000003</v>
      </c>
      <c r="G1326" s="160"/>
      <c r="H1326" s="34" t="s">
        <v>925</v>
      </c>
    </row>
    <row r="1327" spans="1:8" ht="33">
      <c r="A1327" s="160"/>
      <c r="B1327" s="160"/>
      <c r="C1327" s="157"/>
      <c r="D1327" s="159"/>
      <c r="E1327" s="159"/>
      <c r="F1327" s="159"/>
      <c r="G1327" s="160"/>
      <c r="H1327" s="34" t="s">
        <v>925</v>
      </c>
    </row>
    <row r="1328" spans="1:8" ht="33">
      <c r="A1328" s="160" t="s">
        <v>1650</v>
      </c>
      <c r="B1328" s="160" t="s">
        <v>1448</v>
      </c>
      <c r="C1328" s="157" t="s">
        <v>18</v>
      </c>
      <c r="D1328" s="159">
        <v>1</v>
      </c>
      <c r="E1328" s="159">
        <v>276.3</v>
      </c>
      <c r="F1328" s="159"/>
      <c r="G1328" s="160" t="s">
        <v>1449</v>
      </c>
      <c r="H1328" s="34" t="s">
        <v>925</v>
      </c>
    </row>
    <row r="1329" spans="1:8" ht="33">
      <c r="A1329" s="160">
        <v>1</v>
      </c>
      <c r="B1329" s="160" t="s">
        <v>1450</v>
      </c>
      <c r="C1329" s="157" t="s">
        <v>18</v>
      </c>
      <c r="D1329" s="159">
        <v>1</v>
      </c>
      <c r="E1329" s="159">
        <v>119.22</v>
      </c>
      <c r="F1329" s="159">
        <v>119.22</v>
      </c>
      <c r="G1329" s="160" t="s">
        <v>1451</v>
      </c>
      <c r="H1329" s="34" t="s">
        <v>925</v>
      </c>
    </row>
    <row r="1330" spans="1:8" ht="33">
      <c r="A1330" s="160">
        <v>2</v>
      </c>
      <c r="B1330" s="160" t="s">
        <v>1452</v>
      </c>
      <c r="C1330" s="157" t="s">
        <v>14</v>
      </c>
      <c r="D1330" s="159">
        <v>1</v>
      </c>
      <c r="E1330" s="159">
        <v>149.03</v>
      </c>
      <c r="F1330" s="159">
        <v>149.03</v>
      </c>
      <c r="G1330" s="160" t="s">
        <v>1453</v>
      </c>
      <c r="H1330" s="34" t="s">
        <v>925</v>
      </c>
    </row>
    <row r="1331" spans="1:8" ht="28.5">
      <c r="A1331" s="160">
        <v>3</v>
      </c>
      <c r="B1331" s="160" t="s">
        <v>931</v>
      </c>
      <c r="C1331" s="157" t="s">
        <v>14</v>
      </c>
      <c r="D1331" s="159">
        <v>1</v>
      </c>
      <c r="E1331" s="159">
        <v>8.0500000000000007</v>
      </c>
      <c r="F1331" s="159">
        <v>8.0500000000000007</v>
      </c>
      <c r="G1331" s="160" t="s">
        <v>932</v>
      </c>
    </row>
    <row r="1332" spans="1:8" ht="33">
      <c r="A1332" s="160"/>
      <c r="B1332" s="160" t="s">
        <v>933</v>
      </c>
      <c r="C1332" s="157" t="s">
        <v>18</v>
      </c>
      <c r="D1332" s="159">
        <v>1</v>
      </c>
      <c r="E1332" s="159"/>
      <c r="F1332" s="159">
        <v>276.3</v>
      </c>
      <c r="G1332" s="160"/>
      <c r="H1332" s="34" t="s">
        <v>925</v>
      </c>
    </row>
    <row r="1333" spans="1:8" ht="33">
      <c r="A1333" s="160"/>
      <c r="B1333" s="160" t="s">
        <v>934</v>
      </c>
      <c r="C1333" s="157" t="s">
        <v>18</v>
      </c>
      <c r="D1333" s="159"/>
      <c r="E1333" s="159"/>
      <c r="F1333" s="159">
        <v>276.3</v>
      </c>
      <c r="G1333" s="160"/>
      <c r="H1333" s="34" t="s">
        <v>925</v>
      </c>
    </row>
    <row r="1334" spans="1:8" ht="33">
      <c r="A1334" s="160"/>
      <c r="B1334" s="160"/>
      <c r="C1334" s="157"/>
      <c r="D1334" s="159"/>
      <c r="E1334" s="159"/>
      <c r="F1334" s="159"/>
      <c r="G1334" s="160"/>
      <c r="H1334" s="34" t="s">
        <v>925</v>
      </c>
    </row>
    <row r="1335" spans="1:8" ht="33">
      <c r="A1335" s="160" t="s">
        <v>1657</v>
      </c>
      <c r="B1335" s="160" t="s">
        <v>1455</v>
      </c>
      <c r="C1335" s="157" t="s">
        <v>18</v>
      </c>
      <c r="D1335" s="159">
        <v>1</v>
      </c>
      <c r="E1335" s="159">
        <v>317.24</v>
      </c>
      <c r="F1335" s="159"/>
      <c r="G1335" s="160" t="s">
        <v>1456</v>
      </c>
      <c r="H1335" s="34" t="s">
        <v>925</v>
      </c>
    </row>
    <row r="1336" spans="1:8" ht="33">
      <c r="A1336" s="160">
        <v>1</v>
      </c>
      <c r="B1336" s="160" t="s">
        <v>1457</v>
      </c>
      <c r="C1336" s="157" t="s">
        <v>18</v>
      </c>
      <c r="D1336" s="159">
        <v>1</v>
      </c>
      <c r="E1336" s="159">
        <v>158.97</v>
      </c>
      <c r="F1336" s="159">
        <v>158.97</v>
      </c>
      <c r="G1336" s="160" t="s">
        <v>1458</v>
      </c>
      <c r="H1336" s="34" t="s">
        <v>925</v>
      </c>
    </row>
    <row r="1337" spans="1:8" ht="33">
      <c r="A1337" s="160">
        <v>2</v>
      </c>
      <c r="B1337" s="160" t="s">
        <v>1452</v>
      </c>
      <c r="C1337" s="157" t="s">
        <v>14</v>
      </c>
      <c r="D1337" s="159">
        <v>1</v>
      </c>
      <c r="E1337" s="159">
        <v>149.03</v>
      </c>
      <c r="F1337" s="159">
        <v>149.03</v>
      </c>
      <c r="G1337" s="160" t="s">
        <v>1453</v>
      </c>
      <c r="H1337" s="34" t="s">
        <v>925</v>
      </c>
    </row>
    <row r="1338" spans="1:8" ht="33">
      <c r="A1338" s="160">
        <v>3</v>
      </c>
      <c r="B1338" s="160" t="s">
        <v>931</v>
      </c>
      <c r="C1338" s="157" t="s">
        <v>14</v>
      </c>
      <c r="D1338" s="159">
        <v>1</v>
      </c>
      <c r="E1338" s="159">
        <v>9.24</v>
      </c>
      <c r="F1338" s="159">
        <v>9.24</v>
      </c>
      <c r="G1338" s="160" t="s">
        <v>932</v>
      </c>
      <c r="H1338" s="34" t="s">
        <v>925</v>
      </c>
    </row>
    <row r="1339" spans="1:8" ht="33">
      <c r="A1339" s="160"/>
      <c r="B1339" s="160" t="s">
        <v>933</v>
      </c>
      <c r="C1339" s="157" t="s">
        <v>18</v>
      </c>
      <c r="D1339" s="159">
        <v>1</v>
      </c>
      <c r="E1339" s="159"/>
      <c r="F1339" s="159">
        <v>317.24</v>
      </c>
      <c r="G1339" s="160"/>
      <c r="H1339" s="34" t="s">
        <v>925</v>
      </c>
    </row>
    <row r="1340" spans="1:8" ht="33">
      <c r="A1340" s="160"/>
      <c r="B1340" s="160" t="s">
        <v>934</v>
      </c>
      <c r="C1340" s="157" t="s">
        <v>18</v>
      </c>
      <c r="D1340" s="159"/>
      <c r="E1340" s="159"/>
      <c r="F1340" s="159">
        <v>317.24</v>
      </c>
      <c r="G1340" s="160"/>
      <c r="H1340" s="34" t="s">
        <v>925</v>
      </c>
    </row>
    <row r="1341" spans="1:8" ht="33">
      <c r="A1341" s="160"/>
      <c r="B1341" s="160"/>
      <c r="C1341" s="157"/>
      <c r="D1341" s="159"/>
      <c r="E1341" s="159"/>
      <c r="F1341" s="159"/>
      <c r="G1341" s="160"/>
      <c r="H1341" s="34" t="s">
        <v>925</v>
      </c>
    </row>
    <row r="1342" spans="1:8" ht="28.5">
      <c r="A1342" s="160" t="s">
        <v>1661</v>
      </c>
      <c r="B1342" s="160" t="s">
        <v>1460</v>
      </c>
      <c r="C1342" s="157" t="s">
        <v>3</v>
      </c>
      <c r="D1342" s="159">
        <v>1</v>
      </c>
      <c r="E1342" s="159">
        <v>863.21</v>
      </c>
      <c r="F1342" s="159"/>
      <c r="G1342" s="160" t="s">
        <v>1461</v>
      </c>
    </row>
    <row r="1343" spans="1:8" ht="33">
      <c r="A1343" s="160">
        <v>1</v>
      </c>
      <c r="B1343" s="160" t="s">
        <v>1462</v>
      </c>
      <c r="C1343" s="157" t="s">
        <v>14</v>
      </c>
      <c r="D1343" s="159">
        <v>1</v>
      </c>
      <c r="E1343" s="159">
        <v>29.81</v>
      </c>
      <c r="F1343" s="159">
        <v>29.81</v>
      </c>
      <c r="G1343" s="160" t="s">
        <v>1463</v>
      </c>
      <c r="H1343" s="34" t="s">
        <v>925</v>
      </c>
    </row>
    <row r="1344" spans="1:8" ht="33">
      <c r="A1344" s="160">
        <v>2</v>
      </c>
      <c r="B1344" s="160" t="s">
        <v>1464</v>
      </c>
      <c r="C1344" s="157" t="s">
        <v>18</v>
      </c>
      <c r="D1344" s="159">
        <v>23.55</v>
      </c>
      <c r="E1344" s="159">
        <v>31.79</v>
      </c>
      <c r="F1344" s="159">
        <v>748.65</v>
      </c>
      <c r="G1344" s="160" t="s">
        <v>1465</v>
      </c>
      <c r="H1344" s="34" t="s">
        <v>925</v>
      </c>
    </row>
    <row r="1345" spans="1:8" ht="33">
      <c r="A1345" s="160">
        <v>3</v>
      </c>
      <c r="B1345" s="160" t="s">
        <v>1466</v>
      </c>
      <c r="C1345" s="157" t="s">
        <v>14</v>
      </c>
      <c r="D1345" s="159">
        <v>1</v>
      </c>
      <c r="E1345" s="159">
        <v>59.61</v>
      </c>
      <c r="F1345" s="159">
        <v>59.61</v>
      </c>
      <c r="G1345" s="160" t="s">
        <v>1467</v>
      </c>
      <c r="H1345" s="34" t="s">
        <v>925</v>
      </c>
    </row>
    <row r="1346" spans="1:8" ht="33">
      <c r="A1346" s="160">
        <v>4</v>
      </c>
      <c r="B1346" s="160" t="s">
        <v>931</v>
      </c>
      <c r="C1346" s="157" t="s">
        <v>14</v>
      </c>
      <c r="D1346" s="159">
        <v>1</v>
      </c>
      <c r="E1346" s="159">
        <v>25.14</v>
      </c>
      <c r="F1346" s="159">
        <v>25.14</v>
      </c>
      <c r="G1346" s="160" t="s">
        <v>932</v>
      </c>
      <c r="H1346" s="34" t="s">
        <v>925</v>
      </c>
    </row>
    <row r="1347" spans="1:8" ht="33">
      <c r="A1347" s="160"/>
      <c r="B1347" s="160" t="s">
        <v>933</v>
      </c>
      <c r="C1347" s="157" t="s">
        <v>3</v>
      </c>
      <c r="D1347" s="159">
        <v>1</v>
      </c>
      <c r="E1347" s="159"/>
      <c r="F1347" s="159">
        <v>863.20999999999992</v>
      </c>
      <c r="G1347" s="160"/>
      <c r="H1347" s="34" t="s">
        <v>925</v>
      </c>
    </row>
    <row r="1348" spans="1:8" ht="33">
      <c r="A1348" s="160"/>
      <c r="B1348" s="160" t="s">
        <v>934</v>
      </c>
      <c r="C1348" s="157" t="s">
        <v>3</v>
      </c>
      <c r="D1348" s="159"/>
      <c r="E1348" s="159"/>
      <c r="F1348" s="159">
        <v>863.21</v>
      </c>
      <c r="G1348" s="160"/>
      <c r="H1348" s="34" t="s">
        <v>925</v>
      </c>
    </row>
    <row r="1349" spans="1:8" ht="33">
      <c r="A1349" s="160"/>
      <c r="B1349" s="160"/>
      <c r="C1349" s="157"/>
      <c r="D1349" s="159"/>
      <c r="E1349" s="159"/>
      <c r="F1349" s="159"/>
      <c r="G1349" s="160"/>
      <c r="H1349" s="34" t="s">
        <v>925</v>
      </c>
    </row>
    <row r="1350" spans="1:8" ht="33">
      <c r="A1350" s="160" t="s">
        <v>1663</v>
      </c>
      <c r="B1350" s="160" t="s">
        <v>1469</v>
      </c>
      <c r="C1350" s="157" t="s">
        <v>3</v>
      </c>
      <c r="D1350" s="159">
        <v>1</v>
      </c>
      <c r="E1350" s="159">
        <v>1505.97</v>
      </c>
      <c r="F1350" s="159"/>
      <c r="G1350" s="160" t="s">
        <v>1470</v>
      </c>
      <c r="H1350" s="34" t="s">
        <v>925</v>
      </c>
    </row>
    <row r="1351" spans="1:8" ht="33">
      <c r="A1351" s="160">
        <v>1</v>
      </c>
      <c r="B1351" s="160" t="s">
        <v>1462</v>
      </c>
      <c r="C1351" s="157" t="s">
        <v>14</v>
      </c>
      <c r="D1351" s="159">
        <v>1</v>
      </c>
      <c r="E1351" s="159">
        <v>29.81</v>
      </c>
      <c r="F1351" s="159">
        <v>29.81</v>
      </c>
      <c r="G1351" s="160" t="s">
        <v>1463</v>
      </c>
      <c r="H1351" s="34" t="s">
        <v>925</v>
      </c>
    </row>
    <row r="1352" spans="1:8" ht="33">
      <c r="A1352" s="160">
        <v>2</v>
      </c>
      <c r="B1352" s="160" t="s">
        <v>1464</v>
      </c>
      <c r="C1352" s="157" t="s">
        <v>18</v>
      </c>
      <c r="D1352" s="159">
        <v>43.18</v>
      </c>
      <c r="E1352" s="159">
        <v>31.79</v>
      </c>
      <c r="F1352" s="159">
        <v>1372.69</v>
      </c>
      <c r="G1352" s="160" t="s">
        <v>1465</v>
      </c>
      <c r="H1352" s="34" t="s">
        <v>925</v>
      </c>
    </row>
    <row r="1353" spans="1:8" ht="28.5">
      <c r="A1353" s="160">
        <v>3</v>
      </c>
      <c r="B1353" s="160" t="s">
        <v>1466</v>
      </c>
      <c r="C1353" s="157" t="s">
        <v>14</v>
      </c>
      <c r="D1353" s="159">
        <v>1</v>
      </c>
      <c r="E1353" s="159">
        <v>59.61</v>
      </c>
      <c r="F1353" s="159">
        <v>59.61</v>
      </c>
      <c r="G1353" s="160" t="s">
        <v>1467</v>
      </c>
    </row>
    <row r="1354" spans="1:8" ht="33">
      <c r="A1354" s="160">
        <v>4</v>
      </c>
      <c r="B1354" s="160" t="s">
        <v>931</v>
      </c>
      <c r="C1354" s="157" t="s">
        <v>14</v>
      </c>
      <c r="D1354" s="159">
        <v>1</v>
      </c>
      <c r="E1354" s="159">
        <v>43.86</v>
      </c>
      <c r="F1354" s="159">
        <v>43.86</v>
      </c>
      <c r="G1354" s="160" t="s">
        <v>932</v>
      </c>
      <c r="H1354" s="34" t="s">
        <v>925</v>
      </c>
    </row>
    <row r="1355" spans="1:8" ht="33">
      <c r="A1355" s="160"/>
      <c r="B1355" s="160" t="s">
        <v>933</v>
      </c>
      <c r="C1355" s="157" t="s">
        <v>3</v>
      </c>
      <c r="D1355" s="159">
        <v>1</v>
      </c>
      <c r="E1355" s="159"/>
      <c r="F1355" s="159">
        <v>1505.9699999999998</v>
      </c>
      <c r="G1355" s="160"/>
      <c r="H1355" s="34" t="s">
        <v>925</v>
      </c>
    </row>
    <row r="1356" spans="1:8" ht="33">
      <c r="A1356" s="160"/>
      <c r="B1356" s="160" t="s">
        <v>934</v>
      </c>
      <c r="C1356" s="157" t="s">
        <v>3</v>
      </c>
      <c r="D1356" s="159"/>
      <c r="E1356" s="159"/>
      <c r="F1356" s="159">
        <v>1505.97</v>
      </c>
      <c r="G1356" s="160"/>
      <c r="H1356" s="34" t="s">
        <v>925</v>
      </c>
    </row>
    <row r="1357" spans="1:8" ht="33">
      <c r="A1357" s="160"/>
      <c r="B1357" s="160"/>
      <c r="C1357" s="157"/>
      <c r="D1357" s="159"/>
      <c r="E1357" s="159"/>
      <c r="F1357" s="159"/>
      <c r="G1357" s="160"/>
      <c r="H1357" s="34" t="s">
        <v>925</v>
      </c>
    </row>
    <row r="1358" spans="1:8" ht="57">
      <c r="A1358" s="160" t="s">
        <v>1665</v>
      </c>
      <c r="B1358" s="160" t="s">
        <v>1475</v>
      </c>
      <c r="C1358" s="157" t="s">
        <v>17</v>
      </c>
      <c r="D1358" s="159">
        <v>1</v>
      </c>
      <c r="E1358" s="159">
        <v>1564.33</v>
      </c>
      <c r="F1358" s="159"/>
      <c r="G1358" s="160" t="s">
        <v>1476</v>
      </c>
      <c r="H1358" s="34" t="s">
        <v>925</v>
      </c>
    </row>
    <row r="1359" spans="1:8" ht="33">
      <c r="A1359" s="160">
        <v>1</v>
      </c>
      <c r="B1359" s="160" t="s">
        <v>1477</v>
      </c>
      <c r="C1359" s="157" t="s">
        <v>0</v>
      </c>
      <c r="D1359" s="159">
        <v>0.1</v>
      </c>
      <c r="E1359" s="159">
        <v>3245.89</v>
      </c>
      <c r="F1359" s="159">
        <v>324.58999999999997</v>
      </c>
      <c r="G1359" s="160" t="s">
        <v>1478</v>
      </c>
      <c r="H1359" s="34" t="s">
        <v>925</v>
      </c>
    </row>
    <row r="1360" spans="1:8" ht="33">
      <c r="A1360" s="160">
        <v>2</v>
      </c>
      <c r="B1360" s="160" t="s">
        <v>1479</v>
      </c>
      <c r="C1360" s="157" t="s">
        <v>17</v>
      </c>
      <c r="D1360" s="159">
        <v>1</v>
      </c>
      <c r="E1360" s="159">
        <v>353.7</v>
      </c>
      <c r="F1360" s="159">
        <v>353.7</v>
      </c>
      <c r="G1360" s="160" t="s">
        <v>1480</v>
      </c>
      <c r="H1360" s="34" t="s">
        <v>925</v>
      </c>
    </row>
    <row r="1361" spans="1:8" ht="33">
      <c r="A1361" s="160">
        <v>3</v>
      </c>
      <c r="B1361" s="160" t="s">
        <v>1104</v>
      </c>
      <c r="C1361" s="157" t="s">
        <v>0</v>
      </c>
      <c r="D1361" s="159">
        <v>0.1</v>
      </c>
      <c r="E1361" s="159">
        <v>1479.26</v>
      </c>
      <c r="F1361" s="159">
        <v>147.93</v>
      </c>
      <c r="G1361" s="160" t="s">
        <v>4951</v>
      </c>
      <c r="H1361" s="34" t="s">
        <v>925</v>
      </c>
    </row>
    <row r="1362" spans="1:8" ht="57">
      <c r="A1362" s="160">
        <v>4</v>
      </c>
      <c r="B1362" s="160" t="s">
        <v>513</v>
      </c>
      <c r="C1362" s="157" t="s">
        <v>18</v>
      </c>
      <c r="D1362" s="159">
        <v>19</v>
      </c>
      <c r="E1362" s="159">
        <v>31.93</v>
      </c>
      <c r="F1362" s="159">
        <v>606.66999999999996</v>
      </c>
      <c r="G1362" s="160" t="s">
        <v>4952</v>
      </c>
      <c r="H1362" s="34" t="s">
        <v>925</v>
      </c>
    </row>
    <row r="1363" spans="1:8" ht="33">
      <c r="A1363" s="160">
        <v>5</v>
      </c>
      <c r="B1363" s="160" t="s">
        <v>1481</v>
      </c>
      <c r="C1363" s="157" t="s">
        <v>18</v>
      </c>
      <c r="D1363" s="159">
        <v>19</v>
      </c>
      <c r="E1363" s="159">
        <v>4.5199999999999996</v>
      </c>
      <c r="F1363" s="159">
        <v>85.88</v>
      </c>
      <c r="G1363" s="160" t="s">
        <v>1482</v>
      </c>
      <c r="H1363" s="34" t="s">
        <v>925</v>
      </c>
    </row>
    <row r="1364" spans="1:8" ht="28.5">
      <c r="A1364" s="160">
        <v>6</v>
      </c>
      <c r="B1364" s="160" t="s">
        <v>931</v>
      </c>
      <c r="C1364" s="157" t="s">
        <v>14</v>
      </c>
      <c r="D1364" s="159">
        <v>1</v>
      </c>
      <c r="E1364" s="159">
        <v>45.56</v>
      </c>
      <c r="F1364" s="159">
        <v>45.56</v>
      </c>
      <c r="G1364" s="160" t="s">
        <v>932</v>
      </c>
    </row>
    <row r="1365" spans="1:8" ht="33">
      <c r="A1365" s="160"/>
      <c r="B1365" s="160" t="s">
        <v>933</v>
      </c>
      <c r="C1365" s="157" t="s">
        <v>17</v>
      </c>
      <c r="D1365" s="159">
        <v>1</v>
      </c>
      <c r="E1365" s="159"/>
      <c r="F1365" s="159">
        <v>1564.33</v>
      </c>
      <c r="G1365" s="160"/>
      <c r="H1365" s="34" t="s">
        <v>925</v>
      </c>
    </row>
    <row r="1366" spans="1:8" ht="33">
      <c r="A1366" s="160"/>
      <c r="B1366" s="160" t="s">
        <v>934</v>
      </c>
      <c r="C1366" s="157" t="s">
        <v>17</v>
      </c>
      <c r="D1366" s="159"/>
      <c r="E1366" s="159"/>
      <c r="F1366" s="159">
        <v>1564.33</v>
      </c>
      <c r="G1366" s="160"/>
      <c r="H1366" s="34" t="s">
        <v>925</v>
      </c>
    </row>
    <row r="1367" spans="1:8" ht="33">
      <c r="A1367" s="160"/>
      <c r="B1367" s="160"/>
      <c r="C1367" s="157"/>
      <c r="D1367" s="159"/>
      <c r="E1367" s="159"/>
      <c r="F1367" s="159"/>
      <c r="G1367" s="160"/>
      <c r="H1367" s="34" t="s">
        <v>925</v>
      </c>
    </row>
    <row r="1368" spans="1:8" ht="57">
      <c r="A1368" s="160" t="s">
        <v>1674</v>
      </c>
      <c r="B1368" s="160" t="s">
        <v>1484</v>
      </c>
      <c r="C1368" s="157" t="s">
        <v>17</v>
      </c>
      <c r="D1368" s="159">
        <v>1</v>
      </c>
      <c r="E1368" s="159">
        <v>1918.27</v>
      </c>
      <c r="F1368" s="159"/>
      <c r="G1368" s="160" t="s">
        <v>1485</v>
      </c>
      <c r="H1368" s="34" t="s">
        <v>925</v>
      </c>
    </row>
    <row r="1369" spans="1:8" ht="33">
      <c r="A1369" s="160">
        <v>1</v>
      </c>
      <c r="B1369" s="160" t="s">
        <v>1477</v>
      </c>
      <c r="C1369" s="157" t="s">
        <v>0</v>
      </c>
      <c r="D1369" s="159">
        <v>0.14000000000000001</v>
      </c>
      <c r="E1369" s="159">
        <v>3245.89</v>
      </c>
      <c r="F1369" s="159">
        <v>454.42</v>
      </c>
      <c r="G1369" s="160" t="s">
        <v>1478</v>
      </c>
      <c r="H1369" s="34" t="s">
        <v>925</v>
      </c>
    </row>
    <row r="1370" spans="1:8" ht="33">
      <c r="A1370" s="160">
        <v>2</v>
      </c>
      <c r="B1370" s="160" t="s">
        <v>1486</v>
      </c>
      <c r="C1370" s="157" t="s">
        <v>17</v>
      </c>
      <c r="D1370" s="159">
        <v>1</v>
      </c>
      <c r="E1370" s="159">
        <v>397.42</v>
      </c>
      <c r="F1370" s="159">
        <v>397.42</v>
      </c>
      <c r="G1370" s="160" t="s">
        <v>1487</v>
      </c>
      <c r="H1370" s="34" t="s">
        <v>925</v>
      </c>
    </row>
    <row r="1371" spans="1:8" ht="33">
      <c r="A1371" s="160">
        <v>3</v>
      </c>
      <c r="B1371" s="160" t="s">
        <v>1104</v>
      </c>
      <c r="C1371" s="157" t="s">
        <v>0</v>
      </c>
      <c r="D1371" s="159">
        <v>0.14000000000000001</v>
      </c>
      <c r="E1371" s="159">
        <v>1479.26</v>
      </c>
      <c r="F1371" s="159">
        <v>207.1</v>
      </c>
      <c r="G1371" s="160" t="s">
        <v>4951</v>
      </c>
      <c r="H1371" s="34" t="s">
        <v>925</v>
      </c>
    </row>
    <row r="1372" spans="1:8" ht="28.5">
      <c r="A1372" s="160">
        <v>4</v>
      </c>
      <c r="B1372" s="160" t="s">
        <v>1425</v>
      </c>
      <c r="C1372" s="157" t="s">
        <v>18</v>
      </c>
      <c r="D1372" s="159">
        <v>21</v>
      </c>
      <c r="E1372" s="159">
        <v>33.74</v>
      </c>
      <c r="F1372" s="159">
        <v>708.54</v>
      </c>
      <c r="G1372" s="160" t="s">
        <v>4953</v>
      </c>
    </row>
    <row r="1373" spans="1:8" ht="33">
      <c r="A1373" s="160">
        <v>5</v>
      </c>
      <c r="B1373" s="160" t="s">
        <v>1481</v>
      </c>
      <c r="C1373" s="157" t="s">
        <v>18</v>
      </c>
      <c r="D1373" s="159">
        <v>21</v>
      </c>
      <c r="E1373" s="159">
        <v>4.5199999999999996</v>
      </c>
      <c r="F1373" s="159">
        <v>94.92</v>
      </c>
      <c r="G1373" s="160" t="s">
        <v>1482</v>
      </c>
      <c r="H1373" s="34" t="s">
        <v>925</v>
      </c>
    </row>
    <row r="1374" spans="1:8" ht="33">
      <c r="A1374" s="160">
        <v>6</v>
      </c>
      <c r="B1374" s="160" t="s">
        <v>931</v>
      </c>
      <c r="C1374" s="157" t="s">
        <v>14</v>
      </c>
      <c r="D1374" s="159">
        <v>1</v>
      </c>
      <c r="E1374" s="159">
        <v>55.87</v>
      </c>
      <c r="F1374" s="159">
        <v>55.87</v>
      </c>
      <c r="G1374" s="160" t="s">
        <v>932</v>
      </c>
      <c r="H1374" s="34" t="s">
        <v>925</v>
      </c>
    </row>
    <row r="1375" spans="1:8" ht="33">
      <c r="A1375" s="160"/>
      <c r="B1375" s="160" t="s">
        <v>933</v>
      </c>
      <c r="C1375" s="157" t="s">
        <v>17</v>
      </c>
      <c r="D1375" s="159">
        <v>1</v>
      </c>
      <c r="E1375" s="159"/>
      <c r="F1375" s="159">
        <v>1918.27</v>
      </c>
      <c r="G1375" s="160"/>
      <c r="H1375" s="34" t="s">
        <v>925</v>
      </c>
    </row>
    <row r="1376" spans="1:8" ht="33">
      <c r="A1376" s="160"/>
      <c r="B1376" s="160" t="s">
        <v>934</v>
      </c>
      <c r="C1376" s="157" t="s">
        <v>17</v>
      </c>
      <c r="D1376" s="159"/>
      <c r="E1376" s="159"/>
      <c r="F1376" s="159">
        <v>1918.27</v>
      </c>
      <c r="G1376" s="160"/>
      <c r="H1376" s="34" t="s">
        <v>925</v>
      </c>
    </row>
    <row r="1377" spans="1:8" ht="33">
      <c r="A1377" s="160"/>
      <c r="B1377" s="160"/>
      <c r="C1377" s="157"/>
      <c r="D1377" s="159"/>
      <c r="E1377" s="159"/>
      <c r="F1377" s="159"/>
      <c r="G1377" s="160"/>
      <c r="H1377" s="34" t="s">
        <v>925</v>
      </c>
    </row>
    <row r="1378" spans="1:8" ht="57">
      <c r="A1378" s="160" t="s">
        <v>1679</v>
      </c>
      <c r="B1378" s="160" t="s">
        <v>1489</v>
      </c>
      <c r="C1378" s="157" t="s">
        <v>17</v>
      </c>
      <c r="D1378" s="159">
        <v>1</v>
      </c>
      <c r="E1378" s="159">
        <v>2237.81</v>
      </c>
      <c r="F1378" s="159"/>
      <c r="G1378" s="160" t="s">
        <v>1490</v>
      </c>
      <c r="H1378" s="34" t="s">
        <v>925</v>
      </c>
    </row>
    <row r="1379" spans="1:8" ht="33">
      <c r="A1379" s="160">
        <v>1</v>
      </c>
      <c r="B1379" s="160" t="s">
        <v>1477</v>
      </c>
      <c r="C1379" s="157" t="s">
        <v>0</v>
      </c>
      <c r="D1379" s="159">
        <v>0.18</v>
      </c>
      <c r="E1379" s="159">
        <v>3245.89</v>
      </c>
      <c r="F1379" s="159">
        <v>584.26</v>
      </c>
      <c r="G1379" s="160" t="s">
        <v>1478</v>
      </c>
      <c r="H1379" s="34" t="s">
        <v>925</v>
      </c>
    </row>
    <row r="1380" spans="1:8" ht="33">
      <c r="A1380" s="160">
        <v>2</v>
      </c>
      <c r="B1380" s="160" t="s">
        <v>1491</v>
      </c>
      <c r="C1380" s="157" t="s">
        <v>17</v>
      </c>
      <c r="D1380" s="159">
        <v>1</v>
      </c>
      <c r="E1380" s="159">
        <v>442.12</v>
      </c>
      <c r="F1380" s="159">
        <v>442.12</v>
      </c>
      <c r="G1380" s="160" t="s">
        <v>1492</v>
      </c>
      <c r="H1380" s="34" t="s">
        <v>925</v>
      </c>
    </row>
    <row r="1381" spans="1:8" ht="33">
      <c r="A1381" s="160">
        <v>3</v>
      </c>
      <c r="B1381" s="160" t="s">
        <v>1104</v>
      </c>
      <c r="C1381" s="157" t="s">
        <v>0</v>
      </c>
      <c r="D1381" s="159">
        <v>0.18</v>
      </c>
      <c r="E1381" s="159">
        <v>1479.26</v>
      </c>
      <c r="F1381" s="159">
        <v>266.27</v>
      </c>
      <c r="G1381" s="160" t="s">
        <v>4951</v>
      </c>
      <c r="H1381" s="34" t="s">
        <v>925</v>
      </c>
    </row>
    <row r="1382" spans="1:8" ht="28.5">
      <c r="A1382" s="160">
        <v>4</v>
      </c>
      <c r="B1382" s="160" t="s">
        <v>1425</v>
      </c>
      <c r="C1382" s="157" t="s">
        <v>18</v>
      </c>
      <c r="D1382" s="159">
        <v>23</v>
      </c>
      <c r="E1382" s="159">
        <v>33.74</v>
      </c>
      <c r="F1382" s="159">
        <v>776.02</v>
      </c>
      <c r="G1382" s="160" t="s">
        <v>4953</v>
      </c>
    </row>
    <row r="1383" spans="1:8" ht="33">
      <c r="A1383" s="160">
        <v>5</v>
      </c>
      <c r="B1383" s="160" t="s">
        <v>1481</v>
      </c>
      <c r="C1383" s="157" t="s">
        <v>18</v>
      </c>
      <c r="D1383" s="159">
        <v>23</v>
      </c>
      <c r="E1383" s="159">
        <v>4.5199999999999996</v>
      </c>
      <c r="F1383" s="159">
        <v>103.96</v>
      </c>
      <c r="G1383" s="160" t="s">
        <v>1482</v>
      </c>
      <c r="H1383" s="34" t="s">
        <v>925</v>
      </c>
    </row>
    <row r="1384" spans="1:8" ht="33">
      <c r="A1384" s="160">
        <v>6</v>
      </c>
      <c r="B1384" s="160" t="s">
        <v>931</v>
      </c>
      <c r="C1384" s="157" t="s">
        <v>14</v>
      </c>
      <c r="D1384" s="159">
        <v>1</v>
      </c>
      <c r="E1384" s="159">
        <v>65.180000000000007</v>
      </c>
      <c r="F1384" s="159">
        <v>65.180000000000007</v>
      </c>
      <c r="G1384" s="160" t="s">
        <v>932</v>
      </c>
      <c r="H1384" s="34" t="s">
        <v>925</v>
      </c>
    </row>
    <row r="1385" spans="1:8" ht="33">
      <c r="A1385" s="160"/>
      <c r="B1385" s="160" t="s">
        <v>933</v>
      </c>
      <c r="C1385" s="157" t="s">
        <v>17</v>
      </c>
      <c r="D1385" s="159">
        <v>1</v>
      </c>
      <c r="E1385" s="159"/>
      <c r="F1385" s="159">
        <v>2237.81</v>
      </c>
      <c r="G1385" s="160"/>
      <c r="H1385" s="34" t="s">
        <v>925</v>
      </c>
    </row>
    <row r="1386" spans="1:8" ht="33">
      <c r="A1386" s="160"/>
      <c r="B1386" s="160" t="s">
        <v>934</v>
      </c>
      <c r="C1386" s="157" t="s">
        <v>17</v>
      </c>
      <c r="D1386" s="159"/>
      <c r="E1386" s="159"/>
      <c r="F1386" s="159">
        <v>2237.81</v>
      </c>
      <c r="G1386" s="160"/>
      <c r="H1386" s="34" t="s">
        <v>925</v>
      </c>
    </row>
    <row r="1387" spans="1:8" ht="33">
      <c r="A1387" s="160"/>
      <c r="B1387" s="160"/>
      <c r="C1387" s="157"/>
      <c r="D1387" s="159"/>
      <c r="E1387" s="159"/>
      <c r="F1387" s="159"/>
      <c r="G1387" s="160"/>
      <c r="H1387" s="34" t="s">
        <v>925</v>
      </c>
    </row>
    <row r="1388" spans="1:8" ht="57">
      <c r="A1388" s="160" t="s">
        <v>1684</v>
      </c>
      <c r="B1388" s="160" t="s">
        <v>1494</v>
      </c>
      <c r="C1388" s="157" t="s">
        <v>17</v>
      </c>
      <c r="D1388" s="159">
        <v>100</v>
      </c>
      <c r="E1388" s="159">
        <v>1516.94</v>
      </c>
      <c r="F1388" s="159"/>
      <c r="G1388" s="160" t="s">
        <v>1495</v>
      </c>
      <c r="H1388" s="34" t="s">
        <v>925</v>
      </c>
    </row>
    <row r="1389" spans="1:8" ht="42.75">
      <c r="A1389" s="160">
        <v>1</v>
      </c>
      <c r="B1389" s="160" t="s">
        <v>1496</v>
      </c>
      <c r="C1389" s="157" t="s">
        <v>1497</v>
      </c>
      <c r="D1389" s="159">
        <v>400</v>
      </c>
      <c r="E1389" s="159">
        <v>39.74</v>
      </c>
      <c r="F1389" s="159">
        <v>15896</v>
      </c>
      <c r="G1389" s="160" t="s">
        <v>1498</v>
      </c>
      <c r="H1389" s="34" t="s">
        <v>925</v>
      </c>
    </row>
    <row r="1390" spans="1:8" ht="28.5">
      <c r="A1390" s="160">
        <v>2</v>
      </c>
      <c r="B1390" s="160" t="s">
        <v>1499</v>
      </c>
      <c r="C1390" s="157" t="s">
        <v>0</v>
      </c>
      <c r="D1390" s="159">
        <v>4.5</v>
      </c>
      <c r="E1390" s="159">
        <v>16704.36</v>
      </c>
      <c r="F1390" s="159">
        <v>75169.62</v>
      </c>
      <c r="G1390" s="160" t="s">
        <v>1500</v>
      </c>
    </row>
    <row r="1391" spans="1:8" ht="33">
      <c r="A1391" s="160">
        <v>3</v>
      </c>
      <c r="B1391" s="160" t="s">
        <v>1501</v>
      </c>
      <c r="C1391" s="157" t="s">
        <v>0</v>
      </c>
      <c r="D1391" s="159">
        <v>0.34</v>
      </c>
      <c r="E1391" s="159">
        <v>16704.36</v>
      </c>
      <c r="F1391" s="159">
        <v>5679.48</v>
      </c>
      <c r="G1391" s="160" t="s">
        <v>1502</v>
      </c>
      <c r="H1391" s="34" t="s">
        <v>925</v>
      </c>
    </row>
    <row r="1392" spans="1:8" ht="33">
      <c r="A1392" s="160">
        <v>4</v>
      </c>
      <c r="B1392" s="160" t="s">
        <v>1503</v>
      </c>
      <c r="C1392" s="157" t="s">
        <v>927</v>
      </c>
      <c r="D1392" s="159">
        <v>10</v>
      </c>
      <c r="E1392" s="159">
        <v>407.35</v>
      </c>
      <c r="F1392" s="159">
        <v>4073.5</v>
      </c>
      <c r="G1392" s="160" t="s">
        <v>1504</v>
      </c>
      <c r="H1392" s="34" t="s">
        <v>925</v>
      </c>
    </row>
    <row r="1393" spans="1:8" ht="33">
      <c r="A1393" s="160">
        <v>5</v>
      </c>
      <c r="B1393" s="160" t="s">
        <v>4871</v>
      </c>
      <c r="C1393" s="157" t="s">
        <v>927</v>
      </c>
      <c r="D1393" s="159">
        <v>160</v>
      </c>
      <c r="E1393" s="159">
        <v>279.18</v>
      </c>
      <c r="F1393" s="159">
        <v>44668.800000000003</v>
      </c>
      <c r="G1393" s="160" t="s">
        <v>4872</v>
      </c>
      <c r="H1393" s="34" t="s">
        <v>925</v>
      </c>
    </row>
    <row r="1394" spans="1:8" ht="33">
      <c r="A1394" s="160">
        <v>6</v>
      </c>
      <c r="B1394" s="160" t="s">
        <v>1505</v>
      </c>
      <c r="C1394" s="157" t="s">
        <v>18</v>
      </c>
      <c r="D1394" s="159">
        <v>50</v>
      </c>
      <c r="E1394" s="159">
        <v>35.770000000000003</v>
      </c>
      <c r="F1394" s="159">
        <v>1788.5</v>
      </c>
      <c r="G1394" s="160" t="s">
        <v>1506</v>
      </c>
      <c r="H1394" s="34" t="s">
        <v>925</v>
      </c>
    </row>
    <row r="1395" spans="1:8" ht="33">
      <c r="A1395" s="160">
        <v>7</v>
      </c>
      <c r="B1395" s="160" t="s">
        <v>931</v>
      </c>
      <c r="C1395" s="157" t="s">
        <v>14</v>
      </c>
      <c r="D1395" s="159">
        <v>1</v>
      </c>
      <c r="E1395" s="159">
        <v>4418.28</v>
      </c>
      <c r="F1395" s="159">
        <v>4418.28</v>
      </c>
      <c r="G1395" s="160" t="s">
        <v>932</v>
      </c>
      <c r="H1395" s="34" t="s">
        <v>925</v>
      </c>
    </row>
    <row r="1396" spans="1:8" ht="33">
      <c r="A1396" s="160"/>
      <c r="B1396" s="160" t="s">
        <v>933</v>
      </c>
      <c r="C1396" s="157" t="s">
        <v>17</v>
      </c>
      <c r="D1396" s="159">
        <v>100</v>
      </c>
      <c r="E1396" s="159"/>
      <c r="F1396" s="159">
        <v>151694.18</v>
      </c>
      <c r="G1396" s="160"/>
      <c r="H1396" s="34" t="s">
        <v>925</v>
      </c>
    </row>
    <row r="1397" spans="1:8" ht="16.5">
      <c r="A1397" s="160"/>
      <c r="B1397" s="160" t="s">
        <v>934</v>
      </c>
      <c r="C1397" s="157" t="s">
        <v>17</v>
      </c>
      <c r="D1397" s="159"/>
      <c r="E1397" s="159"/>
      <c r="F1397" s="159">
        <v>1516.94</v>
      </c>
      <c r="G1397" s="160"/>
    </row>
    <row r="1398" spans="1:8" ht="33">
      <c r="A1398" s="160"/>
      <c r="B1398" s="160"/>
      <c r="C1398" s="157"/>
      <c r="D1398" s="159"/>
      <c r="E1398" s="159"/>
      <c r="F1398" s="159"/>
      <c r="G1398" s="160"/>
      <c r="H1398" s="34" t="s">
        <v>925</v>
      </c>
    </row>
    <row r="1399" spans="1:8" ht="57">
      <c r="A1399" s="160" t="s">
        <v>1687</v>
      </c>
      <c r="B1399" s="160" t="s">
        <v>1508</v>
      </c>
      <c r="C1399" s="157" t="s">
        <v>17</v>
      </c>
      <c r="D1399" s="159">
        <v>100</v>
      </c>
      <c r="E1399" s="159">
        <v>1215.92</v>
      </c>
      <c r="F1399" s="159"/>
      <c r="G1399" s="160" t="s">
        <v>1509</v>
      </c>
      <c r="H1399" s="34" t="s">
        <v>925</v>
      </c>
    </row>
    <row r="1400" spans="1:8" ht="42.75">
      <c r="A1400" s="160">
        <v>1</v>
      </c>
      <c r="B1400" s="160" t="s">
        <v>1510</v>
      </c>
      <c r="C1400" s="157" t="s">
        <v>1497</v>
      </c>
      <c r="D1400" s="159">
        <v>400</v>
      </c>
      <c r="E1400" s="159">
        <v>34.770000000000003</v>
      </c>
      <c r="F1400" s="159">
        <v>13908</v>
      </c>
      <c r="G1400" s="160" t="s">
        <v>1511</v>
      </c>
      <c r="H1400" s="34" t="s">
        <v>925</v>
      </c>
    </row>
    <row r="1401" spans="1:8" ht="33">
      <c r="A1401" s="160">
        <v>2</v>
      </c>
      <c r="B1401" s="160" t="s">
        <v>1499</v>
      </c>
      <c r="C1401" s="157" t="s">
        <v>0</v>
      </c>
      <c r="D1401" s="159">
        <v>3.2</v>
      </c>
      <c r="E1401" s="159">
        <v>16704.36</v>
      </c>
      <c r="F1401" s="159">
        <v>53453.95</v>
      </c>
      <c r="G1401" s="160" t="s">
        <v>1500</v>
      </c>
      <c r="H1401" s="34" t="s">
        <v>925</v>
      </c>
    </row>
    <row r="1402" spans="1:8" ht="33">
      <c r="A1402" s="160">
        <v>3</v>
      </c>
      <c r="B1402" s="160" t="s">
        <v>1501</v>
      </c>
      <c r="C1402" s="157" t="s">
        <v>0</v>
      </c>
      <c r="D1402" s="159">
        <v>0.17</v>
      </c>
      <c r="E1402" s="159">
        <v>16704.36</v>
      </c>
      <c r="F1402" s="159">
        <v>2839.74</v>
      </c>
      <c r="G1402" s="160" t="s">
        <v>1502</v>
      </c>
      <c r="H1402" s="34" t="s">
        <v>925</v>
      </c>
    </row>
    <row r="1403" spans="1:8" ht="33">
      <c r="A1403" s="160">
        <v>4</v>
      </c>
      <c r="B1403" s="160" t="s">
        <v>1503</v>
      </c>
      <c r="C1403" s="157" t="s">
        <v>927</v>
      </c>
      <c r="D1403" s="159">
        <v>60</v>
      </c>
      <c r="E1403" s="159">
        <v>407.35</v>
      </c>
      <c r="F1403" s="159">
        <v>24441</v>
      </c>
      <c r="G1403" s="160" t="s">
        <v>1504</v>
      </c>
      <c r="H1403" s="34" t="s">
        <v>925</v>
      </c>
    </row>
    <row r="1404" spans="1:8" ht="33">
      <c r="A1404" s="160">
        <v>5</v>
      </c>
      <c r="B1404" s="160" t="s">
        <v>4871</v>
      </c>
      <c r="C1404" s="157" t="s">
        <v>927</v>
      </c>
      <c r="D1404" s="159">
        <v>80</v>
      </c>
      <c r="E1404" s="159">
        <v>279.18</v>
      </c>
      <c r="F1404" s="159">
        <v>22334.400000000001</v>
      </c>
      <c r="G1404" s="160" t="s">
        <v>4872</v>
      </c>
      <c r="H1404" s="34" t="s">
        <v>925</v>
      </c>
    </row>
    <row r="1405" spans="1:8" ht="33">
      <c r="A1405" s="160">
        <v>6</v>
      </c>
      <c r="B1405" s="160" t="s">
        <v>1505</v>
      </c>
      <c r="C1405" s="157" t="s">
        <v>18</v>
      </c>
      <c r="D1405" s="159">
        <v>30</v>
      </c>
      <c r="E1405" s="159">
        <v>35.770000000000003</v>
      </c>
      <c r="F1405" s="159">
        <v>1073.0999999999999</v>
      </c>
      <c r="G1405" s="160" t="s">
        <v>1506</v>
      </c>
      <c r="H1405" s="34" t="s">
        <v>925</v>
      </c>
    </row>
    <row r="1406" spans="1:8" ht="33">
      <c r="A1406" s="160">
        <v>7</v>
      </c>
      <c r="B1406" s="160" t="s">
        <v>931</v>
      </c>
      <c r="C1406" s="157" t="s">
        <v>14</v>
      </c>
      <c r="D1406" s="159">
        <v>1</v>
      </c>
      <c r="E1406" s="159">
        <v>3541.51</v>
      </c>
      <c r="F1406" s="159">
        <v>3541.51</v>
      </c>
      <c r="G1406" s="160" t="s">
        <v>932</v>
      </c>
      <c r="H1406" s="34" t="s">
        <v>925</v>
      </c>
    </row>
    <row r="1407" spans="1:8" ht="33">
      <c r="A1407" s="160"/>
      <c r="B1407" s="160" t="s">
        <v>933</v>
      </c>
      <c r="C1407" s="157" t="s">
        <v>17</v>
      </c>
      <c r="D1407" s="159">
        <v>100</v>
      </c>
      <c r="E1407" s="159"/>
      <c r="F1407" s="159">
        <v>121591.7</v>
      </c>
      <c r="G1407" s="160"/>
      <c r="H1407" s="34" t="s">
        <v>925</v>
      </c>
    </row>
    <row r="1408" spans="1:8" ht="33">
      <c r="A1408" s="160"/>
      <c r="B1408" s="160" t="s">
        <v>934</v>
      </c>
      <c r="C1408" s="157" t="s">
        <v>17</v>
      </c>
      <c r="D1408" s="159"/>
      <c r="E1408" s="159"/>
      <c r="F1408" s="159">
        <v>1215.92</v>
      </c>
      <c r="G1408" s="160"/>
      <c r="H1408" s="34" t="s">
        <v>925</v>
      </c>
    </row>
    <row r="1409" spans="1:8" ht="33">
      <c r="A1409" s="160"/>
      <c r="B1409" s="160"/>
      <c r="C1409" s="157"/>
      <c r="D1409" s="159"/>
      <c r="E1409" s="159"/>
      <c r="F1409" s="159"/>
      <c r="G1409" s="160"/>
      <c r="H1409" s="34" t="s">
        <v>925</v>
      </c>
    </row>
    <row r="1410" spans="1:8" ht="57">
      <c r="A1410" s="160" t="s">
        <v>1699</v>
      </c>
      <c r="B1410" s="160" t="s">
        <v>1513</v>
      </c>
      <c r="C1410" s="157" t="s">
        <v>17</v>
      </c>
      <c r="D1410" s="159">
        <v>100</v>
      </c>
      <c r="E1410" s="159">
        <v>920.47</v>
      </c>
      <c r="F1410" s="159"/>
      <c r="G1410" s="160" t="s">
        <v>1514</v>
      </c>
    </row>
    <row r="1411" spans="1:8" ht="42.75">
      <c r="A1411" s="160">
        <v>1</v>
      </c>
      <c r="B1411" s="160" t="s">
        <v>1515</v>
      </c>
      <c r="C1411" s="157" t="s">
        <v>1497</v>
      </c>
      <c r="D1411" s="159">
        <v>400</v>
      </c>
      <c r="E1411" s="159">
        <v>29.81</v>
      </c>
      <c r="F1411" s="159">
        <v>11924</v>
      </c>
      <c r="G1411" s="160" t="s">
        <v>1516</v>
      </c>
      <c r="H1411" s="34" t="s">
        <v>925</v>
      </c>
    </row>
    <row r="1412" spans="1:8" ht="33">
      <c r="A1412" s="160">
        <v>2</v>
      </c>
      <c r="B1412" s="160" t="s">
        <v>1499</v>
      </c>
      <c r="C1412" s="157" t="s">
        <v>0</v>
      </c>
      <c r="D1412" s="159">
        <v>2.1</v>
      </c>
      <c r="E1412" s="159">
        <v>16704.36</v>
      </c>
      <c r="F1412" s="159">
        <v>35079.160000000003</v>
      </c>
      <c r="G1412" s="160" t="s">
        <v>1500</v>
      </c>
      <c r="H1412" s="34" t="s">
        <v>925</v>
      </c>
    </row>
    <row r="1413" spans="1:8" ht="33">
      <c r="A1413" s="160">
        <v>3</v>
      </c>
      <c r="B1413" s="160" t="s">
        <v>1501</v>
      </c>
      <c r="C1413" s="157" t="s">
        <v>0</v>
      </c>
      <c r="D1413" s="159">
        <v>0.17</v>
      </c>
      <c r="E1413" s="159">
        <v>16704.36</v>
      </c>
      <c r="F1413" s="159">
        <v>2839.74</v>
      </c>
      <c r="G1413" s="160" t="s">
        <v>1502</v>
      </c>
      <c r="H1413" s="34" t="s">
        <v>925</v>
      </c>
    </row>
    <row r="1414" spans="1:8" ht="33">
      <c r="A1414" s="160">
        <v>4</v>
      </c>
      <c r="B1414" s="160" t="s">
        <v>1503</v>
      </c>
      <c r="C1414" s="157" t="s">
        <v>927</v>
      </c>
      <c r="D1414" s="159">
        <v>40</v>
      </c>
      <c r="E1414" s="159">
        <v>407.35</v>
      </c>
      <c r="F1414" s="159">
        <v>16294</v>
      </c>
      <c r="G1414" s="160" t="s">
        <v>1504</v>
      </c>
      <c r="H1414" s="34" t="s">
        <v>925</v>
      </c>
    </row>
    <row r="1415" spans="1:8" ht="33">
      <c r="A1415" s="160">
        <v>5</v>
      </c>
      <c r="B1415" s="160" t="s">
        <v>4871</v>
      </c>
      <c r="C1415" s="157" t="s">
        <v>927</v>
      </c>
      <c r="D1415" s="159">
        <v>80</v>
      </c>
      <c r="E1415" s="159">
        <v>279.18</v>
      </c>
      <c r="F1415" s="159">
        <v>22334.400000000001</v>
      </c>
      <c r="G1415" s="160" t="s">
        <v>4872</v>
      </c>
      <c r="H1415" s="34" t="s">
        <v>925</v>
      </c>
    </row>
    <row r="1416" spans="1:8" ht="33">
      <c r="A1416" s="160">
        <v>6</v>
      </c>
      <c r="B1416" s="160" t="s">
        <v>1505</v>
      </c>
      <c r="C1416" s="157" t="s">
        <v>18</v>
      </c>
      <c r="D1416" s="159">
        <v>25</v>
      </c>
      <c r="E1416" s="159">
        <v>35.770000000000003</v>
      </c>
      <c r="F1416" s="159">
        <v>894.25</v>
      </c>
      <c r="G1416" s="160" t="s">
        <v>1506</v>
      </c>
      <c r="H1416" s="34" t="s">
        <v>925</v>
      </c>
    </row>
    <row r="1417" spans="1:8" ht="33">
      <c r="A1417" s="160">
        <v>7</v>
      </c>
      <c r="B1417" s="160" t="s">
        <v>931</v>
      </c>
      <c r="C1417" s="157" t="s">
        <v>14</v>
      </c>
      <c r="D1417" s="159">
        <v>1</v>
      </c>
      <c r="E1417" s="159">
        <v>2680.97</v>
      </c>
      <c r="F1417" s="159">
        <v>2680.97</v>
      </c>
      <c r="G1417" s="160" t="s">
        <v>932</v>
      </c>
      <c r="H1417" s="34" t="s">
        <v>925</v>
      </c>
    </row>
    <row r="1418" spans="1:8" ht="33">
      <c r="A1418" s="160"/>
      <c r="B1418" s="160" t="s">
        <v>933</v>
      </c>
      <c r="C1418" s="157" t="s">
        <v>17</v>
      </c>
      <c r="D1418" s="159">
        <v>100</v>
      </c>
      <c r="E1418" s="159"/>
      <c r="F1418" s="159">
        <v>92046.51999999999</v>
      </c>
      <c r="G1418" s="160"/>
      <c r="H1418" s="34" t="s">
        <v>925</v>
      </c>
    </row>
    <row r="1419" spans="1:8" ht="33">
      <c r="A1419" s="160"/>
      <c r="B1419" s="160" t="s">
        <v>934</v>
      </c>
      <c r="C1419" s="157" t="s">
        <v>17</v>
      </c>
      <c r="D1419" s="159"/>
      <c r="E1419" s="159"/>
      <c r="F1419" s="159">
        <v>920.47</v>
      </c>
      <c r="G1419" s="160"/>
      <c r="H1419" s="34" t="s">
        <v>925</v>
      </c>
    </row>
    <row r="1420" spans="1:8" ht="16.5">
      <c r="A1420" s="160"/>
      <c r="B1420" s="160"/>
      <c r="C1420" s="157"/>
      <c r="D1420" s="159"/>
      <c r="E1420" s="159"/>
      <c r="F1420" s="159"/>
      <c r="G1420" s="160"/>
    </row>
    <row r="1421" spans="1:8" ht="33">
      <c r="A1421" s="160" t="s">
        <v>1706</v>
      </c>
      <c r="B1421" s="160" t="s">
        <v>1518</v>
      </c>
      <c r="C1421" s="157" t="s">
        <v>17</v>
      </c>
      <c r="D1421" s="159">
        <v>12</v>
      </c>
      <c r="E1421" s="159">
        <v>3070.04</v>
      </c>
      <c r="F1421" s="159"/>
      <c r="G1421" s="160" t="s">
        <v>1519</v>
      </c>
      <c r="H1421" s="34" t="s">
        <v>925</v>
      </c>
    </row>
    <row r="1422" spans="1:8" ht="33">
      <c r="A1422" s="160">
        <v>1</v>
      </c>
      <c r="B1422" s="160" t="s">
        <v>1520</v>
      </c>
      <c r="C1422" s="157" t="s">
        <v>17</v>
      </c>
      <c r="D1422" s="159">
        <v>12</v>
      </c>
      <c r="E1422" s="159">
        <v>1987.08</v>
      </c>
      <c r="F1422" s="159">
        <v>23844.959999999999</v>
      </c>
      <c r="G1422" s="160" t="s">
        <v>1521</v>
      </c>
      <c r="H1422" s="34" t="s">
        <v>925</v>
      </c>
    </row>
    <row r="1423" spans="1:8" ht="33">
      <c r="A1423" s="160">
        <v>2</v>
      </c>
      <c r="B1423" s="160" t="s">
        <v>1522</v>
      </c>
      <c r="C1423" s="157" t="s">
        <v>17</v>
      </c>
      <c r="D1423" s="159">
        <v>12</v>
      </c>
      <c r="E1423" s="159">
        <v>993.54</v>
      </c>
      <c r="F1423" s="159">
        <v>11922.48</v>
      </c>
      <c r="G1423" s="160" t="s">
        <v>1523</v>
      </c>
      <c r="H1423" s="34" t="s">
        <v>925</v>
      </c>
    </row>
    <row r="1424" spans="1:8" ht="33">
      <c r="A1424" s="160">
        <v>3</v>
      </c>
      <c r="B1424" s="160" t="s">
        <v>931</v>
      </c>
      <c r="C1424" s="157" t="s">
        <v>14</v>
      </c>
      <c r="D1424" s="159">
        <v>1</v>
      </c>
      <c r="E1424" s="159">
        <v>1073.02</v>
      </c>
      <c r="F1424" s="159">
        <v>1073.02</v>
      </c>
      <c r="G1424" s="160" t="s">
        <v>932</v>
      </c>
      <c r="H1424" s="34" t="s">
        <v>925</v>
      </c>
    </row>
    <row r="1425" spans="1:8" ht="33">
      <c r="A1425" s="160"/>
      <c r="B1425" s="160" t="s">
        <v>933</v>
      </c>
      <c r="C1425" s="157" t="s">
        <v>17</v>
      </c>
      <c r="D1425" s="159">
        <v>12</v>
      </c>
      <c r="E1425" s="159"/>
      <c r="F1425" s="159">
        <v>36840.46</v>
      </c>
      <c r="G1425" s="160"/>
      <c r="H1425" s="34" t="s">
        <v>925</v>
      </c>
    </row>
    <row r="1426" spans="1:8" ht="33">
      <c r="A1426" s="160"/>
      <c r="B1426" s="160" t="s">
        <v>934</v>
      </c>
      <c r="C1426" s="157" t="s">
        <v>17</v>
      </c>
      <c r="D1426" s="159"/>
      <c r="E1426" s="159"/>
      <c r="F1426" s="159">
        <v>3070.04</v>
      </c>
      <c r="G1426" s="160"/>
      <c r="H1426" s="34" t="s">
        <v>925</v>
      </c>
    </row>
    <row r="1427" spans="1:8" ht="33">
      <c r="A1427" s="160"/>
      <c r="B1427" s="160"/>
      <c r="C1427" s="157"/>
      <c r="D1427" s="159"/>
      <c r="E1427" s="159"/>
      <c r="F1427" s="159"/>
      <c r="G1427" s="160"/>
      <c r="H1427" s="34" t="s">
        <v>925</v>
      </c>
    </row>
    <row r="1428" spans="1:8" ht="42.75">
      <c r="A1428" s="160" t="s">
        <v>1710</v>
      </c>
      <c r="B1428" s="160" t="s">
        <v>1525</v>
      </c>
      <c r="C1428" s="157" t="s">
        <v>3</v>
      </c>
      <c r="D1428" s="159">
        <v>1000</v>
      </c>
      <c r="E1428" s="159">
        <v>632.55999999999995</v>
      </c>
      <c r="F1428" s="159"/>
      <c r="G1428" s="160" t="s">
        <v>1526</v>
      </c>
      <c r="H1428" s="34" t="s">
        <v>925</v>
      </c>
    </row>
    <row r="1429" spans="1:8" ht="33">
      <c r="A1429" s="160">
        <v>1</v>
      </c>
      <c r="B1429" s="160" t="s">
        <v>1527</v>
      </c>
      <c r="C1429" s="157" t="s">
        <v>1528</v>
      </c>
      <c r="D1429" s="159">
        <v>875</v>
      </c>
      <c r="E1429" s="159">
        <v>134.13</v>
      </c>
      <c r="F1429" s="159">
        <v>117363.75</v>
      </c>
      <c r="G1429" s="160" t="s">
        <v>1529</v>
      </c>
      <c r="H1429" s="34" t="s">
        <v>925</v>
      </c>
    </row>
    <row r="1430" spans="1:8" ht="33">
      <c r="A1430" s="160">
        <v>2</v>
      </c>
      <c r="B1430" s="160" t="s">
        <v>1530</v>
      </c>
      <c r="C1430" s="157" t="s">
        <v>3</v>
      </c>
      <c r="D1430" s="159">
        <v>1000</v>
      </c>
      <c r="E1430" s="159">
        <v>496.77</v>
      </c>
      <c r="F1430" s="159">
        <v>496770</v>
      </c>
      <c r="G1430" s="160" t="s">
        <v>1531</v>
      </c>
      <c r="H1430" s="34" t="s">
        <v>925</v>
      </c>
    </row>
    <row r="1431" spans="1:8" ht="33">
      <c r="A1431" s="160">
        <v>3</v>
      </c>
      <c r="B1431" s="160" t="s">
        <v>931</v>
      </c>
      <c r="C1431" s="157" t="s">
        <v>14</v>
      </c>
      <c r="D1431" s="159">
        <v>1</v>
      </c>
      <c r="E1431" s="159">
        <v>18424.009999999998</v>
      </c>
      <c r="F1431" s="159">
        <v>18424.009999999998</v>
      </c>
      <c r="G1431" s="160" t="s">
        <v>932</v>
      </c>
      <c r="H1431" s="34" t="s">
        <v>925</v>
      </c>
    </row>
    <row r="1432" spans="1:8" ht="16.5">
      <c r="A1432" s="160"/>
      <c r="B1432" s="160" t="s">
        <v>933</v>
      </c>
      <c r="C1432" s="157" t="s">
        <v>3</v>
      </c>
      <c r="D1432" s="159">
        <v>1000</v>
      </c>
      <c r="E1432" s="159"/>
      <c r="F1432" s="159">
        <v>632557.76</v>
      </c>
      <c r="G1432" s="160"/>
    </row>
    <row r="1433" spans="1:8" ht="33">
      <c r="A1433" s="160"/>
      <c r="B1433" s="160" t="s">
        <v>934</v>
      </c>
      <c r="C1433" s="157" t="s">
        <v>3</v>
      </c>
      <c r="D1433" s="159"/>
      <c r="E1433" s="159"/>
      <c r="F1433" s="159">
        <v>632.55999999999995</v>
      </c>
      <c r="G1433" s="160"/>
      <c r="H1433" s="34" t="s">
        <v>925</v>
      </c>
    </row>
    <row r="1434" spans="1:8" ht="33">
      <c r="A1434" s="160"/>
      <c r="B1434" s="160"/>
      <c r="C1434" s="157"/>
      <c r="D1434" s="159"/>
      <c r="E1434" s="159"/>
      <c r="F1434" s="159"/>
      <c r="G1434" s="160"/>
      <c r="H1434" s="34" t="s">
        <v>925</v>
      </c>
    </row>
    <row r="1435" spans="1:8" ht="42.75">
      <c r="A1435" s="160" t="s">
        <v>1722</v>
      </c>
      <c r="B1435" s="160" t="s">
        <v>1533</v>
      </c>
      <c r="C1435" s="157" t="s">
        <v>17</v>
      </c>
      <c r="D1435" s="159">
        <v>10</v>
      </c>
      <c r="E1435" s="159">
        <v>2338.34</v>
      </c>
      <c r="F1435" s="159"/>
      <c r="G1435" s="160" t="s">
        <v>1534</v>
      </c>
      <c r="H1435" s="34" t="s">
        <v>925</v>
      </c>
    </row>
    <row r="1436" spans="1:8" ht="33">
      <c r="A1436" s="160">
        <v>1</v>
      </c>
      <c r="B1436" s="160" t="s">
        <v>1535</v>
      </c>
      <c r="C1436" s="157" t="s">
        <v>1536</v>
      </c>
      <c r="D1436" s="159">
        <v>25</v>
      </c>
      <c r="E1436" s="159">
        <v>268.26</v>
      </c>
      <c r="F1436" s="159">
        <v>6706.5</v>
      </c>
      <c r="G1436" s="160" t="s">
        <v>1537</v>
      </c>
      <c r="H1436" s="34" t="s">
        <v>925</v>
      </c>
    </row>
    <row r="1437" spans="1:8" ht="33">
      <c r="A1437" s="160">
        <v>2</v>
      </c>
      <c r="B1437" s="160" t="s">
        <v>1538</v>
      </c>
      <c r="C1437" s="157" t="s">
        <v>1220</v>
      </c>
      <c r="D1437" s="159">
        <v>25</v>
      </c>
      <c r="E1437" s="159">
        <v>615.99</v>
      </c>
      <c r="F1437" s="159">
        <v>15399.75</v>
      </c>
      <c r="G1437" s="160" t="s">
        <v>1539</v>
      </c>
      <c r="H1437" s="34" t="s">
        <v>925</v>
      </c>
    </row>
    <row r="1438" spans="1:8" ht="33">
      <c r="A1438" s="160">
        <v>3</v>
      </c>
      <c r="B1438" s="160" t="s">
        <v>1540</v>
      </c>
      <c r="C1438" s="157" t="s">
        <v>14</v>
      </c>
      <c r="D1438" s="159">
        <v>1</v>
      </c>
      <c r="E1438" s="159">
        <v>596.12</v>
      </c>
      <c r="F1438" s="159">
        <v>596.12</v>
      </c>
      <c r="G1438" s="160" t="s">
        <v>1541</v>
      </c>
      <c r="H1438" s="34" t="s">
        <v>925</v>
      </c>
    </row>
    <row r="1439" spans="1:8" ht="33">
      <c r="A1439" s="160">
        <v>4</v>
      </c>
      <c r="B1439" s="160" t="s">
        <v>931</v>
      </c>
      <c r="C1439" s="157" t="s">
        <v>14</v>
      </c>
      <c r="D1439" s="159">
        <v>1</v>
      </c>
      <c r="E1439" s="159">
        <v>681.07</v>
      </c>
      <c r="F1439" s="159">
        <v>681.07</v>
      </c>
      <c r="G1439" s="160" t="s">
        <v>932</v>
      </c>
      <c r="H1439" s="34" t="s">
        <v>925</v>
      </c>
    </row>
    <row r="1440" spans="1:8" ht="33">
      <c r="A1440" s="160"/>
      <c r="B1440" s="160" t="s">
        <v>933</v>
      </c>
      <c r="C1440" s="157" t="s">
        <v>17</v>
      </c>
      <c r="D1440" s="159">
        <v>10</v>
      </c>
      <c r="E1440" s="159"/>
      <c r="F1440" s="159">
        <v>23383.439999999999</v>
      </c>
      <c r="G1440" s="160"/>
      <c r="H1440" s="34" t="s">
        <v>925</v>
      </c>
    </row>
    <row r="1441" spans="1:8" ht="16.5">
      <c r="A1441" s="160"/>
      <c r="B1441" s="160" t="s">
        <v>934</v>
      </c>
      <c r="C1441" s="157" t="s">
        <v>17</v>
      </c>
      <c r="D1441" s="159"/>
      <c r="E1441" s="159"/>
      <c r="F1441" s="159">
        <v>2338.34</v>
      </c>
      <c r="G1441" s="160"/>
    </row>
    <row r="1442" spans="1:8" ht="33">
      <c r="A1442" s="160"/>
      <c r="B1442" s="160"/>
      <c r="C1442" s="157"/>
      <c r="D1442" s="159"/>
      <c r="E1442" s="159"/>
      <c r="F1442" s="159"/>
      <c r="G1442" s="160"/>
      <c r="H1442" s="34" t="s">
        <v>925</v>
      </c>
    </row>
    <row r="1443" spans="1:8" ht="42.75">
      <c r="A1443" s="160" t="s">
        <v>1728</v>
      </c>
      <c r="B1443" s="160" t="s">
        <v>1543</v>
      </c>
      <c r="C1443" s="157" t="s">
        <v>17</v>
      </c>
      <c r="D1443" s="159">
        <v>10</v>
      </c>
      <c r="E1443" s="159">
        <v>2599.3000000000002</v>
      </c>
      <c r="F1443" s="159"/>
      <c r="G1443" s="160" t="s">
        <v>1544</v>
      </c>
      <c r="H1443" s="34" t="s">
        <v>925</v>
      </c>
    </row>
    <row r="1444" spans="1:8" ht="33">
      <c r="A1444" s="160">
        <v>1</v>
      </c>
      <c r="B1444" s="160" t="s">
        <v>1545</v>
      </c>
      <c r="C1444" s="157" t="s">
        <v>1536</v>
      </c>
      <c r="D1444" s="159">
        <v>25</v>
      </c>
      <c r="E1444" s="159">
        <v>270.24</v>
      </c>
      <c r="F1444" s="159">
        <v>6756</v>
      </c>
      <c r="G1444" s="160" t="s">
        <v>1546</v>
      </c>
      <c r="H1444" s="34" t="s">
        <v>925</v>
      </c>
    </row>
    <row r="1445" spans="1:8" ht="33">
      <c r="A1445" s="160">
        <v>2</v>
      </c>
      <c r="B1445" s="160" t="s">
        <v>1547</v>
      </c>
      <c r="C1445" s="157" t="s">
        <v>1220</v>
      </c>
      <c r="D1445" s="159">
        <v>25</v>
      </c>
      <c r="E1445" s="159">
        <v>715.35</v>
      </c>
      <c r="F1445" s="159">
        <v>17883.75</v>
      </c>
      <c r="G1445" s="160" t="s">
        <v>1548</v>
      </c>
      <c r="H1445" s="34" t="s">
        <v>925</v>
      </c>
    </row>
    <row r="1446" spans="1:8" ht="33">
      <c r="A1446" s="160">
        <v>3</v>
      </c>
      <c r="B1446" s="160" t="s">
        <v>1540</v>
      </c>
      <c r="C1446" s="157" t="s">
        <v>14</v>
      </c>
      <c r="D1446" s="159">
        <v>1</v>
      </c>
      <c r="E1446" s="159">
        <v>596.12</v>
      </c>
      <c r="F1446" s="159">
        <v>596.12</v>
      </c>
      <c r="G1446" s="160" t="s">
        <v>1541</v>
      </c>
      <c r="H1446" s="34" t="s">
        <v>925</v>
      </c>
    </row>
    <row r="1447" spans="1:8" ht="33">
      <c r="A1447" s="160">
        <v>4</v>
      </c>
      <c r="B1447" s="160" t="s">
        <v>931</v>
      </c>
      <c r="C1447" s="157" t="s">
        <v>14</v>
      </c>
      <c r="D1447" s="159">
        <v>1</v>
      </c>
      <c r="E1447" s="159">
        <v>757.08</v>
      </c>
      <c r="F1447" s="159">
        <v>757.08</v>
      </c>
      <c r="G1447" s="160" t="s">
        <v>932</v>
      </c>
      <c r="H1447" s="34" t="s">
        <v>925</v>
      </c>
    </row>
    <row r="1448" spans="1:8" ht="33">
      <c r="A1448" s="160"/>
      <c r="B1448" s="160" t="s">
        <v>933</v>
      </c>
      <c r="C1448" s="157" t="s">
        <v>17</v>
      </c>
      <c r="D1448" s="159">
        <v>10</v>
      </c>
      <c r="E1448" s="159"/>
      <c r="F1448" s="159">
        <v>25992.95</v>
      </c>
      <c r="G1448" s="160"/>
      <c r="H1448" s="34" t="s">
        <v>925</v>
      </c>
    </row>
    <row r="1449" spans="1:8" ht="33">
      <c r="A1449" s="160"/>
      <c r="B1449" s="160" t="s">
        <v>934</v>
      </c>
      <c r="C1449" s="157" t="s">
        <v>17</v>
      </c>
      <c r="D1449" s="159"/>
      <c r="E1449" s="159"/>
      <c r="F1449" s="159">
        <v>2599.3000000000002</v>
      </c>
      <c r="G1449" s="160"/>
      <c r="H1449" s="34" t="s">
        <v>925</v>
      </c>
    </row>
    <row r="1450" spans="1:8" ht="33">
      <c r="A1450" s="160"/>
      <c r="B1450" s="160"/>
      <c r="C1450" s="157"/>
      <c r="D1450" s="159"/>
      <c r="E1450" s="159"/>
      <c r="F1450" s="159"/>
      <c r="G1450" s="160"/>
      <c r="H1450" s="34" t="s">
        <v>925</v>
      </c>
    </row>
    <row r="1451" spans="1:8" ht="42.75">
      <c r="A1451" s="160" t="s">
        <v>1740</v>
      </c>
      <c r="B1451" s="160" t="s">
        <v>1550</v>
      </c>
      <c r="C1451" s="157" t="s">
        <v>17</v>
      </c>
      <c r="D1451" s="159">
        <v>10</v>
      </c>
      <c r="E1451" s="159">
        <v>2765.59</v>
      </c>
      <c r="F1451" s="159"/>
      <c r="G1451" s="160" t="s">
        <v>1551</v>
      </c>
      <c r="H1451" s="34" t="s">
        <v>925</v>
      </c>
    </row>
    <row r="1452" spans="1:8" ht="33">
      <c r="A1452" s="160">
        <v>1</v>
      </c>
      <c r="B1452" s="160" t="s">
        <v>1552</v>
      </c>
      <c r="C1452" s="157" t="s">
        <v>1536</v>
      </c>
      <c r="D1452" s="159">
        <v>25</v>
      </c>
      <c r="E1452" s="159">
        <v>255.34</v>
      </c>
      <c r="F1452" s="159">
        <v>6383.5</v>
      </c>
      <c r="G1452" s="160" t="s">
        <v>1553</v>
      </c>
      <c r="H1452" s="34" t="s">
        <v>925</v>
      </c>
    </row>
    <row r="1453" spans="1:8" ht="33">
      <c r="A1453" s="160">
        <v>2</v>
      </c>
      <c r="B1453" s="160" t="s">
        <v>1554</v>
      </c>
      <c r="C1453" s="157" t="s">
        <v>1220</v>
      </c>
      <c r="D1453" s="159">
        <v>25</v>
      </c>
      <c r="E1453" s="159">
        <v>794.83</v>
      </c>
      <c r="F1453" s="159">
        <v>19870.75</v>
      </c>
      <c r="G1453" s="160" t="s">
        <v>1555</v>
      </c>
      <c r="H1453" s="34" t="s">
        <v>925</v>
      </c>
    </row>
    <row r="1454" spans="1:8" ht="28.5">
      <c r="A1454" s="160">
        <v>3</v>
      </c>
      <c r="B1454" s="160" t="s">
        <v>1540</v>
      </c>
      <c r="C1454" s="157" t="s">
        <v>14</v>
      </c>
      <c r="D1454" s="159">
        <v>1</v>
      </c>
      <c r="E1454" s="159">
        <v>596.12</v>
      </c>
      <c r="F1454" s="159">
        <v>596.12</v>
      </c>
      <c r="G1454" s="160" t="s">
        <v>1541</v>
      </c>
    </row>
    <row r="1455" spans="1:8" ht="33">
      <c r="A1455" s="160">
        <v>4</v>
      </c>
      <c r="B1455" s="160" t="s">
        <v>931</v>
      </c>
      <c r="C1455" s="157" t="s">
        <v>14</v>
      </c>
      <c r="D1455" s="159">
        <v>1</v>
      </c>
      <c r="E1455" s="159">
        <v>805.51</v>
      </c>
      <c r="F1455" s="159">
        <v>805.51</v>
      </c>
      <c r="G1455" s="160" t="s">
        <v>932</v>
      </c>
      <c r="H1455" s="34" t="s">
        <v>925</v>
      </c>
    </row>
    <row r="1456" spans="1:8" ht="33">
      <c r="A1456" s="160"/>
      <c r="B1456" s="160" t="s">
        <v>933</v>
      </c>
      <c r="C1456" s="157" t="s">
        <v>17</v>
      </c>
      <c r="D1456" s="159">
        <v>10</v>
      </c>
      <c r="E1456" s="159"/>
      <c r="F1456" s="159">
        <v>27655.879999999997</v>
      </c>
      <c r="G1456" s="160"/>
      <c r="H1456" s="34" t="s">
        <v>925</v>
      </c>
    </row>
    <row r="1457" spans="1:8" ht="33">
      <c r="A1457" s="160"/>
      <c r="B1457" s="160" t="s">
        <v>934</v>
      </c>
      <c r="C1457" s="157" t="s">
        <v>17</v>
      </c>
      <c r="D1457" s="159"/>
      <c r="E1457" s="159"/>
      <c r="F1457" s="159">
        <v>2765.59</v>
      </c>
      <c r="G1457" s="160"/>
      <c r="H1457" s="34" t="s">
        <v>925</v>
      </c>
    </row>
    <row r="1458" spans="1:8" ht="33">
      <c r="A1458" s="160"/>
      <c r="B1458" s="160"/>
      <c r="C1458" s="157"/>
      <c r="D1458" s="159"/>
      <c r="E1458" s="159"/>
      <c r="F1458" s="159"/>
      <c r="G1458" s="160"/>
      <c r="H1458" s="34" t="s">
        <v>925</v>
      </c>
    </row>
    <row r="1459" spans="1:8" ht="42.75">
      <c r="A1459" s="160" t="s">
        <v>1750</v>
      </c>
      <c r="B1459" s="160" t="s">
        <v>1557</v>
      </c>
      <c r="C1459" s="157" t="s">
        <v>17</v>
      </c>
      <c r="D1459" s="159">
        <v>10</v>
      </c>
      <c r="E1459" s="159">
        <v>3888.7</v>
      </c>
      <c r="F1459" s="159"/>
      <c r="G1459" s="160" t="s">
        <v>1558</v>
      </c>
      <c r="H1459" s="34" t="s">
        <v>925</v>
      </c>
    </row>
    <row r="1460" spans="1:8" ht="33">
      <c r="A1460" s="160">
        <v>1</v>
      </c>
      <c r="B1460" s="160" t="s">
        <v>1559</v>
      </c>
      <c r="C1460" s="157" t="s">
        <v>1536</v>
      </c>
      <c r="D1460" s="159">
        <v>25</v>
      </c>
      <c r="E1460" s="159">
        <v>333.83</v>
      </c>
      <c r="F1460" s="159">
        <v>8345.75</v>
      </c>
      <c r="G1460" s="160" t="s">
        <v>1560</v>
      </c>
      <c r="H1460" s="34" t="s">
        <v>925</v>
      </c>
    </row>
    <row r="1461" spans="1:8" ht="33">
      <c r="A1461" s="160">
        <v>2</v>
      </c>
      <c r="B1461" s="160" t="s">
        <v>1561</v>
      </c>
      <c r="C1461" s="157" t="s">
        <v>1220</v>
      </c>
      <c r="D1461" s="159">
        <v>25</v>
      </c>
      <c r="E1461" s="159">
        <v>1152.5</v>
      </c>
      <c r="F1461" s="159">
        <v>28812.5</v>
      </c>
      <c r="G1461" s="160" t="s">
        <v>1562</v>
      </c>
      <c r="H1461" s="34" t="s">
        <v>925</v>
      </c>
    </row>
    <row r="1462" spans="1:8" ht="33">
      <c r="A1462" s="160">
        <v>3</v>
      </c>
      <c r="B1462" s="160" t="s">
        <v>1540</v>
      </c>
      <c r="C1462" s="157" t="s">
        <v>14</v>
      </c>
      <c r="D1462" s="159">
        <v>1</v>
      </c>
      <c r="E1462" s="159">
        <v>596.12</v>
      </c>
      <c r="F1462" s="159">
        <v>596.12</v>
      </c>
      <c r="G1462" s="160" t="s">
        <v>1541</v>
      </c>
      <c r="H1462" s="34" t="s">
        <v>925</v>
      </c>
    </row>
    <row r="1463" spans="1:8" ht="33">
      <c r="A1463" s="160">
        <v>4</v>
      </c>
      <c r="B1463" s="160" t="s">
        <v>931</v>
      </c>
      <c r="C1463" s="157" t="s">
        <v>14</v>
      </c>
      <c r="D1463" s="159">
        <v>1</v>
      </c>
      <c r="E1463" s="159">
        <v>1132.6300000000001</v>
      </c>
      <c r="F1463" s="159">
        <v>1132.6300000000001</v>
      </c>
      <c r="G1463" s="160" t="s">
        <v>932</v>
      </c>
      <c r="H1463" s="34" t="s">
        <v>925</v>
      </c>
    </row>
    <row r="1464" spans="1:8" ht="16.5">
      <c r="A1464" s="160"/>
      <c r="B1464" s="160" t="s">
        <v>933</v>
      </c>
      <c r="C1464" s="157" t="s">
        <v>17</v>
      </c>
      <c r="D1464" s="159">
        <v>10</v>
      </c>
      <c r="E1464" s="159"/>
      <c r="F1464" s="159">
        <v>38887</v>
      </c>
      <c r="G1464" s="160"/>
    </row>
    <row r="1465" spans="1:8" ht="33">
      <c r="A1465" s="160"/>
      <c r="B1465" s="160" t="s">
        <v>934</v>
      </c>
      <c r="C1465" s="157" t="s">
        <v>17</v>
      </c>
      <c r="D1465" s="159"/>
      <c r="E1465" s="159"/>
      <c r="F1465" s="159">
        <v>3888.7</v>
      </c>
      <c r="G1465" s="160"/>
      <c r="H1465" s="34" t="s">
        <v>925</v>
      </c>
    </row>
    <row r="1466" spans="1:8" ht="33">
      <c r="A1466" s="160"/>
      <c r="B1466" s="160"/>
      <c r="C1466" s="157"/>
      <c r="D1466" s="159"/>
      <c r="E1466" s="159"/>
      <c r="F1466" s="159"/>
      <c r="G1466" s="160"/>
      <c r="H1466" s="34" t="s">
        <v>925</v>
      </c>
    </row>
    <row r="1467" spans="1:8" ht="42.75">
      <c r="A1467" s="160" t="s">
        <v>1769</v>
      </c>
      <c r="B1467" s="160" t="s">
        <v>1564</v>
      </c>
      <c r="C1467" s="157" t="s">
        <v>17</v>
      </c>
      <c r="D1467" s="159">
        <v>10</v>
      </c>
      <c r="E1467" s="159">
        <v>5687.24</v>
      </c>
      <c r="F1467" s="159"/>
      <c r="G1467" s="160" t="s">
        <v>1565</v>
      </c>
      <c r="H1467" s="34" t="s">
        <v>925</v>
      </c>
    </row>
    <row r="1468" spans="1:8" ht="33">
      <c r="A1468" s="160">
        <v>1</v>
      </c>
      <c r="B1468" s="160" t="s">
        <v>1566</v>
      </c>
      <c r="C1468" s="157" t="s">
        <v>1536</v>
      </c>
      <c r="D1468" s="159">
        <v>25</v>
      </c>
      <c r="E1468" s="159">
        <v>465.97</v>
      </c>
      <c r="F1468" s="159">
        <v>11649.25</v>
      </c>
      <c r="G1468" s="160" t="s">
        <v>1567</v>
      </c>
      <c r="H1468" s="34" t="s">
        <v>925</v>
      </c>
    </row>
    <row r="1469" spans="1:8" ht="33">
      <c r="A1469" s="160">
        <v>2</v>
      </c>
      <c r="B1469" s="160" t="s">
        <v>1568</v>
      </c>
      <c r="C1469" s="157" t="s">
        <v>1220</v>
      </c>
      <c r="D1469" s="159">
        <v>25</v>
      </c>
      <c r="E1469" s="159">
        <v>1718.82</v>
      </c>
      <c r="F1469" s="159">
        <v>42970.5</v>
      </c>
      <c r="G1469" s="160" t="s">
        <v>1569</v>
      </c>
      <c r="H1469" s="34" t="s">
        <v>925</v>
      </c>
    </row>
    <row r="1470" spans="1:8" ht="33">
      <c r="A1470" s="160">
        <v>3</v>
      </c>
      <c r="B1470" s="160" t="s">
        <v>1540</v>
      </c>
      <c r="C1470" s="157" t="s">
        <v>14</v>
      </c>
      <c r="D1470" s="159">
        <v>1</v>
      </c>
      <c r="E1470" s="159">
        <v>596.12</v>
      </c>
      <c r="F1470" s="159">
        <v>596.12</v>
      </c>
      <c r="G1470" s="160" t="s">
        <v>1541</v>
      </c>
      <c r="H1470" s="34" t="s">
        <v>925</v>
      </c>
    </row>
    <row r="1471" spans="1:8" ht="33">
      <c r="A1471" s="160">
        <v>4</v>
      </c>
      <c r="B1471" s="160" t="s">
        <v>931</v>
      </c>
      <c r="C1471" s="157" t="s">
        <v>14</v>
      </c>
      <c r="D1471" s="159">
        <v>1</v>
      </c>
      <c r="E1471" s="159">
        <v>1656.48</v>
      </c>
      <c r="F1471" s="159">
        <v>1656.48</v>
      </c>
      <c r="G1471" s="160" t="s">
        <v>932</v>
      </c>
      <c r="H1471" s="34" t="s">
        <v>925</v>
      </c>
    </row>
    <row r="1472" spans="1:8" ht="33">
      <c r="A1472" s="160"/>
      <c r="B1472" s="160" t="s">
        <v>933</v>
      </c>
      <c r="C1472" s="157" t="s">
        <v>17</v>
      </c>
      <c r="D1472" s="159">
        <v>10</v>
      </c>
      <c r="E1472" s="159"/>
      <c r="F1472" s="159">
        <v>56872.350000000006</v>
      </c>
      <c r="G1472" s="160"/>
      <c r="H1472" s="34" t="s">
        <v>925</v>
      </c>
    </row>
    <row r="1473" spans="1:8" ht="33">
      <c r="A1473" s="160"/>
      <c r="B1473" s="160" t="s">
        <v>934</v>
      </c>
      <c r="C1473" s="157" t="s">
        <v>17</v>
      </c>
      <c r="D1473" s="159"/>
      <c r="E1473" s="159"/>
      <c r="F1473" s="159">
        <v>5687.24</v>
      </c>
      <c r="G1473" s="160"/>
      <c r="H1473" s="34" t="s">
        <v>925</v>
      </c>
    </row>
    <row r="1474" spans="1:8" ht="16.5">
      <c r="A1474" s="160"/>
      <c r="B1474" s="160"/>
      <c r="C1474" s="157"/>
      <c r="D1474" s="159"/>
      <c r="E1474" s="159"/>
      <c r="F1474" s="159"/>
      <c r="G1474" s="160"/>
    </row>
    <row r="1475" spans="1:8" ht="42.75">
      <c r="A1475" s="160" t="s">
        <v>1776</v>
      </c>
      <c r="B1475" s="160" t="s">
        <v>1571</v>
      </c>
      <c r="C1475" s="157" t="s">
        <v>17</v>
      </c>
      <c r="D1475" s="159">
        <v>10</v>
      </c>
      <c r="E1475" s="159">
        <v>8915.9</v>
      </c>
      <c r="F1475" s="159"/>
      <c r="G1475" s="160" t="s">
        <v>1572</v>
      </c>
      <c r="H1475" s="34" t="s">
        <v>925</v>
      </c>
    </row>
    <row r="1476" spans="1:8" ht="33">
      <c r="A1476" s="160">
        <v>1</v>
      </c>
      <c r="B1476" s="160" t="s">
        <v>1573</v>
      </c>
      <c r="C1476" s="157" t="s">
        <v>1536</v>
      </c>
      <c r="D1476" s="159">
        <v>25</v>
      </c>
      <c r="E1476" s="159">
        <v>527.57000000000005</v>
      </c>
      <c r="F1476" s="159">
        <v>13189.25</v>
      </c>
      <c r="G1476" s="160" t="s">
        <v>1574</v>
      </c>
      <c r="H1476" s="34" t="s">
        <v>925</v>
      </c>
    </row>
    <row r="1477" spans="1:8" ht="33">
      <c r="A1477" s="160">
        <v>2</v>
      </c>
      <c r="B1477" s="160" t="s">
        <v>1575</v>
      </c>
      <c r="C1477" s="157" t="s">
        <v>1220</v>
      </c>
      <c r="D1477" s="159">
        <v>25</v>
      </c>
      <c r="E1477" s="159">
        <v>2911.07</v>
      </c>
      <c r="F1477" s="159">
        <v>72776.75</v>
      </c>
      <c r="G1477" s="160" t="s">
        <v>1576</v>
      </c>
      <c r="H1477" s="34" t="s">
        <v>925</v>
      </c>
    </row>
    <row r="1478" spans="1:8" ht="33">
      <c r="A1478" s="160">
        <v>3</v>
      </c>
      <c r="B1478" s="160" t="s">
        <v>1540</v>
      </c>
      <c r="C1478" s="157" t="s">
        <v>14</v>
      </c>
      <c r="D1478" s="159">
        <v>1</v>
      </c>
      <c r="E1478" s="159">
        <v>596.12</v>
      </c>
      <c r="F1478" s="159">
        <v>596.12</v>
      </c>
      <c r="G1478" s="160" t="s">
        <v>1541</v>
      </c>
      <c r="H1478" s="34" t="s">
        <v>925</v>
      </c>
    </row>
    <row r="1479" spans="1:8" ht="33">
      <c r="A1479" s="160">
        <v>4</v>
      </c>
      <c r="B1479" s="160" t="s">
        <v>931</v>
      </c>
      <c r="C1479" s="157" t="s">
        <v>14</v>
      </c>
      <c r="D1479" s="159">
        <v>1</v>
      </c>
      <c r="E1479" s="159">
        <v>2596.86</v>
      </c>
      <c r="F1479" s="159">
        <v>2596.86</v>
      </c>
      <c r="G1479" s="160" t="s">
        <v>932</v>
      </c>
      <c r="H1479" s="34" t="s">
        <v>925</v>
      </c>
    </row>
    <row r="1480" spans="1:8" ht="33">
      <c r="A1480" s="160"/>
      <c r="B1480" s="160" t="s">
        <v>933</v>
      </c>
      <c r="C1480" s="157" t="s">
        <v>17</v>
      </c>
      <c r="D1480" s="159">
        <v>10</v>
      </c>
      <c r="E1480" s="159"/>
      <c r="F1480" s="159">
        <v>89158.98</v>
      </c>
      <c r="G1480" s="160"/>
      <c r="H1480" s="34" t="s">
        <v>925</v>
      </c>
    </row>
    <row r="1481" spans="1:8" ht="33">
      <c r="A1481" s="160"/>
      <c r="B1481" s="160" t="s">
        <v>934</v>
      </c>
      <c r="C1481" s="157" t="s">
        <v>17</v>
      </c>
      <c r="D1481" s="159"/>
      <c r="E1481" s="159"/>
      <c r="F1481" s="159">
        <v>8915.9</v>
      </c>
      <c r="G1481" s="160"/>
      <c r="H1481" s="34" t="s">
        <v>925</v>
      </c>
    </row>
    <row r="1482" spans="1:8" ht="33">
      <c r="A1482" s="160"/>
      <c r="B1482" s="160"/>
      <c r="C1482" s="157"/>
      <c r="D1482" s="159"/>
      <c r="E1482" s="159"/>
      <c r="F1482" s="159"/>
      <c r="G1482" s="160"/>
      <c r="H1482" s="34" t="s">
        <v>925</v>
      </c>
    </row>
    <row r="1483" spans="1:8" ht="33">
      <c r="A1483" s="160" t="s">
        <v>1781</v>
      </c>
      <c r="B1483" s="160" t="s">
        <v>1578</v>
      </c>
      <c r="C1483" s="157" t="s">
        <v>17</v>
      </c>
      <c r="D1483" s="159">
        <v>9</v>
      </c>
      <c r="E1483" s="159">
        <v>168.85</v>
      </c>
      <c r="F1483" s="159"/>
      <c r="G1483" s="160" t="s">
        <v>1579</v>
      </c>
      <c r="H1483" s="34" t="s">
        <v>925</v>
      </c>
    </row>
    <row r="1484" spans="1:8" ht="28.5">
      <c r="A1484" s="160">
        <v>1</v>
      </c>
      <c r="B1484" s="160" t="s">
        <v>1580</v>
      </c>
      <c r="C1484" s="157" t="s">
        <v>17</v>
      </c>
      <c r="D1484" s="159">
        <v>9</v>
      </c>
      <c r="E1484" s="159">
        <v>109.29</v>
      </c>
      <c r="F1484" s="159">
        <v>983.61</v>
      </c>
      <c r="G1484" s="160" t="s">
        <v>1581</v>
      </c>
    </row>
    <row r="1485" spans="1:8" ht="33">
      <c r="A1485" s="160">
        <v>2</v>
      </c>
      <c r="B1485" s="160" t="s">
        <v>1582</v>
      </c>
      <c r="C1485" s="157" t="s">
        <v>17</v>
      </c>
      <c r="D1485" s="159">
        <v>9</v>
      </c>
      <c r="E1485" s="159">
        <v>54.64</v>
      </c>
      <c r="F1485" s="159">
        <v>491.76</v>
      </c>
      <c r="G1485" s="160" t="s">
        <v>1583</v>
      </c>
      <c r="H1485" s="34" t="s">
        <v>925</v>
      </c>
    </row>
    <row r="1486" spans="1:8" ht="33">
      <c r="A1486" s="160">
        <v>3</v>
      </c>
      <c r="B1486" s="160" t="s">
        <v>931</v>
      </c>
      <c r="C1486" s="157" t="s">
        <v>14</v>
      </c>
      <c r="D1486" s="159">
        <v>1</v>
      </c>
      <c r="E1486" s="159">
        <v>44.26</v>
      </c>
      <c r="F1486" s="159">
        <v>44.26</v>
      </c>
      <c r="G1486" s="160" t="s">
        <v>932</v>
      </c>
      <c r="H1486" s="34" t="s">
        <v>925</v>
      </c>
    </row>
    <row r="1487" spans="1:8" ht="33">
      <c r="A1487" s="160"/>
      <c r="B1487" s="160" t="s">
        <v>933</v>
      </c>
      <c r="C1487" s="157" t="s">
        <v>17</v>
      </c>
      <c r="D1487" s="159">
        <v>9</v>
      </c>
      <c r="E1487" s="159"/>
      <c r="F1487" s="159">
        <v>1519.6299999999999</v>
      </c>
      <c r="G1487" s="160"/>
      <c r="H1487" s="34" t="s">
        <v>925</v>
      </c>
    </row>
    <row r="1488" spans="1:8" ht="33">
      <c r="A1488" s="160"/>
      <c r="B1488" s="160" t="s">
        <v>934</v>
      </c>
      <c r="C1488" s="157" t="s">
        <v>17</v>
      </c>
      <c r="D1488" s="159"/>
      <c r="E1488" s="159"/>
      <c r="F1488" s="159">
        <v>168.85</v>
      </c>
      <c r="G1488" s="160"/>
      <c r="H1488" s="34" t="s">
        <v>925</v>
      </c>
    </row>
    <row r="1489" spans="1:8" ht="33">
      <c r="A1489" s="160"/>
      <c r="B1489" s="160"/>
      <c r="C1489" s="157"/>
      <c r="D1489" s="159"/>
      <c r="E1489" s="159"/>
      <c r="F1489" s="159"/>
      <c r="G1489" s="160"/>
      <c r="H1489" s="34" t="s">
        <v>925</v>
      </c>
    </row>
    <row r="1490" spans="1:8" ht="33">
      <c r="A1490" s="160" t="s">
        <v>1786</v>
      </c>
      <c r="B1490" s="160" t="s">
        <v>1585</v>
      </c>
      <c r="C1490" s="157" t="s">
        <v>17</v>
      </c>
      <c r="D1490" s="159">
        <v>13</v>
      </c>
      <c r="E1490" s="159">
        <v>245.6</v>
      </c>
      <c r="F1490" s="159"/>
      <c r="G1490" s="160" t="s">
        <v>1586</v>
      </c>
      <c r="H1490" s="34" t="s">
        <v>925</v>
      </c>
    </row>
    <row r="1491" spans="1:8" ht="33">
      <c r="A1491" s="160">
        <v>1</v>
      </c>
      <c r="B1491" s="160" t="s">
        <v>1587</v>
      </c>
      <c r="C1491" s="157" t="s">
        <v>17</v>
      </c>
      <c r="D1491" s="159">
        <v>13</v>
      </c>
      <c r="E1491" s="159">
        <v>173.87</v>
      </c>
      <c r="F1491" s="159">
        <v>2260.31</v>
      </c>
      <c r="G1491" s="160" t="s">
        <v>1588</v>
      </c>
      <c r="H1491" s="34" t="s">
        <v>925</v>
      </c>
    </row>
    <row r="1492" spans="1:8" ht="33">
      <c r="A1492" s="160">
        <v>2</v>
      </c>
      <c r="B1492" s="160" t="s">
        <v>1589</v>
      </c>
      <c r="C1492" s="157" t="s">
        <v>17</v>
      </c>
      <c r="D1492" s="159">
        <v>13</v>
      </c>
      <c r="E1492" s="159">
        <v>64.58</v>
      </c>
      <c r="F1492" s="159">
        <v>839.54</v>
      </c>
      <c r="G1492" s="160" t="s">
        <v>1590</v>
      </c>
      <c r="H1492" s="34" t="s">
        <v>925</v>
      </c>
    </row>
    <row r="1493" spans="1:8" ht="33">
      <c r="A1493" s="160">
        <v>3</v>
      </c>
      <c r="B1493" s="160" t="s">
        <v>931</v>
      </c>
      <c r="C1493" s="157" t="s">
        <v>14</v>
      </c>
      <c r="D1493" s="159">
        <v>1</v>
      </c>
      <c r="E1493" s="159">
        <v>93</v>
      </c>
      <c r="F1493" s="159">
        <v>93</v>
      </c>
      <c r="G1493" s="160" t="s">
        <v>932</v>
      </c>
      <c r="H1493" s="34" t="s">
        <v>925</v>
      </c>
    </row>
    <row r="1494" spans="1:8" ht="16.5">
      <c r="A1494" s="160"/>
      <c r="B1494" s="160" t="s">
        <v>933</v>
      </c>
      <c r="C1494" s="157" t="s">
        <v>17</v>
      </c>
      <c r="D1494" s="159">
        <v>13</v>
      </c>
      <c r="E1494" s="159"/>
      <c r="F1494" s="159">
        <v>3192.85</v>
      </c>
      <c r="G1494" s="160"/>
    </row>
    <row r="1495" spans="1:8" ht="33">
      <c r="A1495" s="160"/>
      <c r="B1495" s="160" t="s">
        <v>934</v>
      </c>
      <c r="C1495" s="157" t="s">
        <v>17</v>
      </c>
      <c r="D1495" s="159"/>
      <c r="E1495" s="159"/>
      <c r="F1495" s="159">
        <v>245.6</v>
      </c>
      <c r="G1495" s="160"/>
      <c r="H1495" s="34" t="s">
        <v>925</v>
      </c>
    </row>
    <row r="1496" spans="1:8" ht="33">
      <c r="A1496" s="160"/>
      <c r="B1496" s="160"/>
      <c r="C1496" s="157"/>
      <c r="D1496" s="159"/>
      <c r="E1496" s="159"/>
      <c r="F1496" s="159"/>
      <c r="G1496" s="160"/>
      <c r="H1496" s="34" t="s">
        <v>925</v>
      </c>
    </row>
    <row r="1497" spans="1:8" ht="33">
      <c r="A1497" s="160" t="s">
        <v>1791</v>
      </c>
      <c r="B1497" s="160" t="s">
        <v>1592</v>
      </c>
      <c r="C1497" s="157" t="s">
        <v>17</v>
      </c>
      <c r="D1497" s="159">
        <v>9</v>
      </c>
      <c r="E1497" s="159">
        <v>869.85</v>
      </c>
      <c r="F1497" s="159"/>
      <c r="G1497" s="160" t="s">
        <v>1593</v>
      </c>
      <c r="H1497" s="34" t="s">
        <v>925</v>
      </c>
    </row>
    <row r="1498" spans="1:8" ht="33">
      <c r="A1498" s="160">
        <v>1</v>
      </c>
      <c r="B1498" s="160" t="s">
        <v>1594</v>
      </c>
      <c r="C1498" s="157" t="s">
        <v>17</v>
      </c>
      <c r="D1498" s="159">
        <v>9</v>
      </c>
      <c r="E1498" s="159">
        <v>69.55</v>
      </c>
      <c r="F1498" s="159">
        <v>625.95000000000005</v>
      </c>
      <c r="G1498" s="160" t="s">
        <v>1595</v>
      </c>
      <c r="H1498" s="34" t="s">
        <v>925</v>
      </c>
    </row>
    <row r="1499" spans="1:8" ht="33">
      <c r="A1499" s="160">
        <v>2</v>
      </c>
      <c r="B1499" s="160" t="s">
        <v>1596</v>
      </c>
      <c r="C1499" s="157" t="s">
        <v>17</v>
      </c>
      <c r="D1499" s="159">
        <v>9</v>
      </c>
      <c r="E1499" s="159">
        <v>774.96</v>
      </c>
      <c r="F1499" s="159">
        <v>6974.64</v>
      </c>
      <c r="G1499" s="160" t="s">
        <v>1597</v>
      </c>
      <c r="H1499" s="34" t="s">
        <v>925</v>
      </c>
    </row>
    <row r="1500" spans="1:8" ht="33">
      <c r="A1500" s="160">
        <v>3</v>
      </c>
      <c r="B1500" s="160" t="s">
        <v>931</v>
      </c>
      <c r="C1500" s="157" t="s">
        <v>14</v>
      </c>
      <c r="D1500" s="159">
        <v>1</v>
      </c>
      <c r="E1500" s="159">
        <v>228.02</v>
      </c>
      <c r="F1500" s="159">
        <v>228.02</v>
      </c>
      <c r="G1500" s="160" t="s">
        <v>932</v>
      </c>
      <c r="H1500" s="34" t="s">
        <v>925</v>
      </c>
    </row>
    <row r="1501" spans="1:8" ht="33">
      <c r="A1501" s="160"/>
      <c r="B1501" s="160" t="s">
        <v>933</v>
      </c>
      <c r="C1501" s="157" t="s">
        <v>17</v>
      </c>
      <c r="D1501" s="159">
        <v>9</v>
      </c>
      <c r="E1501" s="159"/>
      <c r="F1501" s="159">
        <v>7828.6100000000006</v>
      </c>
      <c r="G1501" s="160"/>
      <c r="H1501" s="34" t="s">
        <v>925</v>
      </c>
    </row>
    <row r="1502" spans="1:8" ht="33">
      <c r="A1502" s="160"/>
      <c r="B1502" s="160" t="s">
        <v>934</v>
      </c>
      <c r="C1502" s="157" t="s">
        <v>17</v>
      </c>
      <c r="D1502" s="159"/>
      <c r="E1502" s="159"/>
      <c r="F1502" s="159">
        <v>869.85</v>
      </c>
      <c r="G1502" s="160"/>
      <c r="H1502" s="34" t="s">
        <v>925</v>
      </c>
    </row>
    <row r="1503" spans="1:8" ht="33">
      <c r="A1503" s="160"/>
      <c r="B1503" s="160"/>
      <c r="C1503" s="157"/>
      <c r="D1503" s="159"/>
      <c r="E1503" s="159"/>
      <c r="F1503" s="159"/>
      <c r="G1503" s="160"/>
      <c r="H1503" s="34" t="s">
        <v>925</v>
      </c>
    </row>
    <row r="1504" spans="1:8" ht="28.5">
      <c r="A1504" s="160" t="s">
        <v>1796</v>
      </c>
      <c r="B1504" s="160" t="s">
        <v>1599</v>
      </c>
      <c r="C1504" s="157" t="s">
        <v>17</v>
      </c>
      <c r="D1504" s="159">
        <v>13</v>
      </c>
      <c r="E1504" s="159">
        <v>1192.2</v>
      </c>
      <c r="F1504" s="159"/>
      <c r="G1504" s="160" t="s">
        <v>1600</v>
      </c>
    </row>
    <row r="1505" spans="1:8" ht="33">
      <c r="A1505" s="160">
        <v>1</v>
      </c>
      <c r="B1505" s="160" t="s">
        <v>1601</v>
      </c>
      <c r="C1505" s="157" t="s">
        <v>17</v>
      </c>
      <c r="D1505" s="159">
        <v>13</v>
      </c>
      <c r="E1505" s="159">
        <v>114.26</v>
      </c>
      <c r="F1505" s="159">
        <v>1485.38</v>
      </c>
      <c r="G1505" s="160" t="s">
        <v>1602</v>
      </c>
      <c r="H1505" s="34" t="s">
        <v>925</v>
      </c>
    </row>
    <row r="1506" spans="1:8" ht="33">
      <c r="A1506" s="160">
        <v>2</v>
      </c>
      <c r="B1506" s="160" t="s">
        <v>1603</v>
      </c>
      <c r="C1506" s="157" t="s">
        <v>17</v>
      </c>
      <c r="D1506" s="159">
        <v>13</v>
      </c>
      <c r="E1506" s="159">
        <v>1043.22</v>
      </c>
      <c r="F1506" s="159">
        <v>13561.86</v>
      </c>
      <c r="G1506" s="160" t="s">
        <v>1604</v>
      </c>
      <c r="H1506" s="34" t="s">
        <v>925</v>
      </c>
    </row>
    <row r="1507" spans="1:8" ht="33">
      <c r="A1507" s="160">
        <v>3</v>
      </c>
      <c r="B1507" s="160" t="s">
        <v>931</v>
      </c>
      <c r="C1507" s="157" t="s">
        <v>14</v>
      </c>
      <c r="D1507" s="159">
        <v>1</v>
      </c>
      <c r="E1507" s="159">
        <v>451.42</v>
      </c>
      <c r="F1507" s="159">
        <v>451.42</v>
      </c>
      <c r="G1507" s="160" t="s">
        <v>932</v>
      </c>
      <c r="H1507" s="34" t="s">
        <v>925</v>
      </c>
    </row>
    <row r="1508" spans="1:8" ht="33">
      <c r="A1508" s="160"/>
      <c r="B1508" s="160" t="s">
        <v>933</v>
      </c>
      <c r="C1508" s="157" t="s">
        <v>17</v>
      </c>
      <c r="D1508" s="159">
        <v>13</v>
      </c>
      <c r="E1508" s="159"/>
      <c r="F1508" s="159">
        <v>15498.660000000002</v>
      </c>
      <c r="G1508" s="160"/>
      <c r="H1508" s="34" t="s">
        <v>925</v>
      </c>
    </row>
    <row r="1509" spans="1:8" ht="33">
      <c r="A1509" s="160"/>
      <c r="B1509" s="160" t="s">
        <v>934</v>
      </c>
      <c r="C1509" s="157" t="s">
        <v>17</v>
      </c>
      <c r="D1509" s="159"/>
      <c r="E1509" s="159"/>
      <c r="F1509" s="159">
        <v>1192.2</v>
      </c>
      <c r="G1509" s="160"/>
      <c r="H1509" s="34" t="s">
        <v>925</v>
      </c>
    </row>
    <row r="1510" spans="1:8" ht="33">
      <c r="A1510" s="160"/>
      <c r="B1510" s="160"/>
      <c r="C1510" s="157"/>
      <c r="D1510" s="159"/>
      <c r="E1510" s="159"/>
      <c r="F1510" s="159"/>
      <c r="G1510" s="160"/>
      <c r="H1510" s="34" t="s">
        <v>925</v>
      </c>
    </row>
    <row r="1511" spans="1:8" ht="33">
      <c r="A1511" s="160" t="s">
        <v>1801</v>
      </c>
      <c r="B1511" s="160" t="s">
        <v>1606</v>
      </c>
      <c r="C1511" s="157" t="s">
        <v>17</v>
      </c>
      <c r="D1511" s="159">
        <v>9</v>
      </c>
      <c r="E1511" s="159">
        <v>370.12</v>
      </c>
      <c r="F1511" s="159"/>
      <c r="G1511" s="160" t="s">
        <v>1607</v>
      </c>
      <c r="H1511" s="34" t="s">
        <v>925</v>
      </c>
    </row>
    <row r="1512" spans="1:8" ht="33">
      <c r="A1512" s="160">
        <v>1</v>
      </c>
      <c r="B1512" s="160" t="s">
        <v>1608</v>
      </c>
      <c r="C1512" s="157" t="s">
        <v>17</v>
      </c>
      <c r="D1512" s="159">
        <v>9</v>
      </c>
      <c r="E1512" s="159">
        <v>198.71</v>
      </c>
      <c r="F1512" s="159">
        <v>1788.39</v>
      </c>
      <c r="G1512" s="160" t="s">
        <v>1609</v>
      </c>
      <c r="H1512" s="34" t="s">
        <v>925</v>
      </c>
    </row>
    <row r="1513" spans="1:8" ht="33">
      <c r="A1513" s="160">
        <v>2</v>
      </c>
      <c r="B1513" s="160" t="s">
        <v>1610</v>
      </c>
      <c r="C1513" s="157" t="s">
        <v>17</v>
      </c>
      <c r="D1513" s="159">
        <v>9</v>
      </c>
      <c r="E1513" s="159">
        <v>94.39</v>
      </c>
      <c r="F1513" s="159">
        <v>849.51</v>
      </c>
      <c r="G1513" s="160" t="s">
        <v>1611</v>
      </c>
      <c r="H1513" s="34" t="s">
        <v>925</v>
      </c>
    </row>
    <row r="1514" spans="1:8" ht="28.5">
      <c r="A1514" s="160">
        <v>3</v>
      </c>
      <c r="B1514" s="160" t="s">
        <v>1540</v>
      </c>
      <c r="C1514" s="157" t="s">
        <v>14</v>
      </c>
      <c r="D1514" s="159">
        <v>1</v>
      </c>
      <c r="E1514" s="159">
        <v>596.12</v>
      </c>
      <c r="F1514" s="159">
        <v>596.12</v>
      </c>
      <c r="G1514" s="160" t="s">
        <v>1541</v>
      </c>
    </row>
    <row r="1515" spans="1:8" ht="33">
      <c r="A1515" s="160">
        <v>4</v>
      </c>
      <c r="B1515" s="160" t="s">
        <v>931</v>
      </c>
      <c r="C1515" s="157" t="s">
        <v>14</v>
      </c>
      <c r="D1515" s="159">
        <v>1</v>
      </c>
      <c r="E1515" s="159">
        <v>97.02</v>
      </c>
      <c r="F1515" s="159">
        <v>97.02</v>
      </c>
      <c r="G1515" s="160" t="s">
        <v>932</v>
      </c>
      <c r="H1515" s="34" t="s">
        <v>925</v>
      </c>
    </row>
    <row r="1516" spans="1:8" ht="33">
      <c r="A1516" s="160"/>
      <c r="B1516" s="160" t="s">
        <v>933</v>
      </c>
      <c r="C1516" s="157" t="s">
        <v>17</v>
      </c>
      <c r="D1516" s="159">
        <v>9</v>
      </c>
      <c r="E1516" s="159"/>
      <c r="F1516" s="159">
        <v>3331.04</v>
      </c>
      <c r="G1516" s="160"/>
      <c r="H1516" s="34" t="s">
        <v>925</v>
      </c>
    </row>
    <row r="1517" spans="1:8" ht="33">
      <c r="A1517" s="160"/>
      <c r="B1517" s="160" t="s">
        <v>934</v>
      </c>
      <c r="C1517" s="157" t="s">
        <v>17</v>
      </c>
      <c r="D1517" s="159"/>
      <c r="E1517" s="159"/>
      <c r="F1517" s="159">
        <v>370.12</v>
      </c>
      <c r="G1517" s="160"/>
      <c r="H1517" s="34" t="s">
        <v>925</v>
      </c>
    </row>
    <row r="1518" spans="1:8" ht="33">
      <c r="A1518" s="160"/>
      <c r="B1518" s="160"/>
      <c r="C1518" s="157"/>
      <c r="D1518" s="159"/>
      <c r="E1518" s="159"/>
      <c r="F1518" s="159"/>
      <c r="G1518" s="160"/>
      <c r="H1518" s="34" t="s">
        <v>925</v>
      </c>
    </row>
    <row r="1519" spans="1:8" ht="33">
      <c r="A1519" s="160" t="s">
        <v>1806</v>
      </c>
      <c r="B1519" s="160" t="s">
        <v>1613</v>
      </c>
      <c r="C1519" s="157" t="s">
        <v>17</v>
      </c>
      <c r="D1519" s="159">
        <v>9</v>
      </c>
      <c r="E1519" s="159">
        <v>1321.82</v>
      </c>
      <c r="F1519" s="159"/>
      <c r="G1519" s="160" t="s">
        <v>1614</v>
      </c>
      <c r="H1519" s="34" t="s">
        <v>925</v>
      </c>
    </row>
    <row r="1520" spans="1:8" ht="33">
      <c r="A1520" s="160">
        <v>1</v>
      </c>
      <c r="B1520" s="160" t="s">
        <v>1615</v>
      </c>
      <c r="C1520" s="157" t="s">
        <v>17</v>
      </c>
      <c r="D1520" s="159">
        <v>9</v>
      </c>
      <c r="E1520" s="159">
        <v>124.19</v>
      </c>
      <c r="F1520" s="159">
        <v>1117.71</v>
      </c>
      <c r="G1520" s="160" t="s">
        <v>1616</v>
      </c>
      <c r="H1520" s="34" t="s">
        <v>925</v>
      </c>
    </row>
    <row r="1521" spans="1:8" ht="33">
      <c r="A1521" s="160">
        <v>2</v>
      </c>
      <c r="B1521" s="160" t="s">
        <v>1617</v>
      </c>
      <c r="C1521" s="157" t="s">
        <v>17</v>
      </c>
      <c r="D1521" s="159">
        <v>9</v>
      </c>
      <c r="E1521" s="159">
        <v>1092.8900000000001</v>
      </c>
      <c r="F1521" s="159">
        <v>9836.01</v>
      </c>
      <c r="G1521" s="160" t="s">
        <v>1618</v>
      </c>
      <c r="H1521" s="34" t="s">
        <v>925</v>
      </c>
    </row>
    <row r="1522" spans="1:8" ht="33">
      <c r="A1522" s="160">
        <v>3</v>
      </c>
      <c r="B1522" s="160" t="s">
        <v>1540</v>
      </c>
      <c r="C1522" s="157" t="s">
        <v>14</v>
      </c>
      <c r="D1522" s="159">
        <v>1</v>
      </c>
      <c r="E1522" s="159">
        <v>596.12</v>
      </c>
      <c r="F1522" s="159">
        <v>596.12</v>
      </c>
      <c r="G1522" s="160" t="s">
        <v>1541</v>
      </c>
      <c r="H1522" s="34" t="s">
        <v>925</v>
      </c>
    </row>
    <row r="1523" spans="1:8" ht="33">
      <c r="A1523" s="160">
        <v>4</v>
      </c>
      <c r="B1523" s="160" t="s">
        <v>931</v>
      </c>
      <c r="C1523" s="157" t="s">
        <v>14</v>
      </c>
      <c r="D1523" s="159">
        <v>1</v>
      </c>
      <c r="E1523" s="159">
        <v>346.5</v>
      </c>
      <c r="F1523" s="159">
        <v>346.5</v>
      </c>
      <c r="G1523" s="160" t="s">
        <v>932</v>
      </c>
      <c r="H1523" s="34" t="s">
        <v>925</v>
      </c>
    </row>
    <row r="1524" spans="1:8" ht="16.5">
      <c r="A1524" s="160"/>
      <c r="B1524" s="160" t="s">
        <v>933</v>
      </c>
      <c r="C1524" s="157" t="s">
        <v>17</v>
      </c>
      <c r="D1524" s="159">
        <v>9</v>
      </c>
      <c r="E1524" s="159"/>
      <c r="F1524" s="159">
        <v>11896.340000000002</v>
      </c>
      <c r="G1524" s="160"/>
    </row>
    <row r="1525" spans="1:8" ht="33">
      <c r="A1525" s="160"/>
      <c r="B1525" s="160" t="s">
        <v>934</v>
      </c>
      <c r="C1525" s="157" t="s">
        <v>17</v>
      </c>
      <c r="D1525" s="159"/>
      <c r="E1525" s="159"/>
      <c r="F1525" s="159">
        <v>1321.82</v>
      </c>
      <c r="G1525" s="160"/>
      <c r="H1525" s="34" t="s">
        <v>925</v>
      </c>
    </row>
    <row r="1526" spans="1:8" ht="33">
      <c r="A1526" s="160"/>
      <c r="B1526" s="160"/>
      <c r="C1526" s="157"/>
      <c r="D1526" s="159"/>
      <c r="E1526" s="159"/>
      <c r="F1526" s="159"/>
      <c r="G1526" s="160"/>
      <c r="H1526" s="34" t="s">
        <v>925</v>
      </c>
    </row>
    <row r="1527" spans="1:8" ht="33">
      <c r="A1527" s="160" t="s">
        <v>1811</v>
      </c>
      <c r="B1527" s="160" t="s">
        <v>1620</v>
      </c>
      <c r="C1527" s="157" t="s">
        <v>17</v>
      </c>
      <c r="D1527" s="159">
        <v>9</v>
      </c>
      <c r="E1527" s="159">
        <v>163.74</v>
      </c>
      <c r="F1527" s="159"/>
      <c r="G1527" s="160" t="s">
        <v>1621</v>
      </c>
      <c r="H1527" s="34" t="s">
        <v>925</v>
      </c>
    </row>
    <row r="1528" spans="1:8" ht="33">
      <c r="A1528" s="160">
        <v>1</v>
      </c>
      <c r="B1528" s="160" t="s">
        <v>1580</v>
      </c>
      <c r="C1528" s="157" t="s">
        <v>17</v>
      </c>
      <c r="D1528" s="159">
        <v>9</v>
      </c>
      <c r="E1528" s="159">
        <v>109.29</v>
      </c>
      <c r="F1528" s="159">
        <v>983.61</v>
      </c>
      <c r="G1528" s="160" t="s">
        <v>1581</v>
      </c>
      <c r="H1528" s="34" t="s">
        <v>925</v>
      </c>
    </row>
    <row r="1529" spans="1:8" ht="33">
      <c r="A1529" s="160">
        <v>2</v>
      </c>
      <c r="B1529" s="160" t="s">
        <v>1622</v>
      </c>
      <c r="C1529" s="157" t="s">
        <v>17</v>
      </c>
      <c r="D1529" s="159">
        <v>9</v>
      </c>
      <c r="E1529" s="159">
        <v>49.68</v>
      </c>
      <c r="F1529" s="159">
        <v>447.12</v>
      </c>
      <c r="G1529" s="160" t="s">
        <v>1623</v>
      </c>
      <c r="H1529" s="34" t="s">
        <v>925</v>
      </c>
    </row>
    <row r="1530" spans="1:8" ht="33">
      <c r="A1530" s="160">
        <v>3</v>
      </c>
      <c r="B1530" s="160" t="s">
        <v>931</v>
      </c>
      <c r="C1530" s="157" t="s">
        <v>14</v>
      </c>
      <c r="D1530" s="159">
        <v>1</v>
      </c>
      <c r="E1530" s="159">
        <v>42.92</v>
      </c>
      <c r="F1530" s="159">
        <v>42.92</v>
      </c>
      <c r="G1530" s="160" t="s">
        <v>932</v>
      </c>
      <c r="H1530" s="34" t="s">
        <v>925</v>
      </c>
    </row>
    <row r="1531" spans="1:8" ht="33">
      <c r="A1531" s="160"/>
      <c r="B1531" s="160" t="s">
        <v>933</v>
      </c>
      <c r="C1531" s="157" t="s">
        <v>17</v>
      </c>
      <c r="D1531" s="159">
        <v>9</v>
      </c>
      <c r="E1531" s="159"/>
      <c r="F1531" s="159">
        <v>1473.65</v>
      </c>
      <c r="G1531" s="160"/>
      <c r="H1531" s="34" t="s">
        <v>925</v>
      </c>
    </row>
    <row r="1532" spans="1:8" ht="33">
      <c r="A1532" s="160"/>
      <c r="B1532" s="160" t="s">
        <v>934</v>
      </c>
      <c r="C1532" s="157" t="s">
        <v>17</v>
      </c>
      <c r="D1532" s="159"/>
      <c r="E1532" s="159"/>
      <c r="F1532" s="159">
        <v>163.74</v>
      </c>
      <c r="G1532" s="160"/>
      <c r="H1532" s="34" t="s">
        <v>925</v>
      </c>
    </row>
    <row r="1533" spans="1:8" ht="33">
      <c r="A1533" s="160"/>
      <c r="B1533" s="160"/>
      <c r="C1533" s="157"/>
      <c r="D1533" s="159"/>
      <c r="E1533" s="159"/>
      <c r="F1533" s="159"/>
      <c r="G1533" s="160"/>
      <c r="H1533" s="34" t="s">
        <v>925</v>
      </c>
    </row>
    <row r="1534" spans="1:8" ht="28.5">
      <c r="A1534" s="160" t="s">
        <v>1816</v>
      </c>
      <c r="B1534" s="160" t="s">
        <v>1625</v>
      </c>
      <c r="C1534" s="157" t="s">
        <v>17</v>
      </c>
      <c r="D1534" s="159">
        <v>9</v>
      </c>
      <c r="E1534" s="159">
        <v>235.37</v>
      </c>
      <c r="F1534" s="159"/>
      <c r="G1534" s="160" t="s">
        <v>1626</v>
      </c>
    </row>
    <row r="1535" spans="1:8" ht="33">
      <c r="A1535" s="160">
        <v>1</v>
      </c>
      <c r="B1535" s="160" t="s">
        <v>1587</v>
      </c>
      <c r="C1535" s="157" t="s">
        <v>17</v>
      </c>
      <c r="D1535" s="159">
        <v>9</v>
      </c>
      <c r="E1535" s="159">
        <v>173.87</v>
      </c>
      <c r="F1535" s="159">
        <v>1564.83</v>
      </c>
      <c r="G1535" s="160" t="s">
        <v>1588</v>
      </c>
      <c r="H1535" s="34" t="s">
        <v>925</v>
      </c>
    </row>
    <row r="1536" spans="1:8" ht="33">
      <c r="A1536" s="160">
        <v>2</v>
      </c>
      <c r="B1536" s="160" t="s">
        <v>1627</v>
      </c>
      <c r="C1536" s="157" t="s">
        <v>17</v>
      </c>
      <c r="D1536" s="159">
        <v>9</v>
      </c>
      <c r="E1536" s="159">
        <v>54.64</v>
      </c>
      <c r="F1536" s="159">
        <v>491.76</v>
      </c>
      <c r="G1536" s="160" t="s">
        <v>1628</v>
      </c>
      <c r="H1536" s="34" t="s">
        <v>925</v>
      </c>
    </row>
    <row r="1537" spans="1:8" ht="33">
      <c r="A1537" s="160">
        <v>3</v>
      </c>
      <c r="B1537" s="160" t="s">
        <v>931</v>
      </c>
      <c r="C1537" s="157" t="s">
        <v>14</v>
      </c>
      <c r="D1537" s="159">
        <v>1</v>
      </c>
      <c r="E1537" s="159">
        <v>61.7</v>
      </c>
      <c r="F1537" s="159">
        <v>61.7</v>
      </c>
      <c r="G1537" s="160" t="s">
        <v>932</v>
      </c>
      <c r="H1537" s="34" t="s">
        <v>925</v>
      </c>
    </row>
    <row r="1538" spans="1:8" ht="33">
      <c r="A1538" s="160"/>
      <c r="B1538" s="160" t="s">
        <v>933</v>
      </c>
      <c r="C1538" s="157" t="s">
        <v>17</v>
      </c>
      <c r="D1538" s="159">
        <v>9</v>
      </c>
      <c r="E1538" s="159"/>
      <c r="F1538" s="159">
        <v>2118.29</v>
      </c>
      <c r="G1538" s="160"/>
      <c r="H1538" s="34" t="s">
        <v>925</v>
      </c>
    </row>
    <row r="1539" spans="1:8" ht="33">
      <c r="A1539" s="160"/>
      <c r="B1539" s="160" t="s">
        <v>934</v>
      </c>
      <c r="C1539" s="157" t="s">
        <v>17</v>
      </c>
      <c r="D1539" s="159"/>
      <c r="E1539" s="159"/>
      <c r="F1539" s="159">
        <v>235.37</v>
      </c>
      <c r="G1539" s="160"/>
      <c r="H1539" s="34" t="s">
        <v>925</v>
      </c>
    </row>
    <row r="1540" spans="1:8" ht="33">
      <c r="A1540" s="160"/>
      <c r="B1540" s="160"/>
      <c r="C1540" s="157"/>
      <c r="D1540" s="159"/>
      <c r="E1540" s="159"/>
      <c r="F1540" s="159"/>
      <c r="G1540" s="160"/>
      <c r="H1540" s="34" t="s">
        <v>925</v>
      </c>
    </row>
    <row r="1541" spans="1:8" ht="33">
      <c r="A1541" s="160" t="s">
        <v>1824</v>
      </c>
      <c r="B1541" s="160" t="s">
        <v>1630</v>
      </c>
      <c r="C1541" s="157" t="s">
        <v>17</v>
      </c>
      <c r="D1541" s="159">
        <v>9</v>
      </c>
      <c r="E1541" s="159">
        <v>334.29</v>
      </c>
      <c r="F1541" s="159"/>
      <c r="G1541" s="160" t="s">
        <v>1631</v>
      </c>
      <c r="H1541" s="34" t="s">
        <v>925</v>
      </c>
    </row>
    <row r="1542" spans="1:8" ht="33">
      <c r="A1542" s="160">
        <v>1</v>
      </c>
      <c r="B1542" s="160" t="s">
        <v>1608</v>
      </c>
      <c r="C1542" s="157" t="s">
        <v>17</v>
      </c>
      <c r="D1542" s="159">
        <v>9</v>
      </c>
      <c r="E1542" s="159">
        <v>198.71</v>
      </c>
      <c r="F1542" s="159">
        <v>1788.39</v>
      </c>
      <c r="G1542" s="160" t="s">
        <v>1609</v>
      </c>
      <c r="H1542" s="34" t="s">
        <v>925</v>
      </c>
    </row>
    <row r="1543" spans="1:8" ht="33">
      <c r="A1543" s="160">
        <v>2</v>
      </c>
      <c r="B1543" s="160" t="s">
        <v>1632</v>
      </c>
      <c r="C1543" s="157" t="s">
        <v>17</v>
      </c>
      <c r="D1543" s="159">
        <v>9</v>
      </c>
      <c r="E1543" s="159">
        <v>59.61</v>
      </c>
      <c r="F1543" s="159">
        <v>536.49</v>
      </c>
      <c r="G1543" s="160" t="s">
        <v>1633</v>
      </c>
      <c r="H1543" s="34" t="s">
        <v>925</v>
      </c>
    </row>
    <row r="1544" spans="1:8" ht="28.5">
      <c r="A1544" s="160">
        <v>3</v>
      </c>
      <c r="B1544" s="160" t="s">
        <v>1540</v>
      </c>
      <c r="C1544" s="157" t="s">
        <v>14</v>
      </c>
      <c r="D1544" s="159">
        <v>1</v>
      </c>
      <c r="E1544" s="159">
        <v>596.12</v>
      </c>
      <c r="F1544" s="159">
        <v>596.12</v>
      </c>
      <c r="G1544" s="160" t="s">
        <v>1541</v>
      </c>
    </row>
    <row r="1545" spans="1:8" ht="33">
      <c r="A1545" s="160">
        <v>4</v>
      </c>
      <c r="B1545" s="160" t="s">
        <v>931</v>
      </c>
      <c r="C1545" s="157" t="s">
        <v>14</v>
      </c>
      <c r="D1545" s="159">
        <v>1</v>
      </c>
      <c r="E1545" s="159">
        <v>87.63</v>
      </c>
      <c r="F1545" s="159">
        <v>87.63</v>
      </c>
      <c r="G1545" s="160" t="s">
        <v>932</v>
      </c>
      <c r="H1545" s="34" t="s">
        <v>925</v>
      </c>
    </row>
    <row r="1546" spans="1:8" ht="33">
      <c r="A1546" s="160"/>
      <c r="B1546" s="160" t="s">
        <v>933</v>
      </c>
      <c r="C1546" s="157" t="s">
        <v>17</v>
      </c>
      <c r="D1546" s="159">
        <v>9</v>
      </c>
      <c r="E1546" s="159"/>
      <c r="F1546" s="159">
        <v>3008.63</v>
      </c>
      <c r="G1546" s="160"/>
      <c r="H1546" s="34" t="s">
        <v>925</v>
      </c>
    </row>
    <row r="1547" spans="1:8" ht="33">
      <c r="A1547" s="160"/>
      <c r="B1547" s="160" t="s">
        <v>934</v>
      </c>
      <c r="C1547" s="157" t="s">
        <v>17</v>
      </c>
      <c r="D1547" s="159"/>
      <c r="E1547" s="159"/>
      <c r="F1547" s="159">
        <v>334.29</v>
      </c>
      <c r="G1547" s="160"/>
      <c r="H1547" s="34" t="s">
        <v>925</v>
      </c>
    </row>
    <row r="1548" spans="1:8" ht="33">
      <c r="A1548" s="160"/>
      <c r="B1548" s="160"/>
      <c r="C1548" s="157"/>
      <c r="D1548" s="159"/>
      <c r="E1548" s="159"/>
      <c r="F1548" s="159"/>
      <c r="G1548" s="160"/>
      <c r="H1548" s="34" t="s">
        <v>925</v>
      </c>
    </row>
    <row r="1549" spans="1:8" ht="33">
      <c r="A1549" s="160" t="s">
        <v>1831</v>
      </c>
      <c r="B1549" s="160" t="s">
        <v>1635</v>
      </c>
      <c r="C1549" s="157" t="s">
        <v>3</v>
      </c>
      <c r="D1549" s="159">
        <v>10</v>
      </c>
      <c r="E1549" s="159">
        <v>337.65</v>
      </c>
      <c r="F1549" s="159"/>
      <c r="G1549" s="160" t="s">
        <v>1636</v>
      </c>
      <c r="H1549" s="34" t="s">
        <v>925</v>
      </c>
    </row>
    <row r="1550" spans="1:8" ht="33">
      <c r="A1550" s="160">
        <v>1</v>
      </c>
      <c r="B1550" s="160" t="s">
        <v>1637</v>
      </c>
      <c r="C1550" s="157" t="s">
        <v>0</v>
      </c>
      <c r="D1550" s="159">
        <v>0.15</v>
      </c>
      <c r="E1550" s="159">
        <v>3547.09</v>
      </c>
      <c r="F1550" s="159">
        <v>532.05999999999995</v>
      </c>
      <c r="G1550" s="160" t="s">
        <v>4954</v>
      </c>
      <c r="H1550" s="34" t="s">
        <v>925</v>
      </c>
    </row>
    <row r="1551" spans="1:8" ht="28.5">
      <c r="A1551" s="160">
        <v>2</v>
      </c>
      <c r="B1551" s="160" t="s">
        <v>1638</v>
      </c>
      <c r="C1551" s="157" t="s">
        <v>927</v>
      </c>
      <c r="D1551" s="159">
        <v>4</v>
      </c>
      <c r="E1551" s="159">
        <v>407.35</v>
      </c>
      <c r="F1551" s="159">
        <v>1629.4</v>
      </c>
      <c r="G1551" s="160" t="s">
        <v>1639</v>
      </c>
    </row>
    <row r="1552" spans="1:8" ht="33">
      <c r="A1552" s="160">
        <v>3</v>
      </c>
      <c r="B1552" s="160" t="s">
        <v>4871</v>
      </c>
      <c r="C1552" s="157" t="s">
        <v>927</v>
      </c>
      <c r="D1552" s="159">
        <v>4</v>
      </c>
      <c r="E1552" s="159">
        <v>279.18</v>
      </c>
      <c r="F1552" s="159">
        <v>1116.72</v>
      </c>
      <c r="G1552" s="160" t="s">
        <v>4872</v>
      </c>
      <c r="H1552" s="34" t="s">
        <v>925</v>
      </c>
    </row>
    <row r="1553" spans="1:8" ht="33">
      <c r="A1553" s="160">
        <v>4</v>
      </c>
      <c r="B1553" s="160" t="s">
        <v>955</v>
      </c>
      <c r="C1553" s="157" t="s">
        <v>14</v>
      </c>
      <c r="D1553" s="159">
        <v>1</v>
      </c>
      <c r="E1553" s="159">
        <v>98.35</v>
      </c>
      <c r="F1553" s="159">
        <v>98.35</v>
      </c>
      <c r="G1553" s="160" t="s">
        <v>956</v>
      </c>
      <c r="H1553" s="34" t="s">
        <v>925</v>
      </c>
    </row>
    <row r="1554" spans="1:8" ht="33">
      <c r="A1554" s="160"/>
      <c r="B1554" s="160" t="s">
        <v>933</v>
      </c>
      <c r="C1554" s="157" t="s">
        <v>3</v>
      </c>
      <c r="D1554" s="159">
        <v>10</v>
      </c>
      <c r="E1554" s="159"/>
      <c r="F1554" s="159">
        <v>3376.53</v>
      </c>
      <c r="G1554" s="160"/>
      <c r="H1554" s="34" t="s">
        <v>925</v>
      </c>
    </row>
    <row r="1555" spans="1:8" ht="33">
      <c r="A1555" s="160"/>
      <c r="B1555" s="160" t="s">
        <v>934</v>
      </c>
      <c r="C1555" s="157" t="s">
        <v>3</v>
      </c>
      <c r="D1555" s="159"/>
      <c r="E1555" s="159"/>
      <c r="F1555" s="159">
        <v>337.65</v>
      </c>
      <c r="G1555" s="160"/>
      <c r="H1555" s="34" t="s">
        <v>925</v>
      </c>
    </row>
    <row r="1556" spans="1:8" ht="33">
      <c r="A1556" s="160"/>
      <c r="B1556" s="160"/>
      <c r="C1556" s="157"/>
      <c r="D1556" s="159"/>
      <c r="E1556" s="159"/>
      <c r="F1556" s="159"/>
      <c r="G1556" s="160"/>
      <c r="H1556" s="34" t="s">
        <v>925</v>
      </c>
    </row>
    <row r="1557" spans="1:8" ht="33">
      <c r="A1557" s="160" t="s">
        <v>1838</v>
      </c>
      <c r="B1557" s="160" t="s">
        <v>1641</v>
      </c>
      <c r="C1557" s="157" t="s">
        <v>3</v>
      </c>
      <c r="D1557" s="159">
        <v>1</v>
      </c>
      <c r="E1557" s="159">
        <v>508.62</v>
      </c>
      <c r="F1557" s="159"/>
      <c r="G1557" s="160" t="s">
        <v>1642</v>
      </c>
      <c r="H1557" s="34" t="s">
        <v>925</v>
      </c>
    </row>
    <row r="1558" spans="1:8" ht="28.5">
      <c r="A1558" s="160">
        <v>1</v>
      </c>
      <c r="B1558" s="160" t="s">
        <v>1643</v>
      </c>
      <c r="C1558" s="157" t="s">
        <v>0</v>
      </c>
      <c r="D1558" s="159">
        <v>0.02</v>
      </c>
      <c r="E1558" s="159">
        <v>5106.05</v>
      </c>
      <c r="F1558" s="159">
        <v>102.12</v>
      </c>
      <c r="G1558" s="160" t="s">
        <v>4955</v>
      </c>
    </row>
    <row r="1559" spans="1:8" ht="33">
      <c r="A1559" s="160">
        <v>2</v>
      </c>
      <c r="B1559" s="160" t="s">
        <v>1638</v>
      </c>
      <c r="C1559" s="157" t="s">
        <v>927</v>
      </c>
      <c r="D1559" s="159">
        <v>0.66</v>
      </c>
      <c r="E1559" s="159">
        <v>407.35</v>
      </c>
      <c r="F1559" s="159">
        <v>268.85000000000002</v>
      </c>
      <c r="G1559" s="160" t="s">
        <v>1639</v>
      </c>
      <c r="H1559" s="34" t="s">
        <v>925</v>
      </c>
    </row>
    <row r="1560" spans="1:8" ht="33">
      <c r="A1560" s="160">
        <v>3</v>
      </c>
      <c r="B1560" s="160" t="s">
        <v>1644</v>
      </c>
      <c r="C1560" s="157" t="s">
        <v>927</v>
      </c>
      <c r="D1560" s="159">
        <v>0.44</v>
      </c>
      <c r="E1560" s="159">
        <v>279.18</v>
      </c>
      <c r="F1560" s="159">
        <v>122.84</v>
      </c>
      <c r="G1560" s="160" t="s">
        <v>1645</v>
      </c>
      <c r="H1560" s="34" t="s">
        <v>925</v>
      </c>
    </row>
    <row r="1561" spans="1:8" ht="33">
      <c r="A1561" s="160">
        <v>4</v>
      </c>
      <c r="B1561" s="160" t="s">
        <v>955</v>
      </c>
      <c r="C1561" s="157" t="s">
        <v>14</v>
      </c>
      <c r="D1561" s="159">
        <v>1</v>
      </c>
      <c r="E1561" s="159">
        <v>14.81</v>
      </c>
      <c r="F1561" s="159">
        <v>14.81</v>
      </c>
      <c r="G1561" s="160" t="s">
        <v>956</v>
      </c>
      <c r="H1561" s="34" t="s">
        <v>925</v>
      </c>
    </row>
    <row r="1562" spans="1:8" ht="33">
      <c r="A1562" s="160"/>
      <c r="B1562" s="160" t="s">
        <v>933</v>
      </c>
      <c r="C1562" s="157" t="s">
        <v>3</v>
      </c>
      <c r="D1562" s="159">
        <v>1</v>
      </c>
      <c r="E1562" s="159"/>
      <c r="F1562" s="159">
        <v>508.62000000000006</v>
      </c>
      <c r="G1562" s="160"/>
      <c r="H1562" s="34" t="s">
        <v>925</v>
      </c>
    </row>
    <row r="1563" spans="1:8" ht="33">
      <c r="A1563" s="160"/>
      <c r="B1563" s="160" t="s">
        <v>934</v>
      </c>
      <c r="C1563" s="157" t="s">
        <v>3</v>
      </c>
      <c r="D1563" s="159"/>
      <c r="E1563" s="159"/>
      <c r="F1563" s="159">
        <v>508.62</v>
      </c>
      <c r="G1563" s="160"/>
      <c r="H1563" s="34" t="s">
        <v>925</v>
      </c>
    </row>
    <row r="1564" spans="1:8" ht="33">
      <c r="A1564" s="160"/>
      <c r="B1564" s="160"/>
      <c r="C1564" s="157"/>
      <c r="D1564" s="159"/>
      <c r="E1564" s="159"/>
      <c r="F1564" s="159"/>
      <c r="G1564" s="160"/>
      <c r="H1564" s="34" t="s">
        <v>925</v>
      </c>
    </row>
    <row r="1565" spans="1:8" ht="28.5">
      <c r="A1565" s="160" t="s">
        <v>1845</v>
      </c>
      <c r="B1565" s="160" t="s">
        <v>1647</v>
      </c>
      <c r="C1565" s="157" t="s">
        <v>3</v>
      </c>
      <c r="D1565" s="159">
        <v>1</v>
      </c>
      <c r="E1565" s="159">
        <v>480.44</v>
      </c>
      <c r="F1565" s="159"/>
      <c r="G1565" s="160" t="s">
        <v>1648</v>
      </c>
    </row>
    <row r="1566" spans="1:8" ht="33">
      <c r="A1566" s="160">
        <v>1</v>
      </c>
      <c r="B1566" s="160" t="s">
        <v>1649</v>
      </c>
      <c r="C1566" s="157" t="s">
        <v>0</v>
      </c>
      <c r="D1566" s="159">
        <v>0.02</v>
      </c>
      <c r="E1566" s="159">
        <v>3737.85</v>
      </c>
      <c r="F1566" s="159">
        <v>74.760000000000005</v>
      </c>
      <c r="G1566" s="160" t="s">
        <v>4956</v>
      </c>
      <c r="H1566" s="34" t="s">
        <v>925</v>
      </c>
    </row>
    <row r="1567" spans="1:8" ht="33">
      <c r="A1567" s="160">
        <v>2</v>
      </c>
      <c r="B1567" s="160" t="s">
        <v>1638</v>
      </c>
      <c r="C1567" s="157" t="s">
        <v>927</v>
      </c>
      <c r="D1567" s="159">
        <v>0.66</v>
      </c>
      <c r="E1567" s="159">
        <v>407.35</v>
      </c>
      <c r="F1567" s="159">
        <v>268.85000000000002</v>
      </c>
      <c r="G1567" s="160" t="s">
        <v>1639</v>
      </c>
      <c r="H1567" s="34" t="s">
        <v>925</v>
      </c>
    </row>
    <row r="1568" spans="1:8" ht="33">
      <c r="A1568" s="160">
        <v>3</v>
      </c>
      <c r="B1568" s="160" t="s">
        <v>1644</v>
      </c>
      <c r="C1568" s="157" t="s">
        <v>927</v>
      </c>
      <c r="D1568" s="159">
        <v>0.44</v>
      </c>
      <c r="E1568" s="159">
        <v>279.18</v>
      </c>
      <c r="F1568" s="159">
        <v>122.84</v>
      </c>
      <c r="G1568" s="160" t="s">
        <v>1645</v>
      </c>
      <c r="H1568" s="34" t="s">
        <v>925</v>
      </c>
    </row>
    <row r="1569" spans="1:8" ht="33">
      <c r="A1569" s="160">
        <v>4</v>
      </c>
      <c r="B1569" s="160" t="s">
        <v>955</v>
      </c>
      <c r="C1569" s="157" t="s">
        <v>14</v>
      </c>
      <c r="D1569" s="159">
        <v>1</v>
      </c>
      <c r="E1569" s="159">
        <v>13.99</v>
      </c>
      <c r="F1569" s="159">
        <v>13.99</v>
      </c>
      <c r="G1569" s="160" t="s">
        <v>956</v>
      </c>
      <c r="H1569" s="34" t="s">
        <v>925</v>
      </c>
    </row>
    <row r="1570" spans="1:8" ht="33">
      <c r="A1570" s="160"/>
      <c r="B1570" s="160" t="s">
        <v>933</v>
      </c>
      <c r="C1570" s="157" t="s">
        <v>3</v>
      </c>
      <c r="D1570" s="159">
        <v>1</v>
      </c>
      <c r="E1570" s="159"/>
      <c r="F1570" s="159">
        <v>480.44000000000005</v>
      </c>
      <c r="G1570" s="160"/>
      <c r="H1570" s="34" t="s">
        <v>925</v>
      </c>
    </row>
    <row r="1571" spans="1:8" ht="33">
      <c r="A1571" s="160"/>
      <c r="B1571" s="160" t="s">
        <v>934</v>
      </c>
      <c r="C1571" s="157" t="s">
        <v>3</v>
      </c>
      <c r="D1571" s="159"/>
      <c r="E1571" s="159"/>
      <c r="F1571" s="159">
        <v>480.44</v>
      </c>
      <c r="G1571" s="160"/>
      <c r="H1571" s="34" t="s">
        <v>925</v>
      </c>
    </row>
    <row r="1572" spans="1:8" ht="16.5">
      <c r="A1572" s="160"/>
      <c r="B1572" s="160"/>
      <c r="C1572" s="157"/>
      <c r="D1572" s="159"/>
      <c r="E1572" s="159"/>
      <c r="F1572" s="159"/>
      <c r="G1572" s="160"/>
    </row>
    <row r="1573" spans="1:8" ht="42.75">
      <c r="A1573" s="160" t="s">
        <v>1852</v>
      </c>
      <c r="B1573" s="160" t="s">
        <v>1651</v>
      </c>
      <c r="C1573" s="157" t="s">
        <v>3</v>
      </c>
      <c r="D1573" s="159">
        <v>200</v>
      </c>
      <c r="E1573" s="159">
        <v>105.34</v>
      </c>
      <c r="F1573" s="159"/>
      <c r="G1573" s="160" t="s">
        <v>1652</v>
      </c>
      <c r="H1573" s="34" t="s">
        <v>925</v>
      </c>
    </row>
    <row r="1574" spans="1:8" ht="33">
      <c r="A1574" s="160">
        <v>1</v>
      </c>
      <c r="B1574" s="160" t="s">
        <v>1637</v>
      </c>
      <c r="C1574" s="157" t="s">
        <v>0</v>
      </c>
      <c r="D1574" s="159">
        <v>1</v>
      </c>
      <c r="E1574" s="159">
        <v>3547.09</v>
      </c>
      <c r="F1574" s="159">
        <v>3547.09</v>
      </c>
      <c r="G1574" s="160" t="s">
        <v>4954</v>
      </c>
      <c r="H1574" s="34" t="s">
        <v>925</v>
      </c>
    </row>
    <row r="1575" spans="1:8" ht="33">
      <c r="A1575" s="160">
        <v>2</v>
      </c>
      <c r="B1575" s="160" t="s">
        <v>1653</v>
      </c>
      <c r="C1575" s="157" t="s">
        <v>14</v>
      </c>
      <c r="D1575" s="159">
        <v>1</v>
      </c>
      <c r="E1575" s="159">
        <v>5961.23</v>
      </c>
      <c r="F1575" s="159">
        <v>5961.23</v>
      </c>
      <c r="G1575" s="160" t="s">
        <v>1654</v>
      </c>
      <c r="H1575" s="34" t="s">
        <v>925</v>
      </c>
    </row>
    <row r="1576" spans="1:8" ht="33">
      <c r="A1576" s="160">
        <v>3</v>
      </c>
      <c r="B1576" s="160" t="s">
        <v>1638</v>
      </c>
      <c r="C1576" s="157" t="s">
        <v>927</v>
      </c>
      <c r="D1576" s="159">
        <v>12</v>
      </c>
      <c r="E1576" s="159">
        <v>407.35</v>
      </c>
      <c r="F1576" s="159">
        <v>4888.2</v>
      </c>
      <c r="G1576" s="160" t="s">
        <v>1639</v>
      </c>
      <c r="H1576" s="34" t="s">
        <v>925</v>
      </c>
    </row>
    <row r="1577" spans="1:8" ht="33">
      <c r="A1577" s="160">
        <v>4</v>
      </c>
      <c r="B1577" s="160" t="s">
        <v>1644</v>
      </c>
      <c r="C1577" s="157" t="s">
        <v>927</v>
      </c>
      <c r="D1577" s="159">
        <v>16</v>
      </c>
      <c r="E1577" s="159">
        <v>279.18</v>
      </c>
      <c r="F1577" s="159">
        <v>4466.88</v>
      </c>
      <c r="G1577" s="160" t="s">
        <v>1645</v>
      </c>
      <c r="H1577" s="34" t="s">
        <v>925</v>
      </c>
    </row>
    <row r="1578" spans="1:8" ht="33">
      <c r="A1578" s="160">
        <v>5</v>
      </c>
      <c r="B1578" s="160" t="s">
        <v>1655</v>
      </c>
      <c r="C1578" s="157" t="s">
        <v>3</v>
      </c>
      <c r="D1578" s="159">
        <v>200</v>
      </c>
      <c r="E1578" s="159">
        <v>7.95</v>
      </c>
      <c r="F1578" s="159">
        <v>1590</v>
      </c>
      <c r="G1578" s="160" t="s">
        <v>1656</v>
      </c>
      <c r="H1578" s="34" t="s">
        <v>925</v>
      </c>
    </row>
    <row r="1579" spans="1:8" ht="28.5">
      <c r="A1579" s="160">
        <v>6</v>
      </c>
      <c r="B1579" s="160" t="s">
        <v>931</v>
      </c>
      <c r="C1579" s="157" t="s">
        <v>14</v>
      </c>
      <c r="D1579" s="159">
        <v>1</v>
      </c>
      <c r="E1579" s="159">
        <v>613.6</v>
      </c>
      <c r="F1579" s="159">
        <v>613.6</v>
      </c>
      <c r="G1579" s="160" t="s">
        <v>932</v>
      </c>
    </row>
    <row r="1580" spans="1:8" ht="33">
      <c r="A1580" s="160"/>
      <c r="B1580" s="160" t="s">
        <v>933</v>
      </c>
      <c r="C1580" s="157" t="s">
        <v>3</v>
      </c>
      <c r="D1580" s="159">
        <v>200</v>
      </c>
      <c r="E1580" s="159"/>
      <c r="F1580" s="159">
        <v>21067</v>
      </c>
      <c r="G1580" s="160"/>
      <c r="H1580" s="34" t="s">
        <v>925</v>
      </c>
    </row>
    <row r="1581" spans="1:8" ht="33">
      <c r="A1581" s="160"/>
      <c r="B1581" s="160" t="s">
        <v>934</v>
      </c>
      <c r="C1581" s="157" t="s">
        <v>3</v>
      </c>
      <c r="D1581" s="159"/>
      <c r="E1581" s="159"/>
      <c r="F1581" s="159">
        <v>105.34</v>
      </c>
      <c r="G1581" s="160"/>
      <c r="H1581" s="34" t="s">
        <v>925</v>
      </c>
    </row>
    <row r="1582" spans="1:8" ht="33">
      <c r="A1582" s="160"/>
      <c r="B1582" s="160"/>
      <c r="C1582" s="157"/>
      <c r="D1582" s="159"/>
      <c r="E1582" s="159"/>
      <c r="F1582" s="159"/>
      <c r="G1582" s="160"/>
      <c r="H1582" s="34" t="s">
        <v>925</v>
      </c>
    </row>
    <row r="1583" spans="1:8" ht="33">
      <c r="A1583" s="160" t="s">
        <v>1859</v>
      </c>
      <c r="B1583" s="160" t="s">
        <v>1643</v>
      </c>
      <c r="C1583" s="157" t="s">
        <v>0</v>
      </c>
      <c r="D1583" s="159">
        <v>1</v>
      </c>
      <c r="E1583" s="159">
        <v>5106.05</v>
      </c>
      <c r="F1583" s="159"/>
      <c r="G1583" s="160" t="s">
        <v>1658</v>
      </c>
      <c r="H1583" s="34" t="s">
        <v>925</v>
      </c>
    </row>
    <row r="1584" spans="1:8" ht="33">
      <c r="A1584" s="160">
        <v>1</v>
      </c>
      <c r="B1584" s="160" t="s">
        <v>1294</v>
      </c>
      <c r="C1584" s="157" t="s">
        <v>1295</v>
      </c>
      <c r="D1584" s="159">
        <v>20</v>
      </c>
      <c r="E1584" s="159">
        <v>165.92</v>
      </c>
      <c r="F1584" s="159">
        <v>3318.4</v>
      </c>
      <c r="G1584" s="160" t="s">
        <v>1296</v>
      </c>
      <c r="H1584" s="34" t="s">
        <v>925</v>
      </c>
    </row>
    <row r="1585" spans="1:8" ht="33">
      <c r="A1585" s="160">
        <v>2</v>
      </c>
      <c r="B1585" s="160" t="s">
        <v>1659</v>
      </c>
      <c r="C1585" s="157" t="s">
        <v>1121</v>
      </c>
      <c r="D1585" s="159">
        <v>0.67</v>
      </c>
      <c r="E1585" s="159">
        <v>1112.76</v>
      </c>
      <c r="F1585" s="159">
        <v>745.55</v>
      </c>
      <c r="G1585" s="160" t="s">
        <v>1660</v>
      </c>
      <c r="H1585" s="34" t="s">
        <v>925</v>
      </c>
    </row>
    <row r="1586" spans="1:8" ht="28.5">
      <c r="A1586" s="160">
        <v>3</v>
      </c>
      <c r="B1586" s="160" t="s">
        <v>4871</v>
      </c>
      <c r="C1586" s="157" t="s">
        <v>927</v>
      </c>
      <c r="D1586" s="159">
        <v>3.2</v>
      </c>
      <c r="E1586" s="159">
        <v>279.18</v>
      </c>
      <c r="F1586" s="159">
        <v>893.38</v>
      </c>
      <c r="G1586" s="160" t="s">
        <v>4876</v>
      </c>
    </row>
    <row r="1587" spans="1:8" ht="33">
      <c r="A1587" s="160">
        <v>4</v>
      </c>
      <c r="B1587" s="160" t="s">
        <v>955</v>
      </c>
      <c r="C1587" s="157" t="s">
        <v>14</v>
      </c>
      <c r="D1587" s="159">
        <v>1</v>
      </c>
      <c r="E1587" s="159">
        <v>148.72</v>
      </c>
      <c r="F1587" s="159">
        <v>148.72</v>
      </c>
      <c r="G1587" s="160" t="s">
        <v>956</v>
      </c>
      <c r="H1587" s="34" t="s">
        <v>925</v>
      </c>
    </row>
    <row r="1588" spans="1:8" ht="33">
      <c r="A1588" s="160"/>
      <c r="B1588" s="160" t="s">
        <v>933</v>
      </c>
      <c r="C1588" s="157" t="s">
        <v>0</v>
      </c>
      <c r="D1588" s="159">
        <v>1</v>
      </c>
      <c r="E1588" s="159"/>
      <c r="F1588" s="159">
        <v>5106.05</v>
      </c>
      <c r="G1588" s="160"/>
      <c r="H1588" s="34" t="s">
        <v>925</v>
      </c>
    </row>
    <row r="1589" spans="1:8" ht="33">
      <c r="A1589" s="160"/>
      <c r="B1589" s="160" t="s">
        <v>934</v>
      </c>
      <c r="C1589" s="157" t="s">
        <v>0</v>
      </c>
      <c r="D1589" s="159"/>
      <c r="E1589" s="159"/>
      <c r="F1589" s="159">
        <v>5106.05</v>
      </c>
      <c r="G1589" s="160"/>
      <c r="H1589" s="34" t="s">
        <v>925</v>
      </c>
    </row>
    <row r="1590" spans="1:8" ht="33">
      <c r="A1590" s="160"/>
      <c r="B1590" s="160"/>
      <c r="C1590" s="157"/>
      <c r="D1590" s="159"/>
      <c r="E1590" s="159"/>
      <c r="F1590" s="159"/>
      <c r="G1590" s="160"/>
      <c r="H1590" s="34" t="s">
        <v>925</v>
      </c>
    </row>
    <row r="1591" spans="1:8" ht="33">
      <c r="A1591" s="160" t="s">
        <v>1866</v>
      </c>
      <c r="B1591" s="160" t="s">
        <v>1649</v>
      </c>
      <c r="C1591" s="157" t="s">
        <v>0</v>
      </c>
      <c r="D1591" s="159">
        <v>1</v>
      </c>
      <c r="E1591" s="159">
        <v>3737.85</v>
      </c>
      <c r="F1591" s="159"/>
      <c r="G1591" s="160" t="s">
        <v>1662</v>
      </c>
      <c r="H1591" s="34" t="s">
        <v>925</v>
      </c>
    </row>
    <row r="1592" spans="1:8" ht="33">
      <c r="A1592" s="160">
        <v>1</v>
      </c>
      <c r="B1592" s="160" t="s">
        <v>1294</v>
      </c>
      <c r="C1592" s="157" t="s">
        <v>1295</v>
      </c>
      <c r="D1592" s="159">
        <v>13</v>
      </c>
      <c r="E1592" s="159">
        <v>165.92</v>
      </c>
      <c r="F1592" s="159">
        <v>2156.96</v>
      </c>
      <c r="G1592" s="160" t="s">
        <v>1296</v>
      </c>
      <c r="H1592" s="34" t="s">
        <v>925</v>
      </c>
    </row>
    <row r="1593" spans="1:8" ht="28.5">
      <c r="A1593" s="160">
        <v>2</v>
      </c>
      <c r="B1593" s="160" t="s">
        <v>1299</v>
      </c>
      <c r="C1593" s="157" t="s">
        <v>1121</v>
      </c>
      <c r="D1593" s="159">
        <v>0.8</v>
      </c>
      <c r="E1593" s="159">
        <v>723.3</v>
      </c>
      <c r="F1593" s="159">
        <v>578.64</v>
      </c>
      <c r="G1593" s="160" t="s">
        <v>1300</v>
      </c>
    </row>
    <row r="1594" spans="1:8" ht="33">
      <c r="A1594" s="160">
        <v>3</v>
      </c>
      <c r="B1594" s="160" t="s">
        <v>4871</v>
      </c>
      <c r="C1594" s="157" t="s">
        <v>927</v>
      </c>
      <c r="D1594" s="159">
        <v>3.2</v>
      </c>
      <c r="E1594" s="159">
        <v>279.18</v>
      </c>
      <c r="F1594" s="159">
        <v>893.38</v>
      </c>
      <c r="G1594" s="160" t="s">
        <v>4872</v>
      </c>
      <c r="H1594" s="34" t="s">
        <v>925</v>
      </c>
    </row>
    <row r="1595" spans="1:8" ht="33">
      <c r="A1595" s="160">
        <v>4</v>
      </c>
      <c r="B1595" s="160" t="s">
        <v>955</v>
      </c>
      <c r="C1595" s="157" t="s">
        <v>14</v>
      </c>
      <c r="D1595" s="159">
        <v>1</v>
      </c>
      <c r="E1595" s="159">
        <v>108.87</v>
      </c>
      <c r="F1595" s="159">
        <v>108.87</v>
      </c>
      <c r="G1595" s="160" t="s">
        <v>956</v>
      </c>
      <c r="H1595" s="34" t="s">
        <v>925</v>
      </c>
    </row>
    <row r="1596" spans="1:8" ht="33">
      <c r="A1596" s="160"/>
      <c r="B1596" s="160" t="s">
        <v>933</v>
      </c>
      <c r="C1596" s="157" t="s">
        <v>0</v>
      </c>
      <c r="D1596" s="159">
        <v>1</v>
      </c>
      <c r="E1596" s="159"/>
      <c r="F1596" s="159">
        <v>3737.85</v>
      </c>
      <c r="G1596" s="160"/>
      <c r="H1596" s="34" t="s">
        <v>925</v>
      </c>
    </row>
    <row r="1597" spans="1:8" ht="33">
      <c r="A1597" s="160"/>
      <c r="B1597" s="160" t="s">
        <v>934</v>
      </c>
      <c r="C1597" s="157" t="s">
        <v>0</v>
      </c>
      <c r="D1597" s="159"/>
      <c r="E1597" s="159"/>
      <c r="F1597" s="159">
        <v>3737.85</v>
      </c>
      <c r="G1597" s="160"/>
      <c r="H1597" s="34" t="s">
        <v>925</v>
      </c>
    </row>
    <row r="1598" spans="1:8" ht="33">
      <c r="A1598" s="160"/>
      <c r="B1598" s="160"/>
      <c r="C1598" s="157"/>
      <c r="D1598" s="159"/>
      <c r="E1598" s="159"/>
      <c r="F1598" s="159"/>
      <c r="G1598" s="160"/>
      <c r="H1598" s="34" t="s">
        <v>925</v>
      </c>
    </row>
    <row r="1599" spans="1:8" ht="33">
      <c r="A1599" s="160" t="s">
        <v>1873</v>
      </c>
      <c r="B1599" s="160" t="s">
        <v>1637</v>
      </c>
      <c r="C1599" s="157" t="s">
        <v>0</v>
      </c>
      <c r="D1599" s="159">
        <v>1</v>
      </c>
      <c r="E1599" s="159">
        <v>3547.09</v>
      </c>
      <c r="F1599" s="159"/>
      <c r="G1599" s="160" t="s">
        <v>1664</v>
      </c>
      <c r="H1599" s="34" t="s">
        <v>925</v>
      </c>
    </row>
    <row r="1600" spans="1:8" ht="28.5">
      <c r="A1600" s="160">
        <v>1</v>
      </c>
      <c r="B1600" s="160" t="s">
        <v>1294</v>
      </c>
      <c r="C1600" s="157" t="s">
        <v>1295</v>
      </c>
      <c r="D1600" s="159">
        <v>9</v>
      </c>
      <c r="E1600" s="159">
        <v>165.92</v>
      </c>
      <c r="F1600" s="159">
        <v>1493.28</v>
      </c>
      <c r="G1600" s="160" t="s">
        <v>1296</v>
      </c>
    </row>
    <row r="1601" spans="1:8" ht="33">
      <c r="A1601" s="160">
        <v>2</v>
      </c>
      <c r="B1601" s="160" t="s">
        <v>1659</v>
      </c>
      <c r="C1601" s="157" t="s">
        <v>1121</v>
      </c>
      <c r="D1601" s="159">
        <v>0.95</v>
      </c>
      <c r="E1601" s="159">
        <v>1112.76</v>
      </c>
      <c r="F1601" s="159">
        <v>1057.1199999999999</v>
      </c>
      <c r="G1601" s="160" t="s">
        <v>1660</v>
      </c>
      <c r="H1601" s="34" t="s">
        <v>925</v>
      </c>
    </row>
    <row r="1602" spans="1:8" ht="33">
      <c r="A1602" s="160">
        <v>3</v>
      </c>
      <c r="B1602" s="160" t="s">
        <v>4871</v>
      </c>
      <c r="C1602" s="157" t="s">
        <v>927</v>
      </c>
      <c r="D1602" s="159">
        <v>3.2</v>
      </c>
      <c r="E1602" s="159">
        <v>279.18</v>
      </c>
      <c r="F1602" s="159">
        <v>893.38</v>
      </c>
      <c r="G1602" s="160" t="s">
        <v>4876</v>
      </c>
      <c r="H1602" s="34" t="s">
        <v>925</v>
      </c>
    </row>
    <row r="1603" spans="1:8" ht="33">
      <c r="A1603" s="160">
        <v>4</v>
      </c>
      <c r="B1603" s="160" t="s">
        <v>955</v>
      </c>
      <c r="C1603" s="157" t="s">
        <v>14</v>
      </c>
      <c r="D1603" s="159">
        <v>1</v>
      </c>
      <c r="E1603" s="159">
        <v>103.31</v>
      </c>
      <c r="F1603" s="159">
        <v>103.31</v>
      </c>
      <c r="G1603" s="160" t="s">
        <v>956</v>
      </c>
      <c r="H1603" s="34" t="s">
        <v>925</v>
      </c>
    </row>
    <row r="1604" spans="1:8" ht="33">
      <c r="A1604" s="160"/>
      <c r="B1604" s="160" t="s">
        <v>933</v>
      </c>
      <c r="C1604" s="157" t="s">
        <v>0</v>
      </c>
      <c r="D1604" s="159">
        <v>1</v>
      </c>
      <c r="E1604" s="159"/>
      <c r="F1604" s="159">
        <v>3547.0899999999997</v>
      </c>
      <c r="G1604" s="160"/>
      <c r="H1604" s="34" t="s">
        <v>925</v>
      </c>
    </row>
    <row r="1605" spans="1:8" ht="33">
      <c r="A1605" s="160"/>
      <c r="B1605" s="160" t="s">
        <v>934</v>
      </c>
      <c r="C1605" s="157" t="s">
        <v>0</v>
      </c>
      <c r="D1605" s="159"/>
      <c r="E1605" s="159"/>
      <c r="F1605" s="159">
        <v>3547.09</v>
      </c>
      <c r="G1605" s="160"/>
      <c r="H1605" s="34" t="s">
        <v>925</v>
      </c>
    </row>
    <row r="1606" spans="1:8" ht="33">
      <c r="A1606" s="160"/>
      <c r="B1606" s="160"/>
      <c r="C1606" s="157"/>
      <c r="D1606" s="159"/>
      <c r="E1606" s="159"/>
      <c r="F1606" s="159"/>
      <c r="G1606" s="160"/>
      <c r="H1606" s="34" t="s">
        <v>925</v>
      </c>
    </row>
    <row r="1607" spans="1:8" ht="28.5">
      <c r="A1607" s="160" t="s">
        <v>1881</v>
      </c>
      <c r="B1607" s="160" t="s">
        <v>1666</v>
      </c>
      <c r="C1607" s="157" t="s">
        <v>3</v>
      </c>
      <c r="D1607" s="159">
        <v>1</v>
      </c>
      <c r="E1607" s="159">
        <v>1215.8399999999999</v>
      </c>
      <c r="F1607" s="159"/>
      <c r="G1607" s="160" t="s">
        <v>1667</v>
      </c>
    </row>
    <row r="1608" spans="1:8" ht="33">
      <c r="A1608" s="160">
        <v>1</v>
      </c>
      <c r="B1608" s="160" t="s">
        <v>464</v>
      </c>
      <c r="C1608" s="157" t="s">
        <v>0</v>
      </c>
      <c r="D1608" s="159">
        <v>0.04</v>
      </c>
      <c r="E1608" s="159">
        <v>3319</v>
      </c>
      <c r="F1608" s="159">
        <v>132.76</v>
      </c>
      <c r="G1608" s="160" t="s">
        <v>4957</v>
      </c>
      <c r="H1608" s="34" t="s">
        <v>925</v>
      </c>
    </row>
    <row r="1609" spans="1:8" ht="33">
      <c r="A1609" s="160">
        <v>2</v>
      </c>
      <c r="B1609" s="160" t="s">
        <v>1668</v>
      </c>
      <c r="C1609" s="157" t="s">
        <v>1121</v>
      </c>
      <c r="D1609" s="159">
        <v>0.2</v>
      </c>
      <c r="E1609" s="159">
        <v>645.79999999999995</v>
      </c>
      <c r="F1609" s="159">
        <v>129.16</v>
      </c>
      <c r="G1609" s="160" t="s">
        <v>1669</v>
      </c>
      <c r="H1609" s="34" t="s">
        <v>925</v>
      </c>
    </row>
    <row r="1610" spans="1:8" ht="33">
      <c r="A1610" s="160">
        <v>3</v>
      </c>
      <c r="B1610" s="160" t="s">
        <v>1670</v>
      </c>
      <c r="C1610" s="157" t="s">
        <v>927</v>
      </c>
      <c r="D1610" s="159">
        <v>0.64</v>
      </c>
      <c r="E1610" s="159">
        <v>407.35</v>
      </c>
      <c r="F1610" s="159">
        <v>260.7</v>
      </c>
      <c r="G1610" s="160" t="s">
        <v>1671</v>
      </c>
      <c r="H1610" s="34" t="s">
        <v>925</v>
      </c>
    </row>
    <row r="1611" spans="1:8" ht="33">
      <c r="A1611" s="160">
        <v>4</v>
      </c>
      <c r="B1611" s="160" t="s">
        <v>4871</v>
      </c>
      <c r="C1611" s="157" t="s">
        <v>927</v>
      </c>
      <c r="D1611" s="159">
        <v>1.04</v>
      </c>
      <c r="E1611" s="159">
        <v>279.18</v>
      </c>
      <c r="F1611" s="159">
        <v>290.35000000000002</v>
      </c>
      <c r="G1611" s="160" t="s">
        <v>4872</v>
      </c>
      <c r="H1611" s="34" t="s">
        <v>925</v>
      </c>
    </row>
    <row r="1612" spans="1:8" ht="33">
      <c r="A1612" s="160">
        <v>5</v>
      </c>
      <c r="B1612" s="160" t="s">
        <v>1635</v>
      </c>
      <c r="C1612" s="157" t="s">
        <v>3</v>
      </c>
      <c r="D1612" s="159">
        <v>1</v>
      </c>
      <c r="E1612" s="159">
        <v>337.65</v>
      </c>
      <c r="F1612" s="159">
        <v>337.65</v>
      </c>
      <c r="G1612" s="160" t="s">
        <v>4958</v>
      </c>
      <c r="H1612" s="34" t="s">
        <v>925</v>
      </c>
    </row>
    <row r="1613" spans="1:8" ht="33">
      <c r="A1613" s="160">
        <v>6</v>
      </c>
      <c r="B1613" s="160" t="s">
        <v>1672</v>
      </c>
      <c r="C1613" s="157" t="s">
        <v>14</v>
      </c>
      <c r="D1613" s="159">
        <v>1</v>
      </c>
      <c r="E1613" s="159">
        <v>29.81</v>
      </c>
      <c r="F1613" s="159">
        <v>29.81</v>
      </c>
      <c r="G1613" s="160" t="s">
        <v>1673</v>
      </c>
      <c r="H1613" s="34" t="s">
        <v>925</v>
      </c>
    </row>
    <row r="1614" spans="1:8" ht="28.5">
      <c r="A1614" s="160">
        <v>7</v>
      </c>
      <c r="B1614" s="160" t="s">
        <v>931</v>
      </c>
      <c r="C1614" s="157" t="s">
        <v>14</v>
      </c>
      <c r="D1614" s="159">
        <v>1</v>
      </c>
      <c r="E1614" s="159">
        <v>35.409999999999997</v>
      </c>
      <c r="F1614" s="159">
        <v>35.409999999999997</v>
      </c>
      <c r="G1614" s="160" t="s">
        <v>932</v>
      </c>
    </row>
    <row r="1615" spans="1:8" ht="33">
      <c r="A1615" s="160"/>
      <c r="B1615" s="160" t="s">
        <v>933</v>
      </c>
      <c r="C1615" s="157" t="s">
        <v>3</v>
      </c>
      <c r="D1615" s="159">
        <v>1</v>
      </c>
      <c r="E1615" s="159"/>
      <c r="F1615" s="159">
        <v>1215.8399999999999</v>
      </c>
      <c r="G1615" s="160"/>
      <c r="H1615" s="34" t="s">
        <v>925</v>
      </c>
    </row>
    <row r="1616" spans="1:8" ht="33">
      <c r="A1616" s="160"/>
      <c r="B1616" s="160" t="s">
        <v>934</v>
      </c>
      <c r="C1616" s="157" t="s">
        <v>3</v>
      </c>
      <c r="D1616" s="159"/>
      <c r="E1616" s="159"/>
      <c r="F1616" s="159">
        <v>1215.8399999999999</v>
      </c>
      <c r="G1616" s="160"/>
      <c r="H1616" s="34" t="s">
        <v>925</v>
      </c>
    </row>
    <row r="1617" spans="1:8" ht="33">
      <c r="A1617" s="160"/>
      <c r="B1617" s="160"/>
      <c r="C1617" s="157"/>
      <c r="D1617" s="159"/>
      <c r="E1617" s="159"/>
      <c r="F1617" s="159"/>
      <c r="G1617" s="160"/>
      <c r="H1617" s="34" t="s">
        <v>925</v>
      </c>
    </row>
    <row r="1618" spans="1:8" ht="33">
      <c r="A1618" s="160" t="s">
        <v>1888</v>
      </c>
      <c r="B1618" s="160" t="s">
        <v>1675</v>
      </c>
      <c r="C1618" s="157" t="s">
        <v>3</v>
      </c>
      <c r="D1618" s="159">
        <v>1</v>
      </c>
      <c r="E1618" s="159">
        <v>1398.66</v>
      </c>
      <c r="F1618" s="159"/>
      <c r="G1618" s="160" t="s">
        <v>1676</v>
      </c>
      <c r="H1618" s="34" t="s">
        <v>925</v>
      </c>
    </row>
    <row r="1619" spans="1:8" ht="33">
      <c r="A1619" s="160">
        <v>1</v>
      </c>
      <c r="B1619" s="160" t="s">
        <v>464</v>
      </c>
      <c r="C1619" s="157" t="s">
        <v>0</v>
      </c>
      <c r="D1619" s="159">
        <v>0.05</v>
      </c>
      <c r="E1619" s="159">
        <v>3319</v>
      </c>
      <c r="F1619" s="159">
        <v>165.95</v>
      </c>
      <c r="G1619" s="160" t="s">
        <v>4957</v>
      </c>
      <c r="H1619" s="34" t="s">
        <v>925</v>
      </c>
    </row>
    <row r="1620" spans="1:8" ht="33">
      <c r="A1620" s="160">
        <v>2</v>
      </c>
      <c r="B1620" s="160" t="s">
        <v>1677</v>
      </c>
      <c r="C1620" s="157" t="s">
        <v>1121</v>
      </c>
      <c r="D1620" s="159">
        <v>0.25</v>
      </c>
      <c r="E1620" s="159">
        <v>695.48</v>
      </c>
      <c r="F1620" s="159">
        <v>173.87</v>
      </c>
      <c r="G1620" s="160" t="s">
        <v>1678</v>
      </c>
      <c r="H1620" s="34" t="s">
        <v>925</v>
      </c>
    </row>
    <row r="1621" spans="1:8" ht="28.5">
      <c r="A1621" s="160">
        <v>3</v>
      </c>
      <c r="B1621" s="160" t="s">
        <v>1670</v>
      </c>
      <c r="C1621" s="157" t="s">
        <v>927</v>
      </c>
      <c r="D1621" s="159">
        <v>0.72</v>
      </c>
      <c r="E1621" s="159">
        <v>407.35</v>
      </c>
      <c r="F1621" s="159">
        <v>293.29000000000002</v>
      </c>
      <c r="G1621" s="160" t="s">
        <v>1671</v>
      </c>
    </row>
    <row r="1622" spans="1:8" ht="33">
      <c r="A1622" s="160">
        <v>4</v>
      </c>
      <c r="B1622" s="160" t="s">
        <v>4871</v>
      </c>
      <c r="C1622" s="157" t="s">
        <v>927</v>
      </c>
      <c r="D1622" s="159">
        <v>1.28</v>
      </c>
      <c r="E1622" s="159">
        <v>279.18</v>
      </c>
      <c r="F1622" s="159">
        <v>357.35</v>
      </c>
      <c r="G1622" s="160" t="s">
        <v>4872</v>
      </c>
      <c r="H1622" s="34" t="s">
        <v>925</v>
      </c>
    </row>
    <row r="1623" spans="1:8" ht="33">
      <c r="A1623" s="160">
        <v>5</v>
      </c>
      <c r="B1623" s="160" t="s">
        <v>1672</v>
      </c>
      <c r="C1623" s="157" t="s">
        <v>14</v>
      </c>
      <c r="D1623" s="159">
        <v>1</v>
      </c>
      <c r="E1623" s="159">
        <v>29.81</v>
      </c>
      <c r="F1623" s="159">
        <v>29.81</v>
      </c>
      <c r="G1623" s="160" t="s">
        <v>1673</v>
      </c>
      <c r="H1623" s="34" t="s">
        <v>925</v>
      </c>
    </row>
    <row r="1624" spans="1:8" ht="33">
      <c r="A1624" s="160">
        <v>6</v>
      </c>
      <c r="B1624" s="160" t="s">
        <v>1635</v>
      </c>
      <c r="C1624" s="157" t="s">
        <v>3</v>
      </c>
      <c r="D1624" s="159">
        <v>1</v>
      </c>
      <c r="E1624" s="159">
        <v>337.65</v>
      </c>
      <c r="F1624" s="159">
        <v>337.65</v>
      </c>
      <c r="G1624" s="160" t="s">
        <v>4958</v>
      </c>
      <c r="H1624" s="34" t="s">
        <v>925</v>
      </c>
    </row>
    <row r="1625" spans="1:8" ht="33">
      <c r="A1625" s="160">
        <v>7</v>
      </c>
      <c r="B1625" s="160" t="s">
        <v>931</v>
      </c>
      <c r="C1625" s="157" t="s">
        <v>14</v>
      </c>
      <c r="D1625" s="159">
        <v>1</v>
      </c>
      <c r="E1625" s="159">
        <v>40.74</v>
      </c>
      <c r="F1625" s="159">
        <v>40.74</v>
      </c>
      <c r="G1625" s="160" t="s">
        <v>932</v>
      </c>
      <c r="H1625" s="34" t="s">
        <v>925</v>
      </c>
    </row>
    <row r="1626" spans="1:8" ht="33">
      <c r="A1626" s="160"/>
      <c r="B1626" s="160" t="s">
        <v>933</v>
      </c>
      <c r="C1626" s="157" t="s">
        <v>3</v>
      </c>
      <c r="D1626" s="159">
        <v>1</v>
      </c>
      <c r="E1626" s="159"/>
      <c r="F1626" s="159">
        <v>1398.66</v>
      </c>
      <c r="G1626" s="160"/>
      <c r="H1626" s="34" t="s">
        <v>925</v>
      </c>
    </row>
    <row r="1627" spans="1:8" ht="33">
      <c r="A1627" s="160"/>
      <c r="B1627" s="160" t="s">
        <v>934</v>
      </c>
      <c r="C1627" s="157" t="s">
        <v>3</v>
      </c>
      <c r="D1627" s="159"/>
      <c r="E1627" s="159"/>
      <c r="F1627" s="159">
        <v>1398.66</v>
      </c>
      <c r="G1627" s="160"/>
      <c r="H1627" s="34" t="s">
        <v>925</v>
      </c>
    </row>
    <row r="1628" spans="1:8" ht="16.5">
      <c r="A1628" s="160"/>
      <c r="B1628" s="160"/>
      <c r="C1628" s="157"/>
      <c r="D1628" s="159"/>
      <c r="E1628" s="159"/>
      <c r="F1628" s="159"/>
      <c r="G1628" s="160"/>
    </row>
    <row r="1629" spans="1:8" ht="33">
      <c r="A1629" s="160" t="s">
        <v>1895</v>
      </c>
      <c r="B1629" s="160" t="s">
        <v>1680</v>
      </c>
      <c r="C1629" s="157" t="s">
        <v>3</v>
      </c>
      <c r="D1629" s="159">
        <v>1</v>
      </c>
      <c r="E1629" s="159">
        <v>1563.59</v>
      </c>
      <c r="F1629" s="159"/>
      <c r="G1629" s="160" t="s">
        <v>1681</v>
      </c>
      <c r="H1629" s="34" t="s">
        <v>925</v>
      </c>
    </row>
    <row r="1630" spans="1:8" ht="33">
      <c r="A1630" s="160">
        <v>1</v>
      </c>
      <c r="B1630" s="160" t="s">
        <v>464</v>
      </c>
      <c r="C1630" s="157" t="s">
        <v>0</v>
      </c>
      <c r="D1630" s="159">
        <v>0.06</v>
      </c>
      <c r="E1630" s="159">
        <v>3319</v>
      </c>
      <c r="F1630" s="159">
        <v>199.14</v>
      </c>
      <c r="G1630" s="160" t="s">
        <v>4957</v>
      </c>
      <c r="H1630" s="34" t="s">
        <v>925</v>
      </c>
    </row>
    <row r="1631" spans="1:8" ht="33">
      <c r="A1631" s="160">
        <v>2</v>
      </c>
      <c r="B1631" s="160" t="s">
        <v>1682</v>
      </c>
      <c r="C1631" s="157" t="s">
        <v>1121</v>
      </c>
      <c r="D1631" s="159">
        <v>0.3</v>
      </c>
      <c r="E1631" s="159">
        <v>745.15</v>
      </c>
      <c r="F1631" s="159">
        <v>223.55</v>
      </c>
      <c r="G1631" s="160" t="s">
        <v>1683</v>
      </c>
      <c r="H1631" s="34" t="s">
        <v>925</v>
      </c>
    </row>
    <row r="1632" spans="1:8" ht="33">
      <c r="A1632" s="160">
        <v>3</v>
      </c>
      <c r="B1632" s="160" t="s">
        <v>1670</v>
      </c>
      <c r="C1632" s="157" t="s">
        <v>927</v>
      </c>
      <c r="D1632" s="159">
        <v>0.8</v>
      </c>
      <c r="E1632" s="159">
        <v>407.35</v>
      </c>
      <c r="F1632" s="159">
        <v>325.88</v>
      </c>
      <c r="G1632" s="160" t="s">
        <v>1671</v>
      </c>
      <c r="H1632" s="34" t="s">
        <v>925</v>
      </c>
    </row>
    <row r="1633" spans="1:8" ht="33">
      <c r="A1633" s="160">
        <v>4</v>
      </c>
      <c r="B1633" s="160" t="s">
        <v>4871</v>
      </c>
      <c r="C1633" s="157" t="s">
        <v>927</v>
      </c>
      <c r="D1633" s="159">
        <v>1.44</v>
      </c>
      <c r="E1633" s="159">
        <v>279.18</v>
      </c>
      <c r="F1633" s="159">
        <v>402.02</v>
      </c>
      <c r="G1633" s="160" t="s">
        <v>4872</v>
      </c>
      <c r="H1633" s="34" t="s">
        <v>925</v>
      </c>
    </row>
    <row r="1634" spans="1:8" ht="33">
      <c r="A1634" s="160">
        <v>5</v>
      </c>
      <c r="B1634" s="160" t="s">
        <v>1635</v>
      </c>
      <c r="C1634" s="157" t="s">
        <v>3</v>
      </c>
      <c r="D1634" s="159">
        <v>1</v>
      </c>
      <c r="E1634" s="159">
        <v>337.65</v>
      </c>
      <c r="F1634" s="159">
        <v>337.65</v>
      </c>
      <c r="G1634" s="160" t="s">
        <v>4958</v>
      </c>
      <c r="H1634" s="34" t="s">
        <v>925</v>
      </c>
    </row>
    <row r="1635" spans="1:8" ht="28.5">
      <c r="A1635" s="160">
        <v>6</v>
      </c>
      <c r="B1635" s="160" t="s">
        <v>1672</v>
      </c>
      <c r="C1635" s="157" t="s">
        <v>14</v>
      </c>
      <c r="D1635" s="159">
        <v>1</v>
      </c>
      <c r="E1635" s="159">
        <v>29.81</v>
      </c>
      <c r="F1635" s="159">
        <v>29.81</v>
      </c>
      <c r="G1635" s="160" t="s">
        <v>1673</v>
      </c>
    </row>
    <row r="1636" spans="1:8" ht="33">
      <c r="A1636" s="160">
        <v>7</v>
      </c>
      <c r="B1636" s="160" t="s">
        <v>931</v>
      </c>
      <c r="C1636" s="157" t="s">
        <v>14</v>
      </c>
      <c r="D1636" s="159">
        <v>1</v>
      </c>
      <c r="E1636" s="159">
        <v>45.54</v>
      </c>
      <c r="F1636" s="159">
        <v>45.54</v>
      </c>
      <c r="G1636" s="160" t="s">
        <v>932</v>
      </c>
      <c r="H1636" s="34" t="s">
        <v>925</v>
      </c>
    </row>
    <row r="1637" spans="1:8" ht="33">
      <c r="A1637" s="160"/>
      <c r="B1637" s="160" t="s">
        <v>933</v>
      </c>
      <c r="C1637" s="157" t="s">
        <v>3</v>
      </c>
      <c r="D1637" s="159">
        <v>1</v>
      </c>
      <c r="E1637" s="159"/>
      <c r="F1637" s="159">
        <v>1563.5899999999997</v>
      </c>
      <c r="G1637" s="160"/>
      <c r="H1637" s="34" t="s">
        <v>925</v>
      </c>
    </row>
    <row r="1638" spans="1:8" ht="33">
      <c r="A1638" s="160"/>
      <c r="B1638" s="160" t="s">
        <v>934</v>
      </c>
      <c r="C1638" s="157" t="s">
        <v>3</v>
      </c>
      <c r="D1638" s="159"/>
      <c r="E1638" s="159"/>
      <c r="F1638" s="159">
        <v>1563.59</v>
      </c>
      <c r="G1638" s="160"/>
      <c r="H1638" s="34" t="s">
        <v>925</v>
      </c>
    </row>
    <row r="1639" spans="1:8" ht="33">
      <c r="A1639" s="160"/>
      <c r="B1639" s="160"/>
      <c r="C1639" s="157"/>
      <c r="D1639" s="159"/>
      <c r="E1639" s="159"/>
      <c r="F1639" s="159"/>
      <c r="G1639" s="160"/>
      <c r="H1639" s="34" t="s">
        <v>925</v>
      </c>
    </row>
    <row r="1640" spans="1:8" ht="33">
      <c r="A1640" s="160" t="s">
        <v>1902</v>
      </c>
      <c r="B1640" s="160" t="s">
        <v>1685</v>
      </c>
      <c r="C1640" s="157" t="s">
        <v>3</v>
      </c>
      <c r="D1640" s="159">
        <v>1</v>
      </c>
      <c r="E1640" s="159">
        <v>476.51</v>
      </c>
      <c r="F1640" s="159"/>
      <c r="G1640" s="160" t="s">
        <v>1686</v>
      </c>
      <c r="H1640" s="34" t="s">
        <v>925</v>
      </c>
    </row>
    <row r="1641" spans="1:8" ht="33">
      <c r="A1641" s="160">
        <v>1</v>
      </c>
      <c r="B1641" s="160" t="s">
        <v>1637</v>
      </c>
      <c r="C1641" s="157" t="s">
        <v>0</v>
      </c>
      <c r="D1641" s="159">
        <v>0.02</v>
      </c>
      <c r="E1641" s="159">
        <v>3547.09</v>
      </c>
      <c r="F1641" s="159">
        <v>70.94</v>
      </c>
      <c r="G1641" s="160" t="s">
        <v>4954</v>
      </c>
      <c r="H1641" s="34" t="s">
        <v>925</v>
      </c>
    </row>
    <row r="1642" spans="1:8" ht="28.5">
      <c r="A1642" s="160">
        <v>2</v>
      </c>
      <c r="B1642" s="160" t="s">
        <v>1638</v>
      </c>
      <c r="C1642" s="157" t="s">
        <v>927</v>
      </c>
      <c r="D1642" s="159">
        <v>0.66</v>
      </c>
      <c r="E1642" s="159">
        <v>407.35</v>
      </c>
      <c r="F1642" s="159">
        <v>268.85000000000002</v>
      </c>
      <c r="G1642" s="160" t="s">
        <v>1639</v>
      </c>
    </row>
    <row r="1643" spans="1:8" ht="33">
      <c r="A1643" s="160">
        <v>3</v>
      </c>
      <c r="B1643" s="160" t="s">
        <v>1644</v>
      </c>
      <c r="C1643" s="157" t="s">
        <v>927</v>
      </c>
      <c r="D1643" s="159">
        <v>0.44</v>
      </c>
      <c r="E1643" s="159">
        <v>279.18</v>
      </c>
      <c r="F1643" s="159">
        <v>122.84</v>
      </c>
      <c r="G1643" s="160" t="s">
        <v>1645</v>
      </c>
      <c r="H1643" s="34" t="s">
        <v>925</v>
      </c>
    </row>
    <row r="1644" spans="1:8" ht="33">
      <c r="A1644" s="160">
        <v>4</v>
      </c>
      <c r="B1644" s="160" t="s">
        <v>955</v>
      </c>
      <c r="C1644" s="157" t="s">
        <v>14</v>
      </c>
      <c r="D1644" s="159">
        <v>1</v>
      </c>
      <c r="E1644" s="159">
        <v>13.88</v>
      </c>
      <c r="F1644" s="159">
        <v>13.88</v>
      </c>
      <c r="G1644" s="160" t="s">
        <v>956</v>
      </c>
      <c r="H1644" s="34" t="s">
        <v>925</v>
      </c>
    </row>
    <row r="1645" spans="1:8" ht="33">
      <c r="A1645" s="160"/>
      <c r="B1645" s="160" t="s">
        <v>933</v>
      </c>
      <c r="C1645" s="157" t="s">
        <v>3</v>
      </c>
      <c r="D1645" s="159">
        <v>1</v>
      </c>
      <c r="E1645" s="159"/>
      <c r="F1645" s="159">
        <v>476.51</v>
      </c>
      <c r="G1645" s="160"/>
      <c r="H1645" s="34" t="s">
        <v>925</v>
      </c>
    </row>
    <row r="1646" spans="1:8" ht="33">
      <c r="A1646" s="160"/>
      <c r="B1646" s="160" t="s">
        <v>934</v>
      </c>
      <c r="C1646" s="157" t="s">
        <v>3</v>
      </c>
      <c r="D1646" s="159"/>
      <c r="E1646" s="159"/>
      <c r="F1646" s="159">
        <v>476.51</v>
      </c>
      <c r="G1646" s="160"/>
      <c r="H1646" s="34" t="s">
        <v>925</v>
      </c>
    </row>
    <row r="1647" spans="1:8" ht="33">
      <c r="A1647" s="160"/>
      <c r="B1647" s="160"/>
      <c r="C1647" s="157"/>
      <c r="D1647" s="159"/>
      <c r="E1647" s="159"/>
      <c r="F1647" s="159"/>
      <c r="G1647" s="160"/>
      <c r="H1647" s="34" t="s">
        <v>925</v>
      </c>
    </row>
    <row r="1648" spans="1:8" ht="33">
      <c r="A1648" s="160" t="s">
        <v>1909</v>
      </c>
      <c r="B1648" s="160" t="s">
        <v>1688</v>
      </c>
      <c r="C1648" s="157" t="s">
        <v>1689</v>
      </c>
      <c r="D1648" s="159">
        <v>1</v>
      </c>
      <c r="E1648" s="159">
        <v>8040.4</v>
      </c>
      <c r="F1648" s="159"/>
      <c r="G1648" s="160" t="s">
        <v>1690</v>
      </c>
      <c r="H1648" s="34" t="s">
        <v>925</v>
      </c>
    </row>
    <row r="1649" spans="1:8" ht="42.75">
      <c r="A1649" s="160">
        <v>1</v>
      </c>
      <c r="B1649" s="160" t="s">
        <v>1691</v>
      </c>
      <c r="C1649" s="157" t="s">
        <v>3</v>
      </c>
      <c r="D1649" s="159">
        <v>15</v>
      </c>
      <c r="E1649" s="159">
        <v>298.06</v>
      </c>
      <c r="F1649" s="159">
        <v>4470.8999999999996</v>
      </c>
      <c r="G1649" s="160" t="s">
        <v>1692</v>
      </c>
    </row>
    <row r="1650" spans="1:8" ht="33">
      <c r="A1650" s="160">
        <v>2</v>
      </c>
      <c r="B1650" s="160" t="s">
        <v>1693</v>
      </c>
      <c r="C1650" s="157" t="s">
        <v>0</v>
      </c>
      <c r="D1650" s="159">
        <v>2.25</v>
      </c>
      <c r="E1650" s="159">
        <v>695.48</v>
      </c>
      <c r="F1650" s="159">
        <v>1564.83</v>
      </c>
      <c r="G1650" s="160" t="s">
        <v>1694</v>
      </c>
      <c r="H1650" s="34" t="s">
        <v>925</v>
      </c>
    </row>
    <row r="1651" spans="1:8" ht="42.75">
      <c r="A1651" s="160">
        <v>3</v>
      </c>
      <c r="B1651" s="160" t="s">
        <v>4942</v>
      </c>
      <c r="C1651" s="157" t="s">
        <v>927</v>
      </c>
      <c r="D1651" s="159">
        <v>2</v>
      </c>
      <c r="E1651" s="159">
        <v>407.35</v>
      </c>
      <c r="F1651" s="159">
        <v>814.7</v>
      </c>
      <c r="G1651" s="160" t="s">
        <v>4943</v>
      </c>
      <c r="H1651" s="34" t="s">
        <v>925</v>
      </c>
    </row>
    <row r="1652" spans="1:8" ht="33">
      <c r="A1652" s="160">
        <v>4</v>
      </c>
      <c r="B1652" s="160" t="s">
        <v>1695</v>
      </c>
      <c r="C1652" s="157" t="s">
        <v>927</v>
      </c>
      <c r="D1652" s="159">
        <v>2</v>
      </c>
      <c r="E1652" s="159">
        <v>279.18</v>
      </c>
      <c r="F1652" s="159">
        <v>558.36</v>
      </c>
      <c r="G1652" s="160" t="s">
        <v>1696</v>
      </c>
      <c r="H1652" s="34" t="s">
        <v>925</v>
      </c>
    </row>
    <row r="1653" spans="1:8" ht="33">
      <c r="A1653" s="160">
        <v>5</v>
      </c>
      <c r="B1653" s="160" t="s">
        <v>1697</v>
      </c>
      <c r="C1653" s="157" t="s">
        <v>14</v>
      </c>
      <c r="D1653" s="159">
        <v>1</v>
      </c>
      <c r="E1653" s="159">
        <v>397.42</v>
      </c>
      <c r="F1653" s="159">
        <v>397.42</v>
      </c>
      <c r="G1653" s="160" t="s">
        <v>1698</v>
      </c>
      <c r="H1653" s="34" t="s">
        <v>925</v>
      </c>
    </row>
    <row r="1654" spans="1:8" ht="33">
      <c r="A1654" s="160">
        <v>6</v>
      </c>
      <c r="B1654" s="160" t="s">
        <v>931</v>
      </c>
      <c r="C1654" s="157" t="s">
        <v>14</v>
      </c>
      <c r="D1654" s="159">
        <v>1</v>
      </c>
      <c r="E1654" s="159">
        <v>234.19</v>
      </c>
      <c r="F1654" s="159">
        <v>234.19</v>
      </c>
      <c r="G1654" s="160" t="s">
        <v>932</v>
      </c>
      <c r="H1654" s="34" t="s">
        <v>925</v>
      </c>
    </row>
    <row r="1655" spans="1:8" ht="33">
      <c r="A1655" s="160"/>
      <c r="B1655" s="160" t="s">
        <v>933</v>
      </c>
      <c r="C1655" s="157" t="s">
        <v>1689</v>
      </c>
      <c r="D1655" s="159">
        <v>1</v>
      </c>
      <c r="E1655" s="159"/>
      <c r="F1655" s="159">
        <v>8040.3999999999987</v>
      </c>
      <c r="G1655" s="160"/>
      <c r="H1655" s="34" t="s">
        <v>925</v>
      </c>
    </row>
    <row r="1656" spans="1:8" ht="16.5">
      <c r="A1656" s="160"/>
      <c r="B1656" s="160" t="s">
        <v>934</v>
      </c>
      <c r="C1656" s="157" t="s">
        <v>1689</v>
      </c>
      <c r="D1656" s="159"/>
      <c r="E1656" s="159"/>
      <c r="F1656" s="159">
        <v>8040.4</v>
      </c>
      <c r="G1656" s="160"/>
    </row>
    <row r="1657" spans="1:8" ht="33">
      <c r="A1657" s="160"/>
      <c r="B1657" s="160"/>
      <c r="C1657" s="157"/>
      <c r="D1657" s="159"/>
      <c r="E1657" s="159"/>
      <c r="F1657" s="159"/>
      <c r="G1657" s="160"/>
      <c r="H1657" s="34" t="s">
        <v>925</v>
      </c>
    </row>
    <row r="1658" spans="1:8" ht="33">
      <c r="A1658" s="160" t="s">
        <v>1916</v>
      </c>
      <c r="B1658" s="160" t="s">
        <v>1700</v>
      </c>
      <c r="C1658" s="157" t="s">
        <v>17</v>
      </c>
      <c r="D1658" s="159">
        <v>1</v>
      </c>
      <c r="E1658" s="159">
        <v>1612.01</v>
      </c>
      <c r="F1658" s="159"/>
      <c r="G1658" s="160" t="s">
        <v>1701</v>
      </c>
      <c r="H1658" s="34" t="s">
        <v>925</v>
      </c>
    </row>
    <row r="1659" spans="1:8" ht="33">
      <c r="A1659" s="160">
        <v>1</v>
      </c>
      <c r="B1659" s="160" t="s">
        <v>1702</v>
      </c>
      <c r="C1659" s="157" t="s">
        <v>17</v>
      </c>
      <c r="D1659" s="159">
        <v>1</v>
      </c>
      <c r="E1659" s="159">
        <v>1390.95</v>
      </c>
      <c r="F1659" s="159">
        <v>1390.95</v>
      </c>
      <c r="G1659" s="160" t="s">
        <v>1703</v>
      </c>
      <c r="H1659" s="34" t="s">
        <v>925</v>
      </c>
    </row>
    <row r="1660" spans="1:8" ht="33">
      <c r="A1660" s="160">
        <v>2</v>
      </c>
      <c r="B1660" s="160" t="s">
        <v>1649</v>
      </c>
      <c r="C1660" s="157" t="s">
        <v>0</v>
      </c>
      <c r="D1660" s="159">
        <v>0.02</v>
      </c>
      <c r="E1660" s="159">
        <v>3737.85</v>
      </c>
      <c r="F1660" s="159">
        <v>74.760000000000005</v>
      </c>
      <c r="G1660" s="160" t="s">
        <v>4956</v>
      </c>
      <c r="H1660" s="34" t="s">
        <v>925</v>
      </c>
    </row>
    <row r="1661" spans="1:8" ht="33">
      <c r="A1661" s="160">
        <v>3</v>
      </c>
      <c r="B1661" s="160" t="s">
        <v>1704</v>
      </c>
      <c r="C1661" s="157" t="s">
        <v>14</v>
      </c>
      <c r="D1661" s="159">
        <v>1</v>
      </c>
      <c r="E1661" s="159">
        <v>99.35</v>
      </c>
      <c r="F1661" s="159">
        <v>99.35</v>
      </c>
      <c r="G1661" s="160" t="s">
        <v>1705</v>
      </c>
      <c r="H1661" s="34" t="s">
        <v>925</v>
      </c>
    </row>
    <row r="1662" spans="1:8" ht="33">
      <c r="A1662" s="160">
        <v>4</v>
      </c>
      <c r="B1662" s="160" t="s">
        <v>931</v>
      </c>
      <c r="C1662" s="157" t="s">
        <v>14</v>
      </c>
      <c r="D1662" s="159">
        <v>1</v>
      </c>
      <c r="E1662" s="159">
        <v>46.95</v>
      </c>
      <c r="F1662" s="159">
        <v>46.95</v>
      </c>
      <c r="G1662" s="160" t="s">
        <v>932</v>
      </c>
      <c r="H1662" s="34" t="s">
        <v>925</v>
      </c>
    </row>
    <row r="1663" spans="1:8" ht="16.5">
      <c r="A1663" s="160"/>
      <c r="B1663" s="160" t="s">
        <v>933</v>
      </c>
      <c r="C1663" s="157" t="s">
        <v>17</v>
      </c>
      <c r="D1663" s="159">
        <v>1</v>
      </c>
      <c r="E1663" s="159"/>
      <c r="F1663" s="159">
        <v>1612.01</v>
      </c>
      <c r="G1663" s="160"/>
    </row>
    <row r="1664" spans="1:8" ht="33">
      <c r="A1664" s="160"/>
      <c r="B1664" s="160" t="s">
        <v>934</v>
      </c>
      <c r="C1664" s="157" t="s">
        <v>17</v>
      </c>
      <c r="D1664" s="159"/>
      <c r="E1664" s="159"/>
      <c r="F1664" s="159">
        <v>1612.01</v>
      </c>
      <c r="G1664" s="160"/>
      <c r="H1664" s="34" t="s">
        <v>925</v>
      </c>
    </row>
    <row r="1665" spans="1:8" ht="33">
      <c r="A1665" s="160"/>
      <c r="B1665" s="160"/>
      <c r="C1665" s="157"/>
      <c r="D1665" s="159"/>
      <c r="E1665" s="159"/>
      <c r="F1665" s="159"/>
      <c r="G1665" s="160"/>
      <c r="H1665" s="34" t="s">
        <v>925</v>
      </c>
    </row>
    <row r="1666" spans="1:8" ht="33">
      <c r="A1666" s="160" t="s">
        <v>1923</v>
      </c>
      <c r="B1666" s="160" t="s">
        <v>1697</v>
      </c>
      <c r="C1666" s="157" t="s">
        <v>15</v>
      </c>
      <c r="D1666" s="159">
        <v>1</v>
      </c>
      <c r="E1666" s="159">
        <v>1421.82</v>
      </c>
      <c r="F1666" s="159"/>
      <c r="G1666" s="160" t="s">
        <v>1707</v>
      </c>
      <c r="H1666" s="34" t="s">
        <v>925</v>
      </c>
    </row>
    <row r="1667" spans="1:8" ht="33">
      <c r="A1667" s="160">
        <v>1</v>
      </c>
      <c r="B1667" s="160" t="s">
        <v>1708</v>
      </c>
      <c r="C1667" s="157" t="s">
        <v>1121</v>
      </c>
      <c r="D1667" s="159">
        <v>1.1000000000000001</v>
      </c>
      <c r="E1667" s="159">
        <v>645.79999999999995</v>
      </c>
      <c r="F1667" s="159">
        <v>710.38</v>
      </c>
      <c r="G1667" s="160" t="s">
        <v>1709</v>
      </c>
      <c r="H1667" s="34" t="s">
        <v>925</v>
      </c>
    </row>
    <row r="1668" spans="1:8" ht="33">
      <c r="A1668" s="160">
        <v>2</v>
      </c>
      <c r="B1668" s="160" t="s">
        <v>4871</v>
      </c>
      <c r="C1668" s="157" t="s">
        <v>927</v>
      </c>
      <c r="D1668" s="159">
        <v>2.4</v>
      </c>
      <c r="E1668" s="159">
        <v>279.18</v>
      </c>
      <c r="F1668" s="159">
        <v>670.03</v>
      </c>
      <c r="G1668" s="160" t="s">
        <v>4872</v>
      </c>
      <c r="H1668" s="34" t="s">
        <v>925</v>
      </c>
    </row>
    <row r="1669" spans="1:8" ht="33">
      <c r="A1669" s="160">
        <v>3</v>
      </c>
      <c r="B1669" s="160" t="s">
        <v>931</v>
      </c>
      <c r="C1669" s="157" t="s">
        <v>14</v>
      </c>
      <c r="D1669" s="159">
        <v>1</v>
      </c>
      <c r="E1669" s="159">
        <v>41.41</v>
      </c>
      <c r="F1669" s="159">
        <v>41.41</v>
      </c>
      <c r="G1669" s="160" t="s">
        <v>932</v>
      </c>
      <c r="H1669" s="34" t="s">
        <v>925</v>
      </c>
    </row>
    <row r="1670" spans="1:8" ht="16.5">
      <c r="A1670" s="160"/>
      <c r="B1670" s="160" t="s">
        <v>933</v>
      </c>
      <c r="C1670" s="157" t="s">
        <v>15</v>
      </c>
      <c r="D1670" s="159">
        <v>1</v>
      </c>
      <c r="E1670" s="159"/>
      <c r="F1670" s="159">
        <v>1421.82</v>
      </c>
      <c r="G1670" s="160"/>
    </row>
    <row r="1671" spans="1:8" ht="33">
      <c r="A1671" s="160"/>
      <c r="B1671" s="160" t="s">
        <v>934</v>
      </c>
      <c r="C1671" s="157" t="s">
        <v>15</v>
      </c>
      <c r="D1671" s="159"/>
      <c r="E1671" s="159"/>
      <c r="F1671" s="159">
        <v>1421.82</v>
      </c>
      <c r="G1671" s="160"/>
      <c r="H1671" s="34" t="s">
        <v>925</v>
      </c>
    </row>
    <row r="1672" spans="1:8" ht="33">
      <c r="A1672" s="160"/>
      <c r="B1672" s="160"/>
      <c r="C1672" s="157"/>
      <c r="D1672" s="159"/>
      <c r="E1672" s="159"/>
      <c r="F1672" s="159"/>
      <c r="G1672" s="160"/>
      <c r="H1672" s="34" t="s">
        <v>925</v>
      </c>
    </row>
    <row r="1673" spans="1:8" ht="33">
      <c r="A1673" s="160" t="s">
        <v>1930</v>
      </c>
      <c r="B1673" s="160" t="s">
        <v>1711</v>
      </c>
      <c r="C1673" s="157" t="s">
        <v>3</v>
      </c>
      <c r="D1673" s="159">
        <v>1</v>
      </c>
      <c r="E1673" s="159">
        <v>1643.96</v>
      </c>
      <c r="F1673" s="159"/>
      <c r="G1673" s="160" t="s">
        <v>1712</v>
      </c>
      <c r="H1673" s="34" t="s">
        <v>925</v>
      </c>
    </row>
    <row r="1674" spans="1:8" ht="33">
      <c r="A1674" s="160">
        <v>1</v>
      </c>
      <c r="B1674" s="160" t="s">
        <v>1713</v>
      </c>
      <c r="C1674" s="157" t="s">
        <v>0</v>
      </c>
      <c r="D1674" s="159">
        <v>0.06</v>
      </c>
      <c r="E1674" s="159">
        <v>2451.42</v>
      </c>
      <c r="F1674" s="159">
        <v>147.09</v>
      </c>
      <c r="G1674" s="160" t="s">
        <v>4959</v>
      </c>
      <c r="H1674" s="34" t="s">
        <v>925</v>
      </c>
    </row>
    <row r="1675" spans="1:8" ht="33">
      <c r="A1675" s="160">
        <v>2</v>
      </c>
      <c r="B1675" s="160" t="s">
        <v>1714</v>
      </c>
      <c r="C1675" s="157" t="s">
        <v>3</v>
      </c>
      <c r="D1675" s="159">
        <v>2</v>
      </c>
      <c r="E1675" s="159">
        <v>416.21</v>
      </c>
      <c r="F1675" s="159">
        <v>832.42</v>
      </c>
      <c r="G1675" s="160" t="s">
        <v>4960</v>
      </c>
      <c r="H1675" s="34" t="s">
        <v>925</v>
      </c>
    </row>
    <row r="1676" spans="1:8" ht="33">
      <c r="A1676" s="160">
        <v>3</v>
      </c>
      <c r="B1676" s="160" t="s">
        <v>4871</v>
      </c>
      <c r="C1676" s="157" t="s">
        <v>927</v>
      </c>
      <c r="D1676" s="159">
        <v>0.48</v>
      </c>
      <c r="E1676" s="159">
        <v>279.18</v>
      </c>
      <c r="F1676" s="159">
        <v>134.01</v>
      </c>
      <c r="G1676" s="160" t="s">
        <v>4872</v>
      </c>
      <c r="H1676" s="34" t="s">
        <v>925</v>
      </c>
    </row>
    <row r="1677" spans="1:8" ht="28.5">
      <c r="A1677" s="160">
        <v>4</v>
      </c>
      <c r="B1677" s="160" t="s">
        <v>1715</v>
      </c>
      <c r="C1677" s="157" t="s">
        <v>14</v>
      </c>
      <c r="D1677" s="159">
        <v>1</v>
      </c>
      <c r="E1677" s="159">
        <v>119.22</v>
      </c>
      <c r="F1677" s="159">
        <v>119.22</v>
      </c>
      <c r="G1677" s="160" t="s">
        <v>1716</v>
      </c>
    </row>
    <row r="1678" spans="1:8" ht="33">
      <c r="A1678" s="160">
        <v>5</v>
      </c>
      <c r="B1678" s="160" t="s">
        <v>1717</v>
      </c>
      <c r="C1678" s="157" t="s">
        <v>14</v>
      </c>
      <c r="D1678" s="159">
        <v>1</v>
      </c>
      <c r="E1678" s="159">
        <v>29.81</v>
      </c>
      <c r="F1678" s="159">
        <v>29.81</v>
      </c>
      <c r="G1678" s="160" t="s">
        <v>1718</v>
      </c>
      <c r="H1678" s="34" t="s">
        <v>925</v>
      </c>
    </row>
    <row r="1679" spans="1:8" ht="33">
      <c r="A1679" s="160">
        <v>6</v>
      </c>
      <c r="B1679" s="160" t="s">
        <v>1719</v>
      </c>
      <c r="C1679" s="157" t="s">
        <v>1497</v>
      </c>
      <c r="D1679" s="159">
        <v>1</v>
      </c>
      <c r="E1679" s="159">
        <v>55.34</v>
      </c>
      <c r="F1679" s="159">
        <v>55.34</v>
      </c>
      <c r="G1679" s="160" t="s">
        <v>4961</v>
      </c>
      <c r="H1679" s="34" t="s">
        <v>925</v>
      </c>
    </row>
    <row r="1680" spans="1:8" ht="33">
      <c r="A1680" s="160">
        <v>7</v>
      </c>
      <c r="B1680" s="160" t="s">
        <v>1720</v>
      </c>
      <c r="C1680" s="157" t="s">
        <v>3</v>
      </c>
      <c r="D1680" s="159">
        <v>1</v>
      </c>
      <c r="E1680" s="159">
        <v>248.38</v>
      </c>
      <c r="F1680" s="159">
        <v>248.38</v>
      </c>
      <c r="G1680" s="160" t="s">
        <v>1721</v>
      </c>
      <c r="H1680" s="34" t="s">
        <v>925</v>
      </c>
    </row>
    <row r="1681" spans="1:8" ht="33">
      <c r="A1681" s="160">
        <v>8</v>
      </c>
      <c r="B1681" s="160" t="s">
        <v>1672</v>
      </c>
      <c r="C1681" s="157" t="s">
        <v>14</v>
      </c>
      <c r="D1681" s="159">
        <v>1</v>
      </c>
      <c r="E1681" s="159">
        <v>29.81</v>
      </c>
      <c r="F1681" s="159">
        <v>29.81</v>
      </c>
      <c r="G1681" s="160" t="s">
        <v>1673</v>
      </c>
      <c r="H1681" s="34" t="s">
        <v>925</v>
      </c>
    </row>
    <row r="1682" spans="1:8" ht="33">
      <c r="A1682" s="160">
        <v>9</v>
      </c>
      <c r="B1682" s="160" t="s">
        <v>931</v>
      </c>
      <c r="C1682" s="157" t="s">
        <v>14</v>
      </c>
      <c r="D1682" s="159">
        <v>1</v>
      </c>
      <c r="E1682" s="159">
        <v>47.88</v>
      </c>
      <c r="F1682" s="159">
        <v>47.88</v>
      </c>
      <c r="G1682" s="160" t="s">
        <v>932</v>
      </c>
      <c r="H1682" s="34" t="s">
        <v>925</v>
      </c>
    </row>
    <row r="1683" spans="1:8" ht="33">
      <c r="A1683" s="160"/>
      <c r="B1683" s="160" t="s">
        <v>933</v>
      </c>
      <c r="C1683" s="157" t="s">
        <v>3</v>
      </c>
      <c r="D1683" s="159">
        <v>1</v>
      </c>
      <c r="E1683" s="159"/>
      <c r="F1683" s="159">
        <v>1643.96</v>
      </c>
      <c r="G1683" s="160"/>
      <c r="H1683" s="34" t="s">
        <v>925</v>
      </c>
    </row>
    <row r="1684" spans="1:8" ht="16.5">
      <c r="A1684" s="160"/>
      <c r="B1684" s="160" t="s">
        <v>934</v>
      </c>
      <c r="C1684" s="157" t="s">
        <v>3</v>
      </c>
      <c r="D1684" s="159"/>
      <c r="E1684" s="159"/>
      <c r="F1684" s="159">
        <v>1643.96</v>
      </c>
      <c r="G1684" s="160"/>
    </row>
    <row r="1685" spans="1:8" ht="33">
      <c r="A1685" s="160"/>
      <c r="B1685" s="160"/>
      <c r="C1685" s="157"/>
      <c r="D1685" s="159"/>
      <c r="E1685" s="159"/>
      <c r="F1685" s="159"/>
      <c r="G1685" s="160"/>
      <c r="H1685" s="34" t="s">
        <v>925</v>
      </c>
    </row>
    <row r="1686" spans="1:8" ht="33">
      <c r="A1686" s="160" t="s">
        <v>1937</v>
      </c>
      <c r="B1686" s="160" t="s">
        <v>1713</v>
      </c>
      <c r="C1686" s="157" t="s">
        <v>0</v>
      </c>
      <c r="D1686" s="159">
        <v>1</v>
      </c>
      <c r="E1686" s="159">
        <v>2451.42</v>
      </c>
      <c r="F1686" s="159"/>
      <c r="G1686" s="160" t="s">
        <v>1723</v>
      </c>
      <c r="H1686" s="34" t="s">
        <v>925</v>
      </c>
    </row>
    <row r="1687" spans="1:8" ht="33">
      <c r="A1687" s="160">
        <v>1</v>
      </c>
      <c r="B1687" s="160" t="s">
        <v>1294</v>
      </c>
      <c r="C1687" s="157" t="s">
        <v>1295</v>
      </c>
      <c r="D1687" s="159">
        <v>8.5</v>
      </c>
      <c r="E1687" s="159">
        <v>165.92</v>
      </c>
      <c r="F1687" s="159">
        <v>1410.32</v>
      </c>
      <c r="G1687" s="160" t="s">
        <v>1296</v>
      </c>
      <c r="H1687" s="34" t="s">
        <v>925</v>
      </c>
    </row>
    <row r="1688" spans="1:8" ht="33">
      <c r="A1688" s="160">
        <v>2</v>
      </c>
      <c r="B1688" s="160" t="s">
        <v>1297</v>
      </c>
      <c r="C1688" s="157" t="s">
        <v>1121</v>
      </c>
      <c r="D1688" s="159">
        <v>0.2</v>
      </c>
      <c r="E1688" s="159">
        <v>710.38</v>
      </c>
      <c r="F1688" s="159">
        <v>142.08000000000001</v>
      </c>
      <c r="G1688" s="160" t="s">
        <v>1298</v>
      </c>
      <c r="H1688" s="34" t="s">
        <v>925</v>
      </c>
    </row>
    <row r="1689" spans="1:8" ht="33">
      <c r="A1689" s="160">
        <v>3</v>
      </c>
      <c r="B1689" s="160" t="s">
        <v>1299</v>
      </c>
      <c r="C1689" s="157" t="s">
        <v>1121</v>
      </c>
      <c r="D1689" s="159">
        <v>1</v>
      </c>
      <c r="E1689" s="159">
        <v>723.3</v>
      </c>
      <c r="F1689" s="159">
        <v>723.3</v>
      </c>
      <c r="G1689" s="160" t="s">
        <v>1300</v>
      </c>
      <c r="H1689" s="34" t="s">
        <v>925</v>
      </c>
    </row>
    <row r="1690" spans="1:8" ht="33">
      <c r="A1690" s="160">
        <v>4</v>
      </c>
      <c r="B1690" s="160" t="s">
        <v>1724</v>
      </c>
      <c r="C1690" s="157" t="s">
        <v>14</v>
      </c>
      <c r="D1690" s="159">
        <v>1</v>
      </c>
      <c r="E1690" s="159">
        <v>89.42</v>
      </c>
      <c r="F1690" s="159">
        <v>89.42</v>
      </c>
      <c r="G1690" s="160" t="s">
        <v>1725</v>
      </c>
      <c r="H1690" s="34" t="s">
        <v>925</v>
      </c>
    </row>
    <row r="1691" spans="1:8" ht="28.5">
      <c r="A1691" s="160">
        <v>5</v>
      </c>
      <c r="B1691" s="160" t="s">
        <v>1726</v>
      </c>
      <c r="C1691" s="157" t="s">
        <v>0</v>
      </c>
      <c r="D1691" s="159">
        <v>1</v>
      </c>
      <c r="E1691" s="159">
        <v>14.9</v>
      </c>
      <c r="F1691" s="159">
        <v>14.9</v>
      </c>
      <c r="G1691" s="160" t="s">
        <v>1727</v>
      </c>
    </row>
    <row r="1692" spans="1:8" ht="33">
      <c r="A1692" s="160">
        <v>6</v>
      </c>
      <c r="B1692" s="160" t="s">
        <v>931</v>
      </c>
      <c r="C1692" s="157" t="s">
        <v>14</v>
      </c>
      <c r="D1692" s="159">
        <v>1</v>
      </c>
      <c r="E1692" s="159">
        <v>71.400000000000006</v>
      </c>
      <c r="F1692" s="159">
        <v>71.400000000000006</v>
      </c>
      <c r="G1692" s="160" t="s">
        <v>932</v>
      </c>
      <c r="H1692" s="34" t="s">
        <v>925</v>
      </c>
    </row>
    <row r="1693" spans="1:8" ht="33">
      <c r="A1693" s="160"/>
      <c r="B1693" s="160" t="s">
        <v>933</v>
      </c>
      <c r="C1693" s="157" t="s">
        <v>0</v>
      </c>
      <c r="D1693" s="159">
        <v>1</v>
      </c>
      <c r="E1693" s="159"/>
      <c r="F1693" s="159">
        <v>2451.42</v>
      </c>
      <c r="G1693" s="160"/>
      <c r="H1693" s="34" t="s">
        <v>925</v>
      </c>
    </row>
    <row r="1694" spans="1:8" ht="33">
      <c r="A1694" s="160"/>
      <c r="B1694" s="160" t="s">
        <v>934</v>
      </c>
      <c r="C1694" s="157" t="s">
        <v>0</v>
      </c>
      <c r="D1694" s="159"/>
      <c r="E1694" s="159"/>
      <c r="F1694" s="159">
        <v>2451.42</v>
      </c>
      <c r="G1694" s="160"/>
      <c r="H1694" s="34" t="s">
        <v>925</v>
      </c>
    </row>
    <row r="1695" spans="1:8" ht="33">
      <c r="A1695" s="160"/>
      <c r="B1695" s="160"/>
      <c r="C1695" s="157"/>
      <c r="D1695" s="159"/>
      <c r="E1695" s="159"/>
      <c r="F1695" s="159"/>
      <c r="G1695" s="160"/>
      <c r="H1695" s="34" t="s">
        <v>925</v>
      </c>
    </row>
    <row r="1696" spans="1:8" ht="33">
      <c r="A1696" s="160" t="s">
        <v>1944</v>
      </c>
      <c r="B1696" s="160" t="s">
        <v>1714</v>
      </c>
      <c r="C1696" s="157" t="s">
        <v>3</v>
      </c>
      <c r="D1696" s="159">
        <v>100</v>
      </c>
      <c r="E1696" s="159">
        <v>416.21</v>
      </c>
      <c r="F1696" s="159"/>
      <c r="G1696" s="160" t="s">
        <v>1729</v>
      </c>
      <c r="H1696" s="34" t="s">
        <v>925</v>
      </c>
    </row>
    <row r="1697" spans="1:8" ht="33">
      <c r="A1697" s="160">
        <v>1</v>
      </c>
      <c r="B1697" s="160" t="s">
        <v>1730</v>
      </c>
      <c r="C1697" s="157" t="s">
        <v>927</v>
      </c>
      <c r="D1697" s="159">
        <v>8</v>
      </c>
      <c r="E1697" s="159">
        <v>447.09</v>
      </c>
      <c r="F1697" s="159">
        <v>3576.72</v>
      </c>
      <c r="G1697" s="160" t="s">
        <v>1731</v>
      </c>
      <c r="H1697" s="34" t="s">
        <v>925</v>
      </c>
    </row>
    <row r="1698" spans="1:8" ht="28.5">
      <c r="A1698" s="160">
        <v>2</v>
      </c>
      <c r="B1698" s="160" t="s">
        <v>1732</v>
      </c>
      <c r="C1698" s="157" t="s">
        <v>927</v>
      </c>
      <c r="D1698" s="159">
        <v>8</v>
      </c>
      <c r="E1698" s="159">
        <v>993.54</v>
      </c>
      <c r="F1698" s="159">
        <v>7948.32</v>
      </c>
      <c r="G1698" s="160" t="s">
        <v>1733</v>
      </c>
    </row>
    <row r="1699" spans="1:8" ht="33">
      <c r="A1699" s="160">
        <v>3</v>
      </c>
      <c r="B1699" s="160" t="s">
        <v>1734</v>
      </c>
      <c r="C1699" s="157" t="s">
        <v>927</v>
      </c>
      <c r="D1699" s="159">
        <v>8</v>
      </c>
      <c r="E1699" s="159">
        <v>298.06</v>
      </c>
      <c r="F1699" s="159">
        <v>2384.48</v>
      </c>
      <c r="G1699" s="160" t="s">
        <v>1735</v>
      </c>
      <c r="H1699" s="34" t="s">
        <v>925</v>
      </c>
    </row>
    <row r="1700" spans="1:8" ht="33">
      <c r="A1700" s="160">
        <v>4</v>
      </c>
      <c r="B1700" s="160" t="s">
        <v>1736</v>
      </c>
      <c r="C1700" s="157" t="s">
        <v>927</v>
      </c>
      <c r="D1700" s="159">
        <v>8</v>
      </c>
      <c r="E1700" s="159">
        <v>496.77</v>
      </c>
      <c r="F1700" s="159">
        <v>3974.16</v>
      </c>
      <c r="G1700" s="160" t="s">
        <v>1737</v>
      </c>
      <c r="H1700" s="34" t="s">
        <v>925</v>
      </c>
    </row>
    <row r="1701" spans="1:8" ht="33">
      <c r="A1701" s="160">
        <v>5</v>
      </c>
      <c r="B1701" s="160" t="s">
        <v>1127</v>
      </c>
      <c r="C1701" s="157" t="s">
        <v>927</v>
      </c>
      <c r="D1701" s="159">
        <v>8</v>
      </c>
      <c r="E1701" s="159">
        <v>454.05</v>
      </c>
      <c r="F1701" s="159">
        <v>3632.4</v>
      </c>
      <c r="G1701" s="160" t="s">
        <v>1128</v>
      </c>
      <c r="H1701" s="34" t="s">
        <v>925</v>
      </c>
    </row>
    <row r="1702" spans="1:8" ht="33">
      <c r="A1702" s="160">
        <v>6</v>
      </c>
      <c r="B1702" s="160" t="s">
        <v>1738</v>
      </c>
      <c r="C1702" s="157" t="s">
        <v>927</v>
      </c>
      <c r="D1702" s="159">
        <v>8</v>
      </c>
      <c r="E1702" s="159">
        <v>407.35</v>
      </c>
      <c r="F1702" s="159">
        <v>3258.8</v>
      </c>
      <c r="G1702" s="160" t="s">
        <v>1739</v>
      </c>
      <c r="H1702" s="34" t="s">
        <v>925</v>
      </c>
    </row>
    <row r="1703" spans="1:8" ht="33">
      <c r="A1703" s="160">
        <v>7</v>
      </c>
      <c r="B1703" s="160" t="s">
        <v>4871</v>
      </c>
      <c r="C1703" s="157" t="s">
        <v>927</v>
      </c>
      <c r="D1703" s="159">
        <v>56</v>
      </c>
      <c r="E1703" s="159">
        <v>279.18</v>
      </c>
      <c r="F1703" s="159">
        <v>15634.08</v>
      </c>
      <c r="G1703" s="160" t="s">
        <v>4872</v>
      </c>
      <c r="H1703" s="34" t="s">
        <v>925</v>
      </c>
    </row>
    <row r="1704" spans="1:8" ht="33">
      <c r="A1704" s="160">
        <v>8</v>
      </c>
      <c r="B1704" s="160" t="s">
        <v>931</v>
      </c>
      <c r="C1704" s="157" t="s">
        <v>14</v>
      </c>
      <c r="D1704" s="159">
        <v>1</v>
      </c>
      <c r="E1704" s="159">
        <v>1212.27</v>
      </c>
      <c r="F1704" s="159">
        <v>1212.27</v>
      </c>
      <c r="G1704" s="160" t="s">
        <v>932</v>
      </c>
      <c r="H1704" s="34" t="s">
        <v>925</v>
      </c>
    </row>
    <row r="1705" spans="1:8" ht="16.5">
      <c r="A1705" s="160"/>
      <c r="B1705" s="160" t="s">
        <v>933</v>
      </c>
      <c r="C1705" s="157" t="s">
        <v>3</v>
      </c>
      <c r="D1705" s="159">
        <v>100</v>
      </c>
      <c r="E1705" s="159"/>
      <c r="F1705" s="159">
        <v>41621.229999999996</v>
      </c>
      <c r="G1705" s="160"/>
    </row>
    <row r="1706" spans="1:8" ht="33">
      <c r="A1706" s="160"/>
      <c r="B1706" s="160" t="s">
        <v>934</v>
      </c>
      <c r="C1706" s="157" t="s">
        <v>3</v>
      </c>
      <c r="D1706" s="159"/>
      <c r="E1706" s="159"/>
      <c r="F1706" s="159">
        <v>416.21</v>
      </c>
      <c r="G1706" s="160"/>
      <c r="H1706" s="34" t="s">
        <v>925</v>
      </c>
    </row>
    <row r="1707" spans="1:8" ht="33">
      <c r="A1707" s="160"/>
      <c r="B1707" s="160"/>
      <c r="C1707" s="157"/>
      <c r="D1707" s="159"/>
      <c r="E1707" s="159"/>
      <c r="F1707" s="159"/>
      <c r="G1707" s="160"/>
      <c r="H1707" s="34" t="s">
        <v>925</v>
      </c>
    </row>
    <row r="1708" spans="1:8" ht="33">
      <c r="A1708" s="160" t="s">
        <v>1951</v>
      </c>
      <c r="B1708" s="160" t="s">
        <v>1719</v>
      </c>
      <c r="C1708" s="157" t="s">
        <v>1497</v>
      </c>
      <c r="D1708" s="159">
        <v>10</v>
      </c>
      <c r="E1708" s="159">
        <v>55.34</v>
      </c>
      <c r="F1708" s="159"/>
      <c r="G1708" s="160" t="s">
        <v>1741</v>
      </c>
      <c r="H1708" s="34" t="s">
        <v>925</v>
      </c>
    </row>
    <row r="1709" spans="1:8" ht="33">
      <c r="A1709" s="160">
        <v>1</v>
      </c>
      <c r="B1709" s="160" t="s">
        <v>1742</v>
      </c>
      <c r="C1709" s="157" t="s">
        <v>1497</v>
      </c>
      <c r="D1709" s="159">
        <v>10</v>
      </c>
      <c r="E1709" s="159">
        <v>29.81</v>
      </c>
      <c r="F1709" s="159">
        <v>298.10000000000002</v>
      </c>
      <c r="G1709" s="160" t="s">
        <v>1743</v>
      </c>
      <c r="H1709" s="34" t="s">
        <v>925</v>
      </c>
    </row>
    <row r="1710" spans="1:8" ht="33">
      <c r="A1710" s="160">
        <v>2</v>
      </c>
      <c r="B1710" s="160" t="s">
        <v>1744</v>
      </c>
      <c r="C1710" s="157" t="s">
        <v>18</v>
      </c>
      <c r="D1710" s="159">
        <v>11</v>
      </c>
      <c r="E1710" s="159">
        <v>20.95</v>
      </c>
      <c r="F1710" s="159">
        <v>230.45</v>
      </c>
      <c r="G1710" s="160" t="s">
        <v>1745</v>
      </c>
      <c r="H1710" s="34" t="s">
        <v>925</v>
      </c>
    </row>
    <row r="1711" spans="1:8" ht="33">
      <c r="A1711" s="160">
        <v>3</v>
      </c>
      <c r="B1711" s="160" t="s">
        <v>1746</v>
      </c>
      <c r="C1711" s="157" t="s">
        <v>0</v>
      </c>
      <c r="D1711" s="159">
        <v>0.03</v>
      </c>
      <c r="E1711" s="159">
        <v>9.94</v>
      </c>
      <c r="F1711" s="159">
        <v>0.3</v>
      </c>
      <c r="G1711" s="160" t="s">
        <v>1747</v>
      </c>
      <c r="H1711" s="34" t="s">
        <v>925</v>
      </c>
    </row>
    <row r="1712" spans="1:8" ht="28.5">
      <c r="A1712" s="160">
        <v>4</v>
      </c>
      <c r="B1712" s="160" t="s">
        <v>1748</v>
      </c>
      <c r="C1712" s="157" t="s">
        <v>1497</v>
      </c>
      <c r="D1712" s="159">
        <v>1</v>
      </c>
      <c r="E1712" s="159">
        <v>8.4499999999999993</v>
      </c>
      <c r="F1712" s="159">
        <v>8.4499999999999993</v>
      </c>
      <c r="G1712" s="160" t="s">
        <v>1749</v>
      </c>
    </row>
    <row r="1713" spans="1:8" ht="33">
      <c r="A1713" s="160">
        <v>5</v>
      </c>
      <c r="B1713" s="160" t="s">
        <v>931</v>
      </c>
      <c r="C1713" s="157" t="s">
        <v>14</v>
      </c>
      <c r="D1713" s="159">
        <v>1</v>
      </c>
      <c r="E1713" s="159">
        <v>16.12</v>
      </c>
      <c r="F1713" s="159">
        <v>16.12</v>
      </c>
      <c r="G1713" s="160" t="s">
        <v>932</v>
      </c>
      <c r="H1713" s="34" t="s">
        <v>925</v>
      </c>
    </row>
    <row r="1714" spans="1:8" ht="33">
      <c r="A1714" s="160"/>
      <c r="B1714" s="160" t="s">
        <v>933</v>
      </c>
      <c r="C1714" s="157" t="s">
        <v>1497</v>
      </c>
      <c r="D1714" s="159">
        <v>10</v>
      </c>
      <c r="E1714" s="159"/>
      <c r="F1714" s="159">
        <v>553.41999999999996</v>
      </c>
      <c r="G1714" s="160"/>
      <c r="H1714" s="34" t="s">
        <v>925</v>
      </c>
    </row>
    <row r="1715" spans="1:8" ht="33">
      <c r="A1715" s="160"/>
      <c r="B1715" s="160" t="s">
        <v>934</v>
      </c>
      <c r="C1715" s="157" t="s">
        <v>1497</v>
      </c>
      <c r="D1715" s="159"/>
      <c r="E1715" s="159"/>
      <c r="F1715" s="159">
        <v>55.34</v>
      </c>
      <c r="G1715" s="160"/>
      <c r="H1715" s="34" t="s">
        <v>925</v>
      </c>
    </row>
    <row r="1716" spans="1:8" ht="33">
      <c r="A1716" s="160"/>
      <c r="B1716" s="160"/>
      <c r="C1716" s="157"/>
      <c r="D1716" s="159"/>
      <c r="E1716" s="159"/>
      <c r="F1716" s="159"/>
      <c r="G1716" s="160"/>
      <c r="H1716" s="34" t="s">
        <v>925</v>
      </c>
    </row>
    <row r="1717" spans="1:8" ht="33">
      <c r="A1717" s="160" t="s">
        <v>1958</v>
      </c>
      <c r="B1717" s="160" t="s">
        <v>1751</v>
      </c>
      <c r="C1717" s="157" t="s">
        <v>3</v>
      </c>
      <c r="D1717" s="159">
        <v>1</v>
      </c>
      <c r="E1717" s="159">
        <v>5580.08</v>
      </c>
      <c r="F1717" s="159"/>
      <c r="G1717" s="160" t="s">
        <v>1752</v>
      </c>
      <c r="H1717" s="34" t="s">
        <v>925</v>
      </c>
    </row>
    <row r="1718" spans="1:8" ht="42.75">
      <c r="A1718" s="160">
        <v>1</v>
      </c>
      <c r="B1718" s="160" t="s">
        <v>1753</v>
      </c>
      <c r="C1718" s="157" t="s">
        <v>0</v>
      </c>
      <c r="D1718" s="159">
        <v>0.1</v>
      </c>
      <c r="E1718" s="159">
        <v>6564.5</v>
      </c>
      <c r="F1718" s="159">
        <v>656.45</v>
      </c>
      <c r="G1718" s="160" t="s">
        <v>1754</v>
      </c>
      <c r="H1718" s="34" t="s">
        <v>925</v>
      </c>
    </row>
    <row r="1719" spans="1:8" ht="28.5">
      <c r="A1719" s="160">
        <v>2</v>
      </c>
      <c r="B1719" s="160" t="s">
        <v>1755</v>
      </c>
      <c r="C1719" s="157" t="s">
        <v>3</v>
      </c>
      <c r="D1719" s="159">
        <v>1</v>
      </c>
      <c r="E1719" s="159">
        <v>89.42</v>
      </c>
      <c r="F1719" s="159">
        <v>89.42</v>
      </c>
      <c r="G1719" s="160" t="s">
        <v>1756</v>
      </c>
    </row>
    <row r="1720" spans="1:8" ht="33">
      <c r="A1720" s="160">
        <v>3</v>
      </c>
      <c r="B1720" s="160" t="s">
        <v>1757</v>
      </c>
      <c r="C1720" s="157" t="s">
        <v>14</v>
      </c>
      <c r="D1720" s="159">
        <v>1</v>
      </c>
      <c r="E1720" s="159">
        <v>47.69</v>
      </c>
      <c r="F1720" s="159">
        <v>47.69</v>
      </c>
      <c r="G1720" s="160" t="s">
        <v>1758</v>
      </c>
      <c r="H1720" s="34" t="s">
        <v>925</v>
      </c>
    </row>
    <row r="1721" spans="1:8" ht="33">
      <c r="A1721" s="160">
        <v>4</v>
      </c>
      <c r="B1721" s="160" t="s">
        <v>1759</v>
      </c>
      <c r="C1721" s="157" t="s">
        <v>14</v>
      </c>
      <c r="D1721" s="159">
        <v>1</v>
      </c>
      <c r="E1721" s="159">
        <v>222.35</v>
      </c>
      <c r="F1721" s="159">
        <v>222.35</v>
      </c>
      <c r="G1721" s="160" t="s">
        <v>1760</v>
      </c>
      <c r="H1721" s="34" t="s">
        <v>925</v>
      </c>
    </row>
    <row r="1722" spans="1:8" ht="33">
      <c r="A1722" s="160">
        <v>5</v>
      </c>
      <c r="B1722" s="160" t="s">
        <v>1761</v>
      </c>
      <c r="C1722" s="157" t="s">
        <v>0</v>
      </c>
      <c r="D1722" s="159">
        <v>0.15</v>
      </c>
      <c r="E1722" s="159">
        <v>26893.49</v>
      </c>
      <c r="F1722" s="159">
        <v>4034.02</v>
      </c>
      <c r="G1722" s="160" t="s">
        <v>1762</v>
      </c>
      <c r="H1722" s="34" t="s">
        <v>925</v>
      </c>
    </row>
    <row r="1723" spans="1:8" ht="33">
      <c r="A1723" s="160">
        <v>6</v>
      </c>
      <c r="B1723" s="160" t="s">
        <v>1763</v>
      </c>
      <c r="C1723" s="157" t="s">
        <v>3</v>
      </c>
      <c r="D1723" s="159">
        <v>1</v>
      </c>
      <c r="E1723" s="159">
        <v>49.68</v>
      </c>
      <c r="F1723" s="159">
        <v>49.68</v>
      </c>
      <c r="G1723" s="160" t="s">
        <v>1764</v>
      </c>
      <c r="H1723" s="34" t="s">
        <v>925</v>
      </c>
    </row>
    <row r="1724" spans="1:8" ht="33">
      <c r="A1724" s="160">
        <v>7</v>
      </c>
      <c r="B1724" s="160" t="s">
        <v>1765</v>
      </c>
      <c r="C1724" s="157" t="s">
        <v>0</v>
      </c>
      <c r="D1724" s="159">
        <v>0.1</v>
      </c>
      <c r="E1724" s="159">
        <v>695.61</v>
      </c>
      <c r="F1724" s="159">
        <v>69.56</v>
      </c>
      <c r="G1724" s="160" t="s">
        <v>1766</v>
      </c>
      <c r="H1724" s="34" t="s">
        <v>925</v>
      </c>
    </row>
    <row r="1725" spans="1:8" ht="33">
      <c r="A1725" s="160">
        <v>8</v>
      </c>
      <c r="B1725" s="160" t="s">
        <v>1767</v>
      </c>
      <c r="C1725" s="157" t="s">
        <v>14</v>
      </c>
      <c r="D1725" s="159">
        <v>1</v>
      </c>
      <c r="E1725" s="159">
        <v>248.38</v>
      </c>
      <c r="F1725" s="159">
        <v>248.38</v>
      </c>
      <c r="G1725" s="160" t="s">
        <v>1768</v>
      </c>
      <c r="H1725" s="34" t="s">
        <v>925</v>
      </c>
    </row>
    <row r="1726" spans="1:8" ht="28.5">
      <c r="A1726" s="160">
        <v>9</v>
      </c>
      <c r="B1726" s="160" t="s">
        <v>931</v>
      </c>
      <c r="C1726" s="157" t="s">
        <v>14</v>
      </c>
      <c r="D1726" s="159">
        <v>1</v>
      </c>
      <c r="E1726" s="159">
        <v>162.53</v>
      </c>
      <c r="F1726" s="159">
        <v>162.53</v>
      </c>
      <c r="G1726" s="160" t="s">
        <v>932</v>
      </c>
    </row>
    <row r="1727" spans="1:8" ht="33">
      <c r="A1727" s="160"/>
      <c r="B1727" s="160" t="s">
        <v>933</v>
      </c>
      <c r="C1727" s="157" t="s">
        <v>3</v>
      </c>
      <c r="D1727" s="159">
        <v>1</v>
      </c>
      <c r="E1727" s="159"/>
      <c r="F1727" s="159">
        <v>5580.0800000000008</v>
      </c>
      <c r="G1727" s="160"/>
      <c r="H1727" s="34" t="s">
        <v>925</v>
      </c>
    </row>
    <row r="1728" spans="1:8" ht="33">
      <c r="A1728" s="160"/>
      <c r="B1728" s="160" t="s">
        <v>934</v>
      </c>
      <c r="C1728" s="157" t="s">
        <v>3</v>
      </c>
      <c r="D1728" s="159"/>
      <c r="E1728" s="159"/>
      <c r="F1728" s="159">
        <v>5580.08</v>
      </c>
      <c r="G1728" s="160"/>
      <c r="H1728" s="34" t="s">
        <v>925</v>
      </c>
    </row>
    <row r="1729" spans="1:8" ht="33">
      <c r="A1729" s="160"/>
      <c r="B1729" s="160"/>
      <c r="C1729" s="157"/>
      <c r="D1729" s="159"/>
      <c r="E1729" s="159"/>
      <c r="F1729" s="159"/>
      <c r="G1729" s="160"/>
      <c r="H1729" s="34" t="s">
        <v>925</v>
      </c>
    </row>
    <row r="1730" spans="1:8" ht="33">
      <c r="A1730" s="160" t="s">
        <v>1965</v>
      </c>
      <c r="B1730" s="160" t="s">
        <v>1770</v>
      </c>
      <c r="C1730" s="157" t="s">
        <v>17</v>
      </c>
      <c r="D1730" s="159">
        <v>2.4</v>
      </c>
      <c r="E1730" s="159">
        <v>3676.81</v>
      </c>
      <c r="F1730" s="159"/>
      <c r="G1730" s="160" t="s">
        <v>1771</v>
      </c>
      <c r="H1730" s="34" t="s">
        <v>925</v>
      </c>
    </row>
    <row r="1731" spans="1:8" ht="33">
      <c r="A1731" s="160">
        <v>1</v>
      </c>
      <c r="B1731" s="160" t="s">
        <v>1772</v>
      </c>
      <c r="C1731" s="157" t="s">
        <v>1497</v>
      </c>
      <c r="D1731" s="159">
        <v>1</v>
      </c>
      <c r="E1731" s="159">
        <v>6207.63</v>
      </c>
      <c r="F1731" s="159">
        <v>6207.63</v>
      </c>
      <c r="G1731" s="160" t="s">
        <v>1773</v>
      </c>
      <c r="H1731" s="34" t="s">
        <v>925</v>
      </c>
    </row>
    <row r="1732" spans="1:8" ht="42.75">
      <c r="A1732" s="160">
        <v>2</v>
      </c>
      <c r="B1732" s="160" t="s">
        <v>4962</v>
      </c>
      <c r="C1732" s="157" t="s">
        <v>927</v>
      </c>
      <c r="D1732" s="159">
        <v>0.56999999999999995</v>
      </c>
      <c r="E1732" s="159">
        <v>407.35</v>
      </c>
      <c r="F1732" s="159">
        <v>232.19</v>
      </c>
      <c r="G1732" s="160" t="s">
        <v>4963</v>
      </c>
      <c r="H1732" s="34" t="s">
        <v>925</v>
      </c>
    </row>
    <row r="1733" spans="1:8" ht="28.5">
      <c r="A1733" s="160">
        <v>3</v>
      </c>
      <c r="B1733" s="160" t="s">
        <v>4871</v>
      </c>
      <c r="C1733" s="157" t="s">
        <v>927</v>
      </c>
      <c r="D1733" s="159">
        <v>1.1399999999999999</v>
      </c>
      <c r="E1733" s="159">
        <v>279.18</v>
      </c>
      <c r="F1733" s="159">
        <v>318.27</v>
      </c>
      <c r="G1733" s="160" t="s">
        <v>4872</v>
      </c>
    </row>
    <row r="1734" spans="1:8" ht="33">
      <c r="A1734" s="160">
        <v>4</v>
      </c>
      <c r="B1734" s="160" t="s">
        <v>1774</v>
      </c>
      <c r="C1734" s="157" t="s">
        <v>927</v>
      </c>
      <c r="D1734" s="159">
        <v>1</v>
      </c>
      <c r="E1734" s="159">
        <v>1410.82</v>
      </c>
      <c r="F1734" s="159">
        <v>1410.82</v>
      </c>
      <c r="G1734" s="160" t="s">
        <v>1775</v>
      </c>
      <c r="H1734" s="34" t="s">
        <v>925</v>
      </c>
    </row>
    <row r="1735" spans="1:8" ht="42.75">
      <c r="A1735" s="160">
        <v>5</v>
      </c>
      <c r="B1735" s="160" t="s">
        <v>4964</v>
      </c>
      <c r="C1735" s="157" t="s">
        <v>927</v>
      </c>
      <c r="D1735" s="159">
        <v>1</v>
      </c>
      <c r="E1735" s="159">
        <v>398.41</v>
      </c>
      <c r="F1735" s="159">
        <v>398.41</v>
      </c>
      <c r="G1735" s="160" t="s">
        <v>4965</v>
      </c>
      <c r="H1735" s="34" t="s">
        <v>925</v>
      </c>
    </row>
    <row r="1736" spans="1:8" ht="33">
      <c r="A1736" s="160">
        <v>6</v>
      </c>
      <c r="B1736" s="160" t="s">
        <v>931</v>
      </c>
      <c r="C1736" s="157" t="s">
        <v>14</v>
      </c>
      <c r="D1736" s="159">
        <v>1</v>
      </c>
      <c r="E1736" s="159">
        <v>257.02</v>
      </c>
      <c r="F1736" s="159">
        <v>257.02</v>
      </c>
      <c r="G1736" s="160" t="s">
        <v>932</v>
      </c>
      <c r="H1736" s="34" t="s">
        <v>925</v>
      </c>
    </row>
    <row r="1737" spans="1:8" ht="33">
      <c r="A1737" s="160"/>
      <c r="B1737" s="160" t="s">
        <v>933</v>
      </c>
      <c r="C1737" s="157" t="s">
        <v>17</v>
      </c>
      <c r="D1737" s="159">
        <v>2.4</v>
      </c>
      <c r="E1737" s="159"/>
      <c r="F1737" s="159">
        <v>8824.34</v>
      </c>
      <c r="G1737" s="160"/>
      <c r="H1737" s="34" t="s">
        <v>925</v>
      </c>
    </row>
    <row r="1738" spans="1:8" ht="33">
      <c r="A1738" s="160"/>
      <c r="B1738" s="160" t="s">
        <v>934</v>
      </c>
      <c r="C1738" s="157" t="s">
        <v>17</v>
      </c>
      <c r="D1738" s="159"/>
      <c r="E1738" s="159"/>
      <c r="F1738" s="159">
        <v>3676.81</v>
      </c>
      <c r="G1738" s="160"/>
      <c r="H1738" s="34" t="s">
        <v>925</v>
      </c>
    </row>
    <row r="1739" spans="1:8" ht="33">
      <c r="A1739" s="160"/>
      <c r="B1739" s="160"/>
      <c r="C1739" s="157"/>
      <c r="D1739" s="159"/>
      <c r="E1739" s="159"/>
      <c r="F1739" s="159"/>
      <c r="G1739" s="160"/>
      <c r="H1739" s="34" t="s">
        <v>925</v>
      </c>
    </row>
    <row r="1740" spans="1:8" ht="28.5">
      <c r="A1740" s="160" t="s">
        <v>1972</v>
      </c>
      <c r="B1740" s="160" t="s">
        <v>1777</v>
      </c>
      <c r="C1740" s="157" t="s">
        <v>17</v>
      </c>
      <c r="D1740" s="159">
        <v>2.4</v>
      </c>
      <c r="E1740" s="159">
        <v>4786.3500000000004</v>
      </c>
      <c r="F1740" s="159"/>
      <c r="G1740" s="160" t="s">
        <v>1778</v>
      </c>
    </row>
    <row r="1741" spans="1:8" ht="33">
      <c r="A1741" s="160">
        <v>1</v>
      </c>
      <c r="B1741" s="160" t="s">
        <v>1779</v>
      </c>
      <c r="C1741" s="157" t="s">
        <v>1497</v>
      </c>
      <c r="D1741" s="159">
        <v>1</v>
      </c>
      <c r="E1741" s="159">
        <v>8633.85</v>
      </c>
      <c r="F1741" s="159">
        <v>8633.85</v>
      </c>
      <c r="G1741" s="160" t="s">
        <v>1780</v>
      </c>
      <c r="H1741" s="34" t="s">
        <v>925</v>
      </c>
    </row>
    <row r="1742" spans="1:8" ht="42.75">
      <c r="A1742" s="160">
        <v>2</v>
      </c>
      <c r="B1742" s="160" t="s">
        <v>4962</v>
      </c>
      <c r="C1742" s="157" t="s">
        <v>927</v>
      </c>
      <c r="D1742" s="159">
        <v>0.56999999999999995</v>
      </c>
      <c r="E1742" s="159">
        <v>407.35</v>
      </c>
      <c r="F1742" s="159">
        <v>232.19</v>
      </c>
      <c r="G1742" s="160" t="s">
        <v>4963</v>
      </c>
      <c r="H1742" s="34" t="s">
        <v>925</v>
      </c>
    </row>
    <row r="1743" spans="1:8" ht="33">
      <c r="A1743" s="160">
        <v>3</v>
      </c>
      <c r="B1743" s="160" t="s">
        <v>4871</v>
      </c>
      <c r="C1743" s="157" t="s">
        <v>927</v>
      </c>
      <c r="D1743" s="159">
        <v>1.71</v>
      </c>
      <c r="E1743" s="159">
        <v>279.18</v>
      </c>
      <c r="F1743" s="159">
        <v>477.4</v>
      </c>
      <c r="G1743" s="160" t="s">
        <v>4872</v>
      </c>
      <c r="H1743" s="34" t="s">
        <v>925</v>
      </c>
    </row>
    <row r="1744" spans="1:8" ht="33">
      <c r="A1744" s="160">
        <v>4</v>
      </c>
      <c r="B1744" s="160" t="s">
        <v>1774</v>
      </c>
      <c r="C1744" s="157" t="s">
        <v>927</v>
      </c>
      <c r="D1744" s="159">
        <v>1</v>
      </c>
      <c r="E1744" s="159">
        <v>1410.82</v>
      </c>
      <c r="F1744" s="159">
        <v>1410.82</v>
      </c>
      <c r="G1744" s="160" t="s">
        <v>1775</v>
      </c>
      <c r="H1744" s="34" t="s">
        <v>925</v>
      </c>
    </row>
    <row r="1745" spans="1:8" ht="42.75">
      <c r="A1745" s="160">
        <v>5</v>
      </c>
      <c r="B1745" s="160" t="s">
        <v>4964</v>
      </c>
      <c r="C1745" s="157" t="s">
        <v>927</v>
      </c>
      <c r="D1745" s="159">
        <v>1</v>
      </c>
      <c r="E1745" s="159">
        <v>398.41</v>
      </c>
      <c r="F1745" s="159">
        <v>398.41</v>
      </c>
      <c r="G1745" s="160" t="s">
        <v>4965</v>
      </c>
      <c r="H1745" s="34" t="s">
        <v>925</v>
      </c>
    </row>
    <row r="1746" spans="1:8" ht="33">
      <c r="A1746" s="160">
        <v>6</v>
      </c>
      <c r="B1746" s="160" t="s">
        <v>931</v>
      </c>
      <c r="C1746" s="157" t="s">
        <v>14</v>
      </c>
      <c r="D1746" s="159">
        <v>1</v>
      </c>
      <c r="E1746" s="159">
        <v>334.58</v>
      </c>
      <c r="F1746" s="159">
        <v>334.58</v>
      </c>
      <c r="G1746" s="160" t="s">
        <v>932</v>
      </c>
      <c r="H1746" s="34" t="s">
        <v>925</v>
      </c>
    </row>
    <row r="1747" spans="1:8" ht="16.5">
      <c r="A1747" s="160"/>
      <c r="B1747" s="160" t="s">
        <v>933</v>
      </c>
      <c r="C1747" s="157" t="s">
        <v>17</v>
      </c>
      <c r="D1747" s="159">
        <v>2.4</v>
      </c>
      <c r="E1747" s="159"/>
      <c r="F1747" s="159">
        <v>11487.25</v>
      </c>
      <c r="G1747" s="160"/>
    </row>
    <row r="1748" spans="1:8" ht="33">
      <c r="A1748" s="160"/>
      <c r="B1748" s="160" t="s">
        <v>934</v>
      </c>
      <c r="C1748" s="157" t="s">
        <v>17</v>
      </c>
      <c r="D1748" s="159"/>
      <c r="E1748" s="159"/>
      <c r="F1748" s="159">
        <v>4786.3500000000004</v>
      </c>
      <c r="G1748" s="160"/>
      <c r="H1748" s="34" t="s">
        <v>925</v>
      </c>
    </row>
    <row r="1749" spans="1:8" ht="33">
      <c r="A1749" s="160"/>
      <c r="B1749" s="160"/>
      <c r="C1749" s="157"/>
      <c r="D1749" s="159"/>
      <c r="E1749" s="159"/>
      <c r="F1749" s="159"/>
      <c r="G1749" s="160"/>
      <c r="H1749" s="34" t="s">
        <v>925</v>
      </c>
    </row>
    <row r="1750" spans="1:8" ht="33">
      <c r="A1750" s="160" t="s">
        <v>1979</v>
      </c>
      <c r="B1750" s="160" t="s">
        <v>1782</v>
      </c>
      <c r="C1750" s="157" t="s">
        <v>17</v>
      </c>
      <c r="D1750" s="159">
        <v>2.4</v>
      </c>
      <c r="E1750" s="159">
        <v>6631.86</v>
      </c>
      <c r="F1750" s="159"/>
      <c r="G1750" s="160" t="s">
        <v>1783</v>
      </c>
      <c r="H1750" s="34" t="s">
        <v>925</v>
      </c>
    </row>
    <row r="1751" spans="1:8" ht="33">
      <c r="A1751" s="160">
        <v>1</v>
      </c>
      <c r="B1751" s="160" t="s">
        <v>1784</v>
      </c>
      <c r="C1751" s="157" t="s">
        <v>1497</v>
      </c>
      <c r="D1751" s="159">
        <v>1</v>
      </c>
      <c r="E1751" s="159">
        <v>12647.74</v>
      </c>
      <c r="F1751" s="159">
        <v>12647.74</v>
      </c>
      <c r="G1751" s="160" t="s">
        <v>1785</v>
      </c>
      <c r="H1751" s="34" t="s">
        <v>925</v>
      </c>
    </row>
    <row r="1752" spans="1:8" ht="42.75">
      <c r="A1752" s="160">
        <v>2</v>
      </c>
      <c r="B1752" s="160" t="s">
        <v>4962</v>
      </c>
      <c r="C1752" s="157" t="s">
        <v>927</v>
      </c>
      <c r="D1752" s="159">
        <v>0.8</v>
      </c>
      <c r="E1752" s="159">
        <v>407.35</v>
      </c>
      <c r="F1752" s="159">
        <v>325.88</v>
      </c>
      <c r="G1752" s="160" t="s">
        <v>4963</v>
      </c>
      <c r="H1752" s="34" t="s">
        <v>925</v>
      </c>
    </row>
    <row r="1753" spans="1:8" ht="33">
      <c r="A1753" s="160">
        <v>3</v>
      </c>
      <c r="B1753" s="160" t="s">
        <v>4871</v>
      </c>
      <c r="C1753" s="157" t="s">
        <v>927</v>
      </c>
      <c r="D1753" s="159">
        <v>2.4</v>
      </c>
      <c r="E1753" s="159">
        <v>279.18</v>
      </c>
      <c r="F1753" s="159">
        <v>670.03</v>
      </c>
      <c r="G1753" s="160" t="s">
        <v>4872</v>
      </c>
      <c r="H1753" s="34" t="s">
        <v>925</v>
      </c>
    </row>
    <row r="1754" spans="1:8" ht="28.5">
      <c r="A1754" s="160">
        <v>4</v>
      </c>
      <c r="B1754" s="160" t="s">
        <v>1774</v>
      </c>
      <c r="C1754" s="157" t="s">
        <v>927</v>
      </c>
      <c r="D1754" s="159">
        <v>1</v>
      </c>
      <c r="E1754" s="159">
        <v>1410.82</v>
      </c>
      <c r="F1754" s="159">
        <v>1410.82</v>
      </c>
      <c r="G1754" s="160" t="s">
        <v>1775</v>
      </c>
    </row>
    <row r="1755" spans="1:8" ht="42.75">
      <c r="A1755" s="160">
        <v>5</v>
      </c>
      <c r="B1755" s="160" t="s">
        <v>4964</v>
      </c>
      <c r="C1755" s="157" t="s">
        <v>927</v>
      </c>
      <c r="D1755" s="159">
        <v>1</v>
      </c>
      <c r="E1755" s="159">
        <v>398.41</v>
      </c>
      <c r="F1755" s="159">
        <v>398.41</v>
      </c>
      <c r="G1755" s="160" t="s">
        <v>4965</v>
      </c>
      <c r="H1755" s="34" t="s">
        <v>925</v>
      </c>
    </row>
    <row r="1756" spans="1:8" ht="33">
      <c r="A1756" s="160">
        <v>6</v>
      </c>
      <c r="B1756" s="160" t="s">
        <v>931</v>
      </c>
      <c r="C1756" s="157" t="s">
        <v>14</v>
      </c>
      <c r="D1756" s="159">
        <v>1</v>
      </c>
      <c r="E1756" s="159">
        <v>463.59</v>
      </c>
      <c r="F1756" s="159">
        <v>463.59</v>
      </c>
      <c r="G1756" s="160" t="s">
        <v>932</v>
      </c>
      <c r="H1756" s="34" t="s">
        <v>925</v>
      </c>
    </row>
    <row r="1757" spans="1:8" ht="33">
      <c r="A1757" s="160"/>
      <c r="B1757" s="160" t="s">
        <v>933</v>
      </c>
      <c r="C1757" s="157" t="s">
        <v>17</v>
      </c>
      <c r="D1757" s="159">
        <v>2.4</v>
      </c>
      <c r="E1757" s="159"/>
      <c r="F1757" s="159">
        <v>15916.47</v>
      </c>
      <c r="G1757" s="160"/>
      <c r="H1757" s="34" t="s">
        <v>925</v>
      </c>
    </row>
    <row r="1758" spans="1:8" ht="33">
      <c r="A1758" s="160"/>
      <c r="B1758" s="160" t="s">
        <v>934</v>
      </c>
      <c r="C1758" s="157" t="s">
        <v>17</v>
      </c>
      <c r="D1758" s="159"/>
      <c r="E1758" s="159"/>
      <c r="F1758" s="159">
        <v>6631.86</v>
      </c>
      <c r="G1758" s="160"/>
      <c r="H1758" s="34" t="s">
        <v>925</v>
      </c>
    </row>
    <row r="1759" spans="1:8" ht="33">
      <c r="A1759" s="160"/>
      <c r="B1759" s="160"/>
      <c r="C1759" s="157"/>
      <c r="D1759" s="159"/>
      <c r="E1759" s="159"/>
      <c r="F1759" s="159"/>
      <c r="G1759" s="160"/>
      <c r="H1759" s="34" t="s">
        <v>925</v>
      </c>
    </row>
    <row r="1760" spans="1:8" ht="33">
      <c r="A1760" s="160" t="s">
        <v>1986</v>
      </c>
      <c r="B1760" s="160" t="s">
        <v>1787</v>
      </c>
      <c r="C1760" s="157" t="s">
        <v>17</v>
      </c>
      <c r="D1760" s="159">
        <v>2.4</v>
      </c>
      <c r="E1760" s="159">
        <v>8642.57</v>
      </c>
      <c r="F1760" s="159"/>
      <c r="G1760" s="160" t="s">
        <v>1788</v>
      </c>
      <c r="H1760" s="34" t="s">
        <v>925</v>
      </c>
    </row>
    <row r="1761" spans="1:8" ht="28.5">
      <c r="A1761" s="160">
        <v>1</v>
      </c>
      <c r="B1761" s="160" t="s">
        <v>1789</v>
      </c>
      <c r="C1761" s="157" t="s">
        <v>1497</v>
      </c>
      <c r="D1761" s="159">
        <v>1</v>
      </c>
      <c r="E1761" s="159">
        <v>18400.330000000002</v>
      </c>
      <c r="F1761" s="159">
        <v>18400.330000000002</v>
      </c>
      <c r="G1761" s="160" t="s">
        <v>1790</v>
      </c>
    </row>
    <row r="1762" spans="1:8" ht="42.75">
      <c r="A1762" s="160">
        <v>2</v>
      </c>
      <c r="B1762" s="160" t="s">
        <v>4962</v>
      </c>
      <c r="C1762" s="157" t="s">
        <v>927</v>
      </c>
      <c r="D1762" s="159">
        <v>0.53</v>
      </c>
      <c r="E1762" s="159">
        <v>407.35</v>
      </c>
      <c r="F1762" s="159">
        <v>215.9</v>
      </c>
      <c r="G1762" s="160" t="s">
        <v>4963</v>
      </c>
      <c r="H1762" s="34" t="s">
        <v>925</v>
      </c>
    </row>
    <row r="1763" spans="1:8" ht="33">
      <c r="A1763" s="160">
        <v>3</v>
      </c>
      <c r="B1763" s="160" t="s">
        <v>4871</v>
      </c>
      <c r="C1763" s="157" t="s">
        <v>927</v>
      </c>
      <c r="D1763" s="159">
        <v>2.12</v>
      </c>
      <c r="E1763" s="159">
        <v>279.18</v>
      </c>
      <c r="F1763" s="159">
        <v>591.86</v>
      </c>
      <c r="G1763" s="160" t="s">
        <v>4872</v>
      </c>
      <c r="H1763" s="34" t="s">
        <v>925</v>
      </c>
    </row>
    <row r="1764" spans="1:8" ht="33">
      <c r="A1764" s="160">
        <v>4</v>
      </c>
      <c r="B1764" s="160" t="s">
        <v>1441</v>
      </c>
      <c r="C1764" s="157" t="s">
        <v>927</v>
      </c>
      <c r="D1764" s="159">
        <v>0.53</v>
      </c>
      <c r="E1764" s="159">
        <v>1356.18</v>
      </c>
      <c r="F1764" s="159">
        <v>718.78</v>
      </c>
      <c r="G1764" s="160" t="s">
        <v>1442</v>
      </c>
      <c r="H1764" s="34" t="s">
        <v>925</v>
      </c>
    </row>
    <row r="1765" spans="1:8" ht="33">
      <c r="A1765" s="160">
        <v>5</v>
      </c>
      <c r="B1765" s="160" t="s">
        <v>1443</v>
      </c>
      <c r="C1765" s="157" t="s">
        <v>927</v>
      </c>
      <c r="D1765" s="159">
        <v>0.53</v>
      </c>
      <c r="E1765" s="159">
        <v>398.41</v>
      </c>
      <c r="F1765" s="159">
        <v>211.16</v>
      </c>
      <c r="G1765" s="160" t="s">
        <v>1444</v>
      </c>
      <c r="H1765" s="34" t="s">
        <v>925</v>
      </c>
    </row>
    <row r="1766" spans="1:8" ht="33">
      <c r="A1766" s="160">
        <v>6</v>
      </c>
      <c r="B1766" s="160" t="s">
        <v>931</v>
      </c>
      <c r="C1766" s="157" t="s">
        <v>14</v>
      </c>
      <c r="D1766" s="159">
        <v>1</v>
      </c>
      <c r="E1766" s="159">
        <v>604.14</v>
      </c>
      <c r="F1766" s="159">
        <v>604.14</v>
      </c>
      <c r="G1766" s="160" t="s">
        <v>932</v>
      </c>
      <c r="H1766" s="34" t="s">
        <v>925</v>
      </c>
    </row>
    <row r="1767" spans="1:8" ht="33">
      <c r="A1767" s="160"/>
      <c r="B1767" s="160" t="s">
        <v>933</v>
      </c>
      <c r="C1767" s="157" t="s">
        <v>17</v>
      </c>
      <c r="D1767" s="159">
        <v>2.4</v>
      </c>
      <c r="E1767" s="159"/>
      <c r="F1767" s="159">
        <v>20742.170000000002</v>
      </c>
      <c r="G1767" s="160"/>
      <c r="H1767" s="34" t="s">
        <v>925</v>
      </c>
    </row>
    <row r="1768" spans="1:8" ht="16.5">
      <c r="A1768" s="160"/>
      <c r="B1768" s="160" t="s">
        <v>934</v>
      </c>
      <c r="C1768" s="157" t="s">
        <v>17</v>
      </c>
      <c r="D1768" s="159"/>
      <c r="E1768" s="159"/>
      <c r="F1768" s="159">
        <v>8642.57</v>
      </c>
      <c r="G1768" s="160"/>
    </row>
    <row r="1769" spans="1:8" ht="33">
      <c r="A1769" s="160"/>
      <c r="B1769" s="160"/>
      <c r="C1769" s="157"/>
      <c r="D1769" s="159"/>
      <c r="E1769" s="159"/>
      <c r="F1769" s="159"/>
      <c r="G1769" s="160"/>
      <c r="H1769" s="34" t="s">
        <v>925</v>
      </c>
    </row>
    <row r="1770" spans="1:8" ht="33">
      <c r="A1770" s="160" t="s">
        <v>1993</v>
      </c>
      <c r="B1770" s="160" t="s">
        <v>1792</v>
      </c>
      <c r="C1770" s="157" t="s">
        <v>17</v>
      </c>
      <c r="D1770" s="159">
        <v>2.4</v>
      </c>
      <c r="E1770" s="159">
        <v>10707.15</v>
      </c>
      <c r="F1770" s="159"/>
      <c r="G1770" s="160" t="s">
        <v>1793</v>
      </c>
      <c r="H1770" s="34" t="s">
        <v>925</v>
      </c>
    </row>
    <row r="1771" spans="1:8" ht="33">
      <c r="A1771" s="160">
        <v>1</v>
      </c>
      <c r="B1771" s="160" t="s">
        <v>1794</v>
      </c>
      <c r="C1771" s="157" t="s">
        <v>1497</v>
      </c>
      <c r="D1771" s="159">
        <v>1</v>
      </c>
      <c r="E1771" s="159">
        <v>22752.02</v>
      </c>
      <c r="F1771" s="159">
        <v>22752.02</v>
      </c>
      <c r="G1771" s="160" t="s">
        <v>1795</v>
      </c>
      <c r="H1771" s="34" t="s">
        <v>925</v>
      </c>
    </row>
    <row r="1772" spans="1:8" ht="42.75">
      <c r="A1772" s="160">
        <v>2</v>
      </c>
      <c r="B1772" s="160" t="s">
        <v>4962</v>
      </c>
      <c r="C1772" s="157" t="s">
        <v>927</v>
      </c>
      <c r="D1772" s="159">
        <v>0.67</v>
      </c>
      <c r="E1772" s="159">
        <v>407.35</v>
      </c>
      <c r="F1772" s="159">
        <v>272.92</v>
      </c>
      <c r="G1772" s="160" t="s">
        <v>4963</v>
      </c>
      <c r="H1772" s="34" t="s">
        <v>925</v>
      </c>
    </row>
    <row r="1773" spans="1:8" ht="33">
      <c r="A1773" s="160">
        <v>3</v>
      </c>
      <c r="B1773" s="160" t="s">
        <v>4871</v>
      </c>
      <c r="C1773" s="157" t="s">
        <v>927</v>
      </c>
      <c r="D1773" s="159">
        <v>2.68</v>
      </c>
      <c r="E1773" s="159">
        <v>279.18</v>
      </c>
      <c r="F1773" s="159">
        <v>748.2</v>
      </c>
      <c r="G1773" s="160" t="s">
        <v>4872</v>
      </c>
      <c r="H1773" s="34" t="s">
        <v>925</v>
      </c>
    </row>
    <row r="1774" spans="1:8" ht="33">
      <c r="A1774" s="160">
        <v>4</v>
      </c>
      <c r="B1774" s="160" t="s">
        <v>1441</v>
      </c>
      <c r="C1774" s="157" t="s">
        <v>927</v>
      </c>
      <c r="D1774" s="159">
        <v>0.67</v>
      </c>
      <c r="E1774" s="159">
        <v>1356.18</v>
      </c>
      <c r="F1774" s="159">
        <v>908.64</v>
      </c>
      <c r="G1774" s="160" t="s">
        <v>1442</v>
      </c>
      <c r="H1774" s="34" t="s">
        <v>925</v>
      </c>
    </row>
    <row r="1775" spans="1:8" ht="28.5">
      <c r="A1775" s="160">
        <v>5</v>
      </c>
      <c r="B1775" s="160" t="s">
        <v>1443</v>
      </c>
      <c r="C1775" s="157" t="s">
        <v>927</v>
      </c>
      <c r="D1775" s="159">
        <v>0.67</v>
      </c>
      <c r="E1775" s="159">
        <v>398.41</v>
      </c>
      <c r="F1775" s="159">
        <v>266.93</v>
      </c>
      <c r="G1775" s="160" t="s">
        <v>1444</v>
      </c>
    </row>
    <row r="1776" spans="1:8" ht="33">
      <c r="A1776" s="160">
        <v>6</v>
      </c>
      <c r="B1776" s="160" t="s">
        <v>931</v>
      </c>
      <c r="C1776" s="157" t="s">
        <v>14</v>
      </c>
      <c r="D1776" s="159">
        <v>1</v>
      </c>
      <c r="E1776" s="159">
        <v>748.46</v>
      </c>
      <c r="F1776" s="159">
        <v>748.46</v>
      </c>
      <c r="G1776" s="160" t="s">
        <v>932</v>
      </c>
      <c r="H1776" s="34" t="s">
        <v>925</v>
      </c>
    </row>
    <row r="1777" spans="1:8" ht="33">
      <c r="A1777" s="160"/>
      <c r="B1777" s="160" t="s">
        <v>933</v>
      </c>
      <c r="C1777" s="157" t="s">
        <v>17</v>
      </c>
      <c r="D1777" s="159">
        <v>2.4</v>
      </c>
      <c r="E1777" s="159"/>
      <c r="F1777" s="159">
        <v>25697.17</v>
      </c>
      <c r="G1777" s="160"/>
      <c r="H1777" s="34" t="s">
        <v>925</v>
      </c>
    </row>
    <row r="1778" spans="1:8" ht="33">
      <c r="A1778" s="160"/>
      <c r="B1778" s="160" t="s">
        <v>934</v>
      </c>
      <c r="C1778" s="157" t="s">
        <v>17</v>
      </c>
      <c r="D1778" s="159"/>
      <c r="E1778" s="159"/>
      <c r="F1778" s="159">
        <v>10707.15</v>
      </c>
      <c r="G1778" s="160"/>
      <c r="H1778" s="34" t="s">
        <v>925</v>
      </c>
    </row>
    <row r="1779" spans="1:8" ht="33">
      <c r="A1779" s="160"/>
      <c r="B1779" s="160"/>
      <c r="C1779" s="157"/>
      <c r="D1779" s="159"/>
      <c r="E1779" s="159"/>
      <c r="F1779" s="159"/>
      <c r="G1779" s="160"/>
      <c r="H1779" s="34" t="s">
        <v>925</v>
      </c>
    </row>
    <row r="1780" spans="1:8" ht="33">
      <c r="A1780" s="160" t="s">
        <v>2000</v>
      </c>
      <c r="B1780" s="160" t="s">
        <v>1797</v>
      </c>
      <c r="C1780" s="157" t="s">
        <v>17</v>
      </c>
      <c r="D1780" s="159">
        <v>2.4</v>
      </c>
      <c r="E1780" s="159">
        <v>12894.13</v>
      </c>
      <c r="F1780" s="159"/>
      <c r="G1780" s="160" t="s">
        <v>1798</v>
      </c>
      <c r="H1780" s="34" t="s">
        <v>925</v>
      </c>
    </row>
    <row r="1781" spans="1:8" ht="33">
      <c r="A1781" s="160">
        <v>1</v>
      </c>
      <c r="B1781" s="160" t="s">
        <v>1799</v>
      </c>
      <c r="C1781" s="157" t="s">
        <v>1497</v>
      </c>
      <c r="D1781" s="159">
        <v>1</v>
      </c>
      <c r="E1781" s="159">
        <v>27421.65</v>
      </c>
      <c r="F1781" s="159">
        <v>27421.65</v>
      </c>
      <c r="G1781" s="160" t="s">
        <v>1800</v>
      </c>
      <c r="H1781" s="34" t="s">
        <v>925</v>
      </c>
    </row>
    <row r="1782" spans="1:8" ht="42.75">
      <c r="A1782" s="160">
        <v>2</v>
      </c>
      <c r="B1782" s="160" t="s">
        <v>4962</v>
      </c>
      <c r="C1782" s="157" t="s">
        <v>927</v>
      </c>
      <c r="D1782" s="159">
        <v>0.8</v>
      </c>
      <c r="E1782" s="159">
        <v>407.35</v>
      </c>
      <c r="F1782" s="159">
        <v>325.88</v>
      </c>
      <c r="G1782" s="160" t="s">
        <v>4963</v>
      </c>
    </row>
    <row r="1783" spans="1:8" ht="33">
      <c r="A1783" s="160">
        <v>3</v>
      </c>
      <c r="B1783" s="160" t="s">
        <v>4871</v>
      </c>
      <c r="C1783" s="157" t="s">
        <v>927</v>
      </c>
      <c r="D1783" s="159">
        <v>3.2</v>
      </c>
      <c r="E1783" s="159">
        <v>279.18</v>
      </c>
      <c r="F1783" s="159">
        <v>893.38</v>
      </c>
      <c r="G1783" s="160" t="s">
        <v>4872</v>
      </c>
      <c r="H1783" s="34" t="s">
        <v>925</v>
      </c>
    </row>
    <row r="1784" spans="1:8" ht="33">
      <c r="A1784" s="160">
        <v>4</v>
      </c>
      <c r="B1784" s="160" t="s">
        <v>1441</v>
      </c>
      <c r="C1784" s="157" t="s">
        <v>927</v>
      </c>
      <c r="D1784" s="159">
        <v>0.8</v>
      </c>
      <c r="E1784" s="159">
        <v>1356.18</v>
      </c>
      <c r="F1784" s="159">
        <v>1084.94</v>
      </c>
      <c r="G1784" s="160" t="s">
        <v>1442</v>
      </c>
      <c r="H1784" s="34" t="s">
        <v>925</v>
      </c>
    </row>
    <row r="1785" spans="1:8" ht="33">
      <c r="A1785" s="160">
        <v>5</v>
      </c>
      <c r="B1785" s="160" t="s">
        <v>1443</v>
      </c>
      <c r="C1785" s="157" t="s">
        <v>927</v>
      </c>
      <c r="D1785" s="159">
        <v>0.8</v>
      </c>
      <c r="E1785" s="159">
        <v>398.41</v>
      </c>
      <c r="F1785" s="159">
        <v>318.73</v>
      </c>
      <c r="G1785" s="160" t="s">
        <v>1444</v>
      </c>
      <c r="H1785" s="34" t="s">
        <v>925</v>
      </c>
    </row>
    <row r="1786" spans="1:8" ht="33">
      <c r="A1786" s="160">
        <v>6</v>
      </c>
      <c r="B1786" s="160" t="s">
        <v>931</v>
      </c>
      <c r="C1786" s="157" t="s">
        <v>14</v>
      </c>
      <c r="D1786" s="159">
        <v>1</v>
      </c>
      <c r="E1786" s="159">
        <v>901.34</v>
      </c>
      <c r="F1786" s="159">
        <v>901.34</v>
      </c>
      <c r="G1786" s="160" t="s">
        <v>932</v>
      </c>
      <c r="H1786" s="34" t="s">
        <v>925</v>
      </c>
    </row>
    <row r="1787" spans="1:8" ht="33">
      <c r="A1787" s="160"/>
      <c r="B1787" s="160" t="s">
        <v>933</v>
      </c>
      <c r="C1787" s="157" t="s">
        <v>17</v>
      </c>
      <c r="D1787" s="159">
        <v>2.4</v>
      </c>
      <c r="E1787" s="159"/>
      <c r="F1787" s="159">
        <v>30945.920000000002</v>
      </c>
      <c r="G1787" s="160"/>
      <c r="H1787" s="34" t="s">
        <v>925</v>
      </c>
    </row>
    <row r="1788" spans="1:8" ht="33">
      <c r="A1788" s="160"/>
      <c r="B1788" s="160" t="s">
        <v>934</v>
      </c>
      <c r="C1788" s="157" t="s">
        <v>17</v>
      </c>
      <c r="D1788" s="159"/>
      <c r="E1788" s="159"/>
      <c r="F1788" s="159">
        <v>12894.13</v>
      </c>
      <c r="G1788" s="160"/>
      <c r="H1788" s="34" t="s">
        <v>925</v>
      </c>
    </row>
    <row r="1789" spans="1:8" ht="33">
      <c r="A1789" s="160"/>
      <c r="B1789" s="160"/>
      <c r="C1789" s="157"/>
      <c r="D1789" s="159"/>
      <c r="E1789" s="159"/>
      <c r="F1789" s="159"/>
      <c r="G1789" s="160"/>
      <c r="H1789" s="34" t="s">
        <v>925</v>
      </c>
    </row>
    <row r="1790" spans="1:8" ht="33">
      <c r="A1790" s="160" t="s">
        <v>2007</v>
      </c>
      <c r="B1790" s="160" t="s">
        <v>1802</v>
      </c>
      <c r="C1790" s="157" t="s">
        <v>17</v>
      </c>
      <c r="D1790" s="159">
        <v>2.4</v>
      </c>
      <c r="E1790" s="159">
        <v>16283.96</v>
      </c>
      <c r="F1790" s="159"/>
      <c r="G1790" s="160" t="s">
        <v>1803</v>
      </c>
      <c r="H1790" s="34" t="s">
        <v>925</v>
      </c>
    </row>
    <row r="1791" spans="1:8" ht="28.5">
      <c r="A1791" s="160">
        <v>1</v>
      </c>
      <c r="B1791" s="160" t="s">
        <v>1804</v>
      </c>
      <c r="C1791" s="157" t="s">
        <v>1497</v>
      </c>
      <c r="D1791" s="159">
        <v>1</v>
      </c>
      <c r="E1791" s="159">
        <v>34992.410000000003</v>
      </c>
      <c r="F1791" s="159">
        <v>34992.410000000003</v>
      </c>
      <c r="G1791" s="160" t="s">
        <v>1805</v>
      </c>
    </row>
    <row r="1792" spans="1:8" ht="42.75">
      <c r="A1792" s="160">
        <v>2</v>
      </c>
      <c r="B1792" s="160" t="s">
        <v>4962</v>
      </c>
      <c r="C1792" s="157" t="s">
        <v>927</v>
      </c>
      <c r="D1792" s="159">
        <v>0.9</v>
      </c>
      <c r="E1792" s="159">
        <v>407.35</v>
      </c>
      <c r="F1792" s="159">
        <v>366.62</v>
      </c>
      <c r="G1792" s="160" t="s">
        <v>4963</v>
      </c>
      <c r="H1792" s="34" t="s">
        <v>925</v>
      </c>
    </row>
    <row r="1793" spans="1:8" ht="33">
      <c r="A1793" s="160">
        <v>3</v>
      </c>
      <c r="B1793" s="160" t="s">
        <v>4871</v>
      </c>
      <c r="C1793" s="157" t="s">
        <v>927</v>
      </c>
      <c r="D1793" s="159">
        <v>3.6</v>
      </c>
      <c r="E1793" s="159">
        <v>279.18</v>
      </c>
      <c r="F1793" s="159">
        <v>1005.05</v>
      </c>
      <c r="G1793" s="160" t="s">
        <v>4872</v>
      </c>
      <c r="H1793" s="34" t="s">
        <v>925</v>
      </c>
    </row>
    <row r="1794" spans="1:8" ht="33">
      <c r="A1794" s="160">
        <v>4</v>
      </c>
      <c r="B1794" s="160" t="s">
        <v>1441</v>
      </c>
      <c r="C1794" s="157" t="s">
        <v>927</v>
      </c>
      <c r="D1794" s="159">
        <v>0.9</v>
      </c>
      <c r="E1794" s="159">
        <v>1356.18</v>
      </c>
      <c r="F1794" s="159">
        <v>1220.56</v>
      </c>
      <c r="G1794" s="160" t="s">
        <v>1442</v>
      </c>
      <c r="H1794" s="34" t="s">
        <v>925</v>
      </c>
    </row>
    <row r="1795" spans="1:8" ht="33">
      <c r="A1795" s="160">
        <v>5</v>
      </c>
      <c r="B1795" s="160" t="s">
        <v>1443</v>
      </c>
      <c r="C1795" s="157" t="s">
        <v>927</v>
      </c>
      <c r="D1795" s="159">
        <v>0.9</v>
      </c>
      <c r="E1795" s="159">
        <v>398.41</v>
      </c>
      <c r="F1795" s="159">
        <v>358.57</v>
      </c>
      <c r="G1795" s="160" t="s">
        <v>1444</v>
      </c>
      <c r="H1795" s="34" t="s">
        <v>925</v>
      </c>
    </row>
    <row r="1796" spans="1:8" ht="33">
      <c r="A1796" s="160">
        <v>6</v>
      </c>
      <c r="B1796" s="160" t="s">
        <v>931</v>
      </c>
      <c r="C1796" s="157" t="s">
        <v>14</v>
      </c>
      <c r="D1796" s="159">
        <v>1</v>
      </c>
      <c r="E1796" s="159">
        <v>1138.3</v>
      </c>
      <c r="F1796" s="159">
        <v>1138.3</v>
      </c>
      <c r="G1796" s="160" t="s">
        <v>932</v>
      </c>
      <c r="H1796" s="34" t="s">
        <v>925</v>
      </c>
    </row>
    <row r="1797" spans="1:8" ht="33">
      <c r="A1797" s="160"/>
      <c r="B1797" s="160" t="s">
        <v>933</v>
      </c>
      <c r="C1797" s="157" t="s">
        <v>17</v>
      </c>
      <c r="D1797" s="159">
        <v>2.4</v>
      </c>
      <c r="E1797" s="159"/>
      <c r="F1797" s="159">
        <v>39081.510000000009</v>
      </c>
      <c r="G1797" s="160"/>
      <c r="H1797" s="34" t="s">
        <v>925</v>
      </c>
    </row>
    <row r="1798" spans="1:8" ht="16.5">
      <c r="A1798" s="160"/>
      <c r="B1798" s="160" t="s">
        <v>934</v>
      </c>
      <c r="C1798" s="157" t="s">
        <v>17</v>
      </c>
      <c r="D1798" s="159"/>
      <c r="E1798" s="159"/>
      <c r="F1798" s="159">
        <v>16283.96</v>
      </c>
      <c r="G1798" s="160"/>
    </row>
    <row r="1799" spans="1:8" ht="33">
      <c r="A1799" s="160"/>
      <c r="B1799" s="160"/>
      <c r="C1799" s="157"/>
      <c r="D1799" s="159"/>
      <c r="E1799" s="159"/>
      <c r="F1799" s="159"/>
      <c r="G1799" s="160"/>
      <c r="H1799" s="34" t="s">
        <v>925</v>
      </c>
    </row>
    <row r="1800" spans="1:8" ht="33">
      <c r="A1800" s="160" t="s">
        <v>2014</v>
      </c>
      <c r="B1800" s="160" t="s">
        <v>1807</v>
      </c>
      <c r="C1800" s="157" t="s">
        <v>17</v>
      </c>
      <c r="D1800" s="159">
        <v>2.4</v>
      </c>
      <c r="E1800" s="159">
        <v>20172.669999999998</v>
      </c>
      <c r="F1800" s="159"/>
      <c r="G1800" s="160" t="s">
        <v>1808</v>
      </c>
      <c r="H1800" s="34" t="s">
        <v>925</v>
      </c>
    </row>
    <row r="1801" spans="1:8" ht="33">
      <c r="A1801" s="160">
        <v>1</v>
      </c>
      <c r="B1801" s="160" t="s">
        <v>1809</v>
      </c>
      <c r="C1801" s="157" t="s">
        <v>1497</v>
      </c>
      <c r="D1801" s="159">
        <v>1</v>
      </c>
      <c r="E1801" s="159">
        <v>43725.61</v>
      </c>
      <c r="F1801" s="159">
        <v>43725.61</v>
      </c>
      <c r="G1801" s="160" t="s">
        <v>1810</v>
      </c>
      <c r="H1801" s="34" t="s">
        <v>925</v>
      </c>
    </row>
    <row r="1802" spans="1:8" ht="42.75">
      <c r="A1802" s="160">
        <v>2</v>
      </c>
      <c r="B1802" s="160" t="s">
        <v>4962</v>
      </c>
      <c r="C1802" s="157" t="s">
        <v>927</v>
      </c>
      <c r="D1802" s="159">
        <v>1</v>
      </c>
      <c r="E1802" s="159">
        <v>407.35</v>
      </c>
      <c r="F1802" s="159">
        <v>407.35</v>
      </c>
      <c r="G1802" s="160" t="s">
        <v>4963</v>
      </c>
      <c r="H1802" s="34" t="s">
        <v>925</v>
      </c>
    </row>
    <row r="1803" spans="1:8" ht="33">
      <c r="A1803" s="160">
        <v>3</v>
      </c>
      <c r="B1803" s="160" t="s">
        <v>4871</v>
      </c>
      <c r="C1803" s="157" t="s">
        <v>927</v>
      </c>
      <c r="D1803" s="159">
        <v>4</v>
      </c>
      <c r="E1803" s="159">
        <v>279.18</v>
      </c>
      <c r="F1803" s="159">
        <v>1116.72</v>
      </c>
      <c r="G1803" s="160" t="s">
        <v>4872</v>
      </c>
      <c r="H1803" s="34" t="s">
        <v>925</v>
      </c>
    </row>
    <row r="1804" spans="1:8" ht="33">
      <c r="A1804" s="160">
        <v>4</v>
      </c>
      <c r="B1804" s="160" t="s">
        <v>1441</v>
      </c>
      <c r="C1804" s="157" t="s">
        <v>927</v>
      </c>
      <c r="D1804" s="159">
        <v>1</v>
      </c>
      <c r="E1804" s="159">
        <v>1356.18</v>
      </c>
      <c r="F1804" s="159">
        <v>1356.18</v>
      </c>
      <c r="G1804" s="160" t="s">
        <v>1442</v>
      </c>
      <c r="H1804" s="34" t="s">
        <v>925</v>
      </c>
    </row>
    <row r="1805" spans="1:8" ht="28.5">
      <c r="A1805" s="160">
        <v>5</v>
      </c>
      <c r="B1805" s="160" t="s">
        <v>1443</v>
      </c>
      <c r="C1805" s="157" t="s">
        <v>927</v>
      </c>
      <c r="D1805" s="159">
        <v>1</v>
      </c>
      <c r="E1805" s="159">
        <v>398.41</v>
      </c>
      <c r="F1805" s="159">
        <v>398.41</v>
      </c>
      <c r="G1805" s="160" t="s">
        <v>1444</v>
      </c>
    </row>
    <row r="1806" spans="1:8" ht="33">
      <c r="A1806" s="160">
        <v>6</v>
      </c>
      <c r="B1806" s="160" t="s">
        <v>931</v>
      </c>
      <c r="C1806" s="157" t="s">
        <v>14</v>
      </c>
      <c r="D1806" s="159">
        <v>1</v>
      </c>
      <c r="E1806" s="159">
        <v>1410.13</v>
      </c>
      <c r="F1806" s="159">
        <v>1410.13</v>
      </c>
      <c r="G1806" s="160" t="s">
        <v>932</v>
      </c>
      <c r="H1806" s="34" t="s">
        <v>925</v>
      </c>
    </row>
    <row r="1807" spans="1:8" ht="33">
      <c r="A1807" s="160"/>
      <c r="B1807" s="160" t="s">
        <v>933</v>
      </c>
      <c r="C1807" s="157" t="s">
        <v>17</v>
      </c>
      <c r="D1807" s="159">
        <v>2.4</v>
      </c>
      <c r="E1807" s="159"/>
      <c r="F1807" s="159">
        <v>48414.400000000001</v>
      </c>
      <c r="G1807" s="160"/>
      <c r="H1807" s="34" t="s">
        <v>925</v>
      </c>
    </row>
    <row r="1808" spans="1:8" ht="33">
      <c r="A1808" s="160"/>
      <c r="B1808" s="160" t="s">
        <v>934</v>
      </c>
      <c r="C1808" s="157" t="s">
        <v>17</v>
      </c>
      <c r="D1808" s="159"/>
      <c r="E1808" s="159"/>
      <c r="F1808" s="159">
        <v>20172.669999999998</v>
      </c>
      <c r="G1808" s="160"/>
      <c r="H1808" s="34" t="s">
        <v>925</v>
      </c>
    </row>
    <row r="1809" spans="1:8" ht="33">
      <c r="A1809" s="160"/>
      <c r="B1809" s="160"/>
      <c r="C1809" s="157"/>
      <c r="D1809" s="159"/>
      <c r="E1809" s="159"/>
      <c r="F1809" s="159"/>
      <c r="G1809" s="160"/>
      <c r="H1809" s="34" t="s">
        <v>925</v>
      </c>
    </row>
    <row r="1810" spans="1:8" ht="33">
      <c r="A1810" s="160" t="s">
        <v>2021</v>
      </c>
      <c r="B1810" s="160" t="s">
        <v>1812</v>
      </c>
      <c r="C1810" s="157" t="s">
        <v>17</v>
      </c>
      <c r="D1810" s="159">
        <v>2.4</v>
      </c>
      <c r="E1810" s="159">
        <v>24205.97</v>
      </c>
      <c r="F1810" s="159"/>
      <c r="G1810" s="160" t="s">
        <v>1813</v>
      </c>
      <c r="H1810" s="34" t="s">
        <v>925</v>
      </c>
    </row>
    <row r="1811" spans="1:8" ht="33">
      <c r="A1811" s="160">
        <v>1</v>
      </c>
      <c r="B1811" s="160" t="s">
        <v>1814</v>
      </c>
      <c r="C1811" s="157" t="s">
        <v>1497</v>
      </c>
      <c r="D1811" s="159">
        <v>1</v>
      </c>
      <c r="E1811" s="159">
        <v>52488.62</v>
      </c>
      <c r="F1811" s="159">
        <v>52488.62</v>
      </c>
      <c r="G1811" s="160" t="s">
        <v>1815</v>
      </c>
      <c r="H1811" s="34" t="s">
        <v>925</v>
      </c>
    </row>
    <row r="1812" spans="1:8" ht="42.75">
      <c r="A1812" s="160">
        <v>2</v>
      </c>
      <c r="B1812" s="160" t="s">
        <v>4962</v>
      </c>
      <c r="C1812" s="157" t="s">
        <v>927</v>
      </c>
      <c r="D1812" s="159">
        <v>1.1000000000000001</v>
      </c>
      <c r="E1812" s="159">
        <v>407.35</v>
      </c>
      <c r="F1812" s="159">
        <v>448.09</v>
      </c>
      <c r="G1812" s="160" t="s">
        <v>4963</v>
      </c>
    </row>
    <row r="1813" spans="1:8" ht="33">
      <c r="A1813" s="160">
        <v>3</v>
      </c>
      <c r="B1813" s="160" t="s">
        <v>4871</v>
      </c>
      <c r="C1813" s="157" t="s">
        <v>927</v>
      </c>
      <c r="D1813" s="159">
        <v>5.5</v>
      </c>
      <c r="E1813" s="159">
        <v>279.18</v>
      </c>
      <c r="F1813" s="159">
        <v>1535.49</v>
      </c>
      <c r="G1813" s="160" t="s">
        <v>4872</v>
      </c>
      <c r="H1813" s="34" t="s">
        <v>925</v>
      </c>
    </row>
    <row r="1814" spans="1:8" ht="33">
      <c r="A1814" s="160">
        <v>4</v>
      </c>
      <c r="B1814" s="160" t="s">
        <v>1441</v>
      </c>
      <c r="C1814" s="157" t="s">
        <v>927</v>
      </c>
      <c r="D1814" s="159">
        <v>1.1000000000000001</v>
      </c>
      <c r="E1814" s="159">
        <v>1356.18</v>
      </c>
      <c r="F1814" s="159">
        <v>1491.8</v>
      </c>
      <c r="G1814" s="160" t="s">
        <v>1442</v>
      </c>
      <c r="H1814" s="34" t="s">
        <v>925</v>
      </c>
    </row>
    <row r="1815" spans="1:8" ht="33">
      <c r="A1815" s="160">
        <v>5</v>
      </c>
      <c r="B1815" s="160" t="s">
        <v>1443</v>
      </c>
      <c r="C1815" s="157" t="s">
        <v>927</v>
      </c>
      <c r="D1815" s="159">
        <v>1.1000000000000001</v>
      </c>
      <c r="E1815" s="159">
        <v>398.41</v>
      </c>
      <c r="F1815" s="159">
        <v>438.25</v>
      </c>
      <c r="G1815" s="160" t="s">
        <v>1444</v>
      </c>
      <c r="H1815" s="34" t="s">
        <v>925</v>
      </c>
    </row>
    <row r="1816" spans="1:8" ht="33">
      <c r="A1816" s="160">
        <v>6</v>
      </c>
      <c r="B1816" s="160" t="s">
        <v>931</v>
      </c>
      <c r="C1816" s="157" t="s">
        <v>14</v>
      </c>
      <c r="D1816" s="159">
        <v>1</v>
      </c>
      <c r="E1816" s="159">
        <v>1692.07</v>
      </c>
      <c r="F1816" s="159">
        <v>1692.07</v>
      </c>
      <c r="G1816" s="160" t="s">
        <v>932</v>
      </c>
      <c r="H1816" s="34" t="s">
        <v>925</v>
      </c>
    </row>
    <row r="1817" spans="1:8" ht="33">
      <c r="A1817" s="160"/>
      <c r="B1817" s="160" t="s">
        <v>933</v>
      </c>
      <c r="C1817" s="157" t="s">
        <v>17</v>
      </c>
      <c r="D1817" s="159">
        <v>2.4</v>
      </c>
      <c r="E1817" s="159"/>
      <c r="F1817" s="159">
        <v>58094.32</v>
      </c>
      <c r="G1817" s="160"/>
      <c r="H1817" s="34" t="s">
        <v>925</v>
      </c>
    </row>
    <row r="1818" spans="1:8" ht="33">
      <c r="A1818" s="160"/>
      <c r="B1818" s="160" t="s">
        <v>934</v>
      </c>
      <c r="C1818" s="157" t="s">
        <v>17</v>
      </c>
      <c r="D1818" s="159"/>
      <c r="E1818" s="159"/>
      <c r="F1818" s="159">
        <v>24205.97</v>
      </c>
      <c r="G1818" s="160"/>
      <c r="H1818" s="34" t="s">
        <v>925</v>
      </c>
    </row>
    <row r="1819" spans="1:8" ht="16.5">
      <c r="A1819" s="160"/>
      <c r="B1819" s="160"/>
      <c r="C1819" s="157"/>
      <c r="D1819" s="159"/>
      <c r="E1819" s="159"/>
      <c r="F1819" s="159"/>
      <c r="G1819" s="160"/>
    </row>
    <row r="1820" spans="1:8" ht="33">
      <c r="A1820" s="160" t="s">
        <v>2028</v>
      </c>
      <c r="B1820" s="160" t="s">
        <v>1817</v>
      </c>
      <c r="C1820" s="157" t="s">
        <v>1818</v>
      </c>
      <c r="D1820" s="159">
        <v>1</v>
      </c>
      <c r="E1820" s="159">
        <v>1167.6400000000001</v>
      </c>
      <c r="F1820" s="159"/>
      <c r="G1820" s="160" t="s">
        <v>1819</v>
      </c>
      <c r="H1820" s="34" t="s">
        <v>925</v>
      </c>
    </row>
    <row r="1821" spans="1:8" ht="33">
      <c r="A1821" s="160">
        <v>1</v>
      </c>
      <c r="B1821" s="160" t="s">
        <v>1820</v>
      </c>
      <c r="C1821" s="157" t="s">
        <v>1818</v>
      </c>
      <c r="D1821" s="159">
        <v>1</v>
      </c>
      <c r="E1821" s="159">
        <v>1088.92</v>
      </c>
      <c r="F1821" s="159">
        <v>1088.92</v>
      </c>
      <c r="G1821" s="160" t="s">
        <v>1821</v>
      </c>
      <c r="H1821" s="34" t="s">
        <v>925</v>
      </c>
    </row>
    <row r="1822" spans="1:8" ht="33">
      <c r="A1822" s="160">
        <v>2</v>
      </c>
      <c r="B1822" s="160" t="s">
        <v>1822</v>
      </c>
      <c r="C1822" s="157" t="s">
        <v>1818</v>
      </c>
      <c r="D1822" s="159">
        <v>1</v>
      </c>
      <c r="E1822" s="159">
        <v>44.71</v>
      </c>
      <c r="F1822" s="159">
        <v>44.71</v>
      </c>
      <c r="G1822" s="160" t="s">
        <v>1823</v>
      </c>
      <c r="H1822" s="34" t="s">
        <v>925</v>
      </c>
    </row>
    <row r="1823" spans="1:8" ht="33">
      <c r="A1823" s="160">
        <v>3</v>
      </c>
      <c r="B1823" s="160" t="s">
        <v>931</v>
      </c>
      <c r="C1823" s="157" t="s">
        <v>14</v>
      </c>
      <c r="D1823" s="159">
        <v>1</v>
      </c>
      <c r="E1823" s="159">
        <v>34.01</v>
      </c>
      <c r="F1823" s="159">
        <v>34.01</v>
      </c>
      <c r="G1823" s="160" t="s">
        <v>932</v>
      </c>
      <c r="H1823" s="34" t="s">
        <v>925</v>
      </c>
    </row>
    <row r="1824" spans="1:8" ht="33">
      <c r="A1824" s="160"/>
      <c r="B1824" s="160" t="s">
        <v>933</v>
      </c>
      <c r="C1824" s="157" t="s">
        <v>1818</v>
      </c>
      <c r="D1824" s="159">
        <v>1</v>
      </c>
      <c r="E1824" s="159"/>
      <c r="F1824" s="159">
        <v>1167.6400000000001</v>
      </c>
      <c r="G1824" s="160"/>
      <c r="H1824" s="34" t="s">
        <v>925</v>
      </c>
    </row>
    <row r="1825" spans="1:8" ht="33">
      <c r="A1825" s="160"/>
      <c r="B1825" s="160" t="s">
        <v>934</v>
      </c>
      <c r="C1825" s="157" t="s">
        <v>1818</v>
      </c>
      <c r="D1825" s="159"/>
      <c r="E1825" s="159"/>
      <c r="F1825" s="159">
        <v>1167.6400000000001</v>
      </c>
      <c r="G1825" s="160"/>
      <c r="H1825" s="34" t="s">
        <v>925</v>
      </c>
    </row>
    <row r="1826" spans="1:8" ht="16.5">
      <c r="A1826" s="160"/>
      <c r="B1826" s="160"/>
      <c r="C1826" s="157"/>
      <c r="D1826" s="159"/>
      <c r="E1826" s="159"/>
      <c r="F1826" s="159"/>
      <c r="G1826" s="160"/>
    </row>
    <row r="1827" spans="1:8" ht="33">
      <c r="A1827" s="160" t="s">
        <v>2031</v>
      </c>
      <c r="B1827" s="160" t="s">
        <v>1825</v>
      </c>
      <c r="C1827" s="157" t="s">
        <v>1818</v>
      </c>
      <c r="D1827" s="159">
        <v>1</v>
      </c>
      <c r="E1827" s="159">
        <v>1303.74</v>
      </c>
      <c r="F1827" s="159"/>
      <c r="G1827" s="160" t="s">
        <v>1826</v>
      </c>
      <c r="H1827" s="34" t="s">
        <v>925</v>
      </c>
    </row>
    <row r="1828" spans="1:8" ht="33">
      <c r="A1828" s="160">
        <v>1</v>
      </c>
      <c r="B1828" s="160" t="s">
        <v>1827</v>
      </c>
      <c r="C1828" s="157" t="s">
        <v>1818</v>
      </c>
      <c r="D1828" s="159">
        <v>1</v>
      </c>
      <c r="E1828" s="159">
        <v>1216.0899999999999</v>
      </c>
      <c r="F1828" s="159">
        <v>1216.0899999999999</v>
      </c>
      <c r="G1828" s="160" t="s">
        <v>1828</v>
      </c>
      <c r="H1828" s="34" t="s">
        <v>925</v>
      </c>
    </row>
    <row r="1829" spans="1:8" ht="33">
      <c r="A1829" s="160">
        <v>2</v>
      </c>
      <c r="B1829" s="160" t="s">
        <v>1829</v>
      </c>
      <c r="C1829" s="157" t="s">
        <v>1818</v>
      </c>
      <c r="D1829" s="159">
        <v>1</v>
      </c>
      <c r="E1829" s="159">
        <v>49.68</v>
      </c>
      <c r="F1829" s="159">
        <v>49.68</v>
      </c>
      <c r="G1829" s="160" t="s">
        <v>1830</v>
      </c>
      <c r="H1829" s="34" t="s">
        <v>925</v>
      </c>
    </row>
    <row r="1830" spans="1:8" ht="33">
      <c r="A1830" s="160">
        <v>3</v>
      </c>
      <c r="B1830" s="160" t="s">
        <v>931</v>
      </c>
      <c r="C1830" s="157" t="s">
        <v>14</v>
      </c>
      <c r="D1830" s="159">
        <v>1</v>
      </c>
      <c r="E1830" s="159">
        <v>37.97</v>
      </c>
      <c r="F1830" s="159">
        <v>37.97</v>
      </c>
      <c r="G1830" s="160" t="s">
        <v>932</v>
      </c>
      <c r="H1830" s="34" t="s">
        <v>925</v>
      </c>
    </row>
    <row r="1831" spans="1:8" ht="33">
      <c r="A1831" s="160"/>
      <c r="B1831" s="160" t="s">
        <v>933</v>
      </c>
      <c r="C1831" s="157" t="s">
        <v>1818</v>
      </c>
      <c r="D1831" s="159">
        <v>1</v>
      </c>
      <c r="E1831" s="159"/>
      <c r="F1831" s="159">
        <v>1303.74</v>
      </c>
      <c r="G1831" s="160"/>
      <c r="H1831" s="34" t="s">
        <v>925</v>
      </c>
    </row>
    <row r="1832" spans="1:8" ht="33">
      <c r="A1832" s="160"/>
      <c r="B1832" s="160" t="s">
        <v>934</v>
      </c>
      <c r="C1832" s="157" t="s">
        <v>1818</v>
      </c>
      <c r="D1832" s="159"/>
      <c r="E1832" s="159"/>
      <c r="F1832" s="159">
        <v>1303.74</v>
      </c>
      <c r="G1832" s="160"/>
      <c r="H1832" s="34" t="s">
        <v>925</v>
      </c>
    </row>
    <row r="1833" spans="1:8" ht="16.5">
      <c r="A1833" s="160"/>
      <c r="B1833" s="160"/>
      <c r="C1833" s="157"/>
      <c r="D1833" s="159"/>
      <c r="E1833" s="159"/>
      <c r="F1833" s="159"/>
      <c r="G1833" s="160"/>
    </row>
    <row r="1834" spans="1:8" ht="33">
      <c r="A1834" s="160" t="s">
        <v>2036</v>
      </c>
      <c r="B1834" s="160" t="s">
        <v>1832</v>
      </c>
      <c r="C1834" s="157" t="s">
        <v>1818</v>
      </c>
      <c r="D1834" s="159">
        <v>1</v>
      </c>
      <c r="E1834" s="159">
        <v>1587.2</v>
      </c>
      <c r="F1834" s="159"/>
      <c r="G1834" s="160" t="s">
        <v>1833</v>
      </c>
      <c r="H1834" s="34" t="s">
        <v>925</v>
      </c>
    </row>
    <row r="1835" spans="1:8" ht="33">
      <c r="A1835" s="160">
        <v>1</v>
      </c>
      <c r="B1835" s="160" t="s">
        <v>1834</v>
      </c>
      <c r="C1835" s="157" t="s">
        <v>1818</v>
      </c>
      <c r="D1835" s="159">
        <v>1</v>
      </c>
      <c r="E1835" s="159">
        <v>1486.33</v>
      </c>
      <c r="F1835" s="159">
        <v>1486.33</v>
      </c>
      <c r="G1835" s="160" t="s">
        <v>1835</v>
      </c>
      <c r="H1835" s="34" t="s">
        <v>925</v>
      </c>
    </row>
    <row r="1836" spans="1:8" ht="33">
      <c r="A1836" s="160">
        <v>2</v>
      </c>
      <c r="B1836" s="160" t="s">
        <v>1836</v>
      </c>
      <c r="C1836" s="157" t="s">
        <v>1818</v>
      </c>
      <c r="D1836" s="159">
        <v>1</v>
      </c>
      <c r="E1836" s="159">
        <v>54.64</v>
      </c>
      <c r="F1836" s="159">
        <v>54.64</v>
      </c>
      <c r="G1836" s="160" t="s">
        <v>1837</v>
      </c>
      <c r="H1836" s="34" t="s">
        <v>925</v>
      </c>
    </row>
    <row r="1837" spans="1:8" ht="33">
      <c r="A1837" s="160">
        <v>3</v>
      </c>
      <c r="B1837" s="160" t="s">
        <v>931</v>
      </c>
      <c r="C1837" s="157" t="s">
        <v>14</v>
      </c>
      <c r="D1837" s="159">
        <v>1</v>
      </c>
      <c r="E1837" s="159">
        <v>46.23</v>
      </c>
      <c r="F1837" s="159">
        <v>46.23</v>
      </c>
      <c r="G1837" s="160" t="s">
        <v>932</v>
      </c>
      <c r="H1837" s="34" t="s">
        <v>925</v>
      </c>
    </row>
    <row r="1838" spans="1:8" ht="33">
      <c r="A1838" s="160"/>
      <c r="B1838" s="160" t="s">
        <v>933</v>
      </c>
      <c r="C1838" s="157" t="s">
        <v>1818</v>
      </c>
      <c r="D1838" s="159">
        <v>1</v>
      </c>
      <c r="E1838" s="159"/>
      <c r="F1838" s="159">
        <v>1587.2</v>
      </c>
      <c r="G1838" s="160"/>
      <c r="H1838" s="34" t="s">
        <v>925</v>
      </c>
    </row>
    <row r="1839" spans="1:8" ht="33">
      <c r="A1839" s="160"/>
      <c r="B1839" s="160" t="s">
        <v>934</v>
      </c>
      <c r="C1839" s="157" t="s">
        <v>1818</v>
      </c>
      <c r="D1839" s="159"/>
      <c r="E1839" s="159"/>
      <c r="F1839" s="159">
        <v>1587.2</v>
      </c>
      <c r="G1839" s="160"/>
      <c r="H1839" s="34" t="s">
        <v>925</v>
      </c>
    </row>
    <row r="1840" spans="1:8" ht="16.5">
      <c r="A1840" s="160"/>
      <c r="B1840" s="160"/>
      <c r="C1840" s="157"/>
      <c r="D1840" s="159"/>
      <c r="E1840" s="159"/>
      <c r="F1840" s="159"/>
      <c r="G1840" s="160"/>
    </row>
    <row r="1841" spans="1:8" ht="33">
      <c r="A1841" s="160" t="s">
        <v>2041</v>
      </c>
      <c r="B1841" s="160" t="s">
        <v>1839</v>
      </c>
      <c r="C1841" s="157" t="s">
        <v>1818</v>
      </c>
      <c r="D1841" s="159">
        <v>1</v>
      </c>
      <c r="E1841" s="159">
        <v>1628.14</v>
      </c>
      <c r="F1841" s="159"/>
      <c r="G1841" s="160" t="s">
        <v>1840</v>
      </c>
      <c r="H1841" s="34" t="s">
        <v>925</v>
      </c>
    </row>
    <row r="1842" spans="1:8" ht="33">
      <c r="A1842" s="160">
        <v>1</v>
      </c>
      <c r="B1842" s="160" t="s">
        <v>1841</v>
      </c>
      <c r="C1842" s="157" t="s">
        <v>1818</v>
      </c>
      <c r="D1842" s="159">
        <v>1</v>
      </c>
      <c r="E1842" s="159">
        <v>1521.11</v>
      </c>
      <c r="F1842" s="159">
        <v>1521.11</v>
      </c>
      <c r="G1842" s="160" t="s">
        <v>1842</v>
      </c>
      <c r="H1842" s="34" t="s">
        <v>925</v>
      </c>
    </row>
    <row r="1843" spans="1:8" ht="33">
      <c r="A1843" s="160">
        <v>2</v>
      </c>
      <c r="B1843" s="160" t="s">
        <v>1843</v>
      </c>
      <c r="C1843" s="157" t="s">
        <v>1818</v>
      </c>
      <c r="D1843" s="159">
        <v>1</v>
      </c>
      <c r="E1843" s="159">
        <v>59.61</v>
      </c>
      <c r="F1843" s="159">
        <v>59.61</v>
      </c>
      <c r="G1843" s="160" t="s">
        <v>1844</v>
      </c>
      <c r="H1843" s="34" t="s">
        <v>925</v>
      </c>
    </row>
    <row r="1844" spans="1:8" ht="33">
      <c r="A1844" s="160">
        <v>3</v>
      </c>
      <c r="B1844" s="160" t="s">
        <v>931</v>
      </c>
      <c r="C1844" s="157" t="s">
        <v>14</v>
      </c>
      <c r="D1844" s="159">
        <v>1</v>
      </c>
      <c r="E1844" s="159">
        <v>47.42</v>
      </c>
      <c r="F1844" s="159">
        <v>47.42</v>
      </c>
      <c r="G1844" s="160" t="s">
        <v>932</v>
      </c>
      <c r="H1844" s="34" t="s">
        <v>925</v>
      </c>
    </row>
    <row r="1845" spans="1:8" ht="33">
      <c r="A1845" s="160"/>
      <c r="B1845" s="160" t="s">
        <v>933</v>
      </c>
      <c r="C1845" s="157" t="s">
        <v>1818</v>
      </c>
      <c r="D1845" s="159">
        <v>1</v>
      </c>
      <c r="E1845" s="159"/>
      <c r="F1845" s="159">
        <v>1628.1399999999999</v>
      </c>
      <c r="G1845" s="160"/>
      <c r="H1845" s="34" t="s">
        <v>925</v>
      </c>
    </row>
    <row r="1846" spans="1:8" ht="33">
      <c r="A1846" s="160"/>
      <c r="B1846" s="160" t="s">
        <v>934</v>
      </c>
      <c r="C1846" s="157" t="s">
        <v>1818</v>
      </c>
      <c r="D1846" s="159"/>
      <c r="E1846" s="159"/>
      <c r="F1846" s="159">
        <v>1628.14</v>
      </c>
      <c r="G1846" s="160"/>
      <c r="H1846" s="34" t="s">
        <v>925</v>
      </c>
    </row>
    <row r="1847" spans="1:8" ht="16.5">
      <c r="A1847" s="160"/>
      <c r="B1847" s="160"/>
      <c r="C1847" s="157"/>
      <c r="D1847" s="159"/>
      <c r="E1847" s="159"/>
      <c r="F1847" s="159"/>
      <c r="G1847" s="160"/>
    </row>
    <row r="1848" spans="1:8" ht="33">
      <c r="A1848" s="160" t="s">
        <v>2046</v>
      </c>
      <c r="B1848" s="160" t="s">
        <v>1846</v>
      </c>
      <c r="C1848" s="157" t="s">
        <v>1818</v>
      </c>
      <c r="D1848" s="159">
        <v>1</v>
      </c>
      <c r="E1848" s="159">
        <v>1831.78</v>
      </c>
      <c r="F1848" s="159"/>
      <c r="G1848" s="160" t="s">
        <v>1847</v>
      </c>
      <c r="H1848" s="34" t="s">
        <v>925</v>
      </c>
    </row>
    <row r="1849" spans="1:8" ht="33">
      <c r="A1849" s="160">
        <v>1</v>
      </c>
      <c r="B1849" s="160" t="s">
        <v>1848</v>
      </c>
      <c r="C1849" s="157" t="s">
        <v>1818</v>
      </c>
      <c r="D1849" s="159">
        <v>1</v>
      </c>
      <c r="E1849" s="159">
        <v>1713.85</v>
      </c>
      <c r="F1849" s="159">
        <v>1713.85</v>
      </c>
      <c r="G1849" s="160" t="s">
        <v>1849</v>
      </c>
      <c r="H1849" s="34" t="s">
        <v>925</v>
      </c>
    </row>
    <row r="1850" spans="1:8" ht="33">
      <c r="A1850" s="160">
        <v>2</v>
      </c>
      <c r="B1850" s="160" t="s">
        <v>1850</v>
      </c>
      <c r="C1850" s="157" t="s">
        <v>1818</v>
      </c>
      <c r="D1850" s="159">
        <v>1</v>
      </c>
      <c r="E1850" s="159">
        <v>64.58</v>
      </c>
      <c r="F1850" s="159">
        <v>64.58</v>
      </c>
      <c r="G1850" s="160" t="s">
        <v>1851</v>
      </c>
      <c r="H1850" s="34" t="s">
        <v>925</v>
      </c>
    </row>
    <row r="1851" spans="1:8" ht="33">
      <c r="A1851" s="160">
        <v>3</v>
      </c>
      <c r="B1851" s="160" t="s">
        <v>931</v>
      </c>
      <c r="C1851" s="157" t="s">
        <v>14</v>
      </c>
      <c r="D1851" s="159">
        <v>1</v>
      </c>
      <c r="E1851" s="159">
        <v>53.35</v>
      </c>
      <c r="F1851" s="159">
        <v>53.35</v>
      </c>
      <c r="G1851" s="160" t="s">
        <v>932</v>
      </c>
      <c r="H1851" s="34" t="s">
        <v>925</v>
      </c>
    </row>
    <row r="1852" spans="1:8" ht="33">
      <c r="A1852" s="160"/>
      <c r="B1852" s="160" t="s">
        <v>933</v>
      </c>
      <c r="C1852" s="157" t="s">
        <v>1818</v>
      </c>
      <c r="D1852" s="159">
        <v>1</v>
      </c>
      <c r="E1852" s="159"/>
      <c r="F1852" s="159">
        <v>1831.7799999999997</v>
      </c>
      <c r="G1852" s="160"/>
      <c r="H1852" s="34" t="s">
        <v>925</v>
      </c>
    </row>
    <row r="1853" spans="1:8" ht="33">
      <c r="A1853" s="160"/>
      <c r="B1853" s="160" t="s">
        <v>934</v>
      </c>
      <c r="C1853" s="157" t="s">
        <v>1818</v>
      </c>
      <c r="D1853" s="159"/>
      <c r="E1853" s="159"/>
      <c r="F1853" s="159">
        <v>1831.78</v>
      </c>
      <c r="G1853" s="160"/>
      <c r="H1853" s="34" t="s">
        <v>925</v>
      </c>
    </row>
    <row r="1854" spans="1:8" ht="33">
      <c r="A1854" s="160"/>
      <c r="B1854" s="160"/>
      <c r="C1854" s="157"/>
      <c r="D1854" s="159"/>
      <c r="E1854" s="159"/>
      <c r="F1854" s="159"/>
      <c r="G1854" s="160"/>
      <c r="H1854" s="34" t="s">
        <v>925</v>
      </c>
    </row>
    <row r="1855" spans="1:8" ht="33">
      <c r="A1855" s="160" t="s">
        <v>2053</v>
      </c>
      <c r="B1855" s="160" t="s">
        <v>1853</v>
      </c>
      <c r="C1855" s="157" t="s">
        <v>1818</v>
      </c>
      <c r="D1855" s="159">
        <v>1</v>
      </c>
      <c r="E1855" s="159">
        <v>2118.33</v>
      </c>
      <c r="F1855" s="159"/>
      <c r="G1855" s="160" t="s">
        <v>1854</v>
      </c>
      <c r="H1855" s="34" t="s">
        <v>925</v>
      </c>
    </row>
    <row r="1856" spans="1:8" ht="28.5">
      <c r="A1856" s="160">
        <v>1</v>
      </c>
      <c r="B1856" s="160" t="s">
        <v>1855</v>
      </c>
      <c r="C1856" s="157" t="s">
        <v>1818</v>
      </c>
      <c r="D1856" s="159">
        <v>1</v>
      </c>
      <c r="E1856" s="159">
        <v>1987.08</v>
      </c>
      <c r="F1856" s="159">
        <v>1987.08</v>
      </c>
      <c r="G1856" s="160" t="s">
        <v>1856</v>
      </c>
    </row>
    <row r="1857" spans="1:8" ht="33">
      <c r="A1857" s="160">
        <v>2</v>
      </c>
      <c r="B1857" s="160" t="s">
        <v>1857</v>
      </c>
      <c r="C1857" s="157" t="s">
        <v>1818</v>
      </c>
      <c r="D1857" s="159">
        <v>1</v>
      </c>
      <c r="E1857" s="159">
        <v>69.55</v>
      </c>
      <c r="F1857" s="159">
        <v>69.55</v>
      </c>
      <c r="G1857" s="160" t="s">
        <v>1858</v>
      </c>
      <c r="H1857" s="34" t="s">
        <v>925</v>
      </c>
    </row>
    <row r="1858" spans="1:8" ht="33">
      <c r="A1858" s="160">
        <v>3</v>
      </c>
      <c r="B1858" s="160" t="s">
        <v>931</v>
      </c>
      <c r="C1858" s="157" t="s">
        <v>14</v>
      </c>
      <c r="D1858" s="159">
        <v>1</v>
      </c>
      <c r="E1858" s="159">
        <v>61.7</v>
      </c>
      <c r="F1858" s="159">
        <v>61.7</v>
      </c>
      <c r="G1858" s="160" t="s">
        <v>932</v>
      </c>
      <c r="H1858" s="34" t="s">
        <v>925</v>
      </c>
    </row>
    <row r="1859" spans="1:8" ht="33">
      <c r="A1859" s="160"/>
      <c r="B1859" s="160" t="s">
        <v>933</v>
      </c>
      <c r="C1859" s="157" t="s">
        <v>1818</v>
      </c>
      <c r="D1859" s="159">
        <v>1</v>
      </c>
      <c r="E1859" s="159"/>
      <c r="F1859" s="159">
        <v>2118.33</v>
      </c>
      <c r="G1859" s="160"/>
      <c r="H1859" s="34" t="s">
        <v>925</v>
      </c>
    </row>
    <row r="1860" spans="1:8" ht="33">
      <c r="A1860" s="160"/>
      <c r="B1860" s="160" t="s">
        <v>934</v>
      </c>
      <c r="C1860" s="157" t="s">
        <v>1818</v>
      </c>
      <c r="D1860" s="159"/>
      <c r="E1860" s="159"/>
      <c r="F1860" s="159">
        <v>2118.33</v>
      </c>
      <c r="G1860" s="160"/>
      <c r="H1860" s="34" t="s">
        <v>925</v>
      </c>
    </row>
    <row r="1861" spans="1:8" ht="33">
      <c r="A1861" s="160"/>
      <c r="B1861" s="160"/>
      <c r="C1861" s="157"/>
      <c r="D1861" s="159"/>
      <c r="E1861" s="159"/>
      <c r="F1861" s="159"/>
      <c r="G1861" s="160"/>
      <c r="H1861" s="34" t="s">
        <v>925</v>
      </c>
    </row>
    <row r="1862" spans="1:8" ht="33">
      <c r="A1862" s="160" t="s">
        <v>2058</v>
      </c>
      <c r="B1862" s="160" t="s">
        <v>1860</v>
      </c>
      <c r="C1862" s="157" t="s">
        <v>1818</v>
      </c>
      <c r="D1862" s="159">
        <v>1</v>
      </c>
      <c r="E1862" s="159">
        <v>2273.88</v>
      </c>
      <c r="F1862" s="159"/>
      <c r="G1862" s="160" t="s">
        <v>1861</v>
      </c>
      <c r="H1862" s="34" t="s">
        <v>925</v>
      </c>
    </row>
    <row r="1863" spans="1:8" ht="33">
      <c r="A1863" s="160">
        <v>1</v>
      </c>
      <c r="B1863" s="160" t="s">
        <v>1862</v>
      </c>
      <c r="C1863" s="157" t="s">
        <v>1818</v>
      </c>
      <c r="D1863" s="159">
        <v>1</v>
      </c>
      <c r="E1863" s="159">
        <v>2133.13</v>
      </c>
      <c r="F1863" s="159">
        <v>2133.13</v>
      </c>
      <c r="G1863" s="160" t="s">
        <v>1863</v>
      </c>
      <c r="H1863" s="34" t="s">
        <v>925</v>
      </c>
    </row>
    <row r="1864" spans="1:8" ht="33">
      <c r="A1864" s="160">
        <v>2</v>
      </c>
      <c r="B1864" s="160" t="s">
        <v>1864</v>
      </c>
      <c r="C1864" s="157" t="s">
        <v>1818</v>
      </c>
      <c r="D1864" s="159">
        <v>1</v>
      </c>
      <c r="E1864" s="159">
        <v>74.52</v>
      </c>
      <c r="F1864" s="159">
        <v>74.52</v>
      </c>
      <c r="G1864" s="160" t="s">
        <v>1865</v>
      </c>
      <c r="H1864" s="34" t="s">
        <v>925</v>
      </c>
    </row>
    <row r="1865" spans="1:8" ht="33">
      <c r="A1865" s="160">
        <v>3</v>
      </c>
      <c r="B1865" s="160" t="s">
        <v>931</v>
      </c>
      <c r="C1865" s="157" t="s">
        <v>14</v>
      </c>
      <c r="D1865" s="159">
        <v>1</v>
      </c>
      <c r="E1865" s="159">
        <v>66.23</v>
      </c>
      <c r="F1865" s="159">
        <v>66.23</v>
      </c>
      <c r="G1865" s="160" t="s">
        <v>932</v>
      </c>
      <c r="H1865" s="34" t="s">
        <v>925</v>
      </c>
    </row>
    <row r="1866" spans="1:8" ht="33">
      <c r="A1866" s="160"/>
      <c r="B1866" s="160" t="s">
        <v>933</v>
      </c>
      <c r="C1866" s="157" t="s">
        <v>1818</v>
      </c>
      <c r="D1866" s="159">
        <v>1</v>
      </c>
      <c r="E1866" s="159"/>
      <c r="F1866" s="159">
        <v>2273.88</v>
      </c>
      <c r="G1866" s="160"/>
      <c r="H1866" s="34" t="s">
        <v>925</v>
      </c>
    </row>
    <row r="1867" spans="1:8" ht="16.5">
      <c r="A1867" s="160"/>
      <c r="B1867" s="160" t="s">
        <v>934</v>
      </c>
      <c r="C1867" s="157" t="s">
        <v>1818</v>
      </c>
      <c r="D1867" s="159"/>
      <c r="E1867" s="159"/>
      <c r="F1867" s="159">
        <v>2273.88</v>
      </c>
      <c r="G1867" s="160"/>
    </row>
    <row r="1868" spans="1:8" ht="33">
      <c r="A1868" s="160"/>
      <c r="B1868" s="160"/>
      <c r="C1868" s="157"/>
      <c r="D1868" s="159"/>
      <c r="E1868" s="159"/>
      <c r="F1868" s="159"/>
      <c r="G1868" s="160"/>
      <c r="H1868" s="34" t="s">
        <v>925</v>
      </c>
    </row>
    <row r="1869" spans="1:8" ht="33">
      <c r="A1869" s="160" t="s">
        <v>2063</v>
      </c>
      <c r="B1869" s="160" t="s">
        <v>1867</v>
      </c>
      <c r="C1869" s="157" t="s">
        <v>1818</v>
      </c>
      <c r="D1869" s="159">
        <v>1</v>
      </c>
      <c r="E1869" s="159">
        <v>2409.9699999999998</v>
      </c>
      <c r="F1869" s="159"/>
      <c r="G1869" s="160" t="s">
        <v>1868</v>
      </c>
      <c r="H1869" s="34" t="s">
        <v>925</v>
      </c>
    </row>
    <row r="1870" spans="1:8" ht="33">
      <c r="A1870" s="160">
        <v>1</v>
      </c>
      <c r="B1870" s="160" t="s">
        <v>1869</v>
      </c>
      <c r="C1870" s="157" t="s">
        <v>1818</v>
      </c>
      <c r="D1870" s="159">
        <v>1</v>
      </c>
      <c r="E1870" s="159">
        <v>2260.3000000000002</v>
      </c>
      <c r="F1870" s="159">
        <v>2260.3000000000002</v>
      </c>
      <c r="G1870" s="160" t="s">
        <v>1870</v>
      </c>
      <c r="H1870" s="34" t="s">
        <v>925</v>
      </c>
    </row>
    <row r="1871" spans="1:8" ht="33">
      <c r="A1871" s="160">
        <v>2</v>
      </c>
      <c r="B1871" s="160" t="s">
        <v>1871</v>
      </c>
      <c r="C1871" s="157" t="s">
        <v>1818</v>
      </c>
      <c r="D1871" s="159">
        <v>1</v>
      </c>
      <c r="E1871" s="159">
        <v>79.48</v>
      </c>
      <c r="F1871" s="159">
        <v>79.48</v>
      </c>
      <c r="G1871" s="160" t="s">
        <v>1872</v>
      </c>
      <c r="H1871" s="34" t="s">
        <v>925</v>
      </c>
    </row>
    <row r="1872" spans="1:8" ht="33">
      <c r="A1872" s="160">
        <v>3</v>
      </c>
      <c r="B1872" s="160" t="s">
        <v>931</v>
      </c>
      <c r="C1872" s="157" t="s">
        <v>14</v>
      </c>
      <c r="D1872" s="159">
        <v>1</v>
      </c>
      <c r="E1872" s="159">
        <v>70.19</v>
      </c>
      <c r="F1872" s="159">
        <v>70.19</v>
      </c>
      <c r="G1872" s="160" t="s">
        <v>932</v>
      </c>
      <c r="H1872" s="34" t="s">
        <v>925</v>
      </c>
    </row>
    <row r="1873" spans="1:8" ht="33">
      <c r="A1873" s="160"/>
      <c r="B1873" s="160" t="s">
        <v>933</v>
      </c>
      <c r="C1873" s="157" t="s">
        <v>1818</v>
      </c>
      <c r="D1873" s="159">
        <v>1</v>
      </c>
      <c r="E1873" s="159"/>
      <c r="F1873" s="159">
        <v>2409.9700000000003</v>
      </c>
      <c r="G1873" s="160"/>
      <c r="H1873" s="34" t="s">
        <v>925</v>
      </c>
    </row>
    <row r="1874" spans="1:8" ht="33">
      <c r="A1874" s="160"/>
      <c r="B1874" s="160" t="s">
        <v>934</v>
      </c>
      <c r="C1874" s="157" t="s">
        <v>1818</v>
      </c>
      <c r="D1874" s="159"/>
      <c r="E1874" s="159"/>
      <c r="F1874" s="159">
        <v>2409.9699999999998</v>
      </c>
      <c r="G1874" s="160"/>
      <c r="H1874" s="34" t="s">
        <v>925</v>
      </c>
    </row>
    <row r="1875" spans="1:8" ht="16.5">
      <c r="A1875" s="160"/>
      <c r="B1875" s="160"/>
      <c r="C1875" s="157"/>
      <c r="D1875" s="159"/>
      <c r="E1875" s="159"/>
      <c r="F1875" s="159"/>
      <c r="G1875" s="160"/>
    </row>
    <row r="1876" spans="1:8" ht="33">
      <c r="A1876" s="160" t="s">
        <v>2068</v>
      </c>
      <c r="B1876" s="160" t="s">
        <v>1874</v>
      </c>
      <c r="C1876" s="157" t="s">
        <v>1875</v>
      </c>
      <c r="D1876" s="159">
        <v>1</v>
      </c>
      <c r="E1876" s="159">
        <v>857.57</v>
      </c>
      <c r="F1876" s="159"/>
      <c r="G1876" s="160" t="s">
        <v>1876</v>
      </c>
      <c r="H1876" s="34" t="s">
        <v>925</v>
      </c>
    </row>
    <row r="1877" spans="1:8" ht="33">
      <c r="A1877" s="160">
        <v>1</v>
      </c>
      <c r="B1877" s="160" t="s">
        <v>1877</v>
      </c>
      <c r="C1877" s="157" t="s">
        <v>1875</v>
      </c>
      <c r="D1877" s="159">
        <v>1</v>
      </c>
      <c r="E1877" s="159">
        <v>758.07</v>
      </c>
      <c r="F1877" s="159">
        <v>758.07</v>
      </c>
      <c r="G1877" s="160" t="s">
        <v>1878</v>
      </c>
      <c r="H1877" s="34" t="s">
        <v>925</v>
      </c>
    </row>
    <row r="1878" spans="1:8" ht="33">
      <c r="A1878" s="160">
        <v>2</v>
      </c>
      <c r="B1878" s="160" t="s">
        <v>1879</v>
      </c>
      <c r="C1878" s="157" t="s">
        <v>1875</v>
      </c>
      <c r="D1878" s="159">
        <v>1</v>
      </c>
      <c r="E1878" s="159">
        <v>74.52</v>
      </c>
      <c r="F1878" s="159">
        <v>74.52</v>
      </c>
      <c r="G1878" s="160" t="s">
        <v>1880</v>
      </c>
      <c r="H1878" s="34" t="s">
        <v>925</v>
      </c>
    </row>
    <row r="1879" spans="1:8" ht="33">
      <c r="A1879" s="160">
        <v>3</v>
      </c>
      <c r="B1879" s="160" t="s">
        <v>931</v>
      </c>
      <c r="C1879" s="157" t="s">
        <v>14</v>
      </c>
      <c r="D1879" s="159">
        <v>1</v>
      </c>
      <c r="E1879" s="159">
        <v>24.98</v>
      </c>
      <c r="F1879" s="159">
        <v>24.98</v>
      </c>
      <c r="G1879" s="160" t="s">
        <v>932</v>
      </c>
      <c r="H1879" s="34" t="s">
        <v>925</v>
      </c>
    </row>
    <row r="1880" spans="1:8" ht="33">
      <c r="A1880" s="160"/>
      <c r="B1880" s="160" t="s">
        <v>933</v>
      </c>
      <c r="C1880" s="157" t="s">
        <v>1875</v>
      </c>
      <c r="D1880" s="159">
        <v>1</v>
      </c>
      <c r="E1880" s="159"/>
      <c r="F1880" s="159">
        <v>857.57</v>
      </c>
      <c r="G1880" s="160"/>
      <c r="H1880" s="34" t="s">
        <v>925</v>
      </c>
    </row>
    <row r="1881" spans="1:8" ht="33">
      <c r="A1881" s="160"/>
      <c r="B1881" s="160" t="s">
        <v>934</v>
      </c>
      <c r="C1881" s="157" t="s">
        <v>1875</v>
      </c>
      <c r="D1881" s="159"/>
      <c r="E1881" s="159"/>
      <c r="F1881" s="159">
        <v>857.57</v>
      </c>
      <c r="G1881" s="160"/>
      <c r="H1881" s="34" t="s">
        <v>925</v>
      </c>
    </row>
    <row r="1882" spans="1:8" ht="33">
      <c r="A1882" s="160"/>
      <c r="B1882" s="160"/>
      <c r="C1882" s="157"/>
      <c r="D1882" s="159"/>
      <c r="E1882" s="159"/>
      <c r="F1882" s="159"/>
      <c r="G1882" s="160"/>
      <c r="H1882" s="34" t="s">
        <v>925</v>
      </c>
    </row>
    <row r="1883" spans="1:8" ht="28.5">
      <c r="A1883" s="160" t="s">
        <v>2075</v>
      </c>
      <c r="B1883" s="160" t="s">
        <v>1882</v>
      </c>
      <c r="C1883" s="157" t="s">
        <v>1875</v>
      </c>
      <c r="D1883" s="159">
        <v>1</v>
      </c>
      <c r="E1883" s="159">
        <v>941.47</v>
      </c>
      <c r="F1883" s="159"/>
      <c r="G1883" s="160" t="s">
        <v>1883</v>
      </c>
    </row>
    <row r="1884" spans="1:8" ht="33">
      <c r="A1884" s="160">
        <v>1</v>
      </c>
      <c r="B1884" s="160" t="s">
        <v>1884</v>
      </c>
      <c r="C1884" s="157" t="s">
        <v>1875</v>
      </c>
      <c r="D1884" s="159">
        <v>1</v>
      </c>
      <c r="E1884" s="159">
        <v>829.6</v>
      </c>
      <c r="F1884" s="159">
        <v>829.6</v>
      </c>
      <c r="G1884" s="160" t="s">
        <v>1885</v>
      </c>
      <c r="H1884" s="34" t="s">
        <v>925</v>
      </c>
    </row>
    <row r="1885" spans="1:8" ht="33">
      <c r="A1885" s="160">
        <v>2</v>
      </c>
      <c r="B1885" s="160" t="s">
        <v>1886</v>
      </c>
      <c r="C1885" s="157" t="s">
        <v>1875</v>
      </c>
      <c r="D1885" s="159">
        <v>1</v>
      </c>
      <c r="E1885" s="159">
        <v>84.45</v>
      </c>
      <c r="F1885" s="159">
        <v>84.45</v>
      </c>
      <c r="G1885" s="160" t="s">
        <v>1887</v>
      </c>
      <c r="H1885" s="34" t="s">
        <v>925</v>
      </c>
    </row>
    <row r="1886" spans="1:8" ht="33">
      <c r="A1886" s="160">
        <v>3</v>
      </c>
      <c r="B1886" s="160" t="s">
        <v>931</v>
      </c>
      <c r="C1886" s="157" t="s">
        <v>14</v>
      </c>
      <c r="D1886" s="159">
        <v>1</v>
      </c>
      <c r="E1886" s="159">
        <v>27.42</v>
      </c>
      <c r="F1886" s="159">
        <v>27.42</v>
      </c>
      <c r="G1886" s="160" t="s">
        <v>932</v>
      </c>
      <c r="H1886" s="34" t="s">
        <v>925</v>
      </c>
    </row>
    <row r="1887" spans="1:8" ht="33">
      <c r="A1887" s="160"/>
      <c r="B1887" s="160" t="s">
        <v>933</v>
      </c>
      <c r="C1887" s="157" t="s">
        <v>1875</v>
      </c>
      <c r="D1887" s="159">
        <v>1</v>
      </c>
      <c r="E1887" s="159"/>
      <c r="F1887" s="159">
        <v>941.47</v>
      </c>
      <c r="G1887" s="160"/>
      <c r="H1887" s="34" t="s">
        <v>925</v>
      </c>
    </row>
    <row r="1888" spans="1:8" ht="33">
      <c r="A1888" s="160"/>
      <c r="B1888" s="160" t="s">
        <v>934</v>
      </c>
      <c r="C1888" s="157" t="s">
        <v>1875</v>
      </c>
      <c r="D1888" s="159"/>
      <c r="E1888" s="159"/>
      <c r="F1888" s="159">
        <v>941.47</v>
      </c>
      <c r="G1888" s="160"/>
      <c r="H1888" s="34" t="s">
        <v>925</v>
      </c>
    </row>
    <row r="1889" spans="1:8" ht="33">
      <c r="A1889" s="160"/>
      <c r="B1889" s="160"/>
      <c r="C1889" s="157"/>
      <c r="D1889" s="159"/>
      <c r="E1889" s="159"/>
      <c r="F1889" s="159"/>
      <c r="G1889" s="160"/>
      <c r="H1889" s="34" t="s">
        <v>925</v>
      </c>
    </row>
    <row r="1890" spans="1:8" ht="33">
      <c r="A1890" s="160" t="s">
        <v>2082</v>
      </c>
      <c r="B1890" s="160" t="s">
        <v>1889</v>
      </c>
      <c r="C1890" s="157" t="s">
        <v>1875</v>
      </c>
      <c r="D1890" s="159">
        <v>1</v>
      </c>
      <c r="E1890" s="159">
        <v>1057.1199999999999</v>
      </c>
      <c r="F1890" s="159"/>
      <c r="G1890" s="160" t="s">
        <v>1890</v>
      </c>
      <c r="H1890" s="34" t="s">
        <v>925</v>
      </c>
    </row>
    <row r="1891" spans="1:8" ht="28.5">
      <c r="A1891" s="160">
        <v>1</v>
      </c>
      <c r="B1891" s="160" t="s">
        <v>1891</v>
      </c>
      <c r="C1891" s="157" t="s">
        <v>1875</v>
      </c>
      <c r="D1891" s="159">
        <v>1</v>
      </c>
      <c r="E1891" s="159">
        <v>931.94</v>
      </c>
      <c r="F1891" s="159">
        <v>931.94</v>
      </c>
      <c r="G1891" s="160" t="s">
        <v>1892</v>
      </c>
    </row>
    <row r="1892" spans="1:8" ht="33">
      <c r="A1892" s="160">
        <v>2</v>
      </c>
      <c r="B1892" s="160" t="s">
        <v>1893</v>
      </c>
      <c r="C1892" s="157" t="s">
        <v>1875</v>
      </c>
      <c r="D1892" s="159">
        <v>1</v>
      </c>
      <c r="E1892" s="159">
        <v>94.39</v>
      </c>
      <c r="F1892" s="159">
        <v>94.39</v>
      </c>
      <c r="G1892" s="160" t="s">
        <v>1894</v>
      </c>
      <c r="H1892" s="34" t="s">
        <v>925</v>
      </c>
    </row>
    <row r="1893" spans="1:8" ht="33">
      <c r="A1893" s="160">
        <v>3</v>
      </c>
      <c r="B1893" s="160" t="s">
        <v>931</v>
      </c>
      <c r="C1893" s="157" t="s">
        <v>14</v>
      </c>
      <c r="D1893" s="159">
        <v>1</v>
      </c>
      <c r="E1893" s="159">
        <v>30.79</v>
      </c>
      <c r="F1893" s="159">
        <v>30.79</v>
      </c>
      <c r="G1893" s="160" t="s">
        <v>932</v>
      </c>
      <c r="H1893" s="34" t="s">
        <v>925</v>
      </c>
    </row>
    <row r="1894" spans="1:8" ht="33">
      <c r="A1894" s="160"/>
      <c r="B1894" s="160" t="s">
        <v>933</v>
      </c>
      <c r="C1894" s="157" t="s">
        <v>1875</v>
      </c>
      <c r="D1894" s="159">
        <v>1</v>
      </c>
      <c r="E1894" s="159"/>
      <c r="F1894" s="159">
        <v>1057.1200000000001</v>
      </c>
      <c r="G1894" s="160"/>
      <c r="H1894" s="34" t="s">
        <v>925</v>
      </c>
    </row>
    <row r="1895" spans="1:8" ht="33">
      <c r="A1895" s="160"/>
      <c r="B1895" s="160" t="s">
        <v>934</v>
      </c>
      <c r="C1895" s="157" t="s">
        <v>1875</v>
      </c>
      <c r="D1895" s="159"/>
      <c r="E1895" s="159"/>
      <c r="F1895" s="159">
        <v>1057.1199999999999</v>
      </c>
      <c r="G1895" s="160"/>
      <c r="H1895" s="34" t="s">
        <v>925</v>
      </c>
    </row>
    <row r="1896" spans="1:8" ht="33">
      <c r="A1896" s="160"/>
      <c r="B1896" s="160"/>
      <c r="C1896" s="157"/>
      <c r="D1896" s="159"/>
      <c r="E1896" s="159"/>
      <c r="F1896" s="159"/>
      <c r="G1896" s="160"/>
      <c r="H1896" s="34" t="s">
        <v>925</v>
      </c>
    </row>
    <row r="1897" spans="1:8" ht="33">
      <c r="A1897" s="160" t="s">
        <v>2089</v>
      </c>
      <c r="B1897" s="160" t="s">
        <v>1896</v>
      </c>
      <c r="C1897" s="157" t="s">
        <v>1875</v>
      </c>
      <c r="D1897" s="159">
        <v>1</v>
      </c>
      <c r="E1897" s="159">
        <v>1141.02</v>
      </c>
      <c r="F1897" s="159"/>
      <c r="G1897" s="160" t="s">
        <v>1897</v>
      </c>
      <c r="H1897" s="34" t="s">
        <v>925</v>
      </c>
    </row>
    <row r="1898" spans="1:8" ht="33">
      <c r="A1898" s="160">
        <v>1</v>
      </c>
      <c r="B1898" s="160" t="s">
        <v>1898</v>
      </c>
      <c r="C1898" s="157" t="s">
        <v>1875</v>
      </c>
      <c r="D1898" s="159">
        <v>1</v>
      </c>
      <c r="E1898" s="159">
        <v>1003.47</v>
      </c>
      <c r="F1898" s="159">
        <v>1003.47</v>
      </c>
      <c r="G1898" s="160" t="s">
        <v>1899</v>
      </c>
      <c r="H1898" s="34" t="s">
        <v>925</v>
      </c>
    </row>
    <row r="1899" spans="1:8" ht="28.5">
      <c r="A1899" s="160">
        <v>2</v>
      </c>
      <c r="B1899" s="160" t="s">
        <v>1900</v>
      </c>
      <c r="C1899" s="157" t="s">
        <v>1875</v>
      </c>
      <c r="D1899" s="159">
        <v>1</v>
      </c>
      <c r="E1899" s="159">
        <v>104.32</v>
      </c>
      <c r="F1899" s="159">
        <v>104.32</v>
      </c>
      <c r="G1899" s="160" t="s">
        <v>1901</v>
      </c>
    </row>
    <row r="1900" spans="1:8" ht="33">
      <c r="A1900" s="160">
        <v>3</v>
      </c>
      <c r="B1900" s="160" t="s">
        <v>931</v>
      </c>
      <c r="C1900" s="157" t="s">
        <v>14</v>
      </c>
      <c r="D1900" s="159">
        <v>1</v>
      </c>
      <c r="E1900" s="159">
        <v>33.229999999999997</v>
      </c>
      <c r="F1900" s="159">
        <v>33.229999999999997</v>
      </c>
      <c r="G1900" s="160" t="s">
        <v>932</v>
      </c>
      <c r="H1900" s="34" t="s">
        <v>925</v>
      </c>
    </row>
    <row r="1901" spans="1:8" ht="33">
      <c r="A1901" s="160"/>
      <c r="B1901" s="160" t="s">
        <v>933</v>
      </c>
      <c r="C1901" s="157" t="s">
        <v>1875</v>
      </c>
      <c r="D1901" s="159">
        <v>1</v>
      </c>
      <c r="E1901" s="159"/>
      <c r="F1901" s="159">
        <v>1141.02</v>
      </c>
      <c r="G1901" s="160"/>
      <c r="H1901" s="34" t="s">
        <v>925</v>
      </c>
    </row>
    <row r="1902" spans="1:8" ht="33">
      <c r="A1902" s="160"/>
      <c r="B1902" s="160" t="s">
        <v>934</v>
      </c>
      <c r="C1902" s="157" t="s">
        <v>1875</v>
      </c>
      <c r="D1902" s="159"/>
      <c r="E1902" s="159"/>
      <c r="F1902" s="159">
        <v>1141.02</v>
      </c>
      <c r="G1902" s="160"/>
      <c r="H1902" s="34" t="s">
        <v>925</v>
      </c>
    </row>
    <row r="1903" spans="1:8" ht="33">
      <c r="A1903" s="160"/>
      <c r="B1903" s="160"/>
      <c r="C1903" s="157"/>
      <c r="D1903" s="159"/>
      <c r="E1903" s="159"/>
      <c r="F1903" s="159"/>
      <c r="G1903" s="160"/>
      <c r="H1903" s="34" t="s">
        <v>925</v>
      </c>
    </row>
    <row r="1904" spans="1:8" ht="33">
      <c r="A1904" s="160" t="s">
        <v>2096</v>
      </c>
      <c r="B1904" s="160" t="s">
        <v>1903</v>
      </c>
      <c r="C1904" s="157" t="s">
        <v>1875</v>
      </c>
      <c r="D1904" s="159">
        <v>1</v>
      </c>
      <c r="E1904" s="159">
        <v>2056.92</v>
      </c>
      <c r="F1904" s="159"/>
      <c r="G1904" s="160" t="s">
        <v>1904</v>
      </c>
      <c r="H1904" s="34" t="s">
        <v>925</v>
      </c>
    </row>
    <row r="1905" spans="1:8" ht="33">
      <c r="A1905" s="160">
        <v>1</v>
      </c>
      <c r="B1905" s="160" t="s">
        <v>1905</v>
      </c>
      <c r="C1905" s="157" t="s">
        <v>1875</v>
      </c>
      <c r="D1905" s="159">
        <v>1</v>
      </c>
      <c r="E1905" s="159">
        <v>1798.3</v>
      </c>
      <c r="F1905" s="159">
        <v>1798.3</v>
      </c>
      <c r="G1905" s="160" t="s">
        <v>1906</v>
      </c>
      <c r="H1905" s="34" t="s">
        <v>925</v>
      </c>
    </row>
    <row r="1906" spans="1:8" ht="33">
      <c r="A1906" s="160">
        <v>2</v>
      </c>
      <c r="B1906" s="160" t="s">
        <v>1907</v>
      </c>
      <c r="C1906" s="157" t="s">
        <v>1875</v>
      </c>
      <c r="D1906" s="159">
        <v>1</v>
      </c>
      <c r="E1906" s="159">
        <v>198.71</v>
      </c>
      <c r="F1906" s="159">
        <v>198.71</v>
      </c>
      <c r="G1906" s="160" t="s">
        <v>1908</v>
      </c>
      <c r="H1906" s="34" t="s">
        <v>925</v>
      </c>
    </row>
    <row r="1907" spans="1:8" ht="33">
      <c r="A1907" s="160">
        <v>3</v>
      </c>
      <c r="B1907" s="160" t="s">
        <v>931</v>
      </c>
      <c r="C1907" s="157" t="s">
        <v>14</v>
      </c>
      <c r="D1907" s="159">
        <v>1</v>
      </c>
      <c r="E1907" s="159">
        <v>59.91</v>
      </c>
      <c r="F1907" s="159">
        <v>59.91</v>
      </c>
      <c r="G1907" s="160" t="s">
        <v>932</v>
      </c>
      <c r="H1907" s="34" t="s">
        <v>925</v>
      </c>
    </row>
    <row r="1908" spans="1:8" ht="16.5">
      <c r="A1908" s="160"/>
      <c r="B1908" s="160" t="s">
        <v>933</v>
      </c>
      <c r="C1908" s="157" t="s">
        <v>1875</v>
      </c>
      <c r="D1908" s="159">
        <v>1</v>
      </c>
      <c r="E1908" s="159"/>
      <c r="F1908" s="159">
        <v>2056.92</v>
      </c>
      <c r="G1908" s="160"/>
    </row>
    <row r="1909" spans="1:8" ht="33">
      <c r="A1909" s="160"/>
      <c r="B1909" s="160" t="s">
        <v>934</v>
      </c>
      <c r="C1909" s="157" t="s">
        <v>1875</v>
      </c>
      <c r="D1909" s="159"/>
      <c r="E1909" s="159"/>
      <c r="F1909" s="159">
        <v>2056.92</v>
      </c>
      <c r="G1909" s="160"/>
      <c r="H1909" s="34" t="s">
        <v>925</v>
      </c>
    </row>
    <row r="1910" spans="1:8" ht="33">
      <c r="A1910" s="160"/>
      <c r="B1910" s="160"/>
      <c r="C1910" s="157"/>
      <c r="D1910" s="159"/>
      <c r="E1910" s="159"/>
      <c r="F1910" s="159"/>
      <c r="G1910" s="160"/>
      <c r="H1910" s="34" t="s">
        <v>925</v>
      </c>
    </row>
    <row r="1911" spans="1:8" ht="33">
      <c r="A1911" s="160" t="s">
        <v>2101</v>
      </c>
      <c r="B1911" s="160" t="s">
        <v>1910</v>
      </c>
      <c r="C1911" s="157" t="s">
        <v>1875</v>
      </c>
      <c r="D1911" s="159">
        <v>1</v>
      </c>
      <c r="E1911" s="159">
        <v>3863.13</v>
      </c>
      <c r="F1911" s="159"/>
      <c r="G1911" s="160" t="s">
        <v>1911</v>
      </c>
      <c r="H1911" s="34" t="s">
        <v>925</v>
      </c>
    </row>
    <row r="1912" spans="1:8" ht="33">
      <c r="A1912" s="160">
        <v>1</v>
      </c>
      <c r="B1912" s="160" t="s">
        <v>1912</v>
      </c>
      <c r="C1912" s="157" t="s">
        <v>1875</v>
      </c>
      <c r="D1912" s="159">
        <v>1</v>
      </c>
      <c r="E1912" s="159">
        <v>3616.48</v>
      </c>
      <c r="F1912" s="159">
        <v>3616.48</v>
      </c>
      <c r="G1912" s="160" t="s">
        <v>1913</v>
      </c>
      <c r="H1912" s="34" t="s">
        <v>925</v>
      </c>
    </row>
    <row r="1913" spans="1:8" ht="33">
      <c r="A1913" s="160">
        <v>2</v>
      </c>
      <c r="B1913" s="160" t="s">
        <v>1914</v>
      </c>
      <c r="C1913" s="157" t="s">
        <v>1875</v>
      </c>
      <c r="D1913" s="159">
        <v>1</v>
      </c>
      <c r="E1913" s="159">
        <v>134.13</v>
      </c>
      <c r="F1913" s="159">
        <v>134.13</v>
      </c>
      <c r="G1913" s="160" t="s">
        <v>1915</v>
      </c>
      <c r="H1913" s="34" t="s">
        <v>925</v>
      </c>
    </row>
    <row r="1914" spans="1:8" ht="33">
      <c r="A1914" s="160">
        <v>3</v>
      </c>
      <c r="B1914" s="160" t="s">
        <v>931</v>
      </c>
      <c r="C1914" s="157" t="s">
        <v>14</v>
      </c>
      <c r="D1914" s="159">
        <v>1</v>
      </c>
      <c r="E1914" s="159">
        <v>112.52</v>
      </c>
      <c r="F1914" s="159">
        <v>112.52</v>
      </c>
      <c r="G1914" s="160" t="s">
        <v>932</v>
      </c>
      <c r="H1914" s="34" t="s">
        <v>925</v>
      </c>
    </row>
    <row r="1915" spans="1:8" ht="33">
      <c r="A1915" s="160"/>
      <c r="B1915" s="160" t="s">
        <v>933</v>
      </c>
      <c r="C1915" s="157" t="s">
        <v>1875</v>
      </c>
      <c r="D1915" s="159">
        <v>1</v>
      </c>
      <c r="E1915" s="159"/>
      <c r="F1915" s="159">
        <v>3863.13</v>
      </c>
      <c r="G1915" s="160"/>
      <c r="H1915" s="34" t="s">
        <v>925</v>
      </c>
    </row>
    <row r="1916" spans="1:8" ht="33">
      <c r="A1916" s="160"/>
      <c r="B1916" s="160" t="s">
        <v>934</v>
      </c>
      <c r="C1916" s="157" t="s">
        <v>1875</v>
      </c>
      <c r="D1916" s="159"/>
      <c r="E1916" s="159"/>
      <c r="F1916" s="159">
        <v>3863.13</v>
      </c>
      <c r="G1916" s="160"/>
      <c r="H1916" s="34" t="s">
        <v>925</v>
      </c>
    </row>
    <row r="1917" spans="1:8" ht="16.5">
      <c r="A1917" s="160"/>
      <c r="B1917" s="160"/>
      <c r="C1917" s="157"/>
      <c r="D1917" s="159"/>
      <c r="E1917" s="159"/>
      <c r="F1917" s="159"/>
      <c r="G1917" s="160"/>
    </row>
    <row r="1918" spans="1:8" ht="33">
      <c r="A1918" s="160" t="s">
        <v>2111</v>
      </c>
      <c r="B1918" s="160" t="s">
        <v>1917</v>
      </c>
      <c r="C1918" s="157" t="s">
        <v>1875</v>
      </c>
      <c r="D1918" s="159">
        <v>1</v>
      </c>
      <c r="E1918" s="159">
        <v>4487.3599999999997</v>
      </c>
      <c r="F1918" s="159"/>
      <c r="G1918" s="160" t="s">
        <v>1918</v>
      </c>
      <c r="H1918" s="34" t="s">
        <v>925</v>
      </c>
    </row>
    <row r="1919" spans="1:8" ht="33">
      <c r="A1919" s="160">
        <v>1</v>
      </c>
      <c r="B1919" s="160" t="s">
        <v>1919</v>
      </c>
      <c r="C1919" s="157" t="s">
        <v>1875</v>
      </c>
      <c r="D1919" s="159">
        <v>1</v>
      </c>
      <c r="E1919" s="159">
        <v>4212.6000000000004</v>
      </c>
      <c r="F1919" s="159">
        <v>4212.6000000000004</v>
      </c>
      <c r="G1919" s="160" t="s">
        <v>1920</v>
      </c>
      <c r="H1919" s="34" t="s">
        <v>925</v>
      </c>
    </row>
    <row r="1920" spans="1:8" ht="33">
      <c r="A1920" s="160">
        <v>2</v>
      </c>
      <c r="B1920" s="160" t="s">
        <v>1921</v>
      </c>
      <c r="C1920" s="157" t="s">
        <v>1875</v>
      </c>
      <c r="D1920" s="159">
        <v>1</v>
      </c>
      <c r="E1920" s="159">
        <v>144.06</v>
      </c>
      <c r="F1920" s="159">
        <v>144.06</v>
      </c>
      <c r="G1920" s="160" t="s">
        <v>1922</v>
      </c>
      <c r="H1920" s="34" t="s">
        <v>925</v>
      </c>
    </row>
    <row r="1921" spans="1:8" ht="33">
      <c r="A1921" s="160">
        <v>3</v>
      </c>
      <c r="B1921" s="160" t="s">
        <v>931</v>
      </c>
      <c r="C1921" s="157" t="s">
        <v>14</v>
      </c>
      <c r="D1921" s="159">
        <v>1</v>
      </c>
      <c r="E1921" s="159">
        <v>130.69999999999999</v>
      </c>
      <c r="F1921" s="159">
        <v>130.69999999999999</v>
      </c>
      <c r="G1921" s="160" t="s">
        <v>932</v>
      </c>
      <c r="H1921" s="34" t="s">
        <v>925</v>
      </c>
    </row>
    <row r="1922" spans="1:8" ht="33">
      <c r="A1922" s="160"/>
      <c r="B1922" s="160" t="s">
        <v>933</v>
      </c>
      <c r="C1922" s="157" t="s">
        <v>1875</v>
      </c>
      <c r="D1922" s="159">
        <v>1</v>
      </c>
      <c r="E1922" s="159"/>
      <c r="F1922" s="159">
        <v>4487.3600000000006</v>
      </c>
      <c r="G1922" s="160"/>
      <c r="H1922" s="34" t="s">
        <v>925</v>
      </c>
    </row>
    <row r="1923" spans="1:8" ht="33">
      <c r="A1923" s="160"/>
      <c r="B1923" s="160" t="s">
        <v>934</v>
      </c>
      <c r="C1923" s="157" t="s">
        <v>1875</v>
      </c>
      <c r="D1923" s="159"/>
      <c r="E1923" s="159"/>
      <c r="F1923" s="159">
        <v>4487.3599999999997</v>
      </c>
      <c r="G1923" s="160"/>
      <c r="H1923" s="34" t="s">
        <v>925</v>
      </c>
    </row>
    <row r="1924" spans="1:8" ht="33">
      <c r="A1924" s="160"/>
      <c r="B1924" s="160"/>
      <c r="C1924" s="157"/>
      <c r="D1924" s="159"/>
      <c r="E1924" s="159"/>
      <c r="F1924" s="159"/>
      <c r="G1924" s="160"/>
      <c r="H1924" s="34" t="s">
        <v>925</v>
      </c>
    </row>
    <row r="1925" spans="1:8" ht="33">
      <c r="A1925" s="160" t="s">
        <v>2114</v>
      </c>
      <c r="B1925" s="160" t="s">
        <v>1924</v>
      </c>
      <c r="C1925" s="157" t="s">
        <v>1875</v>
      </c>
      <c r="D1925" s="159">
        <v>1</v>
      </c>
      <c r="E1925" s="159">
        <v>5705.14</v>
      </c>
      <c r="F1925" s="159"/>
      <c r="G1925" s="160" t="s">
        <v>1925</v>
      </c>
      <c r="H1925" s="34" t="s">
        <v>925</v>
      </c>
    </row>
    <row r="1926" spans="1:8" ht="28.5">
      <c r="A1926" s="160">
        <v>1</v>
      </c>
      <c r="B1926" s="160" t="s">
        <v>1926</v>
      </c>
      <c r="C1926" s="157" t="s">
        <v>1875</v>
      </c>
      <c r="D1926" s="159">
        <v>1</v>
      </c>
      <c r="E1926" s="159">
        <v>5375.04</v>
      </c>
      <c r="F1926" s="159">
        <v>5375.04</v>
      </c>
      <c r="G1926" s="160" t="s">
        <v>1927</v>
      </c>
    </row>
    <row r="1927" spans="1:8" ht="33">
      <c r="A1927" s="160">
        <v>2</v>
      </c>
      <c r="B1927" s="160" t="s">
        <v>1928</v>
      </c>
      <c r="C1927" s="157" t="s">
        <v>1875</v>
      </c>
      <c r="D1927" s="159">
        <v>1</v>
      </c>
      <c r="E1927" s="159">
        <v>163.93</v>
      </c>
      <c r="F1927" s="159">
        <v>163.93</v>
      </c>
      <c r="G1927" s="160" t="s">
        <v>1929</v>
      </c>
      <c r="H1927" s="34" t="s">
        <v>925</v>
      </c>
    </row>
    <row r="1928" spans="1:8" ht="33">
      <c r="A1928" s="160">
        <v>3</v>
      </c>
      <c r="B1928" s="160" t="s">
        <v>931</v>
      </c>
      <c r="C1928" s="157" t="s">
        <v>14</v>
      </c>
      <c r="D1928" s="159">
        <v>1</v>
      </c>
      <c r="E1928" s="159">
        <v>166.17</v>
      </c>
      <c r="F1928" s="159">
        <v>166.17</v>
      </c>
      <c r="G1928" s="160" t="s">
        <v>932</v>
      </c>
      <c r="H1928" s="34" t="s">
        <v>925</v>
      </c>
    </row>
    <row r="1929" spans="1:8" ht="33">
      <c r="A1929" s="160"/>
      <c r="B1929" s="160" t="s">
        <v>933</v>
      </c>
      <c r="C1929" s="157" t="s">
        <v>1875</v>
      </c>
      <c r="D1929" s="159">
        <v>1</v>
      </c>
      <c r="E1929" s="159"/>
      <c r="F1929" s="159">
        <v>5705.14</v>
      </c>
      <c r="G1929" s="160"/>
      <c r="H1929" s="34" t="s">
        <v>925</v>
      </c>
    </row>
    <row r="1930" spans="1:8" ht="33">
      <c r="A1930" s="160"/>
      <c r="B1930" s="160" t="s">
        <v>934</v>
      </c>
      <c r="C1930" s="157" t="s">
        <v>1875</v>
      </c>
      <c r="D1930" s="159"/>
      <c r="E1930" s="159"/>
      <c r="F1930" s="159">
        <v>5705.14</v>
      </c>
      <c r="G1930" s="160"/>
      <c r="H1930" s="34" t="s">
        <v>925</v>
      </c>
    </row>
    <row r="1931" spans="1:8" ht="33">
      <c r="A1931" s="160"/>
      <c r="B1931" s="160"/>
      <c r="C1931" s="157"/>
      <c r="D1931" s="159"/>
      <c r="E1931" s="159"/>
      <c r="F1931" s="159"/>
      <c r="G1931" s="160"/>
      <c r="H1931" s="34" t="s">
        <v>925</v>
      </c>
    </row>
    <row r="1932" spans="1:8" ht="33">
      <c r="A1932" s="160" t="s">
        <v>2123</v>
      </c>
      <c r="B1932" s="160" t="s">
        <v>1931</v>
      </c>
      <c r="C1932" s="157" t="s">
        <v>1875</v>
      </c>
      <c r="D1932" s="159">
        <v>1</v>
      </c>
      <c r="E1932" s="159">
        <v>5091.1400000000003</v>
      </c>
      <c r="F1932" s="159"/>
      <c r="G1932" s="160" t="s">
        <v>1932</v>
      </c>
      <c r="H1932" s="34" t="s">
        <v>925</v>
      </c>
    </row>
    <row r="1933" spans="1:8" ht="33">
      <c r="A1933" s="160">
        <v>1</v>
      </c>
      <c r="B1933" s="160" t="s">
        <v>1933</v>
      </c>
      <c r="C1933" s="157" t="s">
        <v>1875</v>
      </c>
      <c r="D1933" s="159">
        <v>1</v>
      </c>
      <c r="E1933" s="159">
        <v>4788.8500000000004</v>
      </c>
      <c r="F1933" s="159">
        <v>4788.8500000000004</v>
      </c>
      <c r="G1933" s="160" t="s">
        <v>1934</v>
      </c>
      <c r="H1933" s="34" t="s">
        <v>925</v>
      </c>
    </row>
    <row r="1934" spans="1:8" ht="28.5">
      <c r="A1934" s="160">
        <v>2</v>
      </c>
      <c r="B1934" s="160" t="s">
        <v>1935</v>
      </c>
      <c r="C1934" s="157" t="s">
        <v>1875</v>
      </c>
      <c r="D1934" s="159">
        <v>1</v>
      </c>
      <c r="E1934" s="159">
        <v>154</v>
      </c>
      <c r="F1934" s="159">
        <v>154</v>
      </c>
      <c r="G1934" s="160" t="s">
        <v>1936</v>
      </c>
    </row>
    <row r="1935" spans="1:8" ht="33">
      <c r="A1935" s="160">
        <v>3</v>
      </c>
      <c r="B1935" s="160" t="s">
        <v>931</v>
      </c>
      <c r="C1935" s="157" t="s">
        <v>14</v>
      </c>
      <c r="D1935" s="159">
        <v>1</v>
      </c>
      <c r="E1935" s="159">
        <v>148.29</v>
      </c>
      <c r="F1935" s="159">
        <v>148.29</v>
      </c>
      <c r="G1935" s="160" t="s">
        <v>932</v>
      </c>
      <c r="H1935" s="34" t="s">
        <v>925</v>
      </c>
    </row>
    <row r="1936" spans="1:8" ht="33">
      <c r="A1936" s="160"/>
      <c r="B1936" s="160" t="s">
        <v>933</v>
      </c>
      <c r="C1936" s="157" t="s">
        <v>1875</v>
      </c>
      <c r="D1936" s="159">
        <v>1</v>
      </c>
      <c r="E1936" s="159"/>
      <c r="F1936" s="159">
        <v>5091.1400000000003</v>
      </c>
      <c r="G1936" s="160"/>
      <c r="H1936" s="34" t="s">
        <v>925</v>
      </c>
    </row>
    <row r="1937" spans="1:8" ht="33">
      <c r="A1937" s="160"/>
      <c r="B1937" s="160" t="s">
        <v>934</v>
      </c>
      <c r="C1937" s="157" t="s">
        <v>1875</v>
      </c>
      <c r="D1937" s="159"/>
      <c r="E1937" s="159"/>
      <c r="F1937" s="159">
        <v>5091.1400000000003</v>
      </c>
      <c r="G1937" s="160"/>
      <c r="H1937" s="34" t="s">
        <v>925</v>
      </c>
    </row>
    <row r="1938" spans="1:8" ht="33">
      <c r="A1938" s="160"/>
      <c r="B1938" s="160"/>
      <c r="C1938" s="157"/>
      <c r="D1938" s="159"/>
      <c r="E1938" s="159"/>
      <c r="F1938" s="159"/>
      <c r="G1938" s="160"/>
      <c r="H1938" s="34" t="s">
        <v>925</v>
      </c>
    </row>
    <row r="1939" spans="1:8" ht="42.75">
      <c r="A1939" s="160" t="s">
        <v>2128</v>
      </c>
      <c r="B1939" s="160" t="s">
        <v>1938</v>
      </c>
      <c r="C1939" s="157" t="s">
        <v>1875</v>
      </c>
      <c r="D1939" s="159">
        <v>1</v>
      </c>
      <c r="E1939" s="159">
        <v>2236.0100000000002</v>
      </c>
      <c r="F1939" s="159"/>
      <c r="G1939" s="160" t="s">
        <v>1939</v>
      </c>
      <c r="H1939" s="34" t="s">
        <v>925</v>
      </c>
    </row>
    <row r="1940" spans="1:8" ht="33">
      <c r="A1940" s="160">
        <v>1</v>
      </c>
      <c r="B1940" s="160" t="s">
        <v>1940</v>
      </c>
      <c r="C1940" s="157" t="s">
        <v>1875</v>
      </c>
      <c r="D1940" s="159">
        <v>1</v>
      </c>
      <c r="E1940" s="159">
        <v>1977.14</v>
      </c>
      <c r="F1940" s="159">
        <v>1977.14</v>
      </c>
      <c r="G1940" s="160" t="s">
        <v>1941</v>
      </c>
      <c r="H1940" s="34" t="s">
        <v>925</v>
      </c>
    </row>
    <row r="1941" spans="1:8" ht="33">
      <c r="A1941" s="160">
        <v>2</v>
      </c>
      <c r="B1941" s="160" t="s">
        <v>1942</v>
      </c>
      <c r="C1941" s="157" t="s">
        <v>1875</v>
      </c>
      <c r="D1941" s="159">
        <v>1</v>
      </c>
      <c r="E1941" s="159">
        <v>193.74</v>
      </c>
      <c r="F1941" s="159">
        <v>193.74</v>
      </c>
      <c r="G1941" s="160" t="s">
        <v>1943</v>
      </c>
      <c r="H1941" s="34" t="s">
        <v>925</v>
      </c>
    </row>
    <row r="1942" spans="1:8" ht="33">
      <c r="A1942" s="160">
        <v>3</v>
      </c>
      <c r="B1942" s="160" t="s">
        <v>931</v>
      </c>
      <c r="C1942" s="157" t="s">
        <v>14</v>
      </c>
      <c r="D1942" s="159">
        <v>1</v>
      </c>
      <c r="E1942" s="159">
        <v>65.13</v>
      </c>
      <c r="F1942" s="159">
        <v>65.13</v>
      </c>
      <c r="G1942" s="160" t="s">
        <v>932</v>
      </c>
      <c r="H1942" s="34" t="s">
        <v>925</v>
      </c>
    </row>
    <row r="1943" spans="1:8" ht="33">
      <c r="A1943" s="160"/>
      <c r="B1943" s="160" t="s">
        <v>933</v>
      </c>
      <c r="C1943" s="157" t="s">
        <v>1875</v>
      </c>
      <c r="D1943" s="159">
        <v>1</v>
      </c>
      <c r="E1943" s="159"/>
      <c r="F1943" s="159">
        <v>2236.0100000000002</v>
      </c>
      <c r="G1943" s="160"/>
      <c r="H1943" s="34" t="s">
        <v>925</v>
      </c>
    </row>
    <row r="1944" spans="1:8" ht="16.5">
      <c r="A1944" s="160"/>
      <c r="B1944" s="160" t="s">
        <v>934</v>
      </c>
      <c r="C1944" s="157" t="s">
        <v>1875</v>
      </c>
      <c r="D1944" s="159"/>
      <c r="E1944" s="159"/>
      <c r="F1944" s="159">
        <v>2236.0100000000002</v>
      </c>
      <c r="G1944" s="160"/>
    </row>
    <row r="1945" spans="1:8" ht="33">
      <c r="A1945" s="160"/>
      <c r="B1945" s="160"/>
      <c r="C1945" s="157"/>
      <c r="D1945" s="159"/>
      <c r="E1945" s="159"/>
      <c r="F1945" s="159"/>
      <c r="G1945" s="160"/>
      <c r="H1945" s="34" t="s">
        <v>925</v>
      </c>
    </row>
    <row r="1946" spans="1:8" ht="42.75">
      <c r="A1946" s="160" t="s">
        <v>2133</v>
      </c>
      <c r="B1946" s="160" t="s">
        <v>1945</v>
      </c>
      <c r="C1946" s="157" t="s">
        <v>1875</v>
      </c>
      <c r="D1946" s="159">
        <v>1</v>
      </c>
      <c r="E1946" s="159">
        <v>2461.14</v>
      </c>
      <c r="F1946" s="159"/>
      <c r="G1946" s="160" t="s">
        <v>1946</v>
      </c>
      <c r="H1946" s="34" t="s">
        <v>925</v>
      </c>
    </row>
    <row r="1947" spans="1:8" ht="33">
      <c r="A1947" s="160">
        <v>1</v>
      </c>
      <c r="B1947" s="160" t="s">
        <v>1947</v>
      </c>
      <c r="C1947" s="157" t="s">
        <v>1875</v>
      </c>
      <c r="D1947" s="159">
        <v>1</v>
      </c>
      <c r="E1947" s="159">
        <v>2185.7800000000002</v>
      </c>
      <c r="F1947" s="159">
        <v>2185.7800000000002</v>
      </c>
      <c r="G1947" s="160" t="s">
        <v>1948</v>
      </c>
      <c r="H1947" s="34" t="s">
        <v>925</v>
      </c>
    </row>
    <row r="1948" spans="1:8" ht="33">
      <c r="A1948" s="160">
        <v>2</v>
      </c>
      <c r="B1948" s="160" t="s">
        <v>1949</v>
      </c>
      <c r="C1948" s="157" t="s">
        <v>1875</v>
      </c>
      <c r="D1948" s="159">
        <v>1</v>
      </c>
      <c r="E1948" s="159">
        <v>203.68</v>
      </c>
      <c r="F1948" s="159">
        <v>203.68</v>
      </c>
      <c r="G1948" s="160" t="s">
        <v>1950</v>
      </c>
      <c r="H1948" s="34" t="s">
        <v>925</v>
      </c>
    </row>
    <row r="1949" spans="1:8" ht="33">
      <c r="A1949" s="160">
        <v>3</v>
      </c>
      <c r="B1949" s="160" t="s">
        <v>931</v>
      </c>
      <c r="C1949" s="157" t="s">
        <v>14</v>
      </c>
      <c r="D1949" s="159">
        <v>1</v>
      </c>
      <c r="E1949" s="159">
        <v>71.680000000000007</v>
      </c>
      <c r="F1949" s="159">
        <v>71.680000000000007</v>
      </c>
      <c r="G1949" s="160" t="s">
        <v>932</v>
      </c>
      <c r="H1949" s="34" t="s">
        <v>925</v>
      </c>
    </row>
    <row r="1950" spans="1:8" ht="33">
      <c r="A1950" s="160"/>
      <c r="B1950" s="160" t="s">
        <v>933</v>
      </c>
      <c r="C1950" s="157" t="s">
        <v>1875</v>
      </c>
      <c r="D1950" s="159">
        <v>1</v>
      </c>
      <c r="E1950" s="159"/>
      <c r="F1950" s="159">
        <v>2461.14</v>
      </c>
      <c r="G1950" s="160"/>
      <c r="H1950" s="34" t="s">
        <v>925</v>
      </c>
    </row>
    <row r="1951" spans="1:8" ht="33">
      <c r="A1951" s="160"/>
      <c r="B1951" s="160" t="s">
        <v>934</v>
      </c>
      <c r="C1951" s="157" t="s">
        <v>1875</v>
      </c>
      <c r="D1951" s="159"/>
      <c r="E1951" s="159"/>
      <c r="F1951" s="159">
        <v>2461.14</v>
      </c>
      <c r="G1951" s="160"/>
      <c r="H1951" s="34" t="s">
        <v>925</v>
      </c>
    </row>
    <row r="1952" spans="1:8" ht="33">
      <c r="A1952" s="160"/>
      <c r="B1952" s="160"/>
      <c r="C1952" s="157"/>
      <c r="D1952" s="159"/>
      <c r="E1952" s="159"/>
      <c r="F1952" s="159"/>
      <c r="G1952" s="160"/>
      <c r="H1952" s="34" t="s">
        <v>925</v>
      </c>
    </row>
    <row r="1953" spans="1:8" ht="42.75">
      <c r="A1953" s="160" t="s">
        <v>2140</v>
      </c>
      <c r="B1953" s="160" t="s">
        <v>1952</v>
      </c>
      <c r="C1953" s="157" t="s">
        <v>1875</v>
      </c>
      <c r="D1953" s="159">
        <v>1</v>
      </c>
      <c r="E1953" s="159">
        <v>2481.61</v>
      </c>
      <c r="F1953" s="159"/>
      <c r="G1953" s="160" t="s">
        <v>1953</v>
      </c>
      <c r="H1953" s="34" t="s">
        <v>925</v>
      </c>
    </row>
    <row r="1954" spans="1:8" ht="42.75">
      <c r="A1954" s="160">
        <v>1</v>
      </c>
      <c r="B1954" s="160" t="s">
        <v>1954</v>
      </c>
      <c r="C1954" s="157" t="s">
        <v>1875</v>
      </c>
      <c r="D1954" s="159">
        <v>1</v>
      </c>
      <c r="E1954" s="159">
        <v>2195.7199999999998</v>
      </c>
      <c r="F1954" s="159">
        <v>2195.7199999999998</v>
      </c>
      <c r="G1954" s="160" t="s">
        <v>1955</v>
      </c>
      <c r="H1954" s="34" t="s">
        <v>925</v>
      </c>
    </row>
    <row r="1955" spans="1:8" ht="42.75">
      <c r="A1955" s="160">
        <v>2</v>
      </c>
      <c r="B1955" s="160" t="s">
        <v>1956</v>
      </c>
      <c r="C1955" s="157" t="s">
        <v>1875</v>
      </c>
      <c r="D1955" s="159">
        <v>1</v>
      </c>
      <c r="E1955" s="159">
        <v>213.61</v>
      </c>
      <c r="F1955" s="159">
        <v>213.61</v>
      </c>
      <c r="G1955" s="160" t="s">
        <v>1957</v>
      </c>
      <c r="H1955" s="34" t="s">
        <v>925</v>
      </c>
    </row>
    <row r="1956" spans="1:8" ht="28.5">
      <c r="A1956" s="160">
        <v>3</v>
      </c>
      <c r="B1956" s="160" t="s">
        <v>931</v>
      </c>
      <c r="C1956" s="157" t="s">
        <v>14</v>
      </c>
      <c r="D1956" s="159">
        <v>1</v>
      </c>
      <c r="E1956" s="159">
        <v>72.28</v>
      </c>
      <c r="F1956" s="159">
        <v>72.28</v>
      </c>
      <c r="G1956" s="160" t="s">
        <v>932</v>
      </c>
    </row>
    <row r="1957" spans="1:8" ht="33">
      <c r="A1957" s="160"/>
      <c r="B1957" s="160" t="s">
        <v>933</v>
      </c>
      <c r="C1957" s="157" t="s">
        <v>1875</v>
      </c>
      <c r="D1957" s="159">
        <v>1</v>
      </c>
      <c r="E1957" s="159"/>
      <c r="F1957" s="159">
        <v>2481.61</v>
      </c>
      <c r="G1957" s="160"/>
      <c r="H1957" s="34" t="s">
        <v>925</v>
      </c>
    </row>
    <row r="1958" spans="1:8" ht="33">
      <c r="A1958" s="160"/>
      <c r="B1958" s="160" t="s">
        <v>934</v>
      </c>
      <c r="C1958" s="157" t="s">
        <v>1875</v>
      </c>
      <c r="D1958" s="159"/>
      <c r="E1958" s="159"/>
      <c r="F1958" s="159">
        <v>2481.61</v>
      </c>
      <c r="G1958" s="160"/>
      <c r="H1958" s="34" t="s">
        <v>925</v>
      </c>
    </row>
    <row r="1959" spans="1:8" ht="33">
      <c r="A1959" s="160"/>
      <c r="B1959" s="160"/>
      <c r="C1959" s="157"/>
      <c r="D1959" s="159"/>
      <c r="E1959" s="159"/>
      <c r="F1959" s="159"/>
      <c r="G1959" s="160"/>
      <c r="H1959" s="34" t="s">
        <v>925</v>
      </c>
    </row>
    <row r="1960" spans="1:8" ht="42.75">
      <c r="A1960" s="160" t="s">
        <v>2145</v>
      </c>
      <c r="B1960" s="160" t="s">
        <v>1959</v>
      </c>
      <c r="C1960" s="157" t="s">
        <v>1875</v>
      </c>
      <c r="D1960" s="159">
        <v>1</v>
      </c>
      <c r="E1960" s="159">
        <v>2358.81</v>
      </c>
      <c r="F1960" s="159"/>
      <c r="G1960" s="160" t="s">
        <v>1960</v>
      </c>
      <c r="H1960" s="34" t="s">
        <v>925</v>
      </c>
    </row>
    <row r="1961" spans="1:8" ht="33">
      <c r="A1961" s="160">
        <v>1</v>
      </c>
      <c r="B1961" s="160" t="s">
        <v>1961</v>
      </c>
      <c r="C1961" s="157" t="s">
        <v>1875</v>
      </c>
      <c r="D1961" s="159">
        <v>1</v>
      </c>
      <c r="E1961" s="159">
        <v>2096.37</v>
      </c>
      <c r="F1961" s="159">
        <v>2096.37</v>
      </c>
      <c r="G1961" s="160" t="s">
        <v>1962</v>
      </c>
      <c r="H1961" s="34" t="s">
        <v>925</v>
      </c>
    </row>
    <row r="1962" spans="1:8" ht="33">
      <c r="A1962" s="160">
        <v>2</v>
      </c>
      <c r="B1962" s="160" t="s">
        <v>1963</v>
      </c>
      <c r="C1962" s="157" t="s">
        <v>1875</v>
      </c>
      <c r="D1962" s="159">
        <v>1</v>
      </c>
      <c r="E1962" s="159">
        <v>193.74</v>
      </c>
      <c r="F1962" s="159">
        <v>193.74</v>
      </c>
      <c r="G1962" s="160" t="s">
        <v>1964</v>
      </c>
      <c r="H1962" s="34" t="s">
        <v>925</v>
      </c>
    </row>
    <row r="1963" spans="1:8" ht="33">
      <c r="A1963" s="160">
        <v>3</v>
      </c>
      <c r="B1963" s="160" t="s">
        <v>931</v>
      </c>
      <c r="C1963" s="157" t="s">
        <v>14</v>
      </c>
      <c r="D1963" s="159">
        <v>1</v>
      </c>
      <c r="E1963" s="159">
        <v>68.7</v>
      </c>
      <c r="F1963" s="159">
        <v>68.7</v>
      </c>
      <c r="G1963" s="160" t="s">
        <v>932</v>
      </c>
      <c r="H1963" s="34" t="s">
        <v>925</v>
      </c>
    </row>
    <row r="1964" spans="1:8" ht="33">
      <c r="A1964" s="160"/>
      <c r="B1964" s="160" t="s">
        <v>933</v>
      </c>
      <c r="C1964" s="157" t="s">
        <v>1875</v>
      </c>
      <c r="D1964" s="159">
        <v>1</v>
      </c>
      <c r="E1964" s="159"/>
      <c r="F1964" s="159">
        <v>2358.8099999999995</v>
      </c>
      <c r="G1964" s="160"/>
      <c r="H1964" s="34" t="s">
        <v>925</v>
      </c>
    </row>
    <row r="1965" spans="1:8" ht="33">
      <c r="A1965" s="160"/>
      <c r="B1965" s="160" t="s">
        <v>934</v>
      </c>
      <c r="C1965" s="157" t="s">
        <v>1875</v>
      </c>
      <c r="D1965" s="159"/>
      <c r="E1965" s="159"/>
      <c r="F1965" s="159">
        <v>2358.81</v>
      </c>
      <c r="G1965" s="160"/>
      <c r="H1965" s="34" t="s">
        <v>925</v>
      </c>
    </row>
    <row r="1966" spans="1:8" ht="33">
      <c r="A1966" s="160"/>
      <c r="B1966" s="160"/>
      <c r="C1966" s="157"/>
      <c r="D1966" s="159"/>
      <c r="E1966" s="159"/>
      <c r="F1966" s="159"/>
      <c r="G1966" s="160"/>
      <c r="H1966" s="34" t="s">
        <v>925</v>
      </c>
    </row>
    <row r="1967" spans="1:8" ht="42.75">
      <c r="A1967" s="160" t="s">
        <v>2157</v>
      </c>
      <c r="B1967" s="160" t="s">
        <v>1966</v>
      </c>
      <c r="C1967" s="157" t="s">
        <v>1875</v>
      </c>
      <c r="D1967" s="159">
        <v>1</v>
      </c>
      <c r="E1967" s="159">
        <v>2522.5500000000002</v>
      </c>
      <c r="F1967" s="159"/>
      <c r="G1967" s="160" t="s">
        <v>1967</v>
      </c>
      <c r="H1967" s="34" t="s">
        <v>925</v>
      </c>
    </row>
    <row r="1968" spans="1:8" ht="33">
      <c r="A1968" s="160">
        <v>1</v>
      </c>
      <c r="B1968" s="160" t="s">
        <v>1968</v>
      </c>
      <c r="C1968" s="157" t="s">
        <v>1875</v>
      </c>
      <c r="D1968" s="159">
        <v>1</v>
      </c>
      <c r="E1968" s="159">
        <v>2245.4</v>
      </c>
      <c r="F1968" s="159">
        <v>2245.4</v>
      </c>
      <c r="G1968" s="160" t="s">
        <v>1969</v>
      </c>
      <c r="H1968" s="34" t="s">
        <v>925</v>
      </c>
    </row>
    <row r="1969" spans="1:8" ht="28.5">
      <c r="A1969" s="160">
        <v>2</v>
      </c>
      <c r="B1969" s="160" t="s">
        <v>1970</v>
      </c>
      <c r="C1969" s="157" t="s">
        <v>1875</v>
      </c>
      <c r="D1969" s="159">
        <v>1</v>
      </c>
      <c r="E1969" s="159">
        <v>203.68</v>
      </c>
      <c r="F1969" s="159">
        <v>203.68</v>
      </c>
      <c r="G1969" s="160" t="s">
        <v>1971</v>
      </c>
    </row>
    <row r="1970" spans="1:8" ht="33">
      <c r="A1970" s="160">
        <v>3</v>
      </c>
      <c r="B1970" s="160" t="s">
        <v>931</v>
      </c>
      <c r="C1970" s="157" t="s">
        <v>14</v>
      </c>
      <c r="D1970" s="159">
        <v>1</v>
      </c>
      <c r="E1970" s="159">
        <v>73.47</v>
      </c>
      <c r="F1970" s="159">
        <v>73.47</v>
      </c>
      <c r="G1970" s="160" t="s">
        <v>932</v>
      </c>
      <c r="H1970" s="34" t="s">
        <v>925</v>
      </c>
    </row>
    <row r="1971" spans="1:8" ht="33">
      <c r="A1971" s="160"/>
      <c r="B1971" s="160" t="s">
        <v>933</v>
      </c>
      <c r="C1971" s="157" t="s">
        <v>1875</v>
      </c>
      <c r="D1971" s="159">
        <v>1</v>
      </c>
      <c r="E1971" s="159"/>
      <c r="F1971" s="159">
        <v>2522.5499999999997</v>
      </c>
      <c r="G1971" s="160"/>
      <c r="H1971" s="34" t="s">
        <v>925</v>
      </c>
    </row>
    <row r="1972" spans="1:8" ht="33">
      <c r="A1972" s="160"/>
      <c r="B1972" s="160" t="s">
        <v>934</v>
      </c>
      <c r="C1972" s="157" t="s">
        <v>1875</v>
      </c>
      <c r="D1972" s="159"/>
      <c r="E1972" s="159"/>
      <c r="F1972" s="159">
        <v>2522.5500000000002</v>
      </c>
      <c r="G1972" s="160"/>
      <c r="H1972" s="34" t="s">
        <v>925</v>
      </c>
    </row>
    <row r="1973" spans="1:8" ht="33">
      <c r="A1973" s="160"/>
      <c r="B1973" s="160"/>
      <c r="C1973" s="157"/>
      <c r="D1973" s="159"/>
      <c r="E1973" s="159"/>
      <c r="F1973" s="159"/>
      <c r="G1973" s="160"/>
      <c r="H1973" s="34" t="s">
        <v>925</v>
      </c>
    </row>
    <row r="1974" spans="1:8" ht="42.75">
      <c r="A1974" s="160" t="s">
        <v>2160</v>
      </c>
      <c r="B1974" s="160" t="s">
        <v>1973</v>
      </c>
      <c r="C1974" s="157" t="s">
        <v>1875</v>
      </c>
      <c r="D1974" s="159">
        <v>1</v>
      </c>
      <c r="E1974" s="159">
        <v>2645.35</v>
      </c>
      <c r="F1974" s="159"/>
      <c r="G1974" s="160" t="s">
        <v>1974</v>
      </c>
      <c r="H1974" s="34" t="s">
        <v>925</v>
      </c>
    </row>
    <row r="1975" spans="1:8" ht="42.75">
      <c r="A1975" s="160">
        <v>1</v>
      </c>
      <c r="B1975" s="160" t="s">
        <v>1975</v>
      </c>
      <c r="C1975" s="157" t="s">
        <v>1875</v>
      </c>
      <c r="D1975" s="159">
        <v>1</v>
      </c>
      <c r="E1975" s="159">
        <v>2354.69</v>
      </c>
      <c r="F1975" s="159">
        <v>2354.69</v>
      </c>
      <c r="G1975" s="160" t="s">
        <v>1976</v>
      </c>
      <c r="H1975" s="34" t="s">
        <v>925</v>
      </c>
    </row>
    <row r="1976" spans="1:8" ht="42.75">
      <c r="A1976" s="160">
        <v>2</v>
      </c>
      <c r="B1976" s="160" t="s">
        <v>1977</v>
      </c>
      <c r="C1976" s="157" t="s">
        <v>1875</v>
      </c>
      <c r="D1976" s="159">
        <v>1</v>
      </c>
      <c r="E1976" s="159">
        <v>213.61</v>
      </c>
      <c r="F1976" s="159">
        <v>213.61</v>
      </c>
      <c r="G1976" s="160" t="s">
        <v>1978</v>
      </c>
      <c r="H1976" s="34" t="s">
        <v>925</v>
      </c>
    </row>
    <row r="1977" spans="1:8" ht="33">
      <c r="A1977" s="160">
        <v>3</v>
      </c>
      <c r="B1977" s="160" t="s">
        <v>931</v>
      </c>
      <c r="C1977" s="157" t="s">
        <v>14</v>
      </c>
      <c r="D1977" s="159">
        <v>1</v>
      </c>
      <c r="E1977" s="159">
        <v>77.05</v>
      </c>
      <c r="F1977" s="159">
        <v>77.05</v>
      </c>
      <c r="G1977" s="160" t="s">
        <v>932</v>
      </c>
      <c r="H1977" s="34" t="s">
        <v>925</v>
      </c>
    </row>
    <row r="1978" spans="1:8" ht="33">
      <c r="A1978" s="160"/>
      <c r="B1978" s="160" t="s">
        <v>933</v>
      </c>
      <c r="C1978" s="157" t="s">
        <v>1875</v>
      </c>
      <c r="D1978" s="159">
        <v>1</v>
      </c>
      <c r="E1978" s="159"/>
      <c r="F1978" s="159">
        <v>2645.3500000000004</v>
      </c>
      <c r="G1978" s="160"/>
      <c r="H1978" s="34" t="s">
        <v>925</v>
      </c>
    </row>
    <row r="1979" spans="1:8" ht="33">
      <c r="A1979" s="160"/>
      <c r="B1979" s="160" t="s">
        <v>934</v>
      </c>
      <c r="C1979" s="157" t="s">
        <v>1875</v>
      </c>
      <c r="D1979" s="159"/>
      <c r="E1979" s="159"/>
      <c r="F1979" s="159">
        <v>2645.35</v>
      </c>
      <c r="G1979" s="160"/>
      <c r="H1979" s="34" t="s">
        <v>925</v>
      </c>
    </row>
    <row r="1980" spans="1:8" ht="33">
      <c r="A1980" s="160"/>
      <c r="B1980" s="160"/>
      <c r="C1980" s="157"/>
      <c r="D1980" s="159"/>
      <c r="E1980" s="159"/>
      <c r="F1980" s="159"/>
      <c r="G1980" s="160"/>
      <c r="H1980" s="34" t="s">
        <v>925</v>
      </c>
    </row>
    <row r="1981" spans="1:8" ht="42.75">
      <c r="A1981" s="160" t="s">
        <v>2168</v>
      </c>
      <c r="B1981" s="160" t="s">
        <v>1980</v>
      </c>
      <c r="C1981" s="157" t="s">
        <v>1875</v>
      </c>
      <c r="D1981" s="159">
        <v>1</v>
      </c>
      <c r="E1981" s="159">
        <v>4599.93</v>
      </c>
      <c r="F1981" s="159"/>
      <c r="G1981" s="160" t="s">
        <v>1981</v>
      </c>
      <c r="H1981" s="34" t="s">
        <v>925</v>
      </c>
    </row>
    <row r="1982" spans="1:8" ht="28.5">
      <c r="A1982" s="160">
        <v>1</v>
      </c>
      <c r="B1982" s="160" t="s">
        <v>1982</v>
      </c>
      <c r="C1982" s="157" t="s">
        <v>1875</v>
      </c>
      <c r="D1982" s="159">
        <v>1</v>
      </c>
      <c r="E1982" s="159">
        <v>4292.08</v>
      </c>
      <c r="F1982" s="159">
        <v>4292.08</v>
      </c>
      <c r="G1982" s="160" t="s">
        <v>1983</v>
      </c>
    </row>
    <row r="1983" spans="1:8" ht="33">
      <c r="A1983" s="160">
        <v>2</v>
      </c>
      <c r="B1983" s="160" t="s">
        <v>1984</v>
      </c>
      <c r="C1983" s="157" t="s">
        <v>1875</v>
      </c>
      <c r="D1983" s="159">
        <v>1</v>
      </c>
      <c r="E1983" s="159">
        <v>173.87</v>
      </c>
      <c r="F1983" s="159">
        <v>173.87</v>
      </c>
      <c r="G1983" s="160" t="s">
        <v>1985</v>
      </c>
      <c r="H1983" s="34" t="s">
        <v>925</v>
      </c>
    </row>
    <row r="1984" spans="1:8" ht="33">
      <c r="A1984" s="160">
        <v>3</v>
      </c>
      <c r="B1984" s="160" t="s">
        <v>931</v>
      </c>
      <c r="C1984" s="157" t="s">
        <v>14</v>
      </c>
      <c r="D1984" s="159">
        <v>1</v>
      </c>
      <c r="E1984" s="159">
        <v>133.97999999999999</v>
      </c>
      <c r="F1984" s="159">
        <v>133.97999999999999</v>
      </c>
      <c r="G1984" s="160" t="s">
        <v>932</v>
      </c>
      <c r="H1984" s="34" t="s">
        <v>925</v>
      </c>
    </row>
    <row r="1985" spans="1:8" ht="33">
      <c r="A1985" s="160"/>
      <c r="B1985" s="160" t="s">
        <v>933</v>
      </c>
      <c r="C1985" s="157" t="s">
        <v>1875</v>
      </c>
      <c r="D1985" s="159">
        <v>1</v>
      </c>
      <c r="E1985" s="159"/>
      <c r="F1985" s="159">
        <v>4599.9299999999994</v>
      </c>
      <c r="G1985" s="160"/>
      <c r="H1985" s="34" t="s">
        <v>925</v>
      </c>
    </row>
    <row r="1986" spans="1:8" ht="33">
      <c r="A1986" s="160"/>
      <c r="B1986" s="160" t="s">
        <v>934</v>
      </c>
      <c r="C1986" s="157" t="s">
        <v>1875</v>
      </c>
      <c r="D1986" s="159"/>
      <c r="E1986" s="159"/>
      <c r="F1986" s="159">
        <v>4599.93</v>
      </c>
      <c r="G1986" s="160"/>
      <c r="H1986" s="34" t="s">
        <v>925</v>
      </c>
    </row>
    <row r="1987" spans="1:8" ht="33">
      <c r="A1987" s="160"/>
      <c r="B1987" s="160"/>
      <c r="C1987" s="157"/>
      <c r="D1987" s="159"/>
      <c r="E1987" s="159"/>
      <c r="F1987" s="159"/>
      <c r="G1987" s="160"/>
      <c r="H1987" s="34" t="s">
        <v>925</v>
      </c>
    </row>
    <row r="1988" spans="1:8" ht="42.75">
      <c r="A1988" s="160" t="s">
        <v>2179</v>
      </c>
      <c r="B1988" s="160" t="s">
        <v>1987</v>
      </c>
      <c r="C1988" s="157" t="s">
        <v>1875</v>
      </c>
      <c r="D1988" s="159">
        <v>1</v>
      </c>
      <c r="E1988" s="159">
        <v>5101.3599999999997</v>
      </c>
      <c r="F1988" s="159"/>
      <c r="G1988" s="160" t="s">
        <v>1988</v>
      </c>
      <c r="H1988" s="34" t="s">
        <v>925</v>
      </c>
    </row>
    <row r="1989" spans="1:8" ht="33">
      <c r="A1989" s="160">
        <v>1</v>
      </c>
      <c r="B1989" s="160" t="s">
        <v>1989</v>
      </c>
      <c r="C1989" s="157" t="s">
        <v>1875</v>
      </c>
      <c r="D1989" s="159">
        <v>1</v>
      </c>
      <c r="E1989" s="159">
        <v>4768.9799999999996</v>
      </c>
      <c r="F1989" s="159">
        <v>4768.9799999999996</v>
      </c>
      <c r="G1989" s="160" t="s">
        <v>1990</v>
      </c>
      <c r="H1989" s="34" t="s">
        <v>925</v>
      </c>
    </row>
    <row r="1990" spans="1:8" ht="33">
      <c r="A1990" s="160">
        <v>2</v>
      </c>
      <c r="B1990" s="160" t="s">
        <v>1991</v>
      </c>
      <c r="C1990" s="157" t="s">
        <v>1875</v>
      </c>
      <c r="D1990" s="159">
        <v>1</v>
      </c>
      <c r="E1990" s="159">
        <v>183.8</v>
      </c>
      <c r="F1990" s="159">
        <v>183.8</v>
      </c>
      <c r="G1990" s="160" t="s">
        <v>1992</v>
      </c>
      <c r="H1990" s="34" t="s">
        <v>925</v>
      </c>
    </row>
    <row r="1991" spans="1:8" ht="33">
      <c r="A1991" s="160">
        <v>3</v>
      </c>
      <c r="B1991" s="160" t="s">
        <v>931</v>
      </c>
      <c r="C1991" s="157" t="s">
        <v>14</v>
      </c>
      <c r="D1991" s="159">
        <v>1</v>
      </c>
      <c r="E1991" s="159">
        <v>148.58000000000001</v>
      </c>
      <c r="F1991" s="159">
        <v>148.58000000000001</v>
      </c>
      <c r="G1991" s="160" t="s">
        <v>932</v>
      </c>
      <c r="H1991" s="34" t="s">
        <v>925</v>
      </c>
    </row>
    <row r="1992" spans="1:8" ht="33">
      <c r="A1992" s="160"/>
      <c r="B1992" s="160" t="s">
        <v>933</v>
      </c>
      <c r="C1992" s="157" t="s">
        <v>1875</v>
      </c>
      <c r="D1992" s="159">
        <v>1</v>
      </c>
      <c r="E1992" s="159"/>
      <c r="F1992" s="159">
        <v>5101.3599999999997</v>
      </c>
      <c r="G1992" s="160"/>
      <c r="H1992" s="34" t="s">
        <v>925</v>
      </c>
    </row>
    <row r="1993" spans="1:8" ht="33">
      <c r="A1993" s="160"/>
      <c r="B1993" s="160" t="s">
        <v>934</v>
      </c>
      <c r="C1993" s="157" t="s">
        <v>1875</v>
      </c>
      <c r="D1993" s="159"/>
      <c r="E1993" s="159"/>
      <c r="F1993" s="159">
        <v>5101.3599999999997</v>
      </c>
      <c r="G1993" s="160"/>
      <c r="H1993" s="34" t="s">
        <v>925</v>
      </c>
    </row>
    <row r="1994" spans="1:8" ht="16.5">
      <c r="A1994" s="160"/>
      <c r="B1994" s="160"/>
      <c r="C1994" s="157"/>
      <c r="D1994" s="159"/>
      <c r="E1994" s="159"/>
      <c r="F1994" s="159"/>
      <c r="G1994" s="160"/>
    </row>
    <row r="1995" spans="1:8" ht="42.75">
      <c r="A1995" s="160" t="s">
        <v>2190</v>
      </c>
      <c r="B1995" s="160" t="s">
        <v>1994</v>
      </c>
      <c r="C1995" s="157" t="s">
        <v>1875</v>
      </c>
      <c r="D1995" s="159">
        <v>1</v>
      </c>
      <c r="E1995" s="159">
        <v>5705.15</v>
      </c>
      <c r="F1995" s="159"/>
      <c r="G1995" s="160" t="s">
        <v>1995</v>
      </c>
      <c r="H1995" s="34" t="s">
        <v>925</v>
      </c>
    </row>
    <row r="1996" spans="1:8" ht="42.75">
      <c r="A1996" s="160">
        <v>1</v>
      </c>
      <c r="B1996" s="160" t="s">
        <v>1996</v>
      </c>
      <c r="C1996" s="157" t="s">
        <v>1875</v>
      </c>
      <c r="D1996" s="159">
        <v>1</v>
      </c>
      <c r="E1996" s="159">
        <v>5345.24</v>
      </c>
      <c r="F1996" s="159">
        <v>5345.24</v>
      </c>
      <c r="G1996" s="160" t="s">
        <v>1997</v>
      </c>
      <c r="H1996" s="34" t="s">
        <v>925</v>
      </c>
    </row>
    <row r="1997" spans="1:8" ht="42.75">
      <c r="A1997" s="160">
        <v>2</v>
      </c>
      <c r="B1997" s="160" t="s">
        <v>1998</v>
      </c>
      <c r="C1997" s="157" t="s">
        <v>1875</v>
      </c>
      <c r="D1997" s="159">
        <v>1</v>
      </c>
      <c r="E1997" s="159">
        <v>193.74</v>
      </c>
      <c r="F1997" s="159">
        <v>193.74</v>
      </c>
      <c r="G1997" s="160" t="s">
        <v>1999</v>
      </c>
      <c r="H1997" s="34" t="s">
        <v>925</v>
      </c>
    </row>
    <row r="1998" spans="1:8" ht="33">
      <c r="A1998" s="160">
        <v>3</v>
      </c>
      <c r="B1998" s="160" t="s">
        <v>931</v>
      </c>
      <c r="C1998" s="157" t="s">
        <v>14</v>
      </c>
      <c r="D1998" s="159">
        <v>1</v>
      </c>
      <c r="E1998" s="159">
        <v>166.17</v>
      </c>
      <c r="F1998" s="159">
        <v>166.17</v>
      </c>
      <c r="G1998" s="160" t="s">
        <v>932</v>
      </c>
      <c r="H1998" s="34" t="s">
        <v>925</v>
      </c>
    </row>
    <row r="1999" spans="1:8" ht="33">
      <c r="A1999" s="160"/>
      <c r="B1999" s="160" t="s">
        <v>933</v>
      </c>
      <c r="C1999" s="157" t="s">
        <v>1875</v>
      </c>
      <c r="D1999" s="159">
        <v>1</v>
      </c>
      <c r="E1999" s="159"/>
      <c r="F1999" s="159">
        <v>5705.15</v>
      </c>
      <c r="G1999" s="160"/>
      <c r="H1999" s="34" t="s">
        <v>925</v>
      </c>
    </row>
    <row r="2000" spans="1:8" ht="33">
      <c r="A2000" s="160"/>
      <c r="B2000" s="160" t="s">
        <v>934</v>
      </c>
      <c r="C2000" s="157" t="s">
        <v>1875</v>
      </c>
      <c r="D2000" s="159"/>
      <c r="E2000" s="159"/>
      <c r="F2000" s="159">
        <v>5705.15</v>
      </c>
      <c r="G2000" s="160"/>
      <c r="H2000" s="34" t="s">
        <v>925</v>
      </c>
    </row>
    <row r="2001" spans="1:8" ht="33">
      <c r="A2001" s="160"/>
      <c r="B2001" s="160"/>
      <c r="C2001" s="157"/>
      <c r="D2001" s="159"/>
      <c r="E2001" s="159"/>
      <c r="F2001" s="159"/>
      <c r="G2001" s="160"/>
      <c r="H2001" s="34" t="s">
        <v>925</v>
      </c>
    </row>
    <row r="2002" spans="1:8" ht="42.75">
      <c r="A2002" s="160" t="s">
        <v>2194</v>
      </c>
      <c r="B2002" s="160" t="s">
        <v>2001</v>
      </c>
      <c r="C2002" s="157" t="s">
        <v>1875</v>
      </c>
      <c r="D2002" s="159">
        <v>1</v>
      </c>
      <c r="E2002" s="159">
        <v>4651.1000000000004</v>
      </c>
      <c r="F2002" s="159"/>
      <c r="G2002" s="160" t="s">
        <v>2002</v>
      </c>
      <c r="H2002" s="34" t="s">
        <v>925</v>
      </c>
    </row>
    <row r="2003" spans="1:8" ht="33">
      <c r="A2003" s="160">
        <v>1</v>
      </c>
      <c r="B2003" s="160" t="s">
        <v>2003</v>
      </c>
      <c r="C2003" s="157" t="s">
        <v>1875</v>
      </c>
      <c r="D2003" s="159">
        <v>1</v>
      </c>
      <c r="E2003" s="159">
        <v>4341.76</v>
      </c>
      <c r="F2003" s="159">
        <v>4341.76</v>
      </c>
      <c r="G2003" s="160" t="s">
        <v>2004</v>
      </c>
      <c r="H2003" s="34" t="s">
        <v>925</v>
      </c>
    </row>
    <row r="2004" spans="1:8" ht="33">
      <c r="A2004" s="160">
        <v>2</v>
      </c>
      <c r="B2004" s="160" t="s">
        <v>2005</v>
      </c>
      <c r="C2004" s="157" t="s">
        <v>1875</v>
      </c>
      <c r="D2004" s="159">
        <v>1</v>
      </c>
      <c r="E2004" s="159">
        <v>173.87</v>
      </c>
      <c r="F2004" s="159">
        <v>173.87</v>
      </c>
      <c r="G2004" s="160" t="s">
        <v>2006</v>
      </c>
      <c r="H2004" s="34" t="s">
        <v>925</v>
      </c>
    </row>
    <row r="2005" spans="1:8" ht="33">
      <c r="A2005" s="160">
        <v>3</v>
      </c>
      <c r="B2005" s="160" t="s">
        <v>931</v>
      </c>
      <c r="C2005" s="157" t="s">
        <v>14</v>
      </c>
      <c r="D2005" s="159">
        <v>1</v>
      </c>
      <c r="E2005" s="159">
        <v>135.47</v>
      </c>
      <c r="F2005" s="159">
        <v>135.47</v>
      </c>
      <c r="G2005" s="160" t="s">
        <v>932</v>
      </c>
      <c r="H2005" s="34" t="s">
        <v>925</v>
      </c>
    </row>
    <row r="2006" spans="1:8" ht="16.5">
      <c r="A2006" s="160"/>
      <c r="B2006" s="160" t="s">
        <v>933</v>
      </c>
      <c r="C2006" s="157" t="s">
        <v>1875</v>
      </c>
      <c r="D2006" s="159">
        <v>1</v>
      </c>
      <c r="E2006" s="159"/>
      <c r="F2006" s="159">
        <v>4651.1000000000004</v>
      </c>
      <c r="G2006" s="160"/>
    </row>
    <row r="2007" spans="1:8" ht="33">
      <c r="A2007" s="160"/>
      <c r="B2007" s="160" t="s">
        <v>934</v>
      </c>
      <c r="C2007" s="157" t="s">
        <v>1875</v>
      </c>
      <c r="D2007" s="159"/>
      <c r="E2007" s="159"/>
      <c r="F2007" s="159">
        <v>4651.1000000000004</v>
      </c>
      <c r="G2007" s="160"/>
      <c r="H2007" s="34" t="s">
        <v>925</v>
      </c>
    </row>
    <row r="2008" spans="1:8" ht="33">
      <c r="A2008" s="160"/>
      <c r="B2008" s="160"/>
      <c r="C2008" s="157"/>
      <c r="D2008" s="159"/>
      <c r="E2008" s="159"/>
      <c r="F2008" s="159"/>
      <c r="G2008" s="160"/>
      <c r="H2008" s="34" t="s">
        <v>925</v>
      </c>
    </row>
    <row r="2009" spans="1:8" ht="42.75">
      <c r="A2009" s="160" t="s">
        <v>2203</v>
      </c>
      <c r="B2009" s="160" t="s">
        <v>2008</v>
      </c>
      <c r="C2009" s="157" t="s">
        <v>1875</v>
      </c>
      <c r="D2009" s="159">
        <v>1</v>
      </c>
      <c r="E2009" s="159">
        <v>5224.17</v>
      </c>
      <c r="F2009" s="159"/>
      <c r="G2009" s="160" t="s">
        <v>2009</v>
      </c>
      <c r="H2009" s="34" t="s">
        <v>925</v>
      </c>
    </row>
    <row r="2010" spans="1:8" ht="33">
      <c r="A2010" s="160">
        <v>1</v>
      </c>
      <c r="B2010" s="160" t="s">
        <v>2012</v>
      </c>
      <c r="C2010" s="157" t="s">
        <v>1875</v>
      </c>
      <c r="D2010" s="159">
        <v>1</v>
      </c>
      <c r="E2010" s="159">
        <v>183.8</v>
      </c>
      <c r="F2010" s="159">
        <v>183.8</v>
      </c>
      <c r="G2010" s="160" t="s">
        <v>2013</v>
      </c>
      <c r="H2010" s="34" t="s">
        <v>925</v>
      </c>
    </row>
    <row r="2011" spans="1:8" ht="33">
      <c r="A2011" s="160">
        <v>2</v>
      </c>
      <c r="B2011" s="160" t="s">
        <v>2010</v>
      </c>
      <c r="C2011" s="157" t="s">
        <v>1875</v>
      </c>
      <c r="D2011" s="159">
        <v>1</v>
      </c>
      <c r="E2011" s="159">
        <v>4888.21</v>
      </c>
      <c r="F2011" s="159">
        <v>4888.21</v>
      </c>
      <c r="G2011" s="160" t="s">
        <v>2011</v>
      </c>
      <c r="H2011" s="34" t="s">
        <v>925</v>
      </c>
    </row>
    <row r="2012" spans="1:8" ht="33">
      <c r="A2012" s="160">
        <v>3</v>
      </c>
      <c r="B2012" s="160" t="s">
        <v>931</v>
      </c>
      <c r="C2012" s="157" t="s">
        <v>14</v>
      </c>
      <c r="D2012" s="159">
        <v>1</v>
      </c>
      <c r="E2012" s="159">
        <v>152.16</v>
      </c>
      <c r="F2012" s="159">
        <v>152.16</v>
      </c>
      <c r="G2012" s="160" t="s">
        <v>932</v>
      </c>
      <c r="H2012" s="34" t="s">
        <v>925</v>
      </c>
    </row>
    <row r="2013" spans="1:8" ht="33">
      <c r="A2013" s="160"/>
      <c r="B2013" s="160" t="s">
        <v>933</v>
      </c>
      <c r="C2013" s="157" t="s">
        <v>1875</v>
      </c>
      <c r="D2013" s="159">
        <v>1</v>
      </c>
      <c r="E2013" s="159"/>
      <c r="F2013" s="159">
        <v>5224.17</v>
      </c>
      <c r="G2013" s="160"/>
      <c r="H2013" s="34" t="s">
        <v>925</v>
      </c>
    </row>
    <row r="2014" spans="1:8" ht="33">
      <c r="A2014" s="160"/>
      <c r="B2014" s="160" t="s">
        <v>934</v>
      </c>
      <c r="C2014" s="157" t="s">
        <v>1875</v>
      </c>
      <c r="D2014" s="159"/>
      <c r="E2014" s="159"/>
      <c r="F2014" s="159">
        <v>5224.17</v>
      </c>
      <c r="G2014" s="160"/>
      <c r="H2014" s="34" t="s">
        <v>925</v>
      </c>
    </row>
    <row r="2015" spans="1:8" ht="33">
      <c r="A2015" s="160"/>
      <c r="B2015" s="160"/>
      <c r="C2015" s="157"/>
      <c r="D2015" s="159"/>
      <c r="E2015" s="159"/>
      <c r="F2015" s="159"/>
      <c r="G2015" s="160"/>
      <c r="H2015" s="34" t="s">
        <v>925</v>
      </c>
    </row>
    <row r="2016" spans="1:8" ht="42.75">
      <c r="A2016" s="160" t="s">
        <v>2211</v>
      </c>
      <c r="B2016" s="160" t="s">
        <v>2015</v>
      </c>
      <c r="C2016" s="157" t="s">
        <v>1875</v>
      </c>
      <c r="D2016" s="159">
        <v>1</v>
      </c>
      <c r="E2016" s="159">
        <v>6042.85</v>
      </c>
      <c r="F2016" s="159"/>
      <c r="G2016" s="160" t="s">
        <v>2016</v>
      </c>
      <c r="H2016" s="34" t="s">
        <v>925</v>
      </c>
    </row>
    <row r="2017" spans="1:8" ht="42.75">
      <c r="A2017" s="160">
        <v>1</v>
      </c>
      <c r="B2017" s="160" t="s">
        <v>2017</v>
      </c>
      <c r="C2017" s="157" t="s">
        <v>1875</v>
      </c>
      <c r="D2017" s="159">
        <v>1</v>
      </c>
      <c r="E2017" s="159">
        <v>5673.1</v>
      </c>
      <c r="F2017" s="159">
        <v>5673.1</v>
      </c>
      <c r="G2017" s="160" t="s">
        <v>2018</v>
      </c>
      <c r="H2017" s="34" t="s">
        <v>925</v>
      </c>
    </row>
    <row r="2018" spans="1:8" ht="42.75">
      <c r="A2018" s="160">
        <v>2</v>
      </c>
      <c r="B2018" s="160" t="s">
        <v>2019</v>
      </c>
      <c r="C2018" s="157" t="s">
        <v>1875</v>
      </c>
      <c r="D2018" s="159">
        <v>1</v>
      </c>
      <c r="E2018" s="159">
        <v>193.74</v>
      </c>
      <c r="F2018" s="159">
        <v>193.74</v>
      </c>
      <c r="G2018" s="160" t="s">
        <v>2020</v>
      </c>
      <c r="H2018" s="34" t="s">
        <v>925</v>
      </c>
    </row>
    <row r="2019" spans="1:8" ht="28.5">
      <c r="A2019" s="160">
        <v>3</v>
      </c>
      <c r="B2019" s="160" t="s">
        <v>931</v>
      </c>
      <c r="C2019" s="157" t="s">
        <v>14</v>
      </c>
      <c r="D2019" s="159">
        <v>1</v>
      </c>
      <c r="E2019" s="159">
        <v>176.01</v>
      </c>
      <c r="F2019" s="159">
        <v>176.01</v>
      </c>
      <c r="G2019" s="160" t="s">
        <v>932</v>
      </c>
    </row>
    <row r="2020" spans="1:8" ht="33">
      <c r="A2020" s="160"/>
      <c r="B2020" s="160" t="s">
        <v>933</v>
      </c>
      <c r="C2020" s="157" t="s">
        <v>1875</v>
      </c>
      <c r="D2020" s="159">
        <v>1</v>
      </c>
      <c r="E2020" s="159"/>
      <c r="F2020" s="159">
        <v>6042.85</v>
      </c>
      <c r="G2020" s="160"/>
      <c r="H2020" s="34" t="s">
        <v>925</v>
      </c>
    </row>
    <row r="2021" spans="1:8" ht="33">
      <c r="A2021" s="160"/>
      <c r="B2021" s="160" t="s">
        <v>934</v>
      </c>
      <c r="C2021" s="157" t="s">
        <v>1875</v>
      </c>
      <c r="D2021" s="159"/>
      <c r="E2021" s="159"/>
      <c r="F2021" s="159">
        <v>6042.85</v>
      </c>
      <c r="G2021" s="160"/>
      <c r="H2021" s="34" t="s">
        <v>925</v>
      </c>
    </row>
    <row r="2022" spans="1:8" ht="33">
      <c r="A2022" s="160"/>
      <c r="B2022" s="160"/>
      <c r="C2022" s="157"/>
      <c r="D2022" s="159"/>
      <c r="E2022" s="159"/>
      <c r="F2022" s="159"/>
      <c r="G2022" s="160"/>
      <c r="H2022" s="34" t="s">
        <v>925</v>
      </c>
    </row>
    <row r="2023" spans="1:8" ht="42.75">
      <c r="A2023" s="160" t="s">
        <v>2218</v>
      </c>
      <c r="B2023" s="160" t="s">
        <v>4664</v>
      </c>
      <c r="C2023" s="157" t="s">
        <v>1689</v>
      </c>
      <c r="D2023" s="159">
        <v>1</v>
      </c>
      <c r="E2023" s="159">
        <v>6606.72</v>
      </c>
      <c r="F2023" s="159"/>
      <c r="G2023" s="160" t="s">
        <v>4966</v>
      </c>
      <c r="H2023" s="34" t="s">
        <v>925</v>
      </c>
    </row>
    <row r="2024" spans="1:8" ht="42.75">
      <c r="A2024" s="160">
        <v>1</v>
      </c>
      <c r="B2024" s="160" t="s">
        <v>4967</v>
      </c>
      <c r="C2024" s="157" t="s">
        <v>1875</v>
      </c>
      <c r="D2024" s="159">
        <v>1</v>
      </c>
      <c r="E2024" s="159">
        <v>6255.32</v>
      </c>
      <c r="F2024" s="159">
        <v>6255.32</v>
      </c>
      <c r="G2024" s="160" t="s">
        <v>4968</v>
      </c>
      <c r="H2024" s="34" t="s">
        <v>925</v>
      </c>
    </row>
    <row r="2025" spans="1:8" ht="33">
      <c r="A2025" s="160">
        <v>2</v>
      </c>
      <c r="B2025" s="160" t="s">
        <v>2026</v>
      </c>
      <c r="C2025" s="157" t="s">
        <v>14</v>
      </c>
      <c r="D2025" s="159">
        <v>1</v>
      </c>
      <c r="E2025" s="159">
        <v>158.97</v>
      </c>
      <c r="F2025" s="159">
        <v>158.97</v>
      </c>
      <c r="G2025" s="160" t="s">
        <v>2027</v>
      </c>
      <c r="H2025" s="34" t="s">
        <v>925</v>
      </c>
    </row>
    <row r="2026" spans="1:8" ht="33">
      <c r="A2026" s="160">
        <v>3</v>
      </c>
      <c r="B2026" s="160" t="s">
        <v>931</v>
      </c>
      <c r="C2026" s="157" t="s">
        <v>14</v>
      </c>
      <c r="D2026" s="159">
        <v>1</v>
      </c>
      <c r="E2026" s="159">
        <v>192.43</v>
      </c>
      <c r="F2026" s="159">
        <v>192.43</v>
      </c>
      <c r="G2026" s="160" t="s">
        <v>932</v>
      </c>
      <c r="H2026" s="34" t="s">
        <v>925</v>
      </c>
    </row>
    <row r="2027" spans="1:8" ht="33">
      <c r="A2027" s="160"/>
      <c r="B2027" s="160" t="s">
        <v>933</v>
      </c>
      <c r="C2027" s="157" t="s">
        <v>1689</v>
      </c>
      <c r="D2027" s="159">
        <v>1</v>
      </c>
      <c r="E2027" s="159"/>
      <c r="F2027" s="159">
        <v>6606.72</v>
      </c>
      <c r="G2027" s="160"/>
      <c r="H2027" s="34" t="s">
        <v>925</v>
      </c>
    </row>
    <row r="2028" spans="1:8" ht="33">
      <c r="A2028" s="160"/>
      <c r="B2028" s="160" t="s">
        <v>934</v>
      </c>
      <c r="C2028" s="157" t="s">
        <v>1689</v>
      </c>
      <c r="D2028" s="159"/>
      <c r="E2028" s="159"/>
      <c r="F2028" s="159">
        <v>6606.72</v>
      </c>
      <c r="G2028" s="160"/>
      <c r="H2028" s="34" t="s">
        <v>925</v>
      </c>
    </row>
    <row r="2029" spans="1:8" ht="33">
      <c r="A2029" s="160"/>
      <c r="B2029" s="160"/>
      <c r="C2029" s="157"/>
      <c r="D2029" s="159"/>
      <c r="E2029" s="159"/>
      <c r="F2029" s="159"/>
      <c r="G2029" s="160"/>
      <c r="H2029" s="34" t="s">
        <v>925</v>
      </c>
    </row>
    <row r="2030" spans="1:8" ht="42.75">
      <c r="A2030" s="160" t="s">
        <v>2225</v>
      </c>
      <c r="B2030" s="160" t="s">
        <v>4666</v>
      </c>
      <c r="C2030" s="157" t="s">
        <v>1689</v>
      </c>
      <c r="D2030" s="159">
        <v>1</v>
      </c>
      <c r="E2030" s="159">
        <v>7785.61</v>
      </c>
      <c r="F2030" s="159"/>
      <c r="G2030" s="160" t="s">
        <v>4969</v>
      </c>
      <c r="H2030" s="34" t="s">
        <v>925</v>
      </c>
    </row>
    <row r="2031" spans="1:8" ht="42.75">
      <c r="A2031" s="160">
        <v>1</v>
      </c>
      <c r="B2031" s="160" t="s">
        <v>4970</v>
      </c>
      <c r="C2031" s="157" t="s">
        <v>1875</v>
      </c>
      <c r="D2031" s="159">
        <v>1</v>
      </c>
      <c r="E2031" s="159">
        <v>7399.87</v>
      </c>
      <c r="F2031" s="159">
        <v>7399.87</v>
      </c>
      <c r="G2031" s="160" t="s">
        <v>4971</v>
      </c>
      <c r="H2031" s="34" t="s">
        <v>925</v>
      </c>
    </row>
    <row r="2032" spans="1:8" ht="28.5">
      <c r="A2032" s="160">
        <v>2</v>
      </c>
      <c r="B2032" s="160" t="s">
        <v>2026</v>
      </c>
      <c r="C2032" s="157" t="s">
        <v>14</v>
      </c>
      <c r="D2032" s="159">
        <v>1</v>
      </c>
      <c r="E2032" s="159">
        <v>158.97</v>
      </c>
      <c r="F2032" s="159">
        <v>158.97</v>
      </c>
      <c r="G2032" s="160" t="s">
        <v>2027</v>
      </c>
    </row>
    <row r="2033" spans="1:8" ht="33">
      <c r="A2033" s="160">
        <v>3</v>
      </c>
      <c r="B2033" s="160" t="s">
        <v>931</v>
      </c>
      <c r="C2033" s="157" t="s">
        <v>14</v>
      </c>
      <c r="D2033" s="159">
        <v>1</v>
      </c>
      <c r="E2033" s="159">
        <v>226.77</v>
      </c>
      <c r="F2033" s="159">
        <v>226.77</v>
      </c>
      <c r="G2033" s="160" t="s">
        <v>932</v>
      </c>
      <c r="H2033" s="34" t="s">
        <v>925</v>
      </c>
    </row>
    <row r="2034" spans="1:8" ht="33">
      <c r="A2034" s="160"/>
      <c r="B2034" s="160" t="s">
        <v>933</v>
      </c>
      <c r="C2034" s="157" t="s">
        <v>1689</v>
      </c>
      <c r="D2034" s="159">
        <v>1</v>
      </c>
      <c r="E2034" s="159"/>
      <c r="F2034" s="159">
        <v>7785.6100000000006</v>
      </c>
      <c r="G2034" s="160"/>
      <c r="H2034" s="34" t="s">
        <v>925</v>
      </c>
    </row>
    <row r="2035" spans="1:8" ht="33">
      <c r="A2035" s="160"/>
      <c r="B2035" s="160" t="s">
        <v>934</v>
      </c>
      <c r="C2035" s="157" t="s">
        <v>1689</v>
      </c>
      <c r="D2035" s="159"/>
      <c r="E2035" s="159"/>
      <c r="F2035" s="159">
        <v>7785.61</v>
      </c>
      <c r="G2035" s="160"/>
      <c r="H2035" s="34" t="s">
        <v>925</v>
      </c>
    </row>
    <row r="2036" spans="1:8" ht="33">
      <c r="A2036" s="160"/>
      <c r="B2036" s="160"/>
      <c r="C2036" s="157"/>
      <c r="D2036" s="159"/>
      <c r="E2036" s="159"/>
      <c r="F2036" s="159"/>
      <c r="G2036" s="160"/>
      <c r="H2036" s="34" t="s">
        <v>925</v>
      </c>
    </row>
    <row r="2037" spans="1:8" ht="42.75">
      <c r="A2037" s="160" t="s">
        <v>2228</v>
      </c>
      <c r="B2037" s="160" t="s">
        <v>4668</v>
      </c>
      <c r="C2037" s="157" t="s">
        <v>1689</v>
      </c>
      <c r="D2037" s="159">
        <v>1</v>
      </c>
      <c r="E2037" s="159">
        <v>8964.5</v>
      </c>
      <c r="F2037" s="159"/>
      <c r="G2037" s="160" t="s">
        <v>4972</v>
      </c>
      <c r="H2037" s="34" t="s">
        <v>925</v>
      </c>
    </row>
    <row r="2038" spans="1:8" ht="42.75">
      <c r="A2038" s="160">
        <v>1</v>
      </c>
      <c r="B2038" s="160" t="s">
        <v>4973</v>
      </c>
      <c r="C2038" s="157" t="s">
        <v>1875</v>
      </c>
      <c r="D2038" s="159">
        <v>1</v>
      </c>
      <c r="E2038" s="159">
        <v>8544.43</v>
      </c>
      <c r="F2038" s="159">
        <v>8544.43</v>
      </c>
      <c r="G2038" s="160" t="s">
        <v>4974</v>
      </c>
      <c r="H2038" s="34" t="s">
        <v>925</v>
      </c>
    </row>
    <row r="2039" spans="1:8" ht="33">
      <c r="A2039" s="160">
        <v>2</v>
      </c>
      <c r="B2039" s="160" t="s">
        <v>2026</v>
      </c>
      <c r="C2039" s="157" t="s">
        <v>14</v>
      </c>
      <c r="D2039" s="159">
        <v>1</v>
      </c>
      <c r="E2039" s="159">
        <v>158.97</v>
      </c>
      <c r="F2039" s="159">
        <v>158.97</v>
      </c>
      <c r="G2039" s="160" t="s">
        <v>2027</v>
      </c>
      <c r="H2039" s="34" t="s">
        <v>925</v>
      </c>
    </row>
    <row r="2040" spans="1:8" ht="33">
      <c r="A2040" s="160">
        <v>3</v>
      </c>
      <c r="B2040" s="160" t="s">
        <v>931</v>
      </c>
      <c r="C2040" s="157" t="s">
        <v>14</v>
      </c>
      <c r="D2040" s="159">
        <v>1</v>
      </c>
      <c r="E2040" s="159">
        <v>261.10000000000002</v>
      </c>
      <c r="F2040" s="159">
        <v>261.10000000000002</v>
      </c>
      <c r="G2040" s="160" t="s">
        <v>932</v>
      </c>
      <c r="H2040" s="34" t="s">
        <v>925</v>
      </c>
    </row>
    <row r="2041" spans="1:8" ht="33">
      <c r="A2041" s="160"/>
      <c r="B2041" s="160" t="s">
        <v>933</v>
      </c>
      <c r="C2041" s="157" t="s">
        <v>1689</v>
      </c>
      <c r="D2041" s="159">
        <v>1</v>
      </c>
      <c r="E2041" s="159"/>
      <c r="F2041" s="159">
        <v>8964.5</v>
      </c>
      <c r="G2041" s="160"/>
      <c r="H2041" s="34" t="s">
        <v>925</v>
      </c>
    </row>
    <row r="2042" spans="1:8" ht="33">
      <c r="A2042" s="160"/>
      <c r="B2042" s="160" t="s">
        <v>934</v>
      </c>
      <c r="C2042" s="157" t="s">
        <v>1689</v>
      </c>
      <c r="D2042" s="159"/>
      <c r="E2042" s="159"/>
      <c r="F2042" s="159">
        <v>8964.5</v>
      </c>
      <c r="G2042" s="160"/>
      <c r="H2042" s="34" t="s">
        <v>925</v>
      </c>
    </row>
    <row r="2043" spans="1:8" ht="33">
      <c r="A2043" s="160"/>
      <c r="B2043" s="160"/>
      <c r="C2043" s="157"/>
      <c r="D2043" s="159"/>
      <c r="E2043" s="159"/>
      <c r="F2043" s="159"/>
      <c r="G2043" s="160"/>
      <c r="H2043" s="34" t="s">
        <v>925</v>
      </c>
    </row>
    <row r="2044" spans="1:8" ht="33">
      <c r="A2044" s="160" t="s">
        <v>2231</v>
      </c>
      <c r="B2044" s="160" t="s">
        <v>2022</v>
      </c>
      <c r="C2044" s="157" t="s">
        <v>1689</v>
      </c>
      <c r="D2044" s="159">
        <v>1</v>
      </c>
      <c r="E2044" s="159">
        <v>2256.02</v>
      </c>
      <c r="F2044" s="159"/>
      <c r="G2044" s="160" t="s">
        <v>2023</v>
      </c>
      <c r="H2044" s="34" t="s">
        <v>925</v>
      </c>
    </row>
    <row r="2045" spans="1:8" ht="28.5">
      <c r="A2045" s="160">
        <v>1</v>
      </c>
      <c r="B2045" s="160" t="s">
        <v>2024</v>
      </c>
      <c r="C2045" s="157" t="s">
        <v>18</v>
      </c>
      <c r="D2045" s="159">
        <v>23.5</v>
      </c>
      <c r="E2045" s="159">
        <v>86.44</v>
      </c>
      <c r="F2045" s="159">
        <v>2031.34</v>
      </c>
      <c r="G2045" s="160" t="s">
        <v>2025</v>
      </c>
    </row>
    <row r="2046" spans="1:8" ht="33">
      <c r="A2046" s="160">
        <v>2</v>
      </c>
      <c r="B2046" s="160" t="s">
        <v>2026</v>
      </c>
      <c r="C2046" s="157" t="s">
        <v>14</v>
      </c>
      <c r="D2046" s="159">
        <v>1</v>
      </c>
      <c r="E2046" s="159">
        <v>158.97</v>
      </c>
      <c r="F2046" s="159">
        <v>158.97</v>
      </c>
      <c r="G2046" s="160" t="s">
        <v>2027</v>
      </c>
      <c r="H2046" s="34" t="s">
        <v>925</v>
      </c>
    </row>
    <row r="2047" spans="1:8" ht="33">
      <c r="A2047" s="160">
        <v>3</v>
      </c>
      <c r="B2047" s="160" t="s">
        <v>931</v>
      </c>
      <c r="C2047" s="157" t="s">
        <v>14</v>
      </c>
      <c r="D2047" s="159">
        <v>1</v>
      </c>
      <c r="E2047" s="159">
        <v>65.709999999999994</v>
      </c>
      <c r="F2047" s="159">
        <v>65.709999999999994</v>
      </c>
      <c r="G2047" s="160" t="s">
        <v>932</v>
      </c>
      <c r="H2047" s="34" t="s">
        <v>925</v>
      </c>
    </row>
    <row r="2048" spans="1:8" ht="33">
      <c r="A2048" s="160"/>
      <c r="B2048" s="160" t="s">
        <v>933</v>
      </c>
      <c r="C2048" s="157" t="s">
        <v>1689</v>
      </c>
      <c r="D2048" s="159">
        <v>1</v>
      </c>
      <c r="E2048" s="159"/>
      <c r="F2048" s="159">
        <v>2256.02</v>
      </c>
      <c r="G2048" s="160"/>
      <c r="H2048" s="34" t="s">
        <v>925</v>
      </c>
    </row>
    <row r="2049" spans="1:8" ht="33">
      <c r="A2049" s="160"/>
      <c r="B2049" s="160" t="s">
        <v>934</v>
      </c>
      <c r="C2049" s="157" t="s">
        <v>1689</v>
      </c>
      <c r="D2049" s="159"/>
      <c r="E2049" s="159"/>
      <c r="F2049" s="159">
        <v>2256.02</v>
      </c>
      <c r="G2049" s="160"/>
      <c r="H2049" s="34" t="s">
        <v>925</v>
      </c>
    </row>
    <row r="2050" spans="1:8" ht="33">
      <c r="A2050" s="160"/>
      <c r="B2050" s="160"/>
      <c r="C2050" s="157"/>
      <c r="D2050" s="159"/>
      <c r="E2050" s="159"/>
      <c r="F2050" s="159"/>
      <c r="G2050" s="160"/>
      <c r="H2050" s="34" t="s">
        <v>925</v>
      </c>
    </row>
    <row r="2051" spans="1:8" ht="33">
      <c r="A2051" s="160" t="s">
        <v>2236</v>
      </c>
      <c r="B2051" s="160" t="s">
        <v>2029</v>
      </c>
      <c r="C2051" s="157" t="s">
        <v>1689</v>
      </c>
      <c r="D2051" s="159">
        <v>1</v>
      </c>
      <c r="E2051" s="159">
        <v>2843.63</v>
      </c>
      <c r="F2051" s="159"/>
      <c r="G2051" s="160" t="s">
        <v>2030</v>
      </c>
      <c r="H2051" s="34" t="s">
        <v>925</v>
      </c>
    </row>
    <row r="2052" spans="1:8" ht="33">
      <c r="A2052" s="160">
        <v>1</v>
      </c>
      <c r="B2052" s="160" t="s">
        <v>2024</v>
      </c>
      <c r="C2052" s="157" t="s">
        <v>18</v>
      </c>
      <c r="D2052" s="159">
        <v>30.1</v>
      </c>
      <c r="E2052" s="159">
        <v>86.44</v>
      </c>
      <c r="F2052" s="159">
        <v>2601.84</v>
      </c>
      <c r="G2052" s="160" t="s">
        <v>2025</v>
      </c>
      <c r="H2052" s="34" t="s">
        <v>925</v>
      </c>
    </row>
    <row r="2053" spans="1:8" ht="33">
      <c r="A2053" s="160">
        <v>2</v>
      </c>
      <c r="B2053" s="160" t="s">
        <v>2026</v>
      </c>
      <c r="C2053" s="157" t="s">
        <v>14</v>
      </c>
      <c r="D2053" s="159">
        <v>1</v>
      </c>
      <c r="E2053" s="159">
        <v>158.97</v>
      </c>
      <c r="F2053" s="159">
        <v>158.97</v>
      </c>
      <c r="G2053" s="160" t="s">
        <v>2027</v>
      </c>
      <c r="H2053" s="34" t="s">
        <v>925</v>
      </c>
    </row>
    <row r="2054" spans="1:8" ht="33">
      <c r="A2054" s="160">
        <v>3</v>
      </c>
      <c r="B2054" s="160" t="s">
        <v>931</v>
      </c>
      <c r="C2054" s="157" t="s">
        <v>14</v>
      </c>
      <c r="D2054" s="159">
        <v>1</v>
      </c>
      <c r="E2054" s="159">
        <v>82.82</v>
      </c>
      <c r="F2054" s="159">
        <v>82.82</v>
      </c>
      <c r="G2054" s="160" t="s">
        <v>932</v>
      </c>
      <c r="H2054" s="34" t="s">
        <v>925</v>
      </c>
    </row>
    <row r="2055" spans="1:8" ht="33">
      <c r="A2055" s="160"/>
      <c r="B2055" s="160" t="s">
        <v>933</v>
      </c>
      <c r="C2055" s="157" t="s">
        <v>1689</v>
      </c>
      <c r="D2055" s="159">
        <v>1</v>
      </c>
      <c r="E2055" s="159"/>
      <c r="F2055" s="159">
        <v>2843.63</v>
      </c>
      <c r="G2055" s="160"/>
      <c r="H2055" s="34" t="s">
        <v>925</v>
      </c>
    </row>
    <row r="2056" spans="1:8" ht="33">
      <c r="A2056" s="160"/>
      <c r="B2056" s="160" t="s">
        <v>934</v>
      </c>
      <c r="C2056" s="157" t="s">
        <v>1689</v>
      </c>
      <c r="D2056" s="159"/>
      <c r="E2056" s="159"/>
      <c r="F2056" s="159">
        <v>2843.63</v>
      </c>
      <c r="G2056" s="160"/>
      <c r="H2056" s="34" t="s">
        <v>925</v>
      </c>
    </row>
    <row r="2057" spans="1:8" ht="33">
      <c r="A2057" s="160"/>
      <c r="B2057" s="160"/>
      <c r="C2057" s="157"/>
      <c r="D2057" s="159"/>
      <c r="E2057" s="159"/>
      <c r="F2057" s="159"/>
      <c r="G2057" s="160"/>
      <c r="H2057" s="34" t="s">
        <v>925</v>
      </c>
    </row>
    <row r="2058" spans="1:8" ht="28.5">
      <c r="A2058" s="160" t="s">
        <v>2244</v>
      </c>
      <c r="B2058" s="160" t="s">
        <v>2032</v>
      </c>
      <c r="C2058" s="157" t="s">
        <v>1689</v>
      </c>
      <c r="D2058" s="159">
        <v>1</v>
      </c>
      <c r="E2058" s="159">
        <v>3110.97</v>
      </c>
      <c r="F2058" s="159"/>
      <c r="G2058" s="160" t="s">
        <v>2033</v>
      </c>
    </row>
    <row r="2059" spans="1:8" ht="42.75">
      <c r="A2059" s="160">
        <v>1</v>
      </c>
      <c r="B2059" s="160" t="s">
        <v>2034</v>
      </c>
      <c r="C2059" s="157" t="s">
        <v>1875</v>
      </c>
      <c r="D2059" s="159">
        <v>1</v>
      </c>
      <c r="E2059" s="159">
        <v>2861.39</v>
      </c>
      <c r="F2059" s="159">
        <v>2861.39</v>
      </c>
      <c r="G2059" s="160" t="s">
        <v>2035</v>
      </c>
      <c r="H2059" s="34" t="s">
        <v>925</v>
      </c>
    </row>
    <row r="2060" spans="1:8" ht="33">
      <c r="A2060" s="160">
        <v>2</v>
      </c>
      <c r="B2060" s="160" t="s">
        <v>2026</v>
      </c>
      <c r="C2060" s="157" t="s">
        <v>14</v>
      </c>
      <c r="D2060" s="159">
        <v>1</v>
      </c>
      <c r="E2060" s="159">
        <v>158.97</v>
      </c>
      <c r="F2060" s="159">
        <v>158.97</v>
      </c>
      <c r="G2060" s="160" t="s">
        <v>2027</v>
      </c>
      <c r="H2060" s="34" t="s">
        <v>925</v>
      </c>
    </row>
    <row r="2061" spans="1:8" ht="33">
      <c r="A2061" s="160">
        <v>3</v>
      </c>
      <c r="B2061" s="160" t="s">
        <v>931</v>
      </c>
      <c r="C2061" s="157" t="s">
        <v>14</v>
      </c>
      <c r="D2061" s="159">
        <v>1</v>
      </c>
      <c r="E2061" s="159">
        <v>90.61</v>
      </c>
      <c r="F2061" s="159">
        <v>90.61</v>
      </c>
      <c r="G2061" s="160" t="s">
        <v>932</v>
      </c>
      <c r="H2061" s="34" t="s">
        <v>925</v>
      </c>
    </row>
    <row r="2062" spans="1:8" ht="33">
      <c r="A2062" s="160"/>
      <c r="B2062" s="160" t="s">
        <v>933</v>
      </c>
      <c r="C2062" s="157" t="s">
        <v>1689</v>
      </c>
      <c r="D2062" s="159">
        <v>1</v>
      </c>
      <c r="E2062" s="159"/>
      <c r="F2062" s="159">
        <v>3110.97</v>
      </c>
      <c r="G2062" s="160"/>
      <c r="H2062" s="34" t="s">
        <v>925</v>
      </c>
    </row>
    <row r="2063" spans="1:8" ht="33">
      <c r="A2063" s="160"/>
      <c r="B2063" s="160" t="s">
        <v>934</v>
      </c>
      <c r="C2063" s="157" t="s">
        <v>1689</v>
      </c>
      <c r="D2063" s="159"/>
      <c r="E2063" s="159"/>
      <c r="F2063" s="159">
        <v>3110.97</v>
      </c>
      <c r="G2063" s="160"/>
      <c r="H2063" s="34" t="s">
        <v>925</v>
      </c>
    </row>
    <row r="2064" spans="1:8" ht="33">
      <c r="A2064" s="160"/>
      <c r="B2064" s="160"/>
      <c r="C2064" s="157"/>
      <c r="D2064" s="159"/>
      <c r="E2064" s="159"/>
      <c r="F2064" s="159"/>
      <c r="G2064" s="160"/>
      <c r="H2064" s="34" t="s">
        <v>925</v>
      </c>
    </row>
    <row r="2065" spans="1:8" ht="33">
      <c r="A2065" s="160" t="s">
        <v>2255</v>
      </c>
      <c r="B2065" s="160" t="s">
        <v>2037</v>
      </c>
      <c r="C2065" s="157" t="s">
        <v>1689</v>
      </c>
      <c r="D2065" s="159">
        <v>1</v>
      </c>
      <c r="E2065" s="159">
        <v>3581.71</v>
      </c>
      <c r="F2065" s="159"/>
      <c r="G2065" s="160" t="s">
        <v>2038</v>
      </c>
      <c r="H2065" s="34" t="s">
        <v>925</v>
      </c>
    </row>
    <row r="2066" spans="1:8" ht="42.75">
      <c r="A2066" s="160">
        <v>1</v>
      </c>
      <c r="B2066" s="160" t="s">
        <v>2039</v>
      </c>
      <c r="C2066" s="157" t="s">
        <v>1875</v>
      </c>
      <c r="D2066" s="159">
        <v>1</v>
      </c>
      <c r="E2066" s="159">
        <v>3318.42</v>
      </c>
      <c r="F2066" s="159">
        <v>3318.42</v>
      </c>
      <c r="G2066" s="160" t="s">
        <v>2040</v>
      </c>
    </row>
    <row r="2067" spans="1:8" ht="33">
      <c r="A2067" s="160">
        <v>2</v>
      </c>
      <c r="B2067" s="160" t="s">
        <v>2026</v>
      </c>
      <c r="C2067" s="157" t="s">
        <v>14</v>
      </c>
      <c r="D2067" s="159">
        <v>1</v>
      </c>
      <c r="E2067" s="159">
        <v>158.97</v>
      </c>
      <c r="F2067" s="159">
        <v>158.97</v>
      </c>
      <c r="G2067" s="160" t="s">
        <v>2027</v>
      </c>
      <c r="H2067" s="34" t="s">
        <v>925</v>
      </c>
    </row>
    <row r="2068" spans="1:8" ht="33">
      <c r="A2068" s="160">
        <v>3</v>
      </c>
      <c r="B2068" s="160" t="s">
        <v>931</v>
      </c>
      <c r="C2068" s="157" t="s">
        <v>14</v>
      </c>
      <c r="D2068" s="159">
        <v>1</v>
      </c>
      <c r="E2068" s="159">
        <v>104.32</v>
      </c>
      <c r="F2068" s="159">
        <v>104.32</v>
      </c>
      <c r="G2068" s="160" t="s">
        <v>932</v>
      </c>
      <c r="H2068" s="34" t="s">
        <v>925</v>
      </c>
    </row>
    <row r="2069" spans="1:8" ht="33">
      <c r="A2069" s="160"/>
      <c r="B2069" s="160" t="s">
        <v>933</v>
      </c>
      <c r="C2069" s="157" t="s">
        <v>1689</v>
      </c>
      <c r="D2069" s="159">
        <v>1</v>
      </c>
      <c r="E2069" s="159"/>
      <c r="F2069" s="159">
        <v>3581.71</v>
      </c>
      <c r="G2069" s="160"/>
      <c r="H2069" s="34" t="s">
        <v>925</v>
      </c>
    </row>
    <row r="2070" spans="1:8" ht="33">
      <c r="A2070" s="160"/>
      <c r="B2070" s="160" t="s">
        <v>934</v>
      </c>
      <c r="C2070" s="157" t="s">
        <v>1689</v>
      </c>
      <c r="D2070" s="159"/>
      <c r="E2070" s="159"/>
      <c r="F2070" s="159">
        <v>3581.71</v>
      </c>
      <c r="G2070" s="160"/>
      <c r="H2070" s="34" t="s">
        <v>925</v>
      </c>
    </row>
    <row r="2071" spans="1:8" ht="33">
      <c r="A2071" s="160"/>
      <c r="B2071" s="160"/>
      <c r="C2071" s="157"/>
      <c r="D2071" s="159"/>
      <c r="E2071" s="159"/>
      <c r="F2071" s="159"/>
      <c r="G2071" s="160"/>
      <c r="H2071" s="34" t="s">
        <v>925</v>
      </c>
    </row>
    <row r="2072" spans="1:8" ht="33">
      <c r="A2072" s="160" t="s">
        <v>2258</v>
      </c>
      <c r="B2072" s="160" t="s">
        <v>2042</v>
      </c>
      <c r="C2072" s="157" t="s">
        <v>1689</v>
      </c>
      <c r="D2072" s="159">
        <v>1</v>
      </c>
      <c r="E2072" s="159">
        <v>3919.42</v>
      </c>
      <c r="F2072" s="159"/>
      <c r="G2072" s="160" t="s">
        <v>2043</v>
      </c>
      <c r="H2072" s="34" t="s">
        <v>925</v>
      </c>
    </row>
    <row r="2073" spans="1:8" ht="33">
      <c r="A2073" s="160">
        <v>1</v>
      </c>
      <c r="B2073" s="160" t="s">
        <v>2026</v>
      </c>
      <c r="C2073" s="157" t="s">
        <v>14</v>
      </c>
      <c r="D2073" s="159">
        <v>1</v>
      </c>
      <c r="E2073" s="159">
        <v>158.97</v>
      </c>
      <c r="F2073" s="159">
        <v>158.97</v>
      </c>
      <c r="G2073" s="160" t="s">
        <v>2027</v>
      </c>
      <c r="H2073" s="34" t="s">
        <v>925</v>
      </c>
    </row>
    <row r="2074" spans="1:8" ht="42.75">
      <c r="A2074" s="160">
        <v>2</v>
      </c>
      <c r="B2074" s="160" t="s">
        <v>2044</v>
      </c>
      <c r="C2074" s="157" t="s">
        <v>1875</v>
      </c>
      <c r="D2074" s="159">
        <v>1</v>
      </c>
      <c r="E2074" s="159">
        <v>3646.29</v>
      </c>
      <c r="F2074" s="159">
        <v>3646.29</v>
      </c>
      <c r="G2074" s="160" t="s">
        <v>2045</v>
      </c>
      <c r="H2074" s="34" t="s">
        <v>925</v>
      </c>
    </row>
    <row r="2075" spans="1:8" ht="33">
      <c r="A2075" s="160">
        <v>3</v>
      </c>
      <c r="B2075" s="160" t="s">
        <v>931</v>
      </c>
      <c r="C2075" s="157" t="s">
        <v>14</v>
      </c>
      <c r="D2075" s="159">
        <v>1</v>
      </c>
      <c r="E2075" s="159">
        <v>114.16</v>
      </c>
      <c r="F2075" s="159">
        <v>114.16</v>
      </c>
      <c r="G2075" s="160" t="s">
        <v>932</v>
      </c>
      <c r="H2075" s="34" t="s">
        <v>925</v>
      </c>
    </row>
    <row r="2076" spans="1:8" ht="33">
      <c r="A2076" s="160"/>
      <c r="B2076" s="160" t="s">
        <v>933</v>
      </c>
      <c r="C2076" s="157" t="s">
        <v>1689</v>
      </c>
      <c r="D2076" s="159">
        <v>1</v>
      </c>
      <c r="E2076" s="159"/>
      <c r="F2076" s="159">
        <v>3919.4199999999996</v>
      </c>
      <c r="G2076" s="160"/>
      <c r="H2076" s="34" t="s">
        <v>925</v>
      </c>
    </row>
    <row r="2077" spans="1:8" ht="33">
      <c r="A2077" s="160"/>
      <c r="B2077" s="160" t="s">
        <v>934</v>
      </c>
      <c r="C2077" s="157" t="s">
        <v>1689</v>
      </c>
      <c r="D2077" s="159"/>
      <c r="E2077" s="159"/>
      <c r="F2077" s="159">
        <v>3919.42</v>
      </c>
      <c r="G2077" s="160"/>
      <c r="H2077" s="34" t="s">
        <v>925</v>
      </c>
    </row>
    <row r="2078" spans="1:8" ht="16.5">
      <c r="A2078" s="160"/>
      <c r="B2078" s="160"/>
      <c r="C2078" s="157"/>
      <c r="D2078" s="159"/>
      <c r="E2078" s="159"/>
      <c r="F2078" s="159"/>
      <c r="G2078" s="160"/>
    </row>
    <row r="2079" spans="1:8" ht="33">
      <c r="A2079" s="160" t="s">
        <v>2261</v>
      </c>
      <c r="B2079" s="160" t="s">
        <v>2047</v>
      </c>
      <c r="C2079" s="157" t="s">
        <v>18</v>
      </c>
      <c r="D2079" s="159">
        <v>1000</v>
      </c>
      <c r="E2079" s="159">
        <v>88.24</v>
      </c>
      <c r="F2079" s="159"/>
      <c r="G2079" s="160" t="s">
        <v>2048</v>
      </c>
      <c r="H2079" s="34" t="s">
        <v>925</v>
      </c>
    </row>
    <row r="2080" spans="1:8" ht="33">
      <c r="A2080" s="160">
        <v>1</v>
      </c>
      <c r="B2080" s="160" t="s">
        <v>2049</v>
      </c>
      <c r="C2080" s="157" t="s">
        <v>18</v>
      </c>
      <c r="D2080" s="159">
        <v>1000</v>
      </c>
      <c r="E2080" s="159">
        <v>31.79</v>
      </c>
      <c r="F2080" s="159">
        <v>31790</v>
      </c>
      <c r="G2080" s="160" t="s">
        <v>2050</v>
      </c>
      <c r="H2080" s="34" t="s">
        <v>925</v>
      </c>
    </row>
    <row r="2081" spans="1:8" ht="33">
      <c r="A2081" s="160">
        <v>2</v>
      </c>
      <c r="B2081" s="160" t="s">
        <v>1437</v>
      </c>
      <c r="C2081" s="157" t="s">
        <v>18</v>
      </c>
      <c r="D2081" s="159">
        <v>1000</v>
      </c>
      <c r="E2081" s="159">
        <v>35.340000000000003</v>
      </c>
      <c r="F2081" s="159">
        <v>35340</v>
      </c>
      <c r="G2081" s="160" t="s">
        <v>4975</v>
      </c>
      <c r="H2081" s="34" t="s">
        <v>925</v>
      </c>
    </row>
    <row r="2082" spans="1:8" ht="42.75">
      <c r="A2082" s="160">
        <v>3</v>
      </c>
      <c r="B2082" s="160" t="s">
        <v>2051</v>
      </c>
      <c r="C2082" s="157" t="s">
        <v>18</v>
      </c>
      <c r="D2082" s="159">
        <v>1000</v>
      </c>
      <c r="E2082" s="159">
        <v>18.38</v>
      </c>
      <c r="F2082" s="159">
        <v>18380</v>
      </c>
      <c r="G2082" s="160" t="s">
        <v>2052</v>
      </c>
      <c r="H2082" s="34" t="s">
        <v>925</v>
      </c>
    </row>
    <row r="2083" spans="1:8" ht="33">
      <c r="A2083" s="160">
        <v>4</v>
      </c>
      <c r="B2083" s="160" t="s">
        <v>2026</v>
      </c>
      <c r="C2083" s="157" t="s">
        <v>14</v>
      </c>
      <c r="D2083" s="159">
        <v>1</v>
      </c>
      <c r="E2083" s="159">
        <v>158.97</v>
      </c>
      <c r="F2083" s="159">
        <v>158.97</v>
      </c>
      <c r="G2083" s="160" t="s">
        <v>2027</v>
      </c>
      <c r="H2083" s="34" t="s">
        <v>925</v>
      </c>
    </row>
    <row r="2084" spans="1:8" ht="33">
      <c r="A2084" s="160">
        <v>5</v>
      </c>
      <c r="B2084" s="160" t="s">
        <v>931</v>
      </c>
      <c r="C2084" s="157" t="s">
        <v>14</v>
      </c>
      <c r="D2084" s="159">
        <v>1</v>
      </c>
      <c r="E2084" s="159">
        <v>2570.0700000000002</v>
      </c>
      <c r="F2084" s="159">
        <v>2570.0700000000002</v>
      </c>
      <c r="G2084" s="160" t="s">
        <v>932</v>
      </c>
      <c r="H2084" s="34" t="s">
        <v>925</v>
      </c>
    </row>
    <row r="2085" spans="1:8" ht="33">
      <c r="A2085" s="160"/>
      <c r="B2085" s="160" t="s">
        <v>933</v>
      </c>
      <c r="C2085" s="157" t="s">
        <v>18</v>
      </c>
      <c r="D2085" s="159">
        <v>1000</v>
      </c>
      <c r="E2085" s="159"/>
      <c r="F2085" s="159">
        <v>88239.040000000008</v>
      </c>
      <c r="G2085" s="160"/>
      <c r="H2085" s="34" t="s">
        <v>925</v>
      </c>
    </row>
    <row r="2086" spans="1:8" ht="33">
      <c r="A2086" s="160"/>
      <c r="B2086" s="160" t="s">
        <v>934</v>
      </c>
      <c r="C2086" s="157" t="s">
        <v>18</v>
      </c>
      <c r="D2086" s="159"/>
      <c r="E2086" s="159"/>
      <c r="F2086" s="159">
        <v>88.24</v>
      </c>
      <c r="G2086" s="160"/>
      <c r="H2086" s="34" t="s">
        <v>925</v>
      </c>
    </row>
    <row r="2087" spans="1:8" ht="33">
      <c r="A2087" s="160"/>
      <c r="B2087" s="160"/>
      <c r="C2087" s="157"/>
      <c r="D2087" s="159"/>
      <c r="E2087" s="159"/>
      <c r="F2087" s="159"/>
      <c r="G2087" s="160"/>
      <c r="H2087" s="34" t="s">
        <v>925</v>
      </c>
    </row>
    <row r="2088" spans="1:8" ht="33">
      <c r="A2088" s="160" t="s">
        <v>2264</v>
      </c>
      <c r="B2088" s="160" t="s">
        <v>2054</v>
      </c>
      <c r="C2088" s="157" t="s">
        <v>1689</v>
      </c>
      <c r="D2088" s="159">
        <v>1</v>
      </c>
      <c r="E2088" s="159">
        <v>3591.94</v>
      </c>
      <c r="F2088" s="159"/>
      <c r="G2088" s="160" t="s">
        <v>2055</v>
      </c>
      <c r="H2088" s="34" t="s">
        <v>925</v>
      </c>
    </row>
    <row r="2089" spans="1:8" ht="42.75">
      <c r="A2089" s="160">
        <v>1</v>
      </c>
      <c r="B2089" s="160" t="s">
        <v>2056</v>
      </c>
      <c r="C2089" s="157" t="s">
        <v>1689</v>
      </c>
      <c r="D2089" s="159">
        <v>1</v>
      </c>
      <c r="E2089" s="159">
        <v>3328.35</v>
      </c>
      <c r="F2089" s="159">
        <v>3328.35</v>
      </c>
      <c r="G2089" s="160" t="s">
        <v>2057</v>
      </c>
      <c r="H2089" s="34" t="s">
        <v>925</v>
      </c>
    </row>
    <row r="2090" spans="1:8" ht="28.5">
      <c r="A2090" s="160">
        <v>2</v>
      </c>
      <c r="B2090" s="160" t="s">
        <v>2026</v>
      </c>
      <c r="C2090" s="157" t="s">
        <v>14</v>
      </c>
      <c r="D2090" s="159">
        <v>1</v>
      </c>
      <c r="E2090" s="159">
        <v>158.97</v>
      </c>
      <c r="F2090" s="159">
        <v>158.97</v>
      </c>
      <c r="G2090" s="160" t="s">
        <v>2027</v>
      </c>
    </row>
    <row r="2091" spans="1:8" ht="33">
      <c r="A2091" s="160">
        <v>3</v>
      </c>
      <c r="B2091" s="160" t="s">
        <v>931</v>
      </c>
      <c r="C2091" s="157" t="s">
        <v>14</v>
      </c>
      <c r="D2091" s="159">
        <v>1</v>
      </c>
      <c r="E2091" s="159">
        <v>104.62</v>
      </c>
      <c r="F2091" s="159">
        <v>104.62</v>
      </c>
      <c r="G2091" s="160" t="s">
        <v>932</v>
      </c>
      <c r="H2091" s="34" t="s">
        <v>925</v>
      </c>
    </row>
    <row r="2092" spans="1:8" ht="33">
      <c r="A2092" s="160"/>
      <c r="B2092" s="160" t="s">
        <v>933</v>
      </c>
      <c r="C2092" s="157" t="s">
        <v>1689</v>
      </c>
      <c r="D2092" s="159">
        <v>1</v>
      </c>
      <c r="E2092" s="159"/>
      <c r="F2092" s="159">
        <v>3591.9399999999996</v>
      </c>
      <c r="G2092" s="160"/>
      <c r="H2092" s="34" t="s">
        <v>925</v>
      </c>
    </row>
    <row r="2093" spans="1:8" ht="33">
      <c r="A2093" s="160"/>
      <c r="B2093" s="160" t="s">
        <v>934</v>
      </c>
      <c r="C2093" s="157" t="s">
        <v>1689</v>
      </c>
      <c r="D2093" s="159"/>
      <c r="E2093" s="159"/>
      <c r="F2093" s="159">
        <v>3591.94</v>
      </c>
      <c r="G2093" s="160"/>
      <c r="H2093" s="34" t="s">
        <v>925</v>
      </c>
    </row>
    <row r="2094" spans="1:8" ht="33">
      <c r="A2094" s="160"/>
      <c r="B2094" s="160"/>
      <c r="C2094" s="157"/>
      <c r="D2094" s="159"/>
      <c r="E2094" s="159"/>
      <c r="F2094" s="159"/>
      <c r="G2094" s="160"/>
      <c r="H2094" s="34" t="s">
        <v>925</v>
      </c>
    </row>
    <row r="2095" spans="1:8" ht="33">
      <c r="A2095" s="160" t="s">
        <v>2273</v>
      </c>
      <c r="B2095" s="160" t="s">
        <v>2059</v>
      </c>
      <c r="C2095" s="157" t="s">
        <v>1689</v>
      </c>
      <c r="D2095" s="159">
        <v>1</v>
      </c>
      <c r="E2095" s="159">
        <v>4103.6099999999997</v>
      </c>
      <c r="F2095" s="159"/>
      <c r="G2095" s="160" t="s">
        <v>2060</v>
      </c>
      <c r="H2095" s="34" t="s">
        <v>925</v>
      </c>
    </row>
    <row r="2096" spans="1:8" ht="42.75">
      <c r="A2096" s="160">
        <v>1</v>
      </c>
      <c r="B2096" s="160" t="s">
        <v>2061</v>
      </c>
      <c r="C2096" s="157" t="s">
        <v>1875</v>
      </c>
      <c r="D2096" s="159">
        <v>1</v>
      </c>
      <c r="E2096" s="159">
        <v>3825.12</v>
      </c>
      <c r="F2096" s="159">
        <v>3825.12</v>
      </c>
      <c r="G2096" s="160" t="s">
        <v>2062</v>
      </c>
      <c r="H2096" s="34" t="s">
        <v>925</v>
      </c>
    </row>
    <row r="2097" spans="1:8" ht="33">
      <c r="A2097" s="160">
        <v>2</v>
      </c>
      <c r="B2097" s="160" t="s">
        <v>2026</v>
      </c>
      <c r="C2097" s="157" t="s">
        <v>14</v>
      </c>
      <c r="D2097" s="159">
        <v>1</v>
      </c>
      <c r="E2097" s="159">
        <v>158.97</v>
      </c>
      <c r="F2097" s="159">
        <v>158.97</v>
      </c>
      <c r="G2097" s="160" t="s">
        <v>2027</v>
      </c>
      <c r="H2097" s="34" t="s">
        <v>925</v>
      </c>
    </row>
    <row r="2098" spans="1:8" ht="33">
      <c r="A2098" s="160">
        <v>3</v>
      </c>
      <c r="B2098" s="160" t="s">
        <v>931</v>
      </c>
      <c r="C2098" s="157" t="s">
        <v>14</v>
      </c>
      <c r="D2098" s="159">
        <v>1</v>
      </c>
      <c r="E2098" s="159">
        <v>119.52</v>
      </c>
      <c r="F2098" s="159">
        <v>119.52</v>
      </c>
      <c r="G2098" s="160" t="s">
        <v>932</v>
      </c>
      <c r="H2098" s="34" t="s">
        <v>925</v>
      </c>
    </row>
    <row r="2099" spans="1:8" ht="33">
      <c r="A2099" s="160"/>
      <c r="B2099" s="160" t="s">
        <v>933</v>
      </c>
      <c r="C2099" s="157" t="s">
        <v>1689</v>
      </c>
      <c r="D2099" s="159">
        <v>1</v>
      </c>
      <c r="E2099" s="159"/>
      <c r="F2099" s="159">
        <v>4103.6099999999997</v>
      </c>
      <c r="G2099" s="160"/>
      <c r="H2099" s="34" t="s">
        <v>925</v>
      </c>
    </row>
    <row r="2100" spans="1:8" ht="33">
      <c r="A2100" s="160"/>
      <c r="B2100" s="160" t="s">
        <v>934</v>
      </c>
      <c r="C2100" s="157" t="s">
        <v>1689</v>
      </c>
      <c r="D2100" s="159"/>
      <c r="E2100" s="159"/>
      <c r="F2100" s="159">
        <v>4103.6099999999997</v>
      </c>
      <c r="G2100" s="160"/>
      <c r="H2100" s="34" t="s">
        <v>925</v>
      </c>
    </row>
    <row r="2101" spans="1:8" ht="33">
      <c r="A2101" s="160"/>
      <c r="B2101" s="160"/>
      <c r="C2101" s="157"/>
      <c r="D2101" s="159"/>
      <c r="E2101" s="159"/>
      <c r="F2101" s="159"/>
      <c r="G2101" s="160"/>
      <c r="H2101" s="34" t="s">
        <v>925</v>
      </c>
    </row>
    <row r="2102" spans="1:8" ht="28.5">
      <c r="A2102" s="160" t="s">
        <v>2280</v>
      </c>
      <c r="B2102" s="160" t="s">
        <v>2064</v>
      </c>
      <c r="C2102" s="157" t="s">
        <v>1689</v>
      </c>
      <c r="D2102" s="159">
        <v>1</v>
      </c>
      <c r="E2102" s="159">
        <v>4717.62</v>
      </c>
      <c r="F2102" s="159"/>
      <c r="G2102" s="160" t="s">
        <v>2065</v>
      </c>
    </row>
    <row r="2103" spans="1:8" ht="42.75">
      <c r="A2103" s="160">
        <v>1</v>
      </c>
      <c r="B2103" s="160" t="s">
        <v>2066</v>
      </c>
      <c r="C2103" s="157" t="s">
        <v>1875</v>
      </c>
      <c r="D2103" s="159">
        <v>1</v>
      </c>
      <c r="E2103" s="159">
        <v>4421.24</v>
      </c>
      <c r="F2103" s="159">
        <v>4421.24</v>
      </c>
      <c r="G2103" s="160" t="s">
        <v>2067</v>
      </c>
      <c r="H2103" s="34" t="s">
        <v>925</v>
      </c>
    </row>
    <row r="2104" spans="1:8" ht="33">
      <c r="A2104" s="160">
        <v>2</v>
      </c>
      <c r="B2104" s="160" t="s">
        <v>2026</v>
      </c>
      <c r="C2104" s="157" t="s">
        <v>14</v>
      </c>
      <c r="D2104" s="159">
        <v>1</v>
      </c>
      <c r="E2104" s="159">
        <v>158.97</v>
      </c>
      <c r="F2104" s="159">
        <v>158.97</v>
      </c>
      <c r="G2104" s="160" t="s">
        <v>2027</v>
      </c>
      <c r="H2104" s="34" t="s">
        <v>925</v>
      </c>
    </row>
    <row r="2105" spans="1:8" ht="33">
      <c r="A2105" s="160">
        <v>3</v>
      </c>
      <c r="B2105" s="160" t="s">
        <v>931</v>
      </c>
      <c r="C2105" s="157" t="s">
        <v>14</v>
      </c>
      <c r="D2105" s="159">
        <v>1</v>
      </c>
      <c r="E2105" s="159">
        <v>137.41</v>
      </c>
      <c r="F2105" s="159">
        <v>137.41</v>
      </c>
      <c r="G2105" s="160" t="s">
        <v>932</v>
      </c>
      <c r="H2105" s="34" t="s">
        <v>925</v>
      </c>
    </row>
    <row r="2106" spans="1:8" ht="33">
      <c r="A2106" s="160"/>
      <c r="B2106" s="160" t="s">
        <v>933</v>
      </c>
      <c r="C2106" s="157" t="s">
        <v>1689</v>
      </c>
      <c r="D2106" s="159">
        <v>1</v>
      </c>
      <c r="E2106" s="159"/>
      <c r="F2106" s="159">
        <v>4717.62</v>
      </c>
      <c r="G2106" s="160"/>
      <c r="H2106" s="34" t="s">
        <v>925</v>
      </c>
    </row>
    <row r="2107" spans="1:8" ht="33">
      <c r="A2107" s="160"/>
      <c r="B2107" s="160" t="s">
        <v>934</v>
      </c>
      <c r="C2107" s="157" t="s">
        <v>1689</v>
      </c>
      <c r="D2107" s="159"/>
      <c r="E2107" s="159"/>
      <c r="F2107" s="159">
        <v>4717.62</v>
      </c>
      <c r="G2107" s="160"/>
      <c r="H2107" s="34" t="s">
        <v>925</v>
      </c>
    </row>
    <row r="2108" spans="1:8" ht="33">
      <c r="A2108" s="160"/>
      <c r="B2108" s="160"/>
      <c r="C2108" s="157"/>
      <c r="D2108" s="159"/>
      <c r="E2108" s="159"/>
      <c r="F2108" s="159"/>
      <c r="G2108" s="160"/>
      <c r="H2108" s="34" t="s">
        <v>925</v>
      </c>
    </row>
    <row r="2109" spans="1:8" ht="42.75">
      <c r="A2109" s="160" t="s">
        <v>2291</v>
      </c>
      <c r="B2109" s="160" t="s">
        <v>2069</v>
      </c>
      <c r="C2109" s="157" t="s">
        <v>1875</v>
      </c>
      <c r="D2109" s="159">
        <v>1</v>
      </c>
      <c r="E2109" s="159">
        <v>6713.14</v>
      </c>
      <c r="F2109" s="159"/>
      <c r="G2109" s="160" t="s">
        <v>2070</v>
      </c>
      <c r="H2109" s="34" t="s">
        <v>925</v>
      </c>
    </row>
    <row r="2110" spans="1:8" ht="33">
      <c r="A2110" s="160">
        <v>1</v>
      </c>
      <c r="B2110" s="160" t="s">
        <v>2071</v>
      </c>
      <c r="C2110" s="157" t="s">
        <v>1875</v>
      </c>
      <c r="D2110" s="159">
        <v>1</v>
      </c>
      <c r="E2110" s="159">
        <v>6169.87</v>
      </c>
      <c r="F2110" s="159">
        <v>6169.87</v>
      </c>
      <c r="G2110" s="160" t="s">
        <v>2072</v>
      </c>
      <c r="H2110" s="34" t="s">
        <v>925</v>
      </c>
    </row>
    <row r="2111" spans="1:8" ht="33">
      <c r="A2111" s="160">
        <v>2</v>
      </c>
      <c r="B2111" s="160" t="s">
        <v>2073</v>
      </c>
      <c r="C2111" s="157" t="s">
        <v>14</v>
      </c>
      <c r="D2111" s="159">
        <v>1</v>
      </c>
      <c r="E2111" s="159">
        <v>347.74</v>
      </c>
      <c r="F2111" s="159">
        <v>347.74</v>
      </c>
      <c r="G2111" s="160" t="s">
        <v>2074</v>
      </c>
      <c r="H2111" s="34" t="s">
        <v>925</v>
      </c>
    </row>
    <row r="2112" spans="1:8" ht="33">
      <c r="A2112" s="160">
        <v>3</v>
      </c>
      <c r="B2112" s="160" t="s">
        <v>931</v>
      </c>
      <c r="C2112" s="157" t="s">
        <v>14</v>
      </c>
      <c r="D2112" s="159">
        <v>1</v>
      </c>
      <c r="E2112" s="159">
        <v>195.53</v>
      </c>
      <c r="F2112" s="159">
        <v>195.53</v>
      </c>
      <c r="G2112" s="160" t="s">
        <v>932</v>
      </c>
      <c r="H2112" s="34" t="s">
        <v>925</v>
      </c>
    </row>
    <row r="2113" spans="1:8" ht="16.5">
      <c r="A2113" s="160"/>
      <c r="B2113" s="160" t="s">
        <v>933</v>
      </c>
      <c r="C2113" s="157" t="s">
        <v>1875</v>
      </c>
      <c r="D2113" s="159">
        <v>1</v>
      </c>
      <c r="E2113" s="159"/>
      <c r="F2113" s="159">
        <v>6713.1399999999994</v>
      </c>
      <c r="G2113" s="160"/>
    </row>
    <row r="2114" spans="1:8" ht="33">
      <c r="A2114" s="160"/>
      <c r="B2114" s="160" t="s">
        <v>934</v>
      </c>
      <c r="C2114" s="157" t="s">
        <v>1875</v>
      </c>
      <c r="D2114" s="159"/>
      <c r="E2114" s="159"/>
      <c r="F2114" s="159">
        <v>6713.14</v>
      </c>
      <c r="G2114" s="160"/>
      <c r="H2114" s="34" t="s">
        <v>925</v>
      </c>
    </row>
    <row r="2115" spans="1:8" ht="33">
      <c r="A2115" s="160"/>
      <c r="B2115" s="160"/>
      <c r="C2115" s="157"/>
      <c r="D2115" s="159"/>
      <c r="E2115" s="159"/>
      <c r="F2115" s="159"/>
      <c r="G2115" s="160"/>
      <c r="H2115" s="34" t="s">
        <v>925</v>
      </c>
    </row>
    <row r="2116" spans="1:8" ht="42.75">
      <c r="A2116" s="160" t="s">
        <v>2296</v>
      </c>
      <c r="B2116" s="160" t="s">
        <v>2076</v>
      </c>
      <c r="C2116" s="157" t="s">
        <v>1875</v>
      </c>
      <c r="D2116" s="159">
        <v>1</v>
      </c>
      <c r="E2116" s="159">
        <v>4165.01</v>
      </c>
      <c r="F2116" s="159"/>
      <c r="G2116" s="160" t="s">
        <v>2077</v>
      </c>
      <c r="H2116" s="34" t="s">
        <v>925</v>
      </c>
    </row>
    <row r="2117" spans="1:8" ht="33">
      <c r="A2117" s="160">
        <v>1</v>
      </c>
      <c r="B2117" s="160" t="s">
        <v>2078</v>
      </c>
      <c r="C2117" s="157" t="s">
        <v>1875</v>
      </c>
      <c r="D2117" s="159">
        <v>1</v>
      </c>
      <c r="E2117" s="159">
        <v>3795.32</v>
      </c>
      <c r="F2117" s="159">
        <v>3795.32</v>
      </c>
      <c r="G2117" s="160" t="s">
        <v>2079</v>
      </c>
      <c r="H2117" s="34" t="s">
        <v>925</v>
      </c>
    </row>
    <row r="2118" spans="1:8" ht="33">
      <c r="A2118" s="160">
        <v>2</v>
      </c>
      <c r="B2118" s="160" t="s">
        <v>2080</v>
      </c>
      <c r="C2118" s="157" t="s">
        <v>14</v>
      </c>
      <c r="D2118" s="159">
        <v>1</v>
      </c>
      <c r="E2118" s="159">
        <v>248.38</v>
      </c>
      <c r="F2118" s="159">
        <v>248.38</v>
      </c>
      <c r="G2118" s="160" t="s">
        <v>2081</v>
      </c>
      <c r="H2118" s="34" t="s">
        <v>925</v>
      </c>
    </row>
    <row r="2119" spans="1:8" ht="33">
      <c r="A2119" s="160">
        <v>3</v>
      </c>
      <c r="B2119" s="160" t="s">
        <v>931</v>
      </c>
      <c r="C2119" s="157" t="s">
        <v>14</v>
      </c>
      <c r="D2119" s="159">
        <v>1</v>
      </c>
      <c r="E2119" s="159">
        <v>121.31</v>
      </c>
      <c r="F2119" s="159">
        <v>121.31</v>
      </c>
      <c r="G2119" s="160" t="s">
        <v>932</v>
      </c>
      <c r="H2119" s="34" t="s">
        <v>925</v>
      </c>
    </row>
    <row r="2120" spans="1:8" ht="33">
      <c r="A2120" s="160"/>
      <c r="B2120" s="160" t="s">
        <v>933</v>
      </c>
      <c r="C2120" s="157" t="s">
        <v>1875</v>
      </c>
      <c r="D2120" s="159">
        <v>1</v>
      </c>
      <c r="E2120" s="159"/>
      <c r="F2120" s="159">
        <v>4165.01</v>
      </c>
      <c r="G2120" s="160"/>
      <c r="H2120" s="34" t="s">
        <v>925</v>
      </c>
    </row>
    <row r="2121" spans="1:8" ht="16.5">
      <c r="A2121" s="160"/>
      <c r="B2121" s="160" t="s">
        <v>934</v>
      </c>
      <c r="C2121" s="157" t="s">
        <v>1875</v>
      </c>
      <c r="D2121" s="159"/>
      <c r="E2121" s="159"/>
      <c r="F2121" s="159">
        <v>4165.01</v>
      </c>
      <c r="G2121" s="160"/>
    </row>
    <row r="2122" spans="1:8" ht="33">
      <c r="A2122" s="160"/>
      <c r="B2122" s="160"/>
      <c r="C2122" s="157"/>
      <c r="D2122" s="159"/>
      <c r="E2122" s="159"/>
      <c r="F2122" s="159"/>
      <c r="G2122" s="160"/>
      <c r="H2122" s="34" t="s">
        <v>925</v>
      </c>
    </row>
    <row r="2123" spans="1:8" ht="33">
      <c r="A2123" s="160" t="s">
        <v>2298</v>
      </c>
      <c r="B2123" s="160" t="s">
        <v>2083</v>
      </c>
      <c r="C2123" s="157" t="s">
        <v>1875</v>
      </c>
      <c r="D2123" s="159">
        <v>1</v>
      </c>
      <c r="E2123" s="159">
        <v>15994.87</v>
      </c>
      <c r="F2123" s="159"/>
      <c r="G2123" s="160" t="s">
        <v>2084</v>
      </c>
      <c r="H2123" s="34" t="s">
        <v>925</v>
      </c>
    </row>
    <row r="2124" spans="1:8" ht="33">
      <c r="A2124" s="160">
        <v>1</v>
      </c>
      <c r="B2124" s="160" t="s">
        <v>2085</v>
      </c>
      <c r="C2124" s="157" t="s">
        <v>1875</v>
      </c>
      <c r="D2124" s="159">
        <v>1</v>
      </c>
      <c r="E2124" s="159">
        <v>15201.13</v>
      </c>
      <c r="F2124" s="159">
        <v>15201.13</v>
      </c>
      <c r="G2124" s="160" t="s">
        <v>2086</v>
      </c>
      <c r="H2124" s="34" t="s">
        <v>925</v>
      </c>
    </row>
    <row r="2125" spans="1:8" ht="33">
      <c r="A2125" s="160">
        <v>2</v>
      </c>
      <c r="B2125" s="160" t="s">
        <v>2087</v>
      </c>
      <c r="C2125" s="157" t="s">
        <v>14</v>
      </c>
      <c r="D2125" s="159">
        <v>1</v>
      </c>
      <c r="E2125" s="159">
        <v>327.87</v>
      </c>
      <c r="F2125" s="159">
        <v>327.87</v>
      </c>
      <c r="G2125" s="160" t="s">
        <v>2088</v>
      </c>
      <c r="H2125" s="34" t="s">
        <v>925</v>
      </c>
    </row>
    <row r="2126" spans="1:8" ht="33">
      <c r="A2126" s="160">
        <v>3</v>
      </c>
      <c r="B2126" s="160" t="s">
        <v>931</v>
      </c>
      <c r="C2126" s="157" t="s">
        <v>14</v>
      </c>
      <c r="D2126" s="159">
        <v>1</v>
      </c>
      <c r="E2126" s="159">
        <v>465.87</v>
      </c>
      <c r="F2126" s="159">
        <v>465.87</v>
      </c>
      <c r="G2126" s="160" t="s">
        <v>932</v>
      </c>
      <c r="H2126" s="34" t="s">
        <v>925</v>
      </c>
    </row>
    <row r="2127" spans="1:8" ht="33">
      <c r="A2127" s="160"/>
      <c r="B2127" s="160" t="s">
        <v>933</v>
      </c>
      <c r="C2127" s="157" t="s">
        <v>1875</v>
      </c>
      <c r="D2127" s="159">
        <v>1</v>
      </c>
      <c r="E2127" s="159"/>
      <c r="F2127" s="159">
        <v>15994.87</v>
      </c>
      <c r="G2127" s="160"/>
      <c r="H2127" s="34" t="s">
        <v>925</v>
      </c>
    </row>
    <row r="2128" spans="1:8" ht="33">
      <c r="A2128" s="160"/>
      <c r="B2128" s="160" t="s">
        <v>934</v>
      </c>
      <c r="C2128" s="157" t="s">
        <v>1875</v>
      </c>
      <c r="D2128" s="159"/>
      <c r="E2128" s="159"/>
      <c r="F2128" s="159">
        <v>15994.87</v>
      </c>
      <c r="G2128" s="160"/>
      <c r="H2128" s="34" t="s">
        <v>925</v>
      </c>
    </row>
    <row r="2129" spans="1:8" ht="16.5">
      <c r="A2129" s="160"/>
      <c r="B2129" s="160"/>
      <c r="C2129" s="157"/>
      <c r="D2129" s="159"/>
      <c r="E2129" s="159"/>
      <c r="F2129" s="159"/>
      <c r="G2129" s="160"/>
    </row>
    <row r="2130" spans="1:8" ht="33">
      <c r="A2130" s="160" t="s">
        <v>2305</v>
      </c>
      <c r="B2130" s="160" t="s">
        <v>2090</v>
      </c>
      <c r="C2130" s="157" t="s">
        <v>1875</v>
      </c>
      <c r="D2130" s="159">
        <v>1</v>
      </c>
      <c r="E2130" s="159">
        <v>10734.88</v>
      </c>
      <c r="F2130" s="159"/>
      <c r="G2130" s="160" t="s">
        <v>2091</v>
      </c>
      <c r="H2130" s="34" t="s">
        <v>925</v>
      </c>
    </row>
    <row r="2131" spans="1:8" ht="33">
      <c r="A2131" s="160">
        <v>1</v>
      </c>
      <c r="B2131" s="160" t="s">
        <v>2092</v>
      </c>
      <c r="C2131" s="157" t="s">
        <v>1875</v>
      </c>
      <c r="D2131" s="159">
        <v>1</v>
      </c>
      <c r="E2131" s="159">
        <v>10144.02</v>
      </c>
      <c r="F2131" s="159">
        <v>10144.02</v>
      </c>
      <c r="G2131" s="160" t="s">
        <v>2093</v>
      </c>
      <c r="H2131" s="34" t="s">
        <v>925</v>
      </c>
    </row>
    <row r="2132" spans="1:8" ht="33">
      <c r="A2132" s="160">
        <v>2</v>
      </c>
      <c r="B2132" s="160" t="s">
        <v>2094</v>
      </c>
      <c r="C2132" s="157" t="s">
        <v>14</v>
      </c>
      <c r="D2132" s="159">
        <v>1</v>
      </c>
      <c r="E2132" s="159">
        <v>278.19</v>
      </c>
      <c r="F2132" s="159">
        <v>278.19</v>
      </c>
      <c r="G2132" s="160" t="s">
        <v>2095</v>
      </c>
      <c r="H2132" s="34" t="s">
        <v>925</v>
      </c>
    </row>
    <row r="2133" spans="1:8" ht="33">
      <c r="A2133" s="160">
        <v>3</v>
      </c>
      <c r="B2133" s="160" t="s">
        <v>931</v>
      </c>
      <c r="C2133" s="157" t="s">
        <v>14</v>
      </c>
      <c r="D2133" s="159">
        <v>1</v>
      </c>
      <c r="E2133" s="159">
        <v>312.67</v>
      </c>
      <c r="F2133" s="159">
        <v>312.67</v>
      </c>
      <c r="G2133" s="160" t="s">
        <v>932</v>
      </c>
      <c r="H2133" s="34" t="s">
        <v>925</v>
      </c>
    </row>
    <row r="2134" spans="1:8" ht="33">
      <c r="A2134" s="160"/>
      <c r="B2134" s="160" t="s">
        <v>933</v>
      </c>
      <c r="C2134" s="157" t="s">
        <v>1875</v>
      </c>
      <c r="D2134" s="159">
        <v>1</v>
      </c>
      <c r="E2134" s="159"/>
      <c r="F2134" s="159">
        <v>10734.880000000001</v>
      </c>
      <c r="G2134" s="160"/>
      <c r="H2134" s="34" t="s">
        <v>925</v>
      </c>
    </row>
    <row r="2135" spans="1:8" ht="33">
      <c r="A2135" s="160"/>
      <c r="B2135" s="160" t="s">
        <v>934</v>
      </c>
      <c r="C2135" s="157" t="s">
        <v>1875</v>
      </c>
      <c r="D2135" s="159"/>
      <c r="E2135" s="159"/>
      <c r="F2135" s="159">
        <v>10734.88</v>
      </c>
      <c r="G2135" s="160"/>
      <c r="H2135" s="34" t="s">
        <v>925</v>
      </c>
    </row>
    <row r="2136" spans="1:8" ht="33">
      <c r="A2136" s="160"/>
      <c r="B2136" s="160"/>
      <c r="C2136" s="157"/>
      <c r="D2136" s="159"/>
      <c r="E2136" s="159"/>
      <c r="F2136" s="159"/>
      <c r="G2136" s="160"/>
      <c r="H2136" s="34" t="s">
        <v>925</v>
      </c>
    </row>
    <row r="2137" spans="1:8" ht="33">
      <c r="A2137" s="160" t="s">
        <v>2312</v>
      </c>
      <c r="B2137" s="160" t="s">
        <v>2097</v>
      </c>
      <c r="C2137" s="157" t="s">
        <v>1875</v>
      </c>
      <c r="D2137" s="159">
        <v>1</v>
      </c>
      <c r="E2137" s="159">
        <v>10059.469999999999</v>
      </c>
      <c r="F2137" s="159"/>
      <c r="G2137" s="160" t="s">
        <v>2098</v>
      </c>
      <c r="H2137" s="34" t="s">
        <v>925</v>
      </c>
    </row>
    <row r="2138" spans="1:8" ht="28.5">
      <c r="A2138" s="160">
        <v>1</v>
      </c>
      <c r="B2138" s="160" t="s">
        <v>2099</v>
      </c>
      <c r="C2138" s="157" t="s">
        <v>1875</v>
      </c>
      <c r="D2138" s="159">
        <v>1</v>
      </c>
      <c r="E2138" s="159">
        <v>9488.2900000000009</v>
      </c>
      <c r="F2138" s="159">
        <v>9488.2900000000009</v>
      </c>
      <c r="G2138" s="160" t="s">
        <v>2100</v>
      </c>
    </row>
    <row r="2139" spans="1:8" ht="33">
      <c r="A2139" s="160">
        <v>2</v>
      </c>
      <c r="B2139" s="160" t="s">
        <v>2094</v>
      </c>
      <c r="C2139" s="157" t="s">
        <v>14</v>
      </c>
      <c r="D2139" s="159">
        <v>1</v>
      </c>
      <c r="E2139" s="159">
        <v>278.19</v>
      </c>
      <c r="F2139" s="159">
        <v>278.19</v>
      </c>
      <c r="G2139" s="160" t="s">
        <v>2095</v>
      </c>
      <c r="H2139" s="34" t="s">
        <v>925</v>
      </c>
    </row>
    <row r="2140" spans="1:8" ht="33">
      <c r="A2140" s="160">
        <v>3</v>
      </c>
      <c r="B2140" s="160" t="s">
        <v>931</v>
      </c>
      <c r="C2140" s="157" t="s">
        <v>14</v>
      </c>
      <c r="D2140" s="159">
        <v>1</v>
      </c>
      <c r="E2140" s="159">
        <v>292.99</v>
      </c>
      <c r="F2140" s="159">
        <v>292.99</v>
      </c>
      <c r="G2140" s="160" t="s">
        <v>932</v>
      </c>
      <c r="H2140" s="34" t="s">
        <v>925</v>
      </c>
    </row>
    <row r="2141" spans="1:8" ht="33">
      <c r="A2141" s="160"/>
      <c r="B2141" s="160" t="s">
        <v>933</v>
      </c>
      <c r="C2141" s="157" t="s">
        <v>1875</v>
      </c>
      <c r="D2141" s="159">
        <v>1</v>
      </c>
      <c r="E2141" s="159"/>
      <c r="F2141" s="159">
        <v>10059.470000000001</v>
      </c>
      <c r="G2141" s="160"/>
      <c r="H2141" s="34" t="s">
        <v>925</v>
      </c>
    </row>
    <row r="2142" spans="1:8" ht="33">
      <c r="A2142" s="160"/>
      <c r="B2142" s="160" t="s">
        <v>934</v>
      </c>
      <c r="C2142" s="157" t="s">
        <v>1875</v>
      </c>
      <c r="D2142" s="159"/>
      <c r="E2142" s="159"/>
      <c r="F2142" s="159">
        <v>10059.469999999999</v>
      </c>
      <c r="G2142" s="160"/>
      <c r="H2142" s="34" t="s">
        <v>925</v>
      </c>
    </row>
    <row r="2143" spans="1:8" ht="33">
      <c r="A2143" s="160"/>
      <c r="B2143" s="160"/>
      <c r="C2143" s="157"/>
      <c r="D2143" s="159"/>
      <c r="E2143" s="159"/>
      <c r="F2143" s="159"/>
      <c r="G2143" s="160"/>
      <c r="H2143" s="34" t="s">
        <v>925</v>
      </c>
    </row>
    <row r="2144" spans="1:8" ht="42.75">
      <c r="A2144" s="160" t="s">
        <v>2317</v>
      </c>
      <c r="B2144" s="160" t="s">
        <v>2102</v>
      </c>
      <c r="C2144" s="157" t="s">
        <v>1818</v>
      </c>
      <c r="D2144" s="159">
        <v>1</v>
      </c>
      <c r="E2144" s="159">
        <v>24182.720000000001</v>
      </c>
      <c r="F2144" s="159"/>
      <c r="G2144" s="160" t="s">
        <v>2103</v>
      </c>
      <c r="H2144" s="34" t="s">
        <v>925</v>
      </c>
    </row>
    <row r="2145" spans="1:8" ht="42.75">
      <c r="A2145" s="160">
        <v>1</v>
      </c>
      <c r="B2145" s="160" t="s">
        <v>2104</v>
      </c>
      <c r="C2145" s="157" t="s">
        <v>1818</v>
      </c>
      <c r="D2145" s="159">
        <v>1</v>
      </c>
      <c r="E2145" s="159">
        <v>22851.38</v>
      </c>
      <c r="F2145" s="159">
        <v>22851.38</v>
      </c>
      <c r="G2145" s="160" t="s">
        <v>2105</v>
      </c>
    </row>
    <row r="2146" spans="1:8" ht="33">
      <c r="A2146" s="160">
        <v>2</v>
      </c>
      <c r="B2146" s="160" t="s">
        <v>2106</v>
      </c>
      <c r="C2146" s="157" t="s">
        <v>14</v>
      </c>
      <c r="D2146" s="159">
        <v>1</v>
      </c>
      <c r="E2146" s="159">
        <v>198.71</v>
      </c>
      <c r="F2146" s="159">
        <v>198.71</v>
      </c>
      <c r="G2146" s="160" t="s">
        <v>2107</v>
      </c>
      <c r="H2146" s="34" t="s">
        <v>925</v>
      </c>
    </row>
    <row r="2147" spans="1:8" ht="33">
      <c r="A2147" s="160">
        <v>3</v>
      </c>
      <c r="B2147" s="160" t="s">
        <v>2108</v>
      </c>
      <c r="C2147" s="157" t="s">
        <v>14</v>
      </c>
      <c r="D2147" s="159">
        <v>1</v>
      </c>
      <c r="E2147" s="159">
        <v>496.77</v>
      </c>
      <c r="F2147" s="159">
        <v>496.77</v>
      </c>
      <c r="G2147" s="160" t="s">
        <v>2109</v>
      </c>
      <c r="H2147" s="34" t="s">
        <v>925</v>
      </c>
    </row>
    <row r="2148" spans="1:8" ht="33">
      <c r="A2148" s="160">
        <v>4</v>
      </c>
      <c r="B2148" s="160" t="s">
        <v>4871</v>
      </c>
      <c r="C2148" s="157" t="s">
        <v>927</v>
      </c>
      <c r="D2148" s="159">
        <v>1</v>
      </c>
      <c r="E2148" s="159">
        <v>279.18</v>
      </c>
      <c r="F2148" s="159">
        <v>279.18</v>
      </c>
      <c r="G2148" s="160" t="s">
        <v>4872</v>
      </c>
      <c r="H2148" s="34" t="s">
        <v>925</v>
      </c>
    </row>
    <row r="2149" spans="1:8" ht="33">
      <c r="A2149" s="160">
        <v>5</v>
      </c>
      <c r="B2149" s="160" t="s">
        <v>931</v>
      </c>
      <c r="C2149" s="157" t="s">
        <v>14</v>
      </c>
      <c r="D2149" s="159">
        <v>1</v>
      </c>
      <c r="E2149" s="159">
        <v>356.68</v>
      </c>
      <c r="F2149" s="159">
        <v>356.68</v>
      </c>
      <c r="G2149" s="160" t="s">
        <v>2110</v>
      </c>
      <c r="H2149" s="34" t="s">
        <v>925</v>
      </c>
    </row>
    <row r="2150" spans="1:8" ht="33">
      <c r="A2150" s="160"/>
      <c r="B2150" s="160" t="s">
        <v>933</v>
      </c>
      <c r="C2150" s="157" t="s">
        <v>1818</v>
      </c>
      <c r="D2150" s="159">
        <v>1</v>
      </c>
      <c r="E2150" s="159"/>
      <c r="F2150" s="159">
        <v>24182.720000000001</v>
      </c>
      <c r="G2150" s="160"/>
      <c r="H2150" s="34" t="s">
        <v>925</v>
      </c>
    </row>
    <row r="2151" spans="1:8" ht="33">
      <c r="A2151" s="160"/>
      <c r="B2151" s="160" t="s">
        <v>934</v>
      </c>
      <c r="C2151" s="157" t="s">
        <v>1818</v>
      </c>
      <c r="D2151" s="159"/>
      <c r="E2151" s="159"/>
      <c r="F2151" s="159">
        <v>24182.720000000001</v>
      </c>
      <c r="G2151" s="160"/>
      <c r="H2151" s="34" t="s">
        <v>925</v>
      </c>
    </row>
    <row r="2152" spans="1:8" ht="16.5">
      <c r="A2152" s="160"/>
      <c r="B2152" s="160"/>
      <c r="C2152" s="157"/>
      <c r="D2152" s="159"/>
      <c r="E2152" s="159"/>
      <c r="F2152" s="159"/>
      <c r="G2152" s="160"/>
    </row>
    <row r="2153" spans="1:8" ht="33">
      <c r="A2153" s="160" t="s">
        <v>2326</v>
      </c>
      <c r="B2153" s="160" t="s">
        <v>2112</v>
      </c>
      <c r="C2153" s="157" t="s">
        <v>1818</v>
      </c>
      <c r="D2153" s="159">
        <v>1</v>
      </c>
      <c r="E2153" s="159">
        <v>23395.84</v>
      </c>
      <c r="F2153" s="159"/>
      <c r="G2153" s="160" t="s">
        <v>2113</v>
      </c>
      <c r="H2153" s="34" t="s">
        <v>925</v>
      </c>
    </row>
    <row r="2154" spans="1:8" ht="42.75">
      <c r="A2154" s="160">
        <v>1</v>
      </c>
      <c r="B2154" s="160" t="s">
        <v>2104</v>
      </c>
      <c r="C2154" s="157" t="s">
        <v>1818</v>
      </c>
      <c r="D2154" s="159">
        <v>1</v>
      </c>
      <c r="E2154" s="159">
        <v>22851.38</v>
      </c>
      <c r="F2154" s="159">
        <v>22851.38</v>
      </c>
      <c r="G2154" s="160" t="s">
        <v>2105</v>
      </c>
      <c r="H2154" s="34" t="s">
        <v>925</v>
      </c>
    </row>
    <row r="2155" spans="1:8" ht="33">
      <c r="A2155" s="160">
        <v>2</v>
      </c>
      <c r="B2155" s="160" t="s">
        <v>2106</v>
      </c>
      <c r="C2155" s="157" t="s">
        <v>14</v>
      </c>
      <c r="D2155" s="159">
        <v>1</v>
      </c>
      <c r="E2155" s="159">
        <v>198.71</v>
      </c>
      <c r="F2155" s="159">
        <v>198.71</v>
      </c>
      <c r="G2155" s="160" t="s">
        <v>2107</v>
      </c>
      <c r="H2155" s="34" t="s">
        <v>925</v>
      </c>
    </row>
    <row r="2156" spans="1:8" ht="33">
      <c r="A2156" s="160">
        <v>3</v>
      </c>
      <c r="B2156" s="160" t="s">
        <v>931</v>
      </c>
      <c r="C2156" s="157" t="s">
        <v>14</v>
      </c>
      <c r="D2156" s="159">
        <v>1</v>
      </c>
      <c r="E2156" s="159">
        <v>345.75</v>
      </c>
      <c r="F2156" s="159">
        <v>345.75</v>
      </c>
      <c r="G2156" s="160" t="s">
        <v>2110</v>
      </c>
      <c r="H2156" s="34" t="s">
        <v>925</v>
      </c>
    </row>
    <row r="2157" spans="1:8" ht="33">
      <c r="A2157" s="160"/>
      <c r="B2157" s="160" t="s">
        <v>933</v>
      </c>
      <c r="C2157" s="157" t="s">
        <v>1818</v>
      </c>
      <c r="D2157" s="159">
        <v>1</v>
      </c>
      <c r="E2157" s="159"/>
      <c r="F2157" s="159">
        <v>23395.84</v>
      </c>
      <c r="G2157" s="160"/>
      <c r="H2157" s="34" t="s">
        <v>925</v>
      </c>
    </row>
    <row r="2158" spans="1:8" ht="33">
      <c r="A2158" s="160"/>
      <c r="B2158" s="160" t="s">
        <v>934</v>
      </c>
      <c r="C2158" s="157" t="s">
        <v>1818</v>
      </c>
      <c r="D2158" s="159"/>
      <c r="E2158" s="159"/>
      <c r="F2158" s="159">
        <v>23395.84</v>
      </c>
      <c r="G2158" s="160"/>
      <c r="H2158" s="34" t="s">
        <v>925</v>
      </c>
    </row>
    <row r="2159" spans="1:8" ht="16.5">
      <c r="A2159" s="160"/>
      <c r="B2159" s="160"/>
      <c r="C2159" s="157"/>
      <c r="D2159" s="159"/>
      <c r="E2159" s="159"/>
      <c r="F2159" s="159"/>
      <c r="G2159" s="160"/>
    </row>
    <row r="2160" spans="1:8" ht="33">
      <c r="A2160" s="160" t="s">
        <v>2337</v>
      </c>
      <c r="B2160" s="160" t="s">
        <v>2115</v>
      </c>
      <c r="C2160" s="157" t="s">
        <v>1875</v>
      </c>
      <c r="D2160" s="159">
        <v>1</v>
      </c>
      <c r="E2160" s="159">
        <v>4629.6099999999997</v>
      </c>
      <c r="F2160" s="159"/>
      <c r="G2160" s="160" t="s">
        <v>2116</v>
      </c>
      <c r="H2160" s="34" t="s">
        <v>925</v>
      </c>
    </row>
    <row r="2161" spans="1:8" ht="33">
      <c r="A2161" s="160">
        <v>1</v>
      </c>
      <c r="B2161" s="160" t="s">
        <v>2117</v>
      </c>
      <c r="C2161" s="157" t="s">
        <v>1875</v>
      </c>
      <c r="D2161" s="159">
        <v>1</v>
      </c>
      <c r="E2161" s="159">
        <v>3248.87</v>
      </c>
      <c r="F2161" s="159">
        <v>3248.87</v>
      </c>
      <c r="G2161" s="160" t="s">
        <v>2118</v>
      </c>
      <c r="H2161" s="34" t="s">
        <v>925</v>
      </c>
    </row>
    <row r="2162" spans="1:8" ht="33">
      <c r="A2162" s="160">
        <v>2</v>
      </c>
      <c r="B2162" s="160" t="s">
        <v>2119</v>
      </c>
      <c r="C2162" s="157" t="s">
        <v>1497</v>
      </c>
      <c r="D2162" s="159">
        <v>1</v>
      </c>
      <c r="E2162" s="159">
        <v>461</v>
      </c>
      <c r="F2162" s="159">
        <v>461</v>
      </c>
      <c r="G2162" s="160" t="s">
        <v>2120</v>
      </c>
      <c r="H2162" s="34" t="s">
        <v>925</v>
      </c>
    </row>
    <row r="2163" spans="1:8" ht="33">
      <c r="A2163" s="160">
        <v>3</v>
      </c>
      <c r="B2163" s="160" t="s">
        <v>2121</v>
      </c>
      <c r="C2163" s="157" t="s">
        <v>14</v>
      </c>
      <c r="D2163" s="159">
        <v>1</v>
      </c>
      <c r="E2163" s="159">
        <v>784.9</v>
      </c>
      <c r="F2163" s="159">
        <v>784.9</v>
      </c>
      <c r="G2163" s="160" t="s">
        <v>2122</v>
      </c>
      <c r="H2163" s="34" t="s">
        <v>925</v>
      </c>
    </row>
    <row r="2164" spans="1:8" ht="33">
      <c r="A2164" s="160">
        <v>4</v>
      </c>
      <c r="B2164" s="160" t="s">
        <v>931</v>
      </c>
      <c r="C2164" s="157" t="s">
        <v>14</v>
      </c>
      <c r="D2164" s="159">
        <v>1</v>
      </c>
      <c r="E2164" s="159">
        <v>134.84</v>
      </c>
      <c r="F2164" s="159">
        <v>134.84</v>
      </c>
      <c r="G2164" s="160" t="s">
        <v>932</v>
      </c>
      <c r="H2164" s="34" t="s">
        <v>925</v>
      </c>
    </row>
    <row r="2165" spans="1:8" ht="33">
      <c r="A2165" s="160"/>
      <c r="B2165" s="160" t="s">
        <v>933</v>
      </c>
      <c r="C2165" s="157" t="s">
        <v>1875</v>
      </c>
      <c r="D2165" s="159">
        <v>1</v>
      </c>
      <c r="E2165" s="159"/>
      <c r="F2165" s="159">
        <v>4629.6099999999997</v>
      </c>
      <c r="G2165" s="160"/>
      <c r="H2165" s="34" t="s">
        <v>925</v>
      </c>
    </row>
    <row r="2166" spans="1:8" ht="16.5">
      <c r="A2166" s="160"/>
      <c r="B2166" s="160" t="s">
        <v>934</v>
      </c>
      <c r="C2166" s="157" t="s">
        <v>1875</v>
      </c>
      <c r="D2166" s="159"/>
      <c r="E2166" s="159"/>
      <c r="F2166" s="159">
        <v>4629.6099999999997</v>
      </c>
      <c r="G2166" s="160"/>
    </row>
    <row r="2167" spans="1:8" ht="33">
      <c r="A2167" s="160"/>
      <c r="B2167" s="160"/>
      <c r="C2167" s="157"/>
      <c r="D2167" s="159"/>
      <c r="E2167" s="159"/>
      <c r="F2167" s="159"/>
      <c r="G2167" s="160"/>
      <c r="H2167" s="34" t="s">
        <v>925</v>
      </c>
    </row>
    <row r="2168" spans="1:8" ht="33">
      <c r="A2168" s="160" t="s">
        <v>2340</v>
      </c>
      <c r="B2168" s="160" t="s">
        <v>2124</v>
      </c>
      <c r="C2168" s="157" t="s">
        <v>1875</v>
      </c>
      <c r="D2168" s="159">
        <v>1</v>
      </c>
      <c r="E2168" s="159">
        <v>7560.47</v>
      </c>
      <c r="F2168" s="159"/>
      <c r="G2168" s="160" t="s">
        <v>2125</v>
      </c>
      <c r="H2168" s="34" t="s">
        <v>925</v>
      </c>
    </row>
    <row r="2169" spans="1:8" ht="33">
      <c r="A2169" s="160">
        <v>1</v>
      </c>
      <c r="B2169" s="160" t="s">
        <v>2126</v>
      </c>
      <c r="C2169" s="157" t="s">
        <v>1875</v>
      </c>
      <c r="D2169" s="159">
        <v>1</v>
      </c>
      <c r="E2169" s="159">
        <v>5633.36</v>
      </c>
      <c r="F2169" s="159">
        <v>5633.36</v>
      </c>
      <c r="G2169" s="160" t="s">
        <v>2127</v>
      </c>
      <c r="H2169" s="34" t="s">
        <v>925</v>
      </c>
    </row>
    <row r="2170" spans="1:8" ht="33">
      <c r="A2170" s="160">
        <v>2</v>
      </c>
      <c r="B2170" s="160" t="s">
        <v>2119</v>
      </c>
      <c r="C2170" s="157" t="s">
        <v>1497</v>
      </c>
      <c r="D2170" s="159">
        <v>2</v>
      </c>
      <c r="E2170" s="159">
        <v>461</v>
      </c>
      <c r="F2170" s="159">
        <v>922</v>
      </c>
      <c r="G2170" s="160" t="s">
        <v>2120</v>
      </c>
      <c r="H2170" s="34" t="s">
        <v>925</v>
      </c>
    </row>
    <row r="2171" spans="1:8" ht="33">
      <c r="A2171" s="160">
        <v>3</v>
      </c>
      <c r="B2171" s="160" t="s">
        <v>2121</v>
      </c>
      <c r="C2171" s="157" t="s">
        <v>14</v>
      </c>
      <c r="D2171" s="159">
        <v>1</v>
      </c>
      <c r="E2171" s="159">
        <v>784.9</v>
      </c>
      <c r="F2171" s="159">
        <v>784.9</v>
      </c>
      <c r="G2171" s="160" t="s">
        <v>2122</v>
      </c>
      <c r="H2171" s="34" t="s">
        <v>925</v>
      </c>
    </row>
    <row r="2172" spans="1:8" ht="33">
      <c r="A2172" s="160">
        <v>4</v>
      </c>
      <c r="B2172" s="160" t="s">
        <v>931</v>
      </c>
      <c r="C2172" s="157" t="s">
        <v>14</v>
      </c>
      <c r="D2172" s="159">
        <v>1</v>
      </c>
      <c r="E2172" s="159">
        <v>220.21</v>
      </c>
      <c r="F2172" s="159">
        <v>220.21</v>
      </c>
      <c r="G2172" s="160" t="s">
        <v>932</v>
      </c>
      <c r="H2172" s="34" t="s">
        <v>925</v>
      </c>
    </row>
    <row r="2173" spans="1:8" ht="16.5">
      <c r="A2173" s="160"/>
      <c r="B2173" s="160" t="s">
        <v>933</v>
      </c>
      <c r="C2173" s="157" t="s">
        <v>1875</v>
      </c>
      <c r="D2173" s="159">
        <v>1</v>
      </c>
      <c r="E2173" s="159"/>
      <c r="F2173" s="159">
        <v>7560.4699999999993</v>
      </c>
      <c r="G2173" s="160"/>
    </row>
    <row r="2174" spans="1:8" ht="33">
      <c r="A2174" s="160"/>
      <c r="B2174" s="160" t="s">
        <v>934</v>
      </c>
      <c r="C2174" s="157" t="s">
        <v>1875</v>
      </c>
      <c r="D2174" s="159"/>
      <c r="E2174" s="159"/>
      <c r="F2174" s="159">
        <v>7560.47</v>
      </c>
      <c r="G2174" s="160"/>
      <c r="H2174" s="34" t="s">
        <v>925</v>
      </c>
    </row>
    <row r="2175" spans="1:8" ht="33">
      <c r="A2175" s="160"/>
      <c r="B2175" s="160"/>
      <c r="C2175" s="157"/>
      <c r="D2175" s="159"/>
      <c r="E2175" s="159"/>
      <c r="F2175" s="159"/>
      <c r="G2175" s="160"/>
      <c r="H2175" s="34" t="s">
        <v>925</v>
      </c>
    </row>
    <row r="2176" spans="1:8" ht="33">
      <c r="A2176" s="160" t="s">
        <v>2345</v>
      </c>
      <c r="B2176" s="160" t="s">
        <v>2129</v>
      </c>
      <c r="C2176" s="157" t="s">
        <v>1875</v>
      </c>
      <c r="D2176" s="159">
        <v>1</v>
      </c>
      <c r="E2176" s="159">
        <v>3810.94</v>
      </c>
      <c r="F2176" s="159"/>
      <c r="G2176" s="160" t="s">
        <v>2130</v>
      </c>
      <c r="H2176" s="34" t="s">
        <v>925</v>
      </c>
    </row>
    <row r="2177" spans="1:8" ht="33">
      <c r="A2177" s="160">
        <v>1</v>
      </c>
      <c r="B2177" s="160" t="s">
        <v>2131</v>
      </c>
      <c r="C2177" s="157" t="s">
        <v>1875</v>
      </c>
      <c r="D2177" s="159">
        <v>1</v>
      </c>
      <c r="E2177" s="159">
        <v>2454.04</v>
      </c>
      <c r="F2177" s="159">
        <v>2454.04</v>
      </c>
      <c r="G2177" s="160" t="s">
        <v>2132</v>
      </c>
      <c r="H2177" s="34" t="s">
        <v>925</v>
      </c>
    </row>
    <row r="2178" spans="1:8" ht="33">
      <c r="A2178" s="160">
        <v>2</v>
      </c>
      <c r="B2178" s="160" t="s">
        <v>2119</v>
      </c>
      <c r="C2178" s="157" t="s">
        <v>1497</v>
      </c>
      <c r="D2178" s="159">
        <v>1</v>
      </c>
      <c r="E2178" s="159">
        <v>461</v>
      </c>
      <c r="F2178" s="159">
        <v>461</v>
      </c>
      <c r="G2178" s="160" t="s">
        <v>2120</v>
      </c>
      <c r="H2178" s="34" t="s">
        <v>925</v>
      </c>
    </row>
    <row r="2179" spans="1:8" ht="33">
      <c r="A2179" s="160">
        <v>3</v>
      </c>
      <c r="B2179" s="160" t="s">
        <v>2121</v>
      </c>
      <c r="C2179" s="157" t="s">
        <v>14</v>
      </c>
      <c r="D2179" s="159">
        <v>1</v>
      </c>
      <c r="E2179" s="159">
        <v>784.9</v>
      </c>
      <c r="F2179" s="159">
        <v>784.9</v>
      </c>
      <c r="G2179" s="160" t="s">
        <v>2122</v>
      </c>
      <c r="H2179" s="34" t="s">
        <v>925</v>
      </c>
    </row>
    <row r="2180" spans="1:8" ht="33">
      <c r="A2180" s="160">
        <v>4</v>
      </c>
      <c r="B2180" s="160" t="s">
        <v>931</v>
      </c>
      <c r="C2180" s="157" t="s">
        <v>14</v>
      </c>
      <c r="D2180" s="159">
        <v>1</v>
      </c>
      <c r="E2180" s="159">
        <v>111</v>
      </c>
      <c r="F2180" s="159">
        <v>111</v>
      </c>
      <c r="G2180" s="160" t="s">
        <v>932</v>
      </c>
      <c r="H2180" s="34" t="s">
        <v>925</v>
      </c>
    </row>
    <row r="2181" spans="1:8" ht="33">
      <c r="A2181" s="160"/>
      <c r="B2181" s="160" t="s">
        <v>933</v>
      </c>
      <c r="C2181" s="157" t="s">
        <v>1875</v>
      </c>
      <c r="D2181" s="159">
        <v>1</v>
      </c>
      <c r="E2181" s="159"/>
      <c r="F2181" s="159">
        <v>3810.94</v>
      </c>
      <c r="G2181" s="160"/>
      <c r="H2181" s="34" t="s">
        <v>925</v>
      </c>
    </row>
    <row r="2182" spans="1:8" ht="16.5">
      <c r="A2182" s="160"/>
      <c r="B2182" s="160" t="s">
        <v>934</v>
      </c>
      <c r="C2182" s="157" t="s">
        <v>1875</v>
      </c>
      <c r="D2182" s="159"/>
      <c r="E2182" s="159"/>
      <c r="F2182" s="159">
        <v>3810.94</v>
      </c>
      <c r="G2182" s="160"/>
    </row>
    <row r="2183" spans="1:8" ht="33">
      <c r="A2183" s="160"/>
      <c r="B2183" s="160"/>
      <c r="C2183" s="157"/>
      <c r="D2183" s="159"/>
      <c r="E2183" s="159"/>
      <c r="F2183" s="159"/>
      <c r="G2183" s="160"/>
      <c r="H2183" s="34" t="s">
        <v>925</v>
      </c>
    </row>
    <row r="2184" spans="1:8" ht="33">
      <c r="A2184" s="160" t="s">
        <v>2359</v>
      </c>
      <c r="B2184" s="160" t="s">
        <v>2134</v>
      </c>
      <c r="C2184" s="157" t="s">
        <v>1875</v>
      </c>
      <c r="D2184" s="159">
        <v>1</v>
      </c>
      <c r="E2184" s="159">
        <v>4639.84</v>
      </c>
      <c r="F2184" s="159"/>
      <c r="G2184" s="160" t="s">
        <v>2135</v>
      </c>
      <c r="H2184" s="34" t="s">
        <v>925</v>
      </c>
    </row>
    <row r="2185" spans="1:8" ht="33">
      <c r="A2185" s="160">
        <v>1</v>
      </c>
      <c r="B2185" s="160" t="s">
        <v>2136</v>
      </c>
      <c r="C2185" s="157" t="s">
        <v>1875</v>
      </c>
      <c r="D2185" s="159">
        <v>1</v>
      </c>
      <c r="E2185" s="159">
        <v>3467.45</v>
      </c>
      <c r="F2185" s="159">
        <v>3467.45</v>
      </c>
      <c r="G2185" s="160" t="s">
        <v>2137</v>
      </c>
      <c r="H2185" s="34" t="s">
        <v>925</v>
      </c>
    </row>
    <row r="2186" spans="1:8" ht="33">
      <c r="A2186" s="160">
        <v>2</v>
      </c>
      <c r="B2186" s="160" t="s">
        <v>2119</v>
      </c>
      <c r="C2186" s="157" t="s">
        <v>1497</v>
      </c>
      <c r="D2186" s="159">
        <v>1</v>
      </c>
      <c r="E2186" s="159">
        <v>461</v>
      </c>
      <c r="F2186" s="159">
        <v>461</v>
      </c>
      <c r="G2186" s="160" t="s">
        <v>2120</v>
      </c>
      <c r="H2186" s="34" t="s">
        <v>925</v>
      </c>
    </row>
    <row r="2187" spans="1:8" ht="33">
      <c r="A2187" s="160">
        <v>3</v>
      </c>
      <c r="B2187" s="160" t="s">
        <v>2138</v>
      </c>
      <c r="C2187" s="157" t="s">
        <v>14</v>
      </c>
      <c r="D2187" s="159">
        <v>1</v>
      </c>
      <c r="E2187" s="159">
        <v>576.25</v>
      </c>
      <c r="F2187" s="159">
        <v>576.25</v>
      </c>
      <c r="G2187" s="160" t="s">
        <v>2139</v>
      </c>
      <c r="H2187" s="34" t="s">
        <v>925</v>
      </c>
    </row>
    <row r="2188" spans="1:8" ht="33">
      <c r="A2188" s="160">
        <v>4</v>
      </c>
      <c r="B2188" s="160" t="s">
        <v>931</v>
      </c>
      <c r="C2188" s="157" t="s">
        <v>14</v>
      </c>
      <c r="D2188" s="159">
        <v>1</v>
      </c>
      <c r="E2188" s="159">
        <v>135.13999999999999</v>
      </c>
      <c r="F2188" s="159">
        <v>135.13999999999999</v>
      </c>
      <c r="G2188" s="160" t="s">
        <v>932</v>
      </c>
      <c r="H2188" s="34" t="s">
        <v>925</v>
      </c>
    </row>
    <row r="2189" spans="1:8" ht="33">
      <c r="A2189" s="160"/>
      <c r="B2189" s="160" t="s">
        <v>933</v>
      </c>
      <c r="C2189" s="157" t="s">
        <v>1875</v>
      </c>
      <c r="D2189" s="159">
        <v>1</v>
      </c>
      <c r="E2189" s="159"/>
      <c r="F2189" s="159">
        <v>4639.84</v>
      </c>
      <c r="G2189" s="160"/>
      <c r="H2189" s="34" t="s">
        <v>925</v>
      </c>
    </row>
    <row r="2190" spans="1:8" ht="33">
      <c r="A2190" s="160"/>
      <c r="B2190" s="160" t="s">
        <v>934</v>
      </c>
      <c r="C2190" s="157" t="s">
        <v>1875</v>
      </c>
      <c r="D2190" s="159"/>
      <c r="E2190" s="159"/>
      <c r="F2190" s="159">
        <v>4639.84</v>
      </c>
      <c r="G2190" s="160"/>
      <c r="H2190" s="34" t="s">
        <v>925</v>
      </c>
    </row>
    <row r="2191" spans="1:8" ht="33">
      <c r="A2191" s="160"/>
      <c r="B2191" s="160"/>
      <c r="C2191" s="157"/>
      <c r="D2191" s="159"/>
      <c r="E2191" s="159"/>
      <c r="F2191" s="159"/>
      <c r="G2191" s="160"/>
      <c r="H2191" s="34" t="s">
        <v>925</v>
      </c>
    </row>
    <row r="2192" spans="1:8" ht="28.5">
      <c r="A2192" s="160" t="s">
        <v>2371</v>
      </c>
      <c r="B2192" s="160" t="s">
        <v>2141</v>
      </c>
      <c r="C2192" s="157" t="s">
        <v>3</v>
      </c>
      <c r="D2192" s="159">
        <v>10</v>
      </c>
      <c r="E2192" s="159">
        <v>1626.81</v>
      </c>
      <c r="F2192" s="159"/>
      <c r="G2192" s="160" t="s">
        <v>2142</v>
      </c>
    </row>
    <row r="2193" spans="1:8" ht="33">
      <c r="A2193" s="160">
        <v>1</v>
      </c>
      <c r="B2193" s="160" t="s">
        <v>2143</v>
      </c>
      <c r="C2193" s="157" t="s">
        <v>3</v>
      </c>
      <c r="D2193" s="159">
        <v>10.5</v>
      </c>
      <c r="E2193" s="159">
        <v>745.15</v>
      </c>
      <c r="F2193" s="159">
        <v>7824.08</v>
      </c>
      <c r="G2193" s="160" t="s">
        <v>2144</v>
      </c>
      <c r="H2193" s="34" t="s">
        <v>925</v>
      </c>
    </row>
    <row r="2194" spans="1:8" ht="33">
      <c r="A2194" s="160">
        <v>2</v>
      </c>
      <c r="B2194" s="160" t="s">
        <v>1637</v>
      </c>
      <c r="C2194" s="157" t="s">
        <v>0</v>
      </c>
      <c r="D2194" s="159">
        <v>0.2</v>
      </c>
      <c r="E2194" s="159">
        <v>3547.09</v>
      </c>
      <c r="F2194" s="159">
        <v>709.42</v>
      </c>
      <c r="G2194" s="160" t="s">
        <v>4954</v>
      </c>
      <c r="H2194" s="34" t="s">
        <v>925</v>
      </c>
    </row>
    <row r="2195" spans="1:8" ht="33">
      <c r="A2195" s="160">
        <v>3</v>
      </c>
      <c r="B2195" s="160" t="s">
        <v>1210</v>
      </c>
      <c r="C2195" s="157" t="s">
        <v>927</v>
      </c>
      <c r="D2195" s="159">
        <v>9.6</v>
      </c>
      <c r="E2195" s="159">
        <v>407.35</v>
      </c>
      <c r="F2195" s="159">
        <v>3910.56</v>
      </c>
      <c r="G2195" s="160" t="s">
        <v>1211</v>
      </c>
      <c r="H2195" s="34" t="s">
        <v>925</v>
      </c>
    </row>
    <row r="2196" spans="1:8" ht="33">
      <c r="A2196" s="160">
        <v>4</v>
      </c>
      <c r="B2196" s="160" t="s">
        <v>4871</v>
      </c>
      <c r="C2196" s="157" t="s">
        <v>927</v>
      </c>
      <c r="D2196" s="159">
        <v>12</v>
      </c>
      <c r="E2196" s="159">
        <v>279.18</v>
      </c>
      <c r="F2196" s="159">
        <v>3350.16</v>
      </c>
      <c r="G2196" s="160" t="s">
        <v>4872</v>
      </c>
      <c r="H2196" s="34" t="s">
        <v>925</v>
      </c>
    </row>
    <row r="2197" spans="1:8" ht="33">
      <c r="A2197" s="160">
        <v>5</v>
      </c>
      <c r="B2197" s="160" t="s">
        <v>931</v>
      </c>
      <c r="C2197" s="157" t="s">
        <v>14</v>
      </c>
      <c r="D2197" s="159">
        <v>1</v>
      </c>
      <c r="E2197" s="159">
        <v>473.83</v>
      </c>
      <c r="F2197" s="159">
        <v>473.83</v>
      </c>
      <c r="G2197" s="160" t="s">
        <v>932</v>
      </c>
      <c r="H2197" s="34" t="s">
        <v>925</v>
      </c>
    </row>
    <row r="2198" spans="1:8" ht="33">
      <c r="A2198" s="160"/>
      <c r="B2198" s="160" t="s">
        <v>933</v>
      </c>
      <c r="C2198" s="157" t="s">
        <v>3</v>
      </c>
      <c r="D2198" s="159">
        <v>10</v>
      </c>
      <c r="E2198" s="159"/>
      <c r="F2198" s="159">
        <v>16268.05</v>
      </c>
      <c r="G2198" s="160"/>
      <c r="H2198" s="34" t="s">
        <v>925</v>
      </c>
    </row>
    <row r="2199" spans="1:8" ht="33">
      <c r="A2199" s="160"/>
      <c r="B2199" s="160" t="s">
        <v>934</v>
      </c>
      <c r="C2199" s="157" t="s">
        <v>3</v>
      </c>
      <c r="D2199" s="159"/>
      <c r="E2199" s="159"/>
      <c r="F2199" s="159">
        <v>1626.81</v>
      </c>
      <c r="G2199" s="160"/>
      <c r="H2199" s="34" t="s">
        <v>925</v>
      </c>
    </row>
    <row r="2200" spans="1:8" ht="33">
      <c r="A2200" s="160"/>
      <c r="B2200" s="160"/>
      <c r="C2200" s="157"/>
      <c r="D2200" s="159"/>
      <c r="E2200" s="159"/>
      <c r="F2200" s="159"/>
      <c r="G2200" s="160"/>
      <c r="H2200" s="34" t="s">
        <v>925</v>
      </c>
    </row>
    <row r="2201" spans="1:8" ht="33">
      <c r="A2201" s="160" t="s">
        <v>2378</v>
      </c>
      <c r="B2201" s="160" t="s">
        <v>3641</v>
      </c>
      <c r="C2201" s="157" t="s">
        <v>1875</v>
      </c>
      <c r="D2201" s="159">
        <v>1</v>
      </c>
      <c r="E2201" s="159">
        <v>3417.96</v>
      </c>
      <c r="F2201" s="159"/>
      <c r="G2201" s="160" t="s">
        <v>4976</v>
      </c>
      <c r="H2201" s="34" t="s">
        <v>925</v>
      </c>
    </row>
    <row r="2202" spans="1:8" ht="28.5">
      <c r="A2202" s="160">
        <v>1</v>
      </c>
      <c r="B2202" s="160" t="s">
        <v>4025</v>
      </c>
      <c r="C2202" s="157" t="s">
        <v>1875</v>
      </c>
      <c r="D2202" s="159">
        <v>1</v>
      </c>
      <c r="E2202" s="159">
        <v>2980.61</v>
      </c>
      <c r="F2202" s="159">
        <v>2980.61</v>
      </c>
      <c r="G2202" s="160" t="s">
        <v>4026</v>
      </c>
    </row>
    <row r="2203" spans="1:8" ht="33">
      <c r="A2203" s="160">
        <v>2</v>
      </c>
      <c r="B2203" s="160" t="s">
        <v>4027</v>
      </c>
      <c r="C2203" s="157" t="s">
        <v>3</v>
      </c>
      <c r="D2203" s="159">
        <v>0.3</v>
      </c>
      <c r="E2203" s="159">
        <v>496.77</v>
      </c>
      <c r="F2203" s="159">
        <v>149.03</v>
      </c>
      <c r="G2203" s="160" t="s">
        <v>4028</v>
      </c>
      <c r="H2203" s="34" t="s">
        <v>925</v>
      </c>
    </row>
    <row r="2204" spans="1:8" ht="33">
      <c r="A2204" s="160">
        <v>3</v>
      </c>
      <c r="B2204" s="160" t="s">
        <v>4029</v>
      </c>
      <c r="C2204" s="157" t="s">
        <v>14</v>
      </c>
      <c r="D2204" s="159">
        <v>1</v>
      </c>
      <c r="E2204" s="159">
        <v>89.42</v>
      </c>
      <c r="F2204" s="159">
        <v>89.42</v>
      </c>
      <c r="G2204" s="160" t="s">
        <v>4030</v>
      </c>
      <c r="H2204" s="34" t="s">
        <v>925</v>
      </c>
    </row>
    <row r="2205" spans="1:8" ht="33">
      <c r="A2205" s="160">
        <v>4</v>
      </c>
      <c r="B2205" s="160" t="s">
        <v>4031</v>
      </c>
      <c r="C2205" s="157" t="s">
        <v>14</v>
      </c>
      <c r="D2205" s="159">
        <v>1</v>
      </c>
      <c r="E2205" s="159">
        <v>99.35</v>
      </c>
      <c r="F2205" s="159">
        <v>99.35</v>
      </c>
      <c r="G2205" s="160" t="s">
        <v>4977</v>
      </c>
      <c r="H2205" s="34" t="s">
        <v>925</v>
      </c>
    </row>
    <row r="2206" spans="1:8" ht="33">
      <c r="A2206" s="160">
        <v>5</v>
      </c>
      <c r="B2206" s="160" t="s">
        <v>931</v>
      </c>
      <c r="C2206" s="157" t="s">
        <v>14</v>
      </c>
      <c r="D2206" s="159">
        <v>1</v>
      </c>
      <c r="E2206" s="159">
        <v>99.55</v>
      </c>
      <c r="F2206" s="159">
        <v>99.55</v>
      </c>
      <c r="G2206" s="160" t="s">
        <v>932</v>
      </c>
      <c r="H2206" s="34" t="s">
        <v>925</v>
      </c>
    </row>
    <row r="2207" spans="1:8" ht="33">
      <c r="A2207" s="160"/>
      <c r="B2207" s="160" t="s">
        <v>933</v>
      </c>
      <c r="C2207" s="157" t="s">
        <v>1875</v>
      </c>
      <c r="D2207" s="159">
        <v>1</v>
      </c>
      <c r="E2207" s="159"/>
      <c r="F2207" s="159">
        <v>3417.9600000000005</v>
      </c>
      <c r="G2207" s="160"/>
      <c r="H2207" s="34" t="s">
        <v>925</v>
      </c>
    </row>
    <row r="2208" spans="1:8" ht="33">
      <c r="A2208" s="160"/>
      <c r="B2208" s="160" t="s">
        <v>934</v>
      </c>
      <c r="C2208" s="157" t="s">
        <v>1875</v>
      </c>
      <c r="D2208" s="159"/>
      <c r="E2208" s="159"/>
      <c r="F2208" s="159">
        <v>3417.96</v>
      </c>
      <c r="G2208" s="160"/>
      <c r="H2208" s="34" t="s">
        <v>925</v>
      </c>
    </row>
    <row r="2209" spans="1:8" ht="16.5">
      <c r="A2209" s="160"/>
      <c r="B2209" s="160"/>
      <c r="C2209" s="157"/>
      <c r="D2209" s="159"/>
      <c r="E2209" s="159"/>
      <c r="F2209" s="159"/>
      <c r="G2209" s="160"/>
    </row>
    <row r="2210" spans="1:8" ht="33">
      <c r="A2210" s="160" t="s">
        <v>2382</v>
      </c>
      <c r="B2210" s="160" t="s">
        <v>2146</v>
      </c>
      <c r="C2210" s="157" t="s">
        <v>3</v>
      </c>
      <c r="D2210" s="159">
        <v>1</v>
      </c>
      <c r="E2210" s="159">
        <v>2479.56</v>
      </c>
      <c r="F2210" s="159"/>
      <c r="G2210" s="160" t="s">
        <v>2147</v>
      </c>
      <c r="H2210" s="34" t="s">
        <v>925</v>
      </c>
    </row>
    <row r="2211" spans="1:8" ht="33">
      <c r="A2211" s="160">
        <v>1</v>
      </c>
      <c r="B2211" s="160" t="s">
        <v>2148</v>
      </c>
      <c r="C2211" s="157" t="s">
        <v>2149</v>
      </c>
      <c r="D2211" s="159">
        <v>15</v>
      </c>
      <c r="E2211" s="159">
        <v>129.16</v>
      </c>
      <c r="F2211" s="159">
        <v>1937.4</v>
      </c>
      <c r="G2211" s="160" t="s">
        <v>2150</v>
      </c>
      <c r="H2211" s="34" t="s">
        <v>925</v>
      </c>
    </row>
    <row r="2212" spans="1:8" ht="33">
      <c r="A2212" s="160">
        <v>2</v>
      </c>
      <c r="B2212" s="160" t="s">
        <v>2151</v>
      </c>
      <c r="C2212" s="157" t="s">
        <v>14</v>
      </c>
      <c r="D2212" s="159">
        <v>1</v>
      </c>
      <c r="E2212" s="159">
        <v>208.64</v>
      </c>
      <c r="F2212" s="159">
        <v>208.64</v>
      </c>
      <c r="G2212" s="160" t="s">
        <v>2152</v>
      </c>
      <c r="H2212" s="34" t="s">
        <v>925</v>
      </c>
    </row>
    <row r="2213" spans="1:8" ht="33">
      <c r="A2213" s="160">
        <v>3</v>
      </c>
      <c r="B2213" s="160" t="s">
        <v>2153</v>
      </c>
      <c r="C2213" s="157" t="s">
        <v>14</v>
      </c>
      <c r="D2213" s="159">
        <v>1</v>
      </c>
      <c r="E2213" s="159">
        <v>238.45</v>
      </c>
      <c r="F2213" s="159">
        <v>238.45</v>
      </c>
      <c r="G2213" s="160" t="s">
        <v>2154</v>
      </c>
      <c r="H2213" s="34" t="s">
        <v>925</v>
      </c>
    </row>
    <row r="2214" spans="1:8" ht="33">
      <c r="A2214" s="160">
        <v>4</v>
      </c>
      <c r="B2214" s="160" t="s">
        <v>2155</v>
      </c>
      <c r="C2214" s="157" t="s">
        <v>14</v>
      </c>
      <c r="D2214" s="159">
        <v>1</v>
      </c>
      <c r="E2214" s="159">
        <v>22.85</v>
      </c>
      <c r="F2214" s="159">
        <v>22.85</v>
      </c>
      <c r="G2214" s="160" t="s">
        <v>2156</v>
      </c>
      <c r="H2214" s="34" t="s">
        <v>925</v>
      </c>
    </row>
    <row r="2215" spans="1:8" ht="33">
      <c r="A2215" s="160">
        <v>5</v>
      </c>
      <c r="B2215" s="160" t="s">
        <v>931</v>
      </c>
      <c r="C2215" s="157" t="s">
        <v>14</v>
      </c>
      <c r="D2215" s="159">
        <v>1</v>
      </c>
      <c r="E2215" s="159">
        <v>72.22</v>
      </c>
      <c r="F2215" s="159">
        <v>72.22</v>
      </c>
      <c r="G2215" s="160" t="s">
        <v>932</v>
      </c>
      <c r="H2215" s="34" t="s">
        <v>925</v>
      </c>
    </row>
    <row r="2216" spans="1:8" ht="33">
      <c r="A2216" s="160"/>
      <c r="B2216" s="160" t="s">
        <v>933</v>
      </c>
      <c r="C2216" s="157" t="s">
        <v>3</v>
      </c>
      <c r="D2216" s="159">
        <v>1</v>
      </c>
      <c r="E2216" s="159"/>
      <c r="F2216" s="159">
        <v>2479.5599999999995</v>
      </c>
      <c r="G2216" s="160"/>
      <c r="H2216" s="34" t="s">
        <v>925</v>
      </c>
    </row>
    <row r="2217" spans="1:8" ht="33">
      <c r="A2217" s="160"/>
      <c r="B2217" s="160" t="s">
        <v>934</v>
      </c>
      <c r="C2217" s="157" t="s">
        <v>3</v>
      </c>
      <c r="D2217" s="159"/>
      <c r="E2217" s="159"/>
      <c r="F2217" s="159">
        <v>2479.56</v>
      </c>
      <c r="G2217" s="160"/>
      <c r="H2217" s="34" t="s">
        <v>925</v>
      </c>
    </row>
    <row r="2218" spans="1:8" ht="33">
      <c r="A2218" s="160"/>
      <c r="B2218" s="160"/>
      <c r="C2218" s="157"/>
      <c r="D2218" s="159"/>
      <c r="E2218" s="159"/>
      <c r="F2218" s="159"/>
      <c r="G2218" s="160"/>
      <c r="H2218" s="34" t="s">
        <v>925</v>
      </c>
    </row>
    <row r="2219" spans="1:8" ht="33">
      <c r="A2219" s="160" t="s">
        <v>2389</v>
      </c>
      <c r="B2219" s="160" t="s">
        <v>2158</v>
      </c>
      <c r="C2219" s="157" t="s">
        <v>1497</v>
      </c>
      <c r="D2219" s="159">
        <v>1</v>
      </c>
      <c r="E2219" s="159">
        <v>270.16000000000003</v>
      </c>
      <c r="F2219" s="159"/>
      <c r="G2219" s="160" t="s">
        <v>2159</v>
      </c>
      <c r="H2219" s="34" t="s">
        <v>925</v>
      </c>
    </row>
    <row r="2220" spans="1:8" ht="28.5">
      <c r="A2220" s="160">
        <v>1</v>
      </c>
      <c r="B2220" s="160" t="s">
        <v>2148</v>
      </c>
      <c r="C2220" s="157" t="s">
        <v>2149</v>
      </c>
      <c r="D2220" s="159">
        <v>0.1</v>
      </c>
      <c r="E2220" s="159">
        <v>129.16</v>
      </c>
      <c r="F2220" s="159">
        <v>12.92</v>
      </c>
      <c r="G2220" s="160" t="s">
        <v>2150</v>
      </c>
    </row>
    <row r="2221" spans="1:8" ht="33">
      <c r="A2221" s="160">
        <v>2</v>
      </c>
      <c r="B2221" s="160" t="s">
        <v>2151</v>
      </c>
      <c r="C2221" s="157" t="s">
        <v>14</v>
      </c>
      <c r="D2221" s="159">
        <v>1</v>
      </c>
      <c r="E2221" s="159">
        <v>208.64</v>
      </c>
      <c r="F2221" s="159">
        <v>208.64</v>
      </c>
      <c r="G2221" s="160" t="s">
        <v>2152</v>
      </c>
      <c r="H2221" s="34" t="s">
        <v>925</v>
      </c>
    </row>
    <row r="2222" spans="1:8" ht="33">
      <c r="A2222" s="160">
        <v>3</v>
      </c>
      <c r="B2222" s="160" t="s">
        <v>2153</v>
      </c>
      <c r="C2222" s="157" t="s">
        <v>14</v>
      </c>
      <c r="D2222" s="159">
        <v>1</v>
      </c>
      <c r="E2222" s="159">
        <v>17.88</v>
      </c>
      <c r="F2222" s="159">
        <v>17.88</v>
      </c>
      <c r="G2222" s="160" t="s">
        <v>2154</v>
      </c>
      <c r="H2222" s="34" t="s">
        <v>925</v>
      </c>
    </row>
    <row r="2223" spans="1:8" ht="33">
      <c r="A2223" s="160">
        <v>4</v>
      </c>
      <c r="B2223" s="160" t="s">
        <v>2155</v>
      </c>
      <c r="C2223" s="157" t="s">
        <v>14</v>
      </c>
      <c r="D2223" s="159">
        <v>1</v>
      </c>
      <c r="E2223" s="159">
        <v>22.85</v>
      </c>
      <c r="F2223" s="159">
        <v>22.85</v>
      </c>
      <c r="G2223" s="160" t="s">
        <v>2156</v>
      </c>
      <c r="H2223" s="34" t="s">
        <v>925</v>
      </c>
    </row>
    <row r="2224" spans="1:8" ht="33">
      <c r="A2224" s="160">
        <v>5</v>
      </c>
      <c r="B2224" s="160" t="s">
        <v>931</v>
      </c>
      <c r="C2224" s="157" t="s">
        <v>14</v>
      </c>
      <c r="D2224" s="159">
        <v>1</v>
      </c>
      <c r="E2224" s="159">
        <v>7.87</v>
      </c>
      <c r="F2224" s="159">
        <v>7.87</v>
      </c>
      <c r="G2224" s="160" t="s">
        <v>932</v>
      </c>
      <c r="H2224" s="34" t="s">
        <v>925</v>
      </c>
    </row>
    <row r="2225" spans="1:8" ht="33">
      <c r="A2225" s="160"/>
      <c r="B2225" s="160" t="s">
        <v>933</v>
      </c>
      <c r="C2225" s="157" t="s">
        <v>1497</v>
      </c>
      <c r="D2225" s="159">
        <v>1</v>
      </c>
      <c r="E2225" s="159"/>
      <c r="F2225" s="159">
        <v>270.15999999999997</v>
      </c>
      <c r="G2225" s="160"/>
      <c r="H2225" s="34" t="s">
        <v>925</v>
      </c>
    </row>
    <row r="2226" spans="1:8" ht="33">
      <c r="A2226" s="160"/>
      <c r="B2226" s="160" t="s">
        <v>934</v>
      </c>
      <c r="C2226" s="157" t="s">
        <v>1497</v>
      </c>
      <c r="D2226" s="159"/>
      <c r="E2226" s="159"/>
      <c r="F2226" s="159">
        <v>270.16000000000003</v>
      </c>
      <c r="G2226" s="160"/>
      <c r="H2226" s="34" t="s">
        <v>925</v>
      </c>
    </row>
    <row r="2227" spans="1:8" ht="33">
      <c r="A2227" s="160"/>
      <c r="B2227" s="160"/>
      <c r="C2227" s="157"/>
      <c r="D2227" s="159"/>
      <c r="E2227" s="159"/>
      <c r="F2227" s="159"/>
      <c r="G2227" s="160"/>
      <c r="H2227" s="34" t="s">
        <v>925</v>
      </c>
    </row>
    <row r="2228" spans="1:8" ht="33">
      <c r="A2228" s="160" t="s">
        <v>2392</v>
      </c>
      <c r="B2228" s="160" t="s">
        <v>912</v>
      </c>
      <c r="C2228" s="157" t="s">
        <v>3</v>
      </c>
      <c r="D2228" s="159">
        <v>1</v>
      </c>
      <c r="E2228" s="159">
        <v>698.94</v>
      </c>
      <c r="F2228" s="159"/>
      <c r="G2228" s="160" t="s">
        <v>2161</v>
      </c>
      <c r="H2228" s="34" t="s">
        <v>925</v>
      </c>
    </row>
    <row r="2229" spans="1:8" ht="33">
      <c r="A2229" s="160">
        <v>1</v>
      </c>
      <c r="B2229" s="160" t="s">
        <v>2162</v>
      </c>
      <c r="C2229" s="157" t="s">
        <v>3</v>
      </c>
      <c r="D2229" s="159">
        <v>1</v>
      </c>
      <c r="E2229" s="159">
        <v>82.46</v>
      </c>
      <c r="F2229" s="159">
        <v>82.46</v>
      </c>
      <c r="G2229" s="160" t="s">
        <v>2163</v>
      </c>
      <c r="H2229" s="34" t="s">
        <v>925</v>
      </c>
    </row>
    <row r="2230" spans="1:8" ht="33">
      <c r="A2230" s="160">
        <v>2</v>
      </c>
      <c r="B2230" s="160" t="s">
        <v>2164</v>
      </c>
      <c r="C2230" s="157" t="s">
        <v>3</v>
      </c>
      <c r="D2230" s="159">
        <v>1</v>
      </c>
      <c r="E2230" s="159">
        <v>99.35</v>
      </c>
      <c r="F2230" s="159">
        <v>99.35</v>
      </c>
      <c r="G2230" s="160" t="s">
        <v>2165</v>
      </c>
      <c r="H2230" s="34" t="s">
        <v>925</v>
      </c>
    </row>
    <row r="2231" spans="1:8" ht="28.5">
      <c r="A2231" s="160">
        <v>3</v>
      </c>
      <c r="B2231" s="160" t="s">
        <v>2166</v>
      </c>
      <c r="C2231" s="157" t="s">
        <v>3</v>
      </c>
      <c r="D2231" s="159">
        <v>1</v>
      </c>
      <c r="E2231" s="159">
        <v>496.77</v>
      </c>
      <c r="F2231" s="159">
        <v>496.77</v>
      </c>
      <c r="G2231" s="160" t="s">
        <v>2167</v>
      </c>
    </row>
    <row r="2232" spans="1:8" ht="33">
      <c r="A2232" s="160">
        <v>4</v>
      </c>
      <c r="B2232" s="160" t="s">
        <v>931</v>
      </c>
      <c r="C2232" s="157" t="s">
        <v>14</v>
      </c>
      <c r="D2232" s="159">
        <v>1</v>
      </c>
      <c r="E2232" s="159">
        <v>20.36</v>
      </c>
      <c r="F2232" s="159">
        <v>20.36</v>
      </c>
      <c r="G2232" s="160" t="s">
        <v>932</v>
      </c>
      <c r="H2232" s="34" t="s">
        <v>925</v>
      </c>
    </row>
    <row r="2233" spans="1:8" ht="33">
      <c r="A2233" s="160"/>
      <c r="B2233" s="160" t="s">
        <v>933</v>
      </c>
      <c r="C2233" s="157" t="s">
        <v>3</v>
      </c>
      <c r="D2233" s="159">
        <v>1</v>
      </c>
      <c r="E2233" s="159"/>
      <c r="F2233" s="159">
        <v>698.93999999999994</v>
      </c>
      <c r="G2233" s="160"/>
      <c r="H2233" s="34" t="s">
        <v>925</v>
      </c>
    </row>
    <row r="2234" spans="1:8" ht="33">
      <c r="A2234" s="160"/>
      <c r="B2234" s="160" t="s">
        <v>934</v>
      </c>
      <c r="C2234" s="157" t="s">
        <v>3</v>
      </c>
      <c r="D2234" s="159"/>
      <c r="E2234" s="159"/>
      <c r="F2234" s="159">
        <v>698.94</v>
      </c>
      <c r="G2234" s="160"/>
      <c r="H2234" s="34" t="s">
        <v>925</v>
      </c>
    </row>
    <row r="2235" spans="1:8" ht="33">
      <c r="A2235" s="160"/>
      <c r="B2235" s="160"/>
      <c r="C2235" s="157"/>
      <c r="D2235" s="159"/>
      <c r="E2235" s="159"/>
      <c r="F2235" s="159"/>
      <c r="G2235" s="160"/>
      <c r="H2235" s="34" t="s">
        <v>925</v>
      </c>
    </row>
    <row r="2236" spans="1:8" ht="33">
      <c r="A2236" s="160" t="s">
        <v>2398</v>
      </c>
      <c r="B2236" s="160" t="s">
        <v>2169</v>
      </c>
      <c r="C2236" s="157" t="s">
        <v>17</v>
      </c>
      <c r="D2236" s="159">
        <v>10</v>
      </c>
      <c r="E2236" s="159">
        <v>138.11000000000001</v>
      </c>
      <c r="F2236" s="159"/>
      <c r="G2236" s="160" t="s">
        <v>2170</v>
      </c>
      <c r="H2236" s="34" t="s">
        <v>925</v>
      </c>
    </row>
    <row r="2237" spans="1:8" ht="33">
      <c r="A2237" s="160">
        <v>1</v>
      </c>
      <c r="B2237" s="160" t="s">
        <v>2171</v>
      </c>
      <c r="C2237" s="157" t="s">
        <v>14</v>
      </c>
      <c r="D2237" s="159">
        <v>1</v>
      </c>
      <c r="E2237" s="159">
        <v>248.38</v>
      </c>
      <c r="F2237" s="159">
        <v>248.38</v>
      </c>
      <c r="G2237" s="160" t="s">
        <v>2172</v>
      </c>
      <c r="H2237" s="34" t="s">
        <v>925</v>
      </c>
    </row>
    <row r="2238" spans="1:8" ht="33">
      <c r="A2238" s="160">
        <v>2</v>
      </c>
      <c r="B2238" s="160" t="s">
        <v>2173</v>
      </c>
      <c r="C2238" s="157" t="s">
        <v>14</v>
      </c>
      <c r="D2238" s="159">
        <v>1</v>
      </c>
      <c r="E2238" s="159">
        <v>198.71</v>
      </c>
      <c r="F2238" s="159">
        <v>198.71</v>
      </c>
      <c r="G2238" s="160" t="s">
        <v>2174</v>
      </c>
      <c r="H2238" s="34" t="s">
        <v>925</v>
      </c>
    </row>
    <row r="2239" spans="1:8" ht="33">
      <c r="A2239" s="160">
        <v>3</v>
      </c>
      <c r="B2239" s="160" t="s">
        <v>2175</v>
      </c>
      <c r="C2239" s="157" t="s">
        <v>14</v>
      </c>
      <c r="D2239" s="159">
        <v>1</v>
      </c>
      <c r="E2239" s="159">
        <v>99.35</v>
      </c>
      <c r="F2239" s="159">
        <v>99.35</v>
      </c>
      <c r="G2239" s="160" t="s">
        <v>2176</v>
      </c>
      <c r="H2239" s="34" t="s">
        <v>925</v>
      </c>
    </row>
    <row r="2240" spans="1:8" ht="28.5">
      <c r="A2240" s="160">
        <v>4</v>
      </c>
      <c r="B2240" s="160" t="s">
        <v>2177</v>
      </c>
      <c r="C2240" s="157" t="s">
        <v>14</v>
      </c>
      <c r="D2240" s="159">
        <v>1</v>
      </c>
      <c r="E2240" s="159">
        <v>347.74</v>
      </c>
      <c r="F2240" s="159">
        <v>347.74</v>
      </c>
      <c r="G2240" s="160" t="s">
        <v>2178</v>
      </c>
    </row>
    <row r="2241" spans="1:8" ht="33">
      <c r="A2241" s="160">
        <v>5</v>
      </c>
      <c r="B2241" s="160" t="s">
        <v>4871</v>
      </c>
      <c r="C2241" s="157" t="s">
        <v>927</v>
      </c>
      <c r="D2241" s="159">
        <v>1.6</v>
      </c>
      <c r="E2241" s="159">
        <v>279.18</v>
      </c>
      <c r="F2241" s="159">
        <v>446.69</v>
      </c>
      <c r="G2241" s="160" t="s">
        <v>4872</v>
      </c>
      <c r="H2241" s="34" t="s">
        <v>925</v>
      </c>
    </row>
    <row r="2242" spans="1:8" ht="33">
      <c r="A2242" s="160">
        <v>6</v>
      </c>
      <c r="B2242" s="160" t="s">
        <v>931</v>
      </c>
      <c r="C2242" s="157" t="s">
        <v>14</v>
      </c>
      <c r="D2242" s="159">
        <v>1</v>
      </c>
      <c r="E2242" s="159">
        <v>40.229999999999997</v>
      </c>
      <c r="F2242" s="159">
        <v>40.229999999999997</v>
      </c>
      <c r="G2242" s="160" t="s">
        <v>932</v>
      </c>
      <c r="H2242" s="34" t="s">
        <v>925</v>
      </c>
    </row>
    <row r="2243" spans="1:8" ht="33">
      <c r="A2243" s="160"/>
      <c r="B2243" s="160" t="s">
        <v>933</v>
      </c>
      <c r="C2243" s="157" t="s">
        <v>17</v>
      </c>
      <c r="D2243" s="159">
        <v>10</v>
      </c>
      <c r="E2243" s="159"/>
      <c r="F2243" s="159">
        <v>1381.1000000000001</v>
      </c>
      <c r="G2243" s="160"/>
      <c r="H2243" s="34" t="s">
        <v>925</v>
      </c>
    </row>
    <row r="2244" spans="1:8" ht="33">
      <c r="A2244" s="160"/>
      <c r="B2244" s="160" t="s">
        <v>934</v>
      </c>
      <c r="C2244" s="157" t="s">
        <v>17</v>
      </c>
      <c r="D2244" s="159"/>
      <c r="E2244" s="159"/>
      <c r="F2244" s="159">
        <v>138.11000000000001</v>
      </c>
      <c r="G2244" s="160"/>
      <c r="H2244" s="34" t="s">
        <v>925</v>
      </c>
    </row>
    <row r="2245" spans="1:8" ht="33">
      <c r="A2245" s="160"/>
      <c r="B2245" s="160"/>
      <c r="C2245" s="157"/>
      <c r="D2245" s="159"/>
      <c r="E2245" s="159"/>
      <c r="F2245" s="159"/>
      <c r="G2245" s="160"/>
      <c r="H2245" s="34" t="s">
        <v>925</v>
      </c>
    </row>
    <row r="2246" spans="1:8" ht="33">
      <c r="A2246" s="160" t="s">
        <v>2404</v>
      </c>
      <c r="B2246" s="160" t="s">
        <v>3642</v>
      </c>
      <c r="C2246" s="157" t="s">
        <v>17</v>
      </c>
      <c r="D2246" s="159">
        <v>10</v>
      </c>
      <c r="E2246" s="159">
        <v>117.64</v>
      </c>
      <c r="F2246" s="159"/>
      <c r="G2246" s="160" t="s">
        <v>4032</v>
      </c>
      <c r="H2246" s="34" t="s">
        <v>925</v>
      </c>
    </row>
    <row r="2247" spans="1:8" ht="33">
      <c r="A2247" s="160">
        <v>1</v>
      </c>
      <c r="B2247" s="160" t="s">
        <v>2171</v>
      </c>
      <c r="C2247" s="157" t="s">
        <v>14</v>
      </c>
      <c r="D2247" s="159">
        <v>1</v>
      </c>
      <c r="E2247" s="159">
        <v>248.38</v>
      </c>
      <c r="F2247" s="159">
        <v>248.38</v>
      </c>
      <c r="G2247" s="160" t="s">
        <v>2172</v>
      </c>
      <c r="H2247" s="34" t="s">
        <v>925</v>
      </c>
    </row>
    <row r="2248" spans="1:8" ht="33">
      <c r="A2248" s="160">
        <v>2</v>
      </c>
      <c r="B2248" s="160" t="s">
        <v>2175</v>
      </c>
      <c r="C2248" s="157" t="s">
        <v>14</v>
      </c>
      <c r="D2248" s="159">
        <v>1</v>
      </c>
      <c r="E2248" s="159">
        <v>99.35</v>
      </c>
      <c r="F2248" s="159">
        <v>99.35</v>
      </c>
      <c r="G2248" s="160" t="s">
        <v>2176</v>
      </c>
      <c r="H2248" s="34" t="s">
        <v>925</v>
      </c>
    </row>
    <row r="2249" spans="1:8" ht="28.5">
      <c r="A2249" s="160">
        <v>3</v>
      </c>
      <c r="B2249" s="160" t="s">
        <v>2177</v>
      </c>
      <c r="C2249" s="157" t="s">
        <v>14</v>
      </c>
      <c r="D2249" s="159">
        <v>1</v>
      </c>
      <c r="E2249" s="159">
        <v>347.74</v>
      </c>
      <c r="F2249" s="159">
        <v>347.74</v>
      </c>
      <c r="G2249" s="160" t="s">
        <v>2178</v>
      </c>
    </row>
    <row r="2250" spans="1:8" ht="33">
      <c r="A2250" s="160">
        <v>4</v>
      </c>
      <c r="B2250" s="160" t="s">
        <v>4871</v>
      </c>
      <c r="C2250" s="157" t="s">
        <v>927</v>
      </c>
      <c r="D2250" s="159">
        <v>1.6</v>
      </c>
      <c r="E2250" s="159">
        <v>279.18</v>
      </c>
      <c r="F2250" s="159">
        <v>446.69</v>
      </c>
      <c r="G2250" s="160" t="s">
        <v>4872</v>
      </c>
      <c r="H2250" s="34" t="s">
        <v>925</v>
      </c>
    </row>
    <row r="2251" spans="1:8" ht="33">
      <c r="A2251" s="160">
        <v>5</v>
      </c>
      <c r="B2251" s="160" t="s">
        <v>931</v>
      </c>
      <c r="C2251" s="157" t="s">
        <v>14</v>
      </c>
      <c r="D2251" s="159">
        <v>1</v>
      </c>
      <c r="E2251" s="159">
        <v>34.26</v>
      </c>
      <c r="F2251" s="159">
        <v>34.26</v>
      </c>
      <c r="G2251" s="160" t="s">
        <v>932</v>
      </c>
      <c r="H2251" s="34" t="s">
        <v>925</v>
      </c>
    </row>
    <row r="2252" spans="1:8" ht="33">
      <c r="A2252" s="160"/>
      <c r="B2252" s="160" t="s">
        <v>933</v>
      </c>
      <c r="C2252" s="157" t="s">
        <v>17</v>
      </c>
      <c r="D2252" s="159">
        <v>10</v>
      </c>
      <c r="E2252" s="159"/>
      <c r="F2252" s="159">
        <v>1176.42</v>
      </c>
      <c r="G2252" s="160"/>
      <c r="H2252" s="34" t="s">
        <v>925</v>
      </c>
    </row>
    <row r="2253" spans="1:8" ht="33">
      <c r="A2253" s="160"/>
      <c r="B2253" s="160" t="s">
        <v>934</v>
      </c>
      <c r="C2253" s="157" t="s">
        <v>17</v>
      </c>
      <c r="D2253" s="159"/>
      <c r="E2253" s="159"/>
      <c r="F2253" s="159">
        <v>117.64</v>
      </c>
      <c r="G2253" s="160"/>
      <c r="H2253" s="34" t="s">
        <v>925</v>
      </c>
    </row>
    <row r="2254" spans="1:8" ht="33">
      <c r="A2254" s="160"/>
      <c r="B2254" s="160"/>
      <c r="C2254" s="157"/>
      <c r="D2254" s="159"/>
      <c r="E2254" s="159"/>
      <c r="F2254" s="159"/>
      <c r="G2254" s="160"/>
      <c r="H2254" s="34" t="s">
        <v>925</v>
      </c>
    </row>
    <row r="2255" spans="1:8" ht="33">
      <c r="A2255" s="160" t="s">
        <v>2409</v>
      </c>
      <c r="B2255" s="160" t="s">
        <v>4697</v>
      </c>
      <c r="C2255" s="157" t="s">
        <v>17</v>
      </c>
      <c r="D2255" s="159">
        <v>10</v>
      </c>
      <c r="E2255" s="159">
        <v>177.46</v>
      </c>
      <c r="F2255" s="159"/>
      <c r="G2255" s="160" t="s">
        <v>4978</v>
      </c>
      <c r="H2255" s="34" t="s">
        <v>925</v>
      </c>
    </row>
    <row r="2256" spans="1:8" ht="28.5">
      <c r="A2256" s="160">
        <v>1</v>
      </c>
      <c r="B2256" s="160" t="s">
        <v>2171</v>
      </c>
      <c r="C2256" s="157" t="s">
        <v>14</v>
      </c>
      <c r="D2256" s="159">
        <v>1</v>
      </c>
      <c r="E2256" s="159">
        <v>248.38</v>
      </c>
      <c r="F2256" s="159">
        <v>248.38</v>
      </c>
      <c r="G2256" s="160" t="s">
        <v>2172</v>
      </c>
    </row>
    <row r="2257" spans="1:8" ht="33">
      <c r="A2257" s="160">
        <v>2</v>
      </c>
      <c r="B2257" s="160" t="s">
        <v>2175</v>
      </c>
      <c r="C2257" s="157" t="s">
        <v>14</v>
      </c>
      <c r="D2257" s="159">
        <v>1</v>
      </c>
      <c r="E2257" s="159">
        <v>99.35</v>
      </c>
      <c r="F2257" s="159">
        <v>99.35</v>
      </c>
      <c r="G2257" s="160" t="s">
        <v>2176</v>
      </c>
      <c r="H2257" s="34" t="s">
        <v>925</v>
      </c>
    </row>
    <row r="2258" spans="1:8" ht="33">
      <c r="A2258" s="160">
        <v>3</v>
      </c>
      <c r="B2258" s="160" t="s">
        <v>2177</v>
      </c>
      <c r="C2258" s="157" t="s">
        <v>14</v>
      </c>
      <c r="D2258" s="159">
        <v>1</v>
      </c>
      <c r="E2258" s="159">
        <v>347.74</v>
      </c>
      <c r="F2258" s="159">
        <v>347.74</v>
      </c>
      <c r="G2258" s="160" t="s">
        <v>2178</v>
      </c>
      <c r="H2258" s="34" t="s">
        <v>925</v>
      </c>
    </row>
    <row r="2259" spans="1:8" ht="42.75">
      <c r="A2259" s="160">
        <v>4</v>
      </c>
      <c r="B2259" s="160" t="s">
        <v>4874</v>
      </c>
      <c r="C2259" s="157" t="s">
        <v>927</v>
      </c>
      <c r="D2259" s="159">
        <v>1.84</v>
      </c>
      <c r="E2259" s="159">
        <v>558.37</v>
      </c>
      <c r="F2259" s="159">
        <v>1027.4000000000001</v>
      </c>
      <c r="G2259" s="160" t="s">
        <v>4875</v>
      </c>
      <c r="H2259" s="34" t="s">
        <v>925</v>
      </c>
    </row>
    <row r="2260" spans="1:8" ht="33">
      <c r="A2260" s="160">
        <v>5</v>
      </c>
      <c r="B2260" s="160" t="s">
        <v>931</v>
      </c>
      <c r="C2260" s="157" t="s">
        <v>14</v>
      </c>
      <c r="D2260" s="159">
        <v>1</v>
      </c>
      <c r="E2260" s="159">
        <v>51.69</v>
      </c>
      <c r="F2260" s="159">
        <v>51.69</v>
      </c>
      <c r="G2260" s="160" t="s">
        <v>932</v>
      </c>
      <c r="H2260" s="34" t="s">
        <v>925</v>
      </c>
    </row>
    <row r="2261" spans="1:8" ht="33">
      <c r="A2261" s="160"/>
      <c r="B2261" s="160" t="s">
        <v>933</v>
      </c>
      <c r="C2261" s="157" t="s">
        <v>17</v>
      </c>
      <c r="D2261" s="159">
        <v>10</v>
      </c>
      <c r="E2261" s="159"/>
      <c r="F2261" s="159">
        <v>1774.5600000000002</v>
      </c>
      <c r="G2261" s="160"/>
      <c r="H2261" s="34" t="s">
        <v>925</v>
      </c>
    </row>
    <row r="2262" spans="1:8" ht="16.5">
      <c r="A2262" s="160"/>
      <c r="B2262" s="160" t="s">
        <v>934</v>
      </c>
      <c r="C2262" s="157" t="s">
        <v>17</v>
      </c>
      <c r="D2262" s="159"/>
      <c r="E2262" s="159"/>
      <c r="F2262" s="159">
        <v>177.46</v>
      </c>
      <c r="G2262" s="160"/>
    </row>
    <row r="2263" spans="1:8" ht="33">
      <c r="A2263" s="160"/>
      <c r="B2263" s="160"/>
      <c r="C2263" s="157"/>
      <c r="D2263" s="159"/>
      <c r="E2263" s="159"/>
      <c r="F2263" s="159"/>
      <c r="G2263" s="160"/>
      <c r="H2263" s="34" t="s">
        <v>925</v>
      </c>
    </row>
    <row r="2264" spans="1:8" ht="33">
      <c r="A2264" s="160" t="s">
        <v>2413</v>
      </c>
      <c r="B2264" s="160" t="s">
        <v>2180</v>
      </c>
      <c r="C2264" s="157" t="s">
        <v>3</v>
      </c>
      <c r="D2264" s="159">
        <v>1</v>
      </c>
      <c r="E2264" s="159">
        <v>1259.93</v>
      </c>
      <c r="F2264" s="159"/>
      <c r="G2264" s="160" t="s">
        <v>2181</v>
      </c>
      <c r="H2264" s="34" t="s">
        <v>925</v>
      </c>
    </row>
    <row r="2265" spans="1:8" ht="33">
      <c r="A2265" s="160">
        <v>1</v>
      </c>
      <c r="B2265" s="160" t="s">
        <v>2182</v>
      </c>
      <c r="C2265" s="157" t="s">
        <v>3</v>
      </c>
      <c r="D2265" s="159">
        <v>1</v>
      </c>
      <c r="E2265" s="159">
        <v>331.84</v>
      </c>
      <c r="F2265" s="159">
        <v>331.84</v>
      </c>
      <c r="G2265" s="160" t="s">
        <v>2183</v>
      </c>
      <c r="H2265" s="34" t="s">
        <v>925</v>
      </c>
    </row>
    <row r="2266" spans="1:8" ht="33">
      <c r="A2266" s="160">
        <v>2</v>
      </c>
      <c r="B2266" s="160" t="s">
        <v>1294</v>
      </c>
      <c r="C2266" s="157" t="s">
        <v>1295</v>
      </c>
      <c r="D2266" s="159">
        <v>0.12</v>
      </c>
      <c r="E2266" s="159">
        <v>165.92</v>
      </c>
      <c r="F2266" s="159">
        <v>19.91</v>
      </c>
      <c r="G2266" s="160" t="s">
        <v>1296</v>
      </c>
      <c r="H2266" s="34" t="s">
        <v>925</v>
      </c>
    </row>
    <row r="2267" spans="1:8" ht="33">
      <c r="A2267" s="160">
        <v>3</v>
      </c>
      <c r="B2267" s="160" t="s">
        <v>2184</v>
      </c>
      <c r="C2267" s="157" t="s">
        <v>18</v>
      </c>
      <c r="D2267" s="159">
        <v>12</v>
      </c>
      <c r="E2267" s="159">
        <v>14.9</v>
      </c>
      <c r="F2267" s="159">
        <v>178.8</v>
      </c>
      <c r="G2267" s="160" t="s">
        <v>2185</v>
      </c>
      <c r="H2267" s="34" t="s">
        <v>925</v>
      </c>
    </row>
    <row r="2268" spans="1:8" ht="33">
      <c r="A2268" s="160">
        <v>4</v>
      </c>
      <c r="B2268" s="160" t="s">
        <v>2186</v>
      </c>
      <c r="C2268" s="157" t="s">
        <v>18</v>
      </c>
      <c r="D2268" s="159">
        <v>3</v>
      </c>
      <c r="E2268" s="159">
        <v>11.92</v>
      </c>
      <c r="F2268" s="159">
        <v>35.76</v>
      </c>
      <c r="G2268" s="160" t="s">
        <v>2187</v>
      </c>
      <c r="H2268" s="34" t="s">
        <v>925</v>
      </c>
    </row>
    <row r="2269" spans="1:8" ht="33">
      <c r="A2269" s="160">
        <v>5</v>
      </c>
      <c r="B2269" s="160" t="s">
        <v>2188</v>
      </c>
      <c r="C2269" s="157" t="s">
        <v>14</v>
      </c>
      <c r="D2269" s="159">
        <v>1</v>
      </c>
      <c r="E2269" s="159">
        <v>9.94</v>
      </c>
      <c r="F2269" s="159">
        <v>9.94</v>
      </c>
      <c r="G2269" s="160" t="s">
        <v>2189</v>
      </c>
      <c r="H2269" s="34" t="s">
        <v>925</v>
      </c>
    </row>
    <row r="2270" spans="1:8" ht="33">
      <c r="A2270" s="160">
        <v>6</v>
      </c>
      <c r="B2270" s="160" t="s">
        <v>1210</v>
      </c>
      <c r="C2270" s="157" t="s">
        <v>927</v>
      </c>
      <c r="D2270" s="159">
        <v>1.04</v>
      </c>
      <c r="E2270" s="159">
        <v>407.35</v>
      </c>
      <c r="F2270" s="159">
        <v>423.64</v>
      </c>
      <c r="G2270" s="160" t="s">
        <v>1211</v>
      </c>
      <c r="H2270" s="34" t="s">
        <v>925</v>
      </c>
    </row>
    <row r="2271" spans="1:8" ht="28.5">
      <c r="A2271" s="160">
        <v>7</v>
      </c>
      <c r="B2271" s="160" t="s">
        <v>1644</v>
      </c>
      <c r="C2271" s="157" t="s">
        <v>927</v>
      </c>
      <c r="D2271" s="159">
        <v>0.8</v>
      </c>
      <c r="E2271" s="159">
        <v>279.18</v>
      </c>
      <c r="F2271" s="159">
        <v>223.34</v>
      </c>
      <c r="G2271" s="160" t="s">
        <v>1645</v>
      </c>
    </row>
    <row r="2272" spans="1:8" ht="33">
      <c r="A2272" s="160">
        <v>8</v>
      </c>
      <c r="B2272" s="160" t="s">
        <v>955</v>
      </c>
      <c r="C2272" s="157" t="s">
        <v>14</v>
      </c>
      <c r="D2272" s="159">
        <v>1</v>
      </c>
      <c r="E2272" s="159">
        <v>36.700000000000003</v>
      </c>
      <c r="F2272" s="159">
        <v>36.700000000000003</v>
      </c>
      <c r="G2272" s="160" t="s">
        <v>956</v>
      </c>
      <c r="H2272" s="34" t="s">
        <v>925</v>
      </c>
    </row>
    <row r="2273" spans="1:8" ht="33">
      <c r="A2273" s="160"/>
      <c r="B2273" s="160" t="s">
        <v>933</v>
      </c>
      <c r="C2273" s="157" t="s">
        <v>3</v>
      </c>
      <c r="D2273" s="159">
        <v>1</v>
      </c>
      <c r="E2273" s="159"/>
      <c r="F2273" s="159">
        <v>1259.93</v>
      </c>
      <c r="G2273" s="160"/>
      <c r="H2273" s="34" t="s">
        <v>925</v>
      </c>
    </row>
    <row r="2274" spans="1:8" ht="33">
      <c r="A2274" s="160"/>
      <c r="B2274" s="160" t="s">
        <v>934</v>
      </c>
      <c r="C2274" s="157" t="s">
        <v>3</v>
      </c>
      <c r="D2274" s="159"/>
      <c r="E2274" s="159"/>
      <c r="F2274" s="159">
        <v>1259.93</v>
      </c>
      <c r="G2274" s="160"/>
      <c r="H2274" s="34" t="s">
        <v>925</v>
      </c>
    </row>
    <row r="2275" spans="1:8" ht="33">
      <c r="A2275" s="160"/>
      <c r="B2275" s="160"/>
      <c r="C2275" s="157"/>
      <c r="D2275" s="159"/>
      <c r="E2275" s="159"/>
      <c r="F2275" s="159"/>
      <c r="G2275" s="160"/>
      <c r="H2275" s="34" t="s">
        <v>925</v>
      </c>
    </row>
    <row r="2276" spans="1:8" ht="33">
      <c r="A2276" s="160" t="s">
        <v>2415</v>
      </c>
      <c r="B2276" s="160" t="s">
        <v>2191</v>
      </c>
      <c r="C2276" s="157" t="s">
        <v>3</v>
      </c>
      <c r="D2276" s="159">
        <v>1</v>
      </c>
      <c r="E2276" s="159">
        <v>1816.22</v>
      </c>
      <c r="F2276" s="159"/>
      <c r="G2276" s="160" t="s">
        <v>2192</v>
      </c>
      <c r="H2276" s="34" t="s">
        <v>925</v>
      </c>
    </row>
    <row r="2277" spans="1:8" ht="33">
      <c r="A2277" s="160">
        <v>1</v>
      </c>
      <c r="B2277" s="160" t="s">
        <v>2182</v>
      </c>
      <c r="C2277" s="157" t="s">
        <v>3</v>
      </c>
      <c r="D2277" s="159">
        <v>1</v>
      </c>
      <c r="E2277" s="159">
        <v>331.84</v>
      </c>
      <c r="F2277" s="159">
        <v>331.84</v>
      </c>
      <c r="G2277" s="160" t="s">
        <v>2183</v>
      </c>
      <c r="H2277" s="34" t="s">
        <v>925</v>
      </c>
    </row>
    <row r="2278" spans="1:8" ht="33">
      <c r="A2278" s="160">
        <v>2</v>
      </c>
      <c r="B2278" s="160" t="s">
        <v>1294</v>
      </c>
      <c r="C2278" s="157" t="s">
        <v>1295</v>
      </c>
      <c r="D2278" s="159">
        <v>0.12</v>
      </c>
      <c r="E2278" s="159">
        <v>165.92</v>
      </c>
      <c r="F2278" s="159">
        <v>19.91</v>
      </c>
      <c r="G2278" s="160" t="s">
        <v>1296</v>
      </c>
      <c r="H2278" s="34" t="s">
        <v>925</v>
      </c>
    </row>
    <row r="2279" spans="1:8" ht="33">
      <c r="A2279" s="160">
        <v>3</v>
      </c>
      <c r="B2279" s="160" t="s">
        <v>2184</v>
      </c>
      <c r="C2279" s="157" t="s">
        <v>18</v>
      </c>
      <c r="D2279" s="159">
        <v>12</v>
      </c>
      <c r="E2279" s="159">
        <v>14.9</v>
      </c>
      <c r="F2279" s="159">
        <v>178.8</v>
      </c>
      <c r="G2279" s="160" t="s">
        <v>2185</v>
      </c>
      <c r="H2279" s="34" t="s">
        <v>925</v>
      </c>
    </row>
    <row r="2280" spans="1:8" ht="33">
      <c r="A2280" s="160">
        <v>4</v>
      </c>
      <c r="B2280" s="160" t="s">
        <v>2186</v>
      </c>
      <c r="C2280" s="157" t="s">
        <v>18</v>
      </c>
      <c r="D2280" s="159">
        <v>3</v>
      </c>
      <c r="E2280" s="159">
        <v>11.92</v>
      </c>
      <c r="F2280" s="159">
        <v>35.76</v>
      </c>
      <c r="G2280" s="160" t="s">
        <v>2187</v>
      </c>
      <c r="H2280" s="34" t="s">
        <v>925</v>
      </c>
    </row>
    <row r="2281" spans="1:8" ht="33">
      <c r="A2281" s="160">
        <v>5</v>
      </c>
      <c r="B2281" s="160" t="s">
        <v>2188</v>
      </c>
      <c r="C2281" s="157" t="s">
        <v>14</v>
      </c>
      <c r="D2281" s="159">
        <v>1</v>
      </c>
      <c r="E2281" s="159">
        <v>9.94</v>
      </c>
      <c r="F2281" s="159">
        <v>9.94</v>
      </c>
      <c r="G2281" s="160" t="s">
        <v>2189</v>
      </c>
      <c r="H2281" s="34" t="s">
        <v>925</v>
      </c>
    </row>
    <row r="2282" spans="1:8" ht="28.5">
      <c r="A2282" s="160">
        <v>6</v>
      </c>
      <c r="B2282" s="160" t="s">
        <v>1210</v>
      </c>
      <c r="C2282" s="157" t="s">
        <v>927</v>
      </c>
      <c r="D2282" s="159">
        <v>0.24</v>
      </c>
      <c r="E2282" s="159">
        <v>407.35</v>
      </c>
      <c r="F2282" s="159">
        <v>97.76</v>
      </c>
      <c r="G2282" s="160" t="s">
        <v>1211</v>
      </c>
    </row>
    <row r="2283" spans="1:8" ht="33">
      <c r="A2283" s="160">
        <v>7</v>
      </c>
      <c r="B2283" s="160" t="s">
        <v>2193</v>
      </c>
      <c r="C2283" s="157" t="s">
        <v>927</v>
      </c>
      <c r="D2283" s="159">
        <v>2.4</v>
      </c>
      <c r="E2283" s="159">
        <v>407.35</v>
      </c>
      <c r="F2283" s="159">
        <v>977.64</v>
      </c>
      <c r="G2283" s="160" t="s">
        <v>4015</v>
      </c>
      <c r="H2283" s="34" t="s">
        <v>925</v>
      </c>
    </row>
    <row r="2284" spans="1:8" ht="33">
      <c r="A2284" s="160">
        <v>8</v>
      </c>
      <c r="B2284" s="160" t="s">
        <v>1644</v>
      </c>
      <c r="C2284" s="157" t="s">
        <v>927</v>
      </c>
      <c r="D2284" s="159">
        <v>0.4</v>
      </c>
      <c r="E2284" s="159">
        <v>279.18</v>
      </c>
      <c r="F2284" s="159">
        <v>111.67</v>
      </c>
      <c r="G2284" s="160" t="s">
        <v>1645</v>
      </c>
      <c r="H2284" s="34" t="s">
        <v>925</v>
      </c>
    </row>
    <row r="2285" spans="1:8" ht="33">
      <c r="A2285" s="160">
        <v>9</v>
      </c>
      <c r="B2285" s="160" t="s">
        <v>955</v>
      </c>
      <c r="C2285" s="157" t="s">
        <v>14</v>
      </c>
      <c r="D2285" s="159">
        <v>1</v>
      </c>
      <c r="E2285" s="159">
        <v>52.9</v>
      </c>
      <c r="F2285" s="159">
        <v>52.9</v>
      </c>
      <c r="G2285" s="160" t="s">
        <v>956</v>
      </c>
      <c r="H2285" s="34" t="s">
        <v>925</v>
      </c>
    </row>
    <row r="2286" spans="1:8" ht="33">
      <c r="A2286" s="160"/>
      <c r="B2286" s="160" t="s">
        <v>933</v>
      </c>
      <c r="C2286" s="157" t="s">
        <v>3</v>
      </c>
      <c r="D2286" s="159">
        <v>1</v>
      </c>
      <c r="E2286" s="159"/>
      <c r="F2286" s="159">
        <v>1816.2200000000003</v>
      </c>
      <c r="G2286" s="160"/>
      <c r="H2286" s="34" t="s">
        <v>925</v>
      </c>
    </row>
    <row r="2287" spans="1:8" ht="33">
      <c r="A2287" s="160"/>
      <c r="B2287" s="160" t="s">
        <v>934</v>
      </c>
      <c r="C2287" s="157" t="s">
        <v>3</v>
      </c>
      <c r="D2287" s="159"/>
      <c r="E2287" s="159"/>
      <c r="F2287" s="159">
        <v>1816.22</v>
      </c>
      <c r="G2287" s="160"/>
      <c r="H2287" s="34" t="s">
        <v>925</v>
      </c>
    </row>
    <row r="2288" spans="1:8" ht="33">
      <c r="A2288" s="160"/>
      <c r="B2288" s="160"/>
      <c r="C2288" s="157"/>
      <c r="D2288" s="159"/>
      <c r="E2288" s="159"/>
      <c r="F2288" s="159"/>
      <c r="G2288" s="160"/>
      <c r="H2288" s="34" t="s">
        <v>925</v>
      </c>
    </row>
    <row r="2289" spans="1:8" ht="33">
      <c r="A2289" s="160" t="s">
        <v>2417</v>
      </c>
      <c r="B2289" s="160" t="s">
        <v>2195</v>
      </c>
      <c r="C2289" s="157" t="s">
        <v>3</v>
      </c>
      <c r="D2289" s="159">
        <v>1</v>
      </c>
      <c r="E2289" s="159">
        <v>1494.08</v>
      </c>
      <c r="F2289" s="159"/>
      <c r="G2289" s="160" t="s">
        <v>2196</v>
      </c>
      <c r="H2289" s="34" t="s">
        <v>925</v>
      </c>
    </row>
    <row r="2290" spans="1:8" ht="33">
      <c r="A2290" s="160">
        <v>1</v>
      </c>
      <c r="B2290" s="160" t="s">
        <v>2182</v>
      </c>
      <c r="C2290" s="157" t="s">
        <v>3</v>
      </c>
      <c r="D2290" s="159">
        <v>1</v>
      </c>
      <c r="E2290" s="159">
        <v>331.84</v>
      </c>
      <c r="F2290" s="159">
        <v>331.84</v>
      </c>
      <c r="G2290" s="160" t="s">
        <v>2183</v>
      </c>
      <c r="H2290" s="34" t="s">
        <v>925</v>
      </c>
    </row>
    <row r="2291" spans="1:8" ht="33">
      <c r="A2291" s="160">
        <v>2</v>
      </c>
      <c r="B2291" s="160" t="s">
        <v>1294</v>
      </c>
      <c r="C2291" s="157" t="s">
        <v>1295</v>
      </c>
      <c r="D2291" s="159">
        <v>0.12</v>
      </c>
      <c r="E2291" s="159">
        <v>165.92</v>
      </c>
      <c r="F2291" s="159">
        <v>19.91</v>
      </c>
      <c r="G2291" s="160" t="s">
        <v>1296</v>
      </c>
      <c r="H2291" s="34" t="s">
        <v>925</v>
      </c>
    </row>
    <row r="2292" spans="1:8" ht="28.5">
      <c r="A2292" s="160">
        <v>3</v>
      </c>
      <c r="B2292" s="160" t="s">
        <v>2184</v>
      </c>
      <c r="C2292" s="157" t="s">
        <v>18</v>
      </c>
      <c r="D2292" s="159">
        <v>12</v>
      </c>
      <c r="E2292" s="159">
        <v>14.9</v>
      </c>
      <c r="F2292" s="159">
        <v>178.8</v>
      </c>
      <c r="G2292" s="160" t="s">
        <v>2185</v>
      </c>
    </row>
    <row r="2293" spans="1:8" ht="33">
      <c r="A2293" s="160">
        <v>4</v>
      </c>
      <c r="B2293" s="160" t="s">
        <v>2186</v>
      </c>
      <c r="C2293" s="157" t="s">
        <v>18</v>
      </c>
      <c r="D2293" s="159">
        <v>3</v>
      </c>
      <c r="E2293" s="159">
        <v>11.92</v>
      </c>
      <c r="F2293" s="159">
        <v>35.76</v>
      </c>
      <c r="G2293" s="160" t="s">
        <v>2187</v>
      </c>
      <c r="H2293" s="34" t="s">
        <v>925</v>
      </c>
    </row>
    <row r="2294" spans="1:8" ht="33">
      <c r="A2294" s="160">
        <v>5</v>
      </c>
      <c r="B2294" s="160" t="s">
        <v>2197</v>
      </c>
      <c r="C2294" s="157" t="s">
        <v>14</v>
      </c>
      <c r="D2294" s="159">
        <v>1</v>
      </c>
      <c r="E2294" s="159">
        <v>4.97</v>
      </c>
      <c r="F2294" s="159">
        <v>4.97</v>
      </c>
      <c r="G2294" s="160" t="s">
        <v>2198</v>
      </c>
      <c r="H2294" s="34" t="s">
        <v>925</v>
      </c>
    </row>
    <row r="2295" spans="1:8" ht="33">
      <c r="A2295" s="160">
        <v>6</v>
      </c>
      <c r="B2295" s="160" t="s">
        <v>1644</v>
      </c>
      <c r="C2295" s="157" t="s">
        <v>927</v>
      </c>
      <c r="D2295" s="159">
        <v>1</v>
      </c>
      <c r="E2295" s="159">
        <v>279.18</v>
      </c>
      <c r="F2295" s="159">
        <v>279.18</v>
      </c>
      <c r="G2295" s="160" t="s">
        <v>1645</v>
      </c>
      <c r="H2295" s="34" t="s">
        <v>925</v>
      </c>
    </row>
    <row r="2296" spans="1:8" ht="33">
      <c r="A2296" s="160">
        <v>7</v>
      </c>
      <c r="B2296" s="160" t="s">
        <v>2199</v>
      </c>
      <c r="C2296" s="157" t="s">
        <v>927</v>
      </c>
      <c r="D2296" s="159">
        <v>1.4</v>
      </c>
      <c r="E2296" s="159">
        <v>407.35</v>
      </c>
      <c r="F2296" s="159">
        <v>570.29</v>
      </c>
      <c r="G2296" s="160" t="s">
        <v>2200</v>
      </c>
      <c r="H2296" s="34" t="s">
        <v>925</v>
      </c>
    </row>
    <row r="2297" spans="1:8" ht="33">
      <c r="A2297" s="160">
        <v>8</v>
      </c>
      <c r="B2297" s="160" t="s">
        <v>2201</v>
      </c>
      <c r="C2297" s="157" t="s">
        <v>3</v>
      </c>
      <c r="D2297" s="159">
        <v>1</v>
      </c>
      <c r="E2297" s="159">
        <v>29.81</v>
      </c>
      <c r="F2297" s="159">
        <v>29.81</v>
      </c>
      <c r="G2297" s="160" t="s">
        <v>2202</v>
      </c>
      <c r="H2297" s="34" t="s">
        <v>925</v>
      </c>
    </row>
    <row r="2298" spans="1:8" ht="33">
      <c r="A2298" s="160">
        <v>9</v>
      </c>
      <c r="B2298" s="160" t="s">
        <v>955</v>
      </c>
      <c r="C2298" s="157" t="s">
        <v>14</v>
      </c>
      <c r="D2298" s="159">
        <v>1</v>
      </c>
      <c r="E2298" s="159">
        <v>43.52</v>
      </c>
      <c r="F2298" s="159">
        <v>43.52</v>
      </c>
      <c r="G2298" s="160" t="s">
        <v>956</v>
      </c>
      <c r="H2298" s="34" t="s">
        <v>925</v>
      </c>
    </row>
    <row r="2299" spans="1:8" ht="33">
      <c r="A2299" s="160"/>
      <c r="B2299" s="160" t="s">
        <v>933</v>
      </c>
      <c r="C2299" s="157" t="s">
        <v>3</v>
      </c>
      <c r="D2299" s="159">
        <v>1</v>
      </c>
      <c r="E2299" s="159"/>
      <c r="F2299" s="159">
        <v>1494.08</v>
      </c>
      <c r="G2299" s="160"/>
      <c r="H2299" s="34" t="s">
        <v>925</v>
      </c>
    </row>
    <row r="2300" spans="1:8" ht="33">
      <c r="A2300" s="160"/>
      <c r="B2300" s="160" t="s">
        <v>934</v>
      </c>
      <c r="C2300" s="157" t="s">
        <v>3</v>
      </c>
      <c r="D2300" s="159"/>
      <c r="E2300" s="159"/>
      <c r="F2300" s="159">
        <v>1494.08</v>
      </c>
      <c r="G2300" s="160"/>
      <c r="H2300" s="34" t="s">
        <v>925</v>
      </c>
    </row>
    <row r="2301" spans="1:8" ht="33">
      <c r="A2301" s="160"/>
      <c r="B2301" s="160"/>
      <c r="C2301" s="157"/>
      <c r="D2301" s="159"/>
      <c r="E2301" s="159"/>
      <c r="F2301" s="159"/>
      <c r="G2301" s="160"/>
      <c r="H2301" s="34" t="s">
        <v>925</v>
      </c>
    </row>
    <row r="2302" spans="1:8" ht="28.5">
      <c r="A2302" s="160" t="s">
        <v>2421</v>
      </c>
      <c r="B2302" s="160" t="s">
        <v>2204</v>
      </c>
      <c r="C2302" s="157" t="s">
        <v>1818</v>
      </c>
      <c r="D2302" s="159">
        <v>1</v>
      </c>
      <c r="E2302" s="159">
        <v>2733.17</v>
      </c>
      <c r="F2302" s="159"/>
      <c r="G2302" s="160" t="s">
        <v>2205</v>
      </c>
    </row>
    <row r="2303" spans="1:8" ht="33">
      <c r="A2303" s="160">
        <v>1</v>
      </c>
      <c r="B2303" s="160" t="s">
        <v>1250</v>
      </c>
      <c r="C2303" s="157" t="s">
        <v>17</v>
      </c>
      <c r="D2303" s="159">
        <v>4.4000000000000004</v>
      </c>
      <c r="E2303" s="159">
        <v>76.73</v>
      </c>
      <c r="F2303" s="159">
        <v>337.61</v>
      </c>
      <c r="G2303" s="160" t="s">
        <v>4979</v>
      </c>
      <c r="H2303" s="34" t="s">
        <v>925</v>
      </c>
    </row>
    <row r="2304" spans="1:8" ht="33">
      <c r="A2304" s="160">
        <v>2</v>
      </c>
      <c r="B2304" s="160" t="s">
        <v>985</v>
      </c>
      <c r="C2304" s="157" t="s">
        <v>1</v>
      </c>
      <c r="D2304" s="159">
        <v>0.19</v>
      </c>
      <c r="E2304" s="159">
        <v>644.12</v>
      </c>
      <c r="F2304" s="159">
        <v>122.38</v>
      </c>
      <c r="G2304" s="160" t="s">
        <v>4980</v>
      </c>
      <c r="H2304" s="34" t="s">
        <v>925</v>
      </c>
    </row>
    <row r="2305" spans="1:8" ht="33">
      <c r="A2305" s="160">
        <v>3</v>
      </c>
      <c r="B2305" s="160" t="s">
        <v>26</v>
      </c>
      <c r="C2305" s="157" t="s">
        <v>1</v>
      </c>
      <c r="D2305" s="159">
        <v>0.19</v>
      </c>
      <c r="E2305" s="159">
        <v>711.86</v>
      </c>
      <c r="F2305" s="159">
        <v>135.25</v>
      </c>
      <c r="G2305" s="160" t="s">
        <v>4981</v>
      </c>
      <c r="H2305" s="34" t="s">
        <v>925</v>
      </c>
    </row>
    <row r="2306" spans="1:8" ht="33">
      <c r="A2306" s="160">
        <v>4</v>
      </c>
      <c r="B2306" s="160" t="s">
        <v>1317</v>
      </c>
      <c r="C2306" s="157" t="s">
        <v>0</v>
      </c>
      <c r="D2306" s="159">
        <v>0.19</v>
      </c>
      <c r="E2306" s="159">
        <v>3954.28</v>
      </c>
      <c r="F2306" s="159">
        <v>751.31</v>
      </c>
      <c r="G2306" s="160" t="s">
        <v>1318</v>
      </c>
      <c r="H2306" s="34" t="s">
        <v>925</v>
      </c>
    </row>
    <row r="2307" spans="1:8" ht="33">
      <c r="A2307" s="160">
        <v>5</v>
      </c>
      <c r="B2307" s="160" t="s">
        <v>2207</v>
      </c>
      <c r="C2307" s="157" t="s">
        <v>1689</v>
      </c>
      <c r="D2307" s="159">
        <v>1</v>
      </c>
      <c r="E2307" s="159">
        <v>447.09</v>
      </c>
      <c r="F2307" s="159">
        <v>447.09</v>
      </c>
      <c r="G2307" s="160" t="s">
        <v>2208</v>
      </c>
      <c r="H2307" s="34" t="s">
        <v>925</v>
      </c>
    </row>
    <row r="2308" spans="1:8" ht="33">
      <c r="A2308" s="160">
        <v>6</v>
      </c>
      <c r="B2308" s="160" t="s">
        <v>2209</v>
      </c>
      <c r="C2308" s="157" t="s">
        <v>14</v>
      </c>
      <c r="D2308" s="159">
        <v>1</v>
      </c>
      <c r="E2308" s="159">
        <v>99.35</v>
      </c>
      <c r="F2308" s="159">
        <v>99.35</v>
      </c>
      <c r="G2308" s="160" t="s">
        <v>2210</v>
      </c>
      <c r="H2308" s="34" t="s">
        <v>925</v>
      </c>
    </row>
    <row r="2309" spans="1:8" ht="57">
      <c r="A2309" s="160">
        <v>7</v>
      </c>
      <c r="B2309" s="160" t="s">
        <v>513</v>
      </c>
      <c r="C2309" s="157" t="s">
        <v>18</v>
      </c>
      <c r="D2309" s="159">
        <v>23.82</v>
      </c>
      <c r="E2309" s="159">
        <v>31.93</v>
      </c>
      <c r="F2309" s="159">
        <v>760.57</v>
      </c>
      <c r="G2309" s="160" t="s">
        <v>4952</v>
      </c>
      <c r="H2309" s="34" t="s">
        <v>925</v>
      </c>
    </row>
    <row r="2310" spans="1:8" ht="28.5">
      <c r="A2310" s="160">
        <v>8</v>
      </c>
      <c r="B2310" s="160" t="s">
        <v>931</v>
      </c>
      <c r="C2310" s="157" t="s">
        <v>14</v>
      </c>
      <c r="D2310" s="159">
        <v>1</v>
      </c>
      <c r="E2310" s="159">
        <v>79.61</v>
      </c>
      <c r="F2310" s="159">
        <v>79.61</v>
      </c>
      <c r="G2310" s="160" t="s">
        <v>932</v>
      </c>
    </row>
    <row r="2311" spans="1:8" ht="33">
      <c r="A2311" s="160"/>
      <c r="B2311" s="160" t="s">
        <v>933</v>
      </c>
      <c r="C2311" s="157" t="s">
        <v>1818</v>
      </c>
      <c r="D2311" s="159">
        <v>1</v>
      </c>
      <c r="E2311" s="159"/>
      <c r="F2311" s="159">
        <v>2733.17</v>
      </c>
      <c r="G2311" s="160"/>
      <c r="H2311" s="34" t="s">
        <v>925</v>
      </c>
    </row>
    <row r="2312" spans="1:8" ht="33">
      <c r="A2312" s="160"/>
      <c r="B2312" s="160" t="s">
        <v>934</v>
      </c>
      <c r="C2312" s="157" t="s">
        <v>1818</v>
      </c>
      <c r="D2312" s="159"/>
      <c r="E2312" s="159"/>
      <c r="F2312" s="159">
        <v>2733.17</v>
      </c>
      <c r="G2312" s="160"/>
      <c r="H2312" s="34" t="s">
        <v>925</v>
      </c>
    </row>
    <row r="2313" spans="1:8" ht="33">
      <c r="A2313" s="160"/>
      <c r="B2313" s="160"/>
      <c r="C2313" s="157"/>
      <c r="D2313" s="159"/>
      <c r="E2313" s="159"/>
      <c r="F2313" s="159"/>
      <c r="G2313" s="160"/>
      <c r="H2313" s="34" t="s">
        <v>925</v>
      </c>
    </row>
    <row r="2314" spans="1:8" ht="33">
      <c r="A2314" s="160" t="s">
        <v>2426</v>
      </c>
      <c r="B2314" s="160" t="s">
        <v>2212</v>
      </c>
      <c r="C2314" s="157" t="s">
        <v>1818</v>
      </c>
      <c r="D2314" s="159">
        <v>1</v>
      </c>
      <c r="E2314" s="159">
        <v>2923</v>
      </c>
      <c r="F2314" s="159"/>
      <c r="G2314" s="160" t="s">
        <v>2213</v>
      </c>
      <c r="H2314" s="34" t="s">
        <v>925</v>
      </c>
    </row>
    <row r="2315" spans="1:8" ht="33">
      <c r="A2315" s="160">
        <v>1</v>
      </c>
      <c r="B2315" s="160" t="s">
        <v>1250</v>
      </c>
      <c r="C2315" s="157" t="s">
        <v>17</v>
      </c>
      <c r="D2315" s="159">
        <v>4.4000000000000004</v>
      </c>
      <c r="E2315" s="159">
        <v>76.73</v>
      </c>
      <c r="F2315" s="159">
        <v>337.61</v>
      </c>
      <c r="G2315" s="160" t="s">
        <v>4979</v>
      </c>
      <c r="H2315" s="34" t="s">
        <v>925</v>
      </c>
    </row>
    <row r="2316" spans="1:8" ht="33">
      <c r="A2316" s="160">
        <v>2</v>
      </c>
      <c r="B2316" s="160" t="s">
        <v>2214</v>
      </c>
      <c r="C2316" s="157" t="s">
        <v>1</v>
      </c>
      <c r="D2316" s="159">
        <v>0.19</v>
      </c>
      <c r="E2316" s="159">
        <v>1483.81</v>
      </c>
      <c r="F2316" s="159">
        <v>281.92</v>
      </c>
      <c r="G2316" s="160" t="s">
        <v>4982</v>
      </c>
      <c r="H2316" s="34" t="s">
        <v>925</v>
      </c>
    </row>
    <row r="2317" spans="1:8" ht="33">
      <c r="A2317" s="160">
        <v>3</v>
      </c>
      <c r="B2317" s="160" t="s">
        <v>2216</v>
      </c>
      <c r="C2317" s="157" t="s">
        <v>1</v>
      </c>
      <c r="D2317" s="159">
        <v>0.19</v>
      </c>
      <c r="E2317" s="159">
        <v>842.14</v>
      </c>
      <c r="F2317" s="159">
        <v>160.01</v>
      </c>
      <c r="G2317" s="160" t="s">
        <v>2217</v>
      </c>
      <c r="H2317" s="34" t="s">
        <v>925</v>
      </c>
    </row>
    <row r="2318" spans="1:8" ht="28.5">
      <c r="A2318" s="160">
        <v>4</v>
      </c>
      <c r="B2318" s="160" t="s">
        <v>1317</v>
      </c>
      <c r="C2318" s="157" t="s">
        <v>0</v>
      </c>
      <c r="D2318" s="159">
        <v>0.19</v>
      </c>
      <c r="E2318" s="159">
        <v>3954.28</v>
      </c>
      <c r="F2318" s="159">
        <v>751.31</v>
      </c>
      <c r="G2318" s="160" t="s">
        <v>1318</v>
      </c>
    </row>
    <row r="2319" spans="1:8" ht="33">
      <c r="A2319" s="160">
        <v>5</v>
      </c>
      <c r="B2319" s="160" t="s">
        <v>2207</v>
      </c>
      <c r="C2319" s="157" t="s">
        <v>1689</v>
      </c>
      <c r="D2319" s="159">
        <v>1</v>
      </c>
      <c r="E2319" s="159">
        <v>447.09</v>
      </c>
      <c r="F2319" s="159">
        <v>447.09</v>
      </c>
      <c r="G2319" s="160" t="s">
        <v>2208</v>
      </c>
      <c r="H2319" s="34" t="s">
        <v>925</v>
      </c>
    </row>
    <row r="2320" spans="1:8" ht="33">
      <c r="A2320" s="160">
        <v>6</v>
      </c>
      <c r="B2320" s="160" t="s">
        <v>2209</v>
      </c>
      <c r="C2320" s="157" t="s">
        <v>14</v>
      </c>
      <c r="D2320" s="159">
        <v>1</v>
      </c>
      <c r="E2320" s="159">
        <v>99.35</v>
      </c>
      <c r="F2320" s="159">
        <v>99.35</v>
      </c>
      <c r="G2320" s="160" t="s">
        <v>2210</v>
      </c>
      <c r="H2320" s="34" t="s">
        <v>925</v>
      </c>
    </row>
    <row r="2321" spans="1:8" ht="57">
      <c r="A2321" s="160">
        <v>7</v>
      </c>
      <c r="B2321" s="160" t="s">
        <v>513</v>
      </c>
      <c r="C2321" s="157" t="s">
        <v>18</v>
      </c>
      <c r="D2321" s="159">
        <v>23.82</v>
      </c>
      <c r="E2321" s="159">
        <v>31.93</v>
      </c>
      <c r="F2321" s="159">
        <v>760.57</v>
      </c>
      <c r="G2321" s="160" t="s">
        <v>4952</v>
      </c>
      <c r="H2321" s="34" t="s">
        <v>925</v>
      </c>
    </row>
    <row r="2322" spans="1:8" ht="33">
      <c r="A2322" s="160">
        <v>8</v>
      </c>
      <c r="B2322" s="160" t="s">
        <v>931</v>
      </c>
      <c r="C2322" s="157" t="s">
        <v>14</v>
      </c>
      <c r="D2322" s="159">
        <v>1</v>
      </c>
      <c r="E2322" s="159">
        <v>85.14</v>
      </c>
      <c r="F2322" s="159">
        <v>85.14</v>
      </c>
      <c r="G2322" s="160" t="s">
        <v>932</v>
      </c>
      <c r="H2322" s="34" t="s">
        <v>925</v>
      </c>
    </row>
    <row r="2323" spans="1:8" ht="33">
      <c r="A2323" s="160"/>
      <c r="B2323" s="160" t="s">
        <v>933</v>
      </c>
      <c r="C2323" s="157" t="s">
        <v>1818</v>
      </c>
      <c r="D2323" s="159">
        <v>1</v>
      </c>
      <c r="E2323" s="159"/>
      <c r="F2323" s="159">
        <v>2923</v>
      </c>
      <c r="G2323" s="160"/>
      <c r="H2323" s="34" t="s">
        <v>925</v>
      </c>
    </row>
    <row r="2324" spans="1:8" ht="33">
      <c r="A2324" s="160"/>
      <c r="B2324" s="160" t="s">
        <v>934</v>
      </c>
      <c r="C2324" s="157" t="s">
        <v>1818</v>
      </c>
      <c r="D2324" s="159"/>
      <c r="E2324" s="159"/>
      <c r="F2324" s="159">
        <v>2923</v>
      </c>
      <c r="G2324" s="160"/>
      <c r="H2324" s="34" t="s">
        <v>925</v>
      </c>
    </row>
    <row r="2325" spans="1:8" ht="33">
      <c r="A2325" s="160"/>
      <c r="B2325" s="160"/>
      <c r="C2325" s="157"/>
      <c r="D2325" s="159"/>
      <c r="E2325" s="159"/>
      <c r="F2325" s="159"/>
      <c r="G2325" s="160"/>
      <c r="H2325" s="34" t="s">
        <v>925</v>
      </c>
    </row>
    <row r="2326" spans="1:8" ht="28.5">
      <c r="A2326" s="160" t="s">
        <v>2432</v>
      </c>
      <c r="B2326" s="160" t="s">
        <v>2219</v>
      </c>
      <c r="C2326" s="157" t="s">
        <v>1818</v>
      </c>
      <c r="D2326" s="159">
        <v>1</v>
      </c>
      <c r="E2326" s="159">
        <v>15013.3</v>
      </c>
      <c r="F2326" s="159"/>
      <c r="G2326" s="160" t="s">
        <v>2220</v>
      </c>
    </row>
    <row r="2327" spans="1:8" ht="33">
      <c r="A2327" s="160">
        <v>1</v>
      </c>
      <c r="B2327" s="160" t="s">
        <v>1250</v>
      </c>
      <c r="C2327" s="157" t="s">
        <v>17</v>
      </c>
      <c r="D2327" s="159">
        <v>4.4000000000000004</v>
      </c>
      <c r="E2327" s="159">
        <v>76.73</v>
      </c>
      <c r="F2327" s="159">
        <v>337.61</v>
      </c>
      <c r="G2327" s="160" t="s">
        <v>4979</v>
      </c>
      <c r="H2327" s="34" t="s">
        <v>925</v>
      </c>
    </row>
    <row r="2328" spans="1:8" ht="33">
      <c r="A2328" s="160">
        <v>2</v>
      </c>
      <c r="B2328" s="160" t="s">
        <v>985</v>
      </c>
      <c r="C2328" s="157" t="s">
        <v>1</v>
      </c>
      <c r="D2328" s="159">
        <v>0.19</v>
      </c>
      <c r="E2328" s="159">
        <v>644.12</v>
      </c>
      <c r="F2328" s="159">
        <v>122.38</v>
      </c>
      <c r="G2328" s="160" t="s">
        <v>4980</v>
      </c>
      <c r="H2328" s="34" t="s">
        <v>925</v>
      </c>
    </row>
    <row r="2329" spans="1:8" ht="33">
      <c r="A2329" s="160">
        <v>3</v>
      </c>
      <c r="B2329" s="160" t="s">
        <v>26</v>
      </c>
      <c r="C2329" s="157" t="s">
        <v>1</v>
      </c>
      <c r="D2329" s="159">
        <v>0.19</v>
      </c>
      <c r="E2329" s="159">
        <v>711.86</v>
      </c>
      <c r="F2329" s="159">
        <v>135.25</v>
      </c>
      <c r="G2329" s="160" t="s">
        <v>4981</v>
      </c>
      <c r="H2329" s="34" t="s">
        <v>925</v>
      </c>
    </row>
    <row r="2330" spans="1:8" ht="33">
      <c r="A2330" s="160">
        <v>4</v>
      </c>
      <c r="B2330" s="160" t="s">
        <v>1317</v>
      </c>
      <c r="C2330" s="157" t="s">
        <v>0</v>
      </c>
      <c r="D2330" s="159">
        <v>0.19</v>
      </c>
      <c r="E2330" s="159">
        <v>3954.28</v>
      </c>
      <c r="F2330" s="159">
        <v>751.31</v>
      </c>
      <c r="G2330" s="160" t="s">
        <v>1318</v>
      </c>
      <c r="H2330" s="34" t="s">
        <v>925</v>
      </c>
    </row>
    <row r="2331" spans="1:8" ht="33">
      <c r="A2331" s="160">
        <v>5</v>
      </c>
      <c r="B2331" s="160" t="s">
        <v>2207</v>
      </c>
      <c r="C2331" s="157" t="s">
        <v>1689</v>
      </c>
      <c r="D2331" s="159">
        <v>1</v>
      </c>
      <c r="E2331" s="159">
        <v>447.09</v>
      </c>
      <c r="F2331" s="159">
        <v>447.09</v>
      </c>
      <c r="G2331" s="160" t="s">
        <v>2208</v>
      </c>
      <c r="H2331" s="34" t="s">
        <v>925</v>
      </c>
    </row>
    <row r="2332" spans="1:8" ht="57">
      <c r="A2332" s="160">
        <v>6</v>
      </c>
      <c r="B2332" s="160" t="s">
        <v>513</v>
      </c>
      <c r="C2332" s="157" t="s">
        <v>18</v>
      </c>
      <c r="D2332" s="159">
        <v>23.82</v>
      </c>
      <c r="E2332" s="159">
        <v>31.93</v>
      </c>
      <c r="F2332" s="159">
        <v>760.57</v>
      </c>
      <c r="G2332" s="160" t="s">
        <v>4952</v>
      </c>
      <c r="H2332" s="34" t="s">
        <v>925</v>
      </c>
    </row>
    <row r="2333" spans="1:8" ht="33">
      <c r="A2333" s="160">
        <v>7</v>
      </c>
      <c r="B2333" s="160" t="s">
        <v>2221</v>
      </c>
      <c r="C2333" s="157" t="s">
        <v>14</v>
      </c>
      <c r="D2333" s="159">
        <v>1</v>
      </c>
      <c r="E2333" s="159">
        <v>99.35</v>
      </c>
      <c r="F2333" s="159">
        <v>99.35</v>
      </c>
      <c r="G2333" s="160" t="s">
        <v>2222</v>
      </c>
      <c r="H2333" s="34" t="s">
        <v>925</v>
      </c>
    </row>
    <row r="2334" spans="1:8" ht="28.5">
      <c r="A2334" s="160">
        <v>8</v>
      </c>
      <c r="B2334" s="160" t="s">
        <v>2223</v>
      </c>
      <c r="C2334" s="157" t="s">
        <v>1689</v>
      </c>
      <c r="D2334" s="159">
        <v>1</v>
      </c>
      <c r="E2334" s="159">
        <v>11922.46</v>
      </c>
      <c r="F2334" s="159">
        <v>11922.46</v>
      </c>
      <c r="G2334" s="160" t="s">
        <v>2224</v>
      </c>
    </row>
    <row r="2335" spans="1:8" ht="33">
      <c r="A2335" s="160">
        <v>9</v>
      </c>
      <c r="B2335" s="160" t="s">
        <v>931</v>
      </c>
      <c r="C2335" s="157" t="s">
        <v>14</v>
      </c>
      <c r="D2335" s="159">
        <v>1</v>
      </c>
      <c r="E2335" s="159">
        <v>437.28</v>
      </c>
      <c r="F2335" s="159">
        <v>437.28</v>
      </c>
      <c r="G2335" s="160" t="s">
        <v>932</v>
      </c>
      <c r="H2335" s="34" t="s">
        <v>925</v>
      </c>
    </row>
    <row r="2336" spans="1:8" ht="33">
      <c r="A2336" s="160"/>
      <c r="B2336" s="160" t="s">
        <v>933</v>
      </c>
      <c r="C2336" s="157" t="s">
        <v>1818</v>
      </c>
      <c r="D2336" s="159">
        <v>1</v>
      </c>
      <c r="E2336" s="159"/>
      <c r="F2336" s="159">
        <v>15013.3</v>
      </c>
      <c r="G2336" s="160"/>
      <c r="H2336" s="34" t="s">
        <v>925</v>
      </c>
    </row>
    <row r="2337" spans="1:8" ht="33">
      <c r="A2337" s="160"/>
      <c r="B2337" s="160" t="s">
        <v>934</v>
      </c>
      <c r="C2337" s="157" t="s">
        <v>1818</v>
      </c>
      <c r="D2337" s="159"/>
      <c r="E2337" s="159"/>
      <c r="F2337" s="159">
        <v>15013.3</v>
      </c>
      <c r="G2337" s="160"/>
      <c r="H2337" s="34" t="s">
        <v>925</v>
      </c>
    </row>
    <row r="2338" spans="1:8" ht="33">
      <c r="A2338" s="160"/>
      <c r="B2338" s="160"/>
      <c r="C2338" s="157"/>
      <c r="D2338" s="159"/>
      <c r="E2338" s="159"/>
      <c r="F2338" s="159"/>
      <c r="G2338" s="160"/>
      <c r="H2338" s="34" t="s">
        <v>925</v>
      </c>
    </row>
    <row r="2339" spans="1:8" ht="33">
      <c r="A2339" s="160" t="s">
        <v>2437</v>
      </c>
      <c r="B2339" s="160" t="s">
        <v>2226</v>
      </c>
      <c r="C2339" s="157" t="s">
        <v>1818</v>
      </c>
      <c r="D2339" s="159">
        <v>1</v>
      </c>
      <c r="E2339" s="159">
        <v>15203.13</v>
      </c>
      <c r="F2339" s="159"/>
      <c r="G2339" s="160" t="s">
        <v>2227</v>
      </c>
      <c r="H2339" s="34" t="s">
        <v>925</v>
      </c>
    </row>
    <row r="2340" spans="1:8" ht="33">
      <c r="A2340" s="160">
        <v>1</v>
      </c>
      <c r="B2340" s="160" t="s">
        <v>1250</v>
      </c>
      <c r="C2340" s="157" t="s">
        <v>17</v>
      </c>
      <c r="D2340" s="159">
        <v>4.4000000000000004</v>
      </c>
      <c r="E2340" s="159">
        <v>76.73</v>
      </c>
      <c r="F2340" s="159">
        <v>337.61</v>
      </c>
      <c r="G2340" s="160" t="s">
        <v>4979</v>
      </c>
      <c r="H2340" s="34" t="s">
        <v>925</v>
      </c>
    </row>
    <row r="2341" spans="1:8" ht="33">
      <c r="A2341" s="160">
        <v>2</v>
      </c>
      <c r="B2341" s="160" t="s">
        <v>2214</v>
      </c>
      <c r="C2341" s="157" t="s">
        <v>1</v>
      </c>
      <c r="D2341" s="159">
        <v>0.19</v>
      </c>
      <c r="E2341" s="159">
        <v>1483.81</v>
      </c>
      <c r="F2341" s="159">
        <v>281.92</v>
      </c>
      <c r="G2341" s="160" t="s">
        <v>4982</v>
      </c>
      <c r="H2341" s="34" t="s">
        <v>925</v>
      </c>
    </row>
    <row r="2342" spans="1:8" ht="33">
      <c r="A2342" s="160">
        <v>3</v>
      </c>
      <c r="B2342" s="160" t="s">
        <v>2216</v>
      </c>
      <c r="C2342" s="157" t="s">
        <v>1</v>
      </c>
      <c r="D2342" s="159">
        <v>0.19</v>
      </c>
      <c r="E2342" s="159">
        <v>842.14</v>
      </c>
      <c r="F2342" s="159">
        <v>160.01</v>
      </c>
      <c r="G2342" s="160" t="s">
        <v>2217</v>
      </c>
      <c r="H2342" s="34" t="s">
        <v>925</v>
      </c>
    </row>
    <row r="2343" spans="1:8" ht="28.5">
      <c r="A2343" s="160">
        <v>4</v>
      </c>
      <c r="B2343" s="160" t="s">
        <v>1317</v>
      </c>
      <c r="C2343" s="157" t="s">
        <v>0</v>
      </c>
      <c r="D2343" s="159">
        <v>0.19</v>
      </c>
      <c r="E2343" s="159">
        <v>3954.28</v>
      </c>
      <c r="F2343" s="159">
        <v>751.31</v>
      </c>
      <c r="G2343" s="160" t="s">
        <v>1318</v>
      </c>
    </row>
    <row r="2344" spans="1:8" ht="33">
      <c r="A2344" s="160">
        <v>5</v>
      </c>
      <c r="B2344" s="160" t="s">
        <v>2207</v>
      </c>
      <c r="C2344" s="157" t="s">
        <v>1689</v>
      </c>
      <c r="D2344" s="159">
        <v>1</v>
      </c>
      <c r="E2344" s="159">
        <v>447.09</v>
      </c>
      <c r="F2344" s="159">
        <v>447.09</v>
      </c>
      <c r="G2344" s="160" t="s">
        <v>2208</v>
      </c>
      <c r="H2344" s="34" t="s">
        <v>925</v>
      </c>
    </row>
    <row r="2345" spans="1:8" ht="57">
      <c r="A2345" s="160">
        <v>6</v>
      </c>
      <c r="B2345" s="160" t="s">
        <v>513</v>
      </c>
      <c r="C2345" s="157" t="s">
        <v>18</v>
      </c>
      <c r="D2345" s="159">
        <v>23.82</v>
      </c>
      <c r="E2345" s="159">
        <v>31.93</v>
      </c>
      <c r="F2345" s="159">
        <v>760.57</v>
      </c>
      <c r="G2345" s="160" t="s">
        <v>4952</v>
      </c>
      <c r="H2345" s="34" t="s">
        <v>925</v>
      </c>
    </row>
    <row r="2346" spans="1:8" ht="33">
      <c r="A2346" s="160">
        <v>7</v>
      </c>
      <c r="B2346" s="160" t="s">
        <v>2221</v>
      </c>
      <c r="C2346" s="157" t="s">
        <v>14</v>
      </c>
      <c r="D2346" s="159">
        <v>1</v>
      </c>
      <c r="E2346" s="159">
        <v>99.35</v>
      </c>
      <c r="F2346" s="159">
        <v>99.35</v>
      </c>
      <c r="G2346" s="160" t="s">
        <v>2222</v>
      </c>
      <c r="H2346" s="34" t="s">
        <v>925</v>
      </c>
    </row>
    <row r="2347" spans="1:8" ht="33">
      <c r="A2347" s="160">
        <v>8</v>
      </c>
      <c r="B2347" s="160" t="s">
        <v>2223</v>
      </c>
      <c r="C2347" s="157" t="s">
        <v>1689</v>
      </c>
      <c r="D2347" s="159">
        <v>1</v>
      </c>
      <c r="E2347" s="159">
        <v>11922.46</v>
      </c>
      <c r="F2347" s="159">
        <v>11922.46</v>
      </c>
      <c r="G2347" s="160" t="s">
        <v>2224</v>
      </c>
      <c r="H2347" s="34" t="s">
        <v>925</v>
      </c>
    </row>
    <row r="2348" spans="1:8" ht="33">
      <c r="A2348" s="160">
        <v>9</v>
      </c>
      <c r="B2348" s="160" t="s">
        <v>931</v>
      </c>
      <c r="C2348" s="157" t="s">
        <v>14</v>
      </c>
      <c r="D2348" s="159">
        <v>1</v>
      </c>
      <c r="E2348" s="159">
        <v>442.81</v>
      </c>
      <c r="F2348" s="159">
        <v>442.81</v>
      </c>
      <c r="G2348" s="160" t="s">
        <v>932</v>
      </c>
      <c r="H2348" s="34" t="s">
        <v>925</v>
      </c>
    </row>
    <row r="2349" spans="1:8" ht="33">
      <c r="A2349" s="160"/>
      <c r="B2349" s="160" t="s">
        <v>933</v>
      </c>
      <c r="C2349" s="157" t="s">
        <v>1818</v>
      </c>
      <c r="D2349" s="159">
        <v>1</v>
      </c>
      <c r="E2349" s="159"/>
      <c r="F2349" s="159">
        <v>15203.13</v>
      </c>
      <c r="G2349" s="160"/>
      <c r="H2349" s="34" t="s">
        <v>925</v>
      </c>
    </row>
    <row r="2350" spans="1:8" ht="33">
      <c r="A2350" s="160"/>
      <c r="B2350" s="160" t="s">
        <v>934</v>
      </c>
      <c r="C2350" s="157" t="s">
        <v>1818</v>
      </c>
      <c r="D2350" s="159"/>
      <c r="E2350" s="159"/>
      <c r="F2350" s="159">
        <v>15203.13</v>
      </c>
      <c r="G2350" s="160"/>
      <c r="H2350" s="34" t="s">
        <v>925</v>
      </c>
    </row>
    <row r="2351" spans="1:8" ht="33">
      <c r="A2351" s="160"/>
      <c r="B2351" s="160"/>
      <c r="C2351" s="157"/>
      <c r="D2351" s="159"/>
      <c r="E2351" s="159"/>
      <c r="F2351" s="159"/>
      <c r="G2351" s="160"/>
      <c r="H2351" s="34" t="s">
        <v>925</v>
      </c>
    </row>
    <row r="2352" spans="1:8" ht="42.75">
      <c r="A2352" s="160" t="s">
        <v>2442</v>
      </c>
      <c r="B2352" s="160" t="s">
        <v>2229</v>
      </c>
      <c r="C2352" s="157" t="s">
        <v>1818</v>
      </c>
      <c r="D2352" s="159">
        <v>1</v>
      </c>
      <c r="E2352" s="159">
        <v>15990.24</v>
      </c>
      <c r="F2352" s="159"/>
      <c r="G2352" s="160" t="s">
        <v>2230</v>
      </c>
    </row>
    <row r="2353" spans="1:8" ht="33">
      <c r="A2353" s="160">
        <v>1</v>
      </c>
      <c r="B2353" s="160" t="s">
        <v>1250</v>
      </c>
      <c r="C2353" s="157" t="s">
        <v>17</v>
      </c>
      <c r="D2353" s="159">
        <v>4.4000000000000004</v>
      </c>
      <c r="E2353" s="159">
        <v>76.73</v>
      </c>
      <c r="F2353" s="159">
        <v>337.61</v>
      </c>
      <c r="G2353" s="160" t="s">
        <v>4979</v>
      </c>
      <c r="H2353" s="34" t="s">
        <v>925</v>
      </c>
    </row>
    <row r="2354" spans="1:8" ht="33">
      <c r="A2354" s="160">
        <v>2</v>
      </c>
      <c r="B2354" s="160" t="s">
        <v>453</v>
      </c>
      <c r="C2354" s="157" t="s">
        <v>0</v>
      </c>
      <c r="D2354" s="159">
        <v>0.19</v>
      </c>
      <c r="E2354" s="159">
        <v>5636.09</v>
      </c>
      <c r="F2354" s="159">
        <v>1070.8599999999999</v>
      </c>
      <c r="G2354" s="160" t="s">
        <v>4983</v>
      </c>
      <c r="H2354" s="34" t="s">
        <v>925</v>
      </c>
    </row>
    <row r="2355" spans="1:8" ht="33">
      <c r="A2355" s="160">
        <v>3</v>
      </c>
      <c r="B2355" s="160" t="s">
        <v>26</v>
      </c>
      <c r="C2355" s="157" t="s">
        <v>1</v>
      </c>
      <c r="D2355" s="159">
        <v>0.19</v>
      </c>
      <c r="E2355" s="159">
        <v>711.86</v>
      </c>
      <c r="F2355" s="159">
        <v>135.25</v>
      </c>
      <c r="G2355" s="160" t="s">
        <v>4981</v>
      </c>
      <c r="H2355" s="34" t="s">
        <v>925</v>
      </c>
    </row>
    <row r="2356" spans="1:8" ht="33">
      <c r="A2356" s="160">
        <v>4</v>
      </c>
      <c r="B2356" s="160" t="s">
        <v>1317</v>
      </c>
      <c r="C2356" s="157" t="s">
        <v>0</v>
      </c>
      <c r="D2356" s="159">
        <v>0.19</v>
      </c>
      <c r="E2356" s="159">
        <v>3954.28</v>
      </c>
      <c r="F2356" s="159">
        <v>751.31</v>
      </c>
      <c r="G2356" s="160" t="s">
        <v>1318</v>
      </c>
      <c r="H2356" s="34" t="s">
        <v>925</v>
      </c>
    </row>
    <row r="2357" spans="1:8" ht="33">
      <c r="A2357" s="160">
        <v>5</v>
      </c>
      <c r="B2357" s="160" t="s">
        <v>2207</v>
      </c>
      <c r="C2357" s="157" t="s">
        <v>1689</v>
      </c>
      <c r="D2357" s="159">
        <v>1</v>
      </c>
      <c r="E2357" s="159">
        <v>447.09</v>
      </c>
      <c r="F2357" s="159">
        <v>447.09</v>
      </c>
      <c r="G2357" s="160" t="s">
        <v>2208</v>
      </c>
      <c r="H2357" s="34" t="s">
        <v>925</v>
      </c>
    </row>
    <row r="2358" spans="1:8" ht="57">
      <c r="A2358" s="160">
        <v>6</v>
      </c>
      <c r="B2358" s="160" t="s">
        <v>513</v>
      </c>
      <c r="C2358" s="157" t="s">
        <v>18</v>
      </c>
      <c r="D2358" s="159">
        <v>23.82</v>
      </c>
      <c r="E2358" s="159">
        <v>31.93</v>
      </c>
      <c r="F2358" s="159">
        <v>760.57</v>
      </c>
      <c r="G2358" s="160" t="s">
        <v>4952</v>
      </c>
      <c r="H2358" s="34" t="s">
        <v>925</v>
      </c>
    </row>
    <row r="2359" spans="1:8" ht="33">
      <c r="A2359" s="160">
        <v>7</v>
      </c>
      <c r="B2359" s="160" t="s">
        <v>2221</v>
      </c>
      <c r="C2359" s="157" t="s">
        <v>14</v>
      </c>
      <c r="D2359" s="159">
        <v>1</v>
      </c>
      <c r="E2359" s="159">
        <v>99.35</v>
      </c>
      <c r="F2359" s="159">
        <v>99.35</v>
      </c>
      <c r="G2359" s="160" t="s">
        <v>2222</v>
      </c>
      <c r="H2359" s="34" t="s">
        <v>925</v>
      </c>
    </row>
    <row r="2360" spans="1:8" ht="33">
      <c r="A2360" s="160">
        <v>8</v>
      </c>
      <c r="B2360" s="160" t="s">
        <v>2223</v>
      </c>
      <c r="C2360" s="157" t="s">
        <v>1689</v>
      </c>
      <c r="D2360" s="159">
        <v>1</v>
      </c>
      <c r="E2360" s="159">
        <v>11922.46</v>
      </c>
      <c r="F2360" s="159">
        <v>11922.46</v>
      </c>
      <c r="G2360" s="160" t="s">
        <v>2224</v>
      </c>
      <c r="H2360" s="34" t="s">
        <v>925</v>
      </c>
    </row>
    <row r="2361" spans="1:8" ht="28.5">
      <c r="A2361" s="160">
        <v>9</v>
      </c>
      <c r="B2361" s="160" t="s">
        <v>931</v>
      </c>
      <c r="C2361" s="157" t="s">
        <v>14</v>
      </c>
      <c r="D2361" s="159">
        <v>1</v>
      </c>
      <c r="E2361" s="159">
        <v>465.74</v>
      </c>
      <c r="F2361" s="159">
        <v>465.74</v>
      </c>
      <c r="G2361" s="160" t="s">
        <v>932</v>
      </c>
    </row>
    <row r="2362" spans="1:8" ht="33">
      <c r="A2362" s="160"/>
      <c r="B2362" s="160" t="s">
        <v>933</v>
      </c>
      <c r="C2362" s="157" t="s">
        <v>1818</v>
      </c>
      <c r="D2362" s="159">
        <v>1</v>
      </c>
      <c r="E2362" s="159"/>
      <c r="F2362" s="159">
        <v>15990.24</v>
      </c>
      <c r="G2362" s="160"/>
      <c r="H2362" s="34" t="s">
        <v>925</v>
      </c>
    </row>
    <row r="2363" spans="1:8" ht="33">
      <c r="A2363" s="160"/>
      <c r="B2363" s="160" t="s">
        <v>934</v>
      </c>
      <c r="C2363" s="157" t="s">
        <v>1818</v>
      </c>
      <c r="D2363" s="159"/>
      <c r="E2363" s="159"/>
      <c r="F2363" s="159">
        <v>15990.24</v>
      </c>
      <c r="G2363" s="160"/>
      <c r="H2363" s="34" t="s">
        <v>925</v>
      </c>
    </row>
    <row r="2364" spans="1:8" ht="33">
      <c r="A2364" s="160"/>
      <c r="B2364" s="160"/>
      <c r="C2364" s="157"/>
      <c r="D2364" s="159"/>
      <c r="E2364" s="159"/>
      <c r="F2364" s="159"/>
      <c r="G2364" s="160"/>
      <c r="H2364" s="34" t="s">
        <v>925</v>
      </c>
    </row>
    <row r="2365" spans="1:8" ht="42.75">
      <c r="A2365" s="160" t="s">
        <v>2451</v>
      </c>
      <c r="B2365" s="160" t="s">
        <v>2232</v>
      </c>
      <c r="C2365" s="157" t="s">
        <v>1818</v>
      </c>
      <c r="D2365" s="159">
        <v>1</v>
      </c>
      <c r="E2365" s="159">
        <v>17449.650000000001</v>
      </c>
      <c r="F2365" s="159"/>
      <c r="G2365" s="160" t="s">
        <v>2233</v>
      </c>
      <c r="H2365" s="34" t="s">
        <v>925</v>
      </c>
    </row>
    <row r="2366" spans="1:8" ht="33">
      <c r="A2366" s="160">
        <v>1</v>
      </c>
      <c r="B2366" s="160" t="s">
        <v>1250</v>
      </c>
      <c r="C2366" s="157" t="s">
        <v>17</v>
      </c>
      <c r="D2366" s="159">
        <v>4.4000000000000004</v>
      </c>
      <c r="E2366" s="159">
        <v>76.73</v>
      </c>
      <c r="F2366" s="159">
        <v>337.61</v>
      </c>
      <c r="G2366" s="160" t="s">
        <v>4979</v>
      </c>
      <c r="H2366" s="34" t="s">
        <v>925</v>
      </c>
    </row>
    <row r="2367" spans="1:8" ht="33">
      <c r="A2367" s="160">
        <v>2</v>
      </c>
      <c r="B2367" s="160" t="s">
        <v>2234</v>
      </c>
      <c r="C2367" s="157" t="s">
        <v>0</v>
      </c>
      <c r="D2367" s="159">
        <v>0.19</v>
      </c>
      <c r="E2367" s="159">
        <v>12963.23</v>
      </c>
      <c r="F2367" s="159">
        <v>2463.0100000000002</v>
      </c>
      <c r="G2367" s="160" t="s">
        <v>4984</v>
      </c>
      <c r="H2367" s="34" t="s">
        <v>925</v>
      </c>
    </row>
    <row r="2368" spans="1:8" ht="33">
      <c r="A2368" s="160">
        <v>3</v>
      </c>
      <c r="B2368" s="160" t="s">
        <v>2216</v>
      </c>
      <c r="C2368" s="157" t="s">
        <v>1</v>
      </c>
      <c r="D2368" s="159">
        <v>0.19</v>
      </c>
      <c r="E2368" s="159">
        <v>842.14</v>
      </c>
      <c r="F2368" s="159">
        <v>160.01</v>
      </c>
      <c r="G2368" s="160" t="s">
        <v>2217</v>
      </c>
      <c r="H2368" s="34" t="s">
        <v>925</v>
      </c>
    </row>
    <row r="2369" spans="1:8" ht="28.5">
      <c r="A2369" s="160">
        <v>4</v>
      </c>
      <c r="B2369" s="160" t="s">
        <v>1317</v>
      </c>
      <c r="C2369" s="157" t="s">
        <v>0</v>
      </c>
      <c r="D2369" s="159">
        <v>0.19</v>
      </c>
      <c r="E2369" s="159">
        <v>3954.28</v>
      </c>
      <c r="F2369" s="159">
        <v>751.31</v>
      </c>
      <c r="G2369" s="160" t="s">
        <v>1318</v>
      </c>
    </row>
    <row r="2370" spans="1:8" ht="33">
      <c r="A2370" s="160">
        <v>5</v>
      </c>
      <c r="B2370" s="160" t="s">
        <v>2207</v>
      </c>
      <c r="C2370" s="157" t="s">
        <v>1689</v>
      </c>
      <c r="D2370" s="159">
        <v>1</v>
      </c>
      <c r="E2370" s="159">
        <v>447.09</v>
      </c>
      <c r="F2370" s="159">
        <v>447.09</v>
      </c>
      <c r="G2370" s="160" t="s">
        <v>2208</v>
      </c>
      <c r="H2370" s="34" t="s">
        <v>925</v>
      </c>
    </row>
    <row r="2371" spans="1:8" ht="57">
      <c r="A2371" s="160">
        <v>6</v>
      </c>
      <c r="B2371" s="160" t="s">
        <v>513</v>
      </c>
      <c r="C2371" s="157" t="s">
        <v>18</v>
      </c>
      <c r="D2371" s="159">
        <v>23.82</v>
      </c>
      <c r="E2371" s="159">
        <v>31.93</v>
      </c>
      <c r="F2371" s="159">
        <v>760.57</v>
      </c>
      <c r="G2371" s="160" t="s">
        <v>4952</v>
      </c>
      <c r="H2371" s="34" t="s">
        <v>925</v>
      </c>
    </row>
    <row r="2372" spans="1:8" ht="33">
      <c r="A2372" s="160">
        <v>7</v>
      </c>
      <c r="B2372" s="160" t="s">
        <v>2221</v>
      </c>
      <c r="C2372" s="157" t="s">
        <v>14</v>
      </c>
      <c r="D2372" s="159">
        <v>1</v>
      </c>
      <c r="E2372" s="159">
        <v>99.35</v>
      </c>
      <c r="F2372" s="159">
        <v>99.35</v>
      </c>
      <c r="G2372" s="160" t="s">
        <v>2222</v>
      </c>
      <c r="H2372" s="34" t="s">
        <v>925</v>
      </c>
    </row>
    <row r="2373" spans="1:8" ht="33">
      <c r="A2373" s="160">
        <v>8</v>
      </c>
      <c r="B2373" s="160" t="s">
        <v>2223</v>
      </c>
      <c r="C2373" s="157" t="s">
        <v>1689</v>
      </c>
      <c r="D2373" s="159">
        <v>1</v>
      </c>
      <c r="E2373" s="159">
        <v>11922.46</v>
      </c>
      <c r="F2373" s="159">
        <v>11922.46</v>
      </c>
      <c r="G2373" s="160" t="s">
        <v>2224</v>
      </c>
      <c r="H2373" s="34" t="s">
        <v>925</v>
      </c>
    </row>
    <row r="2374" spans="1:8" ht="33">
      <c r="A2374" s="160">
        <v>9</v>
      </c>
      <c r="B2374" s="160" t="s">
        <v>931</v>
      </c>
      <c r="C2374" s="157" t="s">
        <v>14</v>
      </c>
      <c r="D2374" s="159">
        <v>1</v>
      </c>
      <c r="E2374" s="159">
        <v>508.24</v>
      </c>
      <c r="F2374" s="159">
        <v>508.24</v>
      </c>
      <c r="G2374" s="160" t="s">
        <v>932</v>
      </c>
      <c r="H2374" s="34" t="s">
        <v>925</v>
      </c>
    </row>
    <row r="2375" spans="1:8" ht="33">
      <c r="A2375" s="160"/>
      <c r="B2375" s="160" t="s">
        <v>933</v>
      </c>
      <c r="C2375" s="157" t="s">
        <v>1818</v>
      </c>
      <c r="D2375" s="159">
        <v>1</v>
      </c>
      <c r="E2375" s="159"/>
      <c r="F2375" s="159">
        <v>17449.650000000001</v>
      </c>
      <c r="G2375" s="160"/>
      <c r="H2375" s="34" t="s">
        <v>925</v>
      </c>
    </row>
    <row r="2376" spans="1:8" ht="33">
      <c r="A2376" s="160"/>
      <c r="B2376" s="160" t="s">
        <v>934</v>
      </c>
      <c r="C2376" s="157" t="s">
        <v>1818</v>
      </c>
      <c r="D2376" s="159"/>
      <c r="E2376" s="159"/>
      <c r="F2376" s="159">
        <v>17449.650000000001</v>
      </c>
      <c r="G2376" s="160"/>
      <c r="H2376" s="34" t="s">
        <v>925</v>
      </c>
    </row>
    <row r="2377" spans="1:8" ht="33">
      <c r="A2377" s="160"/>
      <c r="B2377" s="160"/>
      <c r="C2377" s="157"/>
      <c r="D2377" s="159"/>
      <c r="E2377" s="159"/>
      <c r="F2377" s="159"/>
      <c r="G2377" s="160"/>
      <c r="H2377" s="34" t="s">
        <v>925</v>
      </c>
    </row>
    <row r="2378" spans="1:8" ht="28.5">
      <c r="A2378" s="160" t="s">
        <v>2457</v>
      </c>
      <c r="B2378" s="160" t="s">
        <v>2237</v>
      </c>
      <c r="C2378" s="157" t="s">
        <v>2238</v>
      </c>
      <c r="D2378" s="159">
        <v>1</v>
      </c>
      <c r="E2378" s="159">
        <v>1157.4000000000001</v>
      </c>
      <c r="F2378" s="159"/>
      <c r="G2378" s="160" t="s">
        <v>2239</v>
      </c>
    </row>
    <row r="2379" spans="1:8" ht="33">
      <c r="A2379" s="160">
        <v>1</v>
      </c>
      <c r="B2379" s="160" t="s">
        <v>2240</v>
      </c>
      <c r="C2379" s="157" t="s">
        <v>14</v>
      </c>
      <c r="D2379" s="159">
        <v>1</v>
      </c>
      <c r="E2379" s="159">
        <v>695.48</v>
      </c>
      <c r="F2379" s="159">
        <v>695.48</v>
      </c>
      <c r="G2379" s="160" t="s">
        <v>2241</v>
      </c>
      <c r="H2379" s="34" t="s">
        <v>925</v>
      </c>
    </row>
    <row r="2380" spans="1:8" ht="33">
      <c r="A2380" s="160">
        <v>2</v>
      </c>
      <c r="B2380" s="160" t="s">
        <v>2242</v>
      </c>
      <c r="C2380" s="157" t="s">
        <v>14</v>
      </c>
      <c r="D2380" s="159">
        <v>1</v>
      </c>
      <c r="E2380" s="159">
        <v>149.03</v>
      </c>
      <c r="F2380" s="159">
        <v>149.03</v>
      </c>
      <c r="G2380" s="160" t="s">
        <v>2243</v>
      </c>
      <c r="H2380" s="34" t="s">
        <v>925</v>
      </c>
    </row>
    <row r="2381" spans="1:8" ht="33">
      <c r="A2381" s="160">
        <v>3</v>
      </c>
      <c r="B2381" s="160" t="s">
        <v>4871</v>
      </c>
      <c r="C2381" s="157" t="s">
        <v>927</v>
      </c>
      <c r="D2381" s="159">
        <v>1</v>
      </c>
      <c r="E2381" s="159">
        <v>279.18</v>
      </c>
      <c r="F2381" s="159">
        <v>279.18</v>
      </c>
      <c r="G2381" s="160" t="s">
        <v>4872</v>
      </c>
      <c r="H2381" s="34" t="s">
        <v>925</v>
      </c>
    </row>
    <row r="2382" spans="1:8" ht="33">
      <c r="A2382" s="160">
        <v>4</v>
      </c>
      <c r="B2382" s="160" t="s">
        <v>931</v>
      </c>
      <c r="C2382" s="157" t="s">
        <v>14</v>
      </c>
      <c r="D2382" s="159">
        <v>1</v>
      </c>
      <c r="E2382" s="159">
        <v>33.71</v>
      </c>
      <c r="F2382" s="159">
        <v>33.71</v>
      </c>
      <c r="G2382" s="160" t="s">
        <v>932</v>
      </c>
      <c r="H2382" s="34" t="s">
        <v>925</v>
      </c>
    </row>
    <row r="2383" spans="1:8" ht="33">
      <c r="A2383" s="160"/>
      <c r="B2383" s="160" t="s">
        <v>933</v>
      </c>
      <c r="C2383" s="157" t="s">
        <v>2238</v>
      </c>
      <c r="D2383" s="159">
        <v>1</v>
      </c>
      <c r="E2383" s="159"/>
      <c r="F2383" s="159">
        <v>1157.4000000000001</v>
      </c>
      <c r="G2383" s="160"/>
      <c r="H2383" s="34" t="s">
        <v>925</v>
      </c>
    </row>
    <row r="2384" spans="1:8" ht="33">
      <c r="A2384" s="160"/>
      <c r="B2384" s="160" t="s">
        <v>934</v>
      </c>
      <c r="C2384" s="157" t="s">
        <v>2238</v>
      </c>
      <c r="D2384" s="159"/>
      <c r="E2384" s="159"/>
      <c r="F2384" s="159">
        <v>1157.4000000000001</v>
      </c>
      <c r="G2384" s="160"/>
      <c r="H2384" s="34" t="s">
        <v>925</v>
      </c>
    </row>
    <row r="2385" spans="1:8" ht="33">
      <c r="A2385" s="160"/>
      <c r="B2385" s="160"/>
      <c r="C2385" s="157"/>
      <c r="D2385" s="159"/>
      <c r="E2385" s="159"/>
      <c r="F2385" s="159"/>
      <c r="G2385" s="160"/>
      <c r="H2385" s="34" t="s">
        <v>925</v>
      </c>
    </row>
    <row r="2386" spans="1:8" ht="28.5">
      <c r="A2386" s="160" t="s">
        <v>2467</v>
      </c>
      <c r="B2386" s="160" t="s">
        <v>2245</v>
      </c>
      <c r="C2386" s="157" t="s">
        <v>17</v>
      </c>
      <c r="D2386" s="159">
        <v>45.5</v>
      </c>
      <c r="E2386" s="159">
        <v>2926.62</v>
      </c>
      <c r="F2386" s="159"/>
      <c r="G2386" s="160" t="s">
        <v>2246</v>
      </c>
    </row>
    <row r="2387" spans="1:8" ht="57">
      <c r="A2387" s="160">
        <v>1</v>
      </c>
      <c r="B2387" s="160" t="s">
        <v>513</v>
      </c>
      <c r="C2387" s="157" t="s">
        <v>18</v>
      </c>
      <c r="D2387" s="159">
        <v>1089.2</v>
      </c>
      <c r="E2387" s="159">
        <v>31.93</v>
      </c>
      <c r="F2387" s="159">
        <v>34778.160000000003</v>
      </c>
      <c r="G2387" s="160" t="s">
        <v>4952</v>
      </c>
      <c r="H2387" s="34" t="s">
        <v>925</v>
      </c>
    </row>
    <row r="2388" spans="1:8" ht="71.25">
      <c r="A2388" s="160">
        <v>2</v>
      </c>
      <c r="B2388" s="160" t="s">
        <v>1275</v>
      </c>
      <c r="C2388" s="157" t="s">
        <v>0</v>
      </c>
      <c r="D2388" s="159">
        <v>3.2</v>
      </c>
      <c r="E2388" s="159">
        <v>3513.44</v>
      </c>
      <c r="F2388" s="159">
        <v>11243.01</v>
      </c>
      <c r="G2388" s="160" t="s">
        <v>4985</v>
      </c>
      <c r="H2388" s="34" t="s">
        <v>925</v>
      </c>
    </row>
    <row r="2389" spans="1:8" ht="33">
      <c r="A2389" s="160">
        <v>3</v>
      </c>
      <c r="B2389" s="160" t="s">
        <v>2247</v>
      </c>
      <c r="C2389" s="157" t="s">
        <v>3</v>
      </c>
      <c r="D2389" s="159">
        <v>13.7</v>
      </c>
      <c r="E2389" s="159">
        <v>343.54</v>
      </c>
      <c r="F2389" s="159">
        <v>4706.5</v>
      </c>
      <c r="G2389" s="160" t="s">
        <v>2248</v>
      </c>
      <c r="H2389" s="34" t="s">
        <v>925</v>
      </c>
    </row>
    <row r="2390" spans="1:8" ht="33">
      <c r="A2390" s="160">
        <v>4</v>
      </c>
      <c r="B2390" s="160" t="s">
        <v>2249</v>
      </c>
      <c r="C2390" s="157" t="s">
        <v>3</v>
      </c>
      <c r="D2390" s="159">
        <v>48.1</v>
      </c>
      <c r="E2390" s="159">
        <v>268.26</v>
      </c>
      <c r="F2390" s="159">
        <v>12903.31</v>
      </c>
      <c r="G2390" s="160" t="s">
        <v>2250</v>
      </c>
      <c r="H2390" s="34" t="s">
        <v>925</v>
      </c>
    </row>
    <row r="2391" spans="1:8" ht="33">
      <c r="A2391" s="160">
        <v>5</v>
      </c>
      <c r="B2391" s="160" t="s">
        <v>2251</v>
      </c>
      <c r="C2391" s="157" t="s">
        <v>14</v>
      </c>
      <c r="D2391" s="159">
        <v>1</v>
      </c>
      <c r="E2391" s="159">
        <v>9289.58</v>
      </c>
      <c r="F2391" s="159">
        <v>9289.58</v>
      </c>
      <c r="G2391" s="160" t="s">
        <v>2252</v>
      </c>
      <c r="H2391" s="34" t="s">
        <v>925</v>
      </c>
    </row>
    <row r="2392" spans="1:8" ht="33">
      <c r="A2392" s="160">
        <v>6</v>
      </c>
      <c r="B2392" s="160" t="s">
        <v>1685</v>
      </c>
      <c r="C2392" s="157" t="s">
        <v>3</v>
      </c>
      <c r="D2392" s="159">
        <v>69.7</v>
      </c>
      <c r="E2392" s="159">
        <v>476.51</v>
      </c>
      <c r="F2392" s="159">
        <v>33212.75</v>
      </c>
      <c r="G2392" s="160" t="s">
        <v>4986</v>
      </c>
      <c r="H2392" s="34" t="s">
        <v>925</v>
      </c>
    </row>
    <row r="2393" spans="1:8" ht="28.5">
      <c r="A2393" s="160">
        <v>7</v>
      </c>
      <c r="B2393" s="160" t="s">
        <v>2253</v>
      </c>
      <c r="C2393" s="157" t="s">
        <v>3</v>
      </c>
      <c r="D2393" s="159">
        <v>46.6</v>
      </c>
      <c r="E2393" s="159">
        <v>496.77</v>
      </c>
      <c r="F2393" s="159">
        <v>23149.48</v>
      </c>
      <c r="G2393" s="160" t="s">
        <v>2254</v>
      </c>
    </row>
    <row r="2394" spans="1:8" ht="33">
      <c r="A2394" s="160">
        <v>8</v>
      </c>
      <c r="B2394" s="160" t="s">
        <v>931</v>
      </c>
      <c r="C2394" s="157" t="s">
        <v>14</v>
      </c>
      <c r="D2394" s="159">
        <v>1</v>
      </c>
      <c r="E2394" s="159">
        <v>3878.48</v>
      </c>
      <c r="F2394" s="159">
        <v>3878.48</v>
      </c>
      <c r="G2394" s="160" t="s">
        <v>932</v>
      </c>
      <c r="H2394" s="34" t="s">
        <v>925</v>
      </c>
    </row>
    <row r="2395" spans="1:8" ht="33">
      <c r="A2395" s="160"/>
      <c r="B2395" s="160" t="s">
        <v>933</v>
      </c>
      <c r="C2395" s="157" t="s">
        <v>17</v>
      </c>
      <c r="D2395" s="159">
        <v>45.5</v>
      </c>
      <c r="E2395" s="159"/>
      <c r="F2395" s="159">
        <v>133161.26999999999</v>
      </c>
      <c r="G2395" s="160"/>
      <c r="H2395" s="34" t="s">
        <v>925</v>
      </c>
    </row>
    <row r="2396" spans="1:8" ht="33">
      <c r="A2396" s="160"/>
      <c r="B2396" s="160" t="s">
        <v>934</v>
      </c>
      <c r="C2396" s="157" t="s">
        <v>17</v>
      </c>
      <c r="D2396" s="159"/>
      <c r="E2396" s="159"/>
      <c r="F2396" s="159">
        <v>2926.62</v>
      </c>
      <c r="G2396" s="160"/>
      <c r="H2396" s="34" t="s">
        <v>925</v>
      </c>
    </row>
    <row r="2397" spans="1:8" ht="33">
      <c r="A2397" s="160"/>
      <c r="B2397" s="160"/>
      <c r="C2397" s="157"/>
      <c r="D2397" s="159"/>
      <c r="E2397" s="159"/>
      <c r="F2397" s="159"/>
      <c r="G2397" s="160"/>
      <c r="H2397" s="34" t="s">
        <v>925</v>
      </c>
    </row>
    <row r="2398" spans="1:8" ht="33">
      <c r="A2398" s="160" t="s">
        <v>2474</v>
      </c>
      <c r="B2398" s="160" t="s">
        <v>2256</v>
      </c>
      <c r="C2398" s="157" t="s">
        <v>17</v>
      </c>
      <c r="D2398" s="159">
        <v>17.899999999999999</v>
      </c>
      <c r="E2398" s="159">
        <v>3766.75</v>
      </c>
      <c r="F2398" s="159"/>
      <c r="G2398" s="160" t="s">
        <v>2257</v>
      </c>
      <c r="H2398" s="34" t="s">
        <v>925</v>
      </c>
    </row>
    <row r="2399" spans="1:8" ht="57">
      <c r="A2399" s="160">
        <v>1</v>
      </c>
      <c r="B2399" s="160" t="s">
        <v>513</v>
      </c>
      <c r="C2399" s="157" t="s">
        <v>18</v>
      </c>
      <c r="D2399" s="159">
        <v>337.2</v>
      </c>
      <c r="E2399" s="159">
        <v>31.93</v>
      </c>
      <c r="F2399" s="159">
        <v>10766.8</v>
      </c>
      <c r="G2399" s="160" t="s">
        <v>4952</v>
      </c>
      <c r="H2399" s="34" t="s">
        <v>925</v>
      </c>
    </row>
    <row r="2400" spans="1:8" ht="71.25">
      <c r="A2400" s="160">
        <v>2</v>
      </c>
      <c r="B2400" s="160" t="s">
        <v>1275</v>
      </c>
      <c r="C2400" s="157" t="s">
        <v>0</v>
      </c>
      <c r="D2400" s="159">
        <v>1.3</v>
      </c>
      <c r="E2400" s="159">
        <v>3513.44</v>
      </c>
      <c r="F2400" s="159">
        <v>4567.47</v>
      </c>
      <c r="G2400" s="160" t="s">
        <v>4985</v>
      </c>
      <c r="H2400" s="34" t="s">
        <v>925</v>
      </c>
    </row>
    <row r="2401" spans="1:8" ht="33">
      <c r="A2401" s="160">
        <v>3</v>
      </c>
      <c r="B2401" s="160" t="s">
        <v>2247</v>
      </c>
      <c r="C2401" s="157" t="s">
        <v>3</v>
      </c>
      <c r="D2401" s="159">
        <v>5.7</v>
      </c>
      <c r="E2401" s="159">
        <v>343.54</v>
      </c>
      <c r="F2401" s="159">
        <v>1958.18</v>
      </c>
      <c r="G2401" s="160" t="s">
        <v>2248</v>
      </c>
      <c r="H2401" s="34" t="s">
        <v>925</v>
      </c>
    </row>
    <row r="2402" spans="1:8" ht="33">
      <c r="A2402" s="160">
        <v>4</v>
      </c>
      <c r="B2402" s="160" t="s">
        <v>2249</v>
      </c>
      <c r="C2402" s="157" t="s">
        <v>3</v>
      </c>
      <c r="D2402" s="159">
        <v>28.8</v>
      </c>
      <c r="E2402" s="159">
        <v>268.26</v>
      </c>
      <c r="F2402" s="159">
        <v>7725.89</v>
      </c>
      <c r="G2402" s="160" t="s">
        <v>2250</v>
      </c>
      <c r="H2402" s="34" t="s">
        <v>925</v>
      </c>
    </row>
    <row r="2403" spans="1:8" ht="28.5">
      <c r="A2403" s="160">
        <v>5</v>
      </c>
      <c r="B2403" s="160" t="s">
        <v>2251</v>
      </c>
      <c r="C2403" s="157" t="s">
        <v>14</v>
      </c>
      <c r="D2403" s="159">
        <v>1</v>
      </c>
      <c r="E2403" s="159">
        <v>9289.58</v>
      </c>
      <c r="F2403" s="159">
        <v>9289.58</v>
      </c>
      <c r="G2403" s="160" t="s">
        <v>2252</v>
      </c>
    </row>
    <row r="2404" spans="1:8" ht="33">
      <c r="A2404" s="160">
        <v>6</v>
      </c>
      <c r="B2404" s="160" t="s">
        <v>1685</v>
      </c>
      <c r="C2404" s="157" t="s">
        <v>3</v>
      </c>
      <c r="D2404" s="159">
        <v>36.5</v>
      </c>
      <c r="E2404" s="159">
        <v>476.51</v>
      </c>
      <c r="F2404" s="159">
        <v>17392.62</v>
      </c>
      <c r="G2404" s="160" t="s">
        <v>4986</v>
      </c>
      <c r="H2404" s="34" t="s">
        <v>925</v>
      </c>
    </row>
    <row r="2405" spans="1:8" ht="33">
      <c r="A2405" s="160">
        <v>7</v>
      </c>
      <c r="B2405" s="160" t="s">
        <v>2253</v>
      </c>
      <c r="C2405" s="157" t="s">
        <v>3</v>
      </c>
      <c r="D2405" s="159">
        <v>27.7</v>
      </c>
      <c r="E2405" s="159">
        <v>496.77</v>
      </c>
      <c r="F2405" s="159">
        <v>13760.53</v>
      </c>
      <c r="G2405" s="160" t="s">
        <v>2254</v>
      </c>
      <c r="H2405" s="34" t="s">
        <v>925</v>
      </c>
    </row>
    <row r="2406" spans="1:8" ht="33">
      <c r="A2406" s="160">
        <v>8</v>
      </c>
      <c r="B2406" s="160" t="s">
        <v>931</v>
      </c>
      <c r="C2406" s="157" t="s">
        <v>14</v>
      </c>
      <c r="D2406" s="159">
        <v>1</v>
      </c>
      <c r="E2406" s="159">
        <v>1963.83</v>
      </c>
      <c r="F2406" s="159">
        <v>1963.83</v>
      </c>
      <c r="G2406" s="160" t="s">
        <v>932</v>
      </c>
      <c r="H2406" s="34" t="s">
        <v>925</v>
      </c>
    </row>
    <row r="2407" spans="1:8" ht="33">
      <c r="A2407" s="160"/>
      <c r="B2407" s="160" t="s">
        <v>933</v>
      </c>
      <c r="C2407" s="157" t="s">
        <v>17</v>
      </c>
      <c r="D2407" s="159">
        <v>17.899999999999999</v>
      </c>
      <c r="E2407" s="159"/>
      <c r="F2407" s="159">
        <v>67424.899999999994</v>
      </c>
      <c r="G2407" s="160"/>
      <c r="H2407" s="34" t="s">
        <v>925</v>
      </c>
    </row>
    <row r="2408" spans="1:8" ht="33">
      <c r="A2408" s="160"/>
      <c r="B2408" s="160" t="s">
        <v>934</v>
      </c>
      <c r="C2408" s="157" t="s">
        <v>17</v>
      </c>
      <c r="D2408" s="159"/>
      <c r="E2408" s="159"/>
      <c r="F2408" s="159">
        <v>3766.75</v>
      </c>
      <c r="G2408" s="160"/>
      <c r="H2408" s="34" t="s">
        <v>925</v>
      </c>
    </row>
    <row r="2409" spans="1:8" ht="33">
      <c r="A2409" s="160"/>
      <c r="B2409" s="160"/>
      <c r="C2409" s="157"/>
      <c r="D2409" s="159"/>
      <c r="E2409" s="159"/>
      <c r="F2409" s="159"/>
      <c r="G2409" s="160"/>
      <c r="H2409" s="34" t="s">
        <v>925</v>
      </c>
    </row>
    <row r="2410" spans="1:8" ht="33">
      <c r="A2410" s="160" t="s">
        <v>2479</v>
      </c>
      <c r="B2410" s="160" t="s">
        <v>2259</v>
      </c>
      <c r="C2410" s="157" t="s">
        <v>17</v>
      </c>
      <c r="D2410" s="159">
        <v>45.5</v>
      </c>
      <c r="E2410" s="159">
        <v>2926.62</v>
      </c>
      <c r="F2410" s="159"/>
      <c r="G2410" s="160" t="s">
        <v>2260</v>
      </c>
      <c r="H2410" s="34" t="s">
        <v>925</v>
      </c>
    </row>
    <row r="2411" spans="1:8" ht="57">
      <c r="A2411" s="160">
        <v>1</v>
      </c>
      <c r="B2411" s="160" t="s">
        <v>513</v>
      </c>
      <c r="C2411" s="157" t="s">
        <v>18</v>
      </c>
      <c r="D2411" s="159">
        <v>1089.2</v>
      </c>
      <c r="E2411" s="159">
        <v>31.93</v>
      </c>
      <c r="F2411" s="159">
        <v>34778.160000000003</v>
      </c>
      <c r="G2411" s="160" t="s">
        <v>4952</v>
      </c>
      <c r="H2411" s="34" t="s">
        <v>925</v>
      </c>
    </row>
    <row r="2412" spans="1:8" ht="71.25">
      <c r="A2412" s="160">
        <v>2</v>
      </c>
      <c r="B2412" s="160" t="s">
        <v>1275</v>
      </c>
      <c r="C2412" s="157" t="s">
        <v>0</v>
      </c>
      <c r="D2412" s="159">
        <v>3.2</v>
      </c>
      <c r="E2412" s="159">
        <v>3513.44</v>
      </c>
      <c r="F2412" s="159">
        <v>11243.01</v>
      </c>
      <c r="G2412" s="160" t="s">
        <v>4985</v>
      </c>
      <c r="H2412" s="34" t="s">
        <v>925</v>
      </c>
    </row>
    <row r="2413" spans="1:8" ht="28.5">
      <c r="A2413" s="160">
        <v>3</v>
      </c>
      <c r="B2413" s="160" t="s">
        <v>2247</v>
      </c>
      <c r="C2413" s="157" t="s">
        <v>3</v>
      </c>
      <c r="D2413" s="159">
        <v>13.7</v>
      </c>
      <c r="E2413" s="159">
        <v>343.54</v>
      </c>
      <c r="F2413" s="159">
        <v>4706.5</v>
      </c>
      <c r="G2413" s="160" t="s">
        <v>2248</v>
      </c>
    </row>
    <row r="2414" spans="1:8" ht="33">
      <c r="A2414" s="160">
        <v>4</v>
      </c>
      <c r="B2414" s="160" t="s">
        <v>2249</v>
      </c>
      <c r="C2414" s="157" t="s">
        <v>3</v>
      </c>
      <c r="D2414" s="159">
        <v>48.1</v>
      </c>
      <c r="E2414" s="159">
        <v>268.26</v>
      </c>
      <c r="F2414" s="159">
        <v>12903.31</v>
      </c>
      <c r="G2414" s="160" t="s">
        <v>2250</v>
      </c>
      <c r="H2414" s="34" t="s">
        <v>925</v>
      </c>
    </row>
    <row r="2415" spans="1:8" ht="33">
      <c r="A2415" s="160">
        <v>5</v>
      </c>
      <c r="B2415" s="160" t="s">
        <v>2251</v>
      </c>
      <c r="C2415" s="157" t="s">
        <v>14</v>
      </c>
      <c r="D2415" s="159">
        <v>1</v>
      </c>
      <c r="E2415" s="159">
        <v>9289.58</v>
      </c>
      <c r="F2415" s="159">
        <v>9289.58</v>
      </c>
      <c r="G2415" s="160" t="s">
        <v>2252</v>
      </c>
      <c r="H2415" s="34" t="s">
        <v>925</v>
      </c>
    </row>
    <row r="2416" spans="1:8" ht="33">
      <c r="A2416" s="160">
        <v>6</v>
      </c>
      <c r="B2416" s="160" t="s">
        <v>1685</v>
      </c>
      <c r="C2416" s="157" t="s">
        <v>3</v>
      </c>
      <c r="D2416" s="159">
        <v>69.7</v>
      </c>
      <c r="E2416" s="159">
        <v>476.51</v>
      </c>
      <c r="F2416" s="159">
        <v>33212.75</v>
      </c>
      <c r="G2416" s="160" t="s">
        <v>4986</v>
      </c>
      <c r="H2416" s="34" t="s">
        <v>925</v>
      </c>
    </row>
    <row r="2417" spans="1:8" ht="33">
      <c r="A2417" s="160">
        <v>7</v>
      </c>
      <c r="B2417" s="160" t="s">
        <v>2253</v>
      </c>
      <c r="C2417" s="157" t="s">
        <v>3</v>
      </c>
      <c r="D2417" s="159">
        <v>46.6</v>
      </c>
      <c r="E2417" s="159">
        <v>496.77</v>
      </c>
      <c r="F2417" s="159">
        <v>23149.48</v>
      </c>
      <c r="G2417" s="160" t="s">
        <v>2254</v>
      </c>
      <c r="H2417" s="34" t="s">
        <v>925</v>
      </c>
    </row>
    <row r="2418" spans="1:8" ht="33">
      <c r="A2418" s="160">
        <v>8</v>
      </c>
      <c r="B2418" s="160" t="s">
        <v>931</v>
      </c>
      <c r="C2418" s="157" t="s">
        <v>14</v>
      </c>
      <c r="D2418" s="159">
        <v>1</v>
      </c>
      <c r="E2418" s="159">
        <v>3878.48</v>
      </c>
      <c r="F2418" s="159">
        <v>3878.48</v>
      </c>
      <c r="G2418" s="160" t="s">
        <v>932</v>
      </c>
      <c r="H2418" s="34" t="s">
        <v>925</v>
      </c>
    </row>
    <row r="2419" spans="1:8" ht="33">
      <c r="A2419" s="160"/>
      <c r="B2419" s="160" t="s">
        <v>933</v>
      </c>
      <c r="C2419" s="157" t="s">
        <v>17</v>
      </c>
      <c r="D2419" s="159">
        <v>45.5</v>
      </c>
      <c r="E2419" s="159"/>
      <c r="F2419" s="159">
        <v>133161.26999999999</v>
      </c>
      <c r="G2419" s="160"/>
      <c r="H2419" s="34" t="s">
        <v>925</v>
      </c>
    </row>
    <row r="2420" spans="1:8" ht="33">
      <c r="A2420" s="160"/>
      <c r="B2420" s="160" t="s">
        <v>934</v>
      </c>
      <c r="C2420" s="157" t="s">
        <v>17</v>
      </c>
      <c r="D2420" s="159"/>
      <c r="E2420" s="159"/>
      <c r="F2420" s="159">
        <v>2926.62</v>
      </c>
      <c r="G2420" s="160"/>
      <c r="H2420" s="34" t="s">
        <v>925</v>
      </c>
    </row>
    <row r="2421" spans="1:8" ht="33">
      <c r="A2421" s="160"/>
      <c r="B2421" s="160"/>
      <c r="C2421" s="157"/>
      <c r="D2421" s="159"/>
      <c r="E2421" s="159"/>
      <c r="F2421" s="159"/>
      <c r="G2421" s="160"/>
      <c r="H2421" s="34" t="s">
        <v>925</v>
      </c>
    </row>
    <row r="2422" spans="1:8" ht="33">
      <c r="A2422" s="160" t="s">
        <v>2482</v>
      </c>
      <c r="B2422" s="160" t="s">
        <v>2262</v>
      </c>
      <c r="C2422" s="157" t="s">
        <v>17</v>
      </c>
      <c r="D2422" s="159">
        <v>32</v>
      </c>
      <c r="E2422" s="159">
        <v>3271.33</v>
      </c>
      <c r="F2422" s="159"/>
      <c r="G2422" s="160" t="s">
        <v>2263</v>
      </c>
      <c r="H2422" s="34" t="s">
        <v>925</v>
      </c>
    </row>
    <row r="2423" spans="1:8" ht="57">
      <c r="A2423" s="160">
        <v>1</v>
      </c>
      <c r="B2423" s="160" t="s">
        <v>513</v>
      </c>
      <c r="C2423" s="157" t="s">
        <v>18</v>
      </c>
      <c r="D2423" s="159">
        <v>536</v>
      </c>
      <c r="E2423" s="159">
        <v>31.93</v>
      </c>
      <c r="F2423" s="159">
        <v>17114.48</v>
      </c>
      <c r="G2423" s="160" t="s">
        <v>4952</v>
      </c>
    </row>
    <row r="2424" spans="1:8" ht="71.25">
      <c r="A2424" s="160">
        <v>2</v>
      </c>
      <c r="B2424" s="160" t="s">
        <v>1275</v>
      </c>
      <c r="C2424" s="157" t="s">
        <v>0</v>
      </c>
      <c r="D2424" s="159">
        <v>1.9</v>
      </c>
      <c r="E2424" s="159">
        <v>3513.44</v>
      </c>
      <c r="F2424" s="159">
        <v>6675.54</v>
      </c>
      <c r="G2424" s="160" t="s">
        <v>4985</v>
      </c>
      <c r="H2424" s="34" t="s">
        <v>925</v>
      </c>
    </row>
    <row r="2425" spans="1:8" ht="33">
      <c r="A2425" s="160">
        <v>3</v>
      </c>
      <c r="B2425" s="160" t="s">
        <v>2249</v>
      </c>
      <c r="C2425" s="157" t="s">
        <v>3</v>
      </c>
      <c r="D2425" s="159">
        <v>52.3</v>
      </c>
      <c r="E2425" s="159">
        <v>268.26</v>
      </c>
      <c r="F2425" s="159">
        <v>14030</v>
      </c>
      <c r="G2425" s="160" t="s">
        <v>2250</v>
      </c>
      <c r="H2425" s="34" t="s">
        <v>925</v>
      </c>
    </row>
    <row r="2426" spans="1:8" ht="33">
      <c r="A2426" s="160">
        <v>4</v>
      </c>
      <c r="B2426" s="160" t="s">
        <v>2251</v>
      </c>
      <c r="C2426" s="157" t="s">
        <v>14</v>
      </c>
      <c r="D2426" s="159">
        <v>1</v>
      </c>
      <c r="E2426" s="159">
        <v>9289.58</v>
      </c>
      <c r="F2426" s="159">
        <v>9289.58</v>
      </c>
      <c r="G2426" s="160" t="s">
        <v>2252</v>
      </c>
      <c r="H2426" s="34" t="s">
        <v>925</v>
      </c>
    </row>
    <row r="2427" spans="1:8" ht="33">
      <c r="A2427" s="160">
        <v>5</v>
      </c>
      <c r="B2427" s="160" t="s">
        <v>1685</v>
      </c>
      <c r="C2427" s="157" t="s">
        <v>3</v>
      </c>
      <c r="D2427" s="159">
        <v>59.9</v>
      </c>
      <c r="E2427" s="159">
        <v>476.51</v>
      </c>
      <c r="F2427" s="159">
        <v>28542.95</v>
      </c>
      <c r="G2427" s="160" t="s">
        <v>4986</v>
      </c>
      <c r="H2427" s="34" t="s">
        <v>925</v>
      </c>
    </row>
    <row r="2428" spans="1:8" ht="33">
      <c r="A2428" s="160">
        <v>6</v>
      </c>
      <c r="B2428" s="160" t="s">
        <v>2253</v>
      </c>
      <c r="C2428" s="157" t="s">
        <v>3</v>
      </c>
      <c r="D2428" s="159">
        <v>52.3</v>
      </c>
      <c r="E2428" s="159">
        <v>496.77</v>
      </c>
      <c r="F2428" s="159">
        <v>25981.07</v>
      </c>
      <c r="G2428" s="160" t="s">
        <v>2254</v>
      </c>
      <c r="H2428" s="34" t="s">
        <v>925</v>
      </c>
    </row>
    <row r="2429" spans="1:8" ht="33">
      <c r="A2429" s="160">
        <v>7</v>
      </c>
      <c r="B2429" s="160" t="s">
        <v>931</v>
      </c>
      <c r="C2429" s="157" t="s">
        <v>14</v>
      </c>
      <c r="D2429" s="159">
        <v>1</v>
      </c>
      <c r="E2429" s="159">
        <v>3049.01</v>
      </c>
      <c r="F2429" s="159">
        <v>3049.01</v>
      </c>
      <c r="G2429" s="160" t="s">
        <v>932</v>
      </c>
      <c r="H2429" s="34" t="s">
        <v>925</v>
      </c>
    </row>
    <row r="2430" spans="1:8" ht="33">
      <c r="A2430" s="160"/>
      <c r="B2430" s="160" t="s">
        <v>933</v>
      </c>
      <c r="C2430" s="157" t="s">
        <v>17</v>
      </c>
      <c r="D2430" s="159">
        <v>32</v>
      </c>
      <c r="E2430" s="159"/>
      <c r="F2430" s="159">
        <v>104682.62999999999</v>
      </c>
      <c r="G2430" s="160"/>
      <c r="H2430" s="34" t="s">
        <v>925</v>
      </c>
    </row>
    <row r="2431" spans="1:8" ht="33">
      <c r="A2431" s="160"/>
      <c r="B2431" s="160" t="s">
        <v>934</v>
      </c>
      <c r="C2431" s="157" t="s">
        <v>17</v>
      </c>
      <c r="D2431" s="159"/>
      <c r="E2431" s="159"/>
      <c r="F2431" s="159">
        <v>3271.33</v>
      </c>
      <c r="G2431" s="160"/>
      <c r="H2431" s="34" t="s">
        <v>925</v>
      </c>
    </row>
    <row r="2432" spans="1:8" ht="33">
      <c r="A2432" s="160"/>
      <c r="B2432" s="160"/>
      <c r="C2432" s="157"/>
      <c r="D2432" s="159"/>
      <c r="E2432" s="159"/>
      <c r="F2432" s="159"/>
      <c r="G2432" s="160"/>
      <c r="H2432" s="34" t="s">
        <v>925</v>
      </c>
    </row>
    <row r="2433" spans="1:8" ht="28.5">
      <c r="A2433" s="160" t="s">
        <v>2485</v>
      </c>
      <c r="B2433" s="160" t="s">
        <v>2265</v>
      </c>
      <c r="C2433" s="157" t="s">
        <v>3</v>
      </c>
      <c r="D2433" s="159">
        <v>1</v>
      </c>
      <c r="E2433" s="159">
        <v>399.09</v>
      </c>
      <c r="F2433" s="159"/>
      <c r="G2433" s="160" t="s">
        <v>2266</v>
      </c>
    </row>
    <row r="2434" spans="1:8" ht="33">
      <c r="A2434" s="160">
        <v>1</v>
      </c>
      <c r="B2434" s="160" t="s">
        <v>2267</v>
      </c>
      <c r="C2434" s="157" t="s">
        <v>3</v>
      </c>
      <c r="D2434" s="159">
        <v>1</v>
      </c>
      <c r="E2434" s="159">
        <v>119.22</v>
      </c>
      <c r="F2434" s="159">
        <v>119.22</v>
      </c>
      <c r="G2434" s="160" t="s">
        <v>2268</v>
      </c>
      <c r="H2434" s="34" t="s">
        <v>925</v>
      </c>
    </row>
    <row r="2435" spans="1:8" ht="33">
      <c r="A2435" s="160">
        <v>2</v>
      </c>
      <c r="B2435" s="160" t="s">
        <v>2269</v>
      </c>
      <c r="C2435" s="157" t="s">
        <v>3</v>
      </c>
      <c r="D2435" s="159">
        <v>1</v>
      </c>
      <c r="E2435" s="159">
        <v>119.22</v>
      </c>
      <c r="F2435" s="159">
        <v>119.22</v>
      </c>
      <c r="G2435" s="160" t="s">
        <v>2270</v>
      </c>
      <c r="H2435" s="34" t="s">
        <v>925</v>
      </c>
    </row>
    <row r="2436" spans="1:8" ht="33">
      <c r="A2436" s="160">
        <v>3</v>
      </c>
      <c r="B2436" s="160" t="s">
        <v>2271</v>
      </c>
      <c r="C2436" s="157" t="s">
        <v>14</v>
      </c>
      <c r="D2436" s="159">
        <v>1</v>
      </c>
      <c r="E2436" s="159">
        <v>149.03</v>
      </c>
      <c r="F2436" s="159">
        <v>149.03</v>
      </c>
      <c r="G2436" s="160" t="s">
        <v>2272</v>
      </c>
      <c r="H2436" s="34" t="s">
        <v>925</v>
      </c>
    </row>
    <row r="2437" spans="1:8" ht="33">
      <c r="A2437" s="160">
        <v>4</v>
      </c>
      <c r="B2437" s="160" t="s">
        <v>955</v>
      </c>
      <c r="C2437" s="157" t="s">
        <v>14</v>
      </c>
      <c r="D2437" s="159">
        <v>1</v>
      </c>
      <c r="E2437" s="159">
        <v>11.62</v>
      </c>
      <c r="F2437" s="159">
        <v>11.62</v>
      </c>
      <c r="G2437" s="160" t="s">
        <v>956</v>
      </c>
      <c r="H2437" s="34" t="s">
        <v>925</v>
      </c>
    </row>
    <row r="2438" spans="1:8" ht="33">
      <c r="A2438" s="160"/>
      <c r="B2438" s="160" t="s">
        <v>933</v>
      </c>
      <c r="C2438" s="157" t="s">
        <v>3</v>
      </c>
      <c r="D2438" s="159">
        <v>1</v>
      </c>
      <c r="E2438" s="159"/>
      <c r="F2438" s="159">
        <v>399.09000000000003</v>
      </c>
      <c r="G2438" s="160"/>
      <c r="H2438" s="34" t="s">
        <v>925</v>
      </c>
    </row>
    <row r="2439" spans="1:8" ht="16.5">
      <c r="A2439" s="160"/>
      <c r="B2439" s="160" t="s">
        <v>934</v>
      </c>
      <c r="C2439" s="157" t="s">
        <v>3</v>
      </c>
      <c r="D2439" s="159"/>
      <c r="E2439" s="159"/>
      <c r="F2439" s="159">
        <v>399.09</v>
      </c>
      <c r="G2439" s="160"/>
    </row>
    <row r="2440" spans="1:8" ht="33">
      <c r="A2440" s="160"/>
      <c r="B2440" s="160"/>
      <c r="C2440" s="157"/>
      <c r="D2440" s="159"/>
      <c r="E2440" s="159"/>
      <c r="F2440" s="159"/>
      <c r="G2440" s="160"/>
      <c r="H2440" s="34" t="s">
        <v>925</v>
      </c>
    </row>
    <row r="2441" spans="1:8" ht="42.75">
      <c r="A2441" s="160" t="s">
        <v>2488</v>
      </c>
      <c r="B2441" s="160" t="s">
        <v>2274</v>
      </c>
      <c r="C2441" s="157" t="s">
        <v>3</v>
      </c>
      <c r="D2441" s="159">
        <v>1</v>
      </c>
      <c r="E2441" s="159">
        <v>687.68</v>
      </c>
      <c r="F2441" s="159"/>
      <c r="G2441" s="160" t="s">
        <v>2275</v>
      </c>
      <c r="H2441" s="34" t="s">
        <v>925</v>
      </c>
    </row>
    <row r="2442" spans="1:8" ht="33">
      <c r="A2442" s="160">
        <v>1</v>
      </c>
      <c r="B2442" s="160" t="s">
        <v>2276</v>
      </c>
      <c r="C2442" s="157" t="s">
        <v>3</v>
      </c>
      <c r="D2442" s="159">
        <v>1</v>
      </c>
      <c r="E2442" s="159">
        <v>419.27</v>
      </c>
      <c r="F2442" s="159">
        <v>419.27</v>
      </c>
      <c r="G2442" s="160" t="s">
        <v>2277</v>
      </c>
      <c r="H2442" s="34" t="s">
        <v>925</v>
      </c>
    </row>
    <row r="2443" spans="1:8" ht="33">
      <c r="A2443" s="160">
        <v>2</v>
      </c>
      <c r="B2443" s="160" t="s">
        <v>2278</v>
      </c>
      <c r="C2443" s="157" t="s">
        <v>3</v>
      </c>
      <c r="D2443" s="159">
        <v>1</v>
      </c>
      <c r="E2443" s="159">
        <v>99.35</v>
      </c>
      <c r="F2443" s="159">
        <v>99.35</v>
      </c>
      <c r="G2443" s="160" t="s">
        <v>2279</v>
      </c>
      <c r="H2443" s="34" t="s">
        <v>925</v>
      </c>
    </row>
    <row r="2444" spans="1:8" ht="33">
      <c r="A2444" s="160">
        <v>3</v>
      </c>
      <c r="B2444" s="160" t="s">
        <v>2271</v>
      </c>
      <c r="C2444" s="157" t="s">
        <v>14</v>
      </c>
      <c r="D2444" s="159">
        <v>1</v>
      </c>
      <c r="E2444" s="159">
        <v>149.03</v>
      </c>
      <c r="F2444" s="159">
        <v>149.03</v>
      </c>
      <c r="G2444" s="160" t="s">
        <v>2272</v>
      </c>
      <c r="H2444" s="34" t="s">
        <v>925</v>
      </c>
    </row>
    <row r="2445" spans="1:8" ht="33">
      <c r="A2445" s="160">
        <v>4</v>
      </c>
      <c r="B2445" s="160" t="s">
        <v>955</v>
      </c>
      <c r="C2445" s="157" t="s">
        <v>14</v>
      </c>
      <c r="D2445" s="159">
        <v>1</v>
      </c>
      <c r="E2445" s="159">
        <v>20.03</v>
      </c>
      <c r="F2445" s="159">
        <v>20.03</v>
      </c>
      <c r="G2445" s="160" t="s">
        <v>956</v>
      </c>
      <c r="H2445" s="34" t="s">
        <v>925</v>
      </c>
    </row>
    <row r="2446" spans="1:8" ht="16.5">
      <c r="A2446" s="160"/>
      <c r="B2446" s="160" t="s">
        <v>933</v>
      </c>
      <c r="C2446" s="157" t="s">
        <v>3</v>
      </c>
      <c r="D2446" s="159">
        <v>1</v>
      </c>
      <c r="E2446" s="159"/>
      <c r="F2446" s="159">
        <v>687.68</v>
      </c>
      <c r="G2446" s="160"/>
    </row>
    <row r="2447" spans="1:8" ht="33">
      <c r="A2447" s="160"/>
      <c r="B2447" s="160" t="s">
        <v>934</v>
      </c>
      <c r="C2447" s="157" t="s">
        <v>3</v>
      </c>
      <c r="D2447" s="159"/>
      <c r="E2447" s="159"/>
      <c r="F2447" s="159">
        <v>687.68</v>
      </c>
      <c r="G2447" s="160"/>
      <c r="H2447" s="34" t="s">
        <v>925</v>
      </c>
    </row>
    <row r="2448" spans="1:8" ht="33">
      <c r="A2448" s="160"/>
      <c r="B2448" s="160"/>
      <c r="C2448" s="157"/>
      <c r="D2448" s="159"/>
      <c r="E2448" s="159"/>
      <c r="F2448" s="159"/>
      <c r="G2448" s="160"/>
      <c r="H2448" s="34" t="s">
        <v>925</v>
      </c>
    </row>
    <row r="2449" spans="1:8" ht="42.75">
      <c r="A2449" s="160" t="s">
        <v>2496</v>
      </c>
      <c r="B2449" s="160" t="s">
        <v>2281</v>
      </c>
      <c r="C2449" s="157" t="s">
        <v>3</v>
      </c>
      <c r="D2449" s="159">
        <v>12</v>
      </c>
      <c r="E2449" s="159">
        <v>4067.8</v>
      </c>
      <c r="F2449" s="159"/>
      <c r="G2449" s="160" t="s">
        <v>2282</v>
      </c>
      <c r="H2449" s="34" t="s">
        <v>925</v>
      </c>
    </row>
    <row r="2450" spans="1:8" ht="33">
      <c r="A2450" s="160">
        <v>1</v>
      </c>
      <c r="B2450" s="160" t="s">
        <v>2283</v>
      </c>
      <c r="C2450" s="157" t="s">
        <v>1875</v>
      </c>
      <c r="D2450" s="159">
        <v>4</v>
      </c>
      <c r="E2450" s="159">
        <v>2483.85</v>
      </c>
      <c r="F2450" s="159">
        <v>9935.4</v>
      </c>
      <c r="G2450" s="160" t="s">
        <v>2284</v>
      </c>
      <c r="H2450" s="34" t="s">
        <v>925</v>
      </c>
    </row>
    <row r="2451" spans="1:8" ht="57">
      <c r="A2451" s="160">
        <v>2</v>
      </c>
      <c r="B2451" s="160" t="s">
        <v>2285</v>
      </c>
      <c r="C2451" s="157" t="s">
        <v>14</v>
      </c>
      <c r="D2451" s="159">
        <v>1</v>
      </c>
      <c r="E2451" s="159">
        <v>14505.66</v>
      </c>
      <c r="F2451" s="159">
        <v>14505.66</v>
      </c>
      <c r="G2451" s="160" t="s">
        <v>2286</v>
      </c>
      <c r="H2451" s="34" t="s">
        <v>925</v>
      </c>
    </row>
    <row r="2452" spans="1:8" ht="42.75">
      <c r="A2452" s="160">
        <v>3</v>
      </c>
      <c r="B2452" s="160" t="s">
        <v>2287</v>
      </c>
      <c r="C2452" s="157" t="s">
        <v>14</v>
      </c>
      <c r="D2452" s="159">
        <v>1</v>
      </c>
      <c r="E2452" s="159">
        <v>19373.990000000002</v>
      </c>
      <c r="F2452" s="159">
        <v>19373.990000000002</v>
      </c>
      <c r="G2452" s="160" t="s">
        <v>2288</v>
      </c>
    </row>
    <row r="2453" spans="1:8" ht="57">
      <c r="A2453" s="160">
        <v>4</v>
      </c>
      <c r="B2453" s="160" t="s">
        <v>2289</v>
      </c>
      <c r="C2453" s="157" t="s">
        <v>14</v>
      </c>
      <c r="D2453" s="159">
        <v>1</v>
      </c>
      <c r="E2453" s="159">
        <v>3576.74</v>
      </c>
      <c r="F2453" s="159">
        <v>3576.74</v>
      </c>
      <c r="G2453" s="160" t="s">
        <v>2290</v>
      </c>
      <c r="H2453" s="34" t="s">
        <v>925</v>
      </c>
    </row>
    <row r="2454" spans="1:8" ht="33">
      <c r="A2454" s="160">
        <v>5</v>
      </c>
      <c r="B2454" s="160" t="s">
        <v>931</v>
      </c>
      <c r="C2454" s="157" t="s">
        <v>14</v>
      </c>
      <c r="D2454" s="159">
        <v>1</v>
      </c>
      <c r="E2454" s="159">
        <v>1421.75</v>
      </c>
      <c r="F2454" s="159">
        <v>1421.75</v>
      </c>
      <c r="G2454" s="160" t="s">
        <v>932</v>
      </c>
      <c r="H2454" s="34" t="s">
        <v>925</v>
      </c>
    </row>
    <row r="2455" spans="1:8" ht="33">
      <c r="A2455" s="160"/>
      <c r="B2455" s="160" t="s">
        <v>933</v>
      </c>
      <c r="C2455" s="157" t="s">
        <v>3</v>
      </c>
      <c r="D2455" s="159">
        <v>12</v>
      </c>
      <c r="E2455" s="159"/>
      <c r="F2455" s="159">
        <v>48813.54</v>
      </c>
      <c r="G2455" s="160"/>
      <c r="H2455" s="34" t="s">
        <v>925</v>
      </c>
    </row>
    <row r="2456" spans="1:8" ht="33">
      <c r="A2456" s="160"/>
      <c r="B2456" s="160" t="s">
        <v>934</v>
      </c>
      <c r="C2456" s="157" t="s">
        <v>3</v>
      </c>
      <c r="D2456" s="159"/>
      <c r="E2456" s="159"/>
      <c r="F2456" s="159">
        <v>4067.8</v>
      </c>
      <c r="G2456" s="160"/>
      <c r="H2456" s="34" t="s">
        <v>925</v>
      </c>
    </row>
    <row r="2457" spans="1:8" ht="33">
      <c r="A2457" s="160"/>
      <c r="B2457" s="160"/>
      <c r="C2457" s="157"/>
      <c r="D2457" s="159"/>
      <c r="E2457" s="159"/>
      <c r="F2457" s="159"/>
      <c r="G2457" s="160"/>
      <c r="H2457" s="34" t="s">
        <v>925</v>
      </c>
    </row>
    <row r="2458" spans="1:8" ht="42.75">
      <c r="A2458" s="160" t="s">
        <v>2505</v>
      </c>
      <c r="B2458" s="160" t="s">
        <v>2292</v>
      </c>
      <c r="C2458" s="157" t="s">
        <v>3</v>
      </c>
      <c r="D2458" s="159">
        <v>1</v>
      </c>
      <c r="E2458" s="159">
        <v>250.72</v>
      </c>
      <c r="F2458" s="159"/>
      <c r="G2458" s="160" t="s">
        <v>2293</v>
      </c>
      <c r="H2458" s="34" t="s">
        <v>925</v>
      </c>
    </row>
    <row r="2459" spans="1:8" ht="42.75">
      <c r="A2459" s="160">
        <v>1</v>
      </c>
      <c r="B2459" s="160" t="s">
        <v>2294</v>
      </c>
      <c r="C2459" s="157" t="s">
        <v>3</v>
      </c>
      <c r="D2459" s="159">
        <v>1</v>
      </c>
      <c r="E2459" s="159">
        <v>198.71</v>
      </c>
      <c r="F2459" s="159">
        <v>198.71</v>
      </c>
      <c r="G2459" s="160" t="s">
        <v>2295</v>
      </c>
    </row>
    <row r="2460" spans="1:8" ht="42.75">
      <c r="A2460" s="160">
        <v>2</v>
      </c>
      <c r="B2460" s="160" t="s">
        <v>2287</v>
      </c>
      <c r="C2460" s="157" t="s">
        <v>14</v>
      </c>
      <c r="D2460" s="159">
        <v>1</v>
      </c>
      <c r="E2460" s="159">
        <v>44.71</v>
      </c>
      <c r="F2460" s="159">
        <v>44.71</v>
      </c>
      <c r="G2460" s="160" t="s">
        <v>2288</v>
      </c>
      <c r="H2460" s="34" t="s">
        <v>925</v>
      </c>
    </row>
    <row r="2461" spans="1:8" ht="33">
      <c r="A2461" s="160">
        <v>3</v>
      </c>
      <c r="B2461" s="160" t="s">
        <v>931</v>
      </c>
      <c r="C2461" s="157" t="s">
        <v>14</v>
      </c>
      <c r="D2461" s="159">
        <v>1</v>
      </c>
      <c r="E2461" s="159">
        <v>7.3</v>
      </c>
      <c r="F2461" s="159">
        <v>7.3</v>
      </c>
      <c r="G2461" s="160" t="s">
        <v>932</v>
      </c>
      <c r="H2461" s="34" t="s">
        <v>925</v>
      </c>
    </row>
    <row r="2462" spans="1:8" ht="33">
      <c r="A2462" s="160"/>
      <c r="B2462" s="160" t="s">
        <v>933</v>
      </c>
      <c r="C2462" s="157" t="s">
        <v>3</v>
      </c>
      <c r="D2462" s="159">
        <v>1</v>
      </c>
      <c r="E2462" s="159"/>
      <c r="F2462" s="159">
        <v>250.72000000000003</v>
      </c>
      <c r="G2462" s="160"/>
      <c r="H2462" s="34" t="s">
        <v>925</v>
      </c>
    </row>
    <row r="2463" spans="1:8" ht="33">
      <c r="A2463" s="160"/>
      <c r="B2463" s="160" t="s">
        <v>934</v>
      </c>
      <c r="C2463" s="157" t="s">
        <v>3</v>
      </c>
      <c r="D2463" s="159"/>
      <c r="E2463" s="159"/>
      <c r="F2463" s="159">
        <v>250.72</v>
      </c>
      <c r="G2463" s="160"/>
      <c r="H2463" s="34" t="s">
        <v>925</v>
      </c>
    </row>
    <row r="2464" spans="1:8" ht="33">
      <c r="A2464" s="160"/>
      <c r="B2464" s="160"/>
      <c r="C2464" s="157"/>
      <c r="D2464" s="159"/>
      <c r="E2464" s="159"/>
      <c r="F2464" s="159"/>
      <c r="G2464" s="160"/>
      <c r="H2464" s="34" t="s">
        <v>925</v>
      </c>
    </row>
    <row r="2465" spans="1:8" ht="33">
      <c r="A2465" s="160" t="s">
        <v>2508</v>
      </c>
      <c r="B2465" s="160" t="s">
        <v>3654</v>
      </c>
      <c r="C2465" s="157" t="s">
        <v>1689</v>
      </c>
      <c r="D2465" s="159">
        <v>1</v>
      </c>
      <c r="E2465" s="159">
        <v>495.51</v>
      </c>
      <c r="F2465" s="159"/>
      <c r="G2465" s="160" t="s">
        <v>4044</v>
      </c>
      <c r="H2465" s="34" t="s">
        <v>925</v>
      </c>
    </row>
    <row r="2466" spans="1:8" ht="57">
      <c r="A2466" s="160">
        <v>1</v>
      </c>
      <c r="B2466" s="160" t="s">
        <v>4987</v>
      </c>
      <c r="C2466" s="157" t="s">
        <v>1689</v>
      </c>
      <c r="D2466" s="159">
        <v>1</v>
      </c>
      <c r="E2466" s="159">
        <v>173.87</v>
      </c>
      <c r="F2466" s="159">
        <v>173.87</v>
      </c>
      <c r="G2466" s="160" t="s">
        <v>4988</v>
      </c>
      <c r="H2466" s="34" t="s">
        <v>925</v>
      </c>
    </row>
    <row r="2467" spans="1:8" ht="28.5">
      <c r="A2467" s="160">
        <v>2</v>
      </c>
      <c r="B2467" s="160" t="s">
        <v>4036</v>
      </c>
      <c r="C2467" s="157" t="s">
        <v>14</v>
      </c>
      <c r="D2467" s="159">
        <v>1</v>
      </c>
      <c r="E2467" s="159">
        <v>103.53</v>
      </c>
      <c r="F2467" s="159">
        <v>103.53</v>
      </c>
      <c r="G2467" s="160" t="s">
        <v>4037</v>
      </c>
    </row>
    <row r="2468" spans="1:8" ht="33">
      <c r="A2468" s="160">
        <v>3</v>
      </c>
      <c r="B2468" s="160" t="s">
        <v>4989</v>
      </c>
      <c r="C2468" s="157" t="s">
        <v>14</v>
      </c>
      <c r="D2468" s="159">
        <v>1</v>
      </c>
      <c r="E2468" s="159">
        <v>203.68</v>
      </c>
      <c r="F2468" s="159">
        <v>203.68</v>
      </c>
      <c r="G2468" s="160" t="s">
        <v>4045</v>
      </c>
      <c r="H2468" s="34" t="s">
        <v>925</v>
      </c>
    </row>
    <row r="2469" spans="1:8" ht="33">
      <c r="A2469" s="160">
        <v>4</v>
      </c>
      <c r="B2469" s="160" t="s">
        <v>931</v>
      </c>
      <c r="C2469" s="157" t="s">
        <v>14</v>
      </c>
      <c r="D2469" s="159">
        <v>1</v>
      </c>
      <c r="E2469" s="159">
        <v>14.43</v>
      </c>
      <c r="F2469" s="159">
        <v>14.43</v>
      </c>
      <c r="G2469" s="160" t="s">
        <v>932</v>
      </c>
      <c r="H2469" s="34" t="s">
        <v>925</v>
      </c>
    </row>
    <row r="2470" spans="1:8" ht="33">
      <c r="A2470" s="160"/>
      <c r="B2470" s="160" t="s">
        <v>933</v>
      </c>
      <c r="C2470" s="157" t="s">
        <v>1689</v>
      </c>
      <c r="D2470" s="159">
        <v>1</v>
      </c>
      <c r="E2470" s="159"/>
      <c r="F2470" s="159">
        <v>495.51</v>
      </c>
      <c r="G2470" s="160"/>
      <c r="H2470" s="34" t="s">
        <v>925</v>
      </c>
    </row>
    <row r="2471" spans="1:8" ht="33">
      <c r="A2471" s="160"/>
      <c r="B2471" s="160" t="s">
        <v>934</v>
      </c>
      <c r="C2471" s="157" t="s">
        <v>1689</v>
      </c>
      <c r="D2471" s="159"/>
      <c r="E2471" s="159"/>
      <c r="F2471" s="159">
        <v>495.51</v>
      </c>
      <c r="G2471" s="160"/>
      <c r="H2471" s="34" t="s">
        <v>925</v>
      </c>
    </row>
    <row r="2472" spans="1:8" ht="33">
      <c r="A2472" s="160"/>
      <c r="B2472" s="160"/>
      <c r="C2472" s="157"/>
      <c r="D2472" s="159"/>
      <c r="E2472" s="159"/>
      <c r="F2472" s="159"/>
      <c r="G2472" s="160"/>
      <c r="H2472" s="34" t="s">
        <v>925</v>
      </c>
    </row>
    <row r="2473" spans="1:8" ht="33">
      <c r="A2473" s="160" t="s">
        <v>2511</v>
      </c>
      <c r="B2473" s="160" t="s">
        <v>3652</v>
      </c>
      <c r="C2473" s="157" t="s">
        <v>1689</v>
      </c>
      <c r="D2473" s="159">
        <v>1</v>
      </c>
      <c r="E2473" s="159">
        <v>636.42999999999995</v>
      </c>
      <c r="F2473" s="159"/>
      <c r="G2473" s="160" t="s">
        <v>3653</v>
      </c>
      <c r="H2473" s="34" t="s">
        <v>925</v>
      </c>
    </row>
    <row r="2474" spans="1:8" ht="57">
      <c r="A2474" s="160">
        <v>1</v>
      </c>
      <c r="B2474" s="160" t="s">
        <v>4987</v>
      </c>
      <c r="C2474" s="157" t="s">
        <v>1689</v>
      </c>
      <c r="D2474" s="159">
        <v>1</v>
      </c>
      <c r="E2474" s="159">
        <v>206.57</v>
      </c>
      <c r="F2474" s="159">
        <v>206.57</v>
      </c>
      <c r="G2474" s="160" t="s">
        <v>4988</v>
      </c>
      <c r="H2474" s="34" t="s">
        <v>925</v>
      </c>
    </row>
    <row r="2475" spans="1:8" ht="28.5">
      <c r="A2475" s="160">
        <v>2</v>
      </c>
      <c r="B2475" s="160" t="s">
        <v>4036</v>
      </c>
      <c r="C2475" s="157" t="s">
        <v>14</v>
      </c>
      <c r="D2475" s="159">
        <v>1</v>
      </c>
      <c r="E2475" s="159">
        <v>138.1</v>
      </c>
      <c r="F2475" s="159">
        <v>138.1</v>
      </c>
      <c r="G2475" s="160" t="s">
        <v>4037</v>
      </c>
    </row>
    <row r="2476" spans="1:8" ht="33">
      <c r="A2476" s="160">
        <v>3</v>
      </c>
      <c r="B2476" s="160" t="s">
        <v>4989</v>
      </c>
      <c r="C2476" s="157" t="s">
        <v>14</v>
      </c>
      <c r="D2476" s="159">
        <v>1</v>
      </c>
      <c r="E2476" s="159">
        <v>273.22000000000003</v>
      </c>
      <c r="F2476" s="159">
        <v>273.22000000000003</v>
      </c>
      <c r="G2476" s="160" t="s">
        <v>4045</v>
      </c>
      <c r="H2476" s="34" t="s">
        <v>925</v>
      </c>
    </row>
    <row r="2477" spans="1:8" ht="33">
      <c r="A2477" s="160">
        <v>4</v>
      </c>
      <c r="B2477" s="160" t="s">
        <v>931</v>
      </c>
      <c r="C2477" s="157" t="s">
        <v>14</v>
      </c>
      <c r="D2477" s="159">
        <v>1</v>
      </c>
      <c r="E2477" s="159">
        <v>18.54</v>
      </c>
      <c r="F2477" s="159">
        <v>18.54</v>
      </c>
      <c r="G2477" s="160" t="s">
        <v>932</v>
      </c>
      <c r="H2477" s="34" t="s">
        <v>925</v>
      </c>
    </row>
    <row r="2478" spans="1:8" ht="33">
      <c r="A2478" s="160"/>
      <c r="B2478" s="160" t="s">
        <v>933</v>
      </c>
      <c r="C2478" s="157" t="s">
        <v>1689</v>
      </c>
      <c r="D2478" s="159">
        <v>1</v>
      </c>
      <c r="E2478" s="159"/>
      <c r="F2478" s="159">
        <v>636.42999999999995</v>
      </c>
      <c r="G2478" s="160"/>
      <c r="H2478" s="34" t="s">
        <v>925</v>
      </c>
    </row>
    <row r="2479" spans="1:8" ht="33">
      <c r="A2479" s="160"/>
      <c r="B2479" s="160" t="s">
        <v>934</v>
      </c>
      <c r="C2479" s="157" t="s">
        <v>1689</v>
      </c>
      <c r="D2479" s="159"/>
      <c r="E2479" s="159"/>
      <c r="F2479" s="159">
        <v>636.42999999999995</v>
      </c>
      <c r="G2479" s="160"/>
      <c r="H2479" s="34" t="s">
        <v>925</v>
      </c>
    </row>
    <row r="2480" spans="1:8" ht="33">
      <c r="A2480" s="160"/>
      <c r="B2480" s="160"/>
      <c r="C2480" s="157"/>
      <c r="D2480" s="159"/>
      <c r="E2480" s="159"/>
      <c r="F2480" s="159"/>
      <c r="G2480" s="160"/>
      <c r="H2480" s="34" t="s">
        <v>925</v>
      </c>
    </row>
    <row r="2481" spans="1:8" ht="33">
      <c r="A2481" s="160" t="s">
        <v>2514</v>
      </c>
      <c r="B2481" s="160" t="s">
        <v>3649</v>
      </c>
      <c r="C2481" s="157" t="s">
        <v>3</v>
      </c>
      <c r="D2481" s="159">
        <v>1</v>
      </c>
      <c r="E2481" s="159">
        <v>781.62</v>
      </c>
      <c r="F2481" s="159"/>
      <c r="G2481" s="160" t="s">
        <v>4033</v>
      </c>
      <c r="H2481" s="34" t="s">
        <v>925</v>
      </c>
    </row>
    <row r="2482" spans="1:8" ht="42.75">
      <c r="A2482" s="160">
        <v>1</v>
      </c>
      <c r="B2482" s="160" t="s">
        <v>4034</v>
      </c>
      <c r="C2482" s="157" t="s">
        <v>3</v>
      </c>
      <c r="D2482" s="159">
        <v>1.1000000000000001</v>
      </c>
      <c r="E2482" s="159">
        <v>235.37</v>
      </c>
      <c r="F2482" s="159">
        <v>258.91000000000003</v>
      </c>
      <c r="G2482" s="160" t="s">
        <v>4035</v>
      </c>
      <c r="H2482" s="34" t="s">
        <v>925</v>
      </c>
    </row>
    <row r="2483" spans="1:8" ht="33">
      <c r="A2483" s="160">
        <v>2</v>
      </c>
      <c r="B2483" s="160" t="s">
        <v>4036</v>
      </c>
      <c r="C2483" s="157" t="s">
        <v>14</v>
      </c>
      <c r="D2483" s="159">
        <v>1</v>
      </c>
      <c r="E2483" s="159">
        <v>138.1</v>
      </c>
      <c r="F2483" s="159">
        <v>138.1</v>
      </c>
      <c r="G2483" s="160" t="s">
        <v>4037</v>
      </c>
      <c r="H2483" s="34" t="s">
        <v>925</v>
      </c>
    </row>
    <row r="2484" spans="1:8" ht="42.75">
      <c r="A2484" s="160">
        <v>3</v>
      </c>
      <c r="B2484" s="160" t="s">
        <v>4964</v>
      </c>
      <c r="C2484" s="157" t="s">
        <v>927</v>
      </c>
      <c r="D2484" s="159">
        <v>0.2</v>
      </c>
      <c r="E2484" s="159">
        <v>398.41</v>
      </c>
      <c r="F2484" s="159">
        <v>79.680000000000007</v>
      </c>
      <c r="G2484" s="160" t="s">
        <v>4965</v>
      </c>
      <c r="H2484" s="34" t="s">
        <v>925</v>
      </c>
    </row>
    <row r="2485" spans="1:8" ht="28.5">
      <c r="A2485" s="160">
        <v>4</v>
      </c>
      <c r="B2485" s="160" t="s">
        <v>1774</v>
      </c>
      <c r="C2485" s="157" t="s">
        <v>927</v>
      </c>
      <c r="D2485" s="159">
        <v>0.2</v>
      </c>
      <c r="E2485" s="159">
        <v>1410.82</v>
      </c>
      <c r="F2485" s="159">
        <v>282.16000000000003</v>
      </c>
      <c r="G2485" s="160" t="s">
        <v>1775</v>
      </c>
    </row>
    <row r="2486" spans="1:8" ht="33">
      <c r="A2486" s="160">
        <v>5</v>
      </c>
      <c r="B2486" s="160" t="s">
        <v>931</v>
      </c>
      <c r="C2486" s="157" t="s">
        <v>14</v>
      </c>
      <c r="D2486" s="159">
        <v>1</v>
      </c>
      <c r="E2486" s="159">
        <v>22.77</v>
      </c>
      <c r="F2486" s="159">
        <v>22.77</v>
      </c>
      <c r="G2486" s="160" t="s">
        <v>932</v>
      </c>
      <c r="H2486" s="34" t="s">
        <v>925</v>
      </c>
    </row>
    <row r="2487" spans="1:8" ht="33">
      <c r="A2487" s="160"/>
      <c r="B2487" s="160" t="s">
        <v>933</v>
      </c>
      <c r="C2487" s="157" t="s">
        <v>3</v>
      </c>
      <c r="D2487" s="159">
        <v>1</v>
      </c>
      <c r="E2487" s="159"/>
      <c r="F2487" s="159">
        <v>781.62</v>
      </c>
      <c r="G2487" s="160"/>
      <c r="H2487" s="34" t="s">
        <v>925</v>
      </c>
    </row>
    <row r="2488" spans="1:8" ht="33">
      <c r="A2488" s="160"/>
      <c r="B2488" s="160" t="s">
        <v>934</v>
      </c>
      <c r="C2488" s="157" t="s">
        <v>3</v>
      </c>
      <c r="D2488" s="159"/>
      <c r="E2488" s="159"/>
      <c r="F2488" s="159">
        <v>781.62</v>
      </c>
      <c r="G2488" s="160"/>
      <c r="H2488" s="34" t="s">
        <v>925</v>
      </c>
    </row>
    <row r="2489" spans="1:8" ht="33">
      <c r="A2489" s="160"/>
      <c r="B2489" s="160"/>
      <c r="C2489" s="157"/>
      <c r="D2489" s="159"/>
      <c r="E2489" s="159"/>
      <c r="F2489" s="159"/>
      <c r="G2489" s="160"/>
      <c r="H2489" s="34" t="s">
        <v>925</v>
      </c>
    </row>
    <row r="2490" spans="1:8" ht="33">
      <c r="A2490" s="160" t="s">
        <v>2517</v>
      </c>
      <c r="B2490" s="160" t="s">
        <v>3650</v>
      </c>
      <c r="C2490" s="157" t="s">
        <v>3</v>
      </c>
      <c r="D2490" s="159">
        <v>1</v>
      </c>
      <c r="E2490" s="159">
        <v>865.83</v>
      </c>
      <c r="F2490" s="159"/>
      <c r="G2490" s="160" t="s">
        <v>4038</v>
      </c>
      <c r="H2490" s="34" t="s">
        <v>925</v>
      </c>
    </row>
    <row r="2491" spans="1:8" ht="42.75">
      <c r="A2491" s="160">
        <v>1</v>
      </c>
      <c r="B2491" s="160" t="s">
        <v>4039</v>
      </c>
      <c r="C2491" s="157" t="s">
        <v>3</v>
      </c>
      <c r="D2491" s="159">
        <v>1.1000000000000001</v>
      </c>
      <c r="E2491" s="159">
        <v>309.7</v>
      </c>
      <c r="F2491" s="159">
        <v>340.67</v>
      </c>
      <c r="G2491" s="160" t="s">
        <v>4040</v>
      </c>
      <c r="H2491" s="34" t="s">
        <v>925</v>
      </c>
    </row>
    <row r="2492" spans="1:8" ht="33">
      <c r="A2492" s="160">
        <v>2</v>
      </c>
      <c r="B2492" s="160" t="s">
        <v>4036</v>
      </c>
      <c r="C2492" s="157" t="s">
        <v>14</v>
      </c>
      <c r="D2492" s="159">
        <v>1</v>
      </c>
      <c r="E2492" s="159">
        <v>138.1</v>
      </c>
      <c r="F2492" s="159">
        <v>138.1</v>
      </c>
      <c r="G2492" s="160" t="s">
        <v>4037</v>
      </c>
      <c r="H2492" s="34" t="s">
        <v>925</v>
      </c>
    </row>
    <row r="2493" spans="1:8" ht="42.75">
      <c r="A2493" s="160">
        <v>3</v>
      </c>
      <c r="B2493" s="160" t="s">
        <v>4964</v>
      </c>
      <c r="C2493" s="157" t="s">
        <v>927</v>
      </c>
      <c r="D2493" s="159">
        <v>0.2</v>
      </c>
      <c r="E2493" s="159">
        <v>398.41</v>
      </c>
      <c r="F2493" s="159">
        <v>79.680000000000007</v>
      </c>
      <c r="G2493" s="160" t="s">
        <v>4965</v>
      </c>
      <c r="H2493" s="34" t="s">
        <v>925</v>
      </c>
    </row>
    <row r="2494" spans="1:8" ht="33">
      <c r="A2494" s="160">
        <v>4</v>
      </c>
      <c r="B2494" s="160" t="s">
        <v>1774</v>
      </c>
      <c r="C2494" s="157" t="s">
        <v>927</v>
      </c>
      <c r="D2494" s="159">
        <v>0.2</v>
      </c>
      <c r="E2494" s="159">
        <v>1410.82</v>
      </c>
      <c r="F2494" s="159">
        <v>282.16000000000003</v>
      </c>
      <c r="G2494" s="160" t="s">
        <v>1775</v>
      </c>
      <c r="H2494" s="34" t="s">
        <v>925</v>
      </c>
    </row>
    <row r="2495" spans="1:8" ht="28.5">
      <c r="A2495" s="160">
        <v>5</v>
      </c>
      <c r="B2495" s="160" t="s">
        <v>931</v>
      </c>
      <c r="C2495" s="157" t="s">
        <v>14</v>
      </c>
      <c r="D2495" s="159">
        <v>1</v>
      </c>
      <c r="E2495" s="159">
        <v>25.22</v>
      </c>
      <c r="F2495" s="159">
        <v>25.22</v>
      </c>
      <c r="G2495" s="160" t="s">
        <v>932</v>
      </c>
    </row>
    <row r="2496" spans="1:8" ht="33">
      <c r="A2496" s="160"/>
      <c r="B2496" s="160" t="s">
        <v>933</v>
      </c>
      <c r="C2496" s="157" t="s">
        <v>3</v>
      </c>
      <c r="D2496" s="159">
        <v>1</v>
      </c>
      <c r="E2496" s="159"/>
      <c r="F2496" s="159">
        <v>865.83000000000015</v>
      </c>
      <c r="G2496" s="160"/>
      <c r="H2496" s="34" t="s">
        <v>925</v>
      </c>
    </row>
    <row r="2497" spans="1:8" ht="33">
      <c r="A2497" s="160"/>
      <c r="B2497" s="160" t="s">
        <v>934</v>
      </c>
      <c r="C2497" s="157" t="s">
        <v>3</v>
      </c>
      <c r="D2497" s="159"/>
      <c r="E2497" s="159"/>
      <c r="F2497" s="159">
        <v>865.83</v>
      </c>
      <c r="G2497" s="160"/>
      <c r="H2497" s="34" t="s">
        <v>925</v>
      </c>
    </row>
    <row r="2498" spans="1:8" ht="33">
      <c r="A2498" s="160"/>
      <c r="B2498" s="160"/>
      <c r="C2498" s="157"/>
      <c r="D2498" s="159"/>
      <c r="E2498" s="159"/>
      <c r="F2498" s="159"/>
      <c r="G2498" s="160"/>
      <c r="H2498" s="34" t="s">
        <v>925</v>
      </c>
    </row>
    <row r="2499" spans="1:8" ht="33">
      <c r="A2499" s="160" t="s">
        <v>2526</v>
      </c>
      <c r="B2499" s="160" t="s">
        <v>3651</v>
      </c>
      <c r="C2499" s="157" t="s">
        <v>3</v>
      </c>
      <c r="D2499" s="159">
        <v>1</v>
      </c>
      <c r="E2499" s="159">
        <v>964.07</v>
      </c>
      <c r="F2499" s="159"/>
      <c r="G2499" s="160" t="s">
        <v>4041</v>
      </c>
      <c r="H2499" s="34" t="s">
        <v>925</v>
      </c>
    </row>
    <row r="2500" spans="1:8" ht="42.75">
      <c r="A2500" s="160">
        <v>1</v>
      </c>
      <c r="B2500" s="160" t="s">
        <v>4042</v>
      </c>
      <c r="C2500" s="157" t="s">
        <v>3</v>
      </c>
      <c r="D2500" s="159">
        <v>1.1000000000000001</v>
      </c>
      <c r="E2500" s="159">
        <v>396.41</v>
      </c>
      <c r="F2500" s="159">
        <v>436.05</v>
      </c>
      <c r="G2500" s="160" t="s">
        <v>4043</v>
      </c>
      <c r="H2500" s="34" t="s">
        <v>925</v>
      </c>
    </row>
    <row r="2501" spans="1:8" ht="33">
      <c r="A2501" s="160">
        <v>2</v>
      </c>
      <c r="B2501" s="160" t="s">
        <v>4036</v>
      </c>
      <c r="C2501" s="157" t="s">
        <v>14</v>
      </c>
      <c r="D2501" s="159">
        <v>1</v>
      </c>
      <c r="E2501" s="159">
        <v>138.1</v>
      </c>
      <c r="F2501" s="159">
        <v>138.1</v>
      </c>
      <c r="G2501" s="160" t="s">
        <v>4037</v>
      </c>
      <c r="H2501" s="34" t="s">
        <v>925</v>
      </c>
    </row>
    <row r="2502" spans="1:8" ht="42.75">
      <c r="A2502" s="160">
        <v>3</v>
      </c>
      <c r="B2502" s="160" t="s">
        <v>4964</v>
      </c>
      <c r="C2502" s="157" t="s">
        <v>927</v>
      </c>
      <c r="D2502" s="159">
        <v>0.2</v>
      </c>
      <c r="E2502" s="159">
        <v>398.41</v>
      </c>
      <c r="F2502" s="159">
        <v>79.680000000000007</v>
      </c>
      <c r="G2502" s="160" t="s">
        <v>4965</v>
      </c>
      <c r="H2502" s="34" t="s">
        <v>925</v>
      </c>
    </row>
    <row r="2503" spans="1:8" ht="33">
      <c r="A2503" s="160">
        <v>4</v>
      </c>
      <c r="B2503" s="160" t="s">
        <v>1774</v>
      </c>
      <c r="C2503" s="157" t="s">
        <v>927</v>
      </c>
      <c r="D2503" s="159">
        <v>0.2</v>
      </c>
      <c r="E2503" s="159">
        <v>1410.82</v>
      </c>
      <c r="F2503" s="159">
        <v>282.16000000000003</v>
      </c>
      <c r="G2503" s="160" t="s">
        <v>1775</v>
      </c>
      <c r="H2503" s="34" t="s">
        <v>925</v>
      </c>
    </row>
    <row r="2504" spans="1:8" ht="33">
      <c r="A2504" s="160">
        <v>5</v>
      </c>
      <c r="B2504" s="160" t="s">
        <v>931</v>
      </c>
      <c r="C2504" s="157" t="s">
        <v>14</v>
      </c>
      <c r="D2504" s="159">
        <v>1</v>
      </c>
      <c r="E2504" s="159">
        <v>28.08</v>
      </c>
      <c r="F2504" s="159">
        <v>28.08</v>
      </c>
      <c r="G2504" s="160" t="s">
        <v>932</v>
      </c>
      <c r="H2504" s="34" t="s">
        <v>925</v>
      </c>
    </row>
    <row r="2505" spans="1:8" ht="16.5">
      <c r="A2505" s="160"/>
      <c r="B2505" s="160" t="s">
        <v>933</v>
      </c>
      <c r="C2505" s="157" t="s">
        <v>3</v>
      </c>
      <c r="D2505" s="159">
        <v>1</v>
      </c>
      <c r="E2505" s="159"/>
      <c r="F2505" s="159">
        <v>964.07</v>
      </c>
      <c r="G2505" s="160"/>
    </row>
    <row r="2506" spans="1:8" ht="33">
      <c r="A2506" s="160"/>
      <c r="B2506" s="160" t="s">
        <v>934</v>
      </c>
      <c r="C2506" s="157" t="s">
        <v>3</v>
      </c>
      <c r="D2506" s="159"/>
      <c r="E2506" s="159"/>
      <c r="F2506" s="159">
        <v>964.07</v>
      </c>
      <c r="G2506" s="160"/>
      <c r="H2506" s="34" t="s">
        <v>925</v>
      </c>
    </row>
    <row r="2507" spans="1:8" ht="33">
      <c r="A2507" s="160"/>
      <c r="B2507" s="160"/>
      <c r="C2507" s="157"/>
      <c r="D2507" s="159"/>
      <c r="E2507" s="159"/>
      <c r="F2507" s="159"/>
      <c r="G2507" s="160"/>
      <c r="H2507" s="34" t="s">
        <v>925</v>
      </c>
    </row>
    <row r="2508" spans="1:8" ht="33">
      <c r="A2508" s="160" t="s">
        <v>2529</v>
      </c>
      <c r="B2508" s="160" t="s">
        <v>2299</v>
      </c>
      <c r="C2508" s="157" t="s">
        <v>1689</v>
      </c>
      <c r="D2508" s="159">
        <v>1</v>
      </c>
      <c r="E2508" s="159">
        <v>73169.119999999995</v>
      </c>
      <c r="F2508" s="159"/>
      <c r="G2508" s="160" t="s">
        <v>2300</v>
      </c>
      <c r="H2508" s="34" t="s">
        <v>925</v>
      </c>
    </row>
    <row r="2509" spans="1:8" ht="33">
      <c r="A2509" s="160">
        <v>1</v>
      </c>
      <c r="B2509" s="160" t="s">
        <v>2301</v>
      </c>
      <c r="C2509" s="157" t="s">
        <v>1689</v>
      </c>
      <c r="D2509" s="159">
        <v>1</v>
      </c>
      <c r="E2509" s="159">
        <v>67063.83</v>
      </c>
      <c r="F2509" s="159">
        <v>67063.83</v>
      </c>
      <c r="G2509" s="160" t="s">
        <v>2302</v>
      </c>
      <c r="H2509" s="34" t="s">
        <v>925</v>
      </c>
    </row>
    <row r="2510" spans="1:8" ht="33">
      <c r="A2510" s="160">
        <v>2</v>
      </c>
      <c r="B2510" s="160" t="s">
        <v>2303</v>
      </c>
      <c r="C2510" s="157" t="s">
        <v>14</v>
      </c>
      <c r="D2510" s="159">
        <v>1</v>
      </c>
      <c r="E2510" s="159">
        <v>3974.15</v>
      </c>
      <c r="F2510" s="159">
        <v>3974.15</v>
      </c>
      <c r="G2510" s="160" t="s">
        <v>2304</v>
      </c>
      <c r="H2510" s="34" t="s">
        <v>925</v>
      </c>
    </row>
    <row r="2511" spans="1:8" ht="33">
      <c r="A2511" s="160">
        <v>3</v>
      </c>
      <c r="B2511" s="160" t="s">
        <v>931</v>
      </c>
      <c r="C2511" s="157" t="s">
        <v>14</v>
      </c>
      <c r="D2511" s="159">
        <v>1</v>
      </c>
      <c r="E2511" s="159">
        <v>2131.14</v>
      </c>
      <c r="F2511" s="159">
        <v>2131.14</v>
      </c>
      <c r="G2511" s="160" t="s">
        <v>932</v>
      </c>
      <c r="H2511" s="34" t="s">
        <v>925</v>
      </c>
    </row>
    <row r="2512" spans="1:8" ht="33">
      <c r="A2512" s="160"/>
      <c r="B2512" s="160" t="s">
        <v>933</v>
      </c>
      <c r="C2512" s="157" t="s">
        <v>1689</v>
      </c>
      <c r="D2512" s="159">
        <v>1</v>
      </c>
      <c r="E2512" s="159"/>
      <c r="F2512" s="159">
        <v>73169.119999999995</v>
      </c>
      <c r="G2512" s="160"/>
      <c r="H2512" s="34" t="s">
        <v>925</v>
      </c>
    </row>
    <row r="2513" spans="1:8" ht="33">
      <c r="A2513" s="160"/>
      <c r="B2513" s="160" t="s">
        <v>934</v>
      </c>
      <c r="C2513" s="157" t="s">
        <v>1689</v>
      </c>
      <c r="D2513" s="159"/>
      <c r="E2513" s="159"/>
      <c r="F2513" s="159">
        <v>73169.119999999995</v>
      </c>
      <c r="G2513" s="160"/>
      <c r="H2513" s="34" t="s">
        <v>925</v>
      </c>
    </row>
    <row r="2514" spans="1:8" ht="33">
      <c r="A2514" s="160"/>
      <c r="B2514" s="160"/>
      <c r="C2514" s="157"/>
      <c r="D2514" s="159"/>
      <c r="E2514" s="159"/>
      <c r="F2514" s="159"/>
      <c r="G2514" s="160"/>
      <c r="H2514" s="34" t="s">
        <v>925</v>
      </c>
    </row>
    <row r="2515" spans="1:8" ht="28.5">
      <c r="A2515" s="160" t="s">
        <v>2536</v>
      </c>
      <c r="B2515" s="160" t="s">
        <v>2306</v>
      </c>
      <c r="C2515" s="157" t="s">
        <v>1497</v>
      </c>
      <c r="D2515" s="159">
        <v>1</v>
      </c>
      <c r="E2515" s="159">
        <v>527.02</v>
      </c>
      <c r="F2515" s="159"/>
      <c r="G2515" s="160" t="s">
        <v>2307</v>
      </c>
    </row>
    <row r="2516" spans="1:8" ht="33">
      <c r="A2516" s="160">
        <v>1</v>
      </c>
      <c r="B2516" s="160" t="s">
        <v>2308</v>
      </c>
      <c r="C2516" s="157" t="s">
        <v>1497</v>
      </c>
      <c r="D2516" s="159">
        <v>1</v>
      </c>
      <c r="E2516" s="159">
        <v>491.8</v>
      </c>
      <c r="F2516" s="159">
        <v>491.8</v>
      </c>
      <c r="G2516" s="160" t="s">
        <v>2309</v>
      </c>
      <c r="H2516" s="34" t="s">
        <v>925</v>
      </c>
    </row>
    <row r="2517" spans="1:8" ht="33">
      <c r="A2517" s="160">
        <v>2</v>
      </c>
      <c r="B2517" s="160" t="s">
        <v>2310</v>
      </c>
      <c r="C2517" s="157" t="s">
        <v>14</v>
      </c>
      <c r="D2517" s="159">
        <v>1</v>
      </c>
      <c r="E2517" s="159">
        <v>19.87</v>
      </c>
      <c r="F2517" s="159">
        <v>19.87</v>
      </c>
      <c r="G2517" s="160" t="s">
        <v>2311</v>
      </c>
      <c r="H2517" s="34" t="s">
        <v>925</v>
      </c>
    </row>
    <row r="2518" spans="1:8" ht="33">
      <c r="A2518" s="160">
        <v>3</v>
      </c>
      <c r="B2518" s="160" t="s">
        <v>931</v>
      </c>
      <c r="C2518" s="157" t="s">
        <v>14</v>
      </c>
      <c r="D2518" s="159">
        <v>1</v>
      </c>
      <c r="E2518" s="159">
        <v>15.35</v>
      </c>
      <c r="F2518" s="159">
        <v>15.35</v>
      </c>
      <c r="G2518" s="160" t="s">
        <v>932</v>
      </c>
      <c r="H2518" s="34" t="s">
        <v>925</v>
      </c>
    </row>
    <row r="2519" spans="1:8" ht="33">
      <c r="A2519" s="160"/>
      <c r="B2519" s="160" t="s">
        <v>933</v>
      </c>
      <c r="C2519" s="157" t="s">
        <v>1497</v>
      </c>
      <c r="D2519" s="159">
        <v>1</v>
      </c>
      <c r="E2519" s="159"/>
      <c r="F2519" s="159">
        <v>527.02</v>
      </c>
      <c r="G2519" s="160"/>
      <c r="H2519" s="34" t="s">
        <v>925</v>
      </c>
    </row>
    <row r="2520" spans="1:8" ht="33">
      <c r="A2520" s="160"/>
      <c r="B2520" s="160" t="s">
        <v>934</v>
      </c>
      <c r="C2520" s="157" t="s">
        <v>1497</v>
      </c>
      <c r="D2520" s="159"/>
      <c r="E2520" s="159"/>
      <c r="F2520" s="159">
        <v>527.02</v>
      </c>
      <c r="G2520" s="160"/>
      <c r="H2520" s="34" t="s">
        <v>925</v>
      </c>
    </row>
    <row r="2521" spans="1:8" ht="33">
      <c r="A2521" s="160"/>
      <c r="B2521" s="160"/>
      <c r="C2521" s="157"/>
      <c r="D2521" s="159"/>
      <c r="E2521" s="159"/>
      <c r="F2521" s="159"/>
      <c r="G2521" s="160"/>
      <c r="H2521" s="34" t="s">
        <v>925</v>
      </c>
    </row>
    <row r="2522" spans="1:8" ht="28.5">
      <c r="A2522" s="160" t="s">
        <v>2539</v>
      </c>
      <c r="B2522" s="160" t="s">
        <v>2313</v>
      </c>
      <c r="C2522" s="157" t="s">
        <v>1497</v>
      </c>
      <c r="D2522" s="159">
        <v>1</v>
      </c>
      <c r="E2522" s="159">
        <v>699.97</v>
      </c>
      <c r="F2522" s="159"/>
      <c r="G2522" s="160" t="s">
        <v>2314</v>
      </c>
    </row>
    <row r="2523" spans="1:8" ht="33">
      <c r="A2523" s="160">
        <v>1</v>
      </c>
      <c r="B2523" s="160" t="s">
        <v>2119</v>
      </c>
      <c r="C2523" s="157" t="s">
        <v>1497</v>
      </c>
      <c r="D2523" s="159">
        <v>1</v>
      </c>
      <c r="E2523" s="159">
        <v>461</v>
      </c>
      <c r="F2523" s="159">
        <v>461</v>
      </c>
      <c r="G2523" s="160" t="s">
        <v>2120</v>
      </c>
      <c r="H2523" s="34" t="s">
        <v>925</v>
      </c>
    </row>
    <row r="2524" spans="1:8" ht="33">
      <c r="A2524" s="160">
        <v>2</v>
      </c>
      <c r="B2524" s="160" t="s">
        <v>2315</v>
      </c>
      <c r="C2524" s="157" t="s">
        <v>14</v>
      </c>
      <c r="D2524" s="159">
        <v>1</v>
      </c>
      <c r="E2524" s="159">
        <v>218.58</v>
      </c>
      <c r="F2524" s="159">
        <v>218.58</v>
      </c>
      <c r="G2524" s="160" t="s">
        <v>2316</v>
      </c>
      <c r="H2524" s="34" t="s">
        <v>925</v>
      </c>
    </row>
    <row r="2525" spans="1:8" ht="33">
      <c r="A2525" s="160">
        <v>3</v>
      </c>
      <c r="B2525" s="160" t="s">
        <v>931</v>
      </c>
      <c r="C2525" s="157" t="s">
        <v>14</v>
      </c>
      <c r="D2525" s="159">
        <v>1</v>
      </c>
      <c r="E2525" s="159">
        <v>20.39</v>
      </c>
      <c r="F2525" s="159">
        <v>20.39</v>
      </c>
      <c r="G2525" s="160" t="s">
        <v>932</v>
      </c>
      <c r="H2525" s="34" t="s">
        <v>925</v>
      </c>
    </row>
    <row r="2526" spans="1:8" ht="33">
      <c r="A2526" s="160"/>
      <c r="B2526" s="160" t="s">
        <v>933</v>
      </c>
      <c r="C2526" s="157" t="s">
        <v>1497</v>
      </c>
      <c r="D2526" s="159">
        <v>1</v>
      </c>
      <c r="E2526" s="159"/>
      <c r="F2526" s="159">
        <v>699.97</v>
      </c>
      <c r="G2526" s="160"/>
      <c r="H2526" s="34" t="s">
        <v>925</v>
      </c>
    </row>
    <row r="2527" spans="1:8" ht="33">
      <c r="A2527" s="160"/>
      <c r="B2527" s="160" t="s">
        <v>934</v>
      </c>
      <c r="C2527" s="157" t="s">
        <v>1497</v>
      </c>
      <c r="D2527" s="159"/>
      <c r="E2527" s="159"/>
      <c r="F2527" s="159">
        <v>699.97</v>
      </c>
      <c r="G2527" s="160"/>
      <c r="H2527" s="34" t="s">
        <v>925</v>
      </c>
    </row>
    <row r="2528" spans="1:8" ht="33">
      <c r="A2528" s="160"/>
      <c r="B2528" s="160"/>
      <c r="C2528" s="157"/>
      <c r="D2528" s="159"/>
      <c r="E2528" s="159"/>
      <c r="F2528" s="159"/>
      <c r="G2528" s="160"/>
      <c r="H2528" s="34" t="s">
        <v>925</v>
      </c>
    </row>
    <row r="2529" spans="1:8" ht="42.75">
      <c r="A2529" s="160" t="s">
        <v>2543</v>
      </c>
      <c r="B2529" s="160" t="s">
        <v>2318</v>
      </c>
      <c r="C2529" s="157" t="s">
        <v>1497</v>
      </c>
      <c r="D2529" s="159">
        <v>1</v>
      </c>
      <c r="E2529" s="159">
        <v>710.21</v>
      </c>
      <c r="F2529" s="159"/>
      <c r="G2529" s="160" t="s">
        <v>2319</v>
      </c>
    </row>
    <row r="2530" spans="1:8" ht="33">
      <c r="A2530" s="160">
        <v>1</v>
      </c>
      <c r="B2530" s="160" t="s">
        <v>2320</v>
      </c>
      <c r="C2530" s="157" t="s">
        <v>14</v>
      </c>
      <c r="D2530" s="159">
        <v>1</v>
      </c>
      <c r="E2530" s="159">
        <v>29.81</v>
      </c>
      <c r="F2530" s="159">
        <v>29.81</v>
      </c>
      <c r="G2530" s="160" t="s">
        <v>2321</v>
      </c>
      <c r="H2530" s="34" t="s">
        <v>925</v>
      </c>
    </row>
    <row r="2531" spans="1:8" ht="33">
      <c r="A2531" s="160">
        <v>2</v>
      </c>
      <c r="B2531" s="160" t="s">
        <v>2119</v>
      </c>
      <c r="C2531" s="157" t="s">
        <v>1497</v>
      </c>
      <c r="D2531" s="159">
        <v>1</v>
      </c>
      <c r="E2531" s="159">
        <v>461</v>
      </c>
      <c r="F2531" s="159">
        <v>461</v>
      </c>
      <c r="G2531" s="160" t="s">
        <v>2120</v>
      </c>
      <c r="H2531" s="34" t="s">
        <v>925</v>
      </c>
    </row>
    <row r="2532" spans="1:8" ht="33">
      <c r="A2532" s="160">
        <v>3</v>
      </c>
      <c r="B2532" s="160" t="s">
        <v>2322</v>
      </c>
      <c r="C2532" s="157" t="s">
        <v>14</v>
      </c>
      <c r="D2532" s="159">
        <v>1</v>
      </c>
      <c r="E2532" s="159">
        <v>149.03</v>
      </c>
      <c r="F2532" s="159">
        <v>149.03</v>
      </c>
      <c r="G2532" s="160" t="s">
        <v>2323</v>
      </c>
      <c r="H2532" s="34" t="s">
        <v>925</v>
      </c>
    </row>
    <row r="2533" spans="1:8" ht="33">
      <c r="A2533" s="160">
        <v>4</v>
      </c>
      <c r="B2533" s="160" t="s">
        <v>2324</v>
      </c>
      <c r="C2533" s="157" t="s">
        <v>14</v>
      </c>
      <c r="D2533" s="159">
        <v>1</v>
      </c>
      <c r="E2533" s="159">
        <v>49.68</v>
      </c>
      <c r="F2533" s="159">
        <v>49.68</v>
      </c>
      <c r="G2533" s="160" t="s">
        <v>2325</v>
      </c>
      <c r="H2533" s="34" t="s">
        <v>925</v>
      </c>
    </row>
    <row r="2534" spans="1:8" ht="33">
      <c r="A2534" s="160">
        <v>5</v>
      </c>
      <c r="B2534" s="160" t="s">
        <v>931</v>
      </c>
      <c r="C2534" s="157" t="s">
        <v>14</v>
      </c>
      <c r="D2534" s="159">
        <v>1</v>
      </c>
      <c r="E2534" s="159">
        <v>20.69</v>
      </c>
      <c r="F2534" s="159">
        <v>20.69</v>
      </c>
      <c r="G2534" s="160" t="s">
        <v>932</v>
      </c>
      <c r="H2534" s="34" t="s">
        <v>925</v>
      </c>
    </row>
    <row r="2535" spans="1:8" ht="33">
      <c r="A2535" s="160"/>
      <c r="B2535" s="160" t="s">
        <v>933</v>
      </c>
      <c r="C2535" s="157" t="s">
        <v>1497</v>
      </c>
      <c r="D2535" s="159">
        <v>1</v>
      </c>
      <c r="E2535" s="159"/>
      <c r="F2535" s="159">
        <v>710.21</v>
      </c>
      <c r="G2535" s="160"/>
      <c r="H2535" s="34" t="s">
        <v>925</v>
      </c>
    </row>
    <row r="2536" spans="1:8" ht="16.5">
      <c r="A2536" s="160"/>
      <c r="B2536" s="160" t="s">
        <v>934</v>
      </c>
      <c r="C2536" s="157" t="s">
        <v>1497</v>
      </c>
      <c r="D2536" s="159"/>
      <c r="E2536" s="159"/>
      <c r="F2536" s="159">
        <v>710.21</v>
      </c>
      <c r="G2536" s="160"/>
    </row>
    <row r="2537" spans="1:8" ht="33">
      <c r="A2537" s="160"/>
      <c r="B2537" s="160"/>
      <c r="C2537" s="157"/>
      <c r="D2537" s="159"/>
      <c r="E2537" s="159"/>
      <c r="F2537" s="159"/>
      <c r="G2537" s="160"/>
      <c r="H2537" s="34" t="s">
        <v>925</v>
      </c>
    </row>
    <row r="2538" spans="1:8" ht="42.75">
      <c r="A2538" s="160" t="s">
        <v>2546</v>
      </c>
      <c r="B2538" s="160" t="s">
        <v>2327</v>
      </c>
      <c r="C2538" s="157" t="s">
        <v>1497</v>
      </c>
      <c r="D2538" s="159">
        <v>3.3</v>
      </c>
      <c r="E2538" s="159">
        <v>488.11</v>
      </c>
      <c r="F2538" s="159"/>
      <c r="G2538" s="160" t="s">
        <v>2328</v>
      </c>
      <c r="H2538" s="34" t="s">
        <v>925</v>
      </c>
    </row>
    <row r="2539" spans="1:8" ht="33">
      <c r="A2539" s="160">
        <v>1</v>
      </c>
      <c r="B2539" s="160" t="s">
        <v>2320</v>
      </c>
      <c r="C2539" s="157" t="s">
        <v>14</v>
      </c>
      <c r="D2539" s="159">
        <v>1</v>
      </c>
      <c r="E2539" s="159">
        <v>29.81</v>
      </c>
      <c r="F2539" s="159">
        <v>29.81</v>
      </c>
      <c r="G2539" s="160" t="s">
        <v>2321</v>
      </c>
      <c r="H2539" s="34" t="s">
        <v>925</v>
      </c>
    </row>
    <row r="2540" spans="1:8" ht="33">
      <c r="A2540" s="160">
        <v>2</v>
      </c>
      <c r="B2540" s="160" t="s">
        <v>2329</v>
      </c>
      <c r="C2540" s="157" t="s">
        <v>14</v>
      </c>
      <c r="D2540" s="159">
        <v>1</v>
      </c>
      <c r="E2540" s="159">
        <v>486.83</v>
      </c>
      <c r="F2540" s="159">
        <v>486.83</v>
      </c>
      <c r="G2540" s="160" t="s">
        <v>2330</v>
      </c>
      <c r="H2540" s="34" t="s">
        <v>925</v>
      </c>
    </row>
    <row r="2541" spans="1:8" ht="33">
      <c r="A2541" s="160">
        <v>3</v>
      </c>
      <c r="B2541" s="160" t="s">
        <v>2331</v>
      </c>
      <c r="C2541" s="157" t="s">
        <v>14</v>
      </c>
      <c r="D2541" s="159">
        <v>1</v>
      </c>
      <c r="E2541" s="159">
        <v>457.03</v>
      </c>
      <c r="F2541" s="159">
        <v>457.03</v>
      </c>
      <c r="G2541" s="160" t="s">
        <v>2332</v>
      </c>
      <c r="H2541" s="34" t="s">
        <v>925</v>
      </c>
    </row>
    <row r="2542" spans="1:8" ht="33">
      <c r="A2542" s="160">
        <v>4</v>
      </c>
      <c r="B2542" s="160" t="s">
        <v>2333</v>
      </c>
      <c r="C2542" s="157" t="s">
        <v>1497</v>
      </c>
      <c r="D2542" s="159">
        <v>4.4000000000000004</v>
      </c>
      <c r="E2542" s="159">
        <v>69.55</v>
      </c>
      <c r="F2542" s="159">
        <v>306.02</v>
      </c>
      <c r="G2542" s="160" t="s">
        <v>2334</v>
      </c>
      <c r="H2542" s="34" t="s">
        <v>925</v>
      </c>
    </row>
    <row r="2543" spans="1:8" ht="28.5">
      <c r="A2543" s="160">
        <v>5</v>
      </c>
      <c r="B2543" s="160" t="s">
        <v>2322</v>
      </c>
      <c r="C2543" s="157" t="s">
        <v>2335</v>
      </c>
      <c r="D2543" s="159">
        <v>4.4000000000000004</v>
      </c>
      <c r="E2543" s="159">
        <v>64.58</v>
      </c>
      <c r="F2543" s="159">
        <v>284.14999999999998</v>
      </c>
      <c r="G2543" s="160" t="s">
        <v>2336</v>
      </c>
    </row>
    <row r="2544" spans="1:8" ht="33">
      <c r="A2544" s="160">
        <v>6</v>
      </c>
      <c r="B2544" s="160" t="s">
        <v>931</v>
      </c>
      <c r="C2544" s="157" t="s">
        <v>14</v>
      </c>
      <c r="D2544" s="159">
        <v>1</v>
      </c>
      <c r="E2544" s="159">
        <v>46.92</v>
      </c>
      <c r="F2544" s="159">
        <v>46.92</v>
      </c>
      <c r="G2544" s="160" t="s">
        <v>932</v>
      </c>
      <c r="H2544" s="34" t="s">
        <v>925</v>
      </c>
    </row>
    <row r="2545" spans="1:8" ht="33">
      <c r="A2545" s="160"/>
      <c r="B2545" s="160" t="s">
        <v>933</v>
      </c>
      <c r="C2545" s="157" t="s">
        <v>1497</v>
      </c>
      <c r="D2545" s="159">
        <v>3.3</v>
      </c>
      <c r="E2545" s="159"/>
      <c r="F2545" s="159">
        <v>1610.7600000000002</v>
      </c>
      <c r="G2545" s="160"/>
      <c r="H2545" s="34" t="s">
        <v>925</v>
      </c>
    </row>
    <row r="2546" spans="1:8" ht="33">
      <c r="A2546" s="160"/>
      <c r="B2546" s="160" t="s">
        <v>934</v>
      </c>
      <c r="C2546" s="157" t="s">
        <v>1497</v>
      </c>
      <c r="D2546" s="159"/>
      <c r="E2546" s="159"/>
      <c r="F2546" s="159">
        <v>488.11</v>
      </c>
      <c r="G2546" s="160"/>
      <c r="H2546" s="34" t="s">
        <v>925</v>
      </c>
    </row>
    <row r="2547" spans="1:8" ht="33">
      <c r="A2547" s="160"/>
      <c r="B2547" s="160"/>
      <c r="C2547" s="157"/>
      <c r="D2547" s="159"/>
      <c r="E2547" s="159"/>
      <c r="F2547" s="159"/>
      <c r="G2547" s="160"/>
      <c r="H2547" s="34" t="s">
        <v>925</v>
      </c>
    </row>
    <row r="2548" spans="1:8" ht="42.75">
      <c r="A2548" s="160" t="s">
        <v>2549</v>
      </c>
      <c r="B2548" s="160" t="s">
        <v>2338</v>
      </c>
      <c r="C2548" s="157" t="s">
        <v>2238</v>
      </c>
      <c r="D2548" s="159">
        <v>1</v>
      </c>
      <c r="E2548" s="159">
        <v>1299.6500000000001</v>
      </c>
      <c r="F2548" s="159"/>
      <c r="G2548" s="160" t="s">
        <v>2339</v>
      </c>
      <c r="H2548" s="34" t="s">
        <v>925</v>
      </c>
    </row>
    <row r="2549" spans="1:8" ht="33">
      <c r="A2549" s="160">
        <v>1</v>
      </c>
      <c r="B2549" s="160" t="s">
        <v>2320</v>
      </c>
      <c r="C2549" s="157" t="s">
        <v>14</v>
      </c>
      <c r="D2549" s="159">
        <v>1</v>
      </c>
      <c r="E2549" s="159">
        <v>29.81</v>
      </c>
      <c r="F2549" s="159">
        <v>29.81</v>
      </c>
      <c r="G2549" s="160" t="s">
        <v>2321</v>
      </c>
      <c r="H2549" s="34" t="s">
        <v>925</v>
      </c>
    </row>
    <row r="2550" spans="1:8" ht="28.5">
      <c r="A2550" s="160">
        <v>2</v>
      </c>
      <c r="B2550" s="160" t="s">
        <v>2329</v>
      </c>
      <c r="C2550" s="157" t="s">
        <v>14</v>
      </c>
      <c r="D2550" s="159">
        <v>1</v>
      </c>
      <c r="E2550" s="159">
        <v>486.83</v>
      </c>
      <c r="F2550" s="159">
        <v>486.83</v>
      </c>
      <c r="G2550" s="160" t="s">
        <v>2330</v>
      </c>
    </row>
    <row r="2551" spans="1:8" ht="33">
      <c r="A2551" s="160">
        <v>3</v>
      </c>
      <c r="B2551" s="160" t="s">
        <v>2331</v>
      </c>
      <c r="C2551" s="157" t="s">
        <v>14</v>
      </c>
      <c r="D2551" s="159">
        <v>1</v>
      </c>
      <c r="E2551" s="159">
        <v>457.03</v>
      </c>
      <c r="F2551" s="159">
        <v>457.03</v>
      </c>
      <c r="G2551" s="160" t="s">
        <v>2332</v>
      </c>
      <c r="H2551" s="34" t="s">
        <v>925</v>
      </c>
    </row>
    <row r="2552" spans="1:8" ht="33">
      <c r="A2552" s="160">
        <v>4</v>
      </c>
      <c r="B2552" s="160" t="s">
        <v>2333</v>
      </c>
      <c r="C2552" s="157" t="s">
        <v>1497</v>
      </c>
      <c r="D2552" s="159">
        <v>2</v>
      </c>
      <c r="E2552" s="159">
        <v>69.55</v>
      </c>
      <c r="F2552" s="159">
        <v>139.1</v>
      </c>
      <c r="G2552" s="160" t="s">
        <v>2334</v>
      </c>
      <c r="H2552" s="34" t="s">
        <v>925</v>
      </c>
    </row>
    <row r="2553" spans="1:8" ht="33">
      <c r="A2553" s="160">
        <v>5</v>
      </c>
      <c r="B2553" s="160" t="s">
        <v>2322</v>
      </c>
      <c r="C2553" s="157" t="s">
        <v>14</v>
      </c>
      <c r="D2553" s="159">
        <v>1</v>
      </c>
      <c r="E2553" s="159">
        <v>149.03</v>
      </c>
      <c r="F2553" s="159">
        <v>149.03</v>
      </c>
      <c r="G2553" s="160" t="s">
        <v>2323</v>
      </c>
      <c r="H2553" s="34" t="s">
        <v>925</v>
      </c>
    </row>
    <row r="2554" spans="1:8" ht="33">
      <c r="A2554" s="160">
        <v>6</v>
      </c>
      <c r="B2554" s="160" t="s">
        <v>931</v>
      </c>
      <c r="C2554" s="157" t="s">
        <v>14</v>
      </c>
      <c r="D2554" s="159">
        <v>1</v>
      </c>
      <c r="E2554" s="159">
        <v>37.85</v>
      </c>
      <c r="F2554" s="159">
        <v>37.85</v>
      </c>
      <c r="G2554" s="160" t="s">
        <v>932</v>
      </c>
      <c r="H2554" s="34" t="s">
        <v>925</v>
      </c>
    </row>
    <row r="2555" spans="1:8" ht="33">
      <c r="A2555" s="160"/>
      <c r="B2555" s="160" t="s">
        <v>933</v>
      </c>
      <c r="C2555" s="157" t="s">
        <v>2238</v>
      </c>
      <c r="D2555" s="159">
        <v>1</v>
      </c>
      <c r="E2555" s="159"/>
      <c r="F2555" s="159">
        <v>1299.6499999999999</v>
      </c>
      <c r="G2555" s="160"/>
      <c r="H2555" s="34" t="s">
        <v>925</v>
      </c>
    </row>
    <row r="2556" spans="1:8" ht="33">
      <c r="A2556" s="160"/>
      <c r="B2556" s="160" t="s">
        <v>934</v>
      </c>
      <c r="C2556" s="157" t="s">
        <v>2238</v>
      </c>
      <c r="D2556" s="159"/>
      <c r="E2556" s="159"/>
      <c r="F2556" s="159">
        <v>1299.6500000000001</v>
      </c>
      <c r="G2556" s="160"/>
      <c r="H2556" s="34" t="s">
        <v>925</v>
      </c>
    </row>
    <row r="2557" spans="1:8" ht="33">
      <c r="A2557" s="160"/>
      <c r="B2557" s="160"/>
      <c r="C2557" s="157"/>
      <c r="D2557" s="159"/>
      <c r="E2557" s="159"/>
      <c r="F2557" s="159"/>
      <c r="G2557" s="160"/>
      <c r="H2557" s="34" t="s">
        <v>925</v>
      </c>
    </row>
    <row r="2558" spans="1:8" ht="42.75">
      <c r="A2558" s="160" t="s">
        <v>2552</v>
      </c>
      <c r="B2558" s="160" t="s">
        <v>2341</v>
      </c>
      <c r="C2558" s="157" t="s">
        <v>15</v>
      </c>
      <c r="D2558" s="159">
        <v>1</v>
      </c>
      <c r="E2558" s="159">
        <v>700.69</v>
      </c>
      <c r="F2558" s="159"/>
      <c r="G2558" s="160" t="s">
        <v>2342</v>
      </c>
      <c r="H2558" s="34" t="s">
        <v>925</v>
      </c>
    </row>
    <row r="2559" spans="1:8" ht="33">
      <c r="A2559" s="160">
        <v>1</v>
      </c>
      <c r="B2559" s="160" t="s">
        <v>2343</v>
      </c>
      <c r="C2559" s="157" t="s">
        <v>1</v>
      </c>
      <c r="D2559" s="159">
        <v>1</v>
      </c>
      <c r="E2559" s="159">
        <v>484.85</v>
      </c>
      <c r="F2559" s="159">
        <v>484.85</v>
      </c>
      <c r="G2559" s="160" t="s">
        <v>2344</v>
      </c>
      <c r="H2559" s="34" t="s">
        <v>925</v>
      </c>
    </row>
    <row r="2560" spans="1:8" ht="33">
      <c r="A2560" s="160">
        <v>2</v>
      </c>
      <c r="B2560" s="160" t="s">
        <v>4871</v>
      </c>
      <c r="C2560" s="157" t="s">
        <v>927</v>
      </c>
      <c r="D2560" s="159">
        <v>0.7</v>
      </c>
      <c r="E2560" s="159">
        <v>279.18</v>
      </c>
      <c r="F2560" s="159">
        <v>195.43</v>
      </c>
      <c r="G2560" s="160" t="s">
        <v>4872</v>
      </c>
      <c r="H2560" s="34" t="s">
        <v>925</v>
      </c>
    </row>
    <row r="2561" spans="1:8" ht="33">
      <c r="A2561" s="160">
        <v>3</v>
      </c>
      <c r="B2561" s="160" t="s">
        <v>931</v>
      </c>
      <c r="C2561" s="157" t="s">
        <v>14</v>
      </c>
      <c r="D2561" s="159">
        <v>1</v>
      </c>
      <c r="E2561" s="159">
        <v>20.41</v>
      </c>
      <c r="F2561" s="159">
        <v>20.41</v>
      </c>
      <c r="G2561" s="160" t="s">
        <v>932</v>
      </c>
      <c r="H2561" s="34" t="s">
        <v>925</v>
      </c>
    </row>
    <row r="2562" spans="1:8" ht="33">
      <c r="A2562" s="160"/>
      <c r="B2562" s="160" t="s">
        <v>933</v>
      </c>
      <c r="C2562" s="157" t="s">
        <v>15</v>
      </c>
      <c r="D2562" s="159">
        <v>1</v>
      </c>
      <c r="E2562" s="159"/>
      <c r="F2562" s="159">
        <v>700.68999999999994</v>
      </c>
      <c r="G2562" s="160"/>
      <c r="H2562" s="34" t="s">
        <v>925</v>
      </c>
    </row>
    <row r="2563" spans="1:8" ht="16.5">
      <c r="A2563" s="160"/>
      <c r="B2563" s="160" t="s">
        <v>934</v>
      </c>
      <c r="C2563" s="157" t="s">
        <v>15</v>
      </c>
      <c r="D2563" s="159"/>
      <c r="E2563" s="159"/>
      <c r="F2563" s="159">
        <v>700.69</v>
      </c>
      <c r="G2563" s="160"/>
    </row>
    <row r="2564" spans="1:8" ht="33">
      <c r="A2564" s="160"/>
      <c r="B2564" s="160"/>
      <c r="C2564" s="157"/>
      <c r="D2564" s="159"/>
      <c r="E2564" s="159"/>
      <c r="F2564" s="159"/>
      <c r="G2564" s="160"/>
      <c r="H2564" s="34" t="s">
        <v>925</v>
      </c>
    </row>
    <row r="2565" spans="1:8" ht="33">
      <c r="A2565" s="160" t="s">
        <v>2555</v>
      </c>
      <c r="B2565" s="160" t="s">
        <v>2346</v>
      </c>
      <c r="C2565" s="157" t="s">
        <v>3</v>
      </c>
      <c r="D2565" s="159">
        <v>100</v>
      </c>
      <c r="E2565" s="159">
        <v>43.52</v>
      </c>
      <c r="F2565" s="159"/>
      <c r="G2565" s="160" t="s">
        <v>2347</v>
      </c>
      <c r="H2565" s="34" t="s">
        <v>925</v>
      </c>
    </row>
    <row r="2566" spans="1:8" ht="33">
      <c r="A2566" s="160">
        <v>1</v>
      </c>
      <c r="B2566" s="160" t="s">
        <v>2348</v>
      </c>
      <c r="C2566" s="157" t="s">
        <v>18</v>
      </c>
      <c r="D2566" s="159">
        <v>2</v>
      </c>
      <c r="E2566" s="159">
        <v>596.12</v>
      </c>
      <c r="F2566" s="159">
        <v>1192.24</v>
      </c>
      <c r="G2566" s="160" t="s">
        <v>2349</v>
      </c>
      <c r="H2566" s="34" t="s">
        <v>925</v>
      </c>
    </row>
    <row r="2567" spans="1:8" ht="33">
      <c r="A2567" s="160">
        <v>2</v>
      </c>
      <c r="B2567" s="160" t="s">
        <v>2350</v>
      </c>
      <c r="C2567" s="157" t="s">
        <v>14</v>
      </c>
      <c r="D2567" s="159">
        <v>1</v>
      </c>
      <c r="E2567" s="159">
        <v>49.68</v>
      </c>
      <c r="F2567" s="159">
        <v>49.68</v>
      </c>
      <c r="G2567" s="160" t="s">
        <v>2351</v>
      </c>
      <c r="H2567" s="34" t="s">
        <v>925</v>
      </c>
    </row>
    <row r="2568" spans="1:8" ht="33">
      <c r="A2568" s="160">
        <v>3</v>
      </c>
      <c r="B2568" s="160" t="s">
        <v>2352</v>
      </c>
      <c r="C2568" s="157" t="s">
        <v>3</v>
      </c>
      <c r="D2568" s="159">
        <v>100</v>
      </c>
      <c r="E2568" s="159">
        <v>4.97</v>
      </c>
      <c r="F2568" s="159">
        <v>497</v>
      </c>
      <c r="G2568" s="160" t="s">
        <v>2353</v>
      </c>
      <c r="H2568" s="34" t="s">
        <v>925</v>
      </c>
    </row>
    <row r="2569" spans="1:8" ht="33">
      <c r="A2569" s="160">
        <v>4</v>
      </c>
      <c r="B2569" s="160" t="s">
        <v>2354</v>
      </c>
      <c r="C2569" s="157" t="s">
        <v>3</v>
      </c>
      <c r="D2569" s="159">
        <v>100</v>
      </c>
      <c r="E2569" s="159">
        <v>2.98</v>
      </c>
      <c r="F2569" s="159">
        <v>298</v>
      </c>
      <c r="G2569" s="160" t="s">
        <v>2355</v>
      </c>
      <c r="H2569" s="34" t="s">
        <v>925</v>
      </c>
    </row>
    <row r="2570" spans="1:8" ht="42.75">
      <c r="A2570" s="160">
        <v>5</v>
      </c>
      <c r="B2570" s="160" t="s">
        <v>2356</v>
      </c>
      <c r="C2570" s="157" t="s">
        <v>3</v>
      </c>
      <c r="D2570" s="159">
        <v>100</v>
      </c>
      <c r="E2570" s="159">
        <v>14.9</v>
      </c>
      <c r="F2570" s="159">
        <v>1490</v>
      </c>
      <c r="G2570" s="160" t="s">
        <v>2357</v>
      </c>
      <c r="H2570" s="34" t="s">
        <v>925</v>
      </c>
    </row>
    <row r="2571" spans="1:8" ht="33">
      <c r="A2571" s="160">
        <v>6</v>
      </c>
      <c r="B2571" s="160" t="s">
        <v>2358</v>
      </c>
      <c r="C2571" s="157" t="s">
        <v>927</v>
      </c>
      <c r="D2571" s="159">
        <v>2.5</v>
      </c>
      <c r="E2571" s="159">
        <v>279.18</v>
      </c>
      <c r="F2571" s="159">
        <v>697.95</v>
      </c>
      <c r="G2571" s="160" t="s">
        <v>2364</v>
      </c>
      <c r="H2571" s="34" t="s">
        <v>925</v>
      </c>
    </row>
    <row r="2572" spans="1:8" ht="33">
      <c r="A2572" s="160">
        <v>7</v>
      </c>
      <c r="B2572" s="160" t="s">
        <v>931</v>
      </c>
      <c r="C2572" s="157" t="s">
        <v>14</v>
      </c>
      <c r="D2572" s="159">
        <v>1</v>
      </c>
      <c r="E2572" s="159">
        <v>126.75</v>
      </c>
      <c r="F2572" s="159">
        <v>126.75</v>
      </c>
      <c r="G2572" s="160" t="s">
        <v>932</v>
      </c>
      <c r="H2572" s="34" t="s">
        <v>925</v>
      </c>
    </row>
    <row r="2573" spans="1:8" ht="33">
      <c r="A2573" s="160"/>
      <c r="B2573" s="160" t="s">
        <v>933</v>
      </c>
      <c r="C2573" s="157" t="s">
        <v>3</v>
      </c>
      <c r="D2573" s="159">
        <v>100</v>
      </c>
      <c r="E2573" s="159"/>
      <c r="F2573" s="159">
        <v>4351.62</v>
      </c>
      <c r="G2573" s="160"/>
      <c r="H2573" s="34" t="s">
        <v>925</v>
      </c>
    </row>
    <row r="2574" spans="1:8" ht="33">
      <c r="A2574" s="160"/>
      <c r="B2574" s="160" t="s">
        <v>934</v>
      </c>
      <c r="C2574" s="157" t="s">
        <v>3</v>
      </c>
      <c r="D2574" s="159"/>
      <c r="E2574" s="159"/>
      <c r="F2574" s="159">
        <v>43.52</v>
      </c>
      <c r="G2574" s="160"/>
      <c r="H2574" s="34" t="s">
        <v>925</v>
      </c>
    </row>
    <row r="2575" spans="1:8" ht="33">
      <c r="A2575" s="160"/>
      <c r="B2575" s="160"/>
      <c r="C2575" s="157"/>
      <c r="D2575" s="159"/>
      <c r="E2575" s="159"/>
      <c r="F2575" s="159"/>
      <c r="G2575" s="160"/>
      <c r="H2575" s="34" t="s">
        <v>925</v>
      </c>
    </row>
    <row r="2576" spans="1:8" ht="28.5">
      <c r="A2576" s="160" t="s">
        <v>2560</v>
      </c>
      <c r="B2576" s="160" t="s">
        <v>2360</v>
      </c>
      <c r="C2576" s="157" t="s">
        <v>3</v>
      </c>
      <c r="D2576" s="159">
        <v>1</v>
      </c>
      <c r="E2576" s="159">
        <v>248.53</v>
      </c>
      <c r="F2576" s="159"/>
      <c r="G2576" s="160" t="s">
        <v>2361</v>
      </c>
    </row>
    <row r="2577" spans="1:8" ht="42.75">
      <c r="A2577" s="160">
        <v>1</v>
      </c>
      <c r="B2577" s="160" t="s">
        <v>2362</v>
      </c>
      <c r="C2577" s="157" t="s">
        <v>3</v>
      </c>
      <c r="D2577" s="159">
        <v>1</v>
      </c>
      <c r="E2577" s="159">
        <v>94.39</v>
      </c>
      <c r="F2577" s="159">
        <v>94.39</v>
      </c>
      <c r="G2577" s="160" t="s">
        <v>2363</v>
      </c>
      <c r="H2577" s="34" t="s">
        <v>925</v>
      </c>
    </row>
    <row r="2578" spans="1:8" ht="33">
      <c r="A2578" s="160">
        <v>2</v>
      </c>
      <c r="B2578" s="160" t="s">
        <v>2358</v>
      </c>
      <c r="C2578" s="157" t="s">
        <v>927</v>
      </c>
      <c r="D2578" s="159">
        <v>0.04</v>
      </c>
      <c r="E2578" s="159">
        <v>279.18</v>
      </c>
      <c r="F2578" s="159">
        <v>11.17</v>
      </c>
      <c r="G2578" s="160" t="s">
        <v>2364</v>
      </c>
      <c r="H2578" s="34" t="s">
        <v>925</v>
      </c>
    </row>
    <row r="2579" spans="1:8" ht="33">
      <c r="A2579" s="160">
        <v>3</v>
      </c>
      <c r="B2579" s="160" t="s">
        <v>2365</v>
      </c>
      <c r="C2579" s="157" t="s">
        <v>15</v>
      </c>
      <c r="D2579" s="159">
        <v>0.05</v>
      </c>
      <c r="E2579" s="159">
        <v>1033.32</v>
      </c>
      <c r="F2579" s="159">
        <v>51.67</v>
      </c>
      <c r="G2579" s="160" t="s">
        <v>2366</v>
      </c>
      <c r="H2579" s="34" t="s">
        <v>925</v>
      </c>
    </row>
    <row r="2580" spans="1:8" ht="33">
      <c r="A2580" s="160">
        <v>4</v>
      </c>
      <c r="B2580" s="160" t="s">
        <v>2367</v>
      </c>
      <c r="C2580" s="157" t="s">
        <v>18</v>
      </c>
      <c r="D2580" s="159">
        <v>1</v>
      </c>
      <c r="E2580" s="159">
        <v>18.88</v>
      </c>
      <c r="F2580" s="159">
        <v>18.88</v>
      </c>
      <c r="G2580" s="160" t="s">
        <v>2368</v>
      </c>
      <c r="H2580" s="34" t="s">
        <v>925</v>
      </c>
    </row>
    <row r="2581" spans="1:8" ht="42.75">
      <c r="A2581" s="160">
        <v>5</v>
      </c>
      <c r="B2581" s="160" t="s">
        <v>4990</v>
      </c>
      <c r="C2581" s="157" t="s">
        <v>927</v>
      </c>
      <c r="D2581" s="159">
        <v>0.08</v>
      </c>
      <c r="E2581" s="159">
        <v>407.35</v>
      </c>
      <c r="F2581" s="159">
        <v>32.590000000000003</v>
      </c>
      <c r="G2581" s="160" t="s">
        <v>4991</v>
      </c>
      <c r="H2581" s="34" t="s">
        <v>925</v>
      </c>
    </row>
    <row r="2582" spans="1:8" ht="85.5">
      <c r="A2582" s="160">
        <v>6</v>
      </c>
      <c r="B2582" s="160" t="s">
        <v>4992</v>
      </c>
      <c r="C2582" s="157" t="s">
        <v>927</v>
      </c>
      <c r="D2582" s="159">
        <v>0.08</v>
      </c>
      <c r="E2582" s="159">
        <v>407.35</v>
      </c>
      <c r="F2582" s="159">
        <v>32.590000000000003</v>
      </c>
      <c r="G2582" s="160" t="s">
        <v>4993</v>
      </c>
      <c r="H2582" s="34" t="s">
        <v>925</v>
      </c>
    </row>
    <row r="2583" spans="1:8" ht="33">
      <c r="A2583" s="160">
        <v>7</v>
      </c>
      <c r="B2583" s="160" t="s">
        <v>931</v>
      </c>
      <c r="C2583" s="157" t="s">
        <v>14</v>
      </c>
      <c r="D2583" s="159">
        <v>1</v>
      </c>
      <c r="E2583" s="159">
        <v>7.24</v>
      </c>
      <c r="F2583" s="159">
        <v>7.24</v>
      </c>
      <c r="G2583" s="160" t="s">
        <v>932</v>
      </c>
      <c r="H2583" s="34" t="s">
        <v>925</v>
      </c>
    </row>
    <row r="2584" spans="1:8" ht="33">
      <c r="A2584" s="160"/>
      <c r="B2584" s="160" t="s">
        <v>933</v>
      </c>
      <c r="C2584" s="157" t="s">
        <v>3</v>
      </c>
      <c r="D2584" s="159">
        <v>1</v>
      </c>
      <c r="E2584" s="159"/>
      <c r="F2584" s="159">
        <v>248.53000000000003</v>
      </c>
      <c r="G2584" s="160"/>
      <c r="H2584" s="34" t="s">
        <v>925</v>
      </c>
    </row>
    <row r="2585" spans="1:8" ht="33">
      <c r="A2585" s="160"/>
      <c r="B2585" s="160" t="s">
        <v>934</v>
      </c>
      <c r="C2585" s="157" t="s">
        <v>3</v>
      </c>
      <c r="D2585" s="159"/>
      <c r="E2585" s="159"/>
      <c r="F2585" s="159">
        <v>248.53</v>
      </c>
      <c r="G2585" s="160"/>
      <c r="H2585" s="34" t="s">
        <v>925</v>
      </c>
    </row>
    <row r="2586" spans="1:8" ht="33">
      <c r="A2586" s="160"/>
      <c r="B2586" s="160"/>
      <c r="C2586" s="157"/>
      <c r="D2586" s="159"/>
      <c r="E2586" s="159"/>
      <c r="F2586" s="159"/>
      <c r="G2586" s="160"/>
      <c r="H2586" s="34" t="s">
        <v>925</v>
      </c>
    </row>
    <row r="2587" spans="1:8" ht="33">
      <c r="A2587" s="160" t="s">
        <v>2569</v>
      </c>
      <c r="B2587" s="160" t="s">
        <v>2372</v>
      </c>
      <c r="C2587" s="157" t="s">
        <v>3</v>
      </c>
      <c r="D2587" s="159">
        <v>1</v>
      </c>
      <c r="E2587" s="159">
        <v>682.48</v>
      </c>
      <c r="F2587" s="159"/>
      <c r="G2587" s="160" t="s">
        <v>2373</v>
      </c>
      <c r="H2587" s="34" t="s">
        <v>925</v>
      </c>
    </row>
    <row r="2588" spans="1:8" ht="33">
      <c r="A2588" s="160">
        <v>1</v>
      </c>
      <c r="B2588" s="160" t="s">
        <v>2374</v>
      </c>
      <c r="C2588" s="157" t="s">
        <v>3</v>
      </c>
      <c r="D2588" s="159">
        <v>1</v>
      </c>
      <c r="E2588" s="159">
        <v>437.16</v>
      </c>
      <c r="F2588" s="159">
        <v>437.16</v>
      </c>
      <c r="G2588" s="160" t="s">
        <v>2375</v>
      </c>
      <c r="H2588" s="34" t="s">
        <v>925</v>
      </c>
    </row>
    <row r="2589" spans="1:8" ht="33">
      <c r="A2589" s="160">
        <v>2</v>
      </c>
      <c r="B2589" s="160" t="s">
        <v>1637</v>
      </c>
      <c r="C2589" s="157" t="s">
        <v>0</v>
      </c>
      <c r="D2589" s="159">
        <v>0.05</v>
      </c>
      <c r="E2589" s="159">
        <v>3547.09</v>
      </c>
      <c r="F2589" s="159">
        <v>177.35</v>
      </c>
      <c r="G2589" s="160" t="s">
        <v>4954</v>
      </c>
      <c r="H2589" s="34" t="s">
        <v>925</v>
      </c>
    </row>
    <row r="2590" spans="1:8" ht="33">
      <c r="A2590" s="160">
        <v>3</v>
      </c>
      <c r="B2590" s="160" t="s">
        <v>2346</v>
      </c>
      <c r="C2590" s="157" t="s">
        <v>3</v>
      </c>
      <c r="D2590" s="159">
        <v>0.3</v>
      </c>
      <c r="E2590" s="159">
        <v>43.52</v>
      </c>
      <c r="F2590" s="159">
        <v>13.06</v>
      </c>
      <c r="G2590" s="160" t="s">
        <v>4994</v>
      </c>
      <c r="H2590" s="34" t="s">
        <v>925</v>
      </c>
    </row>
    <row r="2591" spans="1:8" ht="33">
      <c r="A2591" s="160">
        <v>4</v>
      </c>
      <c r="B2591" s="160" t="s">
        <v>2376</v>
      </c>
      <c r="C2591" s="157" t="s">
        <v>15</v>
      </c>
      <c r="D2591" s="159">
        <v>0.05</v>
      </c>
      <c r="E2591" s="159">
        <v>700.68</v>
      </c>
      <c r="F2591" s="159">
        <v>35.03</v>
      </c>
      <c r="G2591" s="160" t="s">
        <v>2377</v>
      </c>
      <c r="H2591" s="34" t="s">
        <v>925</v>
      </c>
    </row>
    <row r="2592" spans="1:8" ht="33">
      <c r="A2592" s="160">
        <v>5</v>
      </c>
      <c r="B2592" s="160" t="s">
        <v>931</v>
      </c>
      <c r="C2592" s="157" t="s">
        <v>14</v>
      </c>
      <c r="D2592" s="159">
        <v>1</v>
      </c>
      <c r="E2592" s="159">
        <v>19.88</v>
      </c>
      <c r="F2592" s="159">
        <v>19.88</v>
      </c>
      <c r="G2592" s="160" t="s">
        <v>932</v>
      </c>
      <c r="H2592" s="34" t="s">
        <v>925</v>
      </c>
    </row>
    <row r="2593" spans="1:8" ht="16.5">
      <c r="A2593" s="160"/>
      <c r="B2593" s="160" t="s">
        <v>933</v>
      </c>
      <c r="C2593" s="157" t="s">
        <v>3</v>
      </c>
      <c r="D2593" s="159">
        <v>1</v>
      </c>
      <c r="E2593" s="159"/>
      <c r="F2593" s="159">
        <v>682.4799999999999</v>
      </c>
      <c r="G2593" s="160"/>
    </row>
    <row r="2594" spans="1:8" ht="33">
      <c r="A2594" s="160"/>
      <c r="B2594" s="160" t="s">
        <v>934</v>
      </c>
      <c r="C2594" s="157" t="s">
        <v>3</v>
      </c>
      <c r="D2594" s="159"/>
      <c r="E2594" s="159"/>
      <c r="F2594" s="159">
        <v>682.48</v>
      </c>
      <c r="G2594" s="160"/>
      <c r="H2594" s="34" t="s">
        <v>925</v>
      </c>
    </row>
    <row r="2595" spans="1:8" ht="33">
      <c r="A2595" s="160"/>
      <c r="B2595" s="160"/>
      <c r="C2595" s="157"/>
      <c r="D2595" s="159"/>
      <c r="E2595" s="159"/>
      <c r="F2595" s="159"/>
      <c r="G2595" s="160"/>
      <c r="H2595" s="34" t="s">
        <v>925</v>
      </c>
    </row>
    <row r="2596" spans="1:8" ht="33">
      <c r="A2596" s="160" t="s">
        <v>2576</v>
      </c>
      <c r="B2596" s="160" t="s">
        <v>2379</v>
      </c>
      <c r="C2596" s="157" t="s">
        <v>3</v>
      </c>
      <c r="D2596" s="159">
        <v>100</v>
      </c>
      <c r="E2596" s="159">
        <v>22.37</v>
      </c>
      <c r="F2596" s="159"/>
      <c r="G2596" s="160" t="s">
        <v>2380</v>
      </c>
      <c r="H2596" s="34" t="s">
        <v>925</v>
      </c>
    </row>
    <row r="2597" spans="1:8" ht="33">
      <c r="A2597" s="160">
        <v>1</v>
      </c>
      <c r="B2597" s="160" t="s">
        <v>997</v>
      </c>
      <c r="C2597" s="157" t="s">
        <v>927</v>
      </c>
      <c r="D2597" s="159">
        <v>1</v>
      </c>
      <c r="E2597" s="159">
        <v>1152.5</v>
      </c>
      <c r="F2597" s="159">
        <v>1152.5</v>
      </c>
      <c r="G2597" s="160" t="s">
        <v>998</v>
      </c>
      <c r="H2597" s="34" t="s">
        <v>925</v>
      </c>
    </row>
    <row r="2598" spans="1:8" ht="33">
      <c r="A2598" s="160">
        <v>2</v>
      </c>
      <c r="B2598" s="160" t="s">
        <v>1086</v>
      </c>
      <c r="C2598" s="157" t="s">
        <v>927</v>
      </c>
      <c r="D2598" s="159">
        <v>1</v>
      </c>
      <c r="E2598" s="159">
        <v>398.41</v>
      </c>
      <c r="F2598" s="159">
        <v>398.41</v>
      </c>
      <c r="G2598" s="160" t="s">
        <v>1087</v>
      </c>
      <c r="H2598" s="34" t="s">
        <v>925</v>
      </c>
    </row>
    <row r="2599" spans="1:8" ht="33">
      <c r="A2599" s="160">
        <v>3</v>
      </c>
      <c r="B2599" s="160" t="s">
        <v>2407</v>
      </c>
      <c r="C2599" s="157" t="s">
        <v>0</v>
      </c>
      <c r="D2599" s="159">
        <v>0.15</v>
      </c>
      <c r="E2599" s="159">
        <v>1987.08</v>
      </c>
      <c r="F2599" s="159">
        <v>298.06</v>
      </c>
      <c r="G2599" s="160" t="s">
        <v>2412</v>
      </c>
      <c r="H2599" s="34" t="s">
        <v>925</v>
      </c>
    </row>
    <row r="2600" spans="1:8" ht="33">
      <c r="A2600" s="160">
        <v>4</v>
      </c>
      <c r="B2600" s="160" t="s">
        <v>2381</v>
      </c>
      <c r="C2600" s="157" t="s">
        <v>927</v>
      </c>
      <c r="D2600" s="159">
        <v>0.15</v>
      </c>
      <c r="E2600" s="159">
        <v>2152.3000000000002</v>
      </c>
      <c r="F2600" s="159">
        <v>322.85000000000002</v>
      </c>
      <c r="G2600" s="160" t="s">
        <v>4995</v>
      </c>
      <c r="H2600" s="34" t="s">
        <v>925</v>
      </c>
    </row>
    <row r="2601" spans="1:8" ht="33">
      <c r="A2601" s="160">
        <v>5</v>
      </c>
      <c r="B2601" s="160" t="s">
        <v>931</v>
      </c>
      <c r="C2601" s="157" t="s">
        <v>14</v>
      </c>
      <c r="D2601" s="159">
        <v>1</v>
      </c>
      <c r="E2601" s="159">
        <v>65.150000000000006</v>
      </c>
      <c r="F2601" s="159">
        <v>65.150000000000006</v>
      </c>
      <c r="G2601" s="160" t="s">
        <v>932</v>
      </c>
      <c r="H2601" s="34" t="s">
        <v>925</v>
      </c>
    </row>
    <row r="2602" spans="1:8" ht="33">
      <c r="A2602" s="160"/>
      <c r="B2602" s="160" t="s">
        <v>933</v>
      </c>
      <c r="C2602" s="157" t="s">
        <v>3</v>
      </c>
      <c r="D2602" s="159">
        <v>100</v>
      </c>
      <c r="E2602" s="159"/>
      <c r="F2602" s="159">
        <v>2236.9700000000003</v>
      </c>
      <c r="G2602" s="160"/>
      <c r="H2602" s="34" t="s">
        <v>925</v>
      </c>
    </row>
    <row r="2603" spans="1:8" ht="33">
      <c r="A2603" s="160"/>
      <c r="B2603" s="160" t="s">
        <v>934</v>
      </c>
      <c r="C2603" s="157" t="s">
        <v>3</v>
      </c>
      <c r="D2603" s="159"/>
      <c r="E2603" s="159"/>
      <c r="F2603" s="159">
        <v>22.37</v>
      </c>
      <c r="G2603" s="160"/>
      <c r="H2603" s="34" t="s">
        <v>925</v>
      </c>
    </row>
    <row r="2604" spans="1:8" ht="33">
      <c r="A2604" s="160"/>
      <c r="B2604" s="160"/>
      <c r="C2604" s="157"/>
      <c r="D2604" s="159"/>
      <c r="E2604" s="159"/>
      <c r="F2604" s="159"/>
      <c r="G2604" s="160"/>
      <c r="H2604" s="34" t="s">
        <v>925</v>
      </c>
    </row>
    <row r="2605" spans="1:8" ht="33">
      <c r="A2605" s="160" t="s">
        <v>2583</v>
      </c>
      <c r="B2605" s="160" t="s">
        <v>2383</v>
      </c>
      <c r="C2605" s="157" t="s">
        <v>3</v>
      </c>
      <c r="D2605" s="159">
        <v>100</v>
      </c>
      <c r="E2605" s="159">
        <v>11.54</v>
      </c>
      <c r="F2605" s="159"/>
      <c r="G2605" s="160" t="s">
        <v>2384</v>
      </c>
      <c r="H2605" s="34" t="s">
        <v>925</v>
      </c>
    </row>
    <row r="2606" spans="1:8" ht="33">
      <c r="A2606" s="160">
        <v>1</v>
      </c>
      <c r="B2606" s="160" t="s">
        <v>2385</v>
      </c>
      <c r="C2606" s="157" t="s">
        <v>927</v>
      </c>
      <c r="D2606" s="159">
        <v>1.1499999999999999</v>
      </c>
      <c r="E2606" s="159">
        <v>695.48</v>
      </c>
      <c r="F2606" s="159">
        <v>799.8</v>
      </c>
      <c r="G2606" s="160" t="s">
        <v>2386</v>
      </c>
      <c r="H2606" s="34" t="s">
        <v>925</v>
      </c>
    </row>
    <row r="2607" spans="1:8" ht="33">
      <c r="A2607" s="160">
        <v>2</v>
      </c>
      <c r="B2607" s="160" t="s">
        <v>2387</v>
      </c>
      <c r="C2607" s="157" t="s">
        <v>927</v>
      </c>
      <c r="D2607" s="159">
        <v>1.1499999999999999</v>
      </c>
      <c r="E2607" s="159">
        <v>279.18</v>
      </c>
      <c r="F2607" s="159">
        <v>321.06</v>
      </c>
      <c r="G2607" s="160" t="s">
        <v>2388</v>
      </c>
      <c r="H2607" s="34" t="s">
        <v>925</v>
      </c>
    </row>
    <row r="2608" spans="1:8" ht="33">
      <c r="A2608" s="160">
        <v>3</v>
      </c>
      <c r="B2608" s="160" t="s">
        <v>931</v>
      </c>
      <c r="C2608" s="157" t="s">
        <v>14</v>
      </c>
      <c r="D2608" s="159">
        <v>1</v>
      </c>
      <c r="E2608" s="159">
        <v>33.630000000000003</v>
      </c>
      <c r="F2608" s="159">
        <v>33.630000000000003</v>
      </c>
      <c r="G2608" s="160" t="s">
        <v>932</v>
      </c>
      <c r="H2608" s="34" t="s">
        <v>925</v>
      </c>
    </row>
    <row r="2609" spans="1:8" ht="33">
      <c r="A2609" s="160"/>
      <c r="B2609" s="160" t="s">
        <v>933</v>
      </c>
      <c r="C2609" s="157" t="s">
        <v>3</v>
      </c>
      <c r="D2609" s="159">
        <v>100</v>
      </c>
      <c r="E2609" s="159"/>
      <c r="F2609" s="159">
        <v>1154.49</v>
      </c>
      <c r="G2609" s="160"/>
      <c r="H2609" s="34" t="s">
        <v>925</v>
      </c>
    </row>
    <row r="2610" spans="1:8" ht="16.5">
      <c r="A2610" s="160"/>
      <c r="B2610" s="160" t="s">
        <v>934</v>
      </c>
      <c r="C2610" s="157" t="s">
        <v>3</v>
      </c>
      <c r="D2610" s="159"/>
      <c r="E2610" s="159"/>
      <c r="F2610" s="159">
        <v>11.54</v>
      </c>
      <c r="G2610" s="160"/>
    </row>
    <row r="2611" spans="1:8" ht="33">
      <c r="A2611" s="160"/>
      <c r="B2611" s="160"/>
      <c r="C2611" s="157"/>
      <c r="D2611" s="159"/>
      <c r="E2611" s="159"/>
      <c r="F2611" s="159"/>
      <c r="G2611" s="160"/>
      <c r="H2611" s="34" t="s">
        <v>925</v>
      </c>
    </row>
    <row r="2612" spans="1:8" ht="33">
      <c r="A2612" s="160" t="s">
        <v>2586</v>
      </c>
      <c r="B2612" s="160" t="s">
        <v>2390</v>
      </c>
      <c r="C2612" s="157" t="s">
        <v>3</v>
      </c>
      <c r="D2612" s="159">
        <v>10</v>
      </c>
      <c r="E2612" s="159">
        <v>20.13</v>
      </c>
      <c r="F2612" s="159"/>
      <c r="G2612" s="160" t="s">
        <v>2391</v>
      </c>
      <c r="H2612" s="34" t="s">
        <v>925</v>
      </c>
    </row>
    <row r="2613" spans="1:8" ht="33">
      <c r="A2613" s="160">
        <v>1</v>
      </c>
      <c r="B2613" s="160" t="s">
        <v>4871</v>
      </c>
      <c r="C2613" s="157" t="s">
        <v>927</v>
      </c>
      <c r="D2613" s="159">
        <v>0.7</v>
      </c>
      <c r="E2613" s="159">
        <v>279.18</v>
      </c>
      <c r="F2613" s="159">
        <v>195.43</v>
      </c>
      <c r="G2613" s="160" t="s">
        <v>1324</v>
      </c>
      <c r="H2613" s="34" t="s">
        <v>925</v>
      </c>
    </row>
    <row r="2614" spans="1:8" ht="33">
      <c r="A2614" s="160">
        <v>2</v>
      </c>
      <c r="B2614" s="160" t="s">
        <v>931</v>
      </c>
      <c r="C2614" s="157" t="s">
        <v>14</v>
      </c>
      <c r="D2614" s="159">
        <v>1</v>
      </c>
      <c r="E2614" s="159">
        <v>5.86</v>
      </c>
      <c r="F2614" s="159">
        <v>5.86</v>
      </c>
      <c r="G2614" s="160" t="s">
        <v>932</v>
      </c>
      <c r="H2614" s="34" t="s">
        <v>925</v>
      </c>
    </row>
    <row r="2615" spans="1:8" ht="33">
      <c r="A2615" s="160"/>
      <c r="B2615" s="160" t="s">
        <v>933</v>
      </c>
      <c r="C2615" s="157" t="s">
        <v>3</v>
      </c>
      <c r="D2615" s="159">
        <v>10</v>
      </c>
      <c r="E2615" s="159"/>
      <c r="F2615" s="159">
        <v>201.29000000000002</v>
      </c>
      <c r="G2615" s="160"/>
      <c r="H2615" s="34" t="s">
        <v>925</v>
      </c>
    </row>
    <row r="2616" spans="1:8" ht="33">
      <c r="A2616" s="160"/>
      <c r="B2616" s="160" t="s">
        <v>934</v>
      </c>
      <c r="C2616" s="157" t="s">
        <v>3</v>
      </c>
      <c r="D2616" s="159"/>
      <c r="E2616" s="159"/>
      <c r="F2616" s="159">
        <v>20.13</v>
      </c>
      <c r="G2616" s="160"/>
      <c r="H2616" s="34" t="s">
        <v>925</v>
      </c>
    </row>
    <row r="2617" spans="1:8" ht="33">
      <c r="A2617" s="160"/>
      <c r="B2617" s="160"/>
      <c r="C2617" s="157"/>
      <c r="D2617" s="159"/>
      <c r="E2617" s="159"/>
      <c r="F2617" s="159"/>
      <c r="G2617" s="160"/>
      <c r="H2617" s="34" t="s">
        <v>925</v>
      </c>
    </row>
    <row r="2618" spans="1:8" ht="33">
      <c r="A2618" s="160" t="s">
        <v>2589</v>
      </c>
      <c r="B2618" s="160" t="s">
        <v>2393</v>
      </c>
      <c r="C2618" s="157" t="s">
        <v>2394</v>
      </c>
      <c r="D2618" s="159">
        <v>1</v>
      </c>
      <c r="E2618" s="159">
        <v>2473.94</v>
      </c>
      <c r="F2618" s="159"/>
      <c r="G2618" s="160" t="s">
        <v>2395</v>
      </c>
      <c r="H2618" s="34" t="s">
        <v>925</v>
      </c>
    </row>
    <row r="2619" spans="1:8" ht="33">
      <c r="A2619" s="160">
        <v>1</v>
      </c>
      <c r="B2619" s="160" t="s">
        <v>1084</v>
      </c>
      <c r="C2619" s="157" t="s">
        <v>927</v>
      </c>
      <c r="D2619" s="159">
        <v>1.5</v>
      </c>
      <c r="E2619" s="159">
        <v>685.54</v>
      </c>
      <c r="F2619" s="159">
        <v>1028.31</v>
      </c>
      <c r="G2619" s="160" t="s">
        <v>1085</v>
      </c>
      <c r="H2619" s="34" t="s">
        <v>925</v>
      </c>
    </row>
    <row r="2620" spans="1:8" ht="33">
      <c r="A2620" s="160">
        <v>2</v>
      </c>
      <c r="B2620" s="160" t="s">
        <v>1086</v>
      </c>
      <c r="C2620" s="157" t="s">
        <v>927</v>
      </c>
      <c r="D2620" s="159">
        <v>1.5</v>
      </c>
      <c r="E2620" s="159">
        <v>398.41</v>
      </c>
      <c r="F2620" s="159">
        <v>597.62</v>
      </c>
      <c r="G2620" s="160" t="s">
        <v>1087</v>
      </c>
      <c r="H2620" s="34" t="s">
        <v>925</v>
      </c>
    </row>
    <row r="2621" spans="1:8" ht="33">
      <c r="A2621" s="160">
        <v>3</v>
      </c>
      <c r="B2621" s="160" t="s">
        <v>4871</v>
      </c>
      <c r="C2621" s="157" t="s">
        <v>927</v>
      </c>
      <c r="D2621" s="159">
        <v>1</v>
      </c>
      <c r="E2621" s="159">
        <v>279.18</v>
      </c>
      <c r="F2621" s="159">
        <v>279.18</v>
      </c>
      <c r="G2621" s="160" t="s">
        <v>4872</v>
      </c>
      <c r="H2621" s="34" t="s">
        <v>925</v>
      </c>
    </row>
    <row r="2622" spans="1:8" ht="33">
      <c r="A2622" s="160">
        <v>4</v>
      </c>
      <c r="B2622" s="160" t="s">
        <v>2396</v>
      </c>
      <c r="C2622" s="157" t="s">
        <v>14</v>
      </c>
      <c r="D2622" s="159">
        <v>1</v>
      </c>
      <c r="E2622" s="159">
        <v>496.77</v>
      </c>
      <c r="F2622" s="159">
        <v>496.77</v>
      </c>
      <c r="G2622" s="160" t="s">
        <v>2397</v>
      </c>
      <c r="H2622" s="34" t="s">
        <v>925</v>
      </c>
    </row>
    <row r="2623" spans="1:8" ht="33">
      <c r="A2623" s="160">
        <v>5</v>
      </c>
      <c r="B2623" s="160" t="s">
        <v>931</v>
      </c>
      <c r="C2623" s="157" t="s">
        <v>14</v>
      </c>
      <c r="D2623" s="159">
        <v>1</v>
      </c>
      <c r="E2623" s="159">
        <v>72.06</v>
      </c>
      <c r="F2623" s="159">
        <v>72.06</v>
      </c>
      <c r="G2623" s="160" t="s">
        <v>932</v>
      </c>
      <c r="H2623" s="34" t="s">
        <v>925</v>
      </c>
    </row>
    <row r="2624" spans="1:8" ht="33">
      <c r="A2624" s="160"/>
      <c r="B2624" s="160" t="s">
        <v>933</v>
      </c>
      <c r="C2624" s="157" t="s">
        <v>2394</v>
      </c>
      <c r="D2624" s="159">
        <v>1</v>
      </c>
      <c r="E2624" s="159"/>
      <c r="F2624" s="159">
        <v>2473.94</v>
      </c>
      <c r="G2624" s="160"/>
      <c r="H2624" s="34" t="s">
        <v>925</v>
      </c>
    </row>
    <row r="2625" spans="1:8" ht="33">
      <c r="A2625" s="160"/>
      <c r="B2625" s="160" t="s">
        <v>934</v>
      </c>
      <c r="C2625" s="157" t="s">
        <v>2394</v>
      </c>
      <c r="D2625" s="159"/>
      <c r="E2625" s="159"/>
      <c r="F2625" s="159">
        <v>2473.94</v>
      </c>
      <c r="G2625" s="160"/>
      <c r="H2625" s="34" t="s">
        <v>925</v>
      </c>
    </row>
    <row r="2626" spans="1:8" ht="33">
      <c r="A2626" s="160"/>
      <c r="B2626" s="160"/>
      <c r="C2626" s="157"/>
      <c r="D2626" s="159"/>
      <c r="E2626" s="159"/>
      <c r="F2626" s="159"/>
      <c r="G2626" s="160"/>
      <c r="H2626" s="34" t="s">
        <v>925</v>
      </c>
    </row>
    <row r="2627" spans="1:8" ht="42.75">
      <c r="A2627" s="160" t="s">
        <v>2592</v>
      </c>
      <c r="B2627" s="160" t="s">
        <v>2399</v>
      </c>
      <c r="C2627" s="157" t="s">
        <v>2400</v>
      </c>
      <c r="D2627" s="159">
        <v>1</v>
      </c>
      <c r="E2627" s="159">
        <v>4542.75</v>
      </c>
      <c r="F2627" s="159"/>
      <c r="G2627" s="160" t="s">
        <v>2401</v>
      </c>
    </row>
    <row r="2628" spans="1:8" ht="33">
      <c r="A2628" s="160">
        <v>1</v>
      </c>
      <c r="B2628" s="160" t="s">
        <v>2402</v>
      </c>
      <c r="C2628" s="157" t="s">
        <v>927</v>
      </c>
      <c r="D2628" s="159">
        <v>1</v>
      </c>
      <c r="E2628" s="159">
        <v>407.35</v>
      </c>
      <c r="F2628" s="159">
        <v>407.35</v>
      </c>
      <c r="G2628" s="160" t="s">
        <v>2403</v>
      </c>
      <c r="H2628" s="34" t="s">
        <v>925</v>
      </c>
    </row>
    <row r="2629" spans="1:8" ht="33">
      <c r="A2629" s="160">
        <v>2</v>
      </c>
      <c r="B2629" s="160" t="s">
        <v>1774</v>
      </c>
      <c r="C2629" s="157" t="s">
        <v>927</v>
      </c>
      <c r="D2629" s="159">
        <v>1.1000000000000001</v>
      </c>
      <c r="E2629" s="159">
        <v>1410.82</v>
      </c>
      <c r="F2629" s="159">
        <v>1551.9</v>
      </c>
      <c r="G2629" s="160" t="s">
        <v>1775</v>
      </c>
      <c r="H2629" s="34" t="s">
        <v>925</v>
      </c>
    </row>
    <row r="2630" spans="1:8" ht="42.75">
      <c r="A2630" s="160">
        <v>3</v>
      </c>
      <c r="B2630" s="160" t="s">
        <v>4964</v>
      </c>
      <c r="C2630" s="157" t="s">
        <v>927</v>
      </c>
      <c r="D2630" s="159">
        <v>1.1000000000000001</v>
      </c>
      <c r="E2630" s="159">
        <v>398.41</v>
      </c>
      <c r="F2630" s="159">
        <v>438.25</v>
      </c>
      <c r="G2630" s="160" t="s">
        <v>4965</v>
      </c>
      <c r="H2630" s="34" t="s">
        <v>925</v>
      </c>
    </row>
    <row r="2631" spans="1:8" ht="33">
      <c r="A2631" s="160">
        <v>4</v>
      </c>
      <c r="B2631" s="160" t="s">
        <v>997</v>
      </c>
      <c r="C2631" s="157" t="s">
        <v>927</v>
      </c>
      <c r="D2631" s="159">
        <v>1.03</v>
      </c>
      <c r="E2631" s="159">
        <v>1152.5</v>
      </c>
      <c r="F2631" s="159">
        <v>1187.08</v>
      </c>
      <c r="G2631" s="160" t="s">
        <v>998</v>
      </c>
      <c r="H2631" s="34" t="s">
        <v>925</v>
      </c>
    </row>
    <row r="2632" spans="1:8" ht="33">
      <c r="A2632" s="160">
        <v>5</v>
      </c>
      <c r="B2632" s="160" t="s">
        <v>1086</v>
      </c>
      <c r="C2632" s="157" t="s">
        <v>927</v>
      </c>
      <c r="D2632" s="159">
        <v>1.03</v>
      </c>
      <c r="E2632" s="159">
        <v>398.41</v>
      </c>
      <c r="F2632" s="159">
        <v>410.36</v>
      </c>
      <c r="G2632" s="160" t="s">
        <v>1087</v>
      </c>
      <c r="H2632" s="34" t="s">
        <v>925</v>
      </c>
    </row>
    <row r="2633" spans="1:8" ht="33">
      <c r="A2633" s="160">
        <v>6</v>
      </c>
      <c r="B2633" s="160" t="s">
        <v>2369</v>
      </c>
      <c r="C2633" s="157" t="s">
        <v>927</v>
      </c>
      <c r="D2633" s="159">
        <v>1.02</v>
      </c>
      <c r="E2633" s="159">
        <v>407.35</v>
      </c>
      <c r="F2633" s="159">
        <v>415.5</v>
      </c>
      <c r="G2633" s="160" t="s">
        <v>2370</v>
      </c>
      <c r="H2633" s="34" t="s">
        <v>925</v>
      </c>
    </row>
    <row r="2634" spans="1:8" ht="33">
      <c r="A2634" s="160">
        <v>7</v>
      </c>
      <c r="B2634" s="160" t="s">
        <v>931</v>
      </c>
      <c r="C2634" s="157" t="s">
        <v>14</v>
      </c>
      <c r="D2634" s="159">
        <v>1</v>
      </c>
      <c r="E2634" s="159">
        <v>132.31</v>
      </c>
      <c r="F2634" s="159">
        <v>132.31</v>
      </c>
      <c r="G2634" s="160" t="s">
        <v>932</v>
      </c>
      <c r="H2634" s="34" t="s">
        <v>925</v>
      </c>
    </row>
    <row r="2635" spans="1:8" ht="33">
      <c r="A2635" s="160"/>
      <c r="B2635" s="160" t="s">
        <v>933</v>
      </c>
      <c r="C2635" s="157" t="s">
        <v>2400</v>
      </c>
      <c r="D2635" s="159">
        <v>1</v>
      </c>
      <c r="E2635" s="159"/>
      <c r="F2635" s="159">
        <v>4542.7500000000009</v>
      </c>
      <c r="G2635" s="160"/>
      <c r="H2635" s="34" t="s">
        <v>925</v>
      </c>
    </row>
    <row r="2636" spans="1:8" ht="33">
      <c r="A2636" s="160"/>
      <c r="B2636" s="160" t="s">
        <v>934</v>
      </c>
      <c r="C2636" s="157" t="s">
        <v>2400</v>
      </c>
      <c r="D2636" s="159"/>
      <c r="E2636" s="159"/>
      <c r="F2636" s="159">
        <v>4542.75</v>
      </c>
      <c r="G2636" s="160"/>
      <c r="H2636" s="34" t="s">
        <v>925</v>
      </c>
    </row>
    <row r="2637" spans="1:8" ht="33">
      <c r="A2637" s="160"/>
      <c r="B2637" s="160"/>
      <c r="C2637" s="157"/>
      <c r="D2637" s="159"/>
      <c r="E2637" s="159"/>
      <c r="F2637" s="159"/>
      <c r="G2637" s="160"/>
      <c r="H2637" s="34" t="s">
        <v>925</v>
      </c>
    </row>
    <row r="2638" spans="1:8" ht="33">
      <c r="A2638" s="160" t="s">
        <v>2595</v>
      </c>
      <c r="B2638" s="160" t="s">
        <v>2405</v>
      </c>
      <c r="C2638" s="157" t="s">
        <v>3</v>
      </c>
      <c r="D2638" s="159">
        <v>100</v>
      </c>
      <c r="E2638" s="159">
        <v>34.51</v>
      </c>
      <c r="F2638" s="159"/>
      <c r="G2638" s="160" t="s">
        <v>2406</v>
      </c>
      <c r="H2638" s="34" t="s">
        <v>925</v>
      </c>
    </row>
    <row r="2639" spans="1:8" ht="33">
      <c r="A2639" s="160">
        <v>1</v>
      </c>
      <c r="B2639" s="160" t="s">
        <v>1084</v>
      </c>
      <c r="C2639" s="157" t="s">
        <v>927</v>
      </c>
      <c r="D2639" s="159">
        <v>1</v>
      </c>
      <c r="E2639" s="159">
        <v>685.54</v>
      </c>
      <c r="F2639" s="159">
        <v>685.54</v>
      </c>
      <c r="G2639" s="160" t="s">
        <v>1085</v>
      </c>
      <c r="H2639" s="34" t="s">
        <v>925</v>
      </c>
    </row>
    <row r="2640" spans="1:8" ht="33">
      <c r="A2640" s="160">
        <v>2</v>
      </c>
      <c r="B2640" s="160" t="s">
        <v>1086</v>
      </c>
      <c r="C2640" s="157" t="s">
        <v>927</v>
      </c>
      <c r="D2640" s="159">
        <v>1</v>
      </c>
      <c r="E2640" s="159">
        <v>398.41</v>
      </c>
      <c r="F2640" s="159">
        <v>398.41</v>
      </c>
      <c r="G2640" s="160" t="s">
        <v>1087</v>
      </c>
      <c r="H2640" s="34" t="s">
        <v>925</v>
      </c>
    </row>
    <row r="2641" spans="1:8" ht="33">
      <c r="A2641" s="160">
        <v>3</v>
      </c>
      <c r="B2641" s="160" t="s">
        <v>4871</v>
      </c>
      <c r="C2641" s="157" t="s">
        <v>927</v>
      </c>
      <c r="D2641" s="159">
        <v>1</v>
      </c>
      <c r="E2641" s="159">
        <v>279.18</v>
      </c>
      <c r="F2641" s="159">
        <v>279.18</v>
      </c>
      <c r="G2641" s="160" t="s">
        <v>4872</v>
      </c>
      <c r="H2641" s="34" t="s">
        <v>925</v>
      </c>
    </row>
    <row r="2642" spans="1:8" ht="33">
      <c r="A2642" s="160">
        <v>4</v>
      </c>
      <c r="B2642" s="160" t="s">
        <v>2396</v>
      </c>
      <c r="C2642" s="157" t="s">
        <v>14</v>
      </c>
      <c r="D2642" s="159">
        <v>1</v>
      </c>
      <c r="E2642" s="159">
        <v>496.77</v>
      </c>
      <c r="F2642" s="159">
        <v>496.77</v>
      </c>
      <c r="G2642" s="160" t="s">
        <v>2397</v>
      </c>
      <c r="H2642" s="34" t="s">
        <v>925</v>
      </c>
    </row>
    <row r="2643" spans="1:8" ht="33">
      <c r="A2643" s="160">
        <v>5</v>
      </c>
      <c r="B2643" s="160" t="s">
        <v>2407</v>
      </c>
      <c r="C2643" s="157" t="s">
        <v>14</v>
      </c>
      <c r="D2643" s="159">
        <v>1</v>
      </c>
      <c r="E2643" s="159">
        <v>1490.31</v>
      </c>
      <c r="F2643" s="159">
        <v>1490.31</v>
      </c>
      <c r="G2643" s="160" t="s">
        <v>2408</v>
      </c>
      <c r="H2643" s="34" t="s">
        <v>925</v>
      </c>
    </row>
    <row r="2644" spans="1:8" ht="28.5">
      <c r="A2644" s="160">
        <v>6</v>
      </c>
      <c r="B2644" s="160" t="s">
        <v>931</v>
      </c>
      <c r="C2644" s="157" t="s">
        <v>14</v>
      </c>
      <c r="D2644" s="159">
        <v>1</v>
      </c>
      <c r="E2644" s="159">
        <v>100.51</v>
      </c>
      <c r="F2644" s="159">
        <v>100.51</v>
      </c>
      <c r="G2644" s="160" t="s">
        <v>932</v>
      </c>
    </row>
    <row r="2645" spans="1:8" ht="33">
      <c r="A2645" s="160"/>
      <c r="B2645" s="160" t="s">
        <v>933</v>
      </c>
      <c r="C2645" s="157" t="s">
        <v>3</v>
      </c>
      <c r="D2645" s="159">
        <v>100</v>
      </c>
      <c r="E2645" s="159"/>
      <c r="F2645" s="159">
        <v>3450.7200000000003</v>
      </c>
      <c r="G2645" s="160"/>
      <c r="H2645" s="34" t="s">
        <v>925</v>
      </c>
    </row>
    <row r="2646" spans="1:8" ht="33">
      <c r="A2646" s="160"/>
      <c r="B2646" s="160" t="s">
        <v>934</v>
      </c>
      <c r="C2646" s="157" t="s">
        <v>3</v>
      </c>
      <c r="D2646" s="159"/>
      <c r="E2646" s="159"/>
      <c r="F2646" s="159">
        <v>34.51</v>
      </c>
      <c r="G2646" s="160"/>
      <c r="H2646" s="34" t="s">
        <v>925</v>
      </c>
    </row>
    <row r="2647" spans="1:8" ht="33">
      <c r="A2647" s="160"/>
      <c r="B2647" s="160"/>
      <c r="C2647" s="157"/>
      <c r="D2647" s="159"/>
      <c r="E2647" s="159"/>
      <c r="F2647" s="159"/>
      <c r="G2647" s="160"/>
      <c r="H2647" s="34" t="s">
        <v>925</v>
      </c>
    </row>
    <row r="2648" spans="1:8" ht="33">
      <c r="A2648" s="160" t="s">
        <v>2598</v>
      </c>
      <c r="B2648" s="160" t="s">
        <v>2410</v>
      </c>
      <c r="C2648" s="157" t="s">
        <v>0</v>
      </c>
      <c r="D2648" s="159">
        <v>100</v>
      </c>
      <c r="E2648" s="159">
        <v>2276.4499999999998</v>
      </c>
      <c r="F2648" s="159"/>
      <c r="G2648" s="160" t="s">
        <v>2411</v>
      </c>
      <c r="H2648" s="34" t="s">
        <v>925</v>
      </c>
    </row>
    <row r="2649" spans="1:8" ht="33">
      <c r="A2649" s="160">
        <v>1</v>
      </c>
      <c r="B2649" s="160" t="s">
        <v>1084</v>
      </c>
      <c r="C2649" s="157" t="s">
        <v>927</v>
      </c>
      <c r="D2649" s="159">
        <v>16</v>
      </c>
      <c r="E2649" s="159">
        <v>685.54</v>
      </c>
      <c r="F2649" s="159">
        <v>10968.64</v>
      </c>
      <c r="G2649" s="160" t="s">
        <v>1085</v>
      </c>
      <c r="H2649" s="34" t="s">
        <v>925</v>
      </c>
    </row>
    <row r="2650" spans="1:8" ht="33">
      <c r="A2650" s="160">
        <v>2</v>
      </c>
      <c r="B2650" s="160" t="s">
        <v>1086</v>
      </c>
      <c r="C2650" s="157" t="s">
        <v>927</v>
      </c>
      <c r="D2650" s="159">
        <v>16</v>
      </c>
      <c r="E2650" s="159">
        <v>398.41</v>
      </c>
      <c r="F2650" s="159">
        <v>6374.56</v>
      </c>
      <c r="G2650" s="160" t="s">
        <v>1087</v>
      </c>
      <c r="H2650" s="34" t="s">
        <v>925</v>
      </c>
    </row>
    <row r="2651" spans="1:8" ht="33">
      <c r="A2651" s="160">
        <v>3</v>
      </c>
      <c r="B2651" s="160" t="s">
        <v>4871</v>
      </c>
      <c r="C2651" s="157" t="s">
        <v>927</v>
      </c>
      <c r="D2651" s="159">
        <v>16</v>
      </c>
      <c r="E2651" s="159">
        <v>279.18</v>
      </c>
      <c r="F2651" s="159">
        <v>4466.88</v>
      </c>
      <c r="G2651" s="160" t="s">
        <v>4872</v>
      </c>
      <c r="H2651" s="34" t="s">
        <v>925</v>
      </c>
    </row>
    <row r="2652" spans="1:8" ht="33">
      <c r="A2652" s="160">
        <v>4</v>
      </c>
      <c r="B2652" s="160" t="s">
        <v>2396</v>
      </c>
      <c r="C2652" s="157" t="s">
        <v>14</v>
      </c>
      <c r="D2652" s="159">
        <v>1</v>
      </c>
      <c r="E2652" s="159">
        <v>496.77</v>
      </c>
      <c r="F2652" s="159">
        <v>496.77</v>
      </c>
      <c r="G2652" s="160" t="s">
        <v>2397</v>
      </c>
      <c r="H2652" s="34" t="s">
        <v>925</v>
      </c>
    </row>
    <row r="2653" spans="1:8" ht="33">
      <c r="A2653" s="160">
        <v>5</v>
      </c>
      <c r="B2653" s="160" t="s">
        <v>2407</v>
      </c>
      <c r="C2653" s="157" t="s">
        <v>0</v>
      </c>
      <c r="D2653" s="159">
        <v>100</v>
      </c>
      <c r="E2653" s="159">
        <v>1987.08</v>
      </c>
      <c r="F2653" s="159">
        <v>198708</v>
      </c>
      <c r="G2653" s="160" t="s">
        <v>2412</v>
      </c>
      <c r="H2653" s="34" t="s">
        <v>925</v>
      </c>
    </row>
    <row r="2654" spans="1:8" ht="33">
      <c r="A2654" s="160">
        <v>6</v>
      </c>
      <c r="B2654" s="160" t="s">
        <v>931</v>
      </c>
      <c r="C2654" s="157" t="s">
        <v>14</v>
      </c>
      <c r="D2654" s="159">
        <v>1</v>
      </c>
      <c r="E2654" s="159">
        <v>6630.45</v>
      </c>
      <c r="F2654" s="159">
        <v>6630.45</v>
      </c>
      <c r="G2654" s="160" t="s">
        <v>932</v>
      </c>
      <c r="H2654" s="34" t="s">
        <v>925</v>
      </c>
    </row>
    <row r="2655" spans="1:8" ht="33">
      <c r="A2655" s="160"/>
      <c r="B2655" s="160" t="s">
        <v>933</v>
      </c>
      <c r="C2655" s="157" t="s">
        <v>0</v>
      </c>
      <c r="D2655" s="159">
        <v>100</v>
      </c>
      <c r="E2655" s="159"/>
      <c r="F2655" s="159">
        <v>227645.30000000002</v>
      </c>
      <c r="G2655" s="160"/>
      <c r="H2655" s="34" t="s">
        <v>925</v>
      </c>
    </row>
    <row r="2656" spans="1:8" ht="33">
      <c r="A2656" s="160"/>
      <c r="B2656" s="160" t="s">
        <v>934</v>
      </c>
      <c r="C2656" s="157" t="s">
        <v>0</v>
      </c>
      <c r="D2656" s="159"/>
      <c r="E2656" s="159"/>
      <c r="F2656" s="159">
        <v>2276.4499999999998</v>
      </c>
      <c r="G2656" s="160"/>
      <c r="H2656" s="34" t="s">
        <v>925</v>
      </c>
    </row>
    <row r="2657" spans="1:8" ht="33">
      <c r="A2657" s="160"/>
      <c r="B2657" s="160"/>
      <c r="C2657" s="157"/>
      <c r="D2657" s="159"/>
      <c r="E2657" s="159"/>
      <c r="F2657" s="159"/>
      <c r="G2657" s="160"/>
      <c r="H2657" s="34" t="s">
        <v>925</v>
      </c>
    </row>
    <row r="2658" spans="1:8" ht="42.75">
      <c r="A2658" s="160" t="s">
        <v>2601</v>
      </c>
      <c r="B2658" s="160" t="s">
        <v>4390</v>
      </c>
      <c r="C2658" s="157" t="s">
        <v>927</v>
      </c>
      <c r="D2658" s="159">
        <v>8</v>
      </c>
      <c r="E2658" s="159">
        <v>205.78</v>
      </c>
      <c r="F2658" s="159"/>
      <c r="G2658" s="160" t="s">
        <v>4996</v>
      </c>
      <c r="H2658" s="34" t="s">
        <v>925</v>
      </c>
    </row>
    <row r="2659" spans="1:8" ht="57">
      <c r="A2659" s="160">
        <v>1</v>
      </c>
      <c r="B2659" s="160" t="s">
        <v>4997</v>
      </c>
      <c r="C2659" s="157" t="s">
        <v>927</v>
      </c>
      <c r="D2659" s="159">
        <v>8</v>
      </c>
      <c r="E2659" s="159">
        <v>62.59</v>
      </c>
      <c r="F2659" s="159">
        <v>500.72</v>
      </c>
      <c r="G2659" s="160" t="s">
        <v>4998</v>
      </c>
      <c r="H2659" s="34" t="s">
        <v>925</v>
      </c>
    </row>
    <row r="2660" spans="1:8" ht="42.75">
      <c r="A2660" s="160">
        <v>2</v>
      </c>
      <c r="B2660" s="160" t="s">
        <v>4999</v>
      </c>
      <c r="C2660" s="157" t="s">
        <v>14</v>
      </c>
      <c r="D2660" s="159">
        <v>1</v>
      </c>
      <c r="E2660" s="159">
        <v>695.52</v>
      </c>
      <c r="F2660" s="159">
        <v>695.52</v>
      </c>
      <c r="G2660" s="160" t="s">
        <v>5000</v>
      </c>
      <c r="H2660" s="34" t="s">
        <v>925</v>
      </c>
    </row>
    <row r="2661" spans="1:8" ht="28.5">
      <c r="A2661" s="160">
        <v>3</v>
      </c>
      <c r="B2661" s="160" t="s">
        <v>4871</v>
      </c>
      <c r="C2661" s="157" t="s">
        <v>927</v>
      </c>
      <c r="D2661" s="159">
        <v>1.44</v>
      </c>
      <c r="E2661" s="159">
        <v>279.18</v>
      </c>
      <c r="F2661" s="159">
        <v>402.02</v>
      </c>
      <c r="G2661" s="160" t="s">
        <v>4876</v>
      </c>
    </row>
    <row r="2662" spans="1:8" ht="33">
      <c r="A2662" s="160">
        <v>4</v>
      </c>
      <c r="B2662" s="160" t="s">
        <v>931</v>
      </c>
      <c r="C2662" s="157" t="s">
        <v>14</v>
      </c>
      <c r="D2662" s="159">
        <v>1</v>
      </c>
      <c r="E2662" s="159">
        <v>47.95</v>
      </c>
      <c r="F2662" s="159">
        <v>47.95</v>
      </c>
      <c r="G2662" s="160" t="s">
        <v>932</v>
      </c>
      <c r="H2662" s="34" t="s">
        <v>925</v>
      </c>
    </row>
    <row r="2663" spans="1:8" ht="33">
      <c r="A2663" s="160"/>
      <c r="B2663" s="160" t="s">
        <v>933</v>
      </c>
      <c r="C2663" s="157" t="s">
        <v>927</v>
      </c>
      <c r="D2663" s="159">
        <v>8</v>
      </c>
      <c r="E2663" s="159"/>
      <c r="F2663" s="159">
        <v>1646.21</v>
      </c>
      <c r="G2663" s="160"/>
      <c r="H2663" s="34" t="s">
        <v>925</v>
      </c>
    </row>
    <row r="2664" spans="1:8" ht="33">
      <c r="A2664" s="160"/>
      <c r="B2664" s="160" t="s">
        <v>934</v>
      </c>
      <c r="C2664" s="157" t="s">
        <v>927</v>
      </c>
      <c r="D2664" s="159"/>
      <c r="E2664" s="159"/>
      <c r="F2664" s="159">
        <v>205.78</v>
      </c>
      <c r="G2664" s="160"/>
      <c r="H2664" s="34" t="s">
        <v>925</v>
      </c>
    </row>
    <row r="2665" spans="1:8" ht="33">
      <c r="A2665" s="160"/>
      <c r="B2665" s="160"/>
      <c r="C2665" s="157"/>
      <c r="D2665" s="159"/>
      <c r="E2665" s="159"/>
      <c r="F2665" s="159"/>
      <c r="G2665" s="160"/>
      <c r="H2665" s="34" t="s">
        <v>925</v>
      </c>
    </row>
    <row r="2666" spans="1:8" ht="42.75">
      <c r="A2666" s="160" t="s">
        <v>2604</v>
      </c>
      <c r="B2666" s="160" t="s">
        <v>4392</v>
      </c>
      <c r="C2666" s="157" t="s">
        <v>927</v>
      </c>
      <c r="D2666" s="159">
        <v>8</v>
      </c>
      <c r="E2666" s="159">
        <v>161.47</v>
      </c>
      <c r="F2666" s="159"/>
      <c r="G2666" s="160" t="s">
        <v>5001</v>
      </c>
      <c r="H2666" s="34" t="s">
        <v>925</v>
      </c>
    </row>
    <row r="2667" spans="1:8" ht="57">
      <c r="A2667" s="160">
        <v>1</v>
      </c>
      <c r="B2667" s="160" t="s">
        <v>5002</v>
      </c>
      <c r="C2667" s="157" t="s">
        <v>927</v>
      </c>
      <c r="D2667" s="159">
        <v>8</v>
      </c>
      <c r="E2667" s="159">
        <v>54.64</v>
      </c>
      <c r="F2667" s="159">
        <v>437.12</v>
      </c>
      <c r="G2667" s="160" t="s">
        <v>5003</v>
      </c>
      <c r="H2667" s="34" t="s">
        <v>925</v>
      </c>
    </row>
    <row r="2668" spans="1:8" ht="42.75">
      <c r="A2668" s="160">
        <v>2</v>
      </c>
      <c r="B2668" s="160" t="s">
        <v>4999</v>
      </c>
      <c r="C2668" s="157" t="s">
        <v>14</v>
      </c>
      <c r="D2668" s="159">
        <v>1</v>
      </c>
      <c r="E2668" s="159">
        <v>616.03</v>
      </c>
      <c r="F2668" s="159">
        <v>616.03</v>
      </c>
      <c r="G2668" s="160" t="s">
        <v>5000</v>
      </c>
      <c r="H2668" s="34" t="s">
        <v>925</v>
      </c>
    </row>
    <row r="2669" spans="1:8" ht="33">
      <c r="A2669" s="160">
        <v>3</v>
      </c>
      <c r="B2669" s="160" t="s">
        <v>4871</v>
      </c>
      <c r="C2669" s="157" t="s">
        <v>927</v>
      </c>
      <c r="D2669" s="159">
        <v>0.72</v>
      </c>
      <c r="E2669" s="159">
        <v>279.18</v>
      </c>
      <c r="F2669" s="159">
        <v>201.01</v>
      </c>
      <c r="G2669" s="160" t="s">
        <v>4876</v>
      </c>
      <c r="H2669" s="34" t="s">
        <v>925</v>
      </c>
    </row>
    <row r="2670" spans="1:8" ht="33">
      <c r="A2670" s="160">
        <v>4</v>
      </c>
      <c r="B2670" s="160" t="s">
        <v>931</v>
      </c>
      <c r="C2670" s="157" t="s">
        <v>14</v>
      </c>
      <c r="D2670" s="159">
        <v>1</v>
      </c>
      <c r="E2670" s="159">
        <v>37.619999999999997</v>
      </c>
      <c r="F2670" s="159">
        <v>37.619999999999997</v>
      </c>
      <c r="G2670" s="160" t="s">
        <v>932</v>
      </c>
      <c r="H2670" s="34" t="s">
        <v>925</v>
      </c>
    </row>
    <row r="2671" spans="1:8" ht="33">
      <c r="A2671" s="160"/>
      <c r="B2671" s="160" t="s">
        <v>933</v>
      </c>
      <c r="C2671" s="157" t="s">
        <v>927</v>
      </c>
      <c r="D2671" s="159">
        <v>8</v>
      </c>
      <c r="E2671" s="159"/>
      <c r="F2671" s="159">
        <v>1291.78</v>
      </c>
      <c r="G2671" s="160"/>
      <c r="H2671" s="34" t="s">
        <v>925</v>
      </c>
    </row>
    <row r="2672" spans="1:8" ht="33">
      <c r="A2672" s="160"/>
      <c r="B2672" s="160" t="s">
        <v>934</v>
      </c>
      <c r="C2672" s="157" t="s">
        <v>927</v>
      </c>
      <c r="D2672" s="159"/>
      <c r="E2672" s="159"/>
      <c r="F2672" s="159">
        <v>161.47</v>
      </c>
      <c r="G2672" s="160"/>
      <c r="H2672" s="34" t="s">
        <v>925</v>
      </c>
    </row>
    <row r="2673" spans="1:8" ht="33">
      <c r="A2673" s="160"/>
      <c r="B2673" s="160"/>
      <c r="C2673" s="157"/>
      <c r="D2673" s="159"/>
      <c r="E2673" s="159"/>
      <c r="F2673" s="159"/>
      <c r="G2673" s="160"/>
      <c r="H2673" s="34" t="s">
        <v>925</v>
      </c>
    </row>
    <row r="2674" spans="1:8" ht="33">
      <c r="A2674" s="160" t="s">
        <v>2607</v>
      </c>
      <c r="B2674" s="160" t="s">
        <v>2381</v>
      </c>
      <c r="C2674" s="157" t="s">
        <v>927</v>
      </c>
      <c r="D2674" s="159">
        <v>1</v>
      </c>
      <c r="E2674" s="159">
        <v>2152.3000000000002</v>
      </c>
      <c r="F2674" s="159"/>
      <c r="G2674" s="160" t="s">
        <v>2418</v>
      </c>
      <c r="H2674" s="34" t="s">
        <v>925</v>
      </c>
    </row>
    <row r="2675" spans="1:8" ht="33">
      <c r="A2675" s="160">
        <v>1</v>
      </c>
      <c r="B2675" s="160" t="s">
        <v>2419</v>
      </c>
      <c r="C2675" s="157" t="s">
        <v>927</v>
      </c>
      <c r="D2675" s="159">
        <v>1</v>
      </c>
      <c r="E2675" s="159">
        <v>1356.18</v>
      </c>
      <c r="F2675" s="159">
        <v>1356.18</v>
      </c>
      <c r="G2675" s="160" t="s">
        <v>2420</v>
      </c>
      <c r="H2675" s="34" t="s">
        <v>925</v>
      </c>
    </row>
    <row r="2676" spans="1:8" ht="42.75">
      <c r="A2676" s="160">
        <v>2</v>
      </c>
      <c r="B2676" s="160" t="s">
        <v>4964</v>
      </c>
      <c r="C2676" s="157" t="s">
        <v>927</v>
      </c>
      <c r="D2676" s="159">
        <v>1</v>
      </c>
      <c r="E2676" s="159">
        <v>398.41</v>
      </c>
      <c r="F2676" s="159">
        <v>398.41</v>
      </c>
      <c r="G2676" s="160" t="s">
        <v>4965</v>
      </c>
      <c r="H2676" s="34" t="s">
        <v>925</v>
      </c>
    </row>
    <row r="2677" spans="1:8" ht="33">
      <c r="A2677" s="160">
        <v>3</v>
      </c>
      <c r="B2677" s="160" t="s">
        <v>4871</v>
      </c>
      <c r="C2677" s="157" t="s">
        <v>927</v>
      </c>
      <c r="D2677" s="159">
        <v>1.2</v>
      </c>
      <c r="E2677" s="159">
        <v>279.18</v>
      </c>
      <c r="F2677" s="159">
        <v>335.02</v>
      </c>
      <c r="G2677" s="160" t="s">
        <v>4872</v>
      </c>
      <c r="H2677" s="34" t="s">
        <v>925</v>
      </c>
    </row>
    <row r="2678" spans="1:8" ht="28.5">
      <c r="A2678" s="160">
        <v>4</v>
      </c>
      <c r="B2678" s="160" t="s">
        <v>931</v>
      </c>
      <c r="C2678" s="157" t="s">
        <v>14</v>
      </c>
      <c r="D2678" s="159">
        <v>1</v>
      </c>
      <c r="E2678" s="159">
        <v>62.69</v>
      </c>
      <c r="F2678" s="159">
        <v>62.69</v>
      </c>
      <c r="G2678" s="160" t="s">
        <v>932</v>
      </c>
    </row>
    <row r="2679" spans="1:8" ht="33">
      <c r="A2679" s="160"/>
      <c r="B2679" s="160" t="s">
        <v>933</v>
      </c>
      <c r="C2679" s="157" t="s">
        <v>927</v>
      </c>
      <c r="D2679" s="159">
        <v>1</v>
      </c>
      <c r="E2679" s="159"/>
      <c r="F2679" s="159">
        <v>2152.3000000000002</v>
      </c>
      <c r="G2679" s="160"/>
      <c r="H2679" s="34" t="s">
        <v>925</v>
      </c>
    </row>
    <row r="2680" spans="1:8" ht="33">
      <c r="A2680" s="160"/>
      <c r="B2680" s="160" t="s">
        <v>934</v>
      </c>
      <c r="C2680" s="157" t="s">
        <v>927</v>
      </c>
      <c r="D2680" s="159"/>
      <c r="E2680" s="159"/>
      <c r="F2680" s="159">
        <v>2152.3000000000002</v>
      </c>
      <c r="G2680" s="160"/>
      <c r="H2680" s="34" t="s">
        <v>925</v>
      </c>
    </row>
    <row r="2681" spans="1:8" ht="33">
      <c r="A2681" s="160"/>
      <c r="B2681" s="160"/>
      <c r="C2681" s="157"/>
      <c r="D2681" s="159"/>
      <c r="E2681" s="159"/>
      <c r="F2681" s="159"/>
      <c r="G2681" s="160"/>
      <c r="H2681" s="34" t="s">
        <v>925</v>
      </c>
    </row>
    <row r="2682" spans="1:8" ht="33">
      <c r="A2682" s="160" t="s">
        <v>2616</v>
      </c>
      <c r="B2682" s="160" t="s">
        <v>2422</v>
      </c>
      <c r="C2682" s="157" t="s">
        <v>927</v>
      </c>
      <c r="D2682" s="159">
        <v>1</v>
      </c>
      <c r="E2682" s="159">
        <v>3911.72</v>
      </c>
      <c r="F2682" s="159"/>
      <c r="G2682" s="160" t="s">
        <v>2423</v>
      </c>
      <c r="H2682" s="34" t="s">
        <v>925</v>
      </c>
    </row>
    <row r="2683" spans="1:8" ht="33">
      <c r="A2683" s="160">
        <v>1</v>
      </c>
      <c r="B2683" s="160" t="s">
        <v>2424</v>
      </c>
      <c r="C2683" s="157" t="s">
        <v>927</v>
      </c>
      <c r="D2683" s="159">
        <v>1</v>
      </c>
      <c r="E2683" s="159">
        <v>2980.61</v>
      </c>
      <c r="F2683" s="159">
        <v>2980.61</v>
      </c>
      <c r="G2683" s="160" t="s">
        <v>2425</v>
      </c>
      <c r="H2683" s="34" t="s">
        <v>925</v>
      </c>
    </row>
    <row r="2684" spans="1:8" ht="42.75">
      <c r="A2684" s="160">
        <v>2</v>
      </c>
      <c r="B2684" s="160" t="s">
        <v>4964</v>
      </c>
      <c r="C2684" s="157" t="s">
        <v>927</v>
      </c>
      <c r="D2684" s="159">
        <v>1</v>
      </c>
      <c r="E2684" s="159">
        <v>398.41</v>
      </c>
      <c r="F2684" s="159">
        <v>398.41</v>
      </c>
      <c r="G2684" s="160" t="s">
        <v>4965</v>
      </c>
      <c r="H2684" s="34" t="s">
        <v>925</v>
      </c>
    </row>
    <row r="2685" spans="1:8" ht="33">
      <c r="A2685" s="160">
        <v>3</v>
      </c>
      <c r="B2685" s="160" t="s">
        <v>4871</v>
      </c>
      <c r="C2685" s="157" t="s">
        <v>927</v>
      </c>
      <c r="D2685" s="159">
        <v>1.5</v>
      </c>
      <c r="E2685" s="159">
        <v>279.18</v>
      </c>
      <c r="F2685" s="159">
        <v>418.77</v>
      </c>
      <c r="G2685" s="160" t="s">
        <v>4872</v>
      </c>
      <c r="H2685" s="34" t="s">
        <v>925</v>
      </c>
    </row>
    <row r="2686" spans="1:8" ht="33">
      <c r="A2686" s="160">
        <v>4</v>
      </c>
      <c r="B2686" s="160" t="s">
        <v>931</v>
      </c>
      <c r="C2686" s="157" t="s">
        <v>14</v>
      </c>
      <c r="D2686" s="159">
        <v>1</v>
      </c>
      <c r="E2686" s="159">
        <v>113.93</v>
      </c>
      <c r="F2686" s="159">
        <v>113.93</v>
      </c>
      <c r="G2686" s="160" t="s">
        <v>932</v>
      </c>
      <c r="H2686" s="34" t="s">
        <v>925</v>
      </c>
    </row>
    <row r="2687" spans="1:8" ht="33">
      <c r="A2687" s="160"/>
      <c r="B2687" s="160" t="s">
        <v>933</v>
      </c>
      <c r="C2687" s="157" t="s">
        <v>927</v>
      </c>
      <c r="D2687" s="159">
        <v>1</v>
      </c>
      <c r="E2687" s="159"/>
      <c r="F2687" s="159">
        <v>3911.72</v>
      </c>
      <c r="G2687" s="160"/>
      <c r="H2687" s="34" t="s">
        <v>925</v>
      </c>
    </row>
    <row r="2688" spans="1:8" ht="33">
      <c r="A2688" s="160"/>
      <c r="B2688" s="160" t="s">
        <v>934</v>
      </c>
      <c r="C2688" s="157" t="s">
        <v>927</v>
      </c>
      <c r="D2688" s="159"/>
      <c r="E2688" s="159"/>
      <c r="F2688" s="159">
        <v>3911.72</v>
      </c>
      <c r="G2688" s="160"/>
      <c r="H2688" s="34" t="s">
        <v>925</v>
      </c>
    </row>
    <row r="2689" spans="1:8" ht="33">
      <c r="A2689" s="160"/>
      <c r="B2689" s="160"/>
      <c r="C2689" s="157"/>
      <c r="D2689" s="159"/>
      <c r="E2689" s="159"/>
      <c r="F2689" s="159"/>
      <c r="G2689" s="160"/>
      <c r="H2689" s="34" t="s">
        <v>925</v>
      </c>
    </row>
    <row r="2690" spans="1:8" ht="33">
      <c r="A2690" s="160" t="s">
        <v>2625</v>
      </c>
      <c r="B2690" s="160" t="s">
        <v>514</v>
      </c>
      <c r="C2690" s="157" t="s">
        <v>927</v>
      </c>
      <c r="D2690" s="159">
        <v>1</v>
      </c>
      <c r="E2690" s="159">
        <v>925.39</v>
      </c>
      <c r="F2690" s="159"/>
      <c r="G2690" s="160" t="s">
        <v>2427</v>
      </c>
      <c r="H2690" s="34" t="s">
        <v>925</v>
      </c>
    </row>
    <row r="2691" spans="1:8" ht="42.75">
      <c r="A2691" s="160">
        <v>1</v>
      </c>
      <c r="B2691" s="160" t="s">
        <v>2428</v>
      </c>
      <c r="C2691" s="157" t="s">
        <v>927</v>
      </c>
      <c r="D2691" s="159">
        <v>1</v>
      </c>
      <c r="E2691" s="159">
        <v>248.38</v>
      </c>
      <c r="F2691" s="159">
        <v>248.38</v>
      </c>
      <c r="G2691" s="160" t="s">
        <v>2429</v>
      </c>
      <c r="H2691" s="34" t="s">
        <v>925</v>
      </c>
    </row>
    <row r="2692" spans="1:8" ht="33">
      <c r="A2692" s="160">
        <v>2</v>
      </c>
      <c r="B2692" s="160" t="s">
        <v>1767</v>
      </c>
      <c r="C2692" s="157" t="s">
        <v>14</v>
      </c>
      <c r="D2692" s="159">
        <v>1</v>
      </c>
      <c r="E2692" s="159">
        <v>248.38</v>
      </c>
      <c r="F2692" s="159">
        <v>248.38</v>
      </c>
      <c r="G2692" s="160" t="s">
        <v>1768</v>
      </c>
      <c r="H2692" s="34" t="s">
        <v>925</v>
      </c>
    </row>
    <row r="2693" spans="1:8" ht="33">
      <c r="A2693" s="160">
        <v>3</v>
      </c>
      <c r="B2693" s="160" t="s">
        <v>4871</v>
      </c>
      <c r="C2693" s="157" t="s">
        <v>927</v>
      </c>
      <c r="D2693" s="159">
        <v>0.3</v>
      </c>
      <c r="E2693" s="159">
        <v>279.18</v>
      </c>
      <c r="F2693" s="159">
        <v>83.75</v>
      </c>
      <c r="G2693" s="160" t="s">
        <v>4872</v>
      </c>
      <c r="H2693" s="34" t="s">
        <v>925</v>
      </c>
    </row>
    <row r="2694" spans="1:8" ht="33">
      <c r="A2694" s="160">
        <v>4</v>
      </c>
      <c r="B2694" s="160" t="s">
        <v>2430</v>
      </c>
      <c r="C2694" s="157" t="s">
        <v>14</v>
      </c>
      <c r="D2694" s="159">
        <v>1</v>
      </c>
      <c r="E2694" s="159">
        <v>317.93</v>
      </c>
      <c r="F2694" s="159">
        <v>317.93</v>
      </c>
      <c r="G2694" s="160" t="s">
        <v>2431</v>
      </c>
      <c r="H2694" s="34" t="s">
        <v>925</v>
      </c>
    </row>
    <row r="2695" spans="1:8" ht="28.5">
      <c r="A2695" s="160">
        <v>5</v>
      </c>
      <c r="B2695" s="160" t="s">
        <v>931</v>
      </c>
      <c r="C2695" s="157" t="s">
        <v>14</v>
      </c>
      <c r="D2695" s="159">
        <v>1</v>
      </c>
      <c r="E2695" s="159">
        <v>26.95</v>
      </c>
      <c r="F2695" s="159">
        <v>26.95</v>
      </c>
      <c r="G2695" s="160" t="s">
        <v>932</v>
      </c>
    </row>
    <row r="2696" spans="1:8" ht="33">
      <c r="A2696" s="160"/>
      <c r="B2696" s="160" t="s">
        <v>933</v>
      </c>
      <c r="C2696" s="157" t="s">
        <v>927</v>
      </c>
      <c r="D2696" s="159">
        <v>1</v>
      </c>
      <c r="E2696" s="159"/>
      <c r="F2696" s="159">
        <v>925.3900000000001</v>
      </c>
      <c r="G2696" s="160"/>
      <c r="H2696" s="34" t="s">
        <v>925</v>
      </c>
    </row>
    <row r="2697" spans="1:8" ht="33">
      <c r="A2697" s="160"/>
      <c r="B2697" s="160" t="s">
        <v>934</v>
      </c>
      <c r="C2697" s="157" t="s">
        <v>927</v>
      </c>
      <c r="D2697" s="159"/>
      <c r="E2697" s="159"/>
      <c r="F2697" s="159">
        <v>925.39</v>
      </c>
      <c r="G2697" s="160"/>
      <c r="H2697" s="34" t="s">
        <v>925</v>
      </c>
    </row>
    <row r="2698" spans="1:8" ht="33">
      <c r="A2698" s="160"/>
      <c r="B2698" s="160"/>
      <c r="C2698" s="157"/>
      <c r="D2698" s="159"/>
      <c r="E2698" s="159"/>
      <c r="F2698" s="159"/>
      <c r="G2698" s="160"/>
      <c r="H2698" s="34" t="s">
        <v>925</v>
      </c>
    </row>
    <row r="2699" spans="1:8" ht="33">
      <c r="A2699" s="160" t="s">
        <v>2630</v>
      </c>
      <c r="B2699" s="160" t="s">
        <v>2433</v>
      </c>
      <c r="C2699" s="157" t="s">
        <v>927</v>
      </c>
      <c r="D2699" s="159">
        <v>1</v>
      </c>
      <c r="E2699" s="159">
        <v>904.93</v>
      </c>
      <c r="F2699" s="159"/>
      <c r="G2699" s="160" t="s">
        <v>2434</v>
      </c>
      <c r="H2699" s="34" t="s">
        <v>925</v>
      </c>
    </row>
    <row r="2700" spans="1:8" ht="33">
      <c r="A2700" s="160">
        <v>1</v>
      </c>
      <c r="B2700" s="160" t="s">
        <v>2435</v>
      </c>
      <c r="C2700" s="157" t="s">
        <v>927</v>
      </c>
      <c r="D2700" s="159">
        <v>1</v>
      </c>
      <c r="E2700" s="159">
        <v>228.51</v>
      </c>
      <c r="F2700" s="159">
        <v>228.51</v>
      </c>
      <c r="G2700" s="160" t="s">
        <v>2436</v>
      </c>
      <c r="H2700" s="34" t="s">
        <v>925</v>
      </c>
    </row>
    <row r="2701" spans="1:8" ht="33">
      <c r="A2701" s="160">
        <v>2</v>
      </c>
      <c r="B2701" s="160" t="s">
        <v>4871</v>
      </c>
      <c r="C2701" s="157" t="s">
        <v>927</v>
      </c>
      <c r="D2701" s="159">
        <v>0.3</v>
      </c>
      <c r="E2701" s="159">
        <v>279.18</v>
      </c>
      <c r="F2701" s="159">
        <v>83.75</v>
      </c>
      <c r="G2701" s="160" t="s">
        <v>4872</v>
      </c>
      <c r="H2701" s="34" t="s">
        <v>925</v>
      </c>
    </row>
    <row r="2702" spans="1:8" ht="33">
      <c r="A2702" s="160">
        <v>3</v>
      </c>
      <c r="B2702" s="160" t="s">
        <v>2430</v>
      </c>
      <c r="C2702" s="157" t="s">
        <v>14</v>
      </c>
      <c r="D2702" s="159">
        <v>1</v>
      </c>
      <c r="E2702" s="159">
        <v>317.93</v>
      </c>
      <c r="F2702" s="159">
        <v>317.93</v>
      </c>
      <c r="G2702" s="160" t="s">
        <v>2431</v>
      </c>
      <c r="H2702" s="34" t="s">
        <v>925</v>
      </c>
    </row>
    <row r="2703" spans="1:8" ht="33">
      <c r="A2703" s="160">
        <v>4</v>
      </c>
      <c r="B2703" s="160" t="s">
        <v>1767</v>
      </c>
      <c r="C2703" s="157" t="s">
        <v>14</v>
      </c>
      <c r="D2703" s="159">
        <v>1</v>
      </c>
      <c r="E2703" s="159">
        <v>248.38</v>
      </c>
      <c r="F2703" s="159">
        <v>248.38</v>
      </c>
      <c r="G2703" s="160" t="s">
        <v>1768</v>
      </c>
      <c r="H2703" s="34" t="s">
        <v>925</v>
      </c>
    </row>
    <row r="2704" spans="1:8" ht="33">
      <c r="A2704" s="160">
        <v>5</v>
      </c>
      <c r="B2704" s="160" t="s">
        <v>931</v>
      </c>
      <c r="C2704" s="157" t="s">
        <v>14</v>
      </c>
      <c r="D2704" s="159">
        <v>1</v>
      </c>
      <c r="E2704" s="159">
        <v>26.36</v>
      </c>
      <c r="F2704" s="159">
        <v>26.36</v>
      </c>
      <c r="G2704" s="160" t="s">
        <v>932</v>
      </c>
      <c r="H2704" s="34" t="s">
        <v>925</v>
      </c>
    </row>
    <row r="2705" spans="1:8" ht="33">
      <c r="A2705" s="160"/>
      <c r="B2705" s="160" t="s">
        <v>933</v>
      </c>
      <c r="C2705" s="157" t="s">
        <v>927</v>
      </c>
      <c r="D2705" s="159">
        <v>1</v>
      </c>
      <c r="E2705" s="159"/>
      <c r="F2705" s="159">
        <v>904.93000000000006</v>
      </c>
      <c r="G2705" s="160"/>
      <c r="H2705" s="34" t="s">
        <v>925</v>
      </c>
    </row>
    <row r="2706" spans="1:8" ht="33">
      <c r="A2706" s="160"/>
      <c r="B2706" s="160" t="s">
        <v>934</v>
      </c>
      <c r="C2706" s="157" t="s">
        <v>927</v>
      </c>
      <c r="D2706" s="159"/>
      <c r="E2706" s="159"/>
      <c r="F2706" s="159">
        <v>904.93</v>
      </c>
      <c r="G2706" s="160"/>
      <c r="H2706" s="34" t="s">
        <v>925</v>
      </c>
    </row>
    <row r="2707" spans="1:8" ht="33">
      <c r="A2707" s="160"/>
      <c r="B2707" s="160"/>
      <c r="C2707" s="157"/>
      <c r="D2707" s="159"/>
      <c r="E2707" s="159"/>
      <c r="F2707" s="159"/>
      <c r="G2707" s="160"/>
      <c r="H2707" s="34" t="s">
        <v>925</v>
      </c>
    </row>
    <row r="2708" spans="1:8" ht="33">
      <c r="A2708" s="160" t="s">
        <v>2641</v>
      </c>
      <c r="B2708" s="160" t="s">
        <v>2438</v>
      </c>
      <c r="C2708" s="157" t="s">
        <v>927</v>
      </c>
      <c r="D2708" s="159">
        <v>1</v>
      </c>
      <c r="E2708" s="159">
        <v>802.6</v>
      </c>
      <c r="F2708" s="159"/>
      <c r="G2708" s="160" t="s">
        <v>2439</v>
      </c>
      <c r="H2708" s="34" t="s">
        <v>925</v>
      </c>
    </row>
    <row r="2709" spans="1:8" ht="33">
      <c r="A2709" s="160">
        <v>1</v>
      </c>
      <c r="B2709" s="160" t="s">
        <v>2440</v>
      </c>
      <c r="C2709" s="157" t="s">
        <v>927</v>
      </c>
      <c r="D2709" s="159">
        <v>1</v>
      </c>
      <c r="E2709" s="159">
        <v>129.16</v>
      </c>
      <c r="F2709" s="159">
        <v>129.16</v>
      </c>
      <c r="G2709" s="160" t="s">
        <v>2441</v>
      </c>
      <c r="H2709" s="34" t="s">
        <v>925</v>
      </c>
    </row>
    <row r="2710" spans="1:8" ht="33">
      <c r="A2710" s="160">
        <v>2</v>
      </c>
      <c r="B2710" s="160" t="s">
        <v>4871</v>
      </c>
      <c r="C2710" s="157" t="s">
        <v>927</v>
      </c>
      <c r="D2710" s="159">
        <v>0.3</v>
      </c>
      <c r="E2710" s="159">
        <v>279.18</v>
      </c>
      <c r="F2710" s="159">
        <v>83.75</v>
      </c>
      <c r="G2710" s="160" t="s">
        <v>4872</v>
      </c>
      <c r="H2710" s="34" t="s">
        <v>925</v>
      </c>
    </row>
    <row r="2711" spans="1:8" ht="33">
      <c r="A2711" s="160">
        <v>3</v>
      </c>
      <c r="B2711" s="160" t="s">
        <v>2430</v>
      </c>
      <c r="C2711" s="157" t="s">
        <v>14</v>
      </c>
      <c r="D2711" s="159">
        <v>1</v>
      </c>
      <c r="E2711" s="159">
        <v>317.93</v>
      </c>
      <c r="F2711" s="159">
        <v>317.93</v>
      </c>
      <c r="G2711" s="160" t="s">
        <v>2431</v>
      </c>
      <c r="H2711" s="34" t="s">
        <v>925</v>
      </c>
    </row>
    <row r="2712" spans="1:8" ht="28.5">
      <c r="A2712" s="160">
        <v>4</v>
      </c>
      <c r="B2712" s="160" t="s">
        <v>1767</v>
      </c>
      <c r="C2712" s="157" t="s">
        <v>14</v>
      </c>
      <c r="D2712" s="159">
        <v>1</v>
      </c>
      <c r="E2712" s="159">
        <v>248.38</v>
      </c>
      <c r="F2712" s="159">
        <v>248.38</v>
      </c>
      <c r="G2712" s="160" t="s">
        <v>1768</v>
      </c>
    </row>
    <row r="2713" spans="1:8" ht="33">
      <c r="A2713" s="160">
        <v>5</v>
      </c>
      <c r="B2713" s="160" t="s">
        <v>931</v>
      </c>
      <c r="C2713" s="157" t="s">
        <v>14</v>
      </c>
      <c r="D2713" s="159">
        <v>1</v>
      </c>
      <c r="E2713" s="159">
        <v>23.38</v>
      </c>
      <c r="F2713" s="159">
        <v>23.38</v>
      </c>
      <c r="G2713" s="160" t="s">
        <v>932</v>
      </c>
      <c r="H2713" s="34" t="s">
        <v>925</v>
      </c>
    </row>
    <row r="2714" spans="1:8" ht="33">
      <c r="A2714" s="160"/>
      <c r="B2714" s="160" t="s">
        <v>933</v>
      </c>
      <c r="C2714" s="157" t="s">
        <v>927</v>
      </c>
      <c r="D2714" s="159">
        <v>1</v>
      </c>
      <c r="E2714" s="159"/>
      <c r="F2714" s="159">
        <v>802.6</v>
      </c>
      <c r="G2714" s="160"/>
      <c r="H2714" s="34" t="s">
        <v>925</v>
      </c>
    </row>
    <row r="2715" spans="1:8" ht="33">
      <c r="A2715" s="160"/>
      <c r="B2715" s="160" t="s">
        <v>934</v>
      </c>
      <c r="C2715" s="157" t="s">
        <v>927</v>
      </c>
      <c r="D2715" s="159"/>
      <c r="E2715" s="159"/>
      <c r="F2715" s="159">
        <v>802.6</v>
      </c>
      <c r="G2715" s="160"/>
      <c r="H2715" s="34" t="s">
        <v>925</v>
      </c>
    </row>
    <row r="2716" spans="1:8" ht="33">
      <c r="A2716" s="160"/>
      <c r="B2716" s="160"/>
      <c r="C2716" s="157"/>
      <c r="D2716" s="159"/>
      <c r="E2716" s="159"/>
      <c r="F2716" s="159"/>
      <c r="G2716" s="160"/>
      <c r="H2716" s="34" t="s">
        <v>925</v>
      </c>
    </row>
    <row r="2717" spans="1:8" ht="33">
      <c r="A2717" s="160" t="s">
        <v>2652</v>
      </c>
      <c r="B2717" s="160" t="s">
        <v>2443</v>
      </c>
      <c r="C2717" s="157" t="s">
        <v>4395</v>
      </c>
      <c r="D2717" s="159">
        <v>1</v>
      </c>
      <c r="E2717" s="159">
        <v>31166.95</v>
      </c>
      <c r="F2717" s="159"/>
      <c r="G2717" s="160" t="s">
        <v>2445</v>
      </c>
      <c r="H2717" s="34" t="s">
        <v>925</v>
      </c>
    </row>
    <row r="2718" spans="1:8" ht="33">
      <c r="A2718" s="160">
        <v>1</v>
      </c>
      <c r="B2718" s="160" t="s">
        <v>2446</v>
      </c>
      <c r="C2718" s="157" t="s">
        <v>2447</v>
      </c>
      <c r="D2718" s="159">
        <v>1</v>
      </c>
      <c r="E2718" s="159">
        <v>24838.45</v>
      </c>
      <c r="F2718" s="159">
        <v>24838.45</v>
      </c>
      <c r="G2718" s="160" t="s">
        <v>2448</v>
      </c>
      <c r="H2718" s="34" t="s">
        <v>925</v>
      </c>
    </row>
    <row r="2719" spans="1:8" ht="33">
      <c r="A2719" s="160">
        <v>2</v>
      </c>
      <c r="B2719" s="160" t="s">
        <v>2449</v>
      </c>
      <c r="C2719" s="157" t="s">
        <v>927</v>
      </c>
      <c r="D2719" s="159">
        <v>8</v>
      </c>
      <c r="E2719" s="159">
        <v>398.41</v>
      </c>
      <c r="F2719" s="159">
        <v>3187.28</v>
      </c>
      <c r="G2719" s="160" t="s">
        <v>2450</v>
      </c>
      <c r="H2719" s="34" t="s">
        <v>925</v>
      </c>
    </row>
    <row r="2720" spans="1:8" ht="33">
      <c r="A2720" s="160">
        <v>3</v>
      </c>
      <c r="B2720" s="160" t="s">
        <v>4871</v>
      </c>
      <c r="C2720" s="157" t="s">
        <v>927</v>
      </c>
      <c r="D2720" s="159">
        <v>8</v>
      </c>
      <c r="E2720" s="159">
        <v>279.18</v>
      </c>
      <c r="F2720" s="159">
        <v>2233.44</v>
      </c>
      <c r="G2720" s="160" t="s">
        <v>4872</v>
      </c>
      <c r="H2720" s="34" t="s">
        <v>925</v>
      </c>
    </row>
    <row r="2721" spans="1:8" ht="33">
      <c r="A2721" s="160">
        <v>4</v>
      </c>
      <c r="B2721" s="160" t="s">
        <v>931</v>
      </c>
      <c r="C2721" s="157" t="s">
        <v>14</v>
      </c>
      <c r="D2721" s="159">
        <v>1</v>
      </c>
      <c r="E2721" s="159">
        <v>907.78</v>
      </c>
      <c r="F2721" s="159">
        <v>907.78</v>
      </c>
      <c r="G2721" s="160" t="s">
        <v>932</v>
      </c>
      <c r="H2721" s="34" t="s">
        <v>925</v>
      </c>
    </row>
    <row r="2722" spans="1:8" ht="33">
      <c r="A2722" s="160"/>
      <c r="B2722" s="160" t="s">
        <v>933</v>
      </c>
      <c r="C2722" s="157" t="s">
        <v>4395</v>
      </c>
      <c r="D2722" s="159">
        <v>1</v>
      </c>
      <c r="E2722" s="159"/>
      <c r="F2722" s="159">
        <v>31166.949999999997</v>
      </c>
      <c r="G2722" s="160"/>
      <c r="H2722" s="34" t="s">
        <v>925</v>
      </c>
    </row>
    <row r="2723" spans="1:8" ht="33">
      <c r="A2723" s="160"/>
      <c r="B2723" s="160" t="s">
        <v>934</v>
      </c>
      <c r="C2723" s="157" t="s">
        <v>4395</v>
      </c>
      <c r="D2723" s="159"/>
      <c r="E2723" s="159"/>
      <c r="F2723" s="159">
        <v>31166.95</v>
      </c>
      <c r="G2723" s="160"/>
      <c r="H2723" s="34" t="s">
        <v>925</v>
      </c>
    </row>
    <row r="2724" spans="1:8" ht="33">
      <c r="A2724" s="160"/>
      <c r="B2724" s="160"/>
      <c r="C2724" s="157"/>
      <c r="D2724" s="159"/>
      <c r="E2724" s="159"/>
      <c r="F2724" s="159"/>
      <c r="G2724" s="160"/>
      <c r="H2724" s="34" t="s">
        <v>925</v>
      </c>
    </row>
    <row r="2725" spans="1:8" ht="33">
      <c r="A2725" s="160" t="s">
        <v>2662</v>
      </c>
      <c r="B2725" s="160" t="s">
        <v>515</v>
      </c>
      <c r="C2725" s="157" t="s">
        <v>0</v>
      </c>
      <c r="D2725" s="159">
        <v>100</v>
      </c>
      <c r="E2725" s="159">
        <v>3341.03</v>
      </c>
      <c r="F2725" s="159"/>
      <c r="G2725" s="160" t="s">
        <v>2452</v>
      </c>
      <c r="H2725" s="34" t="s">
        <v>925</v>
      </c>
    </row>
    <row r="2726" spans="1:8" ht="33">
      <c r="A2726" s="160">
        <v>1</v>
      </c>
      <c r="B2726" s="160" t="s">
        <v>1297</v>
      </c>
      <c r="C2726" s="157" t="s">
        <v>1121</v>
      </c>
      <c r="D2726" s="159">
        <v>111</v>
      </c>
      <c r="E2726" s="159">
        <v>710.38</v>
      </c>
      <c r="F2726" s="159">
        <v>78852.179999999993</v>
      </c>
      <c r="G2726" s="160" t="s">
        <v>1298</v>
      </c>
      <c r="H2726" s="34" t="s">
        <v>925</v>
      </c>
    </row>
    <row r="2727" spans="1:8" ht="33">
      <c r="A2727" s="160">
        <v>2</v>
      </c>
      <c r="B2727" s="160" t="s">
        <v>2453</v>
      </c>
      <c r="C2727" s="157" t="s">
        <v>1121</v>
      </c>
      <c r="D2727" s="159">
        <v>111</v>
      </c>
      <c r="E2727" s="159">
        <v>119.22</v>
      </c>
      <c r="F2727" s="159">
        <v>13233.42</v>
      </c>
      <c r="G2727" s="160" t="s">
        <v>2454</v>
      </c>
      <c r="H2727" s="34" t="s">
        <v>925</v>
      </c>
    </row>
    <row r="2728" spans="1:8" ht="33">
      <c r="A2728" s="160">
        <v>3</v>
      </c>
      <c r="B2728" s="160" t="s">
        <v>2455</v>
      </c>
      <c r="C2728" s="157" t="s">
        <v>14</v>
      </c>
      <c r="D2728" s="159">
        <v>1</v>
      </c>
      <c r="E2728" s="159">
        <v>8941.84</v>
      </c>
      <c r="F2728" s="159">
        <v>8941.84</v>
      </c>
      <c r="G2728" s="160" t="s">
        <v>2456</v>
      </c>
      <c r="H2728" s="34" t="s">
        <v>925</v>
      </c>
    </row>
    <row r="2729" spans="1:8" ht="28.5">
      <c r="A2729" s="160">
        <v>4</v>
      </c>
      <c r="B2729" s="160" t="s">
        <v>4871</v>
      </c>
      <c r="C2729" s="157" t="s">
        <v>927</v>
      </c>
      <c r="D2729" s="159">
        <v>800</v>
      </c>
      <c r="E2729" s="159">
        <v>279.18</v>
      </c>
      <c r="F2729" s="159">
        <v>223344</v>
      </c>
      <c r="G2729" s="160" t="s">
        <v>4872</v>
      </c>
    </row>
    <row r="2730" spans="1:8" ht="33">
      <c r="A2730" s="160">
        <v>5</v>
      </c>
      <c r="B2730" s="160" t="s">
        <v>931</v>
      </c>
      <c r="C2730" s="157" t="s">
        <v>14</v>
      </c>
      <c r="D2730" s="159">
        <v>1</v>
      </c>
      <c r="E2730" s="159">
        <v>9731.14</v>
      </c>
      <c r="F2730" s="159">
        <v>9731.14</v>
      </c>
      <c r="G2730" s="160" t="s">
        <v>932</v>
      </c>
      <c r="H2730" s="34" t="s">
        <v>925</v>
      </c>
    </row>
    <row r="2731" spans="1:8" ht="33">
      <c r="A2731" s="160"/>
      <c r="B2731" s="160" t="s">
        <v>933</v>
      </c>
      <c r="C2731" s="157" t="s">
        <v>0</v>
      </c>
      <c r="D2731" s="159">
        <v>100</v>
      </c>
      <c r="E2731" s="159"/>
      <c r="F2731" s="159">
        <v>334102.58</v>
      </c>
      <c r="G2731" s="160"/>
      <c r="H2731" s="34" t="s">
        <v>925</v>
      </c>
    </row>
    <row r="2732" spans="1:8" ht="33">
      <c r="A2732" s="160"/>
      <c r="B2732" s="160" t="s">
        <v>934</v>
      </c>
      <c r="C2732" s="157" t="s">
        <v>0</v>
      </c>
      <c r="D2732" s="159"/>
      <c r="E2732" s="159"/>
      <c r="F2732" s="159">
        <v>3341.03</v>
      </c>
      <c r="G2732" s="160"/>
      <c r="H2732" s="34" t="s">
        <v>925</v>
      </c>
    </row>
    <row r="2733" spans="1:8" ht="33">
      <c r="A2733" s="160"/>
      <c r="B2733" s="160"/>
      <c r="C2733" s="157"/>
      <c r="D2733" s="159"/>
      <c r="E2733" s="159"/>
      <c r="F2733" s="159"/>
      <c r="G2733" s="160"/>
      <c r="H2733" s="34" t="s">
        <v>925</v>
      </c>
    </row>
    <row r="2734" spans="1:8" ht="33">
      <c r="A2734" s="160" t="s">
        <v>2669</v>
      </c>
      <c r="B2734" s="160" t="s">
        <v>2458</v>
      </c>
      <c r="C2734" s="157" t="s">
        <v>2335</v>
      </c>
      <c r="D2734" s="159">
        <v>5</v>
      </c>
      <c r="E2734" s="159">
        <v>821.06</v>
      </c>
      <c r="F2734" s="159"/>
      <c r="G2734" s="160" t="s">
        <v>2459</v>
      </c>
      <c r="H2734" s="34" t="s">
        <v>925</v>
      </c>
    </row>
    <row r="2735" spans="1:8" ht="33">
      <c r="A2735" s="160">
        <v>1</v>
      </c>
      <c r="B2735" s="160" t="s">
        <v>2460</v>
      </c>
      <c r="C2735" s="157" t="s">
        <v>927</v>
      </c>
      <c r="D2735" s="159">
        <v>8</v>
      </c>
      <c r="E2735" s="159">
        <v>398.41</v>
      </c>
      <c r="F2735" s="159">
        <v>3187.28</v>
      </c>
      <c r="G2735" s="160" t="s">
        <v>2461</v>
      </c>
      <c r="H2735" s="34" t="s">
        <v>925</v>
      </c>
    </row>
    <row r="2736" spans="1:8" ht="33">
      <c r="A2736" s="160">
        <v>2</v>
      </c>
      <c r="B2736" s="160" t="s">
        <v>2462</v>
      </c>
      <c r="C2736" s="157" t="s">
        <v>927</v>
      </c>
      <c r="D2736" s="159">
        <v>4</v>
      </c>
      <c r="E2736" s="159">
        <v>178.84</v>
      </c>
      <c r="F2736" s="159">
        <v>715.36</v>
      </c>
      <c r="G2736" s="160" t="s">
        <v>2463</v>
      </c>
      <c r="H2736" s="34" t="s">
        <v>925</v>
      </c>
    </row>
    <row r="2737" spans="1:8" ht="33">
      <c r="A2737" s="160">
        <v>3</v>
      </c>
      <c r="B2737" s="160" t="s">
        <v>2464</v>
      </c>
      <c r="C2737" s="157" t="s">
        <v>14</v>
      </c>
      <c r="D2737" s="159">
        <v>1</v>
      </c>
      <c r="E2737" s="159">
        <v>99.35</v>
      </c>
      <c r="F2737" s="159">
        <v>99.35</v>
      </c>
      <c r="G2737" s="160" t="s">
        <v>2465</v>
      </c>
      <c r="H2737" s="34" t="s">
        <v>925</v>
      </c>
    </row>
    <row r="2738" spans="1:8" ht="33">
      <c r="A2738" s="160">
        <v>4</v>
      </c>
      <c r="B2738" s="160" t="s">
        <v>931</v>
      </c>
      <c r="C2738" s="157" t="s">
        <v>14</v>
      </c>
      <c r="D2738" s="159">
        <v>1</v>
      </c>
      <c r="E2738" s="159">
        <v>103.31</v>
      </c>
      <c r="F2738" s="159">
        <v>103.31</v>
      </c>
      <c r="G2738" s="160" t="s">
        <v>2466</v>
      </c>
      <c r="H2738" s="34" t="s">
        <v>925</v>
      </c>
    </row>
    <row r="2739" spans="1:8" ht="33">
      <c r="A2739" s="160"/>
      <c r="B2739" s="160" t="s">
        <v>933</v>
      </c>
      <c r="C2739" s="157" t="s">
        <v>2335</v>
      </c>
      <c r="D2739" s="159">
        <v>5</v>
      </c>
      <c r="E2739" s="159"/>
      <c r="F2739" s="159">
        <v>4105.3</v>
      </c>
      <c r="G2739" s="160"/>
      <c r="H2739" s="34" t="s">
        <v>925</v>
      </c>
    </row>
    <row r="2740" spans="1:8" ht="33">
      <c r="A2740" s="160"/>
      <c r="B2740" s="160" t="s">
        <v>934</v>
      </c>
      <c r="C2740" s="157" t="s">
        <v>2335</v>
      </c>
      <c r="D2740" s="159"/>
      <c r="E2740" s="159"/>
      <c r="F2740" s="159">
        <v>821.06</v>
      </c>
      <c r="G2740" s="160"/>
      <c r="H2740" s="34" t="s">
        <v>925</v>
      </c>
    </row>
    <row r="2741" spans="1:8" ht="33">
      <c r="A2741" s="160"/>
      <c r="B2741" s="160"/>
      <c r="C2741" s="157"/>
      <c r="D2741" s="159"/>
      <c r="E2741" s="159"/>
      <c r="F2741" s="159"/>
      <c r="G2741" s="160"/>
      <c r="H2741" s="34" t="s">
        <v>925</v>
      </c>
    </row>
    <row r="2742" spans="1:8" ht="33">
      <c r="A2742" s="160" t="s">
        <v>2677</v>
      </c>
      <c r="B2742" s="160" t="s">
        <v>2468</v>
      </c>
      <c r="C2742" s="157" t="s">
        <v>0</v>
      </c>
      <c r="D2742" s="159">
        <v>1</v>
      </c>
      <c r="E2742" s="159">
        <v>49474.07</v>
      </c>
      <c r="F2742" s="159"/>
      <c r="G2742" s="160" t="s">
        <v>2469</v>
      </c>
      <c r="H2742" s="34" t="s">
        <v>925</v>
      </c>
    </row>
    <row r="2743" spans="1:8" ht="33">
      <c r="A2743" s="160">
        <v>1</v>
      </c>
      <c r="B2743" s="160" t="s">
        <v>2470</v>
      </c>
      <c r="C2743" s="157" t="s">
        <v>18</v>
      </c>
      <c r="D2743" s="159">
        <v>2400</v>
      </c>
      <c r="E2743" s="159">
        <v>19.87</v>
      </c>
      <c r="F2743" s="159">
        <v>47688</v>
      </c>
      <c r="G2743" s="160" t="s">
        <v>2471</v>
      </c>
      <c r="H2743" s="34" t="s">
        <v>925</v>
      </c>
    </row>
    <row r="2744" spans="1:8" ht="33">
      <c r="A2744" s="160">
        <v>2</v>
      </c>
      <c r="B2744" s="160" t="s">
        <v>2472</v>
      </c>
      <c r="C2744" s="157" t="s">
        <v>15</v>
      </c>
      <c r="D2744" s="159">
        <v>1</v>
      </c>
      <c r="E2744" s="159">
        <v>345.08</v>
      </c>
      <c r="F2744" s="159">
        <v>345.08</v>
      </c>
      <c r="G2744" s="160" t="s">
        <v>2473</v>
      </c>
      <c r="H2744" s="34" t="s">
        <v>925</v>
      </c>
    </row>
    <row r="2745" spans="1:8" ht="33">
      <c r="A2745" s="160">
        <v>3</v>
      </c>
      <c r="B2745" s="160" t="s">
        <v>931</v>
      </c>
      <c r="C2745" s="157" t="s">
        <v>14</v>
      </c>
      <c r="D2745" s="159">
        <v>1</v>
      </c>
      <c r="E2745" s="159">
        <v>1440.99</v>
      </c>
      <c r="F2745" s="159">
        <v>1440.99</v>
      </c>
      <c r="G2745" s="160" t="s">
        <v>932</v>
      </c>
      <c r="H2745" s="34" t="s">
        <v>925</v>
      </c>
    </row>
    <row r="2746" spans="1:8" ht="16.5">
      <c r="A2746" s="160"/>
      <c r="B2746" s="160" t="s">
        <v>933</v>
      </c>
      <c r="C2746" s="157" t="s">
        <v>0</v>
      </c>
      <c r="D2746" s="159">
        <v>1</v>
      </c>
      <c r="E2746" s="159"/>
      <c r="F2746" s="159">
        <v>49474.07</v>
      </c>
      <c r="G2746" s="160"/>
    </row>
    <row r="2747" spans="1:8" ht="33">
      <c r="A2747" s="160"/>
      <c r="B2747" s="160" t="s">
        <v>934</v>
      </c>
      <c r="C2747" s="157" t="s">
        <v>0</v>
      </c>
      <c r="D2747" s="159"/>
      <c r="E2747" s="159"/>
      <c r="F2747" s="159">
        <v>49474.07</v>
      </c>
      <c r="G2747" s="160"/>
      <c r="H2747" s="34" t="s">
        <v>925</v>
      </c>
    </row>
    <row r="2748" spans="1:8" ht="33">
      <c r="A2748" s="160"/>
      <c r="B2748" s="160"/>
      <c r="C2748" s="157"/>
      <c r="D2748" s="159"/>
      <c r="E2748" s="159"/>
      <c r="F2748" s="159"/>
      <c r="G2748" s="160"/>
      <c r="H2748" s="34" t="s">
        <v>925</v>
      </c>
    </row>
    <row r="2749" spans="1:8" ht="33">
      <c r="A2749" s="160" t="s">
        <v>2683</v>
      </c>
      <c r="B2749" s="160" t="s">
        <v>2475</v>
      </c>
      <c r="C2749" s="157" t="s">
        <v>2238</v>
      </c>
      <c r="D2749" s="159">
        <v>1</v>
      </c>
      <c r="E2749" s="159">
        <v>57993.41</v>
      </c>
      <c r="F2749" s="159"/>
      <c r="G2749" s="160" t="s">
        <v>2476</v>
      </c>
      <c r="H2749" s="34" t="s">
        <v>925</v>
      </c>
    </row>
    <row r="2750" spans="1:8" ht="42.75">
      <c r="A2750" s="160">
        <v>1</v>
      </c>
      <c r="B2750" s="160" t="s">
        <v>4874</v>
      </c>
      <c r="C2750" s="157" t="s">
        <v>927</v>
      </c>
      <c r="D2750" s="159">
        <v>28</v>
      </c>
      <c r="E2750" s="159">
        <v>558.37</v>
      </c>
      <c r="F2750" s="159">
        <v>15634.36</v>
      </c>
      <c r="G2750" s="160" t="s">
        <v>4875</v>
      </c>
      <c r="H2750" s="34" t="s">
        <v>925</v>
      </c>
    </row>
    <row r="2751" spans="1:8" ht="33">
      <c r="A2751" s="160">
        <v>2</v>
      </c>
      <c r="B2751" s="160" t="s">
        <v>929</v>
      </c>
      <c r="C2751" s="157" t="s">
        <v>927</v>
      </c>
      <c r="D2751" s="159">
        <v>9.6</v>
      </c>
      <c r="E2751" s="159">
        <v>1490.31</v>
      </c>
      <c r="F2751" s="159">
        <v>14306.98</v>
      </c>
      <c r="G2751" s="160" t="s">
        <v>930</v>
      </c>
      <c r="H2751" s="34" t="s">
        <v>925</v>
      </c>
    </row>
    <row r="2752" spans="1:8" ht="33">
      <c r="A2752" s="160">
        <v>3</v>
      </c>
      <c r="B2752" s="160" t="s">
        <v>4046</v>
      </c>
      <c r="C2752" s="157" t="s">
        <v>927</v>
      </c>
      <c r="D2752" s="159">
        <v>9.6</v>
      </c>
      <c r="E2752" s="159">
        <v>796.82</v>
      </c>
      <c r="F2752" s="159">
        <v>7649.47</v>
      </c>
      <c r="G2752" s="160" t="s">
        <v>2477</v>
      </c>
      <c r="H2752" s="34" t="s">
        <v>925</v>
      </c>
    </row>
    <row r="2753" spans="1:8" ht="33">
      <c r="A2753" s="160">
        <v>4</v>
      </c>
      <c r="B2753" s="160" t="s">
        <v>4047</v>
      </c>
      <c r="C2753" s="157" t="s">
        <v>927</v>
      </c>
      <c r="D2753" s="159">
        <v>9.6</v>
      </c>
      <c r="E2753" s="159">
        <v>796.82</v>
      </c>
      <c r="F2753" s="159">
        <v>7649.47</v>
      </c>
      <c r="G2753" s="160" t="s">
        <v>2478</v>
      </c>
      <c r="H2753" s="34" t="s">
        <v>925</v>
      </c>
    </row>
    <row r="2754" spans="1:8" ht="33">
      <c r="A2754" s="160">
        <v>5</v>
      </c>
      <c r="B2754" s="160" t="s">
        <v>997</v>
      </c>
      <c r="C2754" s="157" t="s">
        <v>927</v>
      </c>
      <c r="D2754" s="159">
        <v>9.6</v>
      </c>
      <c r="E2754" s="159">
        <v>1152.5</v>
      </c>
      <c r="F2754" s="159">
        <v>11064</v>
      </c>
      <c r="G2754" s="160" t="s">
        <v>998</v>
      </c>
      <c r="H2754" s="34" t="s">
        <v>925</v>
      </c>
    </row>
    <row r="2755" spans="1:8" ht="28.5">
      <c r="A2755" s="160">
        <v>6</v>
      </c>
      <c r="B2755" s="160" t="s">
        <v>931</v>
      </c>
      <c r="C2755" s="157" t="s">
        <v>14</v>
      </c>
      <c r="D2755" s="159">
        <v>1</v>
      </c>
      <c r="E2755" s="159">
        <v>1689.13</v>
      </c>
      <c r="F2755" s="159">
        <v>1689.13</v>
      </c>
      <c r="G2755" s="160" t="s">
        <v>932</v>
      </c>
    </row>
    <row r="2756" spans="1:8" ht="33">
      <c r="A2756" s="160"/>
      <c r="B2756" s="160" t="s">
        <v>933</v>
      </c>
      <c r="C2756" s="157" t="s">
        <v>2238</v>
      </c>
      <c r="D2756" s="159">
        <v>1</v>
      </c>
      <c r="E2756" s="159"/>
      <c r="F2756" s="159">
        <v>57993.409999999996</v>
      </c>
      <c r="G2756" s="160"/>
      <c r="H2756" s="34" t="s">
        <v>925</v>
      </c>
    </row>
    <row r="2757" spans="1:8" ht="33">
      <c r="A2757" s="160"/>
      <c r="B2757" s="160" t="s">
        <v>934</v>
      </c>
      <c r="C2757" s="157" t="s">
        <v>2238</v>
      </c>
      <c r="D2757" s="159"/>
      <c r="E2757" s="159"/>
      <c r="F2757" s="159">
        <v>57993.41</v>
      </c>
      <c r="G2757" s="160"/>
      <c r="H2757" s="34" t="s">
        <v>925</v>
      </c>
    </row>
    <row r="2758" spans="1:8" ht="33">
      <c r="A2758" s="160"/>
      <c r="B2758" s="160"/>
      <c r="C2758" s="157"/>
      <c r="D2758" s="159"/>
      <c r="E2758" s="159"/>
      <c r="F2758" s="159"/>
      <c r="G2758" s="160"/>
      <c r="H2758" s="34" t="s">
        <v>925</v>
      </c>
    </row>
    <row r="2759" spans="1:8" ht="33">
      <c r="A2759" s="160" t="s">
        <v>2692</v>
      </c>
      <c r="B2759" s="160" t="s">
        <v>2480</v>
      </c>
      <c r="C2759" s="157" t="s">
        <v>2238</v>
      </c>
      <c r="D2759" s="159">
        <v>1</v>
      </c>
      <c r="E2759" s="159">
        <v>75367.37</v>
      </c>
      <c r="F2759" s="159"/>
      <c r="G2759" s="160" t="s">
        <v>2481</v>
      </c>
      <c r="H2759" s="34" t="s">
        <v>925</v>
      </c>
    </row>
    <row r="2760" spans="1:8" ht="42.75">
      <c r="A2760" s="160">
        <v>1</v>
      </c>
      <c r="B2760" s="160" t="s">
        <v>4874</v>
      </c>
      <c r="C2760" s="157" t="s">
        <v>927</v>
      </c>
      <c r="D2760" s="159">
        <v>40</v>
      </c>
      <c r="E2760" s="159">
        <v>558.37</v>
      </c>
      <c r="F2760" s="159">
        <v>22334.799999999999</v>
      </c>
      <c r="G2760" s="160" t="s">
        <v>4875</v>
      </c>
      <c r="H2760" s="34" t="s">
        <v>925</v>
      </c>
    </row>
    <row r="2761" spans="1:8" ht="33">
      <c r="A2761" s="160">
        <v>2</v>
      </c>
      <c r="B2761" s="160" t="s">
        <v>929</v>
      </c>
      <c r="C2761" s="157" t="s">
        <v>927</v>
      </c>
      <c r="D2761" s="159">
        <v>12</v>
      </c>
      <c r="E2761" s="159">
        <v>1490.31</v>
      </c>
      <c r="F2761" s="159">
        <v>17883.72</v>
      </c>
      <c r="G2761" s="160" t="s">
        <v>930</v>
      </c>
      <c r="H2761" s="34" t="s">
        <v>925</v>
      </c>
    </row>
    <row r="2762" spans="1:8" ht="28.5">
      <c r="A2762" s="160">
        <v>3</v>
      </c>
      <c r="B2762" s="160" t="s">
        <v>4046</v>
      </c>
      <c r="C2762" s="157" t="s">
        <v>927</v>
      </c>
      <c r="D2762" s="159">
        <v>12</v>
      </c>
      <c r="E2762" s="159">
        <v>796.82</v>
      </c>
      <c r="F2762" s="159">
        <v>9561.84</v>
      </c>
      <c r="G2762" s="160" t="s">
        <v>2477</v>
      </c>
    </row>
    <row r="2763" spans="1:8" ht="33">
      <c r="A2763" s="160">
        <v>4</v>
      </c>
      <c r="B2763" s="160" t="s">
        <v>4047</v>
      </c>
      <c r="C2763" s="157" t="s">
        <v>927</v>
      </c>
      <c r="D2763" s="159">
        <v>12</v>
      </c>
      <c r="E2763" s="159">
        <v>796.82</v>
      </c>
      <c r="F2763" s="159">
        <v>9561.84</v>
      </c>
      <c r="G2763" s="160" t="s">
        <v>2478</v>
      </c>
      <c r="H2763" s="34" t="s">
        <v>925</v>
      </c>
    </row>
    <row r="2764" spans="1:8" ht="33">
      <c r="A2764" s="160">
        <v>5</v>
      </c>
      <c r="B2764" s="160" t="s">
        <v>997</v>
      </c>
      <c r="C2764" s="157" t="s">
        <v>927</v>
      </c>
      <c r="D2764" s="159">
        <v>12</v>
      </c>
      <c r="E2764" s="159">
        <v>1152.5</v>
      </c>
      <c r="F2764" s="159">
        <v>13830</v>
      </c>
      <c r="G2764" s="160" t="s">
        <v>998</v>
      </c>
      <c r="H2764" s="34" t="s">
        <v>925</v>
      </c>
    </row>
    <row r="2765" spans="1:8" ht="33">
      <c r="A2765" s="160">
        <v>6</v>
      </c>
      <c r="B2765" s="160" t="s">
        <v>931</v>
      </c>
      <c r="C2765" s="157" t="s">
        <v>14</v>
      </c>
      <c r="D2765" s="159">
        <v>1</v>
      </c>
      <c r="E2765" s="159">
        <v>2195.17</v>
      </c>
      <c r="F2765" s="159">
        <v>2195.17</v>
      </c>
      <c r="G2765" s="160" t="s">
        <v>932</v>
      </c>
      <c r="H2765" s="34" t="s">
        <v>925</v>
      </c>
    </row>
    <row r="2766" spans="1:8" ht="33">
      <c r="A2766" s="160"/>
      <c r="B2766" s="160" t="s">
        <v>933</v>
      </c>
      <c r="C2766" s="157" t="s">
        <v>2238</v>
      </c>
      <c r="D2766" s="159">
        <v>1</v>
      </c>
      <c r="E2766" s="159"/>
      <c r="F2766" s="159">
        <v>75367.37</v>
      </c>
      <c r="G2766" s="160"/>
      <c r="H2766" s="34" t="s">
        <v>925</v>
      </c>
    </row>
    <row r="2767" spans="1:8" ht="33">
      <c r="A2767" s="160"/>
      <c r="B2767" s="160" t="s">
        <v>934</v>
      </c>
      <c r="C2767" s="157" t="s">
        <v>2238</v>
      </c>
      <c r="D2767" s="159"/>
      <c r="E2767" s="159"/>
      <c r="F2767" s="159">
        <v>75367.37</v>
      </c>
      <c r="G2767" s="160"/>
      <c r="H2767" s="34" t="s">
        <v>925</v>
      </c>
    </row>
    <row r="2768" spans="1:8" ht="33">
      <c r="A2768" s="160"/>
      <c r="B2768" s="160"/>
      <c r="C2768" s="157"/>
      <c r="D2768" s="159"/>
      <c r="E2768" s="159"/>
      <c r="F2768" s="159"/>
      <c r="G2768" s="160"/>
      <c r="H2768" s="34" t="s">
        <v>925</v>
      </c>
    </row>
    <row r="2769" spans="1:8" ht="33">
      <c r="A2769" s="160" t="s">
        <v>2701</v>
      </c>
      <c r="B2769" s="160" t="s">
        <v>2483</v>
      </c>
      <c r="C2769" s="157" t="s">
        <v>2238</v>
      </c>
      <c r="D2769" s="159">
        <v>1</v>
      </c>
      <c r="E2769" s="159">
        <v>42062.63</v>
      </c>
      <c r="F2769" s="159"/>
      <c r="G2769" s="160" t="s">
        <v>2484</v>
      </c>
      <c r="H2769" s="34" t="s">
        <v>925</v>
      </c>
    </row>
    <row r="2770" spans="1:8" ht="28.5">
      <c r="A2770" s="160">
        <v>1</v>
      </c>
      <c r="B2770" s="160" t="s">
        <v>4871</v>
      </c>
      <c r="C2770" s="157" t="s">
        <v>927</v>
      </c>
      <c r="D2770" s="159">
        <v>28</v>
      </c>
      <c r="E2770" s="159">
        <v>279.18</v>
      </c>
      <c r="F2770" s="159">
        <v>7817.04</v>
      </c>
      <c r="G2770" s="160" t="s">
        <v>4872</v>
      </c>
    </row>
    <row r="2771" spans="1:8" ht="42.75">
      <c r="A2771" s="160">
        <v>2</v>
      </c>
      <c r="B2771" s="160" t="s">
        <v>4869</v>
      </c>
      <c r="C2771" s="157" t="s">
        <v>927</v>
      </c>
      <c r="D2771" s="159">
        <v>9.6</v>
      </c>
      <c r="E2771" s="159">
        <v>398.41</v>
      </c>
      <c r="F2771" s="159">
        <v>3824.74</v>
      </c>
      <c r="G2771" s="160" t="s">
        <v>4870</v>
      </c>
      <c r="H2771" s="34" t="s">
        <v>925</v>
      </c>
    </row>
    <row r="2772" spans="1:8" ht="33">
      <c r="A2772" s="160">
        <v>3</v>
      </c>
      <c r="B2772" s="160" t="s">
        <v>1086</v>
      </c>
      <c r="C2772" s="157" t="s">
        <v>927</v>
      </c>
      <c r="D2772" s="159">
        <v>9.6</v>
      </c>
      <c r="E2772" s="159">
        <v>398.41</v>
      </c>
      <c r="F2772" s="159">
        <v>3824.74</v>
      </c>
      <c r="G2772" s="160" t="s">
        <v>1087</v>
      </c>
      <c r="H2772" s="34" t="s">
        <v>925</v>
      </c>
    </row>
    <row r="2773" spans="1:8" ht="33">
      <c r="A2773" s="160">
        <v>4</v>
      </c>
      <c r="B2773" s="160" t="s">
        <v>929</v>
      </c>
      <c r="C2773" s="157" t="s">
        <v>927</v>
      </c>
      <c r="D2773" s="159">
        <v>9.6</v>
      </c>
      <c r="E2773" s="159">
        <v>1490.31</v>
      </c>
      <c r="F2773" s="159">
        <v>14306.98</v>
      </c>
      <c r="G2773" s="160" t="s">
        <v>930</v>
      </c>
      <c r="H2773" s="34" t="s">
        <v>925</v>
      </c>
    </row>
    <row r="2774" spans="1:8" ht="33">
      <c r="A2774" s="160">
        <v>5</v>
      </c>
      <c r="B2774" s="160" t="s">
        <v>997</v>
      </c>
      <c r="C2774" s="157" t="s">
        <v>927</v>
      </c>
      <c r="D2774" s="159">
        <v>9.6</v>
      </c>
      <c r="E2774" s="159">
        <v>1152.5</v>
      </c>
      <c r="F2774" s="159">
        <v>11064</v>
      </c>
      <c r="G2774" s="160" t="s">
        <v>998</v>
      </c>
      <c r="H2774" s="34" t="s">
        <v>925</v>
      </c>
    </row>
    <row r="2775" spans="1:8" ht="33">
      <c r="A2775" s="160">
        <v>6</v>
      </c>
      <c r="B2775" s="160" t="s">
        <v>931</v>
      </c>
      <c r="C2775" s="157" t="s">
        <v>14</v>
      </c>
      <c r="D2775" s="159">
        <v>1</v>
      </c>
      <c r="E2775" s="159">
        <v>1225.1300000000001</v>
      </c>
      <c r="F2775" s="159">
        <v>1225.1300000000001</v>
      </c>
      <c r="G2775" s="160" t="s">
        <v>932</v>
      </c>
      <c r="H2775" s="34" t="s">
        <v>925</v>
      </c>
    </row>
    <row r="2776" spans="1:8" ht="33">
      <c r="A2776" s="160"/>
      <c r="B2776" s="160" t="s">
        <v>933</v>
      </c>
      <c r="C2776" s="157" t="s">
        <v>2238</v>
      </c>
      <c r="D2776" s="159">
        <v>1</v>
      </c>
      <c r="E2776" s="159"/>
      <c r="F2776" s="159">
        <v>42062.63</v>
      </c>
      <c r="G2776" s="160"/>
      <c r="H2776" s="34" t="s">
        <v>925</v>
      </c>
    </row>
    <row r="2777" spans="1:8" ht="33">
      <c r="A2777" s="160"/>
      <c r="B2777" s="160" t="s">
        <v>934</v>
      </c>
      <c r="C2777" s="157" t="s">
        <v>2238</v>
      </c>
      <c r="D2777" s="159"/>
      <c r="E2777" s="159"/>
      <c r="F2777" s="159">
        <v>42062.63</v>
      </c>
      <c r="G2777" s="160"/>
      <c r="H2777" s="34" t="s">
        <v>925</v>
      </c>
    </row>
    <row r="2778" spans="1:8" ht="33">
      <c r="A2778" s="160"/>
      <c r="B2778" s="160"/>
      <c r="C2778" s="157"/>
      <c r="D2778" s="159"/>
      <c r="E2778" s="159"/>
      <c r="F2778" s="159"/>
      <c r="G2778" s="160"/>
      <c r="H2778" s="34" t="s">
        <v>925</v>
      </c>
    </row>
    <row r="2779" spans="1:8" ht="28.5">
      <c r="A2779" s="160" t="s">
        <v>2706</v>
      </c>
      <c r="B2779" s="160" t="s">
        <v>2486</v>
      </c>
      <c r="C2779" s="157" t="s">
        <v>2238</v>
      </c>
      <c r="D2779" s="159">
        <v>1</v>
      </c>
      <c r="E2779" s="159">
        <v>54016.04</v>
      </c>
      <c r="F2779" s="159"/>
      <c r="G2779" s="160" t="s">
        <v>2487</v>
      </c>
    </row>
    <row r="2780" spans="1:8" ht="33">
      <c r="A2780" s="160">
        <v>1</v>
      </c>
      <c r="B2780" s="160" t="s">
        <v>929</v>
      </c>
      <c r="C2780" s="157" t="s">
        <v>927</v>
      </c>
      <c r="D2780" s="159">
        <v>12</v>
      </c>
      <c r="E2780" s="159">
        <v>1490.31</v>
      </c>
      <c r="F2780" s="159">
        <v>17883.72</v>
      </c>
      <c r="G2780" s="160" t="s">
        <v>930</v>
      </c>
      <c r="H2780" s="34" t="s">
        <v>925</v>
      </c>
    </row>
    <row r="2781" spans="1:8" ht="33">
      <c r="A2781" s="160">
        <v>2</v>
      </c>
      <c r="B2781" s="160" t="s">
        <v>4871</v>
      </c>
      <c r="C2781" s="157" t="s">
        <v>927</v>
      </c>
      <c r="D2781" s="159">
        <v>40</v>
      </c>
      <c r="E2781" s="159">
        <v>279.18</v>
      </c>
      <c r="F2781" s="159">
        <v>11167.2</v>
      </c>
      <c r="G2781" s="160" t="s">
        <v>4872</v>
      </c>
      <c r="H2781" s="34" t="s">
        <v>925</v>
      </c>
    </row>
    <row r="2782" spans="1:8" ht="33">
      <c r="A2782" s="160">
        <v>3</v>
      </c>
      <c r="B2782" s="160" t="s">
        <v>1086</v>
      </c>
      <c r="C2782" s="157" t="s">
        <v>927</v>
      </c>
      <c r="D2782" s="159">
        <v>12</v>
      </c>
      <c r="E2782" s="159">
        <v>398.41</v>
      </c>
      <c r="F2782" s="159">
        <v>4780.92</v>
      </c>
      <c r="G2782" s="160" t="s">
        <v>1087</v>
      </c>
      <c r="H2782" s="34" t="s">
        <v>925</v>
      </c>
    </row>
    <row r="2783" spans="1:8" ht="42.75">
      <c r="A2783" s="160">
        <v>4</v>
      </c>
      <c r="B2783" s="160" t="s">
        <v>4869</v>
      </c>
      <c r="C2783" s="157" t="s">
        <v>927</v>
      </c>
      <c r="D2783" s="159">
        <v>12</v>
      </c>
      <c r="E2783" s="159">
        <v>398.41</v>
      </c>
      <c r="F2783" s="159">
        <v>4780.92</v>
      </c>
      <c r="G2783" s="160" t="s">
        <v>4870</v>
      </c>
      <c r="H2783" s="34" t="s">
        <v>925</v>
      </c>
    </row>
    <row r="2784" spans="1:8" ht="33">
      <c r="A2784" s="160">
        <v>5</v>
      </c>
      <c r="B2784" s="160" t="s">
        <v>997</v>
      </c>
      <c r="C2784" s="157" t="s">
        <v>927</v>
      </c>
      <c r="D2784" s="159">
        <v>12</v>
      </c>
      <c r="E2784" s="159">
        <v>1152.5</v>
      </c>
      <c r="F2784" s="159">
        <v>13830</v>
      </c>
      <c r="G2784" s="160" t="s">
        <v>998</v>
      </c>
      <c r="H2784" s="34" t="s">
        <v>925</v>
      </c>
    </row>
    <row r="2785" spans="1:8" ht="33">
      <c r="A2785" s="160">
        <v>6</v>
      </c>
      <c r="B2785" s="160" t="s">
        <v>931</v>
      </c>
      <c r="C2785" s="157" t="s">
        <v>14</v>
      </c>
      <c r="D2785" s="159">
        <v>1</v>
      </c>
      <c r="E2785" s="159">
        <v>1573.28</v>
      </c>
      <c r="F2785" s="159">
        <v>1573.28</v>
      </c>
      <c r="G2785" s="160" t="s">
        <v>932</v>
      </c>
      <c r="H2785" s="34" t="s">
        <v>925</v>
      </c>
    </row>
    <row r="2786" spans="1:8" ht="33">
      <c r="A2786" s="160"/>
      <c r="B2786" s="160" t="s">
        <v>933</v>
      </c>
      <c r="C2786" s="157" t="s">
        <v>2238</v>
      </c>
      <c r="D2786" s="159">
        <v>1</v>
      </c>
      <c r="E2786" s="159"/>
      <c r="F2786" s="159">
        <v>54016.04</v>
      </c>
      <c r="G2786" s="160"/>
      <c r="H2786" s="34" t="s">
        <v>925</v>
      </c>
    </row>
    <row r="2787" spans="1:8" ht="33">
      <c r="A2787" s="160"/>
      <c r="B2787" s="160" t="s">
        <v>934</v>
      </c>
      <c r="C2787" s="157" t="s">
        <v>2238</v>
      </c>
      <c r="D2787" s="159"/>
      <c r="E2787" s="159"/>
      <c r="F2787" s="159">
        <v>54016.04</v>
      </c>
      <c r="G2787" s="160"/>
      <c r="H2787" s="34" t="s">
        <v>925</v>
      </c>
    </row>
    <row r="2788" spans="1:8" ht="16.5">
      <c r="A2788" s="160"/>
      <c r="B2788" s="160"/>
      <c r="C2788" s="157"/>
      <c r="D2788" s="159"/>
      <c r="E2788" s="159"/>
      <c r="F2788" s="159"/>
      <c r="G2788" s="160"/>
    </row>
    <row r="2789" spans="1:8" ht="33">
      <c r="A2789" s="160" t="s">
        <v>2711</v>
      </c>
      <c r="B2789" s="160" t="s">
        <v>2489</v>
      </c>
      <c r="C2789" s="157" t="s">
        <v>2490</v>
      </c>
      <c r="D2789" s="159">
        <v>1</v>
      </c>
      <c r="E2789" s="159">
        <v>3103.82</v>
      </c>
      <c r="F2789" s="159"/>
      <c r="G2789" s="160" t="s">
        <v>2491</v>
      </c>
      <c r="H2789" s="34" t="s">
        <v>925</v>
      </c>
    </row>
    <row r="2790" spans="1:8" ht="33">
      <c r="A2790" s="160">
        <v>1</v>
      </c>
      <c r="B2790" s="160" t="s">
        <v>2492</v>
      </c>
      <c r="C2790" s="157" t="s">
        <v>14</v>
      </c>
      <c r="D2790" s="159">
        <v>1</v>
      </c>
      <c r="E2790" s="159">
        <v>1987.08</v>
      </c>
      <c r="F2790" s="159">
        <v>1987.08</v>
      </c>
      <c r="G2790" s="160" t="s">
        <v>2493</v>
      </c>
      <c r="H2790" s="34" t="s">
        <v>925</v>
      </c>
    </row>
    <row r="2791" spans="1:8" ht="33">
      <c r="A2791" s="160">
        <v>2</v>
      </c>
      <c r="B2791" s="160" t="s">
        <v>2494</v>
      </c>
      <c r="C2791" s="157" t="s">
        <v>14</v>
      </c>
      <c r="D2791" s="159">
        <v>1</v>
      </c>
      <c r="E2791" s="159">
        <v>1116.74</v>
      </c>
      <c r="F2791" s="159">
        <v>1116.74</v>
      </c>
      <c r="G2791" s="160" t="s">
        <v>2495</v>
      </c>
      <c r="H2791" s="34" t="s">
        <v>925</v>
      </c>
    </row>
    <row r="2792" spans="1:8" ht="33">
      <c r="A2792" s="160"/>
      <c r="B2792" s="160" t="s">
        <v>933</v>
      </c>
      <c r="C2792" s="157" t="s">
        <v>2490</v>
      </c>
      <c r="D2792" s="159">
        <v>1</v>
      </c>
      <c r="E2792" s="159"/>
      <c r="F2792" s="159">
        <v>3103.8199999999997</v>
      </c>
      <c r="G2792" s="160"/>
      <c r="H2792" s="34" t="s">
        <v>925</v>
      </c>
    </row>
    <row r="2793" spans="1:8" ht="33">
      <c r="A2793" s="160"/>
      <c r="B2793" s="160" t="s">
        <v>934</v>
      </c>
      <c r="C2793" s="157" t="s">
        <v>2490</v>
      </c>
      <c r="D2793" s="159"/>
      <c r="E2793" s="159"/>
      <c r="F2793" s="159">
        <v>3103.82</v>
      </c>
      <c r="G2793" s="160"/>
      <c r="H2793" s="34" t="s">
        <v>925</v>
      </c>
    </row>
    <row r="2794" spans="1:8" ht="33">
      <c r="A2794" s="160"/>
      <c r="B2794" s="160"/>
      <c r="C2794" s="157"/>
      <c r="D2794" s="159"/>
      <c r="E2794" s="159"/>
      <c r="F2794" s="159"/>
      <c r="G2794" s="160"/>
      <c r="H2794" s="34" t="s">
        <v>925</v>
      </c>
    </row>
    <row r="2795" spans="1:8" ht="33">
      <c r="A2795" s="160" t="s">
        <v>2724</v>
      </c>
      <c r="B2795" s="160" t="s">
        <v>2497</v>
      </c>
      <c r="C2795" s="157" t="s">
        <v>2490</v>
      </c>
      <c r="D2795" s="159">
        <v>1</v>
      </c>
      <c r="E2795" s="159">
        <v>776.95</v>
      </c>
      <c r="F2795" s="159"/>
      <c r="G2795" s="160" t="s">
        <v>2498</v>
      </c>
      <c r="H2795" s="34" t="s">
        <v>925</v>
      </c>
    </row>
    <row r="2796" spans="1:8" ht="33">
      <c r="A2796" s="160">
        <v>1</v>
      </c>
      <c r="B2796" s="160" t="s">
        <v>2499</v>
      </c>
      <c r="C2796" s="157" t="s">
        <v>14</v>
      </c>
      <c r="D2796" s="159">
        <v>1</v>
      </c>
      <c r="E2796" s="159">
        <v>198.71</v>
      </c>
      <c r="F2796" s="159">
        <v>198.71</v>
      </c>
      <c r="G2796" s="160" t="s">
        <v>2500</v>
      </c>
      <c r="H2796" s="34" t="s">
        <v>925</v>
      </c>
    </row>
    <row r="2797" spans="1:8" ht="28.5">
      <c r="A2797" s="160">
        <v>2</v>
      </c>
      <c r="B2797" s="160" t="s">
        <v>2501</v>
      </c>
      <c r="C2797" s="157" t="s">
        <v>14</v>
      </c>
      <c r="D2797" s="159">
        <v>1</v>
      </c>
      <c r="E2797" s="159">
        <v>558.37</v>
      </c>
      <c r="F2797" s="159">
        <v>558.37</v>
      </c>
      <c r="G2797" s="160" t="s">
        <v>2502</v>
      </c>
    </row>
    <row r="2798" spans="1:8" ht="33">
      <c r="A2798" s="160">
        <v>3</v>
      </c>
      <c r="B2798" s="160" t="s">
        <v>2503</v>
      </c>
      <c r="C2798" s="157" t="s">
        <v>14</v>
      </c>
      <c r="D2798" s="159">
        <v>1</v>
      </c>
      <c r="E2798" s="159">
        <v>19.87</v>
      </c>
      <c r="F2798" s="159">
        <v>19.87</v>
      </c>
      <c r="G2798" s="160" t="s">
        <v>2504</v>
      </c>
      <c r="H2798" s="34" t="s">
        <v>925</v>
      </c>
    </row>
    <row r="2799" spans="1:8" ht="33">
      <c r="A2799" s="160"/>
      <c r="B2799" s="160" t="s">
        <v>933</v>
      </c>
      <c r="C2799" s="157" t="s">
        <v>2490</v>
      </c>
      <c r="D2799" s="159">
        <v>1</v>
      </c>
      <c r="E2799" s="159"/>
      <c r="F2799" s="159">
        <v>776.95</v>
      </c>
      <c r="G2799" s="160"/>
      <c r="H2799" s="34" t="s">
        <v>925</v>
      </c>
    </row>
    <row r="2800" spans="1:8" ht="33">
      <c r="A2800" s="160"/>
      <c r="B2800" s="160" t="s">
        <v>934</v>
      </c>
      <c r="C2800" s="157" t="s">
        <v>2490</v>
      </c>
      <c r="D2800" s="159"/>
      <c r="E2800" s="159"/>
      <c r="F2800" s="159">
        <v>776.95</v>
      </c>
      <c r="G2800" s="160"/>
      <c r="H2800" s="34" t="s">
        <v>925</v>
      </c>
    </row>
    <row r="2801" spans="1:8" ht="33">
      <c r="A2801" s="160"/>
      <c r="B2801" s="160"/>
      <c r="C2801" s="157"/>
      <c r="D2801" s="159"/>
      <c r="E2801" s="159"/>
      <c r="F2801" s="159"/>
      <c r="G2801" s="160"/>
      <c r="H2801" s="34" t="s">
        <v>925</v>
      </c>
    </row>
    <row r="2802" spans="1:8" ht="33">
      <c r="A2802" s="160" t="s">
        <v>2731</v>
      </c>
      <c r="B2802" s="160" t="s">
        <v>2506</v>
      </c>
      <c r="C2802" s="157" t="s">
        <v>2490</v>
      </c>
      <c r="D2802" s="159">
        <v>1</v>
      </c>
      <c r="E2802" s="159">
        <v>4220.55</v>
      </c>
      <c r="F2802" s="159"/>
      <c r="G2802" s="160" t="s">
        <v>2507</v>
      </c>
      <c r="H2802" s="34" t="s">
        <v>925</v>
      </c>
    </row>
    <row r="2803" spans="1:8" ht="33">
      <c r="A2803" s="160">
        <v>1</v>
      </c>
      <c r="B2803" s="160" t="s">
        <v>2492</v>
      </c>
      <c r="C2803" s="157" t="s">
        <v>14</v>
      </c>
      <c r="D2803" s="159">
        <v>1</v>
      </c>
      <c r="E2803" s="159">
        <v>1987.08</v>
      </c>
      <c r="F2803" s="159">
        <v>1987.08</v>
      </c>
      <c r="G2803" s="160" t="s">
        <v>2493</v>
      </c>
      <c r="H2803" s="34" t="s">
        <v>925</v>
      </c>
    </row>
    <row r="2804" spans="1:8" ht="33">
      <c r="A2804" s="160">
        <v>2</v>
      </c>
      <c r="B2804" s="160" t="s">
        <v>2494</v>
      </c>
      <c r="C2804" s="157" t="s">
        <v>14</v>
      </c>
      <c r="D2804" s="159">
        <v>1</v>
      </c>
      <c r="E2804" s="159">
        <v>2233.4699999999998</v>
      </c>
      <c r="F2804" s="159">
        <v>2233.4699999999998</v>
      </c>
      <c r="G2804" s="160" t="s">
        <v>2495</v>
      </c>
      <c r="H2804" s="34" t="s">
        <v>925</v>
      </c>
    </row>
    <row r="2805" spans="1:8" ht="16.5">
      <c r="A2805" s="160"/>
      <c r="B2805" s="160" t="s">
        <v>933</v>
      </c>
      <c r="C2805" s="157" t="s">
        <v>2490</v>
      </c>
      <c r="D2805" s="159">
        <v>1</v>
      </c>
      <c r="E2805" s="159"/>
      <c r="F2805" s="159">
        <v>4220.5499999999993</v>
      </c>
      <c r="G2805" s="160"/>
    </row>
    <row r="2806" spans="1:8" ht="33">
      <c r="A2806" s="160"/>
      <c r="B2806" s="160" t="s">
        <v>934</v>
      </c>
      <c r="C2806" s="157" t="s">
        <v>2490</v>
      </c>
      <c r="D2806" s="159"/>
      <c r="E2806" s="159"/>
      <c r="F2806" s="159">
        <v>4220.55</v>
      </c>
      <c r="G2806" s="160"/>
      <c r="H2806" s="34" t="s">
        <v>925</v>
      </c>
    </row>
    <row r="2807" spans="1:8" ht="33">
      <c r="A2807" s="160"/>
      <c r="B2807" s="160"/>
      <c r="C2807" s="157"/>
      <c r="D2807" s="159"/>
      <c r="E2807" s="159"/>
      <c r="F2807" s="159"/>
      <c r="G2807" s="160"/>
      <c r="H2807" s="34" t="s">
        <v>925</v>
      </c>
    </row>
    <row r="2808" spans="1:8" ht="33">
      <c r="A2808" s="160" t="s">
        <v>2736</v>
      </c>
      <c r="B2808" s="160" t="s">
        <v>2509</v>
      </c>
      <c r="C2808" s="157" t="s">
        <v>2490</v>
      </c>
      <c r="D2808" s="159">
        <v>1</v>
      </c>
      <c r="E2808" s="159">
        <v>1349.22</v>
      </c>
      <c r="F2808" s="159"/>
      <c r="G2808" s="160" t="s">
        <v>2510</v>
      </c>
      <c r="H2808" s="34" t="s">
        <v>925</v>
      </c>
    </row>
    <row r="2809" spans="1:8" ht="33">
      <c r="A2809" s="160">
        <v>1</v>
      </c>
      <c r="B2809" s="160" t="s">
        <v>2499</v>
      </c>
      <c r="C2809" s="157" t="s">
        <v>14</v>
      </c>
      <c r="D2809" s="159">
        <v>1</v>
      </c>
      <c r="E2809" s="159">
        <v>198.71</v>
      </c>
      <c r="F2809" s="159">
        <v>198.71</v>
      </c>
      <c r="G2809" s="160" t="s">
        <v>2500</v>
      </c>
      <c r="H2809" s="34" t="s">
        <v>925</v>
      </c>
    </row>
    <row r="2810" spans="1:8" ht="33">
      <c r="A2810" s="160">
        <v>2</v>
      </c>
      <c r="B2810" s="160" t="s">
        <v>2501</v>
      </c>
      <c r="C2810" s="157" t="s">
        <v>14</v>
      </c>
      <c r="D2810" s="159">
        <v>1</v>
      </c>
      <c r="E2810" s="159">
        <v>1116.74</v>
      </c>
      <c r="F2810" s="159">
        <v>1116.74</v>
      </c>
      <c r="G2810" s="160" t="s">
        <v>2502</v>
      </c>
      <c r="H2810" s="34" t="s">
        <v>925</v>
      </c>
    </row>
    <row r="2811" spans="1:8" ht="33">
      <c r="A2811" s="160">
        <v>3</v>
      </c>
      <c r="B2811" s="160" t="s">
        <v>2503</v>
      </c>
      <c r="C2811" s="157" t="s">
        <v>14</v>
      </c>
      <c r="D2811" s="159">
        <v>1</v>
      </c>
      <c r="E2811" s="159">
        <v>33.770000000000003</v>
      </c>
      <c r="F2811" s="159">
        <v>33.770000000000003</v>
      </c>
      <c r="G2811" s="160" t="s">
        <v>2504</v>
      </c>
      <c r="H2811" s="34" t="s">
        <v>925</v>
      </c>
    </row>
    <row r="2812" spans="1:8" ht="16.5">
      <c r="A2812" s="160"/>
      <c r="B2812" s="160" t="s">
        <v>933</v>
      </c>
      <c r="C2812" s="157" t="s">
        <v>2490</v>
      </c>
      <c r="D2812" s="159">
        <v>1</v>
      </c>
      <c r="E2812" s="159"/>
      <c r="F2812" s="159">
        <v>1349.22</v>
      </c>
      <c r="G2812" s="160"/>
    </row>
    <row r="2813" spans="1:8" ht="33">
      <c r="A2813" s="160"/>
      <c r="B2813" s="160" t="s">
        <v>934</v>
      </c>
      <c r="C2813" s="157" t="s">
        <v>2490</v>
      </c>
      <c r="D2813" s="159"/>
      <c r="E2813" s="159"/>
      <c r="F2813" s="159">
        <v>1349.22</v>
      </c>
      <c r="G2813" s="160"/>
      <c r="H2813" s="34" t="s">
        <v>925</v>
      </c>
    </row>
    <row r="2814" spans="1:8" ht="33">
      <c r="A2814" s="160"/>
      <c r="B2814" s="160"/>
      <c r="C2814" s="157"/>
      <c r="D2814" s="159"/>
      <c r="E2814" s="159"/>
      <c r="F2814" s="159"/>
      <c r="G2814" s="160"/>
      <c r="H2814" s="34" t="s">
        <v>925</v>
      </c>
    </row>
    <row r="2815" spans="1:8" ht="33">
      <c r="A2815" s="160" t="s">
        <v>2749</v>
      </c>
      <c r="B2815" s="160" t="s">
        <v>2512</v>
      </c>
      <c r="C2815" s="157" t="s">
        <v>2238</v>
      </c>
      <c r="D2815" s="159">
        <v>1</v>
      </c>
      <c r="E2815" s="159">
        <v>22464.38</v>
      </c>
      <c r="F2815" s="159"/>
      <c r="G2815" s="160" t="s">
        <v>2513</v>
      </c>
      <c r="H2815" s="34" t="s">
        <v>925</v>
      </c>
    </row>
    <row r="2816" spans="1:8" ht="42.75">
      <c r="A2816" s="160">
        <v>1</v>
      </c>
      <c r="B2816" s="160" t="s">
        <v>4869</v>
      </c>
      <c r="C2816" s="157" t="s">
        <v>927</v>
      </c>
      <c r="D2816" s="159">
        <v>8</v>
      </c>
      <c r="E2816" s="159">
        <v>398.41</v>
      </c>
      <c r="F2816" s="159">
        <v>3187.28</v>
      </c>
      <c r="G2816" s="160" t="s">
        <v>4870</v>
      </c>
      <c r="H2816" s="34" t="s">
        <v>925</v>
      </c>
    </row>
    <row r="2817" spans="1:8" ht="33">
      <c r="A2817" s="160">
        <v>2</v>
      </c>
      <c r="B2817" s="160" t="s">
        <v>4871</v>
      </c>
      <c r="C2817" s="157" t="s">
        <v>927</v>
      </c>
      <c r="D2817" s="159">
        <v>24</v>
      </c>
      <c r="E2817" s="159">
        <v>279.18</v>
      </c>
      <c r="F2817" s="159">
        <v>6700.32</v>
      </c>
      <c r="G2817" s="160" t="s">
        <v>4872</v>
      </c>
      <c r="H2817" s="34" t="s">
        <v>925</v>
      </c>
    </row>
    <row r="2818" spans="1:8" ht="33">
      <c r="A2818" s="160">
        <v>3</v>
      </c>
      <c r="B2818" s="160" t="s">
        <v>929</v>
      </c>
      <c r="C2818" s="157" t="s">
        <v>927</v>
      </c>
      <c r="D2818" s="159">
        <v>8</v>
      </c>
      <c r="E2818" s="159">
        <v>1490.31</v>
      </c>
      <c r="F2818" s="159">
        <v>11922.48</v>
      </c>
      <c r="G2818" s="160" t="s">
        <v>930</v>
      </c>
      <c r="H2818" s="34" t="s">
        <v>925</v>
      </c>
    </row>
    <row r="2819" spans="1:8" ht="28.5">
      <c r="A2819" s="160">
        <v>4</v>
      </c>
      <c r="B2819" s="160" t="s">
        <v>931</v>
      </c>
      <c r="C2819" s="157" t="s">
        <v>14</v>
      </c>
      <c r="D2819" s="159">
        <v>1</v>
      </c>
      <c r="E2819" s="159">
        <v>654.29999999999995</v>
      </c>
      <c r="F2819" s="159">
        <v>654.29999999999995</v>
      </c>
      <c r="G2819" s="160" t="s">
        <v>932</v>
      </c>
    </row>
    <row r="2820" spans="1:8" ht="33">
      <c r="A2820" s="160"/>
      <c r="B2820" s="160" t="s">
        <v>933</v>
      </c>
      <c r="C2820" s="157" t="s">
        <v>2238</v>
      </c>
      <c r="D2820" s="159">
        <v>1</v>
      </c>
      <c r="E2820" s="159"/>
      <c r="F2820" s="159">
        <v>22464.38</v>
      </c>
      <c r="G2820" s="160"/>
      <c r="H2820" s="34" t="s">
        <v>925</v>
      </c>
    </row>
    <row r="2821" spans="1:8" ht="33">
      <c r="A2821" s="160"/>
      <c r="B2821" s="160" t="s">
        <v>934</v>
      </c>
      <c r="C2821" s="157" t="s">
        <v>2238</v>
      </c>
      <c r="D2821" s="159"/>
      <c r="E2821" s="159"/>
      <c r="F2821" s="159">
        <v>22464.38</v>
      </c>
      <c r="G2821" s="160"/>
      <c r="H2821" s="34" t="s">
        <v>925</v>
      </c>
    </row>
    <row r="2822" spans="1:8" ht="33">
      <c r="A2822" s="160"/>
      <c r="B2822" s="160"/>
      <c r="C2822" s="157"/>
      <c r="D2822" s="159"/>
      <c r="E2822" s="159"/>
      <c r="F2822" s="159"/>
      <c r="G2822" s="160"/>
      <c r="H2822" s="34" t="s">
        <v>925</v>
      </c>
    </row>
    <row r="2823" spans="1:8" ht="33">
      <c r="A2823" s="160" t="s">
        <v>2754</v>
      </c>
      <c r="B2823" s="160" t="s">
        <v>2515</v>
      </c>
      <c r="C2823" s="157" t="s">
        <v>2238</v>
      </c>
      <c r="D2823" s="159">
        <v>1</v>
      </c>
      <c r="E2823" s="159">
        <v>32648.86</v>
      </c>
      <c r="F2823" s="159"/>
      <c r="G2823" s="160" t="s">
        <v>2516</v>
      </c>
      <c r="H2823" s="34" t="s">
        <v>925</v>
      </c>
    </row>
    <row r="2824" spans="1:8" ht="33">
      <c r="A2824" s="160">
        <v>1</v>
      </c>
      <c r="B2824" s="160" t="s">
        <v>929</v>
      </c>
      <c r="C2824" s="157" t="s">
        <v>927</v>
      </c>
      <c r="D2824" s="159">
        <v>8</v>
      </c>
      <c r="E2824" s="159">
        <v>1490.31</v>
      </c>
      <c r="F2824" s="159">
        <v>11922.48</v>
      </c>
      <c r="G2824" s="160" t="s">
        <v>930</v>
      </c>
      <c r="H2824" s="34" t="s">
        <v>925</v>
      </c>
    </row>
    <row r="2825" spans="1:8" ht="33">
      <c r="A2825" s="160">
        <v>2</v>
      </c>
      <c r="B2825" s="160" t="s">
        <v>4046</v>
      </c>
      <c r="C2825" s="157" t="s">
        <v>927</v>
      </c>
      <c r="D2825" s="159">
        <v>8</v>
      </c>
      <c r="E2825" s="159">
        <v>796.82</v>
      </c>
      <c r="F2825" s="159">
        <v>6374.56</v>
      </c>
      <c r="G2825" s="160" t="s">
        <v>2477</v>
      </c>
      <c r="H2825" s="34" t="s">
        <v>925</v>
      </c>
    </row>
    <row r="2826" spans="1:8" ht="42.75">
      <c r="A2826" s="160">
        <v>3</v>
      </c>
      <c r="B2826" s="160" t="s">
        <v>4874</v>
      </c>
      <c r="C2826" s="157" t="s">
        <v>927</v>
      </c>
      <c r="D2826" s="159">
        <v>24</v>
      </c>
      <c r="E2826" s="159">
        <v>558.37</v>
      </c>
      <c r="F2826" s="159">
        <v>13400.88</v>
      </c>
      <c r="G2826" s="160" t="s">
        <v>4875</v>
      </c>
      <c r="H2826" s="34" t="s">
        <v>925</v>
      </c>
    </row>
    <row r="2827" spans="1:8" ht="28.5">
      <c r="A2827" s="160">
        <v>4</v>
      </c>
      <c r="B2827" s="160" t="s">
        <v>931</v>
      </c>
      <c r="C2827" s="157" t="s">
        <v>14</v>
      </c>
      <c r="D2827" s="159">
        <v>1</v>
      </c>
      <c r="E2827" s="159">
        <v>950.94</v>
      </c>
      <c r="F2827" s="159">
        <v>950.94</v>
      </c>
      <c r="G2827" s="160" t="s">
        <v>932</v>
      </c>
    </row>
    <row r="2828" spans="1:8" ht="33">
      <c r="A2828" s="160"/>
      <c r="B2828" s="160" t="s">
        <v>933</v>
      </c>
      <c r="C2828" s="157" t="s">
        <v>2238</v>
      </c>
      <c r="D2828" s="159">
        <v>1</v>
      </c>
      <c r="E2828" s="159"/>
      <c r="F2828" s="159">
        <v>32648.859999999997</v>
      </c>
      <c r="G2828" s="160"/>
      <c r="H2828" s="34" t="s">
        <v>925</v>
      </c>
    </row>
    <row r="2829" spans="1:8" ht="33">
      <c r="A2829" s="160"/>
      <c r="B2829" s="160" t="s">
        <v>934</v>
      </c>
      <c r="C2829" s="157" t="s">
        <v>2238</v>
      </c>
      <c r="D2829" s="159"/>
      <c r="E2829" s="159"/>
      <c r="F2829" s="159">
        <v>32648.86</v>
      </c>
      <c r="G2829" s="160"/>
      <c r="H2829" s="34" t="s">
        <v>925</v>
      </c>
    </row>
    <row r="2830" spans="1:8" ht="33">
      <c r="A2830" s="160"/>
      <c r="B2830" s="160"/>
      <c r="C2830" s="157"/>
      <c r="D2830" s="159"/>
      <c r="E2830" s="159"/>
      <c r="F2830" s="159"/>
      <c r="G2830" s="160"/>
      <c r="H2830" s="34" t="s">
        <v>925</v>
      </c>
    </row>
    <row r="2831" spans="1:8" ht="42.75">
      <c r="A2831" s="160" t="s">
        <v>2763</v>
      </c>
      <c r="B2831" s="160" t="s">
        <v>2518</v>
      </c>
      <c r="C2831" s="157" t="s">
        <v>2238</v>
      </c>
      <c r="D2831" s="159">
        <v>1</v>
      </c>
      <c r="E2831" s="159">
        <v>10790.12</v>
      </c>
      <c r="F2831" s="159"/>
      <c r="G2831" s="160" t="s">
        <v>2519</v>
      </c>
      <c r="H2831" s="34" t="s">
        <v>925</v>
      </c>
    </row>
    <row r="2832" spans="1:8" ht="33">
      <c r="A2832" s="160">
        <v>1</v>
      </c>
      <c r="B2832" s="160" t="s">
        <v>2520</v>
      </c>
      <c r="C2832" s="157" t="s">
        <v>927</v>
      </c>
      <c r="D2832" s="159">
        <v>4</v>
      </c>
      <c r="E2832" s="159">
        <v>711.37</v>
      </c>
      <c r="F2832" s="159">
        <v>2845.48</v>
      </c>
      <c r="G2832" s="160" t="s">
        <v>2521</v>
      </c>
      <c r="H2832" s="34" t="s">
        <v>925</v>
      </c>
    </row>
    <row r="2833" spans="1:8" ht="33">
      <c r="A2833" s="160">
        <v>2</v>
      </c>
      <c r="B2833" s="160" t="s">
        <v>2522</v>
      </c>
      <c r="C2833" s="157" t="s">
        <v>927</v>
      </c>
      <c r="D2833" s="159">
        <v>4</v>
      </c>
      <c r="E2833" s="159">
        <v>552.41</v>
      </c>
      <c r="F2833" s="159">
        <v>2209.64</v>
      </c>
      <c r="G2833" s="160" t="s">
        <v>2523</v>
      </c>
      <c r="H2833" s="34" t="s">
        <v>925</v>
      </c>
    </row>
    <row r="2834" spans="1:8" ht="42.75">
      <c r="A2834" s="160">
        <v>3</v>
      </c>
      <c r="B2834" s="160" t="s">
        <v>4885</v>
      </c>
      <c r="C2834" s="157" t="s">
        <v>927</v>
      </c>
      <c r="D2834" s="159">
        <v>4</v>
      </c>
      <c r="E2834" s="159">
        <v>398.41</v>
      </c>
      <c r="F2834" s="159">
        <v>1593.64</v>
      </c>
      <c r="G2834" s="160" t="s">
        <v>4886</v>
      </c>
      <c r="H2834" s="34" t="s">
        <v>925</v>
      </c>
    </row>
    <row r="2835" spans="1:8" ht="28.5">
      <c r="A2835" s="160">
        <v>4</v>
      </c>
      <c r="B2835" s="160" t="s">
        <v>2524</v>
      </c>
      <c r="C2835" s="157" t="s">
        <v>927</v>
      </c>
      <c r="D2835" s="159">
        <v>4</v>
      </c>
      <c r="E2835" s="159">
        <v>398.41</v>
      </c>
      <c r="F2835" s="159">
        <v>1593.64</v>
      </c>
      <c r="G2835" s="160" t="s">
        <v>2525</v>
      </c>
    </row>
    <row r="2836" spans="1:8" ht="33">
      <c r="A2836" s="160">
        <v>5</v>
      </c>
      <c r="B2836" s="160" t="s">
        <v>4871</v>
      </c>
      <c r="C2836" s="157" t="s">
        <v>927</v>
      </c>
      <c r="D2836" s="159">
        <v>8</v>
      </c>
      <c r="E2836" s="159">
        <v>279.18</v>
      </c>
      <c r="F2836" s="159">
        <v>2233.44</v>
      </c>
      <c r="G2836" s="160" t="s">
        <v>4872</v>
      </c>
      <c r="H2836" s="34" t="s">
        <v>925</v>
      </c>
    </row>
    <row r="2837" spans="1:8" ht="33">
      <c r="A2837" s="160">
        <v>6</v>
      </c>
      <c r="B2837" s="160" t="s">
        <v>931</v>
      </c>
      <c r="C2837" s="157" t="s">
        <v>14</v>
      </c>
      <c r="D2837" s="159">
        <v>1</v>
      </c>
      <c r="E2837" s="159">
        <v>314.27999999999997</v>
      </c>
      <c r="F2837" s="159">
        <v>314.27999999999997</v>
      </c>
      <c r="G2837" s="160" t="s">
        <v>932</v>
      </c>
      <c r="H2837" s="34" t="s">
        <v>925</v>
      </c>
    </row>
    <row r="2838" spans="1:8" ht="33">
      <c r="A2838" s="160"/>
      <c r="B2838" s="160" t="s">
        <v>933</v>
      </c>
      <c r="C2838" s="157" t="s">
        <v>2238</v>
      </c>
      <c r="D2838" s="159">
        <v>1</v>
      </c>
      <c r="E2838" s="159"/>
      <c r="F2838" s="159">
        <v>10790.12</v>
      </c>
      <c r="G2838" s="160"/>
      <c r="H2838" s="34" t="s">
        <v>925</v>
      </c>
    </row>
    <row r="2839" spans="1:8" ht="33">
      <c r="A2839" s="160"/>
      <c r="B2839" s="160" t="s">
        <v>934</v>
      </c>
      <c r="C2839" s="157" t="s">
        <v>2238</v>
      </c>
      <c r="D2839" s="159"/>
      <c r="E2839" s="159"/>
      <c r="F2839" s="159">
        <v>10790.12</v>
      </c>
      <c r="G2839" s="160"/>
      <c r="H2839" s="34" t="s">
        <v>925</v>
      </c>
    </row>
    <row r="2840" spans="1:8" ht="33">
      <c r="A2840" s="160"/>
      <c r="B2840" s="160"/>
      <c r="C2840" s="157"/>
      <c r="D2840" s="159"/>
      <c r="E2840" s="159"/>
      <c r="F2840" s="159"/>
      <c r="G2840" s="160"/>
      <c r="H2840" s="34" t="s">
        <v>925</v>
      </c>
    </row>
    <row r="2841" spans="1:8" ht="42.75">
      <c r="A2841" s="160" t="s">
        <v>2777</v>
      </c>
      <c r="B2841" s="160" t="s">
        <v>2527</v>
      </c>
      <c r="C2841" s="157" t="s">
        <v>2238</v>
      </c>
      <c r="D2841" s="159">
        <v>1</v>
      </c>
      <c r="E2841" s="159">
        <v>20430.009999999998</v>
      </c>
      <c r="F2841" s="159"/>
      <c r="G2841" s="160" t="s">
        <v>2528</v>
      </c>
      <c r="H2841" s="34" t="s">
        <v>925</v>
      </c>
    </row>
    <row r="2842" spans="1:8" ht="33">
      <c r="A2842" s="160">
        <v>1</v>
      </c>
      <c r="B2842" s="160" t="s">
        <v>2520</v>
      </c>
      <c r="C2842" s="157" t="s">
        <v>927</v>
      </c>
      <c r="D2842" s="159">
        <v>8</v>
      </c>
      <c r="E2842" s="159">
        <v>711.37</v>
      </c>
      <c r="F2842" s="159">
        <v>5690.96</v>
      </c>
      <c r="G2842" s="160" t="s">
        <v>2521</v>
      </c>
      <c r="H2842" s="34" t="s">
        <v>925</v>
      </c>
    </row>
    <row r="2843" spans="1:8" ht="28.5">
      <c r="A2843" s="160">
        <v>2</v>
      </c>
      <c r="B2843" s="160" t="s">
        <v>2524</v>
      </c>
      <c r="C2843" s="157" t="s">
        <v>927</v>
      </c>
      <c r="D2843" s="159">
        <v>8</v>
      </c>
      <c r="E2843" s="159">
        <v>398.41</v>
      </c>
      <c r="F2843" s="159">
        <v>3187.28</v>
      </c>
      <c r="G2843" s="160" t="s">
        <v>2525</v>
      </c>
    </row>
    <row r="2844" spans="1:8" ht="33">
      <c r="A2844" s="160">
        <v>3</v>
      </c>
      <c r="B2844" s="160" t="s">
        <v>2522</v>
      </c>
      <c r="C2844" s="157" t="s">
        <v>927</v>
      </c>
      <c r="D2844" s="159">
        <v>8</v>
      </c>
      <c r="E2844" s="159">
        <v>552.41</v>
      </c>
      <c r="F2844" s="159">
        <v>4419.28</v>
      </c>
      <c r="G2844" s="160" t="s">
        <v>2523</v>
      </c>
      <c r="H2844" s="34" t="s">
        <v>925</v>
      </c>
    </row>
    <row r="2845" spans="1:8" ht="42.75">
      <c r="A2845" s="160">
        <v>4</v>
      </c>
      <c r="B2845" s="160" t="s">
        <v>4885</v>
      </c>
      <c r="C2845" s="157" t="s">
        <v>927</v>
      </c>
      <c r="D2845" s="159">
        <v>8</v>
      </c>
      <c r="E2845" s="159">
        <v>398.41</v>
      </c>
      <c r="F2845" s="159">
        <v>3187.28</v>
      </c>
      <c r="G2845" s="160" t="s">
        <v>4886</v>
      </c>
      <c r="H2845" s="34" t="s">
        <v>925</v>
      </c>
    </row>
    <row r="2846" spans="1:8" ht="33">
      <c r="A2846" s="160">
        <v>5</v>
      </c>
      <c r="B2846" s="160" t="s">
        <v>4871</v>
      </c>
      <c r="C2846" s="157" t="s">
        <v>927</v>
      </c>
      <c r="D2846" s="159">
        <v>12</v>
      </c>
      <c r="E2846" s="159">
        <v>279.18</v>
      </c>
      <c r="F2846" s="159">
        <v>3350.16</v>
      </c>
      <c r="G2846" s="160" t="s">
        <v>4872</v>
      </c>
      <c r="H2846" s="34" t="s">
        <v>925</v>
      </c>
    </row>
    <row r="2847" spans="1:8" ht="33">
      <c r="A2847" s="160">
        <v>6</v>
      </c>
      <c r="B2847" s="160" t="s">
        <v>931</v>
      </c>
      <c r="C2847" s="157" t="s">
        <v>14</v>
      </c>
      <c r="D2847" s="159">
        <v>1</v>
      </c>
      <c r="E2847" s="159">
        <v>595.04999999999995</v>
      </c>
      <c r="F2847" s="159">
        <v>595.04999999999995</v>
      </c>
      <c r="G2847" s="160" t="s">
        <v>932</v>
      </c>
      <c r="H2847" s="34" t="s">
        <v>925</v>
      </c>
    </row>
    <row r="2848" spans="1:8" ht="33">
      <c r="A2848" s="160"/>
      <c r="B2848" s="160" t="s">
        <v>933</v>
      </c>
      <c r="C2848" s="157" t="s">
        <v>2238</v>
      </c>
      <c r="D2848" s="159">
        <v>1</v>
      </c>
      <c r="E2848" s="159"/>
      <c r="F2848" s="159">
        <v>20430.009999999998</v>
      </c>
      <c r="G2848" s="160"/>
      <c r="H2848" s="34" t="s">
        <v>925</v>
      </c>
    </row>
    <row r="2849" spans="1:8" ht="33">
      <c r="A2849" s="160"/>
      <c r="B2849" s="160" t="s">
        <v>934</v>
      </c>
      <c r="C2849" s="157" t="s">
        <v>2238</v>
      </c>
      <c r="D2849" s="159"/>
      <c r="E2849" s="159"/>
      <c r="F2849" s="159">
        <v>20430.009999999998</v>
      </c>
      <c r="G2849" s="160"/>
      <c r="H2849" s="34" t="s">
        <v>925</v>
      </c>
    </row>
    <row r="2850" spans="1:8" ht="33">
      <c r="A2850" s="160"/>
      <c r="B2850" s="160"/>
      <c r="C2850" s="157"/>
      <c r="D2850" s="159"/>
      <c r="E2850" s="159"/>
      <c r="F2850" s="159"/>
      <c r="G2850" s="160"/>
      <c r="H2850" s="34" t="s">
        <v>925</v>
      </c>
    </row>
    <row r="2851" spans="1:8" ht="42.75">
      <c r="A2851" s="160" t="s">
        <v>2780</v>
      </c>
      <c r="B2851" s="160" t="s">
        <v>2530</v>
      </c>
      <c r="C2851" s="157" t="s">
        <v>2238</v>
      </c>
      <c r="D2851" s="159">
        <v>1</v>
      </c>
      <c r="E2851" s="159">
        <v>16373.54</v>
      </c>
      <c r="F2851" s="159"/>
      <c r="G2851" s="160" t="s">
        <v>2531</v>
      </c>
    </row>
    <row r="2852" spans="1:8" ht="33">
      <c r="A2852" s="160">
        <v>1</v>
      </c>
      <c r="B2852" s="160" t="s">
        <v>2520</v>
      </c>
      <c r="C2852" s="157" t="s">
        <v>927</v>
      </c>
      <c r="D2852" s="159">
        <v>4</v>
      </c>
      <c r="E2852" s="159">
        <v>711.37</v>
      </c>
      <c r="F2852" s="159">
        <v>2845.48</v>
      </c>
      <c r="G2852" s="160" t="s">
        <v>2521</v>
      </c>
      <c r="H2852" s="34" t="s">
        <v>925</v>
      </c>
    </row>
    <row r="2853" spans="1:8" ht="33">
      <c r="A2853" s="160">
        <v>2</v>
      </c>
      <c r="B2853" s="160" t="s">
        <v>2532</v>
      </c>
      <c r="C2853" s="157" t="s">
        <v>927</v>
      </c>
      <c r="D2853" s="159">
        <v>4</v>
      </c>
      <c r="E2853" s="159">
        <v>796.82</v>
      </c>
      <c r="F2853" s="159">
        <v>3187.28</v>
      </c>
      <c r="G2853" s="160" t="s">
        <v>2533</v>
      </c>
      <c r="H2853" s="34" t="s">
        <v>925</v>
      </c>
    </row>
    <row r="2854" spans="1:8" ht="33">
      <c r="A2854" s="160">
        <v>3</v>
      </c>
      <c r="B2854" s="160" t="s">
        <v>2522</v>
      </c>
      <c r="C2854" s="157" t="s">
        <v>927</v>
      </c>
      <c r="D2854" s="159">
        <v>4</v>
      </c>
      <c r="E2854" s="159">
        <v>552.41</v>
      </c>
      <c r="F2854" s="159">
        <v>2209.64</v>
      </c>
      <c r="G2854" s="160" t="s">
        <v>2523</v>
      </c>
      <c r="H2854" s="34" t="s">
        <v>925</v>
      </c>
    </row>
    <row r="2855" spans="1:8" ht="33">
      <c r="A2855" s="160">
        <v>4</v>
      </c>
      <c r="B2855" s="160" t="s">
        <v>2534</v>
      </c>
      <c r="C2855" s="157" t="s">
        <v>927</v>
      </c>
      <c r="D2855" s="159">
        <v>4</v>
      </c>
      <c r="E2855" s="159">
        <v>796.82</v>
      </c>
      <c r="F2855" s="159">
        <v>3187.28</v>
      </c>
      <c r="G2855" s="160" t="s">
        <v>2535</v>
      </c>
      <c r="H2855" s="34" t="s">
        <v>925</v>
      </c>
    </row>
    <row r="2856" spans="1:8" ht="42.75">
      <c r="A2856" s="160">
        <v>5</v>
      </c>
      <c r="B2856" s="160" t="s">
        <v>4874</v>
      </c>
      <c r="C2856" s="157" t="s">
        <v>927</v>
      </c>
      <c r="D2856" s="159">
        <v>8</v>
      </c>
      <c r="E2856" s="159">
        <v>558.37</v>
      </c>
      <c r="F2856" s="159">
        <v>4466.96</v>
      </c>
      <c r="G2856" s="160" t="s">
        <v>4875</v>
      </c>
      <c r="H2856" s="34" t="s">
        <v>925</v>
      </c>
    </row>
    <row r="2857" spans="1:8" ht="33">
      <c r="A2857" s="160">
        <v>6</v>
      </c>
      <c r="B2857" s="160" t="s">
        <v>931</v>
      </c>
      <c r="C2857" s="157" t="s">
        <v>14</v>
      </c>
      <c r="D2857" s="159">
        <v>1</v>
      </c>
      <c r="E2857" s="159">
        <v>476.9</v>
      </c>
      <c r="F2857" s="159">
        <v>476.9</v>
      </c>
      <c r="G2857" s="160" t="s">
        <v>932</v>
      </c>
      <c r="H2857" s="34" t="s">
        <v>925</v>
      </c>
    </row>
    <row r="2858" spans="1:8" ht="33">
      <c r="A2858" s="160"/>
      <c r="B2858" s="160" t="s">
        <v>933</v>
      </c>
      <c r="C2858" s="157" t="s">
        <v>2238</v>
      </c>
      <c r="D2858" s="159">
        <v>1</v>
      </c>
      <c r="E2858" s="159"/>
      <c r="F2858" s="159">
        <v>16373.539999999999</v>
      </c>
      <c r="G2858" s="160"/>
      <c r="H2858" s="34" t="s">
        <v>925</v>
      </c>
    </row>
    <row r="2859" spans="1:8" ht="33">
      <c r="A2859" s="160"/>
      <c r="B2859" s="160" t="s">
        <v>934</v>
      </c>
      <c r="C2859" s="157" t="s">
        <v>2238</v>
      </c>
      <c r="D2859" s="159"/>
      <c r="E2859" s="159"/>
      <c r="F2859" s="159">
        <v>16373.54</v>
      </c>
      <c r="G2859" s="160"/>
      <c r="H2859" s="34" t="s">
        <v>925</v>
      </c>
    </row>
    <row r="2860" spans="1:8" ht="33">
      <c r="A2860" s="160"/>
      <c r="B2860" s="160"/>
      <c r="C2860" s="157"/>
      <c r="D2860" s="159"/>
      <c r="E2860" s="159"/>
      <c r="F2860" s="159"/>
      <c r="G2860" s="160"/>
      <c r="H2860" s="34" t="s">
        <v>925</v>
      </c>
    </row>
    <row r="2861" spans="1:8" ht="42.75">
      <c r="A2861" s="160" t="s">
        <v>2784</v>
      </c>
      <c r="B2861" s="160" t="s">
        <v>2537</v>
      </c>
      <c r="C2861" s="157" t="s">
        <v>2238</v>
      </c>
      <c r="D2861" s="159">
        <v>1</v>
      </c>
      <c r="E2861" s="159">
        <v>30446.59</v>
      </c>
      <c r="F2861" s="159"/>
      <c r="G2861" s="160" t="s">
        <v>2538</v>
      </c>
    </row>
    <row r="2862" spans="1:8" ht="33">
      <c r="A2862" s="160">
        <v>1</v>
      </c>
      <c r="B2862" s="160" t="s">
        <v>2520</v>
      </c>
      <c r="C2862" s="157" t="s">
        <v>927</v>
      </c>
      <c r="D2862" s="159">
        <v>8</v>
      </c>
      <c r="E2862" s="159">
        <v>711.37</v>
      </c>
      <c r="F2862" s="159">
        <v>5690.96</v>
      </c>
      <c r="G2862" s="160" t="s">
        <v>2521</v>
      </c>
      <c r="H2862" s="34" t="s">
        <v>925</v>
      </c>
    </row>
    <row r="2863" spans="1:8" ht="33">
      <c r="A2863" s="160">
        <v>2</v>
      </c>
      <c r="B2863" s="160" t="s">
        <v>2532</v>
      </c>
      <c r="C2863" s="157" t="s">
        <v>927</v>
      </c>
      <c r="D2863" s="159">
        <v>8</v>
      </c>
      <c r="E2863" s="159">
        <v>796.82</v>
      </c>
      <c r="F2863" s="159">
        <v>6374.56</v>
      </c>
      <c r="G2863" s="160" t="s">
        <v>2533</v>
      </c>
      <c r="H2863" s="34" t="s">
        <v>925</v>
      </c>
    </row>
    <row r="2864" spans="1:8" ht="33">
      <c r="A2864" s="160">
        <v>3</v>
      </c>
      <c r="B2864" s="160" t="s">
        <v>2522</v>
      </c>
      <c r="C2864" s="157" t="s">
        <v>927</v>
      </c>
      <c r="D2864" s="159">
        <v>8</v>
      </c>
      <c r="E2864" s="159">
        <v>552.41</v>
      </c>
      <c r="F2864" s="159">
        <v>4419.28</v>
      </c>
      <c r="G2864" s="160" t="s">
        <v>2523</v>
      </c>
      <c r="H2864" s="34" t="s">
        <v>925</v>
      </c>
    </row>
    <row r="2865" spans="1:8" ht="33">
      <c r="A2865" s="160">
        <v>4</v>
      </c>
      <c r="B2865" s="160" t="s">
        <v>2534</v>
      </c>
      <c r="C2865" s="157" t="s">
        <v>927</v>
      </c>
      <c r="D2865" s="159">
        <v>8</v>
      </c>
      <c r="E2865" s="159">
        <v>796.82</v>
      </c>
      <c r="F2865" s="159">
        <v>6374.56</v>
      </c>
      <c r="G2865" s="160" t="s">
        <v>2535</v>
      </c>
      <c r="H2865" s="34" t="s">
        <v>925</v>
      </c>
    </row>
    <row r="2866" spans="1:8" ht="42.75">
      <c r="A2866" s="160">
        <v>5</v>
      </c>
      <c r="B2866" s="160" t="s">
        <v>4874</v>
      </c>
      <c r="C2866" s="157" t="s">
        <v>927</v>
      </c>
      <c r="D2866" s="159">
        <v>12</v>
      </c>
      <c r="E2866" s="159">
        <v>558.37</v>
      </c>
      <c r="F2866" s="159">
        <v>6700.44</v>
      </c>
      <c r="G2866" s="160" t="s">
        <v>4875</v>
      </c>
      <c r="H2866" s="34" t="s">
        <v>925</v>
      </c>
    </row>
    <row r="2867" spans="1:8" ht="33">
      <c r="A2867" s="160">
        <v>6</v>
      </c>
      <c r="B2867" s="160" t="s">
        <v>931</v>
      </c>
      <c r="C2867" s="157" t="s">
        <v>14</v>
      </c>
      <c r="D2867" s="159">
        <v>1</v>
      </c>
      <c r="E2867" s="159">
        <v>886.79</v>
      </c>
      <c r="F2867" s="159">
        <v>886.79</v>
      </c>
      <c r="G2867" s="160" t="s">
        <v>932</v>
      </c>
      <c r="H2867" s="34" t="s">
        <v>925</v>
      </c>
    </row>
    <row r="2868" spans="1:8" ht="33">
      <c r="A2868" s="160"/>
      <c r="B2868" s="160" t="s">
        <v>933</v>
      </c>
      <c r="C2868" s="157" t="s">
        <v>2238</v>
      </c>
      <c r="D2868" s="159">
        <v>1</v>
      </c>
      <c r="E2868" s="159"/>
      <c r="F2868" s="159">
        <v>30446.59</v>
      </c>
      <c r="G2868" s="160"/>
      <c r="H2868" s="34" t="s">
        <v>925</v>
      </c>
    </row>
    <row r="2869" spans="1:8" ht="16.5">
      <c r="A2869" s="160"/>
      <c r="B2869" s="160" t="s">
        <v>934</v>
      </c>
      <c r="C2869" s="157" t="s">
        <v>2238</v>
      </c>
      <c r="D2869" s="159"/>
      <c r="E2869" s="159"/>
      <c r="F2869" s="159">
        <v>30446.59</v>
      </c>
      <c r="G2869" s="160"/>
    </row>
    <row r="2870" spans="1:8" ht="33">
      <c r="A2870" s="160"/>
      <c r="B2870" s="160"/>
      <c r="C2870" s="157"/>
      <c r="D2870" s="159"/>
      <c r="E2870" s="159"/>
      <c r="F2870" s="159"/>
      <c r="G2870" s="160"/>
      <c r="H2870" s="34" t="s">
        <v>925</v>
      </c>
    </row>
    <row r="2871" spans="1:8" ht="42.75">
      <c r="A2871" s="160" t="s">
        <v>4057</v>
      </c>
      <c r="B2871" s="160" t="s">
        <v>2540</v>
      </c>
      <c r="C2871" s="157" t="s">
        <v>0</v>
      </c>
      <c r="D2871" s="159">
        <v>1</v>
      </c>
      <c r="E2871" s="159">
        <v>7232.96</v>
      </c>
      <c r="F2871" s="159"/>
      <c r="G2871" s="160" t="s">
        <v>2541</v>
      </c>
      <c r="H2871" s="34" t="s">
        <v>925</v>
      </c>
    </row>
    <row r="2872" spans="1:8" ht="42.75">
      <c r="A2872" s="160">
        <v>1</v>
      </c>
      <c r="B2872" s="160" t="s">
        <v>1164</v>
      </c>
      <c r="C2872" s="157" t="s">
        <v>0</v>
      </c>
      <c r="D2872" s="159">
        <v>1</v>
      </c>
      <c r="E2872" s="159">
        <v>7024.31</v>
      </c>
      <c r="F2872" s="159">
        <v>7024.31</v>
      </c>
      <c r="G2872" s="160" t="s">
        <v>1165</v>
      </c>
      <c r="H2872" s="34" t="s">
        <v>925</v>
      </c>
    </row>
    <row r="2873" spans="1:8" ht="33">
      <c r="A2873" s="160">
        <v>2</v>
      </c>
      <c r="B2873" s="160" t="s">
        <v>1159</v>
      </c>
      <c r="C2873" s="157" t="s">
        <v>0</v>
      </c>
      <c r="D2873" s="159">
        <v>1</v>
      </c>
      <c r="E2873" s="159">
        <v>25.83</v>
      </c>
      <c r="F2873" s="159">
        <v>25.83</v>
      </c>
      <c r="G2873" s="160" t="s">
        <v>2542</v>
      </c>
      <c r="H2873" s="34" t="s">
        <v>925</v>
      </c>
    </row>
    <row r="2874" spans="1:8" ht="33">
      <c r="A2874" s="160">
        <v>3</v>
      </c>
      <c r="B2874" s="160" t="s">
        <v>931</v>
      </c>
      <c r="C2874" s="157" t="s">
        <v>14</v>
      </c>
      <c r="D2874" s="159">
        <v>1</v>
      </c>
      <c r="E2874" s="159">
        <v>182.82</v>
      </c>
      <c r="F2874" s="159">
        <v>182.82</v>
      </c>
      <c r="G2874" s="160" t="s">
        <v>2466</v>
      </c>
      <c r="H2874" s="34" t="s">
        <v>925</v>
      </c>
    </row>
    <row r="2875" spans="1:8" ht="33">
      <c r="A2875" s="160"/>
      <c r="B2875" s="160" t="s">
        <v>933</v>
      </c>
      <c r="C2875" s="157" t="s">
        <v>0</v>
      </c>
      <c r="D2875" s="159">
        <v>1</v>
      </c>
      <c r="E2875" s="159"/>
      <c r="F2875" s="159">
        <v>7232.96</v>
      </c>
      <c r="G2875" s="160"/>
      <c r="H2875" s="34" t="s">
        <v>925</v>
      </c>
    </row>
    <row r="2876" spans="1:8" ht="16.5">
      <c r="A2876" s="160"/>
      <c r="B2876" s="160" t="s">
        <v>934</v>
      </c>
      <c r="C2876" s="157" t="s">
        <v>0</v>
      </c>
      <c r="D2876" s="159"/>
      <c r="E2876" s="159"/>
      <c r="F2876" s="159">
        <v>7232.96</v>
      </c>
      <c r="G2876" s="160"/>
    </row>
    <row r="2877" spans="1:8" ht="33">
      <c r="A2877" s="160"/>
      <c r="B2877" s="160"/>
      <c r="C2877" s="157"/>
      <c r="D2877" s="159"/>
      <c r="E2877" s="159"/>
      <c r="F2877" s="159"/>
      <c r="G2877" s="160"/>
      <c r="H2877" s="34" t="s">
        <v>925</v>
      </c>
    </row>
    <row r="2878" spans="1:8" ht="42.75">
      <c r="A2878" s="160" t="s">
        <v>4058</v>
      </c>
      <c r="B2878" s="160" t="s">
        <v>2544</v>
      </c>
      <c r="C2878" s="157" t="s">
        <v>0</v>
      </c>
      <c r="D2878" s="159">
        <v>1</v>
      </c>
      <c r="E2878" s="159">
        <v>7295.55</v>
      </c>
      <c r="F2878" s="159"/>
      <c r="G2878" s="160" t="s">
        <v>2545</v>
      </c>
      <c r="H2878" s="34" t="s">
        <v>925</v>
      </c>
    </row>
    <row r="2879" spans="1:8" ht="42.75">
      <c r="A2879" s="160">
        <v>1</v>
      </c>
      <c r="B2879" s="160" t="s">
        <v>1156</v>
      </c>
      <c r="C2879" s="157" t="s">
        <v>0</v>
      </c>
      <c r="D2879" s="159">
        <v>1</v>
      </c>
      <c r="E2879" s="159">
        <v>7083.93</v>
      </c>
      <c r="F2879" s="159">
        <v>7083.93</v>
      </c>
      <c r="G2879" s="160" t="s">
        <v>1157</v>
      </c>
      <c r="H2879" s="34" t="s">
        <v>925</v>
      </c>
    </row>
    <row r="2880" spans="1:8" ht="33">
      <c r="A2880" s="160">
        <v>2</v>
      </c>
      <c r="B2880" s="160" t="s">
        <v>1159</v>
      </c>
      <c r="C2880" s="157" t="s">
        <v>0</v>
      </c>
      <c r="D2880" s="159">
        <v>1</v>
      </c>
      <c r="E2880" s="159">
        <v>25.83</v>
      </c>
      <c r="F2880" s="159">
        <v>25.83</v>
      </c>
      <c r="G2880" s="160" t="s">
        <v>2542</v>
      </c>
      <c r="H2880" s="34" t="s">
        <v>925</v>
      </c>
    </row>
    <row r="2881" spans="1:8" ht="33">
      <c r="A2881" s="160">
        <v>3</v>
      </c>
      <c r="B2881" s="160" t="s">
        <v>931</v>
      </c>
      <c r="C2881" s="157" t="s">
        <v>14</v>
      </c>
      <c r="D2881" s="159">
        <v>1</v>
      </c>
      <c r="E2881" s="159">
        <v>185.79</v>
      </c>
      <c r="F2881" s="159">
        <v>185.79</v>
      </c>
      <c r="G2881" s="160" t="s">
        <v>2466</v>
      </c>
      <c r="H2881" s="34" t="s">
        <v>925</v>
      </c>
    </row>
    <row r="2882" spans="1:8" ht="33">
      <c r="A2882" s="160"/>
      <c r="B2882" s="160" t="s">
        <v>933</v>
      </c>
      <c r="C2882" s="157" t="s">
        <v>0</v>
      </c>
      <c r="D2882" s="159">
        <v>1</v>
      </c>
      <c r="E2882" s="159"/>
      <c r="F2882" s="159">
        <v>7295.55</v>
      </c>
      <c r="G2882" s="160"/>
      <c r="H2882" s="34" t="s">
        <v>925</v>
      </c>
    </row>
    <row r="2883" spans="1:8" ht="33">
      <c r="A2883" s="160"/>
      <c r="B2883" s="160" t="s">
        <v>934</v>
      </c>
      <c r="C2883" s="157" t="s">
        <v>0</v>
      </c>
      <c r="D2883" s="159"/>
      <c r="E2883" s="159"/>
      <c r="F2883" s="159">
        <v>7295.55</v>
      </c>
      <c r="G2883" s="160"/>
      <c r="H2883" s="34" t="s">
        <v>925</v>
      </c>
    </row>
    <row r="2884" spans="1:8" ht="33">
      <c r="A2884" s="160"/>
      <c r="B2884" s="160"/>
      <c r="C2884" s="157"/>
      <c r="D2884" s="159"/>
      <c r="E2884" s="159"/>
      <c r="F2884" s="159"/>
      <c r="G2884" s="160"/>
      <c r="H2884" s="34" t="s">
        <v>925</v>
      </c>
    </row>
    <row r="2885" spans="1:8" ht="42.75">
      <c r="A2885" s="160" t="s">
        <v>4059</v>
      </c>
      <c r="B2885" s="160" t="s">
        <v>2547</v>
      </c>
      <c r="C2885" s="157" t="s">
        <v>0</v>
      </c>
      <c r="D2885" s="159">
        <v>1</v>
      </c>
      <c r="E2885" s="159">
        <v>6330.41</v>
      </c>
      <c r="F2885" s="159"/>
      <c r="G2885" s="160" t="s">
        <v>2548</v>
      </c>
      <c r="H2885" s="34" t="s">
        <v>925</v>
      </c>
    </row>
    <row r="2886" spans="1:8" ht="42.75">
      <c r="A2886" s="160">
        <v>1</v>
      </c>
      <c r="B2886" s="160" t="s">
        <v>1197</v>
      </c>
      <c r="C2886" s="157" t="s">
        <v>0</v>
      </c>
      <c r="D2886" s="159">
        <v>1</v>
      </c>
      <c r="E2886" s="159">
        <v>6120.2</v>
      </c>
      <c r="F2886" s="159">
        <v>6120.2</v>
      </c>
      <c r="G2886" s="160" t="s">
        <v>1198</v>
      </c>
      <c r="H2886" s="34" t="s">
        <v>925</v>
      </c>
    </row>
    <row r="2887" spans="1:8" ht="28.5">
      <c r="A2887" s="160">
        <v>2</v>
      </c>
      <c r="B2887" s="160" t="s">
        <v>1159</v>
      </c>
      <c r="C2887" s="157" t="s">
        <v>0</v>
      </c>
      <c r="D2887" s="159">
        <v>1</v>
      </c>
      <c r="E2887" s="159">
        <v>25.83</v>
      </c>
      <c r="F2887" s="159">
        <v>25.83</v>
      </c>
      <c r="G2887" s="160" t="s">
        <v>1160</v>
      </c>
    </row>
    <row r="2888" spans="1:8" ht="33">
      <c r="A2888" s="160">
        <v>3</v>
      </c>
      <c r="B2888" s="160" t="s">
        <v>931</v>
      </c>
      <c r="C2888" s="157" t="s">
        <v>14</v>
      </c>
      <c r="D2888" s="159">
        <v>1</v>
      </c>
      <c r="E2888" s="159">
        <v>184.38</v>
      </c>
      <c r="F2888" s="159">
        <v>184.38</v>
      </c>
      <c r="G2888" s="160" t="s">
        <v>932</v>
      </c>
      <c r="H2888" s="34" t="s">
        <v>925</v>
      </c>
    </row>
    <row r="2889" spans="1:8" ht="33">
      <c r="A2889" s="160"/>
      <c r="B2889" s="160" t="s">
        <v>933</v>
      </c>
      <c r="C2889" s="157" t="s">
        <v>0</v>
      </c>
      <c r="D2889" s="159">
        <v>1</v>
      </c>
      <c r="E2889" s="159"/>
      <c r="F2889" s="159">
        <v>6330.41</v>
      </c>
      <c r="G2889" s="160"/>
      <c r="H2889" s="34" t="s">
        <v>925</v>
      </c>
    </row>
    <row r="2890" spans="1:8" ht="33">
      <c r="A2890" s="160"/>
      <c r="B2890" s="160" t="s">
        <v>934</v>
      </c>
      <c r="C2890" s="157" t="s">
        <v>0</v>
      </c>
      <c r="D2890" s="159"/>
      <c r="E2890" s="159"/>
      <c r="F2890" s="159">
        <v>6330.41</v>
      </c>
      <c r="G2890" s="160"/>
      <c r="H2890" s="34" t="s">
        <v>925</v>
      </c>
    </row>
    <row r="2891" spans="1:8" ht="33">
      <c r="A2891" s="160"/>
      <c r="B2891" s="160"/>
      <c r="C2891" s="157"/>
      <c r="D2891" s="159"/>
      <c r="E2891" s="159"/>
      <c r="F2891" s="159"/>
      <c r="G2891" s="160"/>
      <c r="H2891" s="34" t="s">
        <v>925</v>
      </c>
    </row>
    <row r="2892" spans="1:8" ht="42.75">
      <c r="A2892" s="160" t="s">
        <v>4060</v>
      </c>
      <c r="B2892" s="160" t="s">
        <v>2550</v>
      </c>
      <c r="C2892" s="157" t="s">
        <v>0</v>
      </c>
      <c r="D2892" s="159">
        <v>1</v>
      </c>
      <c r="E2892" s="159">
        <v>6698.81</v>
      </c>
      <c r="F2892" s="159"/>
      <c r="G2892" s="160" t="s">
        <v>2551</v>
      </c>
      <c r="H2892" s="34" t="s">
        <v>925</v>
      </c>
    </row>
    <row r="2893" spans="1:8" ht="42.75">
      <c r="A2893" s="160">
        <v>1</v>
      </c>
      <c r="B2893" s="160" t="s">
        <v>1189</v>
      </c>
      <c r="C2893" s="157" t="s">
        <v>0</v>
      </c>
      <c r="D2893" s="159">
        <v>1</v>
      </c>
      <c r="E2893" s="159">
        <v>6477.87</v>
      </c>
      <c r="F2893" s="159">
        <v>6477.87</v>
      </c>
      <c r="G2893" s="160" t="s">
        <v>1190</v>
      </c>
      <c r="H2893" s="34" t="s">
        <v>925</v>
      </c>
    </row>
    <row r="2894" spans="1:8" ht="33">
      <c r="A2894" s="160">
        <v>2</v>
      </c>
      <c r="B2894" s="160" t="s">
        <v>1159</v>
      </c>
      <c r="C2894" s="157" t="s">
        <v>0</v>
      </c>
      <c r="D2894" s="159">
        <v>1</v>
      </c>
      <c r="E2894" s="159">
        <v>25.83</v>
      </c>
      <c r="F2894" s="159">
        <v>25.83</v>
      </c>
      <c r="G2894" s="160" t="s">
        <v>1160</v>
      </c>
      <c r="H2894" s="34" t="s">
        <v>925</v>
      </c>
    </row>
    <row r="2895" spans="1:8" ht="33">
      <c r="A2895" s="160">
        <v>3</v>
      </c>
      <c r="B2895" s="160" t="s">
        <v>931</v>
      </c>
      <c r="C2895" s="157" t="s">
        <v>14</v>
      </c>
      <c r="D2895" s="159">
        <v>1</v>
      </c>
      <c r="E2895" s="159">
        <v>195.11</v>
      </c>
      <c r="F2895" s="159">
        <v>195.11</v>
      </c>
      <c r="G2895" s="160" t="s">
        <v>932</v>
      </c>
      <c r="H2895" s="34" t="s">
        <v>925</v>
      </c>
    </row>
    <row r="2896" spans="1:8" ht="33">
      <c r="A2896" s="160"/>
      <c r="B2896" s="160" t="s">
        <v>933</v>
      </c>
      <c r="C2896" s="157" t="s">
        <v>0</v>
      </c>
      <c r="D2896" s="159">
        <v>1</v>
      </c>
      <c r="E2896" s="159"/>
      <c r="F2896" s="159">
        <v>6698.8099999999995</v>
      </c>
      <c r="G2896" s="160"/>
      <c r="H2896" s="34" t="s">
        <v>925</v>
      </c>
    </row>
    <row r="2897" spans="1:8" ht="33">
      <c r="A2897" s="160"/>
      <c r="B2897" s="160" t="s">
        <v>934</v>
      </c>
      <c r="C2897" s="157" t="s">
        <v>0</v>
      </c>
      <c r="D2897" s="159"/>
      <c r="E2897" s="159"/>
      <c r="F2897" s="159">
        <v>6698.81</v>
      </c>
      <c r="G2897" s="160"/>
      <c r="H2897" s="34" t="s">
        <v>925</v>
      </c>
    </row>
    <row r="2898" spans="1:8" ht="16.5">
      <c r="A2898" s="160"/>
      <c r="B2898" s="160"/>
      <c r="C2898" s="157"/>
      <c r="D2898" s="159"/>
      <c r="E2898" s="159"/>
      <c r="F2898" s="159"/>
      <c r="G2898" s="160"/>
    </row>
    <row r="2899" spans="1:8" ht="57">
      <c r="A2899" s="160" t="s">
        <v>4061</v>
      </c>
      <c r="B2899" s="160" t="s">
        <v>2553</v>
      </c>
      <c r="C2899" s="157" t="s">
        <v>0</v>
      </c>
      <c r="D2899" s="159">
        <v>1</v>
      </c>
      <c r="E2899" s="159">
        <v>7087.68</v>
      </c>
      <c r="F2899" s="159"/>
      <c r="G2899" s="160" t="s">
        <v>2554</v>
      </c>
      <c r="H2899" s="34" t="s">
        <v>925</v>
      </c>
    </row>
    <row r="2900" spans="1:8" ht="42.75">
      <c r="A2900" s="160">
        <v>1</v>
      </c>
      <c r="B2900" s="160" t="s">
        <v>1176</v>
      </c>
      <c r="C2900" s="157" t="s">
        <v>0</v>
      </c>
      <c r="D2900" s="159">
        <v>1</v>
      </c>
      <c r="E2900" s="159">
        <v>6855.41</v>
      </c>
      <c r="F2900" s="159">
        <v>6855.41</v>
      </c>
      <c r="G2900" s="160" t="s">
        <v>1177</v>
      </c>
      <c r="H2900" s="34" t="s">
        <v>925</v>
      </c>
    </row>
    <row r="2901" spans="1:8" ht="33">
      <c r="A2901" s="160">
        <v>2</v>
      </c>
      <c r="B2901" s="160" t="s">
        <v>1159</v>
      </c>
      <c r="C2901" s="157" t="s">
        <v>0</v>
      </c>
      <c r="D2901" s="159">
        <v>1</v>
      </c>
      <c r="E2901" s="159">
        <v>25.83</v>
      </c>
      <c r="F2901" s="159">
        <v>25.83</v>
      </c>
      <c r="G2901" s="160" t="s">
        <v>1160</v>
      </c>
      <c r="H2901" s="34" t="s">
        <v>925</v>
      </c>
    </row>
    <row r="2902" spans="1:8" ht="33">
      <c r="A2902" s="160">
        <v>3</v>
      </c>
      <c r="B2902" s="160" t="s">
        <v>931</v>
      </c>
      <c r="C2902" s="157" t="s">
        <v>14</v>
      </c>
      <c r="D2902" s="159">
        <v>1</v>
      </c>
      <c r="E2902" s="159">
        <v>206.44</v>
      </c>
      <c r="F2902" s="159">
        <v>206.44</v>
      </c>
      <c r="G2902" s="160" t="s">
        <v>932</v>
      </c>
      <c r="H2902" s="34" t="s">
        <v>925</v>
      </c>
    </row>
    <row r="2903" spans="1:8" ht="33">
      <c r="A2903" s="160"/>
      <c r="B2903" s="160" t="s">
        <v>933</v>
      </c>
      <c r="C2903" s="157" t="s">
        <v>0</v>
      </c>
      <c r="D2903" s="159">
        <v>1</v>
      </c>
      <c r="E2903" s="159"/>
      <c r="F2903" s="159">
        <v>7087.6799999999994</v>
      </c>
      <c r="G2903" s="160"/>
      <c r="H2903" s="34" t="s">
        <v>925</v>
      </c>
    </row>
    <row r="2904" spans="1:8" ht="33">
      <c r="A2904" s="160"/>
      <c r="B2904" s="160" t="s">
        <v>934</v>
      </c>
      <c r="C2904" s="157" t="s">
        <v>0</v>
      </c>
      <c r="D2904" s="159"/>
      <c r="E2904" s="159"/>
      <c r="F2904" s="159">
        <v>7087.68</v>
      </c>
      <c r="G2904" s="160"/>
      <c r="H2904" s="34" t="s">
        <v>925</v>
      </c>
    </row>
    <row r="2905" spans="1:8" ht="33">
      <c r="A2905" s="160"/>
      <c r="B2905" s="160"/>
      <c r="C2905" s="157"/>
      <c r="D2905" s="159"/>
      <c r="E2905" s="159"/>
      <c r="F2905" s="159"/>
      <c r="G2905" s="160"/>
      <c r="H2905" s="34" t="s">
        <v>925</v>
      </c>
    </row>
    <row r="2906" spans="1:8" ht="42.75">
      <c r="A2906" s="160" t="s">
        <v>4062</v>
      </c>
      <c r="B2906" s="160" t="s">
        <v>2556</v>
      </c>
      <c r="C2906" s="157" t="s">
        <v>2238</v>
      </c>
      <c r="D2906" s="159">
        <v>1</v>
      </c>
      <c r="E2906" s="159">
        <v>16516.71</v>
      </c>
      <c r="F2906" s="159"/>
      <c r="G2906" s="160" t="s">
        <v>2557</v>
      </c>
      <c r="H2906" s="34" t="s">
        <v>925</v>
      </c>
    </row>
    <row r="2907" spans="1:8" ht="28.5">
      <c r="A2907" s="160">
        <v>1</v>
      </c>
      <c r="B2907" s="160" t="s">
        <v>1217</v>
      </c>
      <c r="C2907" s="157" t="s">
        <v>927</v>
      </c>
      <c r="D2907" s="159">
        <v>4</v>
      </c>
      <c r="E2907" s="159">
        <v>1013.41</v>
      </c>
      <c r="F2907" s="159">
        <v>4053.64</v>
      </c>
      <c r="G2907" s="160" t="s">
        <v>1218</v>
      </c>
    </row>
    <row r="2908" spans="1:8" ht="33">
      <c r="A2908" s="160">
        <v>2</v>
      </c>
      <c r="B2908" s="160" t="s">
        <v>2558</v>
      </c>
      <c r="C2908" s="157" t="s">
        <v>927</v>
      </c>
      <c r="D2908" s="159">
        <v>4</v>
      </c>
      <c r="E2908" s="159">
        <v>398.41</v>
      </c>
      <c r="F2908" s="159">
        <v>1593.64</v>
      </c>
      <c r="G2908" s="160" t="s">
        <v>2559</v>
      </c>
      <c r="H2908" s="34" t="s">
        <v>925</v>
      </c>
    </row>
    <row r="2909" spans="1:8" ht="33">
      <c r="A2909" s="160">
        <v>3</v>
      </c>
      <c r="B2909" s="160" t="s">
        <v>1219</v>
      </c>
      <c r="C2909" s="157" t="s">
        <v>1220</v>
      </c>
      <c r="D2909" s="159">
        <v>6</v>
      </c>
      <c r="E2909" s="159">
        <v>119.22</v>
      </c>
      <c r="F2909" s="159">
        <v>715.32</v>
      </c>
      <c r="G2909" s="160" t="s">
        <v>1221</v>
      </c>
      <c r="H2909" s="34" t="s">
        <v>925</v>
      </c>
    </row>
    <row r="2910" spans="1:8" ht="33">
      <c r="A2910" s="160">
        <v>4</v>
      </c>
      <c r="B2910" s="160" t="s">
        <v>1222</v>
      </c>
      <c r="C2910" s="157" t="s">
        <v>927</v>
      </c>
      <c r="D2910" s="159">
        <v>4</v>
      </c>
      <c r="E2910" s="159">
        <v>645.79999999999995</v>
      </c>
      <c r="F2910" s="159">
        <v>2583.1999999999998</v>
      </c>
      <c r="G2910" s="160" t="s">
        <v>1223</v>
      </c>
      <c r="H2910" s="34" t="s">
        <v>925</v>
      </c>
    </row>
    <row r="2911" spans="1:8" ht="33">
      <c r="A2911" s="160">
        <v>5</v>
      </c>
      <c r="B2911" s="160" t="s">
        <v>1224</v>
      </c>
      <c r="C2911" s="157" t="s">
        <v>927</v>
      </c>
      <c r="D2911" s="159">
        <v>4</v>
      </c>
      <c r="E2911" s="159">
        <v>536.51</v>
      </c>
      <c r="F2911" s="159">
        <v>2146.04</v>
      </c>
      <c r="G2911" s="160" t="s">
        <v>1225</v>
      </c>
      <c r="H2911" s="34" t="s">
        <v>925</v>
      </c>
    </row>
    <row r="2912" spans="1:8" ht="33">
      <c r="A2912" s="160">
        <v>6</v>
      </c>
      <c r="B2912" s="160" t="s">
        <v>1226</v>
      </c>
      <c r="C2912" s="157" t="s">
        <v>927</v>
      </c>
      <c r="D2912" s="159">
        <v>4</v>
      </c>
      <c r="E2912" s="159">
        <v>398.41</v>
      </c>
      <c r="F2912" s="159">
        <v>1593.64</v>
      </c>
      <c r="G2912" s="160" t="s">
        <v>1227</v>
      </c>
      <c r="H2912" s="34" t="s">
        <v>925</v>
      </c>
    </row>
    <row r="2913" spans="1:8" ht="33">
      <c r="A2913" s="160">
        <v>7</v>
      </c>
      <c r="B2913" s="160" t="s">
        <v>4871</v>
      </c>
      <c r="C2913" s="157" t="s">
        <v>927</v>
      </c>
      <c r="D2913" s="159">
        <v>8</v>
      </c>
      <c r="E2913" s="159">
        <v>279.18</v>
      </c>
      <c r="F2913" s="159">
        <v>2233.44</v>
      </c>
      <c r="G2913" s="160" t="s">
        <v>4872</v>
      </c>
      <c r="H2913" s="34" t="s">
        <v>925</v>
      </c>
    </row>
    <row r="2914" spans="1:8" ht="33">
      <c r="A2914" s="160">
        <v>8</v>
      </c>
      <c r="B2914" s="160" t="s">
        <v>1228</v>
      </c>
      <c r="C2914" s="157" t="s">
        <v>927</v>
      </c>
      <c r="D2914" s="159">
        <v>4</v>
      </c>
      <c r="E2914" s="159">
        <v>279.18</v>
      </c>
      <c r="F2914" s="159">
        <v>1116.72</v>
      </c>
      <c r="G2914" s="160" t="s">
        <v>1229</v>
      </c>
      <c r="H2914" s="34" t="s">
        <v>925</v>
      </c>
    </row>
    <row r="2915" spans="1:8" ht="33">
      <c r="A2915" s="160">
        <v>9</v>
      </c>
      <c r="B2915" s="160" t="s">
        <v>931</v>
      </c>
      <c r="C2915" s="157" t="s">
        <v>14</v>
      </c>
      <c r="D2915" s="159">
        <v>1</v>
      </c>
      <c r="E2915" s="159">
        <v>481.07</v>
      </c>
      <c r="F2915" s="159">
        <v>481.07</v>
      </c>
      <c r="G2915" s="160" t="s">
        <v>932</v>
      </c>
      <c r="H2915" s="34" t="s">
        <v>925</v>
      </c>
    </row>
    <row r="2916" spans="1:8" ht="33">
      <c r="A2916" s="160"/>
      <c r="B2916" s="160" t="s">
        <v>933</v>
      </c>
      <c r="C2916" s="157" t="s">
        <v>2238</v>
      </c>
      <c r="D2916" s="159">
        <v>1</v>
      </c>
      <c r="E2916" s="159"/>
      <c r="F2916" s="159">
        <v>16516.71</v>
      </c>
      <c r="G2916" s="160"/>
      <c r="H2916" s="34" t="s">
        <v>925</v>
      </c>
    </row>
    <row r="2917" spans="1:8" ht="33">
      <c r="A2917" s="160"/>
      <c r="B2917" s="160" t="s">
        <v>934</v>
      </c>
      <c r="C2917" s="157" t="s">
        <v>2238</v>
      </c>
      <c r="D2917" s="159"/>
      <c r="E2917" s="159"/>
      <c r="F2917" s="159">
        <v>16516.71</v>
      </c>
      <c r="G2917" s="160"/>
      <c r="H2917" s="34" t="s">
        <v>925</v>
      </c>
    </row>
    <row r="2918" spans="1:8" ht="33">
      <c r="A2918" s="160"/>
      <c r="B2918" s="160"/>
      <c r="C2918" s="157"/>
      <c r="D2918" s="159"/>
      <c r="E2918" s="159"/>
      <c r="F2918" s="159"/>
      <c r="G2918" s="160"/>
      <c r="H2918" s="34" t="s">
        <v>925</v>
      </c>
    </row>
    <row r="2919" spans="1:8" ht="42.75">
      <c r="A2919" s="160" t="s">
        <v>4063</v>
      </c>
      <c r="B2919" s="160" t="s">
        <v>2561</v>
      </c>
      <c r="C2919" s="157" t="s">
        <v>2238</v>
      </c>
      <c r="D2919" s="159">
        <v>1</v>
      </c>
      <c r="E2919" s="159">
        <v>23250.400000000001</v>
      </c>
      <c r="F2919" s="159"/>
      <c r="G2919" s="160" t="s">
        <v>2562</v>
      </c>
      <c r="H2919" s="34" t="s">
        <v>925</v>
      </c>
    </row>
    <row r="2920" spans="1:8" ht="33">
      <c r="A2920" s="160">
        <v>1</v>
      </c>
      <c r="B2920" s="160" t="s">
        <v>2563</v>
      </c>
      <c r="C2920" s="157" t="s">
        <v>927</v>
      </c>
      <c r="D2920" s="159">
        <v>4</v>
      </c>
      <c r="E2920" s="159">
        <v>796.82</v>
      </c>
      <c r="F2920" s="159">
        <v>3187.28</v>
      </c>
      <c r="G2920" s="160" t="s">
        <v>2564</v>
      </c>
      <c r="H2920" s="34" t="s">
        <v>925</v>
      </c>
    </row>
    <row r="2921" spans="1:8" ht="28.5">
      <c r="A2921" s="160">
        <v>2</v>
      </c>
      <c r="B2921" s="160" t="s">
        <v>1224</v>
      </c>
      <c r="C2921" s="157" t="s">
        <v>927</v>
      </c>
      <c r="D2921" s="159">
        <v>4</v>
      </c>
      <c r="E2921" s="159">
        <v>536.51</v>
      </c>
      <c r="F2921" s="159">
        <v>2146.04</v>
      </c>
      <c r="G2921" s="160" t="s">
        <v>1225</v>
      </c>
    </row>
    <row r="2922" spans="1:8" ht="33">
      <c r="A2922" s="160">
        <v>3</v>
      </c>
      <c r="B2922" s="160" t="s">
        <v>1217</v>
      </c>
      <c r="C2922" s="157" t="s">
        <v>927</v>
      </c>
      <c r="D2922" s="159">
        <v>4</v>
      </c>
      <c r="E2922" s="159">
        <v>1013.41</v>
      </c>
      <c r="F2922" s="159">
        <v>4053.64</v>
      </c>
      <c r="G2922" s="160" t="s">
        <v>1218</v>
      </c>
      <c r="H2922" s="34" t="s">
        <v>925</v>
      </c>
    </row>
    <row r="2923" spans="1:8" ht="33">
      <c r="A2923" s="160">
        <v>4</v>
      </c>
      <c r="B2923" s="160" t="s">
        <v>1219</v>
      </c>
      <c r="C2923" s="157" t="s">
        <v>1220</v>
      </c>
      <c r="D2923" s="159">
        <v>6</v>
      </c>
      <c r="E2923" s="159">
        <v>119.22</v>
      </c>
      <c r="F2923" s="159">
        <v>715.32</v>
      </c>
      <c r="G2923" s="160" t="s">
        <v>1221</v>
      </c>
      <c r="H2923" s="34" t="s">
        <v>925</v>
      </c>
    </row>
    <row r="2924" spans="1:8" ht="33">
      <c r="A2924" s="160">
        <v>5</v>
      </c>
      <c r="B2924" s="160" t="s">
        <v>1222</v>
      </c>
      <c r="C2924" s="157" t="s">
        <v>927</v>
      </c>
      <c r="D2924" s="159">
        <v>4</v>
      </c>
      <c r="E2924" s="159">
        <v>645.79999999999995</v>
      </c>
      <c r="F2924" s="159">
        <v>2583.1999999999998</v>
      </c>
      <c r="G2924" s="160" t="s">
        <v>1223</v>
      </c>
      <c r="H2924" s="34" t="s">
        <v>925</v>
      </c>
    </row>
    <row r="2925" spans="1:8" ht="33">
      <c r="A2925" s="160">
        <v>6</v>
      </c>
      <c r="B2925" s="160" t="s">
        <v>2565</v>
      </c>
      <c r="C2925" s="157" t="s">
        <v>927</v>
      </c>
      <c r="D2925" s="159">
        <v>4</v>
      </c>
      <c r="E2925" s="159">
        <v>796.82</v>
      </c>
      <c r="F2925" s="159">
        <v>3187.28</v>
      </c>
      <c r="G2925" s="160" t="s">
        <v>2566</v>
      </c>
      <c r="H2925" s="34" t="s">
        <v>925</v>
      </c>
    </row>
    <row r="2926" spans="1:8" ht="42.75">
      <c r="A2926" s="160">
        <v>7</v>
      </c>
      <c r="B2926" s="160" t="s">
        <v>4874</v>
      </c>
      <c r="C2926" s="157" t="s">
        <v>927</v>
      </c>
      <c r="D2926" s="159">
        <v>8</v>
      </c>
      <c r="E2926" s="159">
        <v>558.37</v>
      </c>
      <c r="F2926" s="159">
        <v>4466.96</v>
      </c>
      <c r="G2926" s="160" t="s">
        <v>4875</v>
      </c>
      <c r="H2926" s="34" t="s">
        <v>925</v>
      </c>
    </row>
    <row r="2927" spans="1:8" ht="33">
      <c r="A2927" s="160">
        <v>8</v>
      </c>
      <c r="B2927" s="160" t="s">
        <v>2567</v>
      </c>
      <c r="C2927" s="157" t="s">
        <v>927</v>
      </c>
      <c r="D2927" s="159">
        <v>4</v>
      </c>
      <c r="E2927" s="159">
        <v>558.37</v>
      </c>
      <c r="F2927" s="159">
        <v>2233.48</v>
      </c>
      <c r="G2927" s="160" t="s">
        <v>2568</v>
      </c>
      <c r="H2927" s="34" t="s">
        <v>925</v>
      </c>
    </row>
    <row r="2928" spans="1:8" ht="33">
      <c r="A2928" s="160">
        <v>9</v>
      </c>
      <c r="B2928" s="160" t="s">
        <v>931</v>
      </c>
      <c r="C2928" s="157" t="s">
        <v>14</v>
      </c>
      <c r="D2928" s="159">
        <v>1</v>
      </c>
      <c r="E2928" s="159">
        <v>677.2</v>
      </c>
      <c r="F2928" s="159">
        <v>677.2</v>
      </c>
      <c r="G2928" s="160" t="s">
        <v>932</v>
      </c>
      <c r="H2928" s="34" t="s">
        <v>925</v>
      </c>
    </row>
    <row r="2929" spans="1:8" ht="33">
      <c r="A2929" s="160"/>
      <c r="B2929" s="160" t="s">
        <v>933</v>
      </c>
      <c r="C2929" s="157" t="s">
        <v>2238</v>
      </c>
      <c r="D2929" s="159">
        <v>1</v>
      </c>
      <c r="E2929" s="159"/>
      <c r="F2929" s="159">
        <v>23250.400000000001</v>
      </c>
      <c r="G2929" s="160"/>
      <c r="H2929" s="34" t="s">
        <v>925</v>
      </c>
    </row>
    <row r="2930" spans="1:8" ht="33">
      <c r="A2930" s="160"/>
      <c r="B2930" s="160" t="s">
        <v>934</v>
      </c>
      <c r="C2930" s="157" t="s">
        <v>2238</v>
      </c>
      <c r="D2930" s="159"/>
      <c r="E2930" s="159"/>
      <c r="F2930" s="159">
        <v>23250.400000000001</v>
      </c>
      <c r="G2930" s="160"/>
      <c r="H2930" s="34" t="s">
        <v>925</v>
      </c>
    </row>
    <row r="2931" spans="1:8" ht="33">
      <c r="A2931" s="160"/>
      <c r="B2931" s="160"/>
      <c r="C2931" s="157"/>
      <c r="D2931" s="159"/>
      <c r="E2931" s="159"/>
      <c r="F2931" s="159"/>
      <c r="G2931" s="160"/>
      <c r="H2931" s="34" t="s">
        <v>925</v>
      </c>
    </row>
    <row r="2932" spans="1:8" ht="33">
      <c r="A2932" s="160" t="s">
        <v>5004</v>
      </c>
      <c r="B2932" s="160" t="s">
        <v>2570</v>
      </c>
      <c r="C2932" s="157" t="s">
        <v>17</v>
      </c>
      <c r="D2932" s="159">
        <v>10</v>
      </c>
      <c r="E2932" s="159">
        <v>6529.39</v>
      </c>
      <c r="F2932" s="159"/>
      <c r="G2932" s="160" t="s">
        <v>2571</v>
      </c>
      <c r="H2932" s="34" t="s">
        <v>925</v>
      </c>
    </row>
    <row r="2933" spans="1:8" ht="33">
      <c r="A2933" s="160">
        <v>1</v>
      </c>
      <c r="B2933" s="160" t="s">
        <v>985</v>
      </c>
      <c r="C2933" s="157" t="s">
        <v>1</v>
      </c>
      <c r="D2933" s="159">
        <v>4</v>
      </c>
      <c r="E2933" s="159">
        <v>644.12</v>
      </c>
      <c r="F2933" s="159">
        <v>2576.48</v>
      </c>
      <c r="G2933" s="160" t="s">
        <v>4980</v>
      </c>
      <c r="H2933" s="34" t="s">
        <v>925</v>
      </c>
    </row>
    <row r="2934" spans="1:8" ht="33">
      <c r="A2934" s="160">
        <v>2</v>
      </c>
      <c r="B2934" s="160" t="s">
        <v>950</v>
      </c>
      <c r="C2934" s="157" t="s">
        <v>1</v>
      </c>
      <c r="D2934" s="159">
        <v>6</v>
      </c>
      <c r="E2934" s="159">
        <v>48.63</v>
      </c>
      <c r="F2934" s="159">
        <v>291.77999999999997</v>
      </c>
      <c r="G2934" s="160" t="s">
        <v>5005</v>
      </c>
      <c r="H2934" s="34" t="s">
        <v>925</v>
      </c>
    </row>
    <row r="2935" spans="1:8" ht="28.5">
      <c r="A2935" s="160">
        <v>3</v>
      </c>
      <c r="B2935" s="160" t="s">
        <v>26</v>
      </c>
      <c r="C2935" s="157" t="s">
        <v>1</v>
      </c>
      <c r="D2935" s="159">
        <v>10</v>
      </c>
      <c r="E2935" s="159">
        <v>711.86</v>
      </c>
      <c r="F2935" s="159">
        <v>7118.6</v>
      </c>
      <c r="G2935" s="160" t="s">
        <v>4981</v>
      </c>
    </row>
    <row r="2936" spans="1:8" ht="71.25">
      <c r="A2936" s="160">
        <v>4</v>
      </c>
      <c r="B2936" s="160" t="s">
        <v>4519</v>
      </c>
      <c r="C2936" s="157" t="s">
        <v>0</v>
      </c>
      <c r="D2936" s="159">
        <v>7</v>
      </c>
      <c r="E2936" s="159">
        <v>1745.15</v>
      </c>
      <c r="F2936" s="159">
        <v>12216.05</v>
      </c>
      <c r="G2936" s="160" t="s">
        <v>5006</v>
      </c>
      <c r="H2936" s="34" t="s">
        <v>925</v>
      </c>
    </row>
    <row r="2937" spans="1:8" ht="42.75">
      <c r="A2937" s="160">
        <v>5</v>
      </c>
      <c r="B2937" s="160" t="s">
        <v>3640</v>
      </c>
      <c r="C2937" s="157" t="s">
        <v>0</v>
      </c>
      <c r="D2937" s="159">
        <v>1.5</v>
      </c>
      <c r="E2937" s="159">
        <v>8142.53</v>
      </c>
      <c r="F2937" s="159">
        <v>12213.8</v>
      </c>
      <c r="G2937" s="160" t="s">
        <v>5007</v>
      </c>
      <c r="H2937" s="34" t="s">
        <v>925</v>
      </c>
    </row>
    <row r="2938" spans="1:8" ht="33">
      <c r="A2938" s="160">
        <v>6</v>
      </c>
      <c r="B2938" s="160" t="s">
        <v>3639</v>
      </c>
      <c r="C2938" s="157" t="s">
        <v>0</v>
      </c>
      <c r="D2938" s="159">
        <v>0.51</v>
      </c>
      <c r="E2938" s="159">
        <v>8203.94</v>
      </c>
      <c r="F2938" s="159">
        <v>4184.01</v>
      </c>
      <c r="G2938" s="160" t="s">
        <v>5008</v>
      </c>
      <c r="H2938" s="34" t="s">
        <v>925</v>
      </c>
    </row>
    <row r="2939" spans="1:8" ht="33">
      <c r="A2939" s="160">
        <v>7</v>
      </c>
      <c r="B2939" s="160" t="s">
        <v>1149</v>
      </c>
      <c r="C2939" s="157" t="s">
        <v>3</v>
      </c>
      <c r="D2939" s="159">
        <v>10</v>
      </c>
      <c r="E2939" s="159">
        <v>17.53</v>
      </c>
      <c r="F2939" s="159">
        <v>175.3</v>
      </c>
      <c r="G2939" s="160" t="s">
        <v>5009</v>
      </c>
      <c r="H2939" s="34" t="s">
        <v>925</v>
      </c>
    </row>
    <row r="2940" spans="1:8" ht="33">
      <c r="A2940" s="160">
        <v>8</v>
      </c>
      <c r="B2940" s="160" t="s">
        <v>1140</v>
      </c>
      <c r="C2940" s="157" t="s">
        <v>3</v>
      </c>
      <c r="D2940" s="159">
        <v>10</v>
      </c>
      <c r="E2940" s="159">
        <v>44.1</v>
      </c>
      <c r="F2940" s="159">
        <v>441</v>
      </c>
      <c r="G2940" s="160" t="s">
        <v>5010</v>
      </c>
      <c r="H2940" s="34" t="s">
        <v>925</v>
      </c>
    </row>
    <row r="2941" spans="1:8" ht="28.5">
      <c r="A2941" s="160">
        <v>9</v>
      </c>
      <c r="B2941" s="160" t="s">
        <v>1250</v>
      </c>
      <c r="C2941" s="157" t="s">
        <v>17</v>
      </c>
      <c r="D2941" s="159">
        <v>20</v>
      </c>
      <c r="E2941" s="159">
        <v>76.73</v>
      </c>
      <c r="F2941" s="159">
        <v>1534.6</v>
      </c>
      <c r="G2941" s="160" t="s">
        <v>4979</v>
      </c>
    </row>
    <row r="2942" spans="1:8" ht="33">
      <c r="A2942" s="160">
        <v>10</v>
      </c>
      <c r="B2942" s="160" t="s">
        <v>2572</v>
      </c>
      <c r="C2942" s="157" t="s">
        <v>14</v>
      </c>
      <c r="D2942" s="159">
        <v>1</v>
      </c>
      <c r="E2942" s="159">
        <v>1291.5999999999999</v>
      </c>
      <c r="F2942" s="159">
        <v>1291.5999999999999</v>
      </c>
      <c r="G2942" s="160" t="s">
        <v>2573</v>
      </c>
      <c r="H2942" s="34" t="s">
        <v>925</v>
      </c>
    </row>
    <row r="2943" spans="1:8" ht="33">
      <c r="A2943" s="160">
        <v>11</v>
      </c>
      <c r="B2943" s="160" t="s">
        <v>2574</v>
      </c>
      <c r="C2943" s="157" t="s">
        <v>14</v>
      </c>
      <c r="D2943" s="159">
        <v>1</v>
      </c>
      <c r="E2943" s="159">
        <v>1987.08</v>
      </c>
      <c r="F2943" s="159">
        <v>1987.08</v>
      </c>
      <c r="G2943" s="160" t="s">
        <v>2575</v>
      </c>
      <c r="H2943" s="34" t="s">
        <v>925</v>
      </c>
    </row>
    <row r="2944" spans="1:8" ht="42.75">
      <c r="A2944" s="160">
        <v>12</v>
      </c>
      <c r="B2944" s="160" t="s">
        <v>2287</v>
      </c>
      <c r="C2944" s="157" t="s">
        <v>14</v>
      </c>
      <c r="D2944" s="159">
        <v>1</v>
      </c>
      <c r="E2944" s="159">
        <v>19373.990000000002</v>
      </c>
      <c r="F2944" s="159">
        <v>19373.990000000002</v>
      </c>
      <c r="G2944" s="160" t="s">
        <v>2288</v>
      </c>
      <c r="H2944" s="34" t="s">
        <v>925</v>
      </c>
    </row>
    <row r="2945" spans="1:8" ht="33">
      <c r="A2945" s="160">
        <v>13</v>
      </c>
      <c r="B2945" s="160" t="s">
        <v>931</v>
      </c>
      <c r="C2945" s="157" t="s">
        <v>14</v>
      </c>
      <c r="D2945" s="159">
        <v>1</v>
      </c>
      <c r="E2945" s="159">
        <v>1889.58</v>
      </c>
      <c r="F2945" s="159">
        <v>1889.58</v>
      </c>
      <c r="G2945" s="160" t="s">
        <v>2110</v>
      </c>
      <c r="H2945" s="34" t="s">
        <v>925</v>
      </c>
    </row>
    <row r="2946" spans="1:8" ht="33">
      <c r="A2946" s="160"/>
      <c r="B2946" s="160" t="s">
        <v>933</v>
      </c>
      <c r="C2946" s="157" t="s">
        <v>17</v>
      </c>
      <c r="D2946" s="159">
        <v>10</v>
      </c>
      <c r="E2946" s="159"/>
      <c r="F2946" s="159">
        <v>65293.87000000001</v>
      </c>
      <c r="G2946" s="160"/>
      <c r="H2946" s="34" t="s">
        <v>925</v>
      </c>
    </row>
    <row r="2947" spans="1:8" ht="33">
      <c r="A2947" s="160"/>
      <c r="B2947" s="160" t="s">
        <v>934</v>
      </c>
      <c r="C2947" s="157" t="s">
        <v>17</v>
      </c>
      <c r="D2947" s="159"/>
      <c r="E2947" s="159"/>
      <c r="F2947" s="159">
        <v>6529.39</v>
      </c>
      <c r="G2947" s="160"/>
      <c r="H2947" s="34" t="s">
        <v>925</v>
      </c>
    </row>
    <row r="2948" spans="1:8" ht="16.5">
      <c r="A2948" s="160"/>
      <c r="B2948" s="160"/>
      <c r="C2948" s="157"/>
      <c r="D2948" s="159"/>
      <c r="E2948" s="159"/>
      <c r="F2948" s="159"/>
      <c r="G2948" s="160"/>
    </row>
    <row r="2949" spans="1:8" ht="12.75" customHeight="1">
      <c r="A2949" s="160" t="s">
        <v>5011</v>
      </c>
      <c r="B2949" s="160" t="s">
        <v>2577</v>
      </c>
      <c r="C2949" s="157" t="s">
        <v>17</v>
      </c>
      <c r="D2949" s="159">
        <v>10</v>
      </c>
      <c r="E2949" s="159">
        <v>7123.58</v>
      </c>
      <c r="F2949" s="159"/>
      <c r="G2949" s="160" t="s">
        <v>2578</v>
      </c>
    </row>
    <row r="2950" spans="1:8" ht="12.75" customHeight="1">
      <c r="A2950" s="160">
        <v>1</v>
      </c>
      <c r="B2950" s="160" t="s">
        <v>2579</v>
      </c>
      <c r="C2950" s="157" t="s">
        <v>1</v>
      </c>
      <c r="D2950" s="159">
        <v>6</v>
      </c>
      <c r="E2950" s="159">
        <v>67.849999999999994</v>
      </c>
      <c r="F2950" s="159">
        <v>407.1</v>
      </c>
      <c r="G2950" s="160" t="s">
        <v>5012</v>
      </c>
    </row>
    <row r="2951" spans="1:8" ht="12.75" customHeight="1">
      <c r="A2951" s="160">
        <v>2</v>
      </c>
      <c r="B2951" s="160" t="s">
        <v>2214</v>
      </c>
      <c r="C2951" s="157" t="s">
        <v>1</v>
      </c>
      <c r="D2951" s="159">
        <v>4</v>
      </c>
      <c r="E2951" s="159">
        <v>1483.81</v>
      </c>
      <c r="F2951" s="159">
        <v>5935.24</v>
      </c>
      <c r="G2951" s="160" t="s">
        <v>4982</v>
      </c>
    </row>
    <row r="2952" spans="1:8" ht="12.75" customHeight="1">
      <c r="A2952" s="160">
        <v>3</v>
      </c>
      <c r="B2952" s="160" t="s">
        <v>2216</v>
      </c>
      <c r="C2952" s="157" t="s">
        <v>1</v>
      </c>
      <c r="D2952" s="159">
        <v>10</v>
      </c>
      <c r="E2952" s="159">
        <v>842.14</v>
      </c>
      <c r="F2952" s="159">
        <v>8421.4</v>
      </c>
      <c r="G2952" s="160" t="s">
        <v>2217</v>
      </c>
    </row>
    <row r="2953" spans="1:8" ht="12.75" customHeight="1">
      <c r="A2953" s="160">
        <v>4</v>
      </c>
      <c r="B2953" s="160" t="s">
        <v>4519</v>
      </c>
      <c r="C2953" s="157" t="s">
        <v>0</v>
      </c>
      <c r="D2953" s="159">
        <v>7</v>
      </c>
      <c r="E2953" s="159">
        <v>1745.15</v>
      </c>
      <c r="F2953" s="159">
        <v>12216.05</v>
      </c>
      <c r="G2953" s="160" t="s">
        <v>5006</v>
      </c>
    </row>
    <row r="2954" spans="1:8" ht="12.75" customHeight="1">
      <c r="A2954" s="160">
        <v>5</v>
      </c>
      <c r="B2954" s="160" t="s">
        <v>4048</v>
      </c>
      <c r="C2954" s="157" t="s">
        <v>0</v>
      </c>
      <c r="D2954" s="159">
        <v>1.5</v>
      </c>
      <c r="E2954" s="159">
        <v>8636.07</v>
      </c>
      <c r="F2954" s="159">
        <v>12954.11</v>
      </c>
      <c r="G2954" s="160" t="s">
        <v>5013</v>
      </c>
    </row>
    <row r="2955" spans="1:8" ht="12.75" customHeight="1">
      <c r="A2955" s="160">
        <v>6</v>
      </c>
      <c r="B2955" s="160" t="s">
        <v>4049</v>
      </c>
      <c r="C2955" s="157" t="s">
        <v>0</v>
      </c>
      <c r="D2955" s="159">
        <v>0.51</v>
      </c>
      <c r="E2955" s="159">
        <v>8697.4699999999993</v>
      </c>
      <c r="F2955" s="159">
        <v>4435.71</v>
      </c>
      <c r="G2955" s="160" t="s">
        <v>5014</v>
      </c>
    </row>
    <row r="2956" spans="1:8" ht="12.75" customHeight="1">
      <c r="A2956" s="160">
        <v>7</v>
      </c>
      <c r="B2956" s="160" t="s">
        <v>1149</v>
      </c>
      <c r="C2956" s="157" t="s">
        <v>3</v>
      </c>
      <c r="D2956" s="159">
        <v>10</v>
      </c>
      <c r="E2956" s="159">
        <v>17.53</v>
      </c>
      <c r="F2956" s="159">
        <v>175.3</v>
      </c>
      <c r="G2956" s="160" t="s">
        <v>5009</v>
      </c>
    </row>
    <row r="2957" spans="1:8" ht="12.75" customHeight="1">
      <c r="A2957" s="160">
        <v>8</v>
      </c>
      <c r="B2957" s="160" t="s">
        <v>1140</v>
      </c>
      <c r="C2957" s="157" t="s">
        <v>3</v>
      </c>
      <c r="D2957" s="159">
        <v>10</v>
      </c>
      <c r="E2957" s="159">
        <v>44.1</v>
      </c>
      <c r="F2957" s="159">
        <v>441</v>
      </c>
      <c r="G2957" s="160" t="s">
        <v>5010</v>
      </c>
    </row>
    <row r="2958" spans="1:8" ht="12.75" customHeight="1">
      <c r="A2958" s="160">
        <v>9</v>
      </c>
      <c r="B2958" s="160" t="s">
        <v>1250</v>
      </c>
      <c r="C2958" s="157" t="s">
        <v>17</v>
      </c>
      <c r="D2958" s="159">
        <v>20</v>
      </c>
      <c r="E2958" s="159">
        <v>76.73</v>
      </c>
      <c r="F2958" s="159">
        <v>1534.6</v>
      </c>
      <c r="G2958" s="160" t="s">
        <v>4979</v>
      </c>
    </row>
    <row r="2959" spans="1:8" ht="12.75" customHeight="1">
      <c r="A2959" s="160">
        <v>10</v>
      </c>
      <c r="B2959" s="160" t="s">
        <v>2572</v>
      </c>
      <c r="C2959" s="157" t="s">
        <v>14</v>
      </c>
      <c r="D2959" s="159">
        <v>1</v>
      </c>
      <c r="E2959" s="159">
        <v>1291.5999999999999</v>
      </c>
      <c r="F2959" s="159">
        <v>1291.5999999999999</v>
      </c>
      <c r="G2959" s="160" t="s">
        <v>2573</v>
      </c>
    </row>
    <row r="2960" spans="1:8" ht="12.75" customHeight="1">
      <c r="A2960" s="160">
        <v>11</v>
      </c>
      <c r="B2960" s="160" t="s">
        <v>2574</v>
      </c>
      <c r="C2960" s="157" t="s">
        <v>14</v>
      </c>
      <c r="D2960" s="159">
        <v>1</v>
      </c>
      <c r="E2960" s="159">
        <v>1987.08</v>
      </c>
      <c r="F2960" s="159">
        <v>1987.08</v>
      </c>
      <c r="G2960" s="160" t="s">
        <v>2575</v>
      </c>
    </row>
    <row r="2961" spans="1:7" ht="12.75" customHeight="1">
      <c r="A2961" s="160">
        <v>12</v>
      </c>
      <c r="B2961" s="160" t="s">
        <v>2287</v>
      </c>
      <c r="C2961" s="157" t="s">
        <v>14</v>
      </c>
      <c r="D2961" s="159">
        <v>1</v>
      </c>
      <c r="E2961" s="159">
        <v>19373.990000000002</v>
      </c>
      <c r="F2961" s="159">
        <v>19373.990000000002</v>
      </c>
      <c r="G2961" s="160" t="s">
        <v>2288</v>
      </c>
    </row>
    <row r="2962" spans="1:7" ht="12.75" customHeight="1">
      <c r="A2962" s="160">
        <v>13</v>
      </c>
      <c r="B2962" s="160" t="s">
        <v>931</v>
      </c>
      <c r="C2962" s="157" t="s">
        <v>14</v>
      </c>
      <c r="D2962" s="159">
        <v>1</v>
      </c>
      <c r="E2962" s="159">
        <v>2062.63</v>
      </c>
      <c r="F2962" s="159">
        <v>2062.63</v>
      </c>
      <c r="G2962" s="160" t="s">
        <v>2110</v>
      </c>
    </row>
    <row r="2963" spans="1:7" ht="12.75" customHeight="1">
      <c r="A2963" s="160"/>
      <c r="B2963" s="160" t="s">
        <v>933</v>
      </c>
      <c r="C2963" s="157" t="s">
        <v>17</v>
      </c>
      <c r="D2963" s="159">
        <v>10</v>
      </c>
      <c r="E2963" s="159"/>
      <c r="F2963" s="159">
        <v>71235.810000000012</v>
      </c>
      <c r="G2963" s="160"/>
    </row>
    <row r="2964" spans="1:7" ht="12.75" customHeight="1">
      <c r="A2964" s="160"/>
      <c r="B2964" s="160" t="s">
        <v>934</v>
      </c>
      <c r="C2964" s="157" t="s">
        <v>17</v>
      </c>
      <c r="D2964" s="159"/>
      <c r="E2964" s="159"/>
      <c r="F2964" s="159">
        <v>7123.58</v>
      </c>
      <c r="G2964" s="160"/>
    </row>
    <row r="2965" spans="1:7" ht="12.75" customHeight="1">
      <c r="A2965" s="160"/>
      <c r="B2965" s="160"/>
      <c r="C2965" s="157"/>
      <c r="D2965" s="159"/>
      <c r="E2965" s="159"/>
      <c r="F2965" s="159"/>
      <c r="G2965" s="160"/>
    </row>
    <row r="2966" spans="1:7" ht="12.75" customHeight="1">
      <c r="A2966" s="160" t="s">
        <v>5015</v>
      </c>
      <c r="B2966" s="160" t="s">
        <v>2584</v>
      </c>
      <c r="C2966" s="157" t="s">
        <v>17</v>
      </c>
      <c r="D2966" s="159">
        <v>10</v>
      </c>
      <c r="E2966" s="159">
        <v>8121.14</v>
      </c>
      <c r="F2966" s="159"/>
      <c r="G2966" s="160" t="s">
        <v>2585</v>
      </c>
    </row>
    <row r="2967" spans="1:7" ht="12.75" customHeight="1">
      <c r="A2967" s="160">
        <v>1</v>
      </c>
      <c r="B2967" s="160" t="s">
        <v>950</v>
      </c>
      <c r="C2967" s="157" t="s">
        <v>1</v>
      </c>
      <c r="D2967" s="159">
        <v>9</v>
      </c>
      <c r="E2967" s="159">
        <v>48.63</v>
      </c>
      <c r="F2967" s="159">
        <v>437.67</v>
      </c>
      <c r="G2967" s="160" t="s">
        <v>5005</v>
      </c>
    </row>
    <row r="2968" spans="1:7" ht="12.75" customHeight="1">
      <c r="A2968" s="160">
        <v>2</v>
      </c>
      <c r="B2968" s="160" t="s">
        <v>985</v>
      </c>
      <c r="C2968" s="157" t="s">
        <v>1</v>
      </c>
      <c r="D2968" s="159">
        <v>6</v>
      </c>
      <c r="E2968" s="159">
        <v>644.12</v>
      </c>
      <c r="F2968" s="159">
        <v>3864.72</v>
      </c>
      <c r="G2968" s="160" t="s">
        <v>4980</v>
      </c>
    </row>
    <row r="2969" spans="1:7" ht="12.75" customHeight="1">
      <c r="A2969" s="160">
        <v>3</v>
      </c>
      <c r="B2969" s="160" t="s">
        <v>26</v>
      </c>
      <c r="C2969" s="157" t="s">
        <v>1</v>
      </c>
      <c r="D2969" s="159">
        <v>15</v>
      </c>
      <c r="E2969" s="159">
        <v>711.86</v>
      </c>
      <c r="F2969" s="159">
        <v>10677.9</v>
      </c>
      <c r="G2969" s="160" t="s">
        <v>4981</v>
      </c>
    </row>
    <row r="2970" spans="1:7" ht="12.75" customHeight="1">
      <c r="A2970" s="160">
        <v>4</v>
      </c>
      <c r="B2970" s="160" t="s">
        <v>4519</v>
      </c>
      <c r="C2970" s="157" t="s">
        <v>0</v>
      </c>
      <c r="D2970" s="159">
        <v>13</v>
      </c>
      <c r="E2970" s="159">
        <v>1745.15</v>
      </c>
      <c r="F2970" s="159">
        <v>22686.95</v>
      </c>
      <c r="G2970" s="160" t="s">
        <v>5006</v>
      </c>
    </row>
    <row r="2971" spans="1:7" ht="12.75" customHeight="1">
      <c r="A2971" s="160">
        <v>5</v>
      </c>
      <c r="B2971" s="160" t="s">
        <v>3640</v>
      </c>
      <c r="C2971" s="157" t="s">
        <v>0</v>
      </c>
      <c r="D2971" s="159">
        <v>1.5</v>
      </c>
      <c r="E2971" s="159">
        <v>8142.53</v>
      </c>
      <c r="F2971" s="159">
        <v>12213.8</v>
      </c>
      <c r="G2971" s="160" t="s">
        <v>5007</v>
      </c>
    </row>
    <row r="2972" spans="1:7" ht="12.75" customHeight="1">
      <c r="A2972" s="160">
        <v>6</v>
      </c>
      <c r="B2972" s="160" t="s">
        <v>3639</v>
      </c>
      <c r="C2972" s="157" t="s">
        <v>0</v>
      </c>
      <c r="D2972" s="159">
        <v>0.51</v>
      </c>
      <c r="E2972" s="159">
        <v>8203.94</v>
      </c>
      <c r="F2972" s="159">
        <v>4184.01</v>
      </c>
      <c r="G2972" s="160" t="s">
        <v>5008</v>
      </c>
    </row>
    <row r="2973" spans="1:7" ht="12.75" customHeight="1">
      <c r="A2973" s="160">
        <v>7</v>
      </c>
      <c r="B2973" s="160" t="s">
        <v>1149</v>
      </c>
      <c r="C2973" s="157" t="s">
        <v>3</v>
      </c>
      <c r="D2973" s="159">
        <v>10</v>
      </c>
      <c r="E2973" s="159">
        <v>17.53</v>
      </c>
      <c r="F2973" s="159">
        <v>175.3</v>
      </c>
      <c r="G2973" s="160" t="s">
        <v>5009</v>
      </c>
    </row>
    <row r="2974" spans="1:7" ht="12.75" customHeight="1">
      <c r="A2974" s="160">
        <v>8</v>
      </c>
      <c r="B2974" s="160" t="s">
        <v>1140</v>
      </c>
      <c r="C2974" s="157" t="s">
        <v>3</v>
      </c>
      <c r="D2974" s="159">
        <v>10</v>
      </c>
      <c r="E2974" s="159">
        <v>44.1</v>
      </c>
      <c r="F2974" s="159">
        <v>441</v>
      </c>
      <c r="G2974" s="160" t="s">
        <v>5010</v>
      </c>
    </row>
    <row r="2975" spans="1:7" ht="12.75" customHeight="1">
      <c r="A2975" s="160">
        <v>9</v>
      </c>
      <c r="B2975" s="160" t="s">
        <v>1250</v>
      </c>
      <c r="C2975" s="157" t="s">
        <v>17</v>
      </c>
      <c r="D2975" s="159">
        <v>20</v>
      </c>
      <c r="E2975" s="159">
        <v>76.73</v>
      </c>
      <c r="F2975" s="159">
        <v>1534.6</v>
      </c>
      <c r="G2975" s="160" t="s">
        <v>4979</v>
      </c>
    </row>
    <row r="2976" spans="1:7" ht="12.75" customHeight="1">
      <c r="A2976" s="160">
        <v>10</v>
      </c>
      <c r="B2976" s="160" t="s">
        <v>2572</v>
      </c>
      <c r="C2976" s="157" t="s">
        <v>14</v>
      </c>
      <c r="D2976" s="159">
        <v>1</v>
      </c>
      <c r="E2976" s="159">
        <v>1291.5999999999999</v>
      </c>
      <c r="F2976" s="159">
        <v>1291.5999999999999</v>
      </c>
      <c r="G2976" s="160" t="s">
        <v>2573</v>
      </c>
    </row>
    <row r="2977" spans="1:7" ht="12.75" customHeight="1">
      <c r="A2977" s="160">
        <v>11</v>
      </c>
      <c r="B2977" s="160" t="s">
        <v>2574</v>
      </c>
      <c r="C2977" s="157" t="s">
        <v>14</v>
      </c>
      <c r="D2977" s="159">
        <v>1</v>
      </c>
      <c r="E2977" s="159">
        <v>1987.08</v>
      </c>
      <c r="F2977" s="159">
        <v>1987.08</v>
      </c>
      <c r="G2977" s="160" t="s">
        <v>2575</v>
      </c>
    </row>
    <row r="2978" spans="1:7" ht="12.75" customHeight="1">
      <c r="A2978" s="160">
        <v>12</v>
      </c>
      <c r="B2978" s="160" t="s">
        <v>2287</v>
      </c>
      <c r="C2978" s="157" t="s">
        <v>14</v>
      </c>
      <c r="D2978" s="159">
        <v>1</v>
      </c>
      <c r="E2978" s="159">
        <v>19373.990000000002</v>
      </c>
      <c r="F2978" s="159">
        <v>19373.990000000002</v>
      </c>
      <c r="G2978" s="160" t="s">
        <v>2288</v>
      </c>
    </row>
    <row r="2979" spans="1:7" ht="12.75" customHeight="1">
      <c r="A2979" s="160">
        <v>13</v>
      </c>
      <c r="B2979" s="160" t="s">
        <v>931</v>
      </c>
      <c r="C2979" s="157" t="s">
        <v>14</v>
      </c>
      <c r="D2979" s="159">
        <v>1</v>
      </c>
      <c r="E2979" s="159">
        <v>2342.73</v>
      </c>
      <c r="F2979" s="159">
        <v>2342.73</v>
      </c>
      <c r="G2979" s="160" t="s">
        <v>2110</v>
      </c>
    </row>
    <row r="2980" spans="1:7" ht="12.75" customHeight="1">
      <c r="A2980" s="160"/>
      <c r="B2980" s="160" t="s">
        <v>933</v>
      </c>
      <c r="C2980" s="157" t="s">
        <v>17</v>
      </c>
      <c r="D2980" s="159">
        <v>10</v>
      </c>
      <c r="E2980" s="159"/>
      <c r="F2980" s="159">
        <v>81211.349999999991</v>
      </c>
      <c r="G2980" s="160"/>
    </row>
    <row r="2981" spans="1:7" ht="12.75" customHeight="1">
      <c r="A2981" s="160"/>
      <c r="B2981" s="160" t="s">
        <v>934</v>
      </c>
      <c r="C2981" s="157" t="s">
        <v>17</v>
      </c>
      <c r="D2981" s="159"/>
      <c r="E2981" s="159"/>
      <c r="F2981" s="159">
        <v>8121.14</v>
      </c>
      <c r="G2981" s="160"/>
    </row>
    <row r="2982" spans="1:7" ht="12.75" customHeight="1">
      <c r="A2982" s="160"/>
      <c r="B2982" s="160"/>
      <c r="C2982" s="157"/>
      <c r="D2982" s="159"/>
      <c r="E2982" s="159"/>
      <c r="F2982" s="159"/>
      <c r="G2982" s="160"/>
    </row>
    <row r="2983" spans="1:7" ht="12.75" customHeight="1">
      <c r="A2983" s="160" t="s">
        <v>5016</v>
      </c>
      <c r="B2983" s="160" t="s">
        <v>2587</v>
      </c>
      <c r="C2983" s="157" t="s">
        <v>17</v>
      </c>
      <c r="D2983" s="159">
        <v>10</v>
      </c>
      <c r="E2983" s="159">
        <v>8961.34</v>
      </c>
      <c r="F2983" s="159"/>
      <c r="G2983" s="160" t="s">
        <v>2588</v>
      </c>
    </row>
    <row r="2984" spans="1:7" ht="12.75" customHeight="1">
      <c r="A2984" s="160">
        <v>1</v>
      </c>
      <c r="B2984" s="160" t="s">
        <v>2579</v>
      </c>
      <c r="C2984" s="157" t="s">
        <v>1</v>
      </c>
      <c r="D2984" s="159">
        <v>9</v>
      </c>
      <c r="E2984" s="159">
        <v>67.849999999999994</v>
      </c>
      <c r="F2984" s="159">
        <v>610.65</v>
      </c>
      <c r="G2984" s="160" t="s">
        <v>5012</v>
      </c>
    </row>
    <row r="2985" spans="1:7" ht="12.75" customHeight="1">
      <c r="A2985" s="160">
        <v>2</v>
      </c>
      <c r="B2985" s="160" t="s">
        <v>2214</v>
      </c>
      <c r="C2985" s="157" t="s">
        <v>1</v>
      </c>
      <c r="D2985" s="159">
        <v>6</v>
      </c>
      <c r="E2985" s="159">
        <v>1483.81</v>
      </c>
      <c r="F2985" s="159">
        <v>8902.86</v>
      </c>
      <c r="G2985" s="160" t="s">
        <v>4982</v>
      </c>
    </row>
    <row r="2986" spans="1:7" ht="12.75" customHeight="1">
      <c r="A2986" s="160">
        <v>3</v>
      </c>
      <c r="B2986" s="160" t="s">
        <v>2216</v>
      </c>
      <c r="C2986" s="157" t="s">
        <v>1</v>
      </c>
      <c r="D2986" s="159">
        <v>15</v>
      </c>
      <c r="E2986" s="159">
        <v>842.14</v>
      </c>
      <c r="F2986" s="159">
        <v>12632.1</v>
      </c>
      <c r="G2986" s="160" t="s">
        <v>2217</v>
      </c>
    </row>
    <row r="2987" spans="1:7" ht="12.75" customHeight="1">
      <c r="A2987" s="160">
        <v>4</v>
      </c>
      <c r="B2987" s="160" t="s">
        <v>4519</v>
      </c>
      <c r="C2987" s="157" t="s">
        <v>0</v>
      </c>
      <c r="D2987" s="159">
        <v>13</v>
      </c>
      <c r="E2987" s="159">
        <v>1745.15</v>
      </c>
      <c r="F2987" s="159">
        <v>22686.95</v>
      </c>
      <c r="G2987" s="160" t="s">
        <v>5006</v>
      </c>
    </row>
    <row r="2988" spans="1:7" ht="12.75" customHeight="1">
      <c r="A2988" s="160">
        <v>5</v>
      </c>
      <c r="B2988" s="160" t="s">
        <v>4049</v>
      </c>
      <c r="C2988" s="157" t="s">
        <v>0</v>
      </c>
      <c r="D2988" s="159">
        <v>0.51</v>
      </c>
      <c r="E2988" s="159">
        <v>8697.4699999999993</v>
      </c>
      <c r="F2988" s="159">
        <v>4435.71</v>
      </c>
      <c r="G2988" s="160" t="s">
        <v>5014</v>
      </c>
    </row>
    <row r="2989" spans="1:7" ht="12.75" customHeight="1">
      <c r="A2989" s="160">
        <v>6</v>
      </c>
      <c r="B2989" s="160" t="s">
        <v>4048</v>
      </c>
      <c r="C2989" s="157" t="s">
        <v>0</v>
      </c>
      <c r="D2989" s="159">
        <v>1.5</v>
      </c>
      <c r="E2989" s="159">
        <v>8636.07</v>
      </c>
      <c r="F2989" s="159">
        <v>12954.11</v>
      </c>
      <c r="G2989" s="160" t="s">
        <v>5013</v>
      </c>
    </row>
    <row r="2990" spans="1:7" ht="12.75" customHeight="1">
      <c r="A2990" s="160">
        <v>7</v>
      </c>
      <c r="B2990" s="160" t="s">
        <v>1149</v>
      </c>
      <c r="C2990" s="157" t="s">
        <v>3</v>
      </c>
      <c r="D2990" s="159">
        <v>10</v>
      </c>
      <c r="E2990" s="159">
        <v>17.53</v>
      </c>
      <c r="F2990" s="159">
        <v>175.3</v>
      </c>
      <c r="G2990" s="160" t="s">
        <v>5009</v>
      </c>
    </row>
    <row r="2991" spans="1:7" ht="12.75" customHeight="1">
      <c r="A2991" s="160">
        <v>8</v>
      </c>
      <c r="B2991" s="160" t="s">
        <v>1140</v>
      </c>
      <c r="C2991" s="157" t="s">
        <v>3</v>
      </c>
      <c r="D2991" s="159">
        <v>10</v>
      </c>
      <c r="E2991" s="159">
        <v>44.1</v>
      </c>
      <c r="F2991" s="159">
        <v>441</v>
      </c>
      <c r="G2991" s="160" t="s">
        <v>5010</v>
      </c>
    </row>
    <row r="2992" spans="1:7" ht="12.75" customHeight="1">
      <c r="A2992" s="160">
        <v>9</v>
      </c>
      <c r="B2992" s="160" t="s">
        <v>1250</v>
      </c>
      <c r="C2992" s="157" t="s">
        <v>17</v>
      </c>
      <c r="D2992" s="159">
        <v>20</v>
      </c>
      <c r="E2992" s="159">
        <v>76.73</v>
      </c>
      <c r="F2992" s="159">
        <v>1534.6</v>
      </c>
      <c r="G2992" s="160" t="s">
        <v>4979</v>
      </c>
    </row>
    <row r="2993" spans="1:7" ht="12.75" customHeight="1">
      <c r="A2993" s="160">
        <v>10</v>
      </c>
      <c r="B2993" s="160" t="s">
        <v>2572</v>
      </c>
      <c r="C2993" s="157" t="s">
        <v>14</v>
      </c>
      <c r="D2993" s="159">
        <v>1</v>
      </c>
      <c r="E2993" s="159">
        <v>1291.5999999999999</v>
      </c>
      <c r="F2993" s="159">
        <v>1291.5999999999999</v>
      </c>
      <c r="G2993" s="160" t="s">
        <v>2573</v>
      </c>
    </row>
    <row r="2994" spans="1:7" ht="12.75" customHeight="1">
      <c r="A2994" s="160">
        <v>11</v>
      </c>
      <c r="B2994" s="160" t="s">
        <v>2574</v>
      </c>
      <c r="C2994" s="157" t="s">
        <v>14</v>
      </c>
      <c r="D2994" s="159">
        <v>1</v>
      </c>
      <c r="E2994" s="159">
        <v>1987.08</v>
      </c>
      <c r="F2994" s="159">
        <v>1987.08</v>
      </c>
      <c r="G2994" s="160" t="s">
        <v>2575</v>
      </c>
    </row>
    <row r="2995" spans="1:7" ht="12.75" customHeight="1">
      <c r="A2995" s="160">
        <v>12</v>
      </c>
      <c r="B2995" s="160" t="s">
        <v>2287</v>
      </c>
      <c r="C2995" s="157" t="s">
        <v>14</v>
      </c>
      <c r="D2995" s="159">
        <v>1</v>
      </c>
      <c r="E2995" s="159">
        <v>19373.990000000002</v>
      </c>
      <c r="F2995" s="159">
        <v>19373.990000000002</v>
      </c>
      <c r="G2995" s="160" t="s">
        <v>2288</v>
      </c>
    </row>
    <row r="2996" spans="1:7" ht="12.75" customHeight="1">
      <c r="A2996" s="160">
        <v>13</v>
      </c>
      <c r="B2996" s="160" t="s">
        <v>931</v>
      </c>
      <c r="C2996" s="157" t="s">
        <v>14</v>
      </c>
      <c r="D2996" s="159">
        <v>1</v>
      </c>
      <c r="E2996" s="159">
        <v>2587.46</v>
      </c>
      <c r="F2996" s="159">
        <v>2587.46</v>
      </c>
      <c r="G2996" s="160" t="s">
        <v>2110</v>
      </c>
    </row>
    <row r="2997" spans="1:7" ht="12.75" customHeight="1">
      <c r="A2997" s="160"/>
      <c r="B2997" s="160" t="s">
        <v>933</v>
      </c>
      <c r="C2997" s="157" t="s">
        <v>17</v>
      </c>
      <c r="D2997" s="159">
        <v>10</v>
      </c>
      <c r="E2997" s="159"/>
      <c r="F2997" s="159">
        <v>89613.410000000018</v>
      </c>
      <c r="G2997" s="160"/>
    </row>
    <row r="2998" spans="1:7" ht="12.75" customHeight="1">
      <c r="A2998" s="160"/>
      <c r="B2998" s="160" t="s">
        <v>934</v>
      </c>
      <c r="C2998" s="157" t="s">
        <v>17</v>
      </c>
      <c r="D2998" s="159"/>
      <c r="E2998" s="159"/>
      <c r="F2998" s="159">
        <v>8961.34</v>
      </c>
      <c r="G2998" s="160"/>
    </row>
    <row r="2999" spans="1:7" ht="12.75" customHeight="1">
      <c r="A2999" s="160"/>
      <c r="B2999" s="160"/>
      <c r="C2999" s="157"/>
      <c r="D2999" s="159"/>
      <c r="E2999" s="159"/>
      <c r="F2999" s="159"/>
      <c r="G2999" s="160"/>
    </row>
    <row r="3000" spans="1:7" ht="12.75" customHeight="1">
      <c r="A3000" s="160" t="s">
        <v>5017</v>
      </c>
      <c r="B3000" s="160" t="s">
        <v>2590</v>
      </c>
      <c r="C3000" s="157" t="s">
        <v>17</v>
      </c>
      <c r="D3000" s="159">
        <v>10</v>
      </c>
      <c r="E3000" s="159">
        <v>9533.31</v>
      </c>
      <c r="F3000" s="159"/>
      <c r="G3000" s="160" t="s">
        <v>2591</v>
      </c>
    </row>
    <row r="3001" spans="1:7" ht="12.75" customHeight="1">
      <c r="A3001" s="160">
        <v>1</v>
      </c>
      <c r="B3001" s="160" t="s">
        <v>950</v>
      </c>
      <c r="C3001" s="157" t="s">
        <v>1</v>
      </c>
      <c r="D3001" s="159">
        <v>12</v>
      </c>
      <c r="E3001" s="159">
        <v>48.63</v>
      </c>
      <c r="F3001" s="159">
        <v>583.55999999999995</v>
      </c>
      <c r="G3001" s="160" t="s">
        <v>5005</v>
      </c>
    </row>
    <row r="3002" spans="1:7" ht="12.75" customHeight="1">
      <c r="A3002" s="160">
        <v>2</v>
      </c>
      <c r="B3002" s="160" t="s">
        <v>985</v>
      </c>
      <c r="C3002" s="157" t="s">
        <v>1</v>
      </c>
      <c r="D3002" s="159">
        <v>8</v>
      </c>
      <c r="E3002" s="159">
        <v>644.12</v>
      </c>
      <c r="F3002" s="159">
        <v>5152.96</v>
      </c>
      <c r="G3002" s="160" t="s">
        <v>4980</v>
      </c>
    </row>
    <row r="3003" spans="1:7" ht="12.75" customHeight="1">
      <c r="A3003" s="160">
        <v>3</v>
      </c>
      <c r="B3003" s="160" t="s">
        <v>26</v>
      </c>
      <c r="C3003" s="157" t="s">
        <v>1</v>
      </c>
      <c r="D3003" s="159">
        <v>20</v>
      </c>
      <c r="E3003" s="159">
        <v>711.86</v>
      </c>
      <c r="F3003" s="159">
        <v>14237.2</v>
      </c>
      <c r="G3003" s="160" t="s">
        <v>4981</v>
      </c>
    </row>
    <row r="3004" spans="1:7" ht="12.75" customHeight="1">
      <c r="A3004" s="160">
        <v>4</v>
      </c>
      <c r="B3004" s="160" t="s">
        <v>4519</v>
      </c>
      <c r="C3004" s="157" t="s">
        <v>0</v>
      </c>
      <c r="D3004" s="159">
        <v>18</v>
      </c>
      <c r="E3004" s="159">
        <v>1745.15</v>
      </c>
      <c r="F3004" s="159">
        <v>31412.7</v>
      </c>
      <c r="G3004" s="160" t="s">
        <v>5006</v>
      </c>
    </row>
    <row r="3005" spans="1:7" ht="12.75" customHeight="1">
      <c r="A3005" s="160">
        <v>5</v>
      </c>
      <c r="B3005" s="160" t="s">
        <v>3639</v>
      </c>
      <c r="C3005" s="157" t="s">
        <v>0</v>
      </c>
      <c r="D3005" s="159">
        <v>0.51</v>
      </c>
      <c r="E3005" s="159">
        <v>8203.94</v>
      </c>
      <c r="F3005" s="159">
        <v>4184.01</v>
      </c>
      <c r="G3005" s="160" t="s">
        <v>5008</v>
      </c>
    </row>
    <row r="3006" spans="1:7" ht="12.75" customHeight="1">
      <c r="A3006" s="160">
        <v>6</v>
      </c>
      <c r="B3006" s="160" t="s">
        <v>3640</v>
      </c>
      <c r="C3006" s="157" t="s">
        <v>0</v>
      </c>
      <c r="D3006" s="159">
        <v>1.5</v>
      </c>
      <c r="E3006" s="159">
        <v>8142.53</v>
      </c>
      <c r="F3006" s="159">
        <v>12213.8</v>
      </c>
      <c r="G3006" s="160" t="s">
        <v>5007</v>
      </c>
    </row>
    <row r="3007" spans="1:7" ht="12.75" customHeight="1">
      <c r="A3007" s="160">
        <v>7</v>
      </c>
      <c r="B3007" s="160" t="s">
        <v>1149</v>
      </c>
      <c r="C3007" s="157" t="s">
        <v>3</v>
      </c>
      <c r="D3007" s="159">
        <v>10</v>
      </c>
      <c r="E3007" s="159">
        <v>17.53</v>
      </c>
      <c r="F3007" s="159">
        <v>175.3</v>
      </c>
      <c r="G3007" s="160" t="s">
        <v>5009</v>
      </c>
    </row>
    <row r="3008" spans="1:7" ht="12.75" customHeight="1">
      <c r="A3008" s="160">
        <v>8</v>
      </c>
      <c r="B3008" s="160" t="s">
        <v>1140</v>
      </c>
      <c r="C3008" s="157" t="s">
        <v>3</v>
      </c>
      <c r="D3008" s="159">
        <v>10</v>
      </c>
      <c r="E3008" s="159">
        <v>44.1</v>
      </c>
      <c r="F3008" s="159">
        <v>441</v>
      </c>
      <c r="G3008" s="160" t="s">
        <v>5010</v>
      </c>
    </row>
    <row r="3009" spans="1:7" ht="12.75" customHeight="1">
      <c r="A3009" s="160">
        <v>9</v>
      </c>
      <c r="B3009" s="160" t="s">
        <v>1250</v>
      </c>
      <c r="C3009" s="157" t="s">
        <v>17</v>
      </c>
      <c r="D3009" s="159">
        <v>20</v>
      </c>
      <c r="E3009" s="159">
        <v>76.73</v>
      </c>
      <c r="F3009" s="159">
        <v>1534.6</v>
      </c>
      <c r="G3009" s="160" t="s">
        <v>4979</v>
      </c>
    </row>
    <row r="3010" spans="1:7" ht="12.75" customHeight="1">
      <c r="A3010" s="160">
        <v>10</v>
      </c>
      <c r="B3010" s="160" t="s">
        <v>2572</v>
      </c>
      <c r="C3010" s="157" t="s">
        <v>14</v>
      </c>
      <c r="D3010" s="159">
        <v>1</v>
      </c>
      <c r="E3010" s="159">
        <v>1291.5999999999999</v>
      </c>
      <c r="F3010" s="159">
        <v>1291.5999999999999</v>
      </c>
      <c r="G3010" s="160" t="s">
        <v>2573</v>
      </c>
    </row>
    <row r="3011" spans="1:7" ht="12.75" customHeight="1">
      <c r="A3011" s="160">
        <v>11</v>
      </c>
      <c r="B3011" s="160" t="s">
        <v>2574</v>
      </c>
      <c r="C3011" s="157" t="s">
        <v>14</v>
      </c>
      <c r="D3011" s="159">
        <v>1</v>
      </c>
      <c r="E3011" s="159">
        <v>1987.08</v>
      </c>
      <c r="F3011" s="159">
        <v>1987.08</v>
      </c>
      <c r="G3011" s="160" t="s">
        <v>2575</v>
      </c>
    </row>
    <row r="3012" spans="1:7" ht="12.75" customHeight="1">
      <c r="A3012" s="160">
        <v>12</v>
      </c>
      <c r="B3012" s="160" t="s">
        <v>2287</v>
      </c>
      <c r="C3012" s="157" t="s">
        <v>14</v>
      </c>
      <c r="D3012" s="159">
        <v>1</v>
      </c>
      <c r="E3012" s="159">
        <v>19373.990000000002</v>
      </c>
      <c r="F3012" s="159">
        <v>19373.990000000002</v>
      </c>
      <c r="G3012" s="160" t="s">
        <v>2288</v>
      </c>
    </row>
    <row r="3013" spans="1:7" ht="12.75" customHeight="1">
      <c r="A3013" s="160">
        <v>13</v>
      </c>
      <c r="B3013" s="160" t="s">
        <v>931</v>
      </c>
      <c r="C3013" s="157" t="s">
        <v>14</v>
      </c>
      <c r="D3013" s="159">
        <v>1</v>
      </c>
      <c r="E3013" s="159">
        <v>2745.33</v>
      </c>
      <c r="F3013" s="159">
        <v>2745.33</v>
      </c>
      <c r="G3013" s="160" t="s">
        <v>2110</v>
      </c>
    </row>
    <row r="3014" spans="1:7" ht="12.75" customHeight="1">
      <c r="A3014" s="160"/>
      <c r="B3014" s="160" t="s">
        <v>933</v>
      </c>
      <c r="C3014" s="157" t="s">
        <v>17</v>
      </c>
      <c r="D3014" s="159">
        <v>10</v>
      </c>
      <c r="E3014" s="159"/>
      <c r="F3014" s="159">
        <v>95333.130000000019</v>
      </c>
      <c r="G3014" s="160"/>
    </row>
    <row r="3015" spans="1:7" ht="12.75" customHeight="1">
      <c r="A3015" s="160"/>
      <c r="B3015" s="160" t="s">
        <v>934</v>
      </c>
      <c r="C3015" s="157" t="s">
        <v>17</v>
      </c>
      <c r="D3015" s="159"/>
      <c r="E3015" s="159"/>
      <c r="F3015" s="159">
        <v>9533.31</v>
      </c>
      <c r="G3015" s="160"/>
    </row>
    <row r="3016" spans="1:7" ht="12.75" customHeight="1">
      <c r="A3016" s="160"/>
      <c r="B3016" s="160"/>
      <c r="C3016" s="157"/>
      <c r="D3016" s="159"/>
      <c r="E3016" s="159"/>
      <c r="F3016" s="159"/>
      <c r="G3016" s="160"/>
    </row>
    <row r="3017" spans="1:7" ht="12.75" customHeight="1">
      <c r="A3017" s="160" t="s">
        <v>5018</v>
      </c>
      <c r="B3017" s="160" t="s">
        <v>2593</v>
      </c>
      <c r="C3017" s="157" t="s">
        <v>17</v>
      </c>
      <c r="D3017" s="159">
        <v>10</v>
      </c>
      <c r="E3017" s="159">
        <v>10619.52</v>
      </c>
      <c r="F3017" s="159"/>
      <c r="G3017" s="160" t="s">
        <v>2594</v>
      </c>
    </row>
    <row r="3018" spans="1:7" ht="12.75" customHeight="1">
      <c r="A3018" s="160">
        <v>1</v>
      </c>
      <c r="B3018" s="160" t="s">
        <v>2579</v>
      </c>
      <c r="C3018" s="157" t="s">
        <v>1</v>
      </c>
      <c r="D3018" s="159">
        <v>12</v>
      </c>
      <c r="E3018" s="159">
        <v>67.849999999999994</v>
      </c>
      <c r="F3018" s="159">
        <v>814.2</v>
      </c>
      <c r="G3018" s="160" t="s">
        <v>5012</v>
      </c>
    </row>
    <row r="3019" spans="1:7" ht="12.75" customHeight="1">
      <c r="A3019" s="160">
        <v>2</v>
      </c>
      <c r="B3019" s="160" t="s">
        <v>2214</v>
      </c>
      <c r="C3019" s="157" t="s">
        <v>1</v>
      </c>
      <c r="D3019" s="159">
        <v>8</v>
      </c>
      <c r="E3019" s="159">
        <v>1483.81</v>
      </c>
      <c r="F3019" s="159">
        <v>11870.48</v>
      </c>
      <c r="G3019" s="160" t="s">
        <v>4982</v>
      </c>
    </row>
    <row r="3020" spans="1:7" ht="12.75" customHeight="1">
      <c r="A3020" s="160">
        <v>3</v>
      </c>
      <c r="B3020" s="160" t="s">
        <v>2216</v>
      </c>
      <c r="C3020" s="157" t="s">
        <v>1</v>
      </c>
      <c r="D3020" s="159">
        <v>20</v>
      </c>
      <c r="E3020" s="159">
        <v>842.14</v>
      </c>
      <c r="F3020" s="159">
        <v>16842.8</v>
      </c>
      <c r="G3020" s="160" t="s">
        <v>2217</v>
      </c>
    </row>
    <row r="3021" spans="1:7" ht="12.75" customHeight="1">
      <c r="A3021" s="160">
        <v>4</v>
      </c>
      <c r="B3021" s="160" t="s">
        <v>4519</v>
      </c>
      <c r="C3021" s="157" t="s">
        <v>0</v>
      </c>
      <c r="D3021" s="159">
        <v>18</v>
      </c>
      <c r="E3021" s="159">
        <v>1745.15</v>
      </c>
      <c r="F3021" s="159">
        <v>31412.7</v>
      </c>
      <c r="G3021" s="160" t="s">
        <v>5006</v>
      </c>
    </row>
    <row r="3022" spans="1:7" ht="12.75" customHeight="1">
      <c r="A3022" s="160">
        <v>5</v>
      </c>
      <c r="B3022" s="160" t="s">
        <v>4049</v>
      </c>
      <c r="C3022" s="157" t="s">
        <v>0</v>
      </c>
      <c r="D3022" s="159">
        <v>0.51</v>
      </c>
      <c r="E3022" s="159">
        <v>8697.4699999999993</v>
      </c>
      <c r="F3022" s="159">
        <v>4435.71</v>
      </c>
      <c r="G3022" s="160" t="s">
        <v>5014</v>
      </c>
    </row>
    <row r="3023" spans="1:7" ht="12.75" customHeight="1">
      <c r="A3023" s="160">
        <v>6</v>
      </c>
      <c r="B3023" s="160" t="s">
        <v>4048</v>
      </c>
      <c r="C3023" s="157" t="s">
        <v>0</v>
      </c>
      <c r="D3023" s="159">
        <v>1.5</v>
      </c>
      <c r="E3023" s="159">
        <v>8636.07</v>
      </c>
      <c r="F3023" s="159">
        <v>12954.11</v>
      </c>
      <c r="G3023" s="160" t="s">
        <v>5013</v>
      </c>
    </row>
    <row r="3024" spans="1:7" ht="12.75" customHeight="1">
      <c r="A3024" s="160">
        <v>7</v>
      </c>
      <c r="B3024" s="160" t="s">
        <v>1149</v>
      </c>
      <c r="C3024" s="157" t="s">
        <v>3</v>
      </c>
      <c r="D3024" s="159">
        <v>10</v>
      </c>
      <c r="E3024" s="159">
        <v>17.53</v>
      </c>
      <c r="F3024" s="159">
        <v>175.3</v>
      </c>
      <c r="G3024" s="160" t="s">
        <v>5009</v>
      </c>
    </row>
    <row r="3025" spans="1:7" ht="12.75" customHeight="1">
      <c r="A3025" s="160">
        <v>8</v>
      </c>
      <c r="B3025" s="160" t="s">
        <v>1140</v>
      </c>
      <c r="C3025" s="157" t="s">
        <v>3</v>
      </c>
      <c r="D3025" s="159">
        <v>10</v>
      </c>
      <c r="E3025" s="159">
        <v>44.1</v>
      </c>
      <c r="F3025" s="159">
        <v>441</v>
      </c>
      <c r="G3025" s="160" t="s">
        <v>5010</v>
      </c>
    </row>
    <row r="3026" spans="1:7" ht="12.75" customHeight="1">
      <c r="A3026" s="160">
        <v>9</v>
      </c>
      <c r="B3026" s="160" t="s">
        <v>1250</v>
      </c>
      <c r="C3026" s="157" t="s">
        <v>17</v>
      </c>
      <c r="D3026" s="159">
        <v>20</v>
      </c>
      <c r="E3026" s="159">
        <v>76.73</v>
      </c>
      <c r="F3026" s="159">
        <v>1534.6</v>
      </c>
      <c r="G3026" s="160" t="s">
        <v>4979</v>
      </c>
    </row>
    <row r="3027" spans="1:7" ht="12.75" customHeight="1">
      <c r="A3027" s="160">
        <v>10</v>
      </c>
      <c r="B3027" s="160" t="s">
        <v>2572</v>
      </c>
      <c r="C3027" s="157" t="s">
        <v>14</v>
      </c>
      <c r="D3027" s="159">
        <v>1</v>
      </c>
      <c r="E3027" s="159">
        <v>1291.5999999999999</v>
      </c>
      <c r="F3027" s="159">
        <v>1291.5999999999999</v>
      </c>
      <c r="G3027" s="160" t="s">
        <v>2573</v>
      </c>
    </row>
    <row r="3028" spans="1:7" ht="12.75" customHeight="1">
      <c r="A3028" s="160">
        <v>11</v>
      </c>
      <c r="B3028" s="160" t="s">
        <v>2574</v>
      </c>
      <c r="C3028" s="157" t="s">
        <v>14</v>
      </c>
      <c r="D3028" s="159">
        <v>1</v>
      </c>
      <c r="E3028" s="159">
        <v>1987.08</v>
      </c>
      <c r="F3028" s="159">
        <v>1987.08</v>
      </c>
      <c r="G3028" s="160" t="s">
        <v>2575</v>
      </c>
    </row>
    <row r="3029" spans="1:7" ht="12.75" customHeight="1">
      <c r="A3029" s="160">
        <v>12</v>
      </c>
      <c r="B3029" s="160" t="s">
        <v>2287</v>
      </c>
      <c r="C3029" s="157" t="s">
        <v>14</v>
      </c>
      <c r="D3029" s="159">
        <v>1</v>
      </c>
      <c r="E3029" s="159">
        <v>19373.990000000002</v>
      </c>
      <c r="F3029" s="159">
        <v>19373.990000000002</v>
      </c>
      <c r="G3029" s="160" t="s">
        <v>2288</v>
      </c>
    </row>
    <row r="3030" spans="1:7" ht="12.75" customHeight="1">
      <c r="A3030" s="160">
        <v>13</v>
      </c>
      <c r="B3030" s="160" t="s">
        <v>931</v>
      </c>
      <c r="C3030" s="157" t="s">
        <v>14</v>
      </c>
      <c r="D3030" s="159">
        <v>1</v>
      </c>
      <c r="E3030" s="159">
        <v>3061.64</v>
      </c>
      <c r="F3030" s="159">
        <v>3061.64</v>
      </c>
      <c r="G3030" s="160" t="s">
        <v>2110</v>
      </c>
    </row>
    <row r="3031" spans="1:7" ht="12.75" customHeight="1">
      <c r="A3031" s="160"/>
      <c r="B3031" s="160" t="s">
        <v>933</v>
      </c>
      <c r="C3031" s="157" t="s">
        <v>17</v>
      </c>
      <c r="D3031" s="159">
        <v>10</v>
      </c>
      <c r="E3031" s="159"/>
      <c r="F3031" s="159">
        <v>106195.21000000002</v>
      </c>
      <c r="G3031" s="160"/>
    </row>
    <row r="3032" spans="1:7" ht="12.75" customHeight="1">
      <c r="A3032" s="160"/>
      <c r="B3032" s="160" t="s">
        <v>934</v>
      </c>
      <c r="C3032" s="157" t="s">
        <v>17</v>
      </c>
      <c r="D3032" s="159"/>
      <c r="E3032" s="159"/>
      <c r="F3032" s="159">
        <v>10619.52</v>
      </c>
      <c r="G3032" s="160"/>
    </row>
    <row r="3033" spans="1:7" ht="12.75" customHeight="1">
      <c r="A3033" s="160"/>
      <c r="B3033" s="160"/>
      <c r="C3033" s="157"/>
      <c r="D3033" s="159"/>
      <c r="E3033" s="159"/>
      <c r="F3033" s="159"/>
      <c r="G3033" s="160"/>
    </row>
    <row r="3034" spans="1:7" ht="12.75" customHeight="1">
      <c r="A3034" s="160" t="s">
        <v>5019</v>
      </c>
      <c r="B3034" s="160" t="s">
        <v>2596</v>
      </c>
      <c r="C3034" s="157" t="s">
        <v>17</v>
      </c>
      <c r="D3034" s="159">
        <v>10</v>
      </c>
      <c r="E3034" s="159">
        <v>15142.55</v>
      </c>
      <c r="F3034" s="159"/>
      <c r="G3034" s="160" t="s">
        <v>2597</v>
      </c>
    </row>
    <row r="3035" spans="1:7" ht="12.75" customHeight="1">
      <c r="A3035" s="160">
        <v>1</v>
      </c>
      <c r="B3035" s="160" t="s">
        <v>950</v>
      </c>
      <c r="C3035" s="157" t="s">
        <v>1</v>
      </c>
      <c r="D3035" s="159">
        <v>24</v>
      </c>
      <c r="E3035" s="159">
        <v>48.63</v>
      </c>
      <c r="F3035" s="159">
        <v>1167.1199999999999</v>
      </c>
      <c r="G3035" s="160" t="s">
        <v>5005</v>
      </c>
    </row>
    <row r="3036" spans="1:7" ht="12.75" customHeight="1">
      <c r="A3036" s="160">
        <v>2</v>
      </c>
      <c r="B3036" s="160" t="s">
        <v>985</v>
      </c>
      <c r="C3036" s="157" t="s">
        <v>1</v>
      </c>
      <c r="D3036" s="159">
        <v>16</v>
      </c>
      <c r="E3036" s="159">
        <v>644.12</v>
      </c>
      <c r="F3036" s="159">
        <v>10305.92</v>
      </c>
      <c r="G3036" s="160" t="s">
        <v>4980</v>
      </c>
    </row>
    <row r="3037" spans="1:7" ht="12.75" customHeight="1">
      <c r="A3037" s="160">
        <v>3</v>
      </c>
      <c r="B3037" s="160" t="s">
        <v>26</v>
      </c>
      <c r="C3037" s="157" t="s">
        <v>1</v>
      </c>
      <c r="D3037" s="159">
        <v>40</v>
      </c>
      <c r="E3037" s="159">
        <v>711.86</v>
      </c>
      <c r="F3037" s="159">
        <v>28474.400000000001</v>
      </c>
      <c r="G3037" s="160" t="s">
        <v>4981</v>
      </c>
    </row>
    <row r="3038" spans="1:7" ht="12.75" customHeight="1">
      <c r="A3038" s="160">
        <v>4</v>
      </c>
      <c r="B3038" s="160" t="s">
        <v>4519</v>
      </c>
      <c r="C3038" s="157" t="s">
        <v>0</v>
      </c>
      <c r="D3038" s="159">
        <v>32</v>
      </c>
      <c r="E3038" s="159">
        <v>1745.15</v>
      </c>
      <c r="F3038" s="159">
        <v>55844.800000000003</v>
      </c>
      <c r="G3038" s="160" t="s">
        <v>5006</v>
      </c>
    </row>
    <row r="3039" spans="1:7" ht="12.75" customHeight="1">
      <c r="A3039" s="160">
        <v>5</v>
      </c>
      <c r="B3039" s="160" t="s">
        <v>3639</v>
      </c>
      <c r="C3039" s="157" t="s">
        <v>0</v>
      </c>
      <c r="D3039" s="159">
        <v>0.8</v>
      </c>
      <c r="E3039" s="159">
        <v>8203.94</v>
      </c>
      <c r="F3039" s="159">
        <v>6563.15</v>
      </c>
      <c r="G3039" s="160" t="s">
        <v>5008</v>
      </c>
    </row>
    <row r="3040" spans="1:7" ht="12.75" customHeight="1">
      <c r="A3040" s="160">
        <v>6</v>
      </c>
      <c r="B3040" s="160" t="s">
        <v>3640</v>
      </c>
      <c r="C3040" s="157" t="s">
        <v>0</v>
      </c>
      <c r="D3040" s="159">
        <v>2.4</v>
      </c>
      <c r="E3040" s="159">
        <v>8142.53</v>
      </c>
      <c r="F3040" s="159">
        <v>19542.07</v>
      </c>
      <c r="G3040" s="160" t="s">
        <v>5007</v>
      </c>
    </row>
    <row r="3041" spans="1:7" ht="12.75" customHeight="1">
      <c r="A3041" s="160">
        <v>7</v>
      </c>
      <c r="B3041" s="160" t="s">
        <v>1149</v>
      </c>
      <c r="C3041" s="157" t="s">
        <v>3</v>
      </c>
      <c r="D3041" s="159">
        <v>16</v>
      </c>
      <c r="E3041" s="159">
        <v>17.53</v>
      </c>
      <c r="F3041" s="159">
        <v>280.48</v>
      </c>
      <c r="G3041" s="160" t="s">
        <v>5009</v>
      </c>
    </row>
    <row r="3042" spans="1:7" ht="12.75" customHeight="1">
      <c r="A3042" s="160">
        <v>8</v>
      </c>
      <c r="B3042" s="160" t="s">
        <v>1140</v>
      </c>
      <c r="C3042" s="157" t="s">
        <v>3</v>
      </c>
      <c r="D3042" s="159">
        <v>16</v>
      </c>
      <c r="E3042" s="159">
        <v>44.1</v>
      </c>
      <c r="F3042" s="159">
        <v>705.6</v>
      </c>
      <c r="G3042" s="160" t="s">
        <v>5010</v>
      </c>
    </row>
    <row r="3043" spans="1:7" ht="12.75" customHeight="1">
      <c r="A3043" s="160">
        <v>9</v>
      </c>
      <c r="B3043" s="160" t="s">
        <v>1250</v>
      </c>
      <c r="C3043" s="157" t="s">
        <v>17</v>
      </c>
      <c r="D3043" s="159">
        <v>20</v>
      </c>
      <c r="E3043" s="159">
        <v>76.73</v>
      </c>
      <c r="F3043" s="159">
        <v>1534.6</v>
      </c>
      <c r="G3043" s="160" t="s">
        <v>4979</v>
      </c>
    </row>
    <row r="3044" spans="1:7" ht="12.75" customHeight="1">
      <c r="A3044" s="160">
        <v>10</v>
      </c>
      <c r="B3044" s="160" t="s">
        <v>2572</v>
      </c>
      <c r="C3044" s="157" t="s">
        <v>14</v>
      </c>
      <c r="D3044" s="159">
        <v>1</v>
      </c>
      <c r="E3044" s="159">
        <v>1291.5999999999999</v>
      </c>
      <c r="F3044" s="159">
        <v>1291.5999999999999</v>
      </c>
      <c r="G3044" s="160" t="s">
        <v>2573</v>
      </c>
    </row>
    <row r="3045" spans="1:7" ht="12.75" customHeight="1">
      <c r="A3045" s="160">
        <v>11</v>
      </c>
      <c r="B3045" s="160" t="s">
        <v>2574</v>
      </c>
      <c r="C3045" s="157" t="s">
        <v>14</v>
      </c>
      <c r="D3045" s="159">
        <v>1</v>
      </c>
      <c r="E3045" s="159">
        <v>1987.08</v>
      </c>
      <c r="F3045" s="159">
        <v>1987.08</v>
      </c>
      <c r="G3045" s="160" t="s">
        <v>2575</v>
      </c>
    </row>
    <row r="3046" spans="1:7" ht="12.75" customHeight="1">
      <c r="A3046" s="160">
        <v>12</v>
      </c>
      <c r="B3046" s="160" t="s">
        <v>2287</v>
      </c>
      <c r="C3046" s="157" t="s">
        <v>14</v>
      </c>
      <c r="D3046" s="159">
        <v>1</v>
      </c>
      <c r="E3046" s="159">
        <v>19373.990000000002</v>
      </c>
      <c r="F3046" s="159">
        <v>19373.990000000002</v>
      </c>
      <c r="G3046" s="160" t="s">
        <v>2288</v>
      </c>
    </row>
    <row r="3047" spans="1:7" ht="12.75" customHeight="1">
      <c r="A3047" s="160">
        <v>13</v>
      </c>
      <c r="B3047" s="160" t="s">
        <v>931</v>
      </c>
      <c r="C3047" s="157" t="s">
        <v>14</v>
      </c>
      <c r="D3047" s="159">
        <v>1</v>
      </c>
      <c r="E3047" s="159">
        <v>4354.7</v>
      </c>
      <c r="F3047" s="159">
        <v>4354.7</v>
      </c>
      <c r="G3047" s="160" t="s">
        <v>2110</v>
      </c>
    </row>
    <row r="3048" spans="1:7" ht="12.75" customHeight="1">
      <c r="A3048" s="160"/>
      <c r="B3048" s="160" t="s">
        <v>933</v>
      </c>
      <c r="C3048" s="157" t="s">
        <v>17</v>
      </c>
      <c r="D3048" s="159">
        <v>10</v>
      </c>
      <c r="E3048" s="159"/>
      <c r="F3048" s="159">
        <v>151425.51</v>
      </c>
      <c r="G3048" s="160"/>
    </row>
    <row r="3049" spans="1:7" ht="12.75" customHeight="1">
      <c r="A3049" s="160"/>
      <c r="B3049" s="160" t="s">
        <v>934</v>
      </c>
      <c r="C3049" s="157" t="s">
        <v>17</v>
      </c>
      <c r="D3049" s="159"/>
      <c r="E3049" s="159"/>
      <c r="F3049" s="159">
        <v>15142.55</v>
      </c>
      <c r="G3049" s="160"/>
    </row>
    <row r="3050" spans="1:7" ht="12.75" customHeight="1">
      <c r="A3050" s="160"/>
      <c r="B3050" s="160"/>
      <c r="C3050" s="157"/>
      <c r="D3050" s="159"/>
      <c r="E3050" s="159"/>
      <c r="F3050" s="159"/>
      <c r="G3050" s="160"/>
    </row>
    <row r="3051" spans="1:7" ht="12.75" customHeight="1">
      <c r="A3051" s="160" t="s">
        <v>5020</v>
      </c>
      <c r="B3051" s="160" t="s">
        <v>2599</v>
      </c>
      <c r="C3051" s="157" t="s">
        <v>17</v>
      </c>
      <c r="D3051" s="159">
        <v>10</v>
      </c>
      <c r="E3051" s="159">
        <v>17273.29</v>
      </c>
      <c r="F3051" s="159"/>
      <c r="G3051" s="160" t="s">
        <v>2600</v>
      </c>
    </row>
    <row r="3052" spans="1:7" ht="12.75" customHeight="1">
      <c r="A3052" s="160">
        <v>1</v>
      </c>
      <c r="B3052" s="160" t="s">
        <v>2579</v>
      </c>
      <c r="C3052" s="157" t="s">
        <v>1</v>
      </c>
      <c r="D3052" s="159">
        <v>24</v>
      </c>
      <c r="E3052" s="159">
        <v>67.849999999999994</v>
      </c>
      <c r="F3052" s="159">
        <v>1628.4</v>
      </c>
      <c r="G3052" s="160" t="s">
        <v>5012</v>
      </c>
    </row>
    <row r="3053" spans="1:7" ht="12.75" customHeight="1">
      <c r="A3053" s="160">
        <v>2</v>
      </c>
      <c r="B3053" s="160" t="s">
        <v>2214</v>
      </c>
      <c r="C3053" s="157" t="s">
        <v>1</v>
      </c>
      <c r="D3053" s="159">
        <v>16</v>
      </c>
      <c r="E3053" s="159">
        <v>1483.81</v>
      </c>
      <c r="F3053" s="159">
        <v>23740.959999999999</v>
      </c>
      <c r="G3053" s="160" t="s">
        <v>4982</v>
      </c>
    </row>
    <row r="3054" spans="1:7" ht="12.75" customHeight="1">
      <c r="A3054" s="160">
        <v>3</v>
      </c>
      <c r="B3054" s="160" t="s">
        <v>4519</v>
      </c>
      <c r="C3054" s="157" t="s">
        <v>0</v>
      </c>
      <c r="D3054" s="159">
        <v>32</v>
      </c>
      <c r="E3054" s="159">
        <v>1745.15</v>
      </c>
      <c r="F3054" s="159">
        <v>55844.800000000003</v>
      </c>
      <c r="G3054" s="160" t="s">
        <v>5006</v>
      </c>
    </row>
    <row r="3055" spans="1:7" ht="12.75" customHeight="1">
      <c r="A3055" s="160">
        <v>4</v>
      </c>
      <c r="B3055" s="160" t="s">
        <v>2216</v>
      </c>
      <c r="C3055" s="157" t="s">
        <v>1</v>
      </c>
      <c r="D3055" s="159">
        <v>40</v>
      </c>
      <c r="E3055" s="159">
        <v>842.14</v>
      </c>
      <c r="F3055" s="159">
        <v>33685.599999999999</v>
      </c>
      <c r="G3055" s="160" t="s">
        <v>2217</v>
      </c>
    </row>
    <row r="3056" spans="1:7" ht="12.75" customHeight="1">
      <c r="A3056" s="160">
        <v>5</v>
      </c>
      <c r="B3056" s="160" t="s">
        <v>4049</v>
      </c>
      <c r="C3056" s="157" t="s">
        <v>0</v>
      </c>
      <c r="D3056" s="159">
        <v>0.8</v>
      </c>
      <c r="E3056" s="159">
        <v>8697.4699999999993</v>
      </c>
      <c r="F3056" s="159">
        <v>6957.98</v>
      </c>
      <c r="G3056" s="160" t="s">
        <v>5014</v>
      </c>
    </row>
    <row r="3057" spans="1:7" ht="12.75" customHeight="1">
      <c r="A3057" s="160">
        <v>6</v>
      </c>
      <c r="B3057" s="160" t="s">
        <v>4048</v>
      </c>
      <c r="C3057" s="157" t="s">
        <v>0</v>
      </c>
      <c r="D3057" s="159">
        <v>2.4</v>
      </c>
      <c r="E3057" s="159">
        <v>8636.07</v>
      </c>
      <c r="F3057" s="159">
        <v>20726.57</v>
      </c>
      <c r="G3057" s="160" t="s">
        <v>5013</v>
      </c>
    </row>
    <row r="3058" spans="1:7" ht="12.75" customHeight="1">
      <c r="A3058" s="160">
        <v>7</v>
      </c>
      <c r="B3058" s="160" t="s">
        <v>1149</v>
      </c>
      <c r="C3058" s="157" t="s">
        <v>3</v>
      </c>
      <c r="D3058" s="159">
        <v>16</v>
      </c>
      <c r="E3058" s="159">
        <v>17.53</v>
      </c>
      <c r="F3058" s="159">
        <v>280.48</v>
      </c>
      <c r="G3058" s="160" t="s">
        <v>5009</v>
      </c>
    </row>
    <row r="3059" spans="1:7" ht="12.75" customHeight="1">
      <c r="A3059" s="160">
        <v>8</v>
      </c>
      <c r="B3059" s="160" t="s">
        <v>1140</v>
      </c>
      <c r="C3059" s="157" t="s">
        <v>3</v>
      </c>
      <c r="D3059" s="159">
        <v>16</v>
      </c>
      <c r="E3059" s="159">
        <v>44.1</v>
      </c>
      <c r="F3059" s="159">
        <v>705.6</v>
      </c>
      <c r="G3059" s="160" t="s">
        <v>5010</v>
      </c>
    </row>
    <row r="3060" spans="1:7" ht="12.75" customHeight="1">
      <c r="A3060" s="160">
        <v>9</v>
      </c>
      <c r="B3060" s="160" t="s">
        <v>1250</v>
      </c>
      <c r="C3060" s="157" t="s">
        <v>17</v>
      </c>
      <c r="D3060" s="159">
        <v>20</v>
      </c>
      <c r="E3060" s="159">
        <v>76.73</v>
      </c>
      <c r="F3060" s="159">
        <v>1534.6</v>
      </c>
      <c r="G3060" s="160" t="s">
        <v>4979</v>
      </c>
    </row>
    <row r="3061" spans="1:7" ht="12.75" customHeight="1">
      <c r="A3061" s="160">
        <v>10</v>
      </c>
      <c r="B3061" s="160" t="s">
        <v>2572</v>
      </c>
      <c r="C3061" s="157" t="s">
        <v>14</v>
      </c>
      <c r="D3061" s="159">
        <v>1</v>
      </c>
      <c r="E3061" s="159">
        <v>1291.5999999999999</v>
      </c>
      <c r="F3061" s="159">
        <v>1291.5999999999999</v>
      </c>
      <c r="G3061" s="160" t="s">
        <v>2573</v>
      </c>
    </row>
    <row r="3062" spans="1:7" ht="12.75" customHeight="1">
      <c r="A3062" s="160">
        <v>11</v>
      </c>
      <c r="B3062" s="160" t="s">
        <v>2574</v>
      </c>
      <c r="C3062" s="157" t="s">
        <v>14</v>
      </c>
      <c r="D3062" s="159">
        <v>1</v>
      </c>
      <c r="E3062" s="159">
        <v>1987.08</v>
      </c>
      <c r="F3062" s="159">
        <v>1987.08</v>
      </c>
      <c r="G3062" s="160" t="s">
        <v>2575</v>
      </c>
    </row>
    <row r="3063" spans="1:7" ht="12.75" customHeight="1">
      <c r="A3063" s="160">
        <v>12</v>
      </c>
      <c r="B3063" s="160" t="s">
        <v>2287</v>
      </c>
      <c r="C3063" s="157" t="s">
        <v>14</v>
      </c>
      <c r="D3063" s="159">
        <v>1</v>
      </c>
      <c r="E3063" s="159">
        <v>19373.990000000002</v>
      </c>
      <c r="F3063" s="159">
        <v>19373.990000000002</v>
      </c>
      <c r="G3063" s="160" t="s">
        <v>2288</v>
      </c>
    </row>
    <row r="3064" spans="1:7" ht="12.75" customHeight="1">
      <c r="A3064" s="160">
        <v>13</v>
      </c>
      <c r="B3064" s="160" t="s">
        <v>931</v>
      </c>
      <c r="C3064" s="157" t="s">
        <v>14</v>
      </c>
      <c r="D3064" s="159">
        <v>1</v>
      </c>
      <c r="E3064" s="159">
        <v>4975.2</v>
      </c>
      <c r="F3064" s="159">
        <v>4975.2</v>
      </c>
      <c r="G3064" s="160" t="s">
        <v>2110</v>
      </c>
    </row>
    <row r="3065" spans="1:7" ht="12.75" customHeight="1">
      <c r="A3065" s="160"/>
      <c r="B3065" s="160" t="s">
        <v>933</v>
      </c>
      <c r="C3065" s="157" t="s">
        <v>17</v>
      </c>
      <c r="D3065" s="159">
        <v>10</v>
      </c>
      <c r="E3065" s="159"/>
      <c r="F3065" s="159">
        <v>172732.86000000002</v>
      </c>
      <c r="G3065" s="160"/>
    </row>
    <row r="3066" spans="1:7" ht="12.75" customHeight="1">
      <c r="A3066" s="160"/>
      <c r="B3066" s="160" t="s">
        <v>934</v>
      </c>
      <c r="C3066" s="157" t="s">
        <v>17</v>
      </c>
      <c r="D3066" s="159"/>
      <c r="E3066" s="159"/>
      <c r="F3066" s="159">
        <v>17273.29</v>
      </c>
      <c r="G3066" s="160"/>
    </row>
    <row r="3067" spans="1:7" ht="12.75" customHeight="1">
      <c r="A3067" s="160"/>
      <c r="B3067" s="160"/>
      <c r="C3067" s="157"/>
      <c r="D3067" s="159"/>
      <c r="E3067" s="159"/>
      <c r="F3067" s="159"/>
      <c r="G3067" s="160"/>
    </row>
    <row r="3068" spans="1:7" ht="12.75" customHeight="1">
      <c r="A3068" s="160" t="s">
        <v>5021</v>
      </c>
      <c r="B3068" s="160" t="s">
        <v>2602</v>
      </c>
      <c r="C3068" s="157" t="s">
        <v>17</v>
      </c>
      <c r="D3068" s="159">
        <v>10</v>
      </c>
      <c r="E3068" s="159">
        <v>17114.72</v>
      </c>
      <c r="F3068" s="159"/>
      <c r="G3068" s="160" t="s">
        <v>2603</v>
      </c>
    </row>
    <row r="3069" spans="1:7" ht="12.75" customHeight="1">
      <c r="A3069" s="160">
        <v>1</v>
      </c>
      <c r="B3069" s="160" t="s">
        <v>950</v>
      </c>
      <c r="C3069" s="157" t="s">
        <v>1</v>
      </c>
      <c r="D3069" s="159">
        <v>28.8</v>
      </c>
      <c r="E3069" s="159">
        <v>48.63</v>
      </c>
      <c r="F3069" s="159">
        <v>1400.54</v>
      </c>
      <c r="G3069" s="160" t="s">
        <v>5005</v>
      </c>
    </row>
    <row r="3070" spans="1:7" ht="12.75" customHeight="1">
      <c r="A3070" s="160">
        <v>2</v>
      </c>
      <c r="B3070" s="160" t="s">
        <v>985</v>
      </c>
      <c r="C3070" s="157" t="s">
        <v>1</v>
      </c>
      <c r="D3070" s="159">
        <v>19.2</v>
      </c>
      <c r="E3070" s="159">
        <v>644.12</v>
      </c>
      <c r="F3070" s="159">
        <v>12367.1</v>
      </c>
      <c r="G3070" s="160" t="s">
        <v>4980</v>
      </c>
    </row>
    <row r="3071" spans="1:7" ht="12.75" customHeight="1">
      <c r="A3071" s="160">
        <v>3</v>
      </c>
      <c r="B3071" s="160" t="s">
        <v>26</v>
      </c>
      <c r="C3071" s="157" t="s">
        <v>1</v>
      </c>
      <c r="D3071" s="159">
        <v>48</v>
      </c>
      <c r="E3071" s="159">
        <v>711.86</v>
      </c>
      <c r="F3071" s="159">
        <v>34169.279999999999</v>
      </c>
      <c r="G3071" s="160" t="s">
        <v>4981</v>
      </c>
    </row>
    <row r="3072" spans="1:7" ht="12.75" customHeight="1">
      <c r="A3072" s="160">
        <v>4</v>
      </c>
      <c r="B3072" s="160" t="s">
        <v>4519</v>
      </c>
      <c r="C3072" s="157" t="s">
        <v>0</v>
      </c>
      <c r="D3072" s="159">
        <v>38.4</v>
      </c>
      <c r="E3072" s="159">
        <v>1745.15</v>
      </c>
      <c r="F3072" s="159">
        <v>67013.759999999995</v>
      </c>
      <c r="G3072" s="160" t="s">
        <v>5006</v>
      </c>
    </row>
    <row r="3073" spans="1:7" ht="12.75" customHeight="1">
      <c r="A3073" s="160">
        <v>5</v>
      </c>
      <c r="B3073" s="160" t="s">
        <v>3639</v>
      </c>
      <c r="C3073" s="157" t="s">
        <v>0</v>
      </c>
      <c r="D3073" s="159">
        <v>0.8</v>
      </c>
      <c r="E3073" s="159">
        <v>8203.94</v>
      </c>
      <c r="F3073" s="159">
        <v>6563.15</v>
      </c>
      <c r="G3073" s="160" t="s">
        <v>5008</v>
      </c>
    </row>
    <row r="3074" spans="1:7" ht="12.75" customHeight="1">
      <c r="A3074" s="160">
        <v>6</v>
      </c>
      <c r="B3074" s="160" t="s">
        <v>3640</v>
      </c>
      <c r="C3074" s="157" t="s">
        <v>0</v>
      </c>
      <c r="D3074" s="159">
        <v>2.4</v>
      </c>
      <c r="E3074" s="159">
        <v>8142.53</v>
      </c>
      <c r="F3074" s="159">
        <v>19542.07</v>
      </c>
      <c r="G3074" s="160" t="s">
        <v>5007</v>
      </c>
    </row>
    <row r="3075" spans="1:7" ht="12.75" customHeight="1">
      <c r="A3075" s="160">
        <v>7</v>
      </c>
      <c r="B3075" s="160" t="s">
        <v>1149</v>
      </c>
      <c r="C3075" s="157" t="s">
        <v>3</v>
      </c>
      <c r="D3075" s="159">
        <v>16</v>
      </c>
      <c r="E3075" s="159">
        <v>17.53</v>
      </c>
      <c r="F3075" s="159">
        <v>280.48</v>
      </c>
      <c r="G3075" s="160" t="s">
        <v>5009</v>
      </c>
    </row>
    <row r="3076" spans="1:7" ht="12.75" customHeight="1">
      <c r="A3076" s="160">
        <v>8</v>
      </c>
      <c r="B3076" s="160" t="s">
        <v>1140</v>
      </c>
      <c r="C3076" s="157" t="s">
        <v>3</v>
      </c>
      <c r="D3076" s="159">
        <v>16</v>
      </c>
      <c r="E3076" s="159">
        <v>44.1</v>
      </c>
      <c r="F3076" s="159">
        <v>705.6</v>
      </c>
      <c r="G3076" s="160" t="s">
        <v>5010</v>
      </c>
    </row>
    <row r="3077" spans="1:7" ht="12.75" customHeight="1">
      <c r="A3077" s="160">
        <v>9</v>
      </c>
      <c r="B3077" s="160" t="s">
        <v>1250</v>
      </c>
      <c r="C3077" s="157" t="s">
        <v>17</v>
      </c>
      <c r="D3077" s="159">
        <v>20</v>
      </c>
      <c r="E3077" s="159">
        <v>76.73</v>
      </c>
      <c r="F3077" s="159">
        <v>1534.6</v>
      </c>
      <c r="G3077" s="160" t="s">
        <v>4979</v>
      </c>
    </row>
    <row r="3078" spans="1:7" ht="12.75" customHeight="1">
      <c r="A3078" s="160">
        <v>10</v>
      </c>
      <c r="B3078" s="160" t="s">
        <v>2572</v>
      </c>
      <c r="C3078" s="157" t="s">
        <v>14</v>
      </c>
      <c r="D3078" s="159">
        <v>1</v>
      </c>
      <c r="E3078" s="159">
        <v>1291.5999999999999</v>
      </c>
      <c r="F3078" s="159">
        <v>1291.5999999999999</v>
      </c>
      <c r="G3078" s="160" t="s">
        <v>2573</v>
      </c>
    </row>
    <row r="3079" spans="1:7" ht="12.75" customHeight="1">
      <c r="A3079" s="160">
        <v>11</v>
      </c>
      <c r="B3079" s="160" t="s">
        <v>2574</v>
      </c>
      <c r="C3079" s="157" t="s">
        <v>14</v>
      </c>
      <c r="D3079" s="159">
        <v>1</v>
      </c>
      <c r="E3079" s="159">
        <v>1987.08</v>
      </c>
      <c r="F3079" s="159">
        <v>1987.08</v>
      </c>
      <c r="G3079" s="160" t="s">
        <v>2575</v>
      </c>
    </row>
    <row r="3080" spans="1:7" ht="12.75" customHeight="1">
      <c r="A3080" s="160">
        <v>12</v>
      </c>
      <c r="B3080" s="160" t="s">
        <v>2287</v>
      </c>
      <c r="C3080" s="157" t="s">
        <v>14</v>
      </c>
      <c r="D3080" s="159">
        <v>1</v>
      </c>
      <c r="E3080" s="159">
        <v>19373.990000000002</v>
      </c>
      <c r="F3080" s="159">
        <v>19373.990000000002</v>
      </c>
      <c r="G3080" s="160" t="s">
        <v>2288</v>
      </c>
    </row>
    <row r="3081" spans="1:7" ht="12.75" customHeight="1">
      <c r="A3081" s="160">
        <v>13</v>
      </c>
      <c r="B3081" s="160" t="s">
        <v>931</v>
      </c>
      <c r="C3081" s="157" t="s">
        <v>14</v>
      </c>
      <c r="D3081" s="159">
        <v>1</v>
      </c>
      <c r="E3081" s="159">
        <v>4917.92</v>
      </c>
      <c r="F3081" s="159">
        <v>4917.92</v>
      </c>
      <c r="G3081" s="160" t="s">
        <v>2110</v>
      </c>
    </row>
    <row r="3082" spans="1:7" ht="12.75" customHeight="1">
      <c r="A3082" s="160"/>
      <c r="B3082" s="160" t="s">
        <v>933</v>
      </c>
      <c r="C3082" s="157" t="s">
        <v>17</v>
      </c>
      <c r="D3082" s="159">
        <v>10</v>
      </c>
      <c r="E3082" s="159"/>
      <c r="F3082" s="159">
        <v>171147.17</v>
      </c>
      <c r="G3082" s="160"/>
    </row>
    <row r="3083" spans="1:7" ht="12.75" customHeight="1">
      <c r="A3083" s="160"/>
      <c r="B3083" s="160" t="s">
        <v>934</v>
      </c>
      <c r="C3083" s="157" t="s">
        <v>17</v>
      </c>
      <c r="D3083" s="159"/>
      <c r="E3083" s="159"/>
      <c r="F3083" s="159">
        <v>17114.72</v>
      </c>
      <c r="G3083" s="160"/>
    </row>
    <row r="3084" spans="1:7" ht="12.75" customHeight="1">
      <c r="A3084" s="160"/>
      <c r="B3084" s="160"/>
      <c r="C3084" s="157"/>
      <c r="D3084" s="159"/>
      <c r="E3084" s="159"/>
      <c r="F3084" s="159"/>
      <c r="G3084" s="160"/>
    </row>
    <row r="3085" spans="1:7" ht="12.75" customHeight="1">
      <c r="A3085" s="160" t="s">
        <v>5022</v>
      </c>
      <c r="B3085" s="160" t="s">
        <v>2605</v>
      </c>
      <c r="C3085" s="157" t="s">
        <v>17</v>
      </c>
      <c r="D3085" s="159">
        <v>10</v>
      </c>
      <c r="E3085" s="159">
        <v>19639.07</v>
      </c>
      <c r="F3085" s="159"/>
      <c r="G3085" s="160" t="s">
        <v>2606</v>
      </c>
    </row>
    <row r="3086" spans="1:7" ht="12.75" customHeight="1">
      <c r="A3086" s="160">
        <v>1</v>
      </c>
      <c r="B3086" s="160" t="s">
        <v>2579</v>
      </c>
      <c r="C3086" s="157" t="s">
        <v>1</v>
      </c>
      <c r="D3086" s="159">
        <v>28.8</v>
      </c>
      <c r="E3086" s="159">
        <v>67.849999999999994</v>
      </c>
      <c r="F3086" s="159">
        <v>1954.08</v>
      </c>
      <c r="G3086" s="160" t="s">
        <v>5012</v>
      </c>
    </row>
    <row r="3087" spans="1:7" ht="12.75" customHeight="1">
      <c r="A3087" s="160">
        <v>2</v>
      </c>
      <c r="B3087" s="160" t="s">
        <v>2214</v>
      </c>
      <c r="C3087" s="157" t="s">
        <v>1</v>
      </c>
      <c r="D3087" s="159">
        <v>19.2</v>
      </c>
      <c r="E3087" s="159">
        <v>1483.81</v>
      </c>
      <c r="F3087" s="159">
        <v>28489.15</v>
      </c>
      <c r="G3087" s="160" t="s">
        <v>4982</v>
      </c>
    </row>
    <row r="3088" spans="1:7" ht="12.75" customHeight="1">
      <c r="A3088" s="160">
        <v>3</v>
      </c>
      <c r="B3088" s="160" t="s">
        <v>4519</v>
      </c>
      <c r="C3088" s="157" t="s">
        <v>0</v>
      </c>
      <c r="D3088" s="159">
        <v>38.4</v>
      </c>
      <c r="E3088" s="159">
        <v>1745.15</v>
      </c>
      <c r="F3088" s="159">
        <v>67013.759999999995</v>
      </c>
      <c r="G3088" s="160" t="s">
        <v>5006</v>
      </c>
    </row>
    <row r="3089" spans="1:7" ht="12.75" customHeight="1">
      <c r="A3089" s="160">
        <v>4</v>
      </c>
      <c r="B3089" s="160" t="s">
        <v>2216</v>
      </c>
      <c r="C3089" s="157" t="s">
        <v>1</v>
      </c>
      <c r="D3089" s="159">
        <v>48</v>
      </c>
      <c r="E3089" s="159">
        <v>842.14</v>
      </c>
      <c r="F3089" s="159">
        <v>40422.720000000001</v>
      </c>
      <c r="G3089" s="160" t="s">
        <v>2217</v>
      </c>
    </row>
    <row r="3090" spans="1:7" ht="12.75" customHeight="1">
      <c r="A3090" s="160">
        <v>5</v>
      </c>
      <c r="B3090" s="160" t="s">
        <v>4049</v>
      </c>
      <c r="C3090" s="157" t="s">
        <v>0</v>
      </c>
      <c r="D3090" s="159">
        <v>0.8</v>
      </c>
      <c r="E3090" s="159">
        <v>8697.4699999999993</v>
      </c>
      <c r="F3090" s="159">
        <v>6957.98</v>
      </c>
      <c r="G3090" s="160" t="s">
        <v>5014</v>
      </c>
    </row>
    <row r="3091" spans="1:7" ht="12.75" customHeight="1">
      <c r="A3091" s="160">
        <v>6</v>
      </c>
      <c r="B3091" s="160" t="s">
        <v>1149</v>
      </c>
      <c r="C3091" s="157" t="s">
        <v>3</v>
      </c>
      <c r="D3091" s="159">
        <v>16</v>
      </c>
      <c r="E3091" s="159">
        <v>17.53</v>
      </c>
      <c r="F3091" s="159">
        <v>280.48</v>
      </c>
      <c r="G3091" s="160" t="s">
        <v>5009</v>
      </c>
    </row>
    <row r="3092" spans="1:7" ht="12.75" customHeight="1">
      <c r="A3092" s="160">
        <v>7</v>
      </c>
      <c r="B3092" s="160" t="s">
        <v>1140</v>
      </c>
      <c r="C3092" s="157" t="s">
        <v>3</v>
      </c>
      <c r="D3092" s="159">
        <v>16</v>
      </c>
      <c r="E3092" s="159">
        <v>44.1</v>
      </c>
      <c r="F3092" s="159">
        <v>705.6</v>
      </c>
      <c r="G3092" s="160" t="s">
        <v>5010</v>
      </c>
    </row>
    <row r="3093" spans="1:7" ht="12.75" customHeight="1">
      <c r="A3093" s="160">
        <v>8</v>
      </c>
      <c r="B3093" s="160" t="s">
        <v>4048</v>
      </c>
      <c r="C3093" s="157" t="s">
        <v>0</v>
      </c>
      <c r="D3093" s="159">
        <v>2.4</v>
      </c>
      <c r="E3093" s="159">
        <v>8636.07</v>
      </c>
      <c r="F3093" s="159">
        <v>20726.57</v>
      </c>
      <c r="G3093" s="160" t="s">
        <v>5013</v>
      </c>
    </row>
    <row r="3094" spans="1:7" ht="12.75" customHeight="1">
      <c r="A3094" s="160">
        <v>9</v>
      </c>
      <c r="B3094" s="160" t="s">
        <v>1250</v>
      </c>
      <c r="C3094" s="157" t="s">
        <v>17</v>
      </c>
      <c r="D3094" s="159">
        <v>20</v>
      </c>
      <c r="E3094" s="159">
        <v>76.73</v>
      </c>
      <c r="F3094" s="159">
        <v>1534.6</v>
      </c>
      <c r="G3094" s="160" t="s">
        <v>4979</v>
      </c>
    </row>
    <row r="3095" spans="1:7" ht="12.75" customHeight="1">
      <c r="A3095" s="160">
        <v>10</v>
      </c>
      <c r="B3095" s="160" t="s">
        <v>2572</v>
      </c>
      <c r="C3095" s="157" t="s">
        <v>14</v>
      </c>
      <c r="D3095" s="159">
        <v>1</v>
      </c>
      <c r="E3095" s="159">
        <v>1291.5999999999999</v>
      </c>
      <c r="F3095" s="159">
        <v>1291.5999999999999</v>
      </c>
      <c r="G3095" s="160" t="s">
        <v>2573</v>
      </c>
    </row>
    <row r="3096" spans="1:7" ht="12.75" customHeight="1">
      <c r="A3096" s="160">
        <v>11</v>
      </c>
      <c r="B3096" s="160" t="s">
        <v>2574</v>
      </c>
      <c r="C3096" s="157" t="s">
        <v>14</v>
      </c>
      <c r="D3096" s="159">
        <v>1</v>
      </c>
      <c r="E3096" s="159">
        <v>1987.08</v>
      </c>
      <c r="F3096" s="159">
        <v>1987.08</v>
      </c>
      <c r="G3096" s="160" t="s">
        <v>2575</v>
      </c>
    </row>
    <row r="3097" spans="1:7" ht="12.75" customHeight="1">
      <c r="A3097" s="160">
        <v>12</v>
      </c>
      <c r="B3097" s="160" t="s">
        <v>2287</v>
      </c>
      <c r="C3097" s="157" t="s">
        <v>14</v>
      </c>
      <c r="D3097" s="159">
        <v>1</v>
      </c>
      <c r="E3097" s="159">
        <v>19373.990000000002</v>
      </c>
      <c r="F3097" s="159">
        <v>19373.990000000002</v>
      </c>
      <c r="G3097" s="160" t="s">
        <v>2288</v>
      </c>
    </row>
    <row r="3098" spans="1:7" ht="12.75" customHeight="1">
      <c r="A3098" s="160">
        <v>13</v>
      </c>
      <c r="B3098" s="160" t="s">
        <v>931</v>
      </c>
      <c r="C3098" s="157" t="s">
        <v>14</v>
      </c>
      <c r="D3098" s="159">
        <v>1</v>
      </c>
      <c r="E3098" s="159">
        <v>5653.05</v>
      </c>
      <c r="F3098" s="159">
        <v>5653.05</v>
      </c>
      <c r="G3098" s="160" t="s">
        <v>2110</v>
      </c>
    </row>
    <row r="3099" spans="1:7" ht="12.75" customHeight="1">
      <c r="A3099" s="160"/>
      <c r="B3099" s="160" t="s">
        <v>933</v>
      </c>
      <c r="C3099" s="157" t="s">
        <v>17</v>
      </c>
      <c r="D3099" s="159">
        <v>10</v>
      </c>
      <c r="E3099" s="159"/>
      <c r="F3099" s="159">
        <v>196390.66</v>
      </c>
      <c r="G3099" s="160"/>
    </row>
    <row r="3100" spans="1:7" ht="12.75" customHeight="1">
      <c r="A3100" s="160"/>
      <c r="B3100" s="160" t="s">
        <v>934</v>
      </c>
      <c r="C3100" s="157" t="s">
        <v>17</v>
      </c>
      <c r="D3100" s="159"/>
      <c r="E3100" s="159"/>
      <c r="F3100" s="159">
        <v>19639.07</v>
      </c>
      <c r="G3100" s="160"/>
    </row>
    <row r="3101" spans="1:7" ht="12.75" customHeight="1">
      <c r="A3101" s="160"/>
      <c r="B3101" s="160"/>
      <c r="C3101" s="157"/>
      <c r="D3101" s="159"/>
      <c r="E3101" s="159"/>
      <c r="F3101" s="159"/>
      <c r="G3101" s="160"/>
    </row>
    <row r="3102" spans="1:7" ht="12.75" customHeight="1">
      <c r="A3102" s="160" t="s">
        <v>5023</v>
      </c>
      <c r="B3102" s="160" t="s">
        <v>2608</v>
      </c>
      <c r="C3102" s="157" t="s">
        <v>3</v>
      </c>
      <c r="D3102" s="159">
        <v>100</v>
      </c>
      <c r="E3102" s="159">
        <v>16.91</v>
      </c>
      <c r="F3102" s="159"/>
      <c r="G3102" s="160" t="s">
        <v>2609</v>
      </c>
    </row>
    <row r="3103" spans="1:7" ht="12.75" customHeight="1">
      <c r="A3103" s="160">
        <v>1</v>
      </c>
      <c r="B3103" s="160" t="s">
        <v>2610</v>
      </c>
      <c r="C3103" s="157" t="s">
        <v>927</v>
      </c>
      <c r="D3103" s="159">
        <v>2</v>
      </c>
      <c r="E3103" s="159">
        <v>407.35</v>
      </c>
      <c r="F3103" s="159">
        <v>814.7</v>
      </c>
      <c r="G3103" s="160" t="s">
        <v>2611</v>
      </c>
    </row>
    <row r="3104" spans="1:7" ht="12.75" customHeight="1">
      <c r="A3104" s="160">
        <v>2</v>
      </c>
      <c r="B3104" s="160" t="s">
        <v>4871</v>
      </c>
      <c r="C3104" s="157" t="s">
        <v>927</v>
      </c>
      <c r="D3104" s="159">
        <v>2</v>
      </c>
      <c r="E3104" s="159">
        <v>279.18</v>
      </c>
      <c r="F3104" s="159">
        <v>558.36</v>
      </c>
      <c r="G3104" s="160" t="s">
        <v>4872</v>
      </c>
    </row>
    <row r="3105" spans="1:7" ht="12.75" customHeight="1">
      <c r="A3105" s="160">
        <v>3</v>
      </c>
      <c r="B3105" s="160" t="s">
        <v>2612</v>
      </c>
      <c r="C3105" s="157" t="s">
        <v>14</v>
      </c>
      <c r="D3105" s="159">
        <v>1</v>
      </c>
      <c r="E3105" s="159">
        <v>119.22</v>
      </c>
      <c r="F3105" s="159">
        <v>119.22</v>
      </c>
      <c r="G3105" s="160" t="s">
        <v>2613</v>
      </c>
    </row>
    <row r="3106" spans="1:7" ht="12.75" customHeight="1">
      <c r="A3106" s="160">
        <v>4</v>
      </c>
      <c r="B3106" s="160" t="s">
        <v>2614</v>
      </c>
      <c r="C3106" s="157" t="s">
        <v>14</v>
      </c>
      <c r="D3106" s="159">
        <v>1</v>
      </c>
      <c r="E3106" s="159">
        <v>149.03</v>
      </c>
      <c r="F3106" s="159">
        <v>149.03</v>
      </c>
      <c r="G3106" s="160" t="s">
        <v>2615</v>
      </c>
    </row>
    <row r="3107" spans="1:7" ht="12.75" customHeight="1">
      <c r="A3107" s="160">
        <v>5</v>
      </c>
      <c r="B3107" s="160" t="s">
        <v>931</v>
      </c>
      <c r="C3107" s="157" t="s">
        <v>14</v>
      </c>
      <c r="D3107" s="159">
        <v>1</v>
      </c>
      <c r="E3107" s="159">
        <v>49.24</v>
      </c>
      <c r="F3107" s="159">
        <v>49.24</v>
      </c>
      <c r="G3107" s="160" t="s">
        <v>932</v>
      </c>
    </row>
    <row r="3108" spans="1:7" ht="12.75" customHeight="1">
      <c r="A3108" s="160"/>
      <c r="B3108" s="160" t="s">
        <v>933</v>
      </c>
      <c r="C3108" s="157" t="s">
        <v>3</v>
      </c>
      <c r="D3108" s="159">
        <v>100</v>
      </c>
      <c r="E3108" s="159"/>
      <c r="F3108" s="159">
        <v>1690.55</v>
      </c>
      <c r="G3108" s="160"/>
    </row>
    <row r="3109" spans="1:7" ht="12.75" customHeight="1">
      <c r="A3109" s="160"/>
      <c r="B3109" s="160" t="s">
        <v>934</v>
      </c>
      <c r="C3109" s="157" t="s">
        <v>3</v>
      </c>
      <c r="D3109" s="159"/>
      <c r="E3109" s="159"/>
      <c r="F3109" s="159">
        <v>16.91</v>
      </c>
      <c r="G3109" s="160"/>
    </row>
    <row r="3110" spans="1:7" ht="12.75" customHeight="1">
      <c r="A3110" s="160"/>
      <c r="B3110" s="160"/>
      <c r="C3110" s="157"/>
      <c r="D3110" s="159"/>
      <c r="E3110" s="159"/>
      <c r="F3110" s="159"/>
      <c r="G3110" s="160"/>
    </row>
    <row r="3111" spans="1:7" ht="12.75" customHeight="1">
      <c r="A3111" s="160" t="s">
        <v>5024</v>
      </c>
      <c r="B3111" s="160" t="s">
        <v>2617</v>
      </c>
      <c r="C3111" s="157" t="s">
        <v>2618</v>
      </c>
      <c r="D3111" s="159">
        <v>1</v>
      </c>
      <c r="E3111" s="159">
        <v>763.52</v>
      </c>
      <c r="F3111" s="159"/>
      <c r="G3111" s="160" t="s">
        <v>2619</v>
      </c>
    </row>
    <row r="3112" spans="1:7" ht="12.75" customHeight="1">
      <c r="A3112" s="160">
        <v>1</v>
      </c>
      <c r="B3112" s="160" t="s">
        <v>2620</v>
      </c>
      <c r="C3112" s="157" t="s">
        <v>2621</v>
      </c>
      <c r="D3112" s="159">
        <v>1</v>
      </c>
      <c r="E3112" s="159">
        <v>65.569999999999993</v>
      </c>
      <c r="F3112" s="159">
        <v>65.569999999999993</v>
      </c>
      <c r="G3112" s="160" t="s">
        <v>2622</v>
      </c>
    </row>
    <row r="3113" spans="1:7" ht="12.75" customHeight="1">
      <c r="A3113" s="160">
        <v>2</v>
      </c>
      <c r="B3113" s="160" t="s">
        <v>5025</v>
      </c>
      <c r="C3113" s="157" t="s">
        <v>927</v>
      </c>
      <c r="D3113" s="159">
        <v>1</v>
      </c>
      <c r="E3113" s="159">
        <v>279.18</v>
      </c>
      <c r="F3113" s="159">
        <v>279.18</v>
      </c>
      <c r="G3113" s="160" t="s">
        <v>2623</v>
      </c>
    </row>
    <row r="3114" spans="1:7" ht="12.75" customHeight="1">
      <c r="A3114" s="160">
        <v>3</v>
      </c>
      <c r="B3114" s="160" t="s">
        <v>5026</v>
      </c>
      <c r="C3114" s="157" t="s">
        <v>927</v>
      </c>
      <c r="D3114" s="159">
        <v>1.5</v>
      </c>
      <c r="E3114" s="159">
        <v>279.18</v>
      </c>
      <c r="F3114" s="159">
        <v>418.77</v>
      </c>
      <c r="G3114" s="160" t="s">
        <v>2624</v>
      </c>
    </row>
    <row r="3115" spans="1:7" ht="12.75" customHeight="1">
      <c r="A3115" s="160"/>
      <c r="B3115" s="160" t="s">
        <v>933</v>
      </c>
      <c r="C3115" s="157" t="s">
        <v>2618</v>
      </c>
      <c r="D3115" s="159">
        <v>1</v>
      </c>
      <c r="E3115" s="159"/>
      <c r="F3115" s="159">
        <v>763.52</v>
      </c>
      <c r="G3115" s="160"/>
    </row>
    <row r="3116" spans="1:7" ht="12.75" customHeight="1">
      <c r="A3116" s="160"/>
      <c r="B3116" s="160" t="s">
        <v>934</v>
      </c>
      <c r="C3116" s="157" t="s">
        <v>2618</v>
      </c>
      <c r="D3116" s="159"/>
      <c r="E3116" s="159"/>
      <c r="F3116" s="159">
        <v>763.52</v>
      </c>
      <c r="G3116" s="160"/>
    </row>
    <row r="3117" spans="1:7" ht="12.75" customHeight="1">
      <c r="A3117" s="160"/>
      <c r="B3117" s="160"/>
      <c r="C3117" s="157"/>
      <c r="D3117" s="159"/>
      <c r="E3117" s="159"/>
      <c r="F3117" s="159"/>
      <c r="G3117" s="160"/>
    </row>
    <row r="3118" spans="1:7" ht="12.75" customHeight="1">
      <c r="A3118" s="160" t="s">
        <v>5027</v>
      </c>
      <c r="B3118" s="160" t="s">
        <v>2626</v>
      </c>
      <c r="C3118" s="157" t="s">
        <v>2618</v>
      </c>
      <c r="D3118" s="159">
        <v>1</v>
      </c>
      <c r="E3118" s="159">
        <v>803.26</v>
      </c>
      <c r="F3118" s="159"/>
      <c r="G3118" s="160" t="s">
        <v>2627</v>
      </c>
    </row>
    <row r="3119" spans="1:7" ht="12.75" customHeight="1">
      <c r="A3119" s="160">
        <v>1</v>
      </c>
      <c r="B3119" s="160" t="s">
        <v>2620</v>
      </c>
      <c r="C3119" s="157" t="s">
        <v>2621</v>
      </c>
      <c r="D3119" s="159">
        <v>1</v>
      </c>
      <c r="E3119" s="159">
        <v>65.569999999999993</v>
      </c>
      <c r="F3119" s="159">
        <v>65.569999999999993</v>
      </c>
      <c r="G3119" s="160" t="s">
        <v>2622</v>
      </c>
    </row>
    <row r="3120" spans="1:7" ht="12.75" customHeight="1">
      <c r="A3120" s="160">
        <v>2</v>
      </c>
      <c r="B3120" s="160" t="s">
        <v>2628</v>
      </c>
      <c r="C3120" s="157" t="s">
        <v>2618</v>
      </c>
      <c r="D3120" s="159">
        <v>1</v>
      </c>
      <c r="E3120" s="159">
        <v>39.74</v>
      </c>
      <c r="F3120" s="159">
        <v>39.74</v>
      </c>
      <c r="G3120" s="160" t="s">
        <v>2629</v>
      </c>
    </row>
    <row r="3121" spans="1:7" ht="12.75" customHeight="1">
      <c r="A3121" s="160">
        <v>3</v>
      </c>
      <c r="B3121" s="160" t="s">
        <v>5025</v>
      </c>
      <c r="C3121" s="157" t="s">
        <v>927</v>
      </c>
      <c r="D3121" s="159">
        <v>1</v>
      </c>
      <c r="E3121" s="159">
        <v>279.18</v>
      </c>
      <c r="F3121" s="159">
        <v>279.18</v>
      </c>
      <c r="G3121" s="160" t="s">
        <v>2623</v>
      </c>
    </row>
    <row r="3122" spans="1:7" ht="12.75" customHeight="1">
      <c r="A3122" s="160">
        <v>4</v>
      </c>
      <c r="B3122" s="160" t="s">
        <v>5026</v>
      </c>
      <c r="C3122" s="157" t="s">
        <v>927</v>
      </c>
      <c r="D3122" s="159">
        <v>1.5</v>
      </c>
      <c r="E3122" s="159">
        <v>279.18</v>
      </c>
      <c r="F3122" s="159">
        <v>418.77</v>
      </c>
      <c r="G3122" s="160" t="s">
        <v>2624</v>
      </c>
    </row>
    <row r="3123" spans="1:7" ht="12.75" customHeight="1">
      <c r="A3123" s="160"/>
      <c r="B3123" s="160" t="s">
        <v>933</v>
      </c>
      <c r="C3123" s="157" t="s">
        <v>2618</v>
      </c>
      <c r="D3123" s="159">
        <v>1</v>
      </c>
      <c r="E3123" s="159"/>
      <c r="F3123" s="159">
        <v>803.26</v>
      </c>
      <c r="G3123" s="160"/>
    </row>
    <row r="3124" spans="1:7" ht="12.75" customHeight="1">
      <c r="A3124" s="160"/>
      <c r="B3124" s="160" t="s">
        <v>934</v>
      </c>
      <c r="C3124" s="157" t="s">
        <v>2618</v>
      </c>
      <c r="D3124" s="159"/>
      <c r="E3124" s="159"/>
      <c r="F3124" s="159">
        <v>803.26</v>
      </c>
      <c r="G3124" s="160"/>
    </row>
    <row r="3125" spans="1:7" ht="12.75" customHeight="1">
      <c r="A3125" s="160"/>
      <c r="B3125" s="160"/>
      <c r="C3125" s="157"/>
      <c r="D3125" s="159"/>
      <c r="E3125" s="159"/>
      <c r="F3125" s="159"/>
      <c r="G3125" s="160"/>
    </row>
    <row r="3126" spans="1:7" ht="12.75" customHeight="1">
      <c r="A3126" s="160" t="s">
        <v>5028</v>
      </c>
      <c r="B3126" s="160" t="s">
        <v>2631</v>
      </c>
      <c r="C3126" s="157" t="s">
        <v>17</v>
      </c>
      <c r="D3126" s="159">
        <v>1.5</v>
      </c>
      <c r="E3126" s="159">
        <v>3638.57</v>
      </c>
      <c r="F3126" s="159"/>
      <c r="G3126" s="160" t="s">
        <v>2632</v>
      </c>
    </row>
    <row r="3127" spans="1:7" ht="12.75" customHeight="1">
      <c r="A3127" s="160">
        <v>1</v>
      </c>
      <c r="B3127" s="160" t="s">
        <v>2633</v>
      </c>
      <c r="C3127" s="157" t="s">
        <v>14</v>
      </c>
      <c r="D3127" s="159">
        <v>1</v>
      </c>
      <c r="E3127" s="159">
        <v>2943.81</v>
      </c>
      <c r="F3127" s="159">
        <v>2943.81</v>
      </c>
      <c r="G3127" s="160" t="s">
        <v>2634</v>
      </c>
    </row>
    <row r="3128" spans="1:7" ht="12.75" customHeight="1">
      <c r="A3128" s="160">
        <v>2</v>
      </c>
      <c r="B3128" s="160" t="s">
        <v>2635</v>
      </c>
      <c r="C3128" s="157" t="s">
        <v>14</v>
      </c>
      <c r="D3128" s="159">
        <v>1</v>
      </c>
      <c r="E3128" s="159">
        <v>1338.1</v>
      </c>
      <c r="F3128" s="159">
        <v>1338.1</v>
      </c>
      <c r="G3128" s="160" t="s">
        <v>2636</v>
      </c>
    </row>
    <row r="3129" spans="1:7" ht="12.75" customHeight="1">
      <c r="A3129" s="160">
        <v>3</v>
      </c>
      <c r="B3129" s="160" t="s">
        <v>2637</v>
      </c>
      <c r="C3129" s="157" t="s">
        <v>14</v>
      </c>
      <c r="D3129" s="159">
        <v>1</v>
      </c>
      <c r="E3129" s="159">
        <v>254.24</v>
      </c>
      <c r="F3129" s="159">
        <v>254.24</v>
      </c>
      <c r="G3129" s="160" t="s">
        <v>2638</v>
      </c>
    </row>
    <row r="3130" spans="1:7" ht="12.75" customHeight="1">
      <c r="A3130" s="160">
        <v>4</v>
      </c>
      <c r="B3130" s="160" t="s">
        <v>2639</v>
      </c>
      <c r="C3130" s="157" t="s">
        <v>1818</v>
      </c>
      <c r="D3130" s="159">
        <v>1</v>
      </c>
      <c r="E3130" s="159">
        <v>762.73</v>
      </c>
      <c r="F3130" s="159">
        <v>762.73</v>
      </c>
      <c r="G3130" s="160" t="s">
        <v>2640</v>
      </c>
    </row>
    <row r="3131" spans="1:7" ht="12.75" customHeight="1">
      <c r="A3131" s="160">
        <v>5</v>
      </c>
      <c r="B3131" s="160" t="s">
        <v>931</v>
      </c>
      <c r="C3131" s="157" t="s">
        <v>14</v>
      </c>
      <c r="D3131" s="159">
        <v>1</v>
      </c>
      <c r="E3131" s="159">
        <v>158.97</v>
      </c>
      <c r="F3131" s="159">
        <v>158.97</v>
      </c>
      <c r="G3131" s="160" t="s">
        <v>932</v>
      </c>
    </row>
    <row r="3132" spans="1:7" ht="12.75" customHeight="1">
      <c r="A3132" s="160"/>
      <c r="B3132" s="160" t="s">
        <v>933</v>
      </c>
      <c r="C3132" s="157" t="s">
        <v>17</v>
      </c>
      <c r="D3132" s="159">
        <v>1.5</v>
      </c>
      <c r="E3132" s="159"/>
      <c r="F3132" s="159">
        <v>5457.8499999999995</v>
      </c>
      <c r="G3132" s="160"/>
    </row>
    <row r="3133" spans="1:7" ht="12.75" customHeight="1">
      <c r="A3133" s="160"/>
      <c r="B3133" s="160" t="s">
        <v>934</v>
      </c>
      <c r="C3133" s="157" t="s">
        <v>17</v>
      </c>
      <c r="D3133" s="159"/>
      <c r="E3133" s="159"/>
      <c r="F3133" s="159">
        <v>3638.57</v>
      </c>
      <c r="G3133" s="160"/>
    </row>
    <row r="3134" spans="1:7" ht="12.75" customHeight="1">
      <c r="A3134" s="160"/>
      <c r="B3134" s="160"/>
      <c r="C3134" s="157"/>
      <c r="D3134" s="159"/>
      <c r="E3134" s="159"/>
      <c r="F3134" s="159"/>
      <c r="G3134" s="160"/>
    </row>
    <row r="3135" spans="1:7" ht="12.75" customHeight="1">
      <c r="A3135" s="160" t="s">
        <v>5029</v>
      </c>
      <c r="B3135" s="160" t="s">
        <v>2642</v>
      </c>
      <c r="C3135" s="157" t="s">
        <v>17</v>
      </c>
      <c r="D3135" s="159">
        <v>1</v>
      </c>
      <c r="E3135" s="159">
        <v>2561.54</v>
      </c>
      <c r="F3135" s="159"/>
      <c r="G3135" s="160" t="s">
        <v>2643</v>
      </c>
    </row>
    <row r="3136" spans="1:7" ht="12.75" customHeight="1">
      <c r="A3136" s="160">
        <v>1</v>
      </c>
      <c r="B3136" s="160" t="s">
        <v>2644</v>
      </c>
      <c r="C3136" s="157" t="s">
        <v>14</v>
      </c>
      <c r="D3136" s="159">
        <v>1</v>
      </c>
      <c r="E3136" s="159">
        <v>1381.62</v>
      </c>
      <c r="F3136" s="159">
        <v>1381.62</v>
      </c>
      <c r="G3136" s="160" t="s">
        <v>2645</v>
      </c>
    </row>
    <row r="3137" spans="1:7" ht="12.75" customHeight="1">
      <c r="A3137" s="160">
        <v>2</v>
      </c>
      <c r="B3137" s="160" t="s">
        <v>2646</v>
      </c>
      <c r="C3137" s="157" t="s">
        <v>14</v>
      </c>
      <c r="D3137" s="159">
        <v>1</v>
      </c>
      <c r="E3137" s="159">
        <v>628.02</v>
      </c>
      <c r="F3137" s="159">
        <v>628.02</v>
      </c>
      <c r="G3137" s="160" t="s">
        <v>2647</v>
      </c>
    </row>
    <row r="3138" spans="1:7" ht="12.75" customHeight="1">
      <c r="A3138" s="160">
        <v>3</v>
      </c>
      <c r="B3138" s="160" t="s">
        <v>2648</v>
      </c>
      <c r="C3138" s="157" t="s">
        <v>14</v>
      </c>
      <c r="D3138" s="159">
        <v>1</v>
      </c>
      <c r="E3138" s="159">
        <v>119.32</v>
      </c>
      <c r="F3138" s="159">
        <v>119.32</v>
      </c>
      <c r="G3138" s="160" t="s">
        <v>2649</v>
      </c>
    </row>
    <row r="3139" spans="1:7" ht="12.75" customHeight="1">
      <c r="A3139" s="160">
        <v>4</v>
      </c>
      <c r="B3139" s="160" t="s">
        <v>2650</v>
      </c>
      <c r="C3139" s="157" t="s">
        <v>14</v>
      </c>
      <c r="D3139" s="159">
        <v>1</v>
      </c>
      <c r="E3139" s="159">
        <v>357.97</v>
      </c>
      <c r="F3139" s="159">
        <v>357.97</v>
      </c>
      <c r="G3139" s="160" t="s">
        <v>2651</v>
      </c>
    </row>
    <row r="3140" spans="1:7" ht="12.75" customHeight="1">
      <c r="A3140" s="160">
        <v>5</v>
      </c>
      <c r="B3140" s="160" t="s">
        <v>931</v>
      </c>
      <c r="C3140" s="157" t="s">
        <v>14</v>
      </c>
      <c r="D3140" s="159">
        <v>1</v>
      </c>
      <c r="E3140" s="159">
        <v>74.61</v>
      </c>
      <c r="F3140" s="159">
        <v>74.61</v>
      </c>
      <c r="G3140" s="160" t="s">
        <v>932</v>
      </c>
    </row>
    <row r="3141" spans="1:7" ht="12.75" customHeight="1">
      <c r="A3141" s="160"/>
      <c r="B3141" s="160" t="s">
        <v>933</v>
      </c>
      <c r="C3141" s="157" t="s">
        <v>17</v>
      </c>
      <c r="D3141" s="159">
        <v>1</v>
      </c>
      <c r="E3141" s="159"/>
      <c r="F3141" s="159">
        <v>2561.5400000000004</v>
      </c>
      <c r="G3141" s="160"/>
    </row>
    <row r="3142" spans="1:7" ht="12.75" customHeight="1">
      <c r="A3142" s="160"/>
      <c r="B3142" s="160" t="s">
        <v>934</v>
      </c>
      <c r="C3142" s="157" t="s">
        <v>17</v>
      </c>
      <c r="D3142" s="159"/>
      <c r="E3142" s="159"/>
      <c r="F3142" s="159">
        <v>2561.54</v>
      </c>
      <c r="G3142" s="160"/>
    </row>
    <row r="3143" spans="1:7" ht="12.75" customHeight="1">
      <c r="A3143" s="160"/>
      <c r="B3143" s="160"/>
      <c r="C3143" s="157"/>
      <c r="D3143" s="159"/>
      <c r="E3143" s="159"/>
      <c r="F3143" s="159"/>
      <c r="G3143" s="160"/>
    </row>
    <row r="3144" spans="1:7" ht="12.75" customHeight="1">
      <c r="A3144" s="160" t="s">
        <v>5030</v>
      </c>
      <c r="B3144" s="160" t="s">
        <v>3657</v>
      </c>
      <c r="C3144" s="157" t="s">
        <v>3658</v>
      </c>
      <c r="D3144" s="159">
        <v>3</v>
      </c>
      <c r="E3144" s="159">
        <v>2618.7399999999998</v>
      </c>
      <c r="F3144" s="159"/>
      <c r="G3144" s="160" t="s">
        <v>5031</v>
      </c>
    </row>
    <row r="3145" spans="1:7" ht="12.75" customHeight="1">
      <c r="A3145" s="160">
        <v>1</v>
      </c>
      <c r="B3145" s="160" t="s">
        <v>4050</v>
      </c>
      <c r="C3145" s="157" t="s">
        <v>3658</v>
      </c>
      <c r="D3145" s="159">
        <v>3</v>
      </c>
      <c r="E3145" s="159">
        <v>948.83</v>
      </c>
      <c r="F3145" s="159">
        <v>2846.49</v>
      </c>
      <c r="G3145" s="160" t="s">
        <v>5032</v>
      </c>
    </row>
    <row r="3146" spans="1:7" ht="12.75" customHeight="1">
      <c r="A3146" s="160">
        <v>2</v>
      </c>
      <c r="B3146" s="160" t="s">
        <v>4051</v>
      </c>
      <c r="C3146" s="157" t="s">
        <v>927</v>
      </c>
      <c r="D3146" s="159">
        <v>12</v>
      </c>
      <c r="E3146" s="159">
        <v>398.41</v>
      </c>
      <c r="F3146" s="159">
        <v>4780.92</v>
      </c>
      <c r="G3146" s="160" t="s">
        <v>5033</v>
      </c>
    </row>
    <row r="3147" spans="1:7" ht="12.75" customHeight="1">
      <c r="A3147" s="160">
        <v>3</v>
      </c>
      <c r="B3147" s="160" t="s">
        <v>931</v>
      </c>
      <c r="C3147" s="157" t="s">
        <v>14</v>
      </c>
      <c r="D3147" s="159">
        <v>1</v>
      </c>
      <c r="E3147" s="159">
        <v>228.82</v>
      </c>
      <c r="F3147" s="159">
        <v>228.82</v>
      </c>
      <c r="G3147" s="160" t="s">
        <v>932</v>
      </c>
    </row>
    <row r="3148" spans="1:7" ht="12.75" customHeight="1">
      <c r="A3148" s="160"/>
      <c r="B3148" s="160" t="s">
        <v>933</v>
      </c>
      <c r="C3148" s="157" t="s">
        <v>3658</v>
      </c>
      <c r="D3148" s="159">
        <v>3</v>
      </c>
      <c r="E3148" s="159"/>
      <c r="F3148" s="159">
        <v>7856.23</v>
      </c>
      <c r="G3148" s="160"/>
    </row>
    <row r="3149" spans="1:7" ht="12.75" customHeight="1">
      <c r="A3149" s="160"/>
      <c r="B3149" s="160" t="s">
        <v>934</v>
      </c>
      <c r="C3149" s="157" t="s">
        <v>3658</v>
      </c>
      <c r="D3149" s="159"/>
      <c r="E3149" s="159"/>
      <c r="F3149" s="159">
        <v>2618.7399999999998</v>
      </c>
      <c r="G3149" s="160"/>
    </row>
    <row r="3150" spans="1:7" ht="12.75" customHeight="1">
      <c r="A3150" s="160"/>
      <c r="B3150" s="160"/>
      <c r="C3150" s="157"/>
      <c r="D3150" s="159"/>
      <c r="E3150" s="159"/>
      <c r="F3150" s="159"/>
      <c r="G3150" s="160"/>
    </row>
    <row r="3151" spans="1:7" ht="12.75" customHeight="1">
      <c r="A3151" s="160" t="s">
        <v>5034</v>
      </c>
      <c r="B3151" s="160" t="s">
        <v>2653</v>
      </c>
      <c r="C3151" s="157" t="s">
        <v>17</v>
      </c>
      <c r="D3151" s="159">
        <v>40</v>
      </c>
      <c r="E3151" s="159">
        <v>291.83999999999997</v>
      </c>
      <c r="F3151" s="159"/>
      <c r="G3151" s="160" t="s">
        <v>5035</v>
      </c>
    </row>
    <row r="3152" spans="1:7" ht="12.75" customHeight="1">
      <c r="A3152" s="160">
        <v>1</v>
      </c>
      <c r="B3152" s="160" t="s">
        <v>2654</v>
      </c>
      <c r="C3152" s="157" t="s">
        <v>17</v>
      </c>
      <c r="D3152" s="159">
        <v>4</v>
      </c>
      <c r="E3152" s="159">
        <v>1865.08</v>
      </c>
      <c r="F3152" s="159">
        <v>7460.32</v>
      </c>
      <c r="G3152" s="160" t="s">
        <v>2655</v>
      </c>
    </row>
    <row r="3153" spans="1:7" ht="12.75" customHeight="1">
      <c r="A3153" s="160">
        <v>2</v>
      </c>
      <c r="B3153" s="160" t="s">
        <v>2656</v>
      </c>
      <c r="C3153" s="157" t="s">
        <v>17</v>
      </c>
      <c r="D3153" s="159">
        <v>2.15</v>
      </c>
      <c r="E3153" s="159">
        <v>192.99</v>
      </c>
      <c r="F3153" s="159">
        <v>414.93</v>
      </c>
      <c r="G3153" s="160" t="s">
        <v>2657</v>
      </c>
    </row>
    <row r="3154" spans="1:7" ht="12.75" customHeight="1">
      <c r="A3154" s="160">
        <v>3</v>
      </c>
      <c r="B3154" s="160" t="s">
        <v>2658</v>
      </c>
      <c r="C3154" s="157" t="s">
        <v>17</v>
      </c>
      <c r="D3154" s="159">
        <v>8</v>
      </c>
      <c r="E3154" s="159">
        <v>64.680000000000007</v>
      </c>
      <c r="F3154" s="159">
        <v>517.44000000000005</v>
      </c>
      <c r="G3154" s="160" t="s">
        <v>2659</v>
      </c>
    </row>
    <row r="3155" spans="1:7" ht="12.75" customHeight="1">
      <c r="A3155" s="160">
        <v>4</v>
      </c>
      <c r="B3155" s="160" t="s">
        <v>2660</v>
      </c>
      <c r="C3155" s="157" t="s">
        <v>14</v>
      </c>
      <c r="D3155" s="159">
        <v>1</v>
      </c>
      <c r="E3155" s="159">
        <v>2940.87</v>
      </c>
      <c r="F3155" s="159">
        <v>2940.87</v>
      </c>
      <c r="G3155" s="160" t="s">
        <v>2661</v>
      </c>
    </row>
    <row r="3156" spans="1:7" ht="12.75" customHeight="1">
      <c r="A3156" s="160">
        <v>5</v>
      </c>
      <c r="B3156" s="160" t="s">
        <v>931</v>
      </c>
      <c r="C3156" s="157" t="s">
        <v>14</v>
      </c>
      <c r="D3156" s="159">
        <v>1</v>
      </c>
      <c r="E3156" s="159">
        <v>340.01</v>
      </c>
      <c r="F3156" s="159">
        <v>340.01</v>
      </c>
      <c r="G3156" s="160" t="s">
        <v>932</v>
      </c>
    </row>
    <row r="3157" spans="1:7" ht="12.75" customHeight="1">
      <c r="A3157" s="160"/>
      <c r="B3157" s="160" t="s">
        <v>933</v>
      </c>
      <c r="C3157" s="157" t="s">
        <v>17</v>
      </c>
      <c r="D3157" s="159">
        <v>40</v>
      </c>
      <c r="E3157" s="159"/>
      <c r="F3157" s="159">
        <v>11673.570000000002</v>
      </c>
      <c r="G3157" s="160"/>
    </row>
    <row r="3158" spans="1:7" ht="12.75" customHeight="1">
      <c r="A3158" s="160"/>
      <c r="B3158" s="160" t="s">
        <v>934</v>
      </c>
      <c r="C3158" s="157" t="s">
        <v>17</v>
      </c>
      <c r="D3158" s="159"/>
      <c r="E3158" s="159"/>
      <c r="F3158" s="159">
        <v>291.83999999999997</v>
      </c>
      <c r="G3158" s="160"/>
    </row>
    <row r="3159" spans="1:7" ht="12.75" customHeight="1">
      <c r="A3159" s="160"/>
      <c r="B3159" s="160"/>
      <c r="C3159" s="157"/>
      <c r="D3159" s="159"/>
      <c r="E3159" s="159"/>
      <c r="F3159" s="159"/>
      <c r="G3159" s="160"/>
    </row>
    <row r="3160" spans="1:7" ht="12.75" customHeight="1">
      <c r="A3160" s="160" t="s">
        <v>5036</v>
      </c>
      <c r="B3160" s="160" t="s">
        <v>2663</v>
      </c>
      <c r="C3160" s="157" t="s">
        <v>17</v>
      </c>
      <c r="D3160" s="159">
        <v>18</v>
      </c>
      <c r="E3160" s="159">
        <v>253.64</v>
      </c>
      <c r="F3160" s="159"/>
      <c r="G3160" s="160" t="s">
        <v>2664</v>
      </c>
    </row>
    <row r="3161" spans="1:7" ht="12.75" customHeight="1">
      <c r="A3161" s="160">
        <v>1</v>
      </c>
      <c r="B3161" s="160" t="s">
        <v>2049</v>
      </c>
      <c r="C3161" s="157" t="s">
        <v>18</v>
      </c>
      <c r="D3161" s="159">
        <v>98</v>
      </c>
      <c r="E3161" s="159">
        <v>31.79</v>
      </c>
      <c r="F3161" s="159">
        <v>3115.42</v>
      </c>
      <c r="G3161" s="160" t="s">
        <v>2050</v>
      </c>
    </row>
    <row r="3162" spans="1:7" ht="12.75" customHeight="1">
      <c r="A3162" s="160">
        <v>2</v>
      </c>
      <c r="B3162" s="160" t="s">
        <v>2660</v>
      </c>
      <c r="C3162" s="157" t="s">
        <v>2665</v>
      </c>
      <c r="D3162" s="159">
        <v>98</v>
      </c>
      <c r="E3162" s="159">
        <v>11.92</v>
      </c>
      <c r="F3162" s="159">
        <v>1168.1600000000001</v>
      </c>
      <c r="G3162" s="160" t="s">
        <v>2666</v>
      </c>
    </row>
    <row r="3163" spans="1:7" ht="12.75" customHeight="1">
      <c r="A3163" s="160">
        <v>3</v>
      </c>
      <c r="B3163" s="160" t="s">
        <v>2667</v>
      </c>
      <c r="C3163" s="157" t="s">
        <v>14</v>
      </c>
      <c r="D3163" s="159">
        <v>1</v>
      </c>
      <c r="E3163" s="159">
        <v>149.03</v>
      </c>
      <c r="F3163" s="159">
        <v>149.03</v>
      </c>
      <c r="G3163" s="160" t="s">
        <v>2668</v>
      </c>
    </row>
    <row r="3164" spans="1:7" ht="12.75" customHeight="1">
      <c r="A3164" s="160">
        <v>4</v>
      </c>
      <c r="B3164" s="160" t="s">
        <v>931</v>
      </c>
      <c r="C3164" s="157" t="s">
        <v>14</v>
      </c>
      <c r="D3164" s="159">
        <v>1</v>
      </c>
      <c r="E3164" s="159">
        <v>132.97999999999999</v>
      </c>
      <c r="F3164" s="159">
        <v>132.97999999999999</v>
      </c>
      <c r="G3164" s="160" t="s">
        <v>932</v>
      </c>
    </row>
    <row r="3165" spans="1:7" ht="12.75" customHeight="1">
      <c r="A3165" s="160"/>
      <c r="B3165" s="160" t="s">
        <v>933</v>
      </c>
      <c r="C3165" s="157" t="s">
        <v>17</v>
      </c>
      <c r="D3165" s="159">
        <v>18</v>
      </c>
      <c r="E3165" s="159"/>
      <c r="F3165" s="159">
        <v>4565.5899999999992</v>
      </c>
      <c r="G3165" s="160"/>
    </row>
    <row r="3166" spans="1:7" ht="12.75" customHeight="1">
      <c r="A3166" s="160"/>
      <c r="B3166" s="160" t="s">
        <v>934</v>
      </c>
      <c r="C3166" s="157" t="s">
        <v>17</v>
      </c>
      <c r="D3166" s="159"/>
      <c r="E3166" s="159"/>
      <c r="F3166" s="159">
        <v>253.64</v>
      </c>
      <c r="G3166" s="160"/>
    </row>
    <row r="3167" spans="1:7" ht="12.75" customHeight="1">
      <c r="A3167" s="160"/>
      <c r="B3167" s="160"/>
      <c r="C3167" s="157"/>
      <c r="D3167" s="159"/>
      <c r="E3167" s="159"/>
      <c r="F3167" s="159"/>
      <c r="G3167" s="160"/>
    </row>
    <row r="3168" spans="1:7" ht="12.75" customHeight="1">
      <c r="A3168" s="160" t="s">
        <v>5037</v>
      </c>
      <c r="B3168" s="160" t="s">
        <v>2670</v>
      </c>
      <c r="C3168" s="157" t="s">
        <v>3</v>
      </c>
      <c r="D3168" s="159">
        <v>1</v>
      </c>
      <c r="E3168" s="159">
        <v>1185.55</v>
      </c>
      <c r="F3168" s="159"/>
      <c r="G3168" s="160" t="s">
        <v>2671</v>
      </c>
    </row>
    <row r="3169" spans="1:7" ht="12.75" customHeight="1">
      <c r="A3169" s="160">
        <v>1</v>
      </c>
      <c r="B3169" s="160" t="s">
        <v>2672</v>
      </c>
      <c r="C3169" s="157" t="s">
        <v>3</v>
      </c>
      <c r="D3169" s="159">
        <v>1.1499999999999999</v>
      </c>
      <c r="E3169" s="159">
        <v>993.54</v>
      </c>
      <c r="F3169" s="159">
        <v>1142.57</v>
      </c>
      <c r="G3169" s="160" t="s">
        <v>2673</v>
      </c>
    </row>
    <row r="3170" spans="1:7" ht="12.75" customHeight="1">
      <c r="A3170" s="160">
        <v>2</v>
      </c>
      <c r="B3170" s="160" t="s">
        <v>2674</v>
      </c>
      <c r="C3170" s="157" t="s">
        <v>2675</v>
      </c>
      <c r="D3170" s="159">
        <v>0.01</v>
      </c>
      <c r="E3170" s="159">
        <v>844.51</v>
      </c>
      <c r="F3170" s="159">
        <v>8.4499999999999993</v>
      </c>
      <c r="G3170" s="160" t="s">
        <v>2676</v>
      </c>
    </row>
    <row r="3171" spans="1:7" ht="12.75" customHeight="1">
      <c r="A3171" s="160">
        <v>3</v>
      </c>
      <c r="B3171" s="160" t="s">
        <v>931</v>
      </c>
      <c r="C3171" s="157" t="s">
        <v>14</v>
      </c>
      <c r="D3171" s="159">
        <v>1</v>
      </c>
      <c r="E3171" s="159">
        <v>34.53</v>
      </c>
      <c r="F3171" s="159">
        <v>34.53</v>
      </c>
      <c r="G3171" s="160" t="s">
        <v>932</v>
      </c>
    </row>
    <row r="3172" spans="1:7" ht="12.75" customHeight="1">
      <c r="A3172" s="160"/>
      <c r="B3172" s="160" t="s">
        <v>933</v>
      </c>
      <c r="C3172" s="157" t="s">
        <v>3</v>
      </c>
      <c r="D3172" s="159">
        <v>1</v>
      </c>
      <c r="E3172" s="159"/>
      <c r="F3172" s="159">
        <v>1185.55</v>
      </c>
      <c r="G3172" s="160"/>
    </row>
    <row r="3173" spans="1:7" ht="12.75" customHeight="1">
      <c r="A3173" s="160"/>
      <c r="B3173" s="160" t="s">
        <v>934</v>
      </c>
      <c r="C3173" s="157" t="s">
        <v>3</v>
      </c>
      <c r="D3173" s="159"/>
      <c r="E3173" s="159"/>
      <c r="F3173" s="159">
        <v>1185.55</v>
      </c>
      <c r="G3173" s="160"/>
    </row>
    <row r="3174" spans="1:7" ht="12.75" customHeight="1">
      <c r="A3174" s="160"/>
      <c r="B3174" s="160"/>
      <c r="C3174" s="157"/>
      <c r="D3174" s="159"/>
      <c r="E3174" s="159"/>
      <c r="F3174" s="159"/>
      <c r="G3174" s="160"/>
    </row>
    <row r="3175" spans="1:7" ht="12.75" customHeight="1">
      <c r="A3175" s="160" t="s">
        <v>5038</v>
      </c>
      <c r="B3175" s="160" t="s">
        <v>2678</v>
      </c>
      <c r="C3175" s="157" t="s">
        <v>2679</v>
      </c>
      <c r="D3175" s="159">
        <v>1</v>
      </c>
      <c r="E3175" s="159">
        <v>659.99</v>
      </c>
      <c r="F3175" s="159"/>
      <c r="G3175" s="160" t="s">
        <v>2680</v>
      </c>
    </row>
    <row r="3176" spans="1:7" ht="12.75" customHeight="1">
      <c r="A3176" s="160">
        <v>1</v>
      </c>
      <c r="B3176" s="160" t="s">
        <v>4871</v>
      </c>
      <c r="C3176" s="157" t="s">
        <v>927</v>
      </c>
      <c r="D3176" s="159">
        <v>0.16</v>
      </c>
      <c r="E3176" s="159">
        <v>279.18</v>
      </c>
      <c r="F3176" s="159">
        <v>44.67</v>
      </c>
      <c r="G3176" s="160" t="s">
        <v>4872</v>
      </c>
    </row>
    <row r="3177" spans="1:7" ht="12.75" customHeight="1">
      <c r="A3177" s="160">
        <v>2</v>
      </c>
      <c r="B3177" s="160" t="s">
        <v>2681</v>
      </c>
      <c r="C3177" s="157" t="s">
        <v>2679</v>
      </c>
      <c r="D3177" s="159">
        <v>10</v>
      </c>
      <c r="E3177" s="159">
        <v>59.61</v>
      </c>
      <c r="F3177" s="159">
        <v>596.1</v>
      </c>
      <c r="G3177" s="160" t="s">
        <v>2682</v>
      </c>
    </row>
    <row r="3178" spans="1:7" ht="12.75" customHeight="1">
      <c r="A3178" s="160">
        <v>3</v>
      </c>
      <c r="B3178" s="160" t="s">
        <v>931</v>
      </c>
      <c r="C3178" s="157" t="s">
        <v>14</v>
      </c>
      <c r="D3178" s="159">
        <v>1</v>
      </c>
      <c r="E3178" s="159">
        <v>19.22</v>
      </c>
      <c r="F3178" s="159">
        <v>19.22</v>
      </c>
      <c r="G3178" s="160" t="s">
        <v>932</v>
      </c>
    </row>
    <row r="3179" spans="1:7" ht="12.75" customHeight="1">
      <c r="A3179" s="160"/>
      <c r="B3179" s="160" t="s">
        <v>933</v>
      </c>
      <c r="C3179" s="157" t="s">
        <v>2679</v>
      </c>
      <c r="D3179" s="159">
        <v>1</v>
      </c>
      <c r="E3179" s="159"/>
      <c r="F3179" s="159">
        <v>659.99</v>
      </c>
      <c r="G3179" s="160"/>
    </row>
    <row r="3180" spans="1:7" ht="12.75" customHeight="1">
      <c r="A3180" s="160"/>
      <c r="B3180" s="160" t="s">
        <v>934</v>
      </c>
      <c r="C3180" s="157" t="s">
        <v>2679</v>
      </c>
      <c r="D3180" s="159"/>
      <c r="E3180" s="159"/>
      <c r="F3180" s="159">
        <v>659.99</v>
      </c>
      <c r="G3180" s="160"/>
    </row>
    <row r="3181" spans="1:7" ht="12.75" customHeight="1">
      <c r="A3181" s="160"/>
      <c r="B3181" s="160"/>
      <c r="C3181" s="157"/>
      <c r="D3181" s="159"/>
      <c r="E3181" s="159"/>
      <c r="F3181" s="159"/>
      <c r="G3181" s="160"/>
    </row>
    <row r="3182" spans="1:7" ht="12.75" customHeight="1">
      <c r="A3182" s="160" t="s">
        <v>5039</v>
      </c>
      <c r="B3182" s="160" t="s">
        <v>2684</v>
      </c>
      <c r="C3182" s="157" t="s">
        <v>3</v>
      </c>
      <c r="D3182" s="159">
        <v>1</v>
      </c>
      <c r="E3182" s="159">
        <v>2305.84</v>
      </c>
      <c r="F3182" s="159"/>
      <c r="G3182" s="160" t="s">
        <v>2685</v>
      </c>
    </row>
    <row r="3183" spans="1:7" ht="12.75" customHeight="1">
      <c r="A3183" s="160">
        <v>1</v>
      </c>
      <c r="B3183" s="160" t="s">
        <v>2686</v>
      </c>
      <c r="C3183" s="157" t="s">
        <v>927</v>
      </c>
      <c r="D3183" s="159">
        <v>0.3</v>
      </c>
      <c r="E3183" s="159">
        <v>198.71</v>
      </c>
      <c r="F3183" s="159">
        <v>59.61</v>
      </c>
      <c r="G3183" s="160" t="s">
        <v>2687</v>
      </c>
    </row>
    <row r="3184" spans="1:7" ht="12.75" customHeight="1">
      <c r="A3184" s="160">
        <v>2</v>
      </c>
      <c r="B3184" s="160" t="s">
        <v>2688</v>
      </c>
      <c r="C3184" s="157" t="s">
        <v>3</v>
      </c>
      <c r="D3184" s="159">
        <v>1.1499999999999999</v>
      </c>
      <c r="E3184" s="159">
        <v>1843.01</v>
      </c>
      <c r="F3184" s="159">
        <v>2119.46</v>
      </c>
      <c r="G3184" s="160" t="s">
        <v>2689</v>
      </c>
    </row>
    <row r="3185" spans="1:7" ht="12.75" customHeight="1">
      <c r="A3185" s="160">
        <v>3</v>
      </c>
      <c r="B3185" s="160" t="s">
        <v>2690</v>
      </c>
      <c r="C3185" s="157" t="s">
        <v>927</v>
      </c>
      <c r="D3185" s="159">
        <v>0.3</v>
      </c>
      <c r="E3185" s="159">
        <v>198.71</v>
      </c>
      <c r="F3185" s="159">
        <v>59.61</v>
      </c>
      <c r="G3185" s="160" t="s">
        <v>2691</v>
      </c>
    </row>
    <row r="3186" spans="1:7" ht="12.75" customHeight="1">
      <c r="A3186" s="160">
        <v>4</v>
      </c>
      <c r="B3186" s="160" t="s">
        <v>931</v>
      </c>
      <c r="C3186" s="157" t="s">
        <v>14</v>
      </c>
      <c r="D3186" s="159">
        <v>1</v>
      </c>
      <c r="E3186" s="159">
        <v>67.16</v>
      </c>
      <c r="F3186" s="159">
        <v>67.16</v>
      </c>
      <c r="G3186" s="160" t="s">
        <v>932</v>
      </c>
    </row>
    <row r="3187" spans="1:7" ht="12.75" customHeight="1">
      <c r="A3187" s="160"/>
      <c r="B3187" s="160" t="s">
        <v>933</v>
      </c>
      <c r="C3187" s="157" t="s">
        <v>3</v>
      </c>
      <c r="D3187" s="159">
        <v>1</v>
      </c>
      <c r="E3187" s="159"/>
      <c r="F3187" s="159">
        <v>2305.84</v>
      </c>
      <c r="G3187" s="160"/>
    </row>
    <row r="3188" spans="1:7" ht="12.75" customHeight="1">
      <c r="A3188" s="160"/>
      <c r="B3188" s="160" t="s">
        <v>934</v>
      </c>
      <c r="C3188" s="157" t="s">
        <v>3</v>
      </c>
      <c r="D3188" s="159"/>
      <c r="E3188" s="159"/>
      <c r="F3188" s="159">
        <v>2305.84</v>
      </c>
      <c r="G3188" s="160"/>
    </row>
    <row r="3189" spans="1:7" ht="12.75" customHeight="1">
      <c r="A3189" s="160"/>
      <c r="B3189" s="160"/>
      <c r="C3189" s="157"/>
      <c r="D3189" s="159"/>
      <c r="E3189" s="159"/>
      <c r="F3189" s="159"/>
      <c r="G3189" s="160"/>
    </row>
    <row r="3190" spans="1:7" ht="12.75" customHeight="1">
      <c r="A3190" s="160" t="s">
        <v>5040</v>
      </c>
      <c r="B3190" s="160" t="s">
        <v>2693</v>
      </c>
      <c r="C3190" s="157" t="s">
        <v>2694</v>
      </c>
      <c r="D3190" s="159">
        <v>1</v>
      </c>
      <c r="E3190" s="159">
        <v>159.63999999999999</v>
      </c>
      <c r="F3190" s="159"/>
      <c r="G3190" s="160" t="s">
        <v>2695</v>
      </c>
    </row>
    <row r="3191" spans="1:7" ht="12.75" customHeight="1">
      <c r="A3191" s="160">
        <v>1</v>
      </c>
      <c r="B3191" s="160" t="s">
        <v>5041</v>
      </c>
      <c r="C3191" s="157" t="s">
        <v>2665</v>
      </c>
      <c r="D3191" s="159">
        <v>0.3</v>
      </c>
      <c r="E3191" s="159">
        <v>44.71</v>
      </c>
      <c r="F3191" s="159">
        <v>13.41</v>
      </c>
      <c r="G3191" s="160" t="s">
        <v>2696</v>
      </c>
    </row>
    <row r="3192" spans="1:7" ht="12.75" customHeight="1">
      <c r="A3192" s="160">
        <v>2</v>
      </c>
      <c r="B3192" s="160" t="s">
        <v>2697</v>
      </c>
      <c r="C3192" s="157" t="s">
        <v>1689</v>
      </c>
      <c r="D3192" s="159">
        <v>1</v>
      </c>
      <c r="E3192" s="159">
        <v>23.35</v>
      </c>
      <c r="F3192" s="159">
        <v>23.35</v>
      </c>
      <c r="G3192" s="160" t="s">
        <v>2698</v>
      </c>
    </row>
    <row r="3193" spans="1:7" ht="12.75" customHeight="1">
      <c r="A3193" s="160">
        <v>3</v>
      </c>
      <c r="B3193" s="160" t="s">
        <v>2699</v>
      </c>
      <c r="C3193" s="157" t="s">
        <v>14</v>
      </c>
      <c r="D3193" s="159">
        <v>1</v>
      </c>
      <c r="E3193" s="159">
        <v>118.23</v>
      </c>
      <c r="F3193" s="159">
        <v>118.23</v>
      </c>
      <c r="G3193" s="160" t="s">
        <v>2700</v>
      </c>
    </row>
    <row r="3194" spans="1:7" ht="12.75" customHeight="1">
      <c r="A3194" s="160">
        <v>4</v>
      </c>
      <c r="B3194" s="160" t="s">
        <v>931</v>
      </c>
      <c r="C3194" s="157" t="s">
        <v>14</v>
      </c>
      <c r="D3194" s="159">
        <v>1</v>
      </c>
      <c r="E3194" s="159">
        <v>4.6500000000000004</v>
      </c>
      <c r="F3194" s="159">
        <v>4.6500000000000004</v>
      </c>
      <c r="G3194" s="160" t="s">
        <v>932</v>
      </c>
    </row>
    <row r="3195" spans="1:7" ht="12.75" customHeight="1">
      <c r="A3195" s="160"/>
      <c r="B3195" s="160" t="s">
        <v>933</v>
      </c>
      <c r="C3195" s="157" t="s">
        <v>2694</v>
      </c>
      <c r="D3195" s="159">
        <v>1</v>
      </c>
      <c r="E3195" s="159"/>
      <c r="F3195" s="159">
        <v>159.64000000000001</v>
      </c>
      <c r="G3195" s="160"/>
    </row>
    <row r="3196" spans="1:7" ht="12.75" customHeight="1">
      <c r="A3196" s="160"/>
      <c r="B3196" s="160" t="s">
        <v>934</v>
      </c>
      <c r="C3196" s="157" t="s">
        <v>2694</v>
      </c>
      <c r="D3196" s="159"/>
      <c r="E3196" s="159"/>
      <c r="F3196" s="159">
        <v>159.63999999999999</v>
      </c>
      <c r="G3196" s="160"/>
    </row>
    <row r="3197" spans="1:7" ht="12.75" customHeight="1">
      <c r="A3197" s="160"/>
      <c r="B3197" s="160"/>
      <c r="C3197" s="157"/>
      <c r="D3197" s="159"/>
      <c r="E3197" s="159"/>
      <c r="F3197" s="159"/>
      <c r="G3197" s="160"/>
    </row>
    <row r="3198" spans="1:7" ht="12.75" customHeight="1">
      <c r="A3198" s="160" t="s">
        <v>5042</v>
      </c>
      <c r="B3198" s="160" t="s">
        <v>2702</v>
      </c>
      <c r="C3198" s="157" t="s">
        <v>17</v>
      </c>
      <c r="D3198" s="159">
        <v>1</v>
      </c>
      <c r="E3198" s="159">
        <v>308.08</v>
      </c>
      <c r="F3198" s="159"/>
      <c r="G3198" s="160" t="s">
        <v>2703</v>
      </c>
    </row>
    <row r="3199" spans="1:7" ht="12.75" customHeight="1">
      <c r="A3199" s="160">
        <v>1</v>
      </c>
      <c r="B3199" s="160" t="s">
        <v>2699</v>
      </c>
      <c r="C3199" s="157" t="s">
        <v>14</v>
      </c>
      <c r="D3199" s="159">
        <v>1</v>
      </c>
      <c r="E3199" s="159">
        <v>118.23</v>
      </c>
      <c r="F3199" s="159">
        <v>118.23</v>
      </c>
      <c r="G3199" s="160" t="s">
        <v>2700</v>
      </c>
    </row>
    <row r="3200" spans="1:7" ht="12.75" customHeight="1">
      <c r="A3200" s="160">
        <v>2</v>
      </c>
      <c r="B3200" s="160" t="s">
        <v>2704</v>
      </c>
      <c r="C3200" s="157" t="s">
        <v>17</v>
      </c>
      <c r="D3200" s="159">
        <v>1.05</v>
      </c>
      <c r="E3200" s="159">
        <v>158.97</v>
      </c>
      <c r="F3200" s="159">
        <v>166.92</v>
      </c>
      <c r="G3200" s="160" t="s">
        <v>2705</v>
      </c>
    </row>
    <row r="3201" spans="1:7" ht="12.75" customHeight="1">
      <c r="A3201" s="160">
        <v>3</v>
      </c>
      <c r="B3201" s="160" t="s">
        <v>4871</v>
      </c>
      <c r="C3201" s="157" t="s">
        <v>927</v>
      </c>
      <c r="D3201" s="159">
        <v>0.05</v>
      </c>
      <c r="E3201" s="159">
        <v>279.18</v>
      </c>
      <c r="F3201" s="159">
        <v>13.96</v>
      </c>
      <c r="G3201" s="160" t="s">
        <v>4872</v>
      </c>
    </row>
    <row r="3202" spans="1:7" ht="12.75" customHeight="1">
      <c r="A3202" s="160">
        <v>4</v>
      </c>
      <c r="B3202" s="160" t="s">
        <v>931</v>
      </c>
      <c r="C3202" s="157" t="s">
        <v>14</v>
      </c>
      <c r="D3202" s="159">
        <v>1</v>
      </c>
      <c r="E3202" s="159">
        <v>8.9700000000000006</v>
      </c>
      <c r="F3202" s="159">
        <v>8.9700000000000006</v>
      </c>
      <c r="G3202" s="160" t="s">
        <v>932</v>
      </c>
    </row>
    <row r="3203" spans="1:7" ht="12.75" customHeight="1">
      <c r="A3203" s="160"/>
      <c r="B3203" s="160" t="s">
        <v>933</v>
      </c>
      <c r="C3203" s="157" t="s">
        <v>17</v>
      </c>
      <c r="D3203" s="159">
        <v>1</v>
      </c>
      <c r="E3203" s="159"/>
      <c r="F3203" s="159">
        <v>308.08</v>
      </c>
      <c r="G3203" s="160"/>
    </row>
    <row r="3204" spans="1:7" ht="12.75" customHeight="1">
      <c r="A3204" s="160"/>
      <c r="B3204" s="160" t="s">
        <v>934</v>
      </c>
      <c r="C3204" s="157" t="s">
        <v>17</v>
      </c>
      <c r="D3204" s="159"/>
      <c r="E3204" s="159"/>
      <c r="F3204" s="159">
        <v>308.08</v>
      </c>
      <c r="G3204" s="160"/>
    </row>
    <row r="3205" spans="1:7" ht="12.75" customHeight="1">
      <c r="A3205" s="160"/>
      <c r="B3205" s="160"/>
      <c r="C3205" s="157"/>
      <c r="D3205" s="159"/>
      <c r="E3205" s="159"/>
      <c r="F3205" s="159"/>
      <c r="G3205" s="160"/>
    </row>
    <row r="3206" spans="1:7" ht="12.75" customHeight="1">
      <c r="A3206" s="160" t="s">
        <v>5043</v>
      </c>
      <c r="B3206" s="160" t="s">
        <v>2707</v>
      </c>
      <c r="C3206" s="157" t="s">
        <v>17</v>
      </c>
      <c r="D3206" s="159">
        <v>10</v>
      </c>
      <c r="E3206" s="159">
        <v>309.81</v>
      </c>
      <c r="F3206" s="159"/>
      <c r="G3206" s="160" t="s">
        <v>2708</v>
      </c>
    </row>
    <row r="3207" spans="1:7" ht="12.75" customHeight="1">
      <c r="A3207" s="160">
        <v>1</v>
      </c>
      <c r="B3207" s="160" t="s">
        <v>2699</v>
      </c>
      <c r="C3207" s="157" t="s">
        <v>14</v>
      </c>
      <c r="D3207" s="159">
        <v>1</v>
      </c>
      <c r="E3207" s="159">
        <v>118.23</v>
      </c>
      <c r="F3207" s="159">
        <v>118.23</v>
      </c>
      <c r="G3207" s="160" t="s">
        <v>2700</v>
      </c>
    </row>
    <row r="3208" spans="1:7" ht="12.75" customHeight="1">
      <c r="A3208" s="160">
        <v>2</v>
      </c>
      <c r="B3208" s="160" t="s">
        <v>2709</v>
      </c>
      <c r="C3208" s="157" t="s">
        <v>17</v>
      </c>
      <c r="D3208" s="159">
        <v>10.5</v>
      </c>
      <c r="E3208" s="159">
        <v>260.31</v>
      </c>
      <c r="F3208" s="159">
        <v>2733.26</v>
      </c>
      <c r="G3208" s="160" t="s">
        <v>2710</v>
      </c>
    </row>
    <row r="3209" spans="1:7" ht="12.75" customHeight="1">
      <c r="A3209" s="160">
        <v>3</v>
      </c>
      <c r="B3209" s="160" t="s">
        <v>4871</v>
      </c>
      <c r="C3209" s="157" t="s">
        <v>927</v>
      </c>
      <c r="D3209" s="159">
        <v>0.56000000000000005</v>
      </c>
      <c r="E3209" s="159">
        <v>279.18</v>
      </c>
      <c r="F3209" s="159">
        <v>156.34</v>
      </c>
      <c r="G3209" s="160" t="s">
        <v>4872</v>
      </c>
    </row>
    <row r="3210" spans="1:7" ht="12.75" customHeight="1">
      <c r="A3210" s="160">
        <v>4</v>
      </c>
      <c r="B3210" s="160" t="s">
        <v>931</v>
      </c>
      <c r="C3210" s="157" t="s">
        <v>14</v>
      </c>
      <c r="D3210" s="159">
        <v>1</v>
      </c>
      <c r="E3210" s="159">
        <v>90.23</v>
      </c>
      <c r="F3210" s="159">
        <v>90.23</v>
      </c>
      <c r="G3210" s="160" t="s">
        <v>932</v>
      </c>
    </row>
    <row r="3211" spans="1:7" ht="12.75" customHeight="1">
      <c r="A3211" s="160"/>
      <c r="B3211" s="160" t="s">
        <v>933</v>
      </c>
      <c r="C3211" s="157" t="s">
        <v>17</v>
      </c>
      <c r="D3211" s="159">
        <v>10</v>
      </c>
      <c r="E3211" s="159"/>
      <c r="F3211" s="159">
        <v>3098.0600000000004</v>
      </c>
      <c r="G3211" s="160"/>
    </row>
    <row r="3212" spans="1:7" ht="12.75" customHeight="1">
      <c r="A3212" s="160"/>
      <c r="B3212" s="160" t="s">
        <v>934</v>
      </c>
      <c r="C3212" s="157" t="s">
        <v>17</v>
      </c>
      <c r="D3212" s="159"/>
      <c r="E3212" s="159"/>
      <c r="F3212" s="159">
        <v>309.81</v>
      </c>
      <c r="G3212" s="160"/>
    </row>
    <row r="3213" spans="1:7" ht="12.75" customHeight="1">
      <c r="A3213" s="160"/>
      <c r="B3213" s="160"/>
      <c r="C3213" s="157"/>
      <c r="D3213" s="159"/>
      <c r="E3213" s="159"/>
      <c r="F3213" s="159"/>
      <c r="G3213" s="160"/>
    </row>
    <row r="3214" spans="1:7" ht="12.75" customHeight="1">
      <c r="A3214" s="160" t="s">
        <v>5044</v>
      </c>
      <c r="B3214" s="160" t="s">
        <v>2712</v>
      </c>
      <c r="C3214" s="157" t="s">
        <v>3</v>
      </c>
      <c r="D3214" s="159">
        <v>1</v>
      </c>
      <c r="E3214" s="159">
        <v>668.13</v>
      </c>
      <c r="F3214" s="159"/>
      <c r="G3214" s="160" t="s">
        <v>2713</v>
      </c>
    </row>
    <row r="3215" spans="1:7" ht="12.75" customHeight="1">
      <c r="A3215" s="160">
        <v>1</v>
      </c>
      <c r="B3215" s="160" t="s">
        <v>2714</v>
      </c>
      <c r="C3215" s="157" t="s">
        <v>3</v>
      </c>
      <c r="D3215" s="159">
        <v>1</v>
      </c>
      <c r="E3215" s="159">
        <v>432.86</v>
      </c>
      <c r="F3215" s="159">
        <v>432.86</v>
      </c>
      <c r="G3215" s="160" t="s">
        <v>2715</v>
      </c>
    </row>
    <row r="3216" spans="1:7" ht="12.75" customHeight="1">
      <c r="A3216" s="160">
        <v>2</v>
      </c>
      <c r="B3216" s="160" t="s">
        <v>2716</v>
      </c>
      <c r="C3216" s="157" t="s">
        <v>18</v>
      </c>
      <c r="D3216" s="159">
        <v>0.14000000000000001</v>
      </c>
      <c r="E3216" s="159">
        <v>20.100000000000001</v>
      </c>
      <c r="F3216" s="159">
        <v>2.81</v>
      </c>
      <c r="G3216" s="160" t="s">
        <v>2717</v>
      </c>
    </row>
    <row r="3217" spans="1:7" ht="12.75" customHeight="1">
      <c r="A3217" s="160">
        <v>3</v>
      </c>
      <c r="B3217" s="160" t="s">
        <v>2718</v>
      </c>
      <c r="C3217" s="157" t="s">
        <v>927</v>
      </c>
      <c r="D3217" s="159">
        <v>0.08</v>
      </c>
      <c r="E3217" s="159">
        <v>398.41</v>
      </c>
      <c r="F3217" s="159">
        <v>31.87</v>
      </c>
      <c r="G3217" s="160" t="s">
        <v>2719</v>
      </c>
    </row>
    <row r="3218" spans="1:7" ht="12.75" customHeight="1">
      <c r="A3218" s="160">
        <v>4</v>
      </c>
      <c r="B3218" s="160" t="s">
        <v>2720</v>
      </c>
      <c r="C3218" s="157" t="s">
        <v>14</v>
      </c>
      <c r="D3218" s="159">
        <v>1</v>
      </c>
      <c r="E3218" s="159">
        <v>77.5</v>
      </c>
      <c r="F3218" s="159">
        <v>77.5</v>
      </c>
      <c r="G3218" s="160" t="s">
        <v>2721</v>
      </c>
    </row>
    <row r="3219" spans="1:7" ht="12.75" customHeight="1">
      <c r="A3219" s="160">
        <v>5</v>
      </c>
      <c r="B3219" s="160" t="s">
        <v>2722</v>
      </c>
      <c r="C3219" s="157" t="s">
        <v>3</v>
      </c>
      <c r="D3219" s="159">
        <v>1</v>
      </c>
      <c r="E3219" s="159">
        <v>103.63</v>
      </c>
      <c r="F3219" s="159">
        <v>103.63</v>
      </c>
      <c r="G3219" s="160" t="s">
        <v>2723</v>
      </c>
    </row>
    <row r="3220" spans="1:7" ht="12.75" customHeight="1">
      <c r="A3220" s="160">
        <v>6</v>
      </c>
      <c r="B3220" s="160" t="s">
        <v>931</v>
      </c>
      <c r="C3220" s="157" t="s">
        <v>14</v>
      </c>
      <c r="D3220" s="159">
        <v>1</v>
      </c>
      <c r="E3220" s="159">
        <v>19.46</v>
      </c>
      <c r="F3220" s="159">
        <v>19.46</v>
      </c>
      <c r="G3220" s="160" t="s">
        <v>932</v>
      </c>
    </row>
    <row r="3221" spans="1:7" ht="12.75" customHeight="1">
      <c r="A3221" s="160"/>
      <c r="B3221" s="160" t="s">
        <v>933</v>
      </c>
      <c r="C3221" s="157" t="s">
        <v>3</v>
      </c>
      <c r="D3221" s="159">
        <v>1</v>
      </c>
      <c r="E3221" s="159"/>
      <c r="F3221" s="159">
        <v>668.13</v>
      </c>
      <c r="G3221" s="160"/>
    </row>
    <row r="3222" spans="1:7" ht="12.75" customHeight="1">
      <c r="A3222" s="160"/>
      <c r="B3222" s="160" t="s">
        <v>934</v>
      </c>
      <c r="C3222" s="157" t="s">
        <v>3</v>
      </c>
      <c r="D3222" s="159"/>
      <c r="E3222" s="159"/>
      <c r="F3222" s="159">
        <v>668.13</v>
      </c>
      <c r="G3222" s="160"/>
    </row>
    <row r="3223" spans="1:7" ht="12.75" customHeight="1">
      <c r="A3223" s="160"/>
      <c r="B3223" s="160"/>
      <c r="C3223" s="157"/>
      <c r="D3223" s="159"/>
      <c r="E3223" s="159"/>
      <c r="F3223" s="159"/>
      <c r="G3223" s="160"/>
    </row>
    <row r="3224" spans="1:7" ht="12.75" customHeight="1">
      <c r="A3224" s="160" t="s">
        <v>5045</v>
      </c>
      <c r="B3224" s="160" t="s">
        <v>3659</v>
      </c>
      <c r="C3224" s="157" t="s">
        <v>3</v>
      </c>
      <c r="D3224" s="159">
        <v>1</v>
      </c>
      <c r="E3224" s="159">
        <v>1701.92</v>
      </c>
      <c r="F3224" s="159"/>
      <c r="G3224" s="160" t="s">
        <v>4052</v>
      </c>
    </row>
    <row r="3225" spans="1:7" ht="12.75" customHeight="1">
      <c r="A3225" s="160">
        <v>1</v>
      </c>
      <c r="B3225" s="160" t="s">
        <v>4053</v>
      </c>
      <c r="C3225" s="157" t="s">
        <v>3</v>
      </c>
      <c r="D3225" s="159">
        <v>1</v>
      </c>
      <c r="E3225" s="159">
        <v>1435.66</v>
      </c>
      <c r="F3225" s="159">
        <v>1435.66</v>
      </c>
      <c r="G3225" s="160" t="s">
        <v>4054</v>
      </c>
    </row>
    <row r="3226" spans="1:7" ht="12.75" customHeight="1">
      <c r="A3226" s="160">
        <v>2</v>
      </c>
      <c r="B3226" s="160" t="s">
        <v>4055</v>
      </c>
      <c r="C3226" s="157" t="s">
        <v>18</v>
      </c>
      <c r="D3226" s="159">
        <v>0.14000000000000001</v>
      </c>
      <c r="E3226" s="159">
        <v>26.62</v>
      </c>
      <c r="F3226" s="159">
        <v>3.73</v>
      </c>
      <c r="G3226" s="160" t="s">
        <v>4056</v>
      </c>
    </row>
    <row r="3227" spans="1:7" ht="12.75" customHeight="1">
      <c r="A3227" s="160">
        <v>3</v>
      </c>
      <c r="B3227" s="160" t="s">
        <v>2718</v>
      </c>
      <c r="C3227" s="157" t="s">
        <v>927</v>
      </c>
      <c r="D3227" s="159">
        <v>0.34</v>
      </c>
      <c r="E3227" s="159">
        <v>398.41</v>
      </c>
      <c r="F3227" s="159">
        <v>135.46</v>
      </c>
      <c r="G3227" s="160" t="s">
        <v>2719</v>
      </c>
    </row>
    <row r="3228" spans="1:7" ht="12.75" customHeight="1">
      <c r="A3228" s="160">
        <v>4</v>
      </c>
      <c r="B3228" s="160" t="s">
        <v>2720</v>
      </c>
      <c r="C3228" s="157" t="s">
        <v>14</v>
      </c>
      <c r="D3228" s="159">
        <v>1</v>
      </c>
      <c r="E3228" s="159">
        <v>77.5</v>
      </c>
      <c r="F3228" s="159">
        <v>77.5</v>
      </c>
      <c r="G3228" s="160" t="s">
        <v>2721</v>
      </c>
    </row>
    <row r="3229" spans="1:7" ht="12.75" customHeight="1">
      <c r="A3229" s="160">
        <v>5</v>
      </c>
      <c r="B3229" s="160" t="s">
        <v>931</v>
      </c>
      <c r="C3229" s="157" t="s">
        <v>14</v>
      </c>
      <c r="D3229" s="159">
        <v>1</v>
      </c>
      <c r="E3229" s="159">
        <v>49.57</v>
      </c>
      <c r="F3229" s="159">
        <v>49.57</v>
      </c>
      <c r="G3229" s="160" t="s">
        <v>932</v>
      </c>
    </row>
    <row r="3230" spans="1:7" ht="12.75" customHeight="1">
      <c r="A3230" s="160"/>
      <c r="B3230" s="160" t="s">
        <v>933</v>
      </c>
      <c r="C3230" s="157" t="s">
        <v>3</v>
      </c>
      <c r="D3230" s="159">
        <v>1</v>
      </c>
      <c r="E3230" s="159"/>
      <c r="F3230" s="159">
        <v>1701.92</v>
      </c>
      <c r="G3230" s="160"/>
    </row>
    <row r="3231" spans="1:7" ht="12.75" customHeight="1">
      <c r="A3231" s="160"/>
      <c r="B3231" s="160" t="s">
        <v>934</v>
      </c>
      <c r="C3231" s="157" t="s">
        <v>3</v>
      </c>
      <c r="D3231" s="159"/>
      <c r="E3231" s="159"/>
      <c r="F3231" s="159">
        <v>1701.92</v>
      </c>
      <c r="G3231" s="160"/>
    </row>
    <row r="3232" spans="1:7" ht="12.75" customHeight="1">
      <c r="A3232" s="160"/>
      <c r="B3232" s="160"/>
      <c r="C3232" s="157"/>
      <c r="D3232" s="159"/>
      <c r="E3232" s="159"/>
      <c r="F3232" s="159"/>
      <c r="G3232" s="160"/>
    </row>
    <row r="3233" spans="1:7" ht="12.75" customHeight="1">
      <c r="A3233" s="160" t="s">
        <v>5046</v>
      </c>
      <c r="B3233" s="160" t="s">
        <v>2725</v>
      </c>
      <c r="C3233" s="157" t="s">
        <v>2679</v>
      </c>
      <c r="D3233" s="159">
        <v>1</v>
      </c>
      <c r="E3233" s="159">
        <v>250.38</v>
      </c>
      <c r="F3233" s="159"/>
      <c r="G3233" s="160" t="s">
        <v>2726</v>
      </c>
    </row>
    <row r="3234" spans="1:7" ht="12.75" customHeight="1">
      <c r="A3234" s="160">
        <v>1</v>
      </c>
      <c r="B3234" s="160" t="s">
        <v>2727</v>
      </c>
      <c r="C3234" s="157" t="s">
        <v>14</v>
      </c>
      <c r="D3234" s="159">
        <v>1</v>
      </c>
      <c r="E3234" s="159">
        <v>49.68</v>
      </c>
      <c r="F3234" s="159">
        <v>49.68</v>
      </c>
      <c r="G3234" s="160" t="s">
        <v>2728</v>
      </c>
    </row>
    <row r="3235" spans="1:7" ht="12.75" customHeight="1">
      <c r="A3235" s="160">
        <v>2</v>
      </c>
      <c r="B3235" s="160" t="s">
        <v>2729</v>
      </c>
      <c r="C3235" s="157" t="s">
        <v>2679</v>
      </c>
      <c r="D3235" s="159">
        <v>1</v>
      </c>
      <c r="E3235" s="159">
        <v>173.87</v>
      </c>
      <c r="F3235" s="159">
        <v>173.87</v>
      </c>
      <c r="G3235" s="160" t="s">
        <v>2730</v>
      </c>
    </row>
    <row r="3236" spans="1:7" ht="12.75" customHeight="1">
      <c r="A3236" s="160">
        <v>3</v>
      </c>
      <c r="B3236" s="160" t="s">
        <v>4871</v>
      </c>
      <c r="C3236" s="157" t="s">
        <v>927</v>
      </c>
      <c r="D3236" s="159">
        <v>7.0000000000000007E-2</v>
      </c>
      <c r="E3236" s="159">
        <v>279.18</v>
      </c>
      <c r="F3236" s="159">
        <v>19.54</v>
      </c>
      <c r="G3236" s="160" t="s">
        <v>4872</v>
      </c>
    </row>
    <row r="3237" spans="1:7" ht="12.75" customHeight="1">
      <c r="A3237" s="160">
        <v>4</v>
      </c>
      <c r="B3237" s="160" t="s">
        <v>931</v>
      </c>
      <c r="C3237" s="157" t="s">
        <v>14</v>
      </c>
      <c r="D3237" s="159">
        <v>1</v>
      </c>
      <c r="E3237" s="159">
        <v>7.29</v>
      </c>
      <c r="F3237" s="159">
        <v>7.29</v>
      </c>
      <c r="G3237" s="160" t="s">
        <v>932</v>
      </c>
    </row>
    <row r="3238" spans="1:7" ht="12.75" customHeight="1">
      <c r="A3238" s="160"/>
      <c r="B3238" s="160" t="s">
        <v>933</v>
      </c>
      <c r="C3238" s="157" t="s">
        <v>2679</v>
      </c>
      <c r="D3238" s="159">
        <v>1</v>
      </c>
      <c r="E3238" s="159"/>
      <c r="F3238" s="159">
        <v>250.38</v>
      </c>
      <c r="G3238" s="160"/>
    </row>
    <row r="3239" spans="1:7" ht="12.75" customHeight="1">
      <c r="A3239" s="160"/>
      <c r="B3239" s="160" t="s">
        <v>934</v>
      </c>
      <c r="C3239" s="157" t="s">
        <v>2679</v>
      </c>
      <c r="D3239" s="159"/>
      <c r="E3239" s="159"/>
      <c r="F3239" s="159">
        <v>250.38</v>
      </c>
      <c r="G3239" s="160"/>
    </row>
    <row r="3240" spans="1:7" ht="12.75" customHeight="1">
      <c r="A3240" s="160"/>
      <c r="B3240" s="160"/>
      <c r="C3240" s="157"/>
      <c r="D3240" s="159"/>
      <c r="E3240" s="159"/>
      <c r="F3240" s="159"/>
      <c r="G3240" s="160"/>
    </row>
    <row r="3241" spans="1:7" ht="12.75" customHeight="1">
      <c r="A3241" s="160" t="s">
        <v>5047</v>
      </c>
      <c r="B3241" s="160" t="s">
        <v>2732</v>
      </c>
      <c r="C3241" s="157" t="s">
        <v>1818</v>
      </c>
      <c r="D3241" s="159">
        <v>1</v>
      </c>
      <c r="E3241" s="159">
        <v>841.67</v>
      </c>
      <c r="F3241" s="159"/>
      <c r="G3241" s="160" t="s">
        <v>2733</v>
      </c>
    </row>
    <row r="3242" spans="1:7" ht="12.75" customHeight="1">
      <c r="A3242" s="160">
        <v>1</v>
      </c>
      <c r="B3242" s="160" t="s">
        <v>2734</v>
      </c>
      <c r="C3242" s="157" t="s">
        <v>1497</v>
      </c>
      <c r="D3242" s="159">
        <v>1</v>
      </c>
      <c r="E3242" s="159">
        <v>794.83</v>
      </c>
      <c r="F3242" s="159">
        <v>794.83</v>
      </c>
      <c r="G3242" s="160" t="s">
        <v>2735</v>
      </c>
    </row>
    <row r="3243" spans="1:7" ht="12.75" customHeight="1">
      <c r="A3243" s="160">
        <v>2</v>
      </c>
      <c r="B3243" s="160" t="s">
        <v>4871</v>
      </c>
      <c r="C3243" s="157" t="s">
        <v>927</v>
      </c>
      <c r="D3243" s="159">
        <v>0.08</v>
      </c>
      <c r="E3243" s="159">
        <v>279.18</v>
      </c>
      <c r="F3243" s="159">
        <v>22.33</v>
      </c>
      <c r="G3243" s="160" t="s">
        <v>4872</v>
      </c>
    </row>
    <row r="3244" spans="1:7" ht="12.75" customHeight="1">
      <c r="A3244" s="160">
        <v>3</v>
      </c>
      <c r="B3244" s="160" t="s">
        <v>931</v>
      </c>
      <c r="C3244" s="157" t="s">
        <v>14</v>
      </c>
      <c r="D3244" s="159">
        <v>1</v>
      </c>
      <c r="E3244" s="159">
        <v>24.51</v>
      </c>
      <c r="F3244" s="159">
        <v>24.51</v>
      </c>
      <c r="G3244" s="160" t="s">
        <v>932</v>
      </c>
    </row>
    <row r="3245" spans="1:7" ht="12.75" customHeight="1">
      <c r="A3245" s="160"/>
      <c r="B3245" s="160" t="s">
        <v>933</v>
      </c>
      <c r="C3245" s="157" t="s">
        <v>1818</v>
      </c>
      <c r="D3245" s="159">
        <v>1</v>
      </c>
      <c r="E3245" s="159"/>
      <c r="F3245" s="159">
        <v>841.67000000000007</v>
      </c>
      <c r="G3245" s="160"/>
    </row>
    <row r="3246" spans="1:7" ht="12.75" customHeight="1">
      <c r="A3246" s="160"/>
      <c r="B3246" s="160" t="s">
        <v>934</v>
      </c>
      <c r="C3246" s="157" t="s">
        <v>1818</v>
      </c>
      <c r="D3246" s="159"/>
      <c r="E3246" s="159"/>
      <c r="F3246" s="159">
        <v>841.67</v>
      </c>
      <c r="G3246" s="160"/>
    </row>
    <row r="3247" spans="1:7" ht="12.75" customHeight="1">
      <c r="A3247" s="160"/>
      <c r="B3247" s="160"/>
      <c r="C3247" s="157"/>
      <c r="D3247" s="159"/>
      <c r="E3247" s="159"/>
      <c r="F3247" s="159"/>
      <c r="G3247" s="160"/>
    </row>
    <row r="3248" spans="1:7" ht="12.75" customHeight="1">
      <c r="A3248" s="160" t="s">
        <v>5048</v>
      </c>
      <c r="B3248" s="160" t="s">
        <v>2737</v>
      </c>
      <c r="C3248" s="157" t="s">
        <v>1818</v>
      </c>
      <c r="D3248" s="159">
        <v>1</v>
      </c>
      <c r="E3248" s="159">
        <v>1228.49</v>
      </c>
      <c r="F3248" s="159"/>
      <c r="G3248" s="160" t="s">
        <v>2738</v>
      </c>
    </row>
    <row r="3249" spans="1:7" ht="12.75" customHeight="1">
      <c r="A3249" s="160">
        <v>1</v>
      </c>
      <c r="B3249" s="160" t="s">
        <v>2739</v>
      </c>
      <c r="C3249" s="157" t="s">
        <v>1497</v>
      </c>
      <c r="D3249" s="159">
        <v>1</v>
      </c>
      <c r="E3249" s="159">
        <v>610.03</v>
      </c>
      <c r="F3249" s="159">
        <v>610.03</v>
      </c>
      <c r="G3249" s="160" t="s">
        <v>2740</v>
      </c>
    </row>
    <row r="3250" spans="1:7" ht="12.75" customHeight="1">
      <c r="A3250" s="160">
        <v>2</v>
      </c>
      <c r="B3250" s="160" t="s">
        <v>2741</v>
      </c>
      <c r="C3250" s="157" t="s">
        <v>1497</v>
      </c>
      <c r="D3250" s="159">
        <v>4</v>
      </c>
      <c r="E3250" s="159">
        <v>0.99</v>
      </c>
      <c r="F3250" s="159">
        <v>3.96</v>
      </c>
      <c r="G3250" s="160" t="s">
        <v>2742</v>
      </c>
    </row>
    <row r="3251" spans="1:7" ht="12.75" customHeight="1">
      <c r="A3251" s="160">
        <v>3</v>
      </c>
      <c r="B3251" s="160" t="s">
        <v>2743</v>
      </c>
      <c r="C3251" s="157" t="s">
        <v>1497</v>
      </c>
      <c r="D3251" s="159">
        <v>2</v>
      </c>
      <c r="E3251" s="159">
        <v>19.87</v>
      </c>
      <c r="F3251" s="159">
        <v>39.74</v>
      </c>
      <c r="G3251" s="160" t="s">
        <v>2744</v>
      </c>
    </row>
    <row r="3252" spans="1:7" ht="12.75" customHeight="1">
      <c r="A3252" s="160">
        <v>4</v>
      </c>
      <c r="B3252" s="160" t="s">
        <v>2745</v>
      </c>
      <c r="C3252" s="157" t="s">
        <v>1818</v>
      </c>
      <c r="D3252" s="159">
        <v>1</v>
      </c>
      <c r="E3252" s="159">
        <v>361.65</v>
      </c>
      <c r="F3252" s="159">
        <v>361.65</v>
      </c>
      <c r="G3252" s="160" t="s">
        <v>2746</v>
      </c>
    </row>
    <row r="3253" spans="1:7" ht="12.75" customHeight="1">
      <c r="A3253" s="160">
        <v>5</v>
      </c>
      <c r="B3253" s="160" t="s">
        <v>2747</v>
      </c>
      <c r="C3253" s="157" t="s">
        <v>1497</v>
      </c>
      <c r="D3253" s="159">
        <v>4</v>
      </c>
      <c r="E3253" s="159">
        <v>38.75</v>
      </c>
      <c r="F3253" s="159">
        <v>155</v>
      </c>
      <c r="G3253" s="160" t="s">
        <v>2748</v>
      </c>
    </row>
    <row r="3254" spans="1:7" ht="12.75" customHeight="1">
      <c r="A3254" s="160">
        <v>6</v>
      </c>
      <c r="B3254" s="160" t="s">
        <v>4871</v>
      </c>
      <c r="C3254" s="157" t="s">
        <v>927</v>
      </c>
      <c r="D3254" s="159">
        <v>0.08</v>
      </c>
      <c r="E3254" s="159">
        <v>279.18</v>
      </c>
      <c r="F3254" s="159">
        <v>22.33</v>
      </c>
      <c r="G3254" s="160" t="s">
        <v>4872</v>
      </c>
    </row>
    <row r="3255" spans="1:7" ht="12.75" customHeight="1">
      <c r="A3255" s="160">
        <v>7</v>
      </c>
      <c r="B3255" s="160" t="s">
        <v>931</v>
      </c>
      <c r="C3255" s="157" t="s">
        <v>14</v>
      </c>
      <c r="D3255" s="159">
        <v>1</v>
      </c>
      <c r="E3255" s="159">
        <v>35.78</v>
      </c>
      <c r="F3255" s="159">
        <v>35.78</v>
      </c>
      <c r="G3255" s="160" t="s">
        <v>932</v>
      </c>
    </row>
    <row r="3256" spans="1:7" ht="12.75" customHeight="1">
      <c r="A3256" s="160"/>
      <c r="B3256" s="160" t="s">
        <v>933</v>
      </c>
      <c r="C3256" s="157" t="s">
        <v>1818</v>
      </c>
      <c r="D3256" s="159">
        <v>1</v>
      </c>
      <c r="E3256" s="159"/>
      <c r="F3256" s="159">
        <v>1228.49</v>
      </c>
      <c r="G3256" s="160"/>
    </row>
    <row r="3257" spans="1:7" ht="12.75" customHeight="1">
      <c r="A3257" s="160"/>
      <c r="B3257" s="160" t="s">
        <v>934</v>
      </c>
      <c r="C3257" s="157" t="s">
        <v>1818</v>
      </c>
      <c r="D3257" s="159"/>
      <c r="E3257" s="159"/>
      <c r="F3257" s="159">
        <v>1228.49</v>
      </c>
      <c r="G3257" s="160"/>
    </row>
    <row r="3258" spans="1:7" ht="12.75" customHeight="1">
      <c r="A3258" s="160"/>
      <c r="B3258" s="160"/>
      <c r="C3258" s="157"/>
      <c r="D3258" s="159"/>
      <c r="E3258" s="159"/>
      <c r="F3258" s="159"/>
      <c r="G3258" s="160"/>
    </row>
    <row r="3259" spans="1:7" ht="12.75" customHeight="1">
      <c r="A3259" s="160" t="s">
        <v>5049</v>
      </c>
      <c r="B3259" s="160" t="s">
        <v>2750</v>
      </c>
      <c r="C3259" s="157" t="s">
        <v>1818</v>
      </c>
      <c r="D3259" s="159">
        <v>1</v>
      </c>
      <c r="E3259" s="159">
        <v>2442.1799999999998</v>
      </c>
      <c r="F3259" s="159"/>
      <c r="G3259" s="160" t="s">
        <v>2751</v>
      </c>
    </row>
    <row r="3260" spans="1:7" ht="12.75" customHeight="1">
      <c r="A3260" s="160">
        <v>1</v>
      </c>
      <c r="B3260" s="160" t="s">
        <v>2752</v>
      </c>
      <c r="C3260" s="157" t="s">
        <v>1497</v>
      </c>
      <c r="D3260" s="159">
        <v>1</v>
      </c>
      <c r="E3260" s="159">
        <v>1788.37</v>
      </c>
      <c r="F3260" s="159">
        <v>1788.37</v>
      </c>
      <c r="G3260" s="160" t="s">
        <v>2753</v>
      </c>
    </row>
    <row r="3261" spans="1:7" ht="12.75" customHeight="1">
      <c r="A3261" s="160">
        <v>2</v>
      </c>
      <c r="B3261" s="160" t="s">
        <v>2743</v>
      </c>
      <c r="C3261" s="157" t="s">
        <v>1497</v>
      </c>
      <c r="D3261" s="159">
        <v>2</v>
      </c>
      <c r="E3261" s="159">
        <v>19.87</v>
      </c>
      <c r="F3261" s="159">
        <v>39.74</v>
      </c>
      <c r="G3261" s="160" t="s">
        <v>2744</v>
      </c>
    </row>
    <row r="3262" spans="1:7" ht="12.75" customHeight="1">
      <c r="A3262" s="160">
        <v>3</v>
      </c>
      <c r="B3262" s="160" t="s">
        <v>2745</v>
      </c>
      <c r="C3262" s="157" t="s">
        <v>1818</v>
      </c>
      <c r="D3262" s="159">
        <v>1</v>
      </c>
      <c r="E3262" s="159">
        <v>361.65</v>
      </c>
      <c r="F3262" s="159">
        <v>361.65</v>
      </c>
      <c r="G3262" s="160" t="s">
        <v>2746</v>
      </c>
    </row>
    <row r="3263" spans="1:7" ht="12.75" customHeight="1">
      <c r="A3263" s="160">
        <v>4</v>
      </c>
      <c r="B3263" s="160" t="s">
        <v>2747</v>
      </c>
      <c r="C3263" s="157" t="s">
        <v>1497</v>
      </c>
      <c r="D3263" s="159">
        <v>4</v>
      </c>
      <c r="E3263" s="159">
        <v>38.75</v>
      </c>
      <c r="F3263" s="159">
        <v>155</v>
      </c>
      <c r="G3263" s="160" t="s">
        <v>2748</v>
      </c>
    </row>
    <row r="3264" spans="1:7" ht="12.75" customHeight="1">
      <c r="A3264" s="160">
        <v>5</v>
      </c>
      <c r="B3264" s="160" t="s">
        <v>2741</v>
      </c>
      <c r="C3264" s="157" t="s">
        <v>1497</v>
      </c>
      <c r="D3264" s="159">
        <v>4</v>
      </c>
      <c r="E3264" s="159">
        <v>0.99</v>
      </c>
      <c r="F3264" s="159">
        <v>3.96</v>
      </c>
      <c r="G3264" s="160" t="s">
        <v>2742</v>
      </c>
    </row>
    <row r="3265" spans="1:7" ht="12.75" customHeight="1">
      <c r="A3265" s="160">
        <v>6</v>
      </c>
      <c r="B3265" s="160" t="s">
        <v>4871</v>
      </c>
      <c r="C3265" s="157" t="s">
        <v>927</v>
      </c>
      <c r="D3265" s="159">
        <v>0.08</v>
      </c>
      <c r="E3265" s="159">
        <v>279.18</v>
      </c>
      <c r="F3265" s="159">
        <v>22.33</v>
      </c>
      <c r="G3265" s="160" t="s">
        <v>4872</v>
      </c>
    </row>
    <row r="3266" spans="1:7" ht="12.75" customHeight="1">
      <c r="A3266" s="160">
        <v>7</v>
      </c>
      <c r="B3266" s="160" t="s">
        <v>931</v>
      </c>
      <c r="C3266" s="157" t="s">
        <v>14</v>
      </c>
      <c r="D3266" s="159">
        <v>1</v>
      </c>
      <c r="E3266" s="159">
        <v>71.13</v>
      </c>
      <c r="F3266" s="159">
        <v>71.13</v>
      </c>
      <c r="G3266" s="160" t="s">
        <v>932</v>
      </c>
    </row>
    <row r="3267" spans="1:7" ht="12.75" customHeight="1">
      <c r="A3267" s="160"/>
      <c r="B3267" s="160" t="s">
        <v>933</v>
      </c>
      <c r="C3267" s="157" t="s">
        <v>1818</v>
      </c>
      <c r="D3267" s="159">
        <v>1</v>
      </c>
      <c r="E3267" s="159"/>
      <c r="F3267" s="159">
        <v>2442.1799999999998</v>
      </c>
      <c r="G3267" s="160"/>
    </row>
    <row r="3268" spans="1:7" ht="12.75" customHeight="1">
      <c r="A3268" s="160"/>
      <c r="B3268" s="160" t="s">
        <v>934</v>
      </c>
      <c r="C3268" s="157" t="s">
        <v>1818</v>
      </c>
      <c r="D3268" s="159"/>
      <c r="E3268" s="159"/>
      <c r="F3268" s="159">
        <v>2442.1799999999998</v>
      </c>
      <c r="G3268" s="160"/>
    </row>
    <row r="3269" spans="1:7" ht="12.75" customHeight="1">
      <c r="A3269" s="160"/>
      <c r="B3269" s="160"/>
      <c r="C3269" s="157"/>
      <c r="D3269" s="159"/>
      <c r="E3269" s="159"/>
      <c r="F3269" s="159"/>
      <c r="G3269" s="160"/>
    </row>
    <row r="3270" spans="1:7" ht="12.75" customHeight="1">
      <c r="A3270" s="160" t="s">
        <v>5050</v>
      </c>
      <c r="B3270" s="160" t="s">
        <v>2755</v>
      </c>
      <c r="C3270" s="157" t="s">
        <v>2679</v>
      </c>
      <c r="D3270" s="159">
        <v>1</v>
      </c>
      <c r="E3270" s="159">
        <v>328.3</v>
      </c>
      <c r="F3270" s="159"/>
      <c r="G3270" s="160" t="s">
        <v>2756</v>
      </c>
    </row>
    <row r="3271" spans="1:7" ht="12.75" customHeight="1">
      <c r="A3271" s="160">
        <v>1</v>
      </c>
      <c r="B3271" s="160" t="s">
        <v>2757</v>
      </c>
      <c r="C3271" s="157" t="s">
        <v>14</v>
      </c>
      <c r="D3271" s="159">
        <v>1</v>
      </c>
      <c r="E3271" s="159">
        <v>14.9</v>
      </c>
      <c r="F3271" s="159">
        <v>14.9</v>
      </c>
      <c r="G3271" s="160" t="s">
        <v>2758</v>
      </c>
    </row>
    <row r="3272" spans="1:7" ht="12.75" customHeight="1">
      <c r="A3272" s="160">
        <v>2</v>
      </c>
      <c r="B3272" s="160" t="s">
        <v>2759</v>
      </c>
      <c r="C3272" s="157" t="s">
        <v>2679</v>
      </c>
      <c r="D3272" s="159">
        <v>1</v>
      </c>
      <c r="E3272" s="159">
        <v>248.38</v>
      </c>
      <c r="F3272" s="159">
        <v>248.38</v>
      </c>
      <c r="G3272" s="160" t="s">
        <v>2760</v>
      </c>
    </row>
    <row r="3273" spans="1:7" ht="12.75" customHeight="1">
      <c r="A3273" s="160">
        <v>3</v>
      </c>
      <c r="B3273" s="160" t="s">
        <v>2761</v>
      </c>
      <c r="C3273" s="157" t="s">
        <v>3</v>
      </c>
      <c r="D3273" s="159">
        <v>0.02</v>
      </c>
      <c r="E3273" s="159">
        <v>2214.6</v>
      </c>
      <c r="F3273" s="159">
        <v>44.29</v>
      </c>
      <c r="G3273" s="160" t="s">
        <v>2762</v>
      </c>
    </row>
    <row r="3274" spans="1:7" ht="12.75" customHeight="1">
      <c r="A3274" s="160">
        <v>4</v>
      </c>
      <c r="B3274" s="160" t="s">
        <v>4871</v>
      </c>
      <c r="C3274" s="157" t="s">
        <v>927</v>
      </c>
      <c r="D3274" s="159">
        <v>0.04</v>
      </c>
      <c r="E3274" s="159">
        <v>279.18</v>
      </c>
      <c r="F3274" s="159">
        <v>11.17</v>
      </c>
      <c r="G3274" s="160" t="s">
        <v>4872</v>
      </c>
    </row>
    <row r="3275" spans="1:7" ht="12.75" customHeight="1">
      <c r="A3275" s="160">
        <v>5</v>
      </c>
      <c r="B3275" s="160" t="s">
        <v>931</v>
      </c>
      <c r="C3275" s="157" t="s">
        <v>14</v>
      </c>
      <c r="D3275" s="159">
        <v>1</v>
      </c>
      <c r="E3275" s="159">
        <v>9.56</v>
      </c>
      <c r="F3275" s="159">
        <v>9.56</v>
      </c>
      <c r="G3275" s="160" t="s">
        <v>932</v>
      </c>
    </row>
    <row r="3276" spans="1:7" ht="12.75" customHeight="1">
      <c r="A3276" s="160"/>
      <c r="B3276" s="160" t="s">
        <v>933</v>
      </c>
      <c r="C3276" s="157" t="s">
        <v>2679</v>
      </c>
      <c r="D3276" s="159">
        <v>1</v>
      </c>
      <c r="E3276" s="159"/>
      <c r="F3276" s="159">
        <v>328.3</v>
      </c>
      <c r="G3276" s="160"/>
    </row>
    <row r="3277" spans="1:7" ht="12.75" customHeight="1">
      <c r="A3277" s="160"/>
      <c r="B3277" s="160" t="s">
        <v>934</v>
      </c>
      <c r="C3277" s="157" t="s">
        <v>2679</v>
      </c>
      <c r="D3277" s="159"/>
      <c r="E3277" s="159"/>
      <c r="F3277" s="159">
        <v>328.3</v>
      </c>
      <c r="G3277" s="160"/>
    </row>
    <row r="3278" spans="1:7" ht="12.75" customHeight="1">
      <c r="A3278" s="160"/>
      <c r="B3278" s="160"/>
      <c r="C3278" s="157"/>
      <c r="D3278" s="159"/>
      <c r="E3278" s="159"/>
      <c r="F3278" s="159"/>
      <c r="G3278" s="160"/>
    </row>
    <row r="3279" spans="1:7" ht="12.75" customHeight="1">
      <c r="A3279" s="160" t="s">
        <v>5051</v>
      </c>
      <c r="B3279" s="160" t="s">
        <v>913</v>
      </c>
      <c r="C3279" s="157" t="s">
        <v>3</v>
      </c>
      <c r="D3279" s="159">
        <v>10</v>
      </c>
      <c r="E3279" s="159">
        <v>913.96</v>
      </c>
      <c r="F3279" s="159"/>
      <c r="G3279" s="160" t="s">
        <v>2764</v>
      </c>
    </row>
    <row r="3280" spans="1:7" ht="12.75" customHeight="1">
      <c r="A3280" s="160">
        <v>1</v>
      </c>
      <c r="B3280" s="160" t="s">
        <v>2765</v>
      </c>
      <c r="C3280" s="157" t="s">
        <v>18</v>
      </c>
      <c r="D3280" s="159">
        <v>43</v>
      </c>
      <c r="E3280" s="159">
        <v>105.56</v>
      </c>
      <c r="F3280" s="159">
        <v>4539.08</v>
      </c>
      <c r="G3280" s="160" t="s">
        <v>2766</v>
      </c>
    </row>
    <row r="3281" spans="1:7" ht="12.75" customHeight="1">
      <c r="A3281" s="160">
        <v>2</v>
      </c>
      <c r="B3281" s="160" t="s">
        <v>2767</v>
      </c>
      <c r="C3281" s="157" t="s">
        <v>18</v>
      </c>
      <c r="D3281" s="159">
        <v>11</v>
      </c>
      <c r="E3281" s="159">
        <v>16.03</v>
      </c>
      <c r="F3281" s="159">
        <v>176.33</v>
      </c>
      <c r="G3281" s="160" t="s">
        <v>2768</v>
      </c>
    </row>
    <row r="3282" spans="1:7" ht="12.75" customHeight="1">
      <c r="A3282" s="160">
        <v>3</v>
      </c>
      <c r="B3282" s="160" t="s">
        <v>2716</v>
      </c>
      <c r="C3282" s="157" t="s">
        <v>18</v>
      </c>
      <c r="D3282" s="159">
        <v>1.4</v>
      </c>
      <c r="E3282" s="159">
        <v>20.100000000000001</v>
      </c>
      <c r="F3282" s="159">
        <v>28.14</v>
      </c>
      <c r="G3282" s="160" t="s">
        <v>2717</v>
      </c>
    </row>
    <row r="3283" spans="1:7" ht="12.75" customHeight="1">
      <c r="A3283" s="160">
        <v>4</v>
      </c>
      <c r="B3283" s="160" t="s">
        <v>2769</v>
      </c>
      <c r="C3283" s="157" t="s">
        <v>18</v>
      </c>
      <c r="D3283" s="159">
        <v>2</v>
      </c>
      <c r="E3283" s="159">
        <v>64.98</v>
      </c>
      <c r="F3283" s="159">
        <v>129.96</v>
      </c>
      <c r="G3283" s="160" t="s">
        <v>2770</v>
      </c>
    </row>
    <row r="3284" spans="1:7" ht="12.75" customHeight="1">
      <c r="A3284" s="160">
        <v>5</v>
      </c>
      <c r="B3284" s="160" t="s">
        <v>2771</v>
      </c>
      <c r="C3284" s="157" t="s">
        <v>927</v>
      </c>
      <c r="D3284" s="159">
        <v>3.4</v>
      </c>
      <c r="E3284" s="159">
        <v>49.68</v>
      </c>
      <c r="F3284" s="159">
        <v>168.91</v>
      </c>
      <c r="G3284" s="160" t="s">
        <v>2772</v>
      </c>
    </row>
    <row r="3285" spans="1:7" ht="12.75" customHeight="1">
      <c r="A3285" s="160">
        <v>6</v>
      </c>
      <c r="B3285" s="160" t="s">
        <v>2718</v>
      </c>
      <c r="C3285" s="157" t="s">
        <v>927</v>
      </c>
      <c r="D3285" s="159">
        <v>3.4</v>
      </c>
      <c r="E3285" s="159">
        <v>398.41</v>
      </c>
      <c r="F3285" s="159">
        <v>1354.59</v>
      </c>
      <c r="G3285" s="160" t="s">
        <v>2719</v>
      </c>
    </row>
    <row r="3286" spans="1:7" ht="12.75" customHeight="1">
      <c r="A3286" s="160">
        <v>7</v>
      </c>
      <c r="B3286" s="160" t="s">
        <v>4871</v>
      </c>
      <c r="C3286" s="157" t="s">
        <v>927</v>
      </c>
      <c r="D3286" s="159">
        <v>3.4</v>
      </c>
      <c r="E3286" s="159">
        <v>279.18</v>
      </c>
      <c r="F3286" s="159">
        <v>949.21</v>
      </c>
      <c r="G3286" s="160" t="s">
        <v>4872</v>
      </c>
    </row>
    <row r="3287" spans="1:7" ht="12.75" customHeight="1">
      <c r="A3287" s="160">
        <v>8</v>
      </c>
      <c r="B3287" s="160" t="s">
        <v>2773</v>
      </c>
      <c r="C3287" s="157" t="s">
        <v>927</v>
      </c>
      <c r="D3287" s="159">
        <v>3.4</v>
      </c>
      <c r="E3287" s="159">
        <v>398.41</v>
      </c>
      <c r="F3287" s="159">
        <v>1354.59</v>
      </c>
      <c r="G3287" s="160" t="s">
        <v>2774</v>
      </c>
    </row>
    <row r="3288" spans="1:7" ht="12.75" customHeight="1">
      <c r="A3288" s="160">
        <v>9</v>
      </c>
      <c r="B3288" s="160" t="s">
        <v>2775</v>
      </c>
      <c r="C3288" s="157" t="s">
        <v>14</v>
      </c>
      <c r="D3288" s="159">
        <v>1</v>
      </c>
      <c r="E3288" s="159">
        <v>172.58</v>
      </c>
      <c r="F3288" s="159">
        <v>172.58</v>
      </c>
      <c r="G3288" s="160" t="s">
        <v>2776</v>
      </c>
    </row>
    <row r="3289" spans="1:7" ht="12.75" customHeight="1">
      <c r="A3289" s="160">
        <v>10</v>
      </c>
      <c r="B3289" s="160" t="s">
        <v>931</v>
      </c>
      <c r="C3289" s="157" t="s">
        <v>14</v>
      </c>
      <c r="D3289" s="159">
        <v>1</v>
      </c>
      <c r="E3289" s="159">
        <v>266.2</v>
      </c>
      <c r="F3289" s="159">
        <v>266.2</v>
      </c>
      <c r="G3289" s="160" t="s">
        <v>932</v>
      </c>
    </row>
    <row r="3290" spans="1:7" ht="12.75" customHeight="1">
      <c r="A3290" s="160"/>
      <c r="B3290" s="160" t="s">
        <v>933</v>
      </c>
      <c r="C3290" s="157" t="s">
        <v>3</v>
      </c>
      <c r="D3290" s="159">
        <v>10</v>
      </c>
      <c r="E3290" s="159"/>
      <c r="F3290" s="159">
        <v>9139.59</v>
      </c>
      <c r="G3290" s="160"/>
    </row>
    <row r="3291" spans="1:7" ht="12.75" customHeight="1">
      <c r="A3291" s="160"/>
      <c r="B3291" s="160" t="s">
        <v>934</v>
      </c>
      <c r="C3291" s="157" t="s">
        <v>3</v>
      </c>
      <c r="D3291" s="159"/>
      <c r="E3291" s="159"/>
      <c r="F3291" s="159">
        <v>913.96</v>
      </c>
      <c r="G3291" s="160"/>
    </row>
    <row r="3292" spans="1:7" ht="12.75" customHeight="1">
      <c r="A3292" s="160"/>
      <c r="B3292" s="160"/>
      <c r="C3292" s="157"/>
      <c r="D3292" s="159"/>
      <c r="E3292" s="159"/>
      <c r="F3292" s="159"/>
      <c r="G3292" s="160"/>
    </row>
    <row r="3293" spans="1:7" ht="12.75" customHeight="1">
      <c r="A3293" s="160" t="s">
        <v>5052</v>
      </c>
      <c r="B3293" s="160" t="s">
        <v>2778</v>
      </c>
      <c r="C3293" s="157" t="s">
        <v>3</v>
      </c>
      <c r="D3293" s="159">
        <v>10</v>
      </c>
      <c r="E3293" s="159">
        <v>649.07000000000005</v>
      </c>
      <c r="F3293" s="159"/>
      <c r="G3293" s="160" t="s">
        <v>2779</v>
      </c>
    </row>
    <row r="3294" spans="1:7" ht="12.75" customHeight="1">
      <c r="A3294" s="160">
        <v>1</v>
      </c>
      <c r="B3294" s="160" t="s">
        <v>2765</v>
      </c>
      <c r="C3294" s="157" t="s">
        <v>18</v>
      </c>
      <c r="D3294" s="159">
        <v>43</v>
      </c>
      <c r="E3294" s="159">
        <v>105.56</v>
      </c>
      <c r="F3294" s="159">
        <v>4539.08</v>
      </c>
      <c r="G3294" s="160" t="s">
        <v>2766</v>
      </c>
    </row>
    <row r="3295" spans="1:7" ht="12.75" customHeight="1">
      <c r="A3295" s="160">
        <v>2</v>
      </c>
      <c r="B3295" s="160" t="s">
        <v>2767</v>
      </c>
      <c r="C3295" s="157" t="s">
        <v>18</v>
      </c>
      <c r="D3295" s="159">
        <v>11</v>
      </c>
      <c r="E3295" s="159">
        <v>16.03</v>
      </c>
      <c r="F3295" s="159">
        <v>176.33</v>
      </c>
      <c r="G3295" s="160" t="s">
        <v>2768</v>
      </c>
    </row>
    <row r="3296" spans="1:7" ht="12.75" customHeight="1">
      <c r="A3296" s="160">
        <v>3</v>
      </c>
      <c r="B3296" s="160" t="s">
        <v>2716</v>
      </c>
      <c r="C3296" s="157" t="s">
        <v>18</v>
      </c>
      <c r="D3296" s="159">
        <v>1.4</v>
      </c>
      <c r="E3296" s="159">
        <v>20.100000000000001</v>
      </c>
      <c r="F3296" s="159">
        <v>28.14</v>
      </c>
      <c r="G3296" s="160" t="s">
        <v>2717</v>
      </c>
    </row>
    <row r="3297" spans="1:7" ht="12.75" customHeight="1">
      <c r="A3297" s="160">
        <v>4</v>
      </c>
      <c r="B3297" s="160" t="s">
        <v>2769</v>
      </c>
      <c r="C3297" s="157" t="s">
        <v>18</v>
      </c>
      <c r="D3297" s="159">
        <v>2</v>
      </c>
      <c r="E3297" s="159">
        <v>64.98</v>
      </c>
      <c r="F3297" s="159">
        <v>129.96</v>
      </c>
      <c r="G3297" s="160" t="s">
        <v>2770</v>
      </c>
    </row>
    <row r="3298" spans="1:7" ht="12.75" customHeight="1">
      <c r="A3298" s="160">
        <v>5</v>
      </c>
      <c r="B3298" s="160" t="s">
        <v>2771</v>
      </c>
      <c r="C3298" s="157" t="s">
        <v>927</v>
      </c>
      <c r="D3298" s="159">
        <v>1.25</v>
      </c>
      <c r="E3298" s="159">
        <v>49.68</v>
      </c>
      <c r="F3298" s="159">
        <v>62.1</v>
      </c>
      <c r="G3298" s="160" t="s">
        <v>2772</v>
      </c>
    </row>
    <row r="3299" spans="1:7" ht="12.75" customHeight="1">
      <c r="A3299" s="160">
        <v>6</v>
      </c>
      <c r="B3299" s="160" t="s">
        <v>2718</v>
      </c>
      <c r="C3299" s="157" t="s">
        <v>927</v>
      </c>
      <c r="D3299" s="159">
        <v>1.25</v>
      </c>
      <c r="E3299" s="159">
        <v>398.41</v>
      </c>
      <c r="F3299" s="159">
        <v>498.01</v>
      </c>
      <c r="G3299" s="160" t="s">
        <v>2719</v>
      </c>
    </row>
    <row r="3300" spans="1:7" ht="12.75" customHeight="1">
      <c r="A3300" s="160">
        <v>7</v>
      </c>
      <c r="B3300" s="160" t="s">
        <v>4871</v>
      </c>
      <c r="C3300" s="157" t="s">
        <v>927</v>
      </c>
      <c r="D3300" s="159">
        <v>1.25</v>
      </c>
      <c r="E3300" s="159">
        <v>279.18</v>
      </c>
      <c r="F3300" s="159">
        <v>348.98</v>
      </c>
      <c r="G3300" s="160" t="s">
        <v>4872</v>
      </c>
    </row>
    <row r="3301" spans="1:7" ht="12.75" customHeight="1">
      <c r="A3301" s="160">
        <v>8</v>
      </c>
      <c r="B3301" s="160" t="s">
        <v>2773</v>
      </c>
      <c r="C3301" s="157" t="s">
        <v>927</v>
      </c>
      <c r="D3301" s="159">
        <v>1.25</v>
      </c>
      <c r="E3301" s="159">
        <v>398.41</v>
      </c>
      <c r="F3301" s="159">
        <v>498.01</v>
      </c>
      <c r="G3301" s="160" t="s">
        <v>2774</v>
      </c>
    </row>
    <row r="3302" spans="1:7" ht="12.75" customHeight="1">
      <c r="A3302" s="160">
        <v>9</v>
      </c>
      <c r="B3302" s="160" t="s">
        <v>2775</v>
      </c>
      <c r="C3302" s="157" t="s">
        <v>14</v>
      </c>
      <c r="D3302" s="159">
        <v>1</v>
      </c>
      <c r="E3302" s="159">
        <v>21.06</v>
      </c>
      <c r="F3302" s="159">
        <v>21.06</v>
      </c>
      <c r="G3302" s="160" t="s">
        <v>2776</v>
      </c>
    </row>
    <row r="3303" spans="1:7" ht="12.75" customHeight="1">
      <c r="A3303" s="160">
        <v>10</v>
      </c>
      <c r="B3303" s="160" t="s">
        <v>931</v>
      </c>
      <c r="C3303" s="157" t="s">
        <v>14</v>
      </c>
      <c r="D3303" s="159">
        <v>1</v>
      </c>
      <c r="E3303" s="159">
        <v>189.05</v>
      </c>
      <c r="F3303" s="159">
        <v>189.05</v>
      </c>
      <c r="G3303" s="160" t="s">
        <v>932</v>
      </c>
    </row>
    <row r="3304" spans="1:7" ht="12.75" customHeight="1">
      <c r="A3304" s="160"/>
      <c r="B3304" s="160" t="s">
        <v>933</v>
      </c>
      <c r="C3304" s="157" t="s">
        <v>3</v>
      </c>
      <c r="D3304" s="159">
        <v>10</v>
      </c>
      <c r="E3304" s="159"/>
      <c r="F3304" s="159">
        <v>6490.7200000000012</v>
      </c>
      <c r="G3304" s="160"/>
    </row>
    <row r="3305" spans="1:7" ht="12.75" customHeight="1">
      <c r="A3305" s="160"/>
      <c r="B3305" s="160" t="s">
        <v>934</v>
      </c>
      <c r="C3305" s="157" t="s">
        <v>3</v>
      </c>
      <c r="D3305" s="159"/>
      <c r="E3305" s="159"/>
      <c r="F3305" s="159">
        <v>649.07000000000005</v>
      </c>
      <c r="G3305" s="160"/>
    </row>
    <row r="3306" spans="1:7" ht="12.75" customHeight="1">
      <c r="A3306" s="160"/>
      <c r="B3306" s="160"/>
      <c r="C3306" s="157"/>
      <c r="D3306" s="159"/>
      <c r="E3306" s="159"/>
      <c r="F3306" s="159"/>
      <c r="G3306" s="160"/>
    </row>
    <row r="3307" spans="1:7" ht="12.75" customHeight="1">
      <c r="A3307" s="160" t="s">
        <v>5053</v>
      </c>
      <c r="B3307" s="160" t="s">
        <v>2781</v>
      </c>
      <c r="C3307" s="157" t="s">
        <v>2782</v>
      </c>
      <c r="D3307" s="159">
        <v>1000</v>
      </c>
      <c r="E3307" s="159">
        <v>54.41</v>
      </c>
      <c r="F3307" s="159"/>
      <c r="G3307" s="160" t="s">
        <v>2783</v>
      </c>
    </row>
    <row r="3308" spans="1:7" ht="12.75" customHeight="1">
      <c r="A3308" s="160">
        <v>1</v>
      </c>
      <c r="B3308" s="160" t="s">
        <v>4871</v>
      </c>
      <c r="C3308" s="157" t="s">
        <v>927</v>
      </c>
      <c r="D3308" s="159">
        <v>189.2</v>
      </c>
      <c r="E3308" s="159">
        <v>279.18</v>
      </c>
      <c r="F3308" s="159">
        <v>52820.86</v>
      </c>
      <c r="G3308" s="160" t="s">
        <v>4876</v>
      </c>
    </row>
    <row r="3309" spans="1:7" ht="12.75" customHeight="1">
      <c r="A3309" s="160">
        <v>2</v>
      </c>
      <c r="B3309" s="160" t="s">
        <v>931</v>
      </c>
      <c r="C3309" s="157" t="s">
        <v>14</v>
      </c>
      <c r="D3309" s="159">
        <v>1</v>
      </c>
      <c r="E3309" s="159">
        <v>1584.63</v>
      </c>
      <c r="F3309" s="159">
        <v>1584.63</v>
      </c>
      <c r="G3309" s="160" t="s">
        <v>932</v>
      </c>
    </row>
    <row r="3310" spans="1:7" ht="12.75" customHeight="1">
      <c r="A3310" s="160"/>
      <c r="B3310" s="160" t="s">
        <v>933</v>
      </c>
      <c r="C3310" s="157" t="s">
        <v>2782</v>
      </c>
      <c r="D3310" s="159">
        <v>1000</v>
      </c>
      <c r="E3310" s="159"/>
      <c r="F3310" s="159">
        <v>54405.49</v>
      </c>
      <c r="G3310" s="160"/>
    </row>
    <row r="3311" spans="1:7" ht="12.75" customHeight="1">
      <c r="A3311" s="160"/>
      <c r="B3311" s="160" t="s">
        <v>934</v>
      </c>
      <c r="C3311" s="157" t="s">
        <v>2782</v>
      </c>
      <c r="D3311" s="159"/>
      <c r="E3311" s="159"/>
      <c r="F3311" s="159">
        <v>54.41</v>
      </c>
      <c r="G3311" s="160"/>
    </row>
    <row r="3312" spans="1:7" ht="12.75" customHeight="1">
      <c r="A3312" s="160"/>
      <c r="B3312" s="160"/>
      <c r="C3312" s="157"/>
      <c r="D3312" s="159"/>
      <c r="E3312" s="159"/>
      <c r="F3312" s="159"/>
      <c r="G3312" s="160"/>
    </row>
    <row r="3313" spans="1:7" ht="12.75" customHeight="1">
      <c r="A3313" s="160" t="s">
        <v>5054</v>
      </c>
      <c r="B3313" s="160" t="s">
        <v>2785</v>
      </c>
      <c r="C3313" s="157" t="s">
        <v>2786</v>
      </c>
      <c r="D3313" s="159">
        <v>12</v>
      </c>
      <c r="E3313" s="159">
        <v>13728.79</v>
      </c>
      <c r="F3313" s="159"/>
      <c r="G3313" s="160" t="s">
        <v>2787</v>
      </c>
    </row>
    <row r="3314" spans="1:7" ht="12.75" customHeight="1">
      <c r="A3314" s="160">
        <v>1</v>
      </c>
      <c r="B3314" s="160" t="s">
        <v>1038</v>
      </c>
      <c r="C3314" s="157" t="s">
        <v>927</v>
      </c>
      <c r="D3314" s="159">
        <v>375</v>
      </c>
      <c r="E3314" s="159">
        <v>69.55</v>
      </c>
      <c r="F3314" s="159">
        <v>26081.25</v>
      </c>
      <c r="G3314" s="160" t="s">
        <v>1039</v>
      </c>
    </row>
    <row r="3315" spans="1:7" ht="12.75" customHeight="1">
      <c r="A3315" s="160">
        <v>2</v>
      </c>
      <c r="B3315" s="160" t="s">
        <v>5055</v>
      </c>
      <c r="C3315" s="157" t="s">
        <v>927</v>
      </c>
      <c r="D3315" s="159">
        <v>336</v>
      </c>
      <c r="E3315" s="159">
        <v>398.41</v>
      </c>
      <c r="F3315" s="159">
        <v>133865.76</v>
      </c>
      <c r="G3315" s="160" t="s">
        <v>5056</v>
      </c>
    </row>
    <row r="3316" spans="1:7" ht="12.75" customHeight="1">
      <c r="A3316" s="160">
        <v>3</v>
      </c>
      <c r="B3316" s="160" t="s">
        <v>931</v>
      </c>
      <c r="C3316" s="157" t="s">
        <v>14</v>
      </c>
      <c r="D3316" s="159">
        <v>1</v>
      </c>
      <c r="E3316" s="159">
        <v>4798.41</v>
      </c>
      <c r="F3316" s="159">
        <v>4798.41</v>
      </c>
      <c r="G3316" s="160" t="s">
        <v>932</v>
      </c>
    </row>
    <row r="3317" spans="1:7" ht="12.75" customHeight="1">
      <c r="A3317" s="160"/>
      <c r="B3317" s="160" t="s">
        <v>933</v>
      </c>
      <c r="C3317" s="157" t="s">
        <v>2786</v>
      </c>
      <c r="D3317" s="159">
        <v>12</v>
      </c>
      <c r="E3317" s="159"/>
      <c r="F3317" s="159">
        <v>164745.42000000001</v>
      </c>
      <c r="G3317" s="160"/>
    </row>
    <row r="3318" spans="1:7" ht="12.75" customHeight="1">
      <c r="A3318" s="160"/>
      <c r="B3318" s="160" t="s">
        <v>934</v>
      </c>
      <c r="C3318" s="157" t="s">
        <v>2786</v>
      </c>
      <c r="D3318" s="159"/>
      <c r="E3318" s="159"/>
      <c r="F3318" s="159">
        <v>13728.79</v>
      </c>
      <c r="G3318" s="160"/>
    </row>
    <row r="3319" spans="1:7" ht="12.75" customHeight="1">
      <c r="A3319" s="160"/>
      <c r="B3319" s="160"/>
      <c r="C3319" s="157"/>
      <c r="D3319" s="159"/>
      <c r="E3319" s="159"/>
      <c r="F3319" s="159"/>
      <c r="G3319" s="160"/>
    </row>
  </sheetData>
  <sheetProtection autoFilter="0"/>
  <mergeCells count="5">
    <mergeCell ref="A1:G1"/>
    <mergeCell ref="A2:G2"/>
    <mergeCell ref="A3:G3"/>
    <mergeCell ref="A4:G4"/>
    <mergeCell ref="A5:G5"/>
  </mergeCells>
  <phoneticPr fontId="3" type="noConversion"/>
  <printOptions horizontalCentered="1"/>
  <pageMargins left="0.47244094488188981" right="0.31496062992125984" top="0.47244094488188981" bottom="0.78740157480314965" header="0.51181102362204722" footer="0.51181102362204722"/>
  <pageSetup paperSize="9" orientation="portrait" r:id="rId1"/>
  <headerFooter alignWithMargins="0">
    <oddHeader>&amp;R&amp;"標楷體,標準"
第&amp;"Times New Roman,標準"&amp;P&amp;"標楷體,標準"頁,共&amp;"Times New Roman,標準"&amp;N&amp;"標楷體,標準"頁 &amp;"新細明體,標準"          &amp;L&amp;G</oddHeader>
    <oddFooter xml:space="preserve">&amp;C&amp;"標楷體,標準"編製：　　　　　　　　　　　　　　　校核： </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19">
    <tabColor theme="5" tint="0.59999389629810485"/>
  </sheetPr>
  <dimension ref="A1:H3319"/>
  <sheetViews>
    <sheetView zoomScaleNormal="100" zoomScaleSheetLayoutView="100" workbookViewId="0">
      <selection activeCell="A6" sqref="A1:I1048576"/>
    </sheetView>
  </sheetViews>
  <sheetFormatPr defaultColWidth="8.5" defaultRowHeight="12.75" customHeight="1"/>
  <cols>
    <col min="1" max="1" width="7.875" style="162" customWidth="1"/>
    <col min="2" max="2" width="24.375" style="162" customWidth="1"/>
    <col min="3" max="3" width="5.5" style="162" customWidth="1"/>
    <col min="4" max="4" width="8.875" style="162" customWidth="1"/>
    <col min="5" max="5" width="9.875" style="162" customWidth="1"/>
    <col min="6" max="6" width="9" style="165" customWidth="1"/>
    <col min="7" max="7" width="14.625" style="165" customWidth="1"/>
    <col min="8" max="8" width="0.75" style="31" customWidth="1"/>
    <col min="9" max="16384" width="8.5" style="32"/>
  </cols>
  <sheetData>
    <row r="1" spans="1:8" ht="30.75" customHeight="1">
      <c r="A1" s="1654" t="s">
        <v>914</v>
      </c>
      <c r="B1" s="1654"/>
      <c r="C1" s="1654"/>
      <c r="D1" s="1654"/>
      <c r="E1" s="1654"/>
      <c r="F1" s="1654"/>
      <c r="G1" s="1654"/>
    </row>
    <row r="2" spans="1:8" ht="20.25" customHeight="1">
      <c r="A2" s="1654" t="s">
        <v>915</v>
      </c>
      <c r="B2" s="1654"/>
      <c r="C2" s="1654"/>
      <c r="D2" s="1654"/>
      <c r="E2" s="1654"/>
      <c r="F2" s="1654"/>
      <c r="G2" s="1654"/>
    </row>
    <row r="3" spans="1:8" ht="16.5" customHeight="1">
      <c r="A3" s="1658"/>
      <c r="B3" s="1658"/>
      <c r="C3" s="1658"/>
      <c r="D3" s="1658"/>
      <c r="E3" s="1658"/>
      <c r="F3" s="1658"/>
      <c r="G3" s="1658"/>
    </row>
    <row r="4" spans="1:8" ht="16.5" customHeight="1">
      <c r="A4" s="1679" t="s">
        <v>5522</v>
      </c>
      <c r="B4" s="1679"/>
      <c r="C4" s="1679"/>
      <c r="D4" s="1679"/>
      <c r="E4" s="1679"/>
      <c r="F4" s="1679"/>
      <c r="G4" s="1679"/>
    </row>
    <row r="5" spans="1:8" s="33" customFormat="1" ht="17.25" customHeight="1">
      <c r="A5" s="1679" t="s">
        <v>5057</v>
      </c>
      <c r="B5" s="1679"/>
      <c r="C5" s="1679"/>
      <c r="D5" s="1679"/>
      <c r="E5" s="1679"/>
      <c r="F5" s="1679"/>
      <c r="G5" s="1679"/>
    </row>
    <row r="6" spans="1:8" s="31" customFormat="1" ht="18" customHeight="1">
      <c r="A6" s="151" t="s">
        <v>10</v>
      </c>
      <c r="B6" s="152" t="s">
        <v>917</v>
      </c>
      <c r="C6" s="152" t="s">
        <v>12</v>
      </c>
      <c r="D6" s="152" t="s">
        <v>11</v>
      </c>
      <c r="E6" s="154" t="s">
        <v>918</v>
      </c>
      <c r="F6" s="154" t="s">
        <v>919</v>
      </c>
      <c r="G6" s="152" t="s">
        <v>920</v>
      </c>
      <c r="H6" s="31" t="s">
        <v>921</v>
      </c>
    </row>
    <row r="7" spans="1:8" ht="33">
      <c r="A7" s="160" t="s">
        <v>922</v>
      </c>
      <c r="B7" s="160" t="s">
        <v>923</v>
      </c>
      <c r="C7" s="157" t="s">
        <v>0</v>
      </c>
      <c r="D7" s="159">
        <v>100</v>
      </c>
      <c r="E7" s="159">
        <v>1055.19</v>
      </c>
      <c r="F7" s="159"/>
      <c r="G7" s="160" t="s">
        <v>924</v>
      </c>
      <c r="H7" s="34" t="s">
        <v>925</v>
      </c>
    </row>
    <row r="8" spans="1:8" ht="33">
      <c r="A8" s="160">
        <v>1</v>
      </c>
      <c r="B8" s="160" t="s">
        <v>926</v>
      </c>
      <c r="C8" s="157" t="s">
        <v>927</v>
      </c>
      <c r="D8" s="159">
        <v>40</v>
      </c>
      <c r="E8" s="159">
        <v>1295.08</v>
      </c>
      <c r="F8" s="159">
        <v>51803.199999999997</v>
      </c>
      <c r="G8" s="160" t="s">
        <v>928</v>
      </c>
      <c r="H8" s="34" t="s">
        <v>925</v>
      </c>
    </row>
    <row r="9" spans="1:8" ht="33">
      <c r="A9" s="160">
        <v>2</v>
      </c>
      <c r="B9" s="160" t="s">
        <v>929</v>
      </c>
      <c r="C9" s="157" t="s">
        <v>927</v>
      </c>
      <c r="D9" s="159">
        <v>5</v>
      </c>
      <c r="E9" s="159">
        <v>1494.33</v>
      </c>
      <c r="F9" s="159">
        <v>7471.65</v>
      </c>
      <c r="G9" s="160" t="s">
        <v>930</v>
      </c>
      <c r="H9" s="34" t="s">
        <v>925</v>
      </c>
    </row>
    <row r="10" spans="1:8" ht="42.75">
      <c r="A10" s="160">
        <v>3</v>
      </c>
      <c r="B10" s="160" t="s">
        <v>4869</v>
      </c>
      <c r="C10" s="157" t="s">
        <v>927</v>
      </c>
      <c r="D10" s="159">
        <v>45</v>
      </c>
      <c r="E10" s="159">
        <v>399.48</v>
      </c>
      <c r="F10" s="159">
        <v>17976.599999999999</v>
      </c>
      <c r="G10" s="160" t="s">
        <v>4870</v>
      </c>
      <c r="H10" s="34" t="s">
        <v>925</v>
      </c>
    </row>
    <row r="11" spans="1:8" ht="33">
      <c r="A11" s="160">
        <v>4</v>
      </c>
      <c r="B11" s="160" t="s">
        <v>4871</v>
      </c>
      <c r="C11" s="157" t="s">
        <v>927</v>
      </c>
      <c r="D11" s="159">
        <v>90</v>
      </c>
      <c r="E11" s="159">
        <v>279.94</v>
      </c>
      <c r="F11" s="159">
        <v>25194.6</v>
      </c>
      <c r="G11" s="160" t="s">
        <v>4872</v>
      </c>
      <c r="H11" s="34" t="s">
        <v>925</v>
      </c>
    </row>
    <row r="12" spans="1:8" ht="33">
      <c r="A12" s="160">
        <v>5</v>
      </c>
      <c r="B12" s="160" t="s">
        <v>931</v>
      </c>
      <c r="C12" s="157" t="s">
        <v>14</v>
      </c>
      <c r="D12" s="159">
        <v>1</v>
      </c>
      <c r="E12" s="159">
        <v>3073.38</v>
      </c>
      <c r="F12" s="159">
        <v>3073.38</v>
      </c>
      <c r="G12" s="160" t="s">
        <v>932</v>
      </c>
      <c r="H12" s="34" t="s">
        <v>925</v>
      </c>
    </row>
    <row r="13" spans="1:8" ht="33">
      <c r="A13" s="160"/>
      <c r="B13" s="160" t="s">
        <v>933</v>
      </c>
      <c r="C13" s="157" t="s">
        <v>0</v>
      </c>
      <c r="D13" s="159">
        <v>100</v>
      </c>
      <c r="E13" s="159"/>
      <c r="F13" s="159">
        <v>105519.43</v>
      </c>
      <c r="G13" s="160"/>
      <c r="H13" s="34" t="s">
        <v>925</v>
      </c>
    </row>
    <row r="14" spans="1:8" ht="33">
      <c r="A14" s="160"/>
      <c r="B14" s="160" t="s">
        <v>934</v>
      </c>
      <c r="C14" s="157" t="s">
        <v>0</v>
      </c>
      <c r="D14" s="159"/>
      <c r="E14" s="159"/>
      <c r="F14" s="159">
        <v>1055.19</v>
      </c>
      <c r="G14" s="160"/>
      <c r="H14" s="34" t="s">
        <v>925</v>
      </c>
    </row>
    <row r="15" spans="1:8" ht="16.5">
      <c r="A15" s="160"/>
      <c r="B15" s="160"/>
      <c r="C15" s="157"/>
      <c r="D15" s="159"/>
      <c r="E15" s="159"/>
      <c r="F15" s="159"/>
      <c r="G15" s="160"/>
    </row>
    <row r="16" spans="1:8" ht="33">
      <c r="A16" s="160" t="s">
        <v>935</v>
      </c>
      <c r="B16" s="160" t="s">
        <v>936</v>
      </c>
      <c r="C16" s="157" t="s">
        <v>0</v>
      </c>
      <c r="D16" s="159">
        <v>100</v>
      </c>
      <c r="E16" s="159">
        <v>683.66</v>
      </c>
      <c r="F16" s="159"/>
      <c r="G16" s="160" t="s">
        <v>937</v>
      </c>
      <c r="H16" s="34" t="s">
        <v>925</v>
      </c>
    </row>
    <row r="17" spans="1:8" ht="33">
      <c r="A17" s="160">
        <v>1</v>
      </c>
      <c r="B17" s="160" t="s">
        <v>926</v>
      </c>
      <c r="C17" s="157" t="s">
        <v>927</v>
      </c>
      <c r="D17" s="159">
        <v>24</v>
      </c>
      <c r="E17" s="159">
        <v>1295.08</v>
      </c>
      <c r="F17" s="159">
        <v>31081.919999999998</v>
      </c>
      <c r="G17" s="160" t="s">
        <v>928</v>
      </c>
      <c r="H17" s="34" t="s">
        <v>925</v>
      </c>
    </row>
    <row r="18" spans="1:8" ht="33">
      <c r="A18" s="160">
        <v>2</v>
      </c>
      <c r="B18" s="160" t="s">
        <v>929</v>
      </c>
      <c r="C18" s="157" t="s">
        <v>927</v>
      </c>
      <c r="D18" s="159">
        <v>5</v>
      </c>
      <c r="E18" s="159">
        <v>1494.33</v>
      </c>
      <c r="F18" s="159">
        <v>7471.65</v>
      </c>
      <c r="G18" s="160" t="s">
        <v>930</v>
      </c>
      <c r="H18" s="34" t="s">
        <v>925</v>
      </c>
    </row>
    <row r="19" spans="1:8" ht="42.75">
      <c r="A19" s="160">
        <v>3</v>
      </c>
      <c r="B19" s="160" t="s">
        <v>4869</v>
      </c>
      <c r="C19" s="157" t="s">
        <v>927</v>
      </c>
      <c r="D19" s="159">
        <v>29</v>
      </c>
      <c r="E19" s="159">
        <v>399.48</v>
      </c>
      <c r="F19" s="159">
        <v>11584.92</v>
      </c>
      <c r="G19" s="160" t="s">
        <v>4870</v>
      </c>
      <c r="H19" s="34" t="s">
        <v>925</v>
      </c>
    </row>
    <row r="20" spans="1:8" ht="33">
      <c r="A20" s="160">
        <v>4</v>
      </c>
      <c r="B20" s="160" t="s">
        <v>4871</v>
      </c>
      <c r="C20" s="157" t="s">
        <v>927</v>
      </c>
      <c r="D20" s="159">
        <v>58</v>
      </c>
      <c r="E20" s="159">
        <v>279.94</v>
      </c>
      <c r="F20" s="159">
        <v>16236.52</v>
      </c>
      <c r="G20" s="160" t="s">
        <v>4872</v>
      </c>
      <c r="H20" s="34" t="s">
        <v>925</v>
      </c>
    </row>
    <row r="21" spans="1:8" ht="33">
      <c r="A21" s="160">
        <v>5</v>
      </c>
      <c r="B21" s="160" t="s">
        <v>931</v>
      </c>
      <c r="C21" s="157" t="s">
        <v>14</v>
      </c>
      <c r="D21" s="159">
        <v>1</v>
      </c>
      <c r="E21" s="159">
        <v>1991.25</v>
      </c>
      <c r="F21" s="159">
        <v>1991.25</v>
      </c>
      <c r="G21" s="160" t="s">
        <v>932</v>
      </c>
      <c r="H21" s="34" t="s">
        <v>925</v>
      </c>
    </row>
    <row r="22" spans="1:8" ht="33">
      <c r="A22" s="160"/>
      <c r="B22" s="160" t="s">
        <v>933</v>
      </c>
      <c r="C22" s="157" t="s">
        <v>0</v>
      </c>
      <c r="D22" s="159">
        <v>100</v>
      </c>
      <c r="E22" s="159"/>
      <c r="F22" s="159">
        <v>68366.259999999995</v>
      </c>
      <c r="G22" s="160"/>
      <c r="H22" s="34" t="s">
        <v>925</v>
      </c>
    </row>
    <row r="23" spans="1:8" ht="33">
      <c r="A23" s="160"/>
      <c r="B23" s="160" t="s">
        <v>934</v>
      </c>
      <c r="C23" s="157" t="s">
        <v>0</v>
      </c>
      <c r="D23" s="159"/>
      <c r="E23" s="159"/>
      <c r="F23" s="159">
        <v>683.66</v>
      </c>
      <c r="G23" s="160"/>
      <c r="H23" s="34" t="s">
        <v>925</v>
      </c>
    </row>
    <row r="24" spans="1:8" ht="16.5">
      <c r="A24" s="160"/>
      <c r="B24" s="160"/>
      <c r="C24" s="157"/>
      <c r="D24" s="159"/>
      <c r="E24" s="159"/>
      <c r="F24" s="159"/>
      <c r="G24" s="160"/>
    </row>
    <row r="25" spans="1:8" ht="33">
      <c r="A25" s="160" t="s">
        <v>938</v>
      </c>
      <c r="B25" s="160" t="s">
        <v>4416</v>
      </c>
      <c r="C25" s="157" t="s">
        <v>0</v>
      </c>
      <c r="D25" s="159">
        <v>100</v>
      </c>
      <c r="E25" s="159">
        <v>1724.83</v>
      </c>
      <c r="F25" s="159"/>
      <c r="G25" s="160" t="s">
        <v>4873</v>
      </c>
      <c r="H25" s="34" t="s">
        <v>925</v>
      </c>
    </row>
    <row r="26" spans="1:8" ht="33">
      <c r="A26" s="160">
        <v>1</v>
      </c>
      <c r="B26" s="160" t="s">
        <v>926</v>
      </c>
      <c r="C26" s="157" t="s">
        <v>927</v>
      </c>
      <c r="D26" s="159">
        <v>46</v>
      </c>
      <c r="E26" s="159">
        <v>1295.08</v>
      </c>
      <c r="F26" s="159">
        <v>59573.68</v>
      </c>
      <c r="G26" s="160" t="s">
        <v>928</v>
      </c>
      <c r="H26" s="34" t="s">
        <v>925</v>
      </c>
    </row>
    <row r="27" spans="1:8" ht="33">
      <c r="A27" s="160">
        <v>2</v>
      </c>
      <c r="B27" s="160" t="s">
        <v>929</v>
      </c>
      <c r="C27" s="157" t="s">
        <v>927</v>
      </c>
      <c r="D27" s="159">
        <v>5.75</v>
      </c>
      <c r="E27" s="159">
        <v>1494.33</v>
      </c>
      <c r="F27" s="159">
        <v>8592.4</v>
      </c>
      <c r="G27" s="160" t="s">
        <v>930</v>
      </c>
      <c r="H27" s="34" t="s">
        <v>925</v>
      </c>
    </row>
    <row r="28" spans="1:8" ht="33">
      <c r="A28" s="160">
        <v>3</v>
      </c>
      <c r="B28" s="160" t="s">
        <v>4046</v>
      </c>
      <c r="C28" s="157" t="s">
        <v>927</v>
      </c>
      <c r="D28" s="159">
        <v>51.75</v>
      </c>
      <c r="E28" s="159">
        <v>798.97</v>
      </c>
      <c r="F28" s="159">
        <v>41346.699999999997</v>
      </c>
      <c r="G28" s="160" t="s">
        <v>2477</v>
      </c>
      <c r="H28" s="34" t="s">
        <v>925</v>
      </c>
    </row>
    <row r="29" spans="1:8" ht="42.75">
      <c r="A29" s="160">
        <v>4</v>
      </c>
      <c r="B29" s="160" t="s">
        <v>4874</v>
      </c>
      <c r="C29" s="157" t="s">
        <v>927</v>
      </c>
      <c r="D29" s="159">
        <v>103.5</v>
      </c>
      <c r="E29" s="159">
        <v>559.87</v>
      </c>
      <c r="F29" s="159">
        <v>57946.55</v>
      </c>
      <c r="G29" s="160" t="s">
        <v>4875</v>
      </c>
      <c r="H29" s="34" t="s">
        <v>925</v>
      </c>
    </row>
    <row r="30" spans="1:8" ht="33">
      <c r="A30" s="160">
        <v>5</v>
      </c>
      <c r="B30" s="160" t="s">
        <v>931</v>
      </c>
      <c r="C30" s="157" t="s">
        <v>14</v>
      </c>
      <c r="D30" s="159">
        <v>1</v>
      </c>
      <c r="E30" s="159">
        <v>5023.78</v>
      </c>
      <c r="F30" s="159">
        <v>5023.78</v>
      </c>
      <c r="G30" s="160" t="s">
        <v>932</v>
      </c>
      <c r="H30" s="34" t="s">
        <v>925</v>
      </c>
    </row>
    <row r="31" spans="1:8" ht="33">
      <c r="A31" s="160"/>
      <c r="B31" s="160" t="s">
        <v>933</v>
      </c>
      <c r="C31" s="157" t="s">
        <v>0</v>
      </c>
      <c r="D31" s="159">
        <v>100</v>
      </c>
      <c r="E31" s="159"/>
      <c r="F31" s="159">
        <v>172483.11000000002</v>
      </c>
      <c r="G31" s="160"/>
      <c r="H31" s="34" t="s">
        <v>925</v>
      </c>
    </row>
    <row r="32" spans="1:8" ht="33">
      <c r="A32" s="160"/>
      <c r="B32" s="160" t="s">
        <v>934</v>
      </c>
      <c r="C32" s="157" t="s">
        <v>0</v>
      </c>
      <c r="D32" s="159"/>
      <c r="E32" s="159"/>
      <c r="F32" s="159">
        <v>1724.83</v>
      </c>
      <c r="G32" s="160"/>
      <c r="H32" s="34" t="s">
        <v>925</v>
      </c>
    </row>
    <row r="33" spans="1:8" ht="33">
      <c r="A33" s="160"/>
      <c r="B33" s="160"/>
      <c r="C33" s="157"/>
      <c r="D33" s="159"/>
      <c r="E33" s="159"/>
      <c r="F33" s="159"/>
      <c r="G33" s="160"/>
      <c r="H33" s="34" t="s">
        <v>925</v>
      </c>
    </row>
    <row r="34" spans="1:8" ht="33">
      <c r="A34" s="160" t="s">
        <v>949</v>
      </c>
      <c r="B34" s="160" t="s">
        <v>953</v>
      </c>
      <c r="C34" s="157" t="s">
        <v>0</v>
      </c>
      <c r="D34" s="159">
        <v>1</v>
      </c>
      <c r="E34" s="159">
        <v>4382.74</v>
      </c>
      <c r="F34" s="159"/>
      <c r="G34" s="160" t="s">
        <v>954</v>
      </c>
      <c r="H34" s="34" t="s">
        <v>925</v>
      </c>
    </row>
    <row r="35" spans="1:8" ht="33">
      <c r="A35" s="160">
        <v>1</v>
      </c>
      <c r="B35" s="160" t="s">
        <v>4871</v>
      </c>
      <c r="C35" s="157" t="s">
        <v>927</v>
      </c>
      <c r="D35" s="159">
        <v>15.2</v>
      </c>
      <c r="E35" s="159">
        <v>279.94</v>
      </c>
      <c r="F35" s="159">
        <v>4255.09</v>
      </c>
      <c r="G35" s="160" t="s">
        <v>4872</v>
      </c>
      <c r="H35" s="34" t="s">
        <v>925</v>
      </c>
    </row>
    <row r="36" spans="1:8" ht="28.5">
      <c r="A36" s="160">
        <v>2</v>
      </c>
      <c r="B36" s="160" t="s">
        <v>955</v>
      </c>
      <c r="C36" s="157" t="s">
        <v>14</v>
      </c>
      <c r="D36" s="159">
        <v>1</v>
      </c>
      <c r="E36" s="159">
        <v>127.65</v>
      </c>
      <c r="F36" s="159">
        <v>127.65</v>
      </c>
      <c r="G36" s="160" t="s">
        <v>956</v>
      </c>
    </row>
    <row r="37" spans="1:8" ht="33">
      <c r="A37" s="160"/>
      <c r="B37" s="160" t="s">
        <v>933</v>
      </c>
      <c r="C37" s="157" t="s">
        <v>0</v>
      </c>
      <c r="D37" s="159">
        <v>1</v>
      </c>
      <c r="E37" s="159"/>
      <c r="F37" s="159">
        <v>4382.74</v>
      </c>
      <c r="G37" s="160"/>
      <c r="H37" s="34" t="s">
        <v>925</v>
      </c>
    </row>
    <row r="38" spans="1:8" ht="33">
      <c r="A38" s="160"/>
      <c r="B38" s="160" t="s">
        <v>934</v>
      </c>
      <c r="C38" s="157" t="s">
        <v>0</v>
      </c>
      <c r="D38" s="159"/>
      <c r="E38" s="159"/>
      <c r="F38" s="159">
        <v>4382.74</v>
      </c>
      <c r="G38" s="160"/>
      <c r="H38" s="34" t="s">
        <v>925</v>
      </c>
    </row>
    <row r="39" spans="1:8" ht="33">
      <c r="A39" s="160"/>
      <c r="B39" s="160"/>
      <c r="C39" s="157"/>
      <c r="D39" s="159"/>
      <c r="E39" s="159"/>
      <c r="F39" s="159"/>
      <c r="G39" s="160"/>
      <c r="H39" s="34" t="s">
        <v>925</v>
      </c>
    </row>
    <row r="40" spans="1:8" ht="57">
      <c r="A40" s="160" t="s">
        <v>952</v>
      </c>
      <c r="B40" s="160" t="s">
        <v>953</v>
      </c>
      <c r="C40" s="157" t="s">
        <v>0</v>
      </c>
      <c r="D40" s="159">
        <v>1</v>
      </c>
      <c r="E40" s="159">
        <v>5830.2</v>
      </c>
      <c r="F40" s="159"/>
      <c r="G40" s="160" t="s">
        <v>969</v>
      </c>
      <c r="H40" s="34" t="s">
        <v>925</v>
      </c>
    </row>
    <row r="41" spans="1:8" ht="33">
      <c r="A41" s="160">
        <v>1</v>
      </c>
      <c r="B41" s="160" t="s">
        <v>4871</v>
      </c>
      <c r="C41" s="157" t="s">
        <v>927</v>
      </c>
      <c r="D41" s="159">
        <v>20.22</v>
      </c>
      <c r="E41" s="159">
        <v>279.94</v>
      </c>
      <c r="F41" s="159">
        <v>5660.39</v>
      </c>
      <c r="G41" s="160" t="s">
        <v>4872</v>
      </c>
      <c r="H41" s="34" t="s">
        <v>925</v>
      </c>
    </row>
    <row r="42" spans="1:8" ht="33">
      <c r="A42" s="160">
        <v>2</v>
      </c>
      <c r="B42" s="160" t="s">
        <v>955</v>
      </c>
      <c r="C42" s="157" t="s">
        <v>14</v>
      </c>
      <c r="D42" s="159">
        <v>1</v>
      </c>
      <c r="E42" s="159">
        <v>169.81</v>
      </c>
      <c r="F42" s="159">
        <v>169.81</v>
      </c>
      <c r="G42" s="160" t="s">
        <v>956</v>
      </c>
      <c r="H42" s="34" t="s">
        <v>925</v>
      </c>
    </row>
    <row r="43" spans="1:8" ht="16.5">
      <c r="A43" s="160"/>
      <c r="B43" s="160" t="s">
        <v>933</v>
      </c>
      <c r="C43" s="157" t="s">
        <v>0</v>
      </c>
      <c r="D43" s="159">
        <v>1</v>
      </c>
      <c r="E43" s="159"/>
      <c r="F43" s="159">
        <v>5830.2000000000007</v>
      </c>
      <c r="G43" s="160"/>
    </row>
    <row r="44" spans="1:8" ht="33">
      <c r="A44" s="160"/>
      <c r="B44" s="160" t="s">
        <v>934</v>
      </c>
      <c r="C44" s="157" t="s">
        <v>0</v>
      </c>
      <c r="D44" s="159"/>
      <c r="E44" s="159"/>
      <c r="F44" s="159">
        <v>5830.2</v>
      </c>
      <c r="G44" s="160"/>
      <c r="H44" s="34" t="s">
        <v>925</v>
      </c>
    </row>
    <row r="45" spans="1:8" ht="33">
      <c r="A45" s="160"/>
      <c r="B45" s="160"/>
      <c r="C45" s="157"/>
      <c r="D45" s="159"/>
      <c r="E45" s="159"/>
      <c r="F45" s="159"/>
      <c r="G45" s="160"/>
      <c r="H45" s="34" t="s">
        <v>925</v>
      </c>
    </row>
    <row r="46" spans="1:8" ht="33">
      <c r="A46" s="160" t="s">
        <v>957</v>
      </c>
      <c r="B46" s="160" t="s">
        <v>453</v>
      </c>
      <c r="C46" s="157" t="s">
        <v>0</v>
      </c>
      <c r="D46" s="159">
        <v>1</v>
      </c>
      <c r="E46" s="159">
        <v>5651.42</v>
      </c>
      <c r="F46" s="159"/>
      <c r="G46" s="160" t="s">
        <v>988</v>
      </c>
      <c r="H46" s="34" t="s">
        <v>925</v>
      </c>
    </row>
    <row r="47" spans="1:8" ht="33">
      <c r="A47" s="160">
        <v>1</v>
      </c>
      <c r="B47" s="160" t="s">
        <v>4871</v>
      </c>
      <c r="C47" s="157" t="s">
        <v>927</v>
      </c>
      <c r="D47" s="159">
        <v>19.600000000000001</v>
      </c>
      <c r="E47" s="159">
        <v>279.94</v>
      </c>
      <c r="F47" s="159">
        <v>5486.82</v>
      </c>
      <c r="G47" s="160" t="s">
        <v>4876</v>
      </c>
      <c r="H47" s="34" t="s">
        <v>925</v>
      </c>
    </row>
    <row r="48" spans="1:8" ht="33">
      <c r="A48" s="160">
        <v>2</v>
      </c>
      <c r="B48" s="160" t="s">
        <v>955</v>
      </c>
      <c r="C48" s="157" t="s">
        <v>14</v>
      </c>
      <c r="D48" s="159">
        <v>1</v>
      </c>
      <c r="E48" s="159">
        <v>164.6</v>
      </c>
      <c r="F48" s="159">
        <v>164.6</v>
      </c>
      <c r="G48" s="160" t="s">
        <v>956</v>
      </c>
      <c r="H48" s="34" t="s">
        <v>925</v>
      </c>
    </row>
    <row r="49" spans="1:8" ht="16.5">
      <c r="A49" s="160"/>
      <c r="B49" s="160" t="s">
        <v>933</v>
      </c>
      <c r="C49" s="157" t="s">
        <v>0</v>
      </c>
      <c r="D49" s="159">
        <v>1</v>
      </c>
      <c r="E49" s="159"/>
      <c r="F49" s="159">
        <v>5651.42</v>
      </c>
      <c r="G49" s="160"/>
    </row>
    <row r="50" spans="1:8" ht="33">
      <c r="A50" s="160"/>
      <c r="B50" s="160" t="s">
        <v>934</v>
      </c>
      <c r="C50" s="157" t="s">
        <v>0</v>
      </c>
      <c r="D50" s="159"/>
      <c r="E50" s="159"/>
      <c r="F50" s="159">
        <v>5651.42</v>
      </c>
      <c r="G50" s="160"/>
      <c r="H50" s="34" t="s">
        <v>925</v>
      </c>
    </row>
    <row r="51" spans="1:8" ht="33">
      <c r="A51" s="160"/>
      <c r="B51" s="160"/>
      <c r="C51" s="157"/>
      <c r="D51" s="159"/>
      <c r="E51" s="159"/>
      <c r="F51" s="159"/>
      <c r="G51" s="160"/>
      <c r="H51" s="34" t="s">
        <v>925</v>
      </c>
    </row>
    <row r="52" spans="1:8" ht="57">
      <c r="A52" s="160" t="s">
        <v>960</v>
      </c>
      <c r="B52" s="160" t="s">
        <v>453</v>
      </c>
      <c r="C52" s="157" t="s">
        <v>0</v>
      </c>
      <c r="D52" s="159">
        <v>1</v>
      </c>
      <c r="E52" s="159">
        <v>7516.98</v>
      </c>
      <c r="F52" s="159"/>
      <c r="G52" s="160" t="s">
        <v>967</v>
      </c>
      <c r="H52" s="34" t="s">
        <v>925</v>
      </c>
    </row>
    <row r="53" spans="1:8" ht="33">
      <c r="A53" s="160">
        <v>1</v>
      </c>
      <c r="B53" s="160" t="s">
        <v>4871</v>
      </c>
      <c r="C53" s="157" t="s">
        <v>927</v>
      </c>
      <c r="D53" s="159">
        <v>26.07</v>
      </c>
      <c r="E53" s="159">
        <v>279.94</v>
      </c>
      <c r="F53" s="159">
        <v>7298.04</v>
      </c>
      <c r="G53" s="160" t="s">
        <v>4872</v>
      </c>
      <c r="H53" s="34" t="s">
        <v>925</v>
      </c>
    </row>
    <row r="54" spans="1:8" ht="33">
      <c r="A54" s="160">
        <v>2</v>
      </c>
      <c r="B54" s="160" t="s">
        <v>955</v>
      </c>
      <c r="C54" s="157" t="s">
        <v>14</v>
      </c>
      <c r="D54" s="159">
        <v>1</v>
      </c>
      <c r="E54" s="159">
        <v>218.94</v>
      </c>
      <c r="F54" s="159">
        <v>218.94</v>
      </c>
      <c r="G54" s="160" t="s">
        <v>956</v>
      </c>
      <c r="H54" s="34" t="s">
        <v>925</v>
      </c>
    </row>
    <row r="55" spans="1:8" ht="16.5">
      <c r="A55" s="160"/>
      <c r="B55" s="160" t="s">
        <v>933</v>
      </c>
      <c r="C55" s="157" t="s">
        <v>0</v>
      </c>
      <c r="D55" s="159">
        <v>1</v>
      </c>
      <c r="E55" s="159"/>
      <c r="F55" s="159">
        <v>7516.98</v>
      </c>
      <c r="G55" s="160"/>
    </row>
    <row r="56" spans="1:8" ht="33">
      <c r="A56" s="160"/>
      <c r="B56" s="160" t="s">
        <v>934</v>
      </c>
      <c r="C56" s="157" t="s">
        <v>0</v>
      </c>
      <c r="D56" s="159"/>
      <c r="E56" s="159"/>
      <c r="F56" s="159">
        <v>7516.98</v>
      </c>
      <c r="G56" s="160"/>
      <c r="H56" s="34" t="s">
        <v>925</v>
      </c>
    </row>
    <row r="57" spans="1:8" ht="33">
      <c r="A57" s="160"/>
      <c r="B57" s="160"/>
      <c r="C57" s="157"/>
      <c r="D57" s="159"/>
      <c r="E57" s="159"/>
      <c r="F57" s="159"/>
      <c r="G57" s="160"/>
      <c r="H57" s="34" t="s">
        <v>925</v>
      </c>
    </row>
    <row r="58" spans="1:8" ht="33">
      <c r="A58" s="160" t="s">
        <v>963</v>
      </c>
      <c r="B58" s="160" t="s">
        <v>2234</v>
      </c>
      <c r="C58" s="157" t="s">
        <v>0</v>
      </c>
      <c r="D58" s="159">
        <v>1</v>
      </c>
      <c r="E58" s="159">
        <v>12998.05</v>
      </c>
      <c r="F58" s="159"/>
      <c r="G58" s="160" t="s">
        <v>2235</v>
      </c>
      <c r="H58" s="34" t="s">
        <v>925</v>
      </c>
    </row>
    <row r="59" spans="1:8" ht="42.75">
      <c r="A59" s="160">
        <v>1</v>
      </c>
      <c r="B59" s="160" t="s">
        <v>4874</v>
      </c>
      <c r="C59" s="157" t="s">
        <v>927</v>
      </c>
      <c r="D59" s="159">
        <v>22.54</v>
      </c>
      <c r="E59" s="159">
        <v>559.87</v>
      </c>
      <c r="F59" s="159">
        <v>12619.47</v>
      </c>
      <c r="G59" s="160" t="s">
        <v>4875</v>
      </c>
      <c r="H59" s="34" t="s">
        <v>925</v>
      </c>
    </row>
    <row r="60" spans="1:8" ht="33">
      <c r="A60" s="160">
        <v>2</v>
      </c>
      <c r="B60" s="160" t="s">
        <v>955</v>
      </c>
      <c r="C60" s="157" t="s">
        <v>14</v>
      </c>
      <c r="D60" s="159">
        <v>1</v>
      </c>
      <c r="E60" s="159">
        <v>378.58</v>
      </c>
      <c r="F60" s="159">
        <v>378.58</v>
      </c>
      <c r="G60" s="160" t="s">
        <v>956</v>
      </c>
      <c r="H60" s="34" t="s">
        <v>925</v>
      </c>
    </row>
    <row r="61" spans="1:8" ht="33">
      <c r="A61" s="160"/>
      <c r="B61" s="160" t="s">
        <v>933</v>
      </c>
      <c r="C61" s="157" t="s">
        <v>0</v>
      </c>
      <c r="D61" s="159">
        <v>1</v>
      </c>
      <c r="E61" s="159"/>
      <c r="F61" s="159">
        <v>12998.05</v>
      </c>
      <c r="G61" s="160"/>
      <c r="H61" s="34" t="s">
        <v>925</v>
      </c>
    </row>
    <row r="62" spans="1:8" ht="33">
      <c r="A62" s="160"/>
      <c r="B62" s="160" t="s">
        <v>934</v>
      </c>
      <c r="C62" s="157" t="s">
        <v>0</v>
      </c>
      <c r="D62" s="159"/>
      <c r="E62" s="159"/>
      <c r="F62" s="159">
        <v>12998.05</v>
      </c>
      <c r="G62" s="160"/>
      <c r="H62" s="34" t="s">
        <v>925</v>
      </c>
    </row>
    <row r="63" spans="1:8" ht="33">
      <c r="A63" s="160"/>
      <c r="B63" s="160"/>
      <c r="C63" s="157"/>
      <c r="D63" s="159"/>
      <c r="E63" s="159"/>
      <c r="F63" s="159"/>
      <c r="G63" s="160"/>
      <c r="H63" s="34" t="s">
        <v>925</v>
      </c>
    </row>
    <row r="64" spans="1:8" ht="42.75">
      <c r="A64" s="160" t="s">
        <v>966</v>
      </c>
      <c r="B64" s="160" t="s">
        <v>939</v>
      </c>
      <c r="C64" s="157" t="s">
        <v>1</v>
      </c>
      <c r="D64" s="159">
        <v>100</v>
      </c>
      <c r="E64" s="159">
        <v>1405.39</v>
      </c>
      <c r="F64" s="159"/>
      <c r="G64" s="160" t="s">
        <v>940</v>
      </c>
      <c r="H64" s="34" t="s">
        <v>925</v>
      </c>
    </row>
    <row r="65" spans="1:8" ht="33">
      <c r="A65" s="160">
        <v>1</v>
      </c>
      <c r="B65" s="160" t="s">
        <v>941</v>
      </c>
      <c r="C65" s="157" t="s">
        <v>927</v>
      </c>
      <c r="D65" s="159">
        <v>18</v>
      </c>
      <c r="E65" s="159">
        <v>343.7</v>
      </c>
      <c r="F65" s="159">
        <v>6186.6</v>
      </c>
      <c r="G65" s="160" t="s">
        <v>942</v>
      </c>
      <c r="H65" s="34" t="s">
        <v>925</v>
      </c>
    </row>
    <row r="66" spans="1:8" ht="33">
      <c r="A66" s="160">
        <v>2</v>
      </c>
      <c r="B66" s="160" t="s">
        <v>943</v>
      </c>
      <c r="C66" s="157" t="s">
        <v>927</v>
      </c>
      <c r="D66" s="159">
        <v>90</v>
      </c>
      <c r="E66" s="159">
        <v>302.85000000000002</v>
      </c>
      <c r="F66" s="159">
        <v>27256.5</v>
      </c>
      <c r="G66" s="160" t="s">
        <v>944</v>
      </c>
      <c r="H66" s="34" t="s">
        <v>925</v>
      </c>
    </row>
    <row r="67" spans="1:8" ht="28.5">
      <c r="A67" s="160">
        <v>3</v>
      </c>
      <c r="B67" s="160" t="s">
        <v>945</v>
      </c>
      <c r="C67" s="157" t="s">
        <v>927</v>
      </c>
      <c r="D67" s="159">
        <v>18</v>
      </c>
      <c r="E67" s="159">
        <v>399.48</v>
      </c>
      <c r="F67" s="159">
        <v>7190.64</v>
      </c>
      <c r="G67" s="160" t="s">
        <v>946</v>
      </c>
    </row>
    <row r="68" spans="1:8" ht="33">
      <c r="A68" s="160">
        <v>4</v>
      </c>
      <c r="B68" s="160" t="s">
        <v>947</v>
      </c>
      <c r="C68" s="157" t="s">
        <v>927</v>
      </c>
      <c r="D68" s="159">
        <v>90</v>
      </c>
      <c r="E68" s="159">
        <v>399.48</v>
      </c>
      <c r="F68" s="159">
        <v>35953.199999999997</v>
      </c>
      <c r="G68" s="160" t="s">
        <v>948</v>
      </c>
      <c r="H68" s="34" t="s">
        <v>925</v>
      </c>
    </row>
    <row r="69" spans="1:8" ht="33">
      <c r="A69" s="160">
        <v>5</v>
      </c>
      <c r="B69" s="160" t="s">
        <v>4871</v>
      </c>
      <c r="C69" s="157" t="s">
        <v>927</v>
      </c>
      <c r="D69" s="159">
        <v>180</v>
      </c>
      <c r="E69" s="159">
        <v>279.94</v>
      </c>
      <c r="F69" s="159">
        <v>50389.2</v>
      </c>
      <c r="G69" s="160" t="s">
        <v>4872</v>
      </c>
      <c r="H69" s="34" t="s">
        <v>925</v>
      </c>
    </row>
    <row r="70" spans="1:8" ht="33">
      <c r="A70" s="160">
        <v>6</v>
      </c>
      <c r="B70" s="160" t="s">
        <v>929</v>
      </c>
      <c r="C70" s="157" t="s">
        <v>927</v>
      </c>
      <c r="D70" s="159">
        <v>5</v>
      </c>
      <c r="E70" s="159">
        <v>1494.33</v>
      </c>
      <c r="F70" s="159">
        <v>7471.65</v>
      </c>
      <c r="G70" s="160" t="s">
        <v>930</v>
      </c>
      <c r="H70" s="34" t="s">
        <v>925</v>
      </c>
    </row>
    <row r="71" spans="1:8" ht="42.75">
      <c r="A71" s="160">
        <v>7</v>
      </c>
      <c r="B71" s="160" t="s">
        <v>4869</v>
      </c>
      <c r="C71" s="157" t="s">
        <v>927</v>
      </c>
      <c r="D71" s="159">
        <v>5</v>
      </c>
      <c r="E71" s="159">
        <v>399.48</v>
      </c>
      <c r="F71" s="159">
        <v>1997.4</v>
      </c>
      <c r="G71" s="160" t="s">
        <v>4870</v>
      </c>
      <c r="H71" s="34" t="s">
        <v>925</v>
      </c>
    </row>
    <row r="72" spans="1:8" ht="33">
      <c r="A72" s="160">
        <v>8</v>
      </c>
      <c r="B72" s="160" t="s">
        <v>931</v>
      </c>
      <c r="C72" s="157" t="s">
        <v>14</v>
      </c>
      <c r="D72" s="159">
        <v>1</v>
      </c>
      <c r="E72" s="159">
        <v>4093.36</v>
      </c>
      <c r="F72" s="159">
        <v>4093.36</v>
      </c>
      <c r="G72" s="160" t="s">
        <v>932</v>
      </c>
      <c r="H72" s="34" t="s">
        <v>925</v>
      </c>
    </row>
    <row r="73" spans="1:8" ht="16.5">
      <c r="A73" s="160"/>
      <c r="B73" s="160" t="s">
        <v>933</v>
      </c>
      <c r="C73" s="157" t="s">
        <v>1</v>
      </c>
      <c r="D73" s="159">
        <v>100</v>
      </c>
      <c r="E73" s="159"/>
      <c r="F73" s="159">
        <v>140538.54999999999</v>
      </c>
      <c r="G73" s="160"/>
    </row>
    <row r="74" spans="1:8" ht="33">
      <c r="A74" s="160"/>
      <c r="B74" s="160" t="s">
        <v>934</v>
      </c>
      <c r="C74" s="157" t="s">
        <v>1</v>
      </c>
      <c r="D74" s="159"/>
      <c r="E74" s="159"/>
      <c r="F74" s="159">
        <v>1405.39</v>
      </c>
      <c r="G74" s="160"/>
      <c r="H74" s="34" t="s">
        <v>925</v>
      </c>
    </row>
    <row r="75" spans="1:8" ht="33">
      <c r="A75" s="160"/>
      <c r="B75" s="160"/>
      <c r="C75" s="157"/>
      <c r="D75" s="159"/>
      <c r="E75" s="159"/>
      <c r="F75" s="159"/>
      <c r="G75" s="160"/>
      <c r="H75" s="34" t="s">
        <v>925</v>
      </c>
    </row>
    <row r="76" spans="1:8" ht="33">
      <c r="A76" s="160" t="s">
        <v>968</v>
      </c>
      <c r="B76" s="160" t="s">
        <v>958</v>
      </c>
      <c r="C76" s="157" t="s">
        <v>1</v>
      </c>
      <c r="D76" s="159">
        <v>1</v>
      </c>
      <c r="E76" s="159">
        <v>3575.4</v>
      </c>
      <c r="F76" s="159"/>
      <c r="G76" s="160" t="s">
        <v>959</v>
      </c>
      <c r="H76" s="34" t="s">
        <v>925</v>
      </c>
    </row>
    <row r="77" spans="1:8" ht="33">
      <c r="A77" s="160">
        <v>1</v>
      </c>
      <c r="B77" s="160" t="s">
        <v>4871</v>
      </c>
      <c r="C77" s="157" t="s">
        <v>927</v>
      </c>
      <c r="D77" s="159">
        <v>12.4</v>
      </c>
      <c r="E77" s="159">
        <v>279.94</v>
      </c>
      <c r="F77" s="159">
        <v>3471.26</v>
      </c>
      <c r="G77" s="160" t="s">
        <v>4872</v>
      </c>
      <c r="H77" s="34" t="s">
        <v>925</v>
      </c>
    </row>
    <row r="78" spans="1:8" ht="33">
      <c r="A78" s="160">
        <v>2</v>
      </c>
      <c r="B78" s="160" t="s">
        <v>955</v>
      </c>
      <c r="C78" s="157" t="s">
        <v>14</v>
      </c>
      <c r="D78" s="159">
        <v>1</v>
      </c>
      <c r="E78" s="159">
        <v>104.14</v>
      </c>
      <c r="F78" s="159">
        <v>104.14</v>
      </c>
      <c r="G78" s="160" t="s">
        <v>956</v>
      </c>
      <c r="H78" s="34" t="s">
        <v>925</v>
      </c>
    </row>
    <row r="79" spans="1:8" ht="16.5">
      <c r="A79" s="160"/>
      <c r="B79" s="160" t="s">
        <v>933</v>
      </c>
      <c r="C79" s="157" t="s">
        <v>1</v>
      </c>
      <c r="D79" s="159">
        <v>1</v>
      </c>
      <c r="E79" s="159"/>
      <c r="F79" s="159">
        <v>3575.4</v>
      </c>
      <c r="G79" s="160"/>
    </row>
    <row r="80" spans="1:8" ht="33">
      <c r="A80" s="160"/>
      <c r="B80" s="160" t="s">
        <v>934</v>
      </c>
      <c r="C80" s="157" t="s">
        <v>1</v>
      </c>
      <c r="D80" s="159"/>
      <c r="E80" s="159"/>
      <c r="F80" s="159">
        <v>3575.4</v>
      </c>
      <c r="G80" s="160"/>
      <c r="H80" s="34" t="s">
        <v>925</v>
      </c>
    </row>
    <row r="81" spans="1:8" ht="33">
      <c r="A81" s="160"/>
      <c r="B81" s="160"/>
      <c r="C81" s="157"/>
      <c r="D81" s="159"/>
      <c r="E81" s="159"/>
      <c r="F81" s="159"/>
      <c r="G81" s="160"/>
      <c r="H81" s="34" t="s">
        <v>925</v>
      </c>
    </row>
    <row r="82" spans="1:8" ht="33">
      <c r="A82" s="160" t="s">
        <v>970</v>
      </c>
      <c r="B82" s="160" t="s">
        <v>950</v>
      </c>
      <c r="C82" s="157" t="s">
        <v>1</v>
      </c>
      <c r="D82" s="159">
        <v>100</v>
      </c>
      <c r="E82" s="159">
        <v>48.77</v>
      </c>
      <c r="F82" s="159"/>
      <c r="G82" s="160" t="s">
        <v>951</v>
      </c>
      <c r="H82" s="34" t="s">
        <v>925</v>
      </c>
    </row>
    <row r="83" spans="1:8" ht="33">
      <c r="A83" s="160">
        <v>1</v>
      </c>
      <c r="B83" s="160" t="s">
        <v>929</v>
      </c>
      <c r="C83" s="157" t="s">
        <v>927</v>
      </c>
      <c r="D83" s="159">
        <v>2.5</v>
      </c>
      <c r="E83" s="159">
        <v>1494.33</v>
      </c>
      <c r="F83" s="159">
        <v>3735.83</v>
      </c>
      <c r="G83" s="160" t="s">
        <v>930</v>
      </c>
      <c r="H83" s="34" t="s">
        <v>925</v>
      </c>
    </row>
    <row r="84" spans="1:8" ht="42.75">
      <c r="A84" s="160">
        <v>2</v>
      </c>
      <c r="B84" s="160" t="s">
        <v>4869</v>
      </c>
      <c r="C84" s="157" t="s">
        <v>927</v>
      </c>
      <c r="D84" s="159">
        <v>2.5</v>
      </c>
      <c r="E84" s="159">
        <v>399.48</v>
      </c>
      <c r="F84" s="159">
        <v>998.7</v>
      </c>
      <c r="G84" s="160" t="s">
        <v>4870</v>
      </c>
      <c r="H84" s="34" t="s">
        <v>925</v>
      </c>
    </row>
    <row r="85" spans="1:8" ht="28.5">
      <c r="A85" s="160">
        <v>3</v>
      </c>
      <c r="B85" s="160" t="s">
        <v>931</v>
      </c>
      <c r="C85" s="157" t="s">
        <v>14</v>
      </c>
      <c r="D85" s="159">
        <v>1</v>
      </c>
      <c r="E85" s="159">
        <v>142.04</v>
      </c>
      <c r="F85" s="159">
        <v>142.04</v>
      </c>
      <c r="G85" s="160" t="s">
        <v>932</v>
      </c>
    </row>
    <row r="86" spans="1:8" ht="33">
      <c r="A86" s="160"/>
      <c r="B86" s="160" t="s">
        <v>933</v>
      </c>
      <c r="C86" s="157" t="s">
        <v>1</v>
      </c>
      <c r="D86" s="159">
        <v>100</v>
      </c>
      <c r="E86" s="159"/>
      <c r="F86" s="159">
        <v>4876.57</v>
      </c>
      <c r="G86" s="160"/>
      <c r="H86" s="34" t="s">
        <v>925</v>
      </c>
    </row>
    <row r="87" spans="1:8" ht="33">
      <c r="A87" s="160"/>
      <c r="B87" s="160" t="s">
        <v>934</v>
      </c>
      <c r="C87" s="157" t="s">
        <v>1</v>
      </c>
      <c r="D87" s="159"/>
      <c r="E87" s="159"/>
      <c r="F87" s="159">
        <v>48.77</v>
      </c>
      <c r="G87" s="160"/>
      <c r="H87" s="34" t="s">
        <v>925</v>
      </c>
    </row>
    <row r="88" spans="1:8" ht="33">
      <c r="A88" s="160"/>
      <c r="B88" s="160"/>
      <c r="C88" s="157"/>
      <c r="D88" s="159"/>
      <c r="E88" s="159"/>
      <c r="F88" s="159"/>
      <c r="G88" s="160"/>
      <c r="H88" s="34" t="s">
        <v>925</v>
      </c>
    </row>
    <row r="89" spans="1:8" ht="57">
      <c r="A89" s="160" t="s">
        <v>972</v>
      </c>
      <c r="B89" s="160" t="s">
        <v>950</v>
      </c>
      <c r="C89" s="157" t="s">
        <v>1</v>
      </c>
      <c r="D89" s="159">
        <v>100</v>
      </c>
      <c r="E89" s="159">
        <v>64.959999999999994</v>
      </c>
      <c r="F89" s="159"/>
      <c r="G89" s="160" t="s">
        <v>983</v>
      </c>
      <c r="H89" s="34" t="s">
        <v>925</v>
      </c>
    </row>
    <row r="90" spans="1:8" ht="33">
      <c r="A90" s="160">
        <v>1</v>
      </c>
      <c r="B90" s="160" t="s">
        <v>929</v>
      </c>
      <c r="C90" s="157" t="s">
        <v>927</v>
      </c>
      <c r="D90" s="159">
        <v>3.33</v>
      </c>
      <c r="E90" s="159">
        <v>1494.33</v>
      </c>
      <c r="F90" s="159">
        <v>4976.12</v>
      </c>
      <c r="G90" s="160" t="s">
        <v>930</v>
      </c>
      <c r="H90" s="34" t="s">
        <v>925</v>
      </c>
    </row>
    <row r="91" spans="1:8" ht="42.75">
      <c r="A91" s="160">
        <v>2</v>
      </c>
      <c r="B91" s="160" t="s">
        <v>4869</v>
      </c>
      <c r="C91" s="157" t="s">
        <v>927</v>
      </c>
      <c r="D91" s="159">
        <v>3.33</v>
      </c>
      <c r="E91" s="159">
        <v>399.48</v>
      </c>
      <c r="F91" s="159">
        <v>1330.27</v>
      </c>
      <c r="G91" s="160" t="s">
        <v>4870</v>
      </c>
    </row>
    <row r="92" spans="1:8" ht="33">
      <c r="A92" s="160">
        <v>3</v>
      </c>
      <c r="B92" s="160" t="s">
        <v>931</v>
      </c>
      <c r="C92" s="157" t="s">
        <v>14</v>
      </c>
      <c r="D92" s="159">
        <v>1</v>
      </c>
      <c r="E92" s="159">
        <v>189.19</v>
      </c>
      <c r="F92" s="159">
        <v>189.19</v>
      </c>
      <c r="G92" s="160" t="s">
        <v>932</v>
      </c>
      <c r="H92" s="34" t="s">
        <v>925</v>
      </c>
    </row>
    <row r="93" spans="1:8" ht="33">
      <c r="A93" s="160"/>
      <c r="B93" s="160" t="s">
        <v>933</v>
      </c>
      <c r="C93" s="157" t="s">
        <v>1</v>
      </c>
      <c r="D93" s="159">
        <v>100</v>
      </c>
      <c r="E93" s="159"/>
      <c r="F93" s="159">
        <v>6495.579999999999</v>
      </c>
      <c r="G93" s="160"/>
      <c r="H93" s="34" t="s">
        <v>925</v>
      </c>
    </row>
    <row r="94" spans="1:8" ht="33">
      <c r="A94" s="160"/>
      <c r="B94" s="160" t="s">
        <v>934</v>
      </c>
      <c r="C94" s="157" t="s">
        <v>1</v>
      </c>
      <c r="D94" s="159"/>
      <c r="E94" s="159"/>
      <c r="F94" s="159">
        <v>64.959999999999994</v>
      </c>
      <c r="G94" s="160"/>
      <c r="H94" s="34" t="s">
        <v>925</v>
      </c>
    </row>
    <row r="95" spans="1:8" ht="33">
      <c r="A95" s="160"/>
      <c r="B95" s="160"/>
      <c r="C95" s="157"/>
      <c r="D95" s="159"/>
      <c r="E95" s="159"/>
      <c r="F95" s="159"/>
      <c r="G95" s="160"/>
      <c r="H95" s="34" t="s">
        <v>925</v>
      </c>
    </row>
    <row r="96" spans="1:8" ht="42.75">
      <c r="A96" s="160" t="s">
        <v>974</v>
      </c>
      <c r="B96" s="160" t="s">
        <v>2579</v>
      </c>
      <c r="C96" s="157" t="s">
        <v>1</v>
      </c>
      <c r="D96" s="159">
        <v>100</v>
      </c>
      <c r="E96" s="159">
        <v>68.03</v>
      </c>
      <c r="F96" s="159"/>
      <c r="G96" s="160" t="s">
        <v>2580</v>
      </c>
      <c r="H96" s="34" t="s">
        <v>925</v>
      </c>
    </row>
    <row r="97" spans="1:8" ht="33">
      <c r="A97" s="160">
        <v>1</v>
      </c>
      <c r="B97" s="160" t="s">
        <v>929</v>
      </c>
      <c r="C97" s="157" t="s">
        <v>927</v>
      </c>
      <c r="D97" s="159">
        <v>2.88</v>
      </c>
      <c r="E97" s="159">
        <v>1494.33</v>
      </c>
      <c r="F97" s="159">
        <v>4303.67</v>
      </c>
      <c r="G97" s="160" t="s">
        <v>930</v>
      </c>
      <c r="H97" s="34" t="s">
        <v>925</v>
      </c>
    </row>
    <row r="98" spans="1:8" ht="33">
      <c r="A98" s="160">
        <v>2</v>
      </c>
      <c r="B98" s="160" t="s">
        <v>4046</v>
      </c>
      <c r="C98" s="157" t="s">
        <v>927</v>
      </c>
      <c r="D98" s="159">
        <v>2.88</v>
      </c>
      <c r="E98" s="159">
        <v>798.97</v>
      </c>
      <c r="F98" s="159">
        <v>2301.0300000000002</v>
      </c>
      <c r="G98" s="160" t="s">
        <v>2477</v>
      </c>
      <c r="H98" s="34" t="s">
        <v>925</v>
      </c>
    </row>
    <row r="99" spans="1:8" ht="33">
      <c r="A99" s="160">
        <v>3</v>
      </c>
      <c r="B99" s="160" t="s">
        <v>931</v>
      </c>
      <c r="C99" s="157" t="s">
        <v>14</v>
      </c>
      <c r="D99" s="159">
        <v>1</v>
      </c>
      <c r="E99" s="159">
        <v>198.14</v>
      </c>
      <c r="F99" s="159">
        <v>198.14</v>
      </c>
      <c r="G99" s="160" t="s">
        <v>932</v>
      </c>
      <c r="H99" s="34" t="s">
        <v>925</v>
      </c>
    </row>
    <row r="100" spans="1:8" ht="16.5">
      <c r="A100" s="160"/>
      <c r="B100" s="160" t="s">
        <v>933</v>
      </c>
      <c r="C100" s="157" t="s">
        <v>1</v>
      </c>
      <c r="D100" s="159">
        <v>100</v>
      </c>
      <c r="E100" s="159"/>
      <c r="F100" s="159">
        <v>6802.8400000000011</v>
      </c>
      <c r="G100" s="160"/>
    </row>
    <row r="101" spans="1:8" ht="33">
      <c r="A101" s="160"/>
      <c r="B101" s="160" t="s">
        <v>934</v>
      </c>
      <c r="C101" s="157" t="s">
        <v>1</v>
      </c>
      <c r="D101" s="159"/>
      <c r="E101" s="159"/>
      <c r="F101" s="159">
        <v>68.03</v>
      </c>
      <c r="G101" s="160"/>
      <c r="H101" s="34" t="s">
        <v>925</v>
      </c>
    </row>
    <row r="102" spans="1:8" ht="33">
      <c r="A102" s="160"/>
      <c r="B102" s="160"/>
      <c r="C102" s="157"/>
      <c r="D102" s="159"/>
      <c r="E102" s="159"/>
      <c r="F102" s="159"/>
      <c r="G102" s="160"/>
      <c r="H102" s="34" t="s">
        <v>925</v>
      </c>
    </row>
    <row r="103" spans="1:8" ht="33">
      <c r="A103" s="160" t="s">
        <v>976</v>
      </c>
      <c r="B103" s="160" t="s">
        <v>964</v>
      </c>
      <c r="C103" s="157" t="s">
        <v>1</v>
      </c>
      <c r="D103" s="159">
        <v>1</v>
      </c>
      <c r="E103" s="159">
        <v>4959.42</v>
      </c>
      <c r="F103" s="159"/>
      <c r="G103" s="160" t="s">
        <v>965</v>
      </c>
      <c r="H103" s="34" t="s">
        <v>925</v>
      </c>
    </row>
    <row r="104" spans="1:8" ht="33">
      <c r="A104" s="160">
        <v>1</v>
      </c>
      <c r="B104" s="160" t="s">
        <v>4871</v>
      </c>
      <c r="C104" s="157" t="s">
        <v>927</v>
      </c>
      <c r="D104" s="159">
        <v>17.2</v>
      </c>
      <c r="E104" s="159">
        <v>279.94</v>
      </c>
      <c r="F104" s="159">
        <v>4814.97</v>
      </c>
      <c r="G104" s="160" t="s">
        <v>4872</v>
      </c>
      <c r="H104" s="34" t="s">
        <v>925</v>
      </c>
    </row>
    <row r="105" spans="1:8" ht="33">
      <c r="A105" s="160">
        <v>2</v>
      </c>
      <c r="B105" s="160" t="s">
        <v>955</v>
      </c>
      <c r="C105" s="157" t="s">
        <v>14</v>
      </c>
      <c r="D105" s="159">
        <v>1</v>
      </c>
      <c r="E105" s="159">
        <v>144.44999999999999</v>
      </c>
      <c r="F105" s="159">
        <v>144.44999999999999</v>
      </c>
      <c r="G105" s="160" t="s">
        <v>956</v>
      </c>
      <c r="H105" s="34" t="s">
        <v>925</v>
      </c>
    </row>
    <row r="106" spans="1:8" ht="33">
      <c r="A106" s="160"/>
      <c r="B106" s="160" t="s">
        <v>933</v>
      </c>
      <c r="C106" s="157" t="s">
        <v>1</v>
      </c>
      <c r="D106" s="159">
        <v>1</v>
      </c>
      <c r="E106" s="159"/>
      <c r="F106" s="159">
        <v>4959.42</v>
      </c>
      <c r="G106" s="160"/>
      <c r="H106" s="34" t="s">
        <v>925</v>
      </c>
    </row>
    <row r="107" spans="1:8" ht="33">
      <c r="A107" s="160"/>
      <c r="B107" s="160" t="s">
        <v>934</v>
      </c>
      <c r="C107" s="157" t="s">
        <v>1</v>
      </c>
      <c r="D107" s="159"/>
      <c r="E107" s="159"/>
      <c r="F107" s="159">
        <v>4959.42</v>
      </c>
      <c r="G107" s="160"/>
      <c r="H107" s="34" t="s">
        <v>925</v>
      </c>
    </row>
    <row r="108" spans="1:8" ht="33">
      <c r="A108" s="160"/>
      <c r="B108" s="160"/>
      <c r="C108" s="157"/>
      <c r="D108" s="159"/>
      <c r="E108" s="159"/>
      <c r="F108" s="159"/>
      <c r="G108" s="160"/>
      <c r="H108" s="34" t="s">
        <v>925</v>
      </c>
    </row>
    <row r="109" spans="1:8" ht="42.75">
      <c r="A109" s="160" t="s">
        <v>978</v>
      </c>
      <c r="B109" s="160" t="s">
        <v>961</v>
      </c>
      <c r="C109" s="157" t="s">
        <v>1</v>
      </c>
      <c r="D109" s="159">
        <v>100</v>
      </c>
      <c r="E109" s="159">
        <v>472.62</v>
      </c>
      <c r="F109" s="159"/>
      <c r="G109" s="160" t="s">
        <v>962</v>
      </c>
    </row>
    <row r="110" spans="1:8" ht="33">
      <c r="A110" s="160">
        <v>1</v>
      </c>
      <c r="B110" s="160" t="s">
        <v>941</v>
      </c>
      <c r="C110" s="157" t="s">
        <v>927</v>
      </c>
      <c r="D110" s="159">
        <v>15</v>
      </c>
      <c r="E110" s="159">
        <v>343.7</v>
      </c>
      <c r="F110" s="159">
        <v>5155.5</v>
      </c>
      <c r="G110" s="160" t="s">
        <v>942</v>
      </c>
      <c r="H110" s="34" t="s">
        <v>925</v>
      </c>
    </row>
    <row r="111" spans="1:8" ht="33">
      <c r="A111" s="160">
        <v>2</v>
      </c>
      <c r="B111" s="160" t="s">
        <v>943</v>
      </c>
      <c r="C111" s="157" t="s">
        <v>927</v>
      </c>
      <c r="D111" s="159">
        <v>30</v>
      </c>
      <c r="E111" s="159">
        <v>302.85000000000002</v>
      </c>
      <c r="F111" s="159">
        <v>9085.5</v>
      </c>
      <c r="G111" s="160" t="s">
        <v>944</v>
      </c>
      <c r="H111" s="34" t="s">
        <v>925</v>
      </c>
    </row>
    <row r="112" spans="1:8" ht="33">
      <c r="A112" s="160">
        <v>3</v>
      </c>
      <c r="B112" s="160" t="s">
        <v>945</v>
      </c>
      <c r="C112" s="157" t="s">
        <v>927</v>
      </c>
      <c r="D112" s="159">
        <v>15</v>
      </c>
      <c r="E112" s="159">
        <v>399.48</v>
      </c>
      <c r="F112" s="159">
        <v>5992.2</v>
      </c>
      <c r="G112" s="160" t="s">
        <v>946</v>
      </c>
      <c r="H112" s="34" t="s">
        <v>925</v>
      </c>
    </row>
    <row r="113" spans="1:8" ht="33">
      <c r="A113" s="160">
        <v>4</v>
      </c>
      <c r="B113" s="160" t="s">
        <v>947</v>
      </c>
      <c r="C113" s="157" t="s">
        <v>927</v>
      </c>
      <c r="D113" s="159">
        <v>30</v>
      </c>
      <c r="E113" s="159">
        <v>399.48</v>
      </c>
      <c r="F113" s="159">
        <v>11984.4</v>
      </c>
      <c r="G113" s="160" t="s">
        <v>948</v>
      </c>
      <c r="H113" s="34" t="s">
        <v>925</v>
      </c>
    </row>
    <row r="114" spans="1:8" ht="33">
      <c r="A114" s="160">
        <v>5</v>
      </c>
      <c r="B114" s="160" t="s">
        <v>4871</v>
      </c>
      <c r="C114" s="157" t="s">
        <v>927</v>
      </c>
      <c r="D114" s="159">
        <v>15</v>
      </c>
      <c r="E114" s="159">
        <v>279.94</v>
      </c>
      <c r="F114" s="159">
        <v>4199.1000000000004</v>
      </c>
      <c r="G114" s="160" t="s">
        <v>4872</v>
      </c>
      <c r="H114" s="34" t="s">
        <v>925</v>
      </c>
    </row>
    <row r="115" spans="1:8" ht="28.5">
      <c r="A115" s="160">
        <v>6</v>
      </c>
      <c r="B115" s="160" t="s">
        <v>929</v>
      </c>
      <c r="C115" s="157" t="s">
        <v>927</v>
      </c>
      <c r="D115" s="159">
        <v>5</v>
      </c>
      <c r="E115" s="159">
        <v>1494.33</v>
      </c>
      <c r="F115" s="159">
        <v>7471.65</v>
      </c>
      <c r="G115" s="160" t="s">
        <v>930</v>
      </c>
    </row>
    <row r="116" spans="1:8" ht="42.75">
      <c r="A116" s="160">
        <v>7</v>
      </c>
      <c r="B116" s="160" t="s">
        <v>4869</v>
      </c>
      <c r="C116" s="157" t="s">
        <v>927</v>
      </c>
      <c r="D116" s="159">
        <v>5</v>
      </c>
      <c r="E116" s="159">
        <v>399.48</v>
      </c>
      <c r="F116" s="159">
        <v>1997.4</v>
      </c>
      <c r="G116" s="160" t="s">
        <v>4870</v>
      </c>
      <c r="H116" s="34" t="s">
        <v>925</v>
      </c>
    </row>
    <row r="117" spans="1:8" ht="33">
      <c r="A117" s="160">
        <v>8</v>
      </c>
      <c r="B117" s="160" t="s">
        <v>931</v>
      </c>
      <c r="C117" s="157" t="s">
        <v>14</v>
      </c>
      <c r="D117" s="159">
        <v>1</v>
      </c>
      <c r="E117" s="159">
        <v>1376.57</v>
      </c>
      <c r="F117" s="159">
        <v>1376.57</v>
      </c>
      <c r="G117" s="160" t="s">
        <v>932</v>
      </c>
      <c r="H117" s="34" t="s">
        <v>925</v>
      </c>
    </row>
    <row r="118" spans="1:8" ht="33">
      <c r="A118" s="160"/>
      <c r="B118" s="160" t="s">
        <v>933</v>
      </c>
      <c r="C118" s="157" t="s">
        <v>1</v>
      </c>
      <c r="D118" s="159">
        <v>100</v>
      </c>
      <c r="E118" s="159"/>
      <c r="F118" s="159">
        <v>47262.32</v>
      </c>
      <c r="G118" s="160"/>
      <c r="H118" s="34" t="s">
        <v>925</v>
      </c>
    </row>
    <row r="119" spans="1:8" ht="33">
      <c r="A119" s="160"/>
      <c r="B119" s="160" t="s">
        <v>934</v>
      </c>
      <c r="C119" s="157" t="s">
        <v>1</v>
      </c>
      <c r="D119" s="159"/>
      <c r="E119" s="159"/>
      <c r="F119" s="159">
        <v>472.62</v>
      </c>
      <c r="G119" s="160"/>
      <c r="H119" s="34" t="s">
        <v>925</v>
      </c>
    </row>
    <row r="120" spans="1:8" ht="33">
      <c r="A120" s="160"/>
      <c r="B120" s="160"/>
      <c r="C120" s="157"/>
      <c r="D120" s="159"/>
      <c r="E120" s="159"/>
      <c r="F120" s="159"/>
      <c r="G120" s="160"/>
      <c r="H120" s="34" t="s">
        <v>925</v>
      </c>
    </row>
    <row r="121" spans="1:8" ht="33">
      <c r="A121" s="160" t="s">
        <v>980</v>
      </c>
      <c r="B121" s="160" t="s">
        <v>985</v>
      </c>
      <c r="C121" s="157" t="s">
        <v>1</v>
      </c>
      <c r="D121" s="159">
        <v>1</v>
      </c>
      <c r="E121" s="159">
        <v>645.88</v>
      </c>
      <c r="F121" s="159"/>
      <c r="G121" s="160" t="s">
        <v>2206</v>
      </c>
      <c r="H121" s="34" t="s">
        <v>925</v>
      </c>
    </row>
    <row r="122" spans="1:8" ht="33">
      <c r="A122" s="160">
        <v>1</v>
      </c>
      <c r="B122" s="160" t="s">
        <v>4871</v>
      </c>
      <c r="C122" s="157" t="s">
        <v>927</v>
      </c>
      <c r="D122" s="159">
        <v>2.2400000000000002</v>
      </c>
      <c r="E122" s="159">
        <v>279.94</v>
      </c>
      <c r="F122" s="159">
        <v>627.07000000000005</v>
      </c>
      <c r="G122" s="160" t="s">
        <v>4872</v>
      </c>
      <c r="H122" s="34" t="s">
        <v>925</v>
      </c>
    </row>
    <row r="123" spans="1:8" ht="33">
      <c r="A123" s="160">
        <v>2</v>
      </c>
      <c r="B123" s="160" t="s">
        <v>931</v>
      </c>
      <c r="C123" s="157" t="s">
        <v>14</v>
      </c>
      <c r="D123" s="159">
        <v>1</v>
      </c>
      <c r="E123" s="159">
        <v>18.809999999999999</v>
      </c>
      <c r="F123" s="159">
        <v>18.809999999999999</v>
      </c>
      <c r="G123" s="160" t="s">
        <v>932</v>
      </c>
      <c r="H123" s="34" t="s">
        <v>925</v>
      </c>
    </row>
    <row r="124" spans="1:8" ht="33">
      <c r="A124" s="160"/>
      <c r="B124" s="160" t="s">
        <v>933</v>
      </c>
      <c r="C124" s="157" t="s">
        <v>1</v>
      </c>
      <c r="D124" s="159">
        <v>1</v>
      </c>
      <c r="E124" s="159"/>
      <c r="F124" s="159">
        <v>645.88</v>
      </c>
      <c r="G124" s="160"/>
      <c r="H124" s="34" t="s">
        <v>925</v>
      </c>
    </row>
    <row r="125" spans="1:8" ht="33">
      <c r="A125" s="160"/>
      <c r="B125" s="160" t="s">
        <v>934</v>
      </c>
      <c r="C125" s="157" t="s">
        <v>1</v>
      </c>
      <c r="D125" s="159"/>
      <c r="E125" s="159"/>
      <c r="F125" s="159">
        <v>645.88</v>
      </c>
      <c r="G125" s="160"/>
      <c r="H125" s="34" t="s">
        <v>925</v>
      </c>
    </row>
    <row r="126" spans="1:8" ht="33">
      <c r="A126" s="160"/>
      <c r="B126" s="160"/>
      <c r="C126" s="157"/>
      <c r="D126" s="159"/>
      <c r="E126" s="159"/>
      <c r="F126" s="159"/>
      <c r="G126" s="160"/>
      <c r="H126" s="34" t="s">
        <v>925</v>
      </c>
    </row>
    <row r="127" spans="1:8" ht="28.5">
      <c r="A127" s="160" t="s">
        <v>982</v>
      </c>
      <c r="B127" s="160" t="s">
        <v>2214</v>
      </c>
      <c r="C127" s="157" t="s">
        <v>1</v>
      </c>
      <c r="D127" s="159">
        <v>1</v>
      </c>
      <c r="E127" s="159">
        <v>1487.79</v>
      </c>
      <c r="F127" s="159"/>
      <c r="G127" s="160" t="s">
        <v>2215</v>
      </c>
    </row>
    <row r="128" spans="1:8" ht="42.75">
      <c r="A128" s="160">
        <v>1</v>
      </c>
      <c r="B128" s="160" t="s">
        <v>4874</v>
      </c>
      <c r="C128" s="157" t="s">
        <v>927</v>
      </c>
      <c r="D128" s="159">
        <v>2.58</v>
      </c>
      <c r="E128" s="159">
        <v>559.87</v>
      </c>
      <c r="F128" s="159">
        <v>1444.46</v>
      </c>
      <c r="G128" s="160" t="s">
        <v>4875</v>
      </c>
      <c r="H128" s="34" t="s">
        <v>925</v>
      </c>
    </row>
    <row r="129" spans="1:8" ht="33">
      <c r="A129" s="160">
        <v>2</v>
      </c>
      <c r="B129" s="160" t="s">
        <v>931</v>
      </c>
      <c r="C129" s="157" t="s">
        <v>14</v>
      </c>
      <c r="D129" s="159">
        <v>1</v>
      </c>
      <c r="E129" s="159">
        <v>43.33</v>
      </c>
      <c r="F129" s="159">
        <v>43.33</v>
      </c>
      <c r="G129" s="160" t="s">
        <v>932</v>
      </c>
      <c r="H129" s="34" t="s">
        <v>925</v>
      </c>
    </row>
    <row r="130" spans="1:8" ht="33">
      <c r="A130" s="160"/>
      <c r="B130" s="160" t="s">
        <v>933</v>
      </c>
      <c r="C130" s="157" t="s">
        <v>1</v>
      </c>
      <c r="D130" s="159">
        <v>1</v>
      </c>
      <c r="E130" s="159"/>
      <c r="F130" s="159">
        <v>1487.79</v>
      </c>
      <c r="G130" s="160"/>
      <c r="H130" s="34" t="s">
        <v>925</v>
      </c>
    </row>
    <row r="131" spans="1:8" ht="33">
      <c r="A131" s="160"/>
      <c r="B131" s="160" t="s">
        <v>934</v>
      </c>
      <c r="C131" s="157" t="s">
        <v>1</v>
      </c>
      <c r="D131" s="159"/>
      <c r="E131" s="159"/>
      <c r="F131" s="159">
        <v>1487.79</v>
      </c>
      <c r="G131" s="160"/>
      <c r="H131" s="34" t="s">
        <v>925</v>
      </c>
    </row>
    <row r="132" spans="1:8" ht="33">
      <c r="A132" s="160"/>
      <c r="B132" s="160"/>
      <c r="C132" s="157"/>
      <c r="D132" s="159"/>
      <c r="E132" s="159"/>
      <c r="F132" s="159"/>
      <c r="G132" s="160"/>
      <c r="H132" s="34" t="s">
        <v>925</v>
      </c>
    </row>
    <row r="133" spans="1:8" ht="57">
      <c r="A133" s="160" t="s">
        <v>984</v>
      </c>
      <c r="B133" s="160" t="s">
        <v>936</v>
      </c>
      <c r="C133" s="157" t="s">
        <v>0</v>
      </c>
      <c r="D133" s="159">
        <v>100</v>
      </c>
      <c r="E133" s="159">
        <v>909.27</v>
      </c>
      <c r="F133" s="159"/>
      <c r="G133" s="160" t="s">
        <v>971</v>
      </c>
    </row>
    <row r="134" spans="1:8" ht="33">
      <c r="A134" s="160">
        <v>1</v>
      </c>
      <c r="B134" s="160" t="s">
        <v>926</v>
      </c>
      <c r="C134" s="157" t="s">
        <v>927</v>
      </c>
      <c r="D134" s="159">
        <v>31.92</v>
      </c>
      <c r="E134" s="159">
        <v>1295.08</v>
      </c>
      <c r="F134" s="159">
        <v>41338.949999999997</v>
      </c>
      <c r="G134" s="160" t="s">
        <v>928</v>
      </c>
      <c r="H134" s="34" t="s">
        <v>925</v>
      </c>
    </row>
    <row r="135" spans="1:8" ht="33">
      <c r="A135" s="160">
        <v>2</v>
      </c>
      <c r="B135" s="160" t="s">
        <v>929</v>
      </c>
      <c r="C135" s="157" t="s">
        <v>927</v>
      </c>
      <c r="D135" s="159">
        <v>6.65</v>
      </c>
      <c r="E135" s="159">
        <v>1494.33</v>
      </c>
      <c r="F135" s="159">
        <v>9937.2900000000009</v>
      </c>
      <c r="G135" s="160" t="s">
        <v>930</v>
      </c>
      <c r="H135" s="34" t="s">
        <v>925</v>
      </c>
    </row>
    <row r="136" spans="1:8" ht="42.75">
      <c r="A136" s="160">
        <v>3</v>
      </c>
      <c r="B136" s="160" t="s">
        <v>4869</v>
      </c>
      <c r="C136" s="157" t="s">
        <v>927</v>
      </c>
      <c r="D136" s="159">
        <v>38.57</v>
      </c>
      <c r="E136" s="159">
        <v>399.48</v>
      </c>
      <c r="F136" s="159">
        <v>15407.94</v>
      </c>
      <c r="G136" s="160" t="s">
        <v>4870</v>
      </c>
      <c r="H136" s="34" t="s">
        <v>925</v>
      </c>
    </row>
    <row r="137" spans="1:8" ht="33">
      <c r="A137" s="160">
        <v>4</v>
      </c>
      <c r="B137" s="160" t="s">
        <v>4871</v>
      </c>
      <c r="C137" s="157" t="s">
        <v>927</v>
      </c>
      <c r="D137" s="159">
        <v>77.14</v>
      </c>
      <c r="E137" s="159">
        <v>279.94</v>
      </c>
      <c r="F137" s="159">
        <v>21594.57</v>
      </c>
      <c r="G137" s="160" t="s">
        <v>4872</v>
      </c>
      <c r="H137" s="34" t="s">
        <v>925</v>
      </c>
    </row>
    <row r="138" spans="1:8" ht="33">
      <c r="A138" s="160">
        <v>5</v>
      </c>
      <c r="B138" s="160" t="s">
        <v>931</v>
      </c>
      <c r="C138" s="157" t="s">
        <v>14</v>
      </c>
      <c r="D138" s="159">
        <v>1</v>
      </c>
      <c r="E138" s="159">
        <v>2648.36</v>
      </c>
      <c r="F138" s="159">
        <v>2648.36</v>
      </c>
      <c r="G138" s="160" t="s">
        <v>932</v>
      </c>
      <c r="H138" s="34" t="s">
        <v>925</v>
      </c>
    </row>
    <row r="139" spans="1:8" ht="33">
      <c r="A139" s="160"/>
      <c r="B139" s="160" t="s">
        <v>933</v>
      </c>
      <c r="C139" s="157" t="s">
        <v>0</v>
      </c>
      <c r="D139" s="159">
        <v>100</v>
      </c>
      <c r="E139" s="159"/>
      <c r="F139" s="159">
        <v>90927.11</v>
      </c>
      <c r="G139" s="160"/>
      <c r="H139" s="34" t="s">
        <v>925</v>
      </c>
    </row>
    <row r="140" spans="1:8" ht="33">
      <c r="A140" s="160"/>
      <c r="B140" s="160" t="s">
        <v>934</v>
      </c>
      <c r="C140" s="157" t="s">
        <v>0</v>
      </c>
      <c r="D140" s="159"/>
      <c r="E140" s="159"/>
      <c r="F140" s="159">
        <v>909.27</v>
      </c>
      <c r="G140" s="160"/>
      <c r="H140" s="34" t="s">
        <v>925</v>
      </c>
    </row>
    <row r="141" spans="1:8" ht="33">
      <c r="A141" s="160"/>
      <c r="B141" s="160"/>
      <c r="C141" s="157"/>
      <c r="D141" s="159"/>
      <c r="E141" s="159"/>
      <c r="F141" s="159"/>
      <c r="G141" s="160"/>
      <c r="H141" s="34" t="s">
        <v>925</v>
      </c>
    </row>
    <row r="142" spans="1:8" ht="57">
      <c r="A142" s="160" t="s">
        <v>987</v>
      </c>
      <c r="B142" s="160" t="s">
        <v>923</v>
      </c>
      <c r="C142" s="157" t="s">
        <v>0</v>
      </c>
      <c r="D142" s="159">
        <v>100</v>
      </c>
      <c r="E142" s="159">
        <v>1403.41</v>
      </c>
      <c r="F142" s="159"/>
      <c r="G142" s="160" t="s">
        <v>973</v>
      </c>
      <c r="H142" s="34" t="s">
        <v>925</v>
      </c>
    </row>
    <row r="143" spans="1:8" ht="33">
      <c r="A143" s="160">
        <v>1</v>
      </c>
      <c r="B143" s="160" t="s">
        <v>926</v>
      </c>
      <c r="C143" s="157" t="s">
        <v>927</v>
      </c>
      <c r="D143" s="159">
        <v>53.2</v>
      </c>
      <c r="E143" s="159">
        <v>1295.08</v>
      </c>
      <c r="F143" s="159">
        <v>68898.259999999995</v>
      </c>
      <c r="G143" s="160" t="s">
        <v>928</v>
      </c>
      <c r="H143" s="34" t="s">
        <v>925</v>
      </c>
    </row>
    <row r="144" spans="1:8" ht="33">
      <c r="A144" s="160">
        <v>2</v>
      </c>
      <c r="B144" s="160" t="s">
        <v>929</v>
      </c>
      <c r="C144" s="157" t="s">
        <v>927</v>
      </c>
      <c r="D144" s="159">
        <v>6.65</v>
      </c>
      <c r="E144" s="159">
        <v>1494.33</v>
      </c>
      <c r="F144" s="159">
        <v>9937.2900000000009</v>
      </c>
      <c r="G144" s="160" t="s">
        <v>930</v>
      </c>
      <c r="H144" s="34" t="s">
        <v>925</v>
      </c>
    </row>
    <row r="145" spans="1:8" ht="42.75">
      <c r="A145" s="160">
        <v>3</v>
      </c>
      <c r="B145" s="160" t="s">
        <v>4869</v>
      </c>
      <c r="C145" s="157" t="s">
        <v>927</v>
      </c>
      <c r="D145" s="159">
        <v>59.85</v>
      </c>
      <c r="E145" s="159">
        <v>399.48</v>
      </c>
      <c r="F145" s="159">
        <v>23908.880000000001</v>
      </c>
      <c r="G145" s="160" t="s">
        <v>4870</v>
      </c>
    </row>
    <row r="146" spans="1:8" ht="33">
      <c r="A146" s="160">
        <v>4</v>
      </c>
      <c r="B146" s="160" t="s">
        <v>4871</v>
      </c>
      <c r="C146" s="157" t="s">
        <v>927</v>
      </c>
      <c r="D146" s="159">
        <v>119.7</v>
      </c>
      <c r="E146" s="159">
        <v>279.94</v>
      </c>
      <c r="F146" s="159">
        <v>33508.82</v>
      </c>
      <c r="G146" s="160" t="s">
        <v>4872</v>
      </c>
      <c r="H146" s="34" t="s">
        <v>925</v>
      </c>
    </row>
    <row r="147" spans="1:8" ht="33">
      <c r="A147" s="160">
        <v>5</v>
      </c>
      <c r="B147" s="160" t="s">
        <v>931</v>
      </c>
      <c r="C147" s="157" t="s">
        <v>14</v>
      </c>
      <c r="D147" s="159">
        <v>1</v>
      </c>
      <c r="E147" s="159">
        <v>4087.6</v>
      </c>
      <c r="F147" s="159">
        <v>4087.6</v>
      </c>
      <c r="G147" s="160" t="s">
        <v>932</v>
      </c>
      <c r="H147" s="34" t="s">
        <v>925</v>
      </c>
    </row>
    <row r="148" spans="1:8" ht="33">
      <c r="A148" s="160"/>
      <c r="B148" s="160" t="s">
        <v>933</v>
      </c>
      <c r="C148" s="157" t="s">
        <v>0</v>
      </c>
      <c r="D148" s="159">
        <v>100</v>
      </c>
      <c r="E148" s="159"/>
      <c r="F148" s="159">
        <v>140340.85</v>
      </c>
      <c r="G148" s="160"/>
      <c r="H148" s="34" t="s">
        <v>925</v>
      </c>
    </row>
    <row r="149" spans="1:8" ht="33">
      <c r="A149" s="160"/>
      <c r="B149" s="160" t="s">
        <v>934</v>
      </c>
      <c r="C149" s="157" t="s">
        <v>0</v>
      </c>
      <c r="D149" s="159"/>
      <c r="E149" s="159"/>
      <c r="F149" s="159">
        <v>1403.41</v>
      </c>
      <c r="G149" s="160"/>
      <c r="H149" s="34" t="s">
        <v>925</v>
      </c>
    </row>
    <row r="150" spans="1:8" ht="33">
      <c r="A150" s="160"/>
      <c r="B150" s="160"/>
      <c r="C150" s="157"/>
      <c r="D150" s="159"/>
      <c r="E150" s="159"/>
      <c r="F150" s="159"/>
      <c r="G150" s="160"/>
      <c r="H150" s="34" t="s">
        <v>925</v>
      </c>
    </row>
    <row r="151" spans="1:8" ht="57">
      <c r="A151" s="160" t="s">
        <v>989</v>
      </c>
      <c r="B151" s="160" t="s">
        <v>958</v>
      </c>
      <c r="C151" s="157" t="s">
        <v>1</v>
      </c>
      <c r="D151" s="159">
        <v>1</v>
      </c>
      <c r="E151" s="159">
        <v>4754.7</v>
      </c>
      <c r="F151" s="159"/>
      <c r="G151" s="160" t="s">
        <v>975</v>
      </c>
      <c r="H151" s="34" t="s">
        <v>925</v>
      </c>
    </row>
    <row r="152" spans="1:8" ht="28.5">
      <c r="A152" s="160">
        <v>1</v>
      </c>
      <c r="B152" s="160" t="s">
        <v>4871</v>
      </c>
      <c r="C152" s="157" t="s">
        <v>927</v>
      </c>
      <c r="D152" s="159">
        <v>16.489999999999998</v>
      </c>
      <c r="E152" s="159">
        <v>279.94</v>
      </c>
      <c r="F152" s="159">
        <v>4616.21</v>
      </c>
      <c r="G152" s="160" t="s">
        <v>4872</v>
      </c>
    </row>
    <row r="153" spans="1:8" ht="33">
      <c r="A153" s="160">
        <v>2</v>
      </c>
      <c r="B153" s="160" t="s">
        <v>955</v>
      </c>
      <c r="C153" s="157" t="s">
        <v>14</v>
      </c>
      <c r="D153" s="159">
        <v>1</v>
      </c>
      <c r="E153" s="159">
        <v>138.49</v>
      </c>
      <c r="F153" s="159">
        <v>138.49</v>
      </c>
      <c r="G153" s="160" t="s">
        <v>956</v>
      </c>
      <c r="H153" s="34" t="s">
        <v>925</v>
      </c>
    </row>
    <row r="154" spans="1:8" ht="33">
      <c r="A154" s="160"/>
      <c r="B154" s="160" t="s">
        <v>933</v>
      </c>
      <c r="C154" s="157" t="s">
        <v>1</v>
      </c>
      <c r="D154" s="159">
        <v>1</v>
      </c>
      <c r="E154" s="159"/>
      <c r="F154" s="159">
        <v>4754.7</v>
      </c>
      <c r="G154" s="160"/>
      <c r="H154" s="34" t="s">
        <v>925</v>
      </c>
    </row>
    <row r="155" spans="1:8" ht="33">
      <c r="A155" s="160"/>
      <c r="B155" s="160" t="s">
        <v>934</v>
      </c>
      <c r="C155" s="157" t="s">
        <v>1</v>
      </c>
      <c r="D155" s="159"/>
      <c r="E155" s="159"/>
      <c r="F155" s="159">
        <v>4754.7</v>
      </c>
      <c r="G155" s="160"/>
      <c r="H155" s="34" t="s">
        <v>925</v>
      </c>
    </row>
    <row r="156" spans="1:8" ht="33">
      <c r="A156" s="160"/>
      <c r="B156" s="160"/>
      <c r="C156" s="157"/>
      <c r="D156" s="159"/>
      <c r="E156" s="159"/>
      <c r="F156" s="159"/>
      <c r="G156" s="160"/>
      <c r="H156" s="34" t="s">
        <v>925</v>
      </c>
    </row>
    <row r="157" spans="1:8" ht="57">
      <c r="A157" s="160" t="s">
        <v>992</v>
      </c>
      <c r="B157" s="160" t="s">
        <v>961</v>
      </c>
      <c r="C157" s="157" t="s">
        <v>1</v>
      </c>
      <c r="D157" s="159">
        <v>100</v>
      </c>
      <c r="E157" s="159">
        <v>628.59</v>
      </c>
      <c r="F157" s="159"/>
      <c r="G157" s="160" t="s">
        <v>977</v>
      </c>
      <c r="H157" s="34" t="s">
        <v>925</v>
      </c>
    </row>
    <row r="158" spans="1:8" ht="28.5">
      <c r="A158" s="160">
        <v>1</v>
      </c>
      <c r="B158" s="160" t="s">
        <v>941</v>
      </c>
      <c r="C158" s="157" t="s">
        <v>927</v>
      </c>
      <c r="D158" s="159">
        <v>19.95</v>
      </c>
      <c r="E158" s="159">
        <v>343.7</v>
      </c>
      <c r="F158" s="159">
        <v>6856.82</v>
      </c>
      <c r="G158" s="160" t="s">
        <v>942</v>
      </c>
    </row>
    <row r="159" spans="1:8" ht="33">
      <c r="A159" s="160">
        <v>2</v>
      </c>
      <c r="B159" s="160" t="s">
        <v>943</v>
      </c>
      <c r="C159" s="157" t="s">
        <v>927</v>
      </c>
      <c r="D159" s="159">
        <v>39.9</v>
      </c>
      <c r="E159" s="159">
        <v>302.85000000000002</v>
      </c>
      <c r="F159" s="159">
        <v>12083.72</v>
      </c>
      <c r="G159" s="160" t="s">
        <v>944</v>
      </c>
      <c r="H159" s="34" t="s">
        <v>925</v>
      </c>
    </row>
    <row r="160" spans="1:8" ht="33">
      <c r="A160" s="160">
        <v>3</v>
      </c>
      <c r="B160" s="160" t="s">
        <v>945</v>
      </c>
      <c r="C160" s="157" t="s">
        <v>927</v>
      </c>
      <c r="D160" s="159">
        <v>19.95</v>
      </c>
      <c r="E160" s="159">
        <v>399.48</v>
      </c>
      <c r="F160" s="159">
        <v>7969.63</v>
      </c>
      <c r="G160" s="160" t="s">
        <v>946</v>
      </c>
      <c r="H160" s="34" t="s">
        <v>925</v>
      </c>
    </row>
    <row r="161" spans="1:8" ht="33">
      <c r="A161" s="160">
        <v>4</v>
      </c>
      <c r="B161" s="160" t="s">
        <v>947</v>
      </c>
      <c r="C161" s="157" t="s">
        <v>927</v>
      </c>
      <c r="D161" s="159">
        <v>39.9</v>
      </c>
      <c r="E161" s="159">
        <v>399.48</v>
      </c>
      <c r="F161" s="159">
        <v>15939.25</v>
      </c>
      <c r="G161" s="160" t="s">
        <v>948</v>
      </c>
      <c r="H161" s="34" t="s">
        <v>925</v>
      </c>
    </row>
    <row r="162" spans="1:8" ht="33">
      <c r="A162" s="160">
        <v>5</v>
      </c>
      <c r="B162" s="160" t="s">
        <v>4871</v>
      </c>
      <c r="C162" s="157" t="s">
        <v>927</v>
      </c>
      <c r="D162" s="159">
        <v>19.95</v>
      </c>
      <c r="E162" s="159">
        <v>279.94</v>
      </c>
      <c r="F162" s="159">
        <v>5584.8</v>
      </c>
      <c r="G162" s="160" t="s">
        <v>4872</v>
      </c>
      <c r="H162" s="34" t="s">
        <v>925</v>
      </c>
    </row>
    <row r="163" spans="1:8" ht="33">
      <c r="A163" s="160">
        <v>6</v>
      </c>
      <c r="B163" s="160" t="s">
        <v>929</v>
      </c>
      <c r="C163" s="157" t="s">
        <v>927</v>
      </c>
      <c r="D163" s="159">
        <v>6.65</v>
      </c>
      <c r="E163" s="159">
        <v>1494.33</v>
      </c>
      <c r="F163" s="159">
        <v>9937.2900000000009</v>
      </c>
      <c r="G163" s="160" t="s">
        <v>930</v>
      </c>
      <c r="H163" s="34" t="s">
        <v>925</v>
      </c>
    </row>
    <row r="164" spans="1:8" ht="42.75">
      <c r="A164" s="160">
        <v>7</v>
      </c>
      <c r="B164" s="160" t="s">
        <v>4869</v>
      </c>
      <c r="C164" s="157" t="s">
        <v>927</v>
      </c>
      <c r="D164" s="159">
        <v>6.65</v>
      </c>
      <c r="E164" s="159">
        <v>399.48</v>
      </c>
      <c r="F164" s="159">
        <v>2656.54</v>
      </c>
      <c r="G164" s="160" t="s">
        <v>4870</v>
      </c>
    </row>
    <row r="165" spans="1:8" ht="33">
      <c r="A165" s="160">
        <v>8</v>
      </c>
      <c r="B165" s="160" t="s">
        <v>931</v>
      </c>
      <c r="C165" s="157" t="s">
        <v>14</v>
      </c>
      <c r="D165" s="159">
        <v>1</v>
      </c>
      <c r="E165" s="159">
        <v>1830.84</v>
      </c>
      <c r="F165" s="159">
        <v>1830.84</v>
      </c>
      <c r="G165" s="160" t="s">
        <v>932</v>
      </c>
      <c r="H165" s="34" t="s">
        <v>925</v>
      </c>
    </row>
    <row r="166" spans="1:8" ht="33">
      <c r="A166" s="160"/>
      <c r="B166" s="160" t="s">
        <v>933</v>
      </c>
      <c r="C166" s="157" t="s">
        <v>1</v>
      </c>
      <c r="D166" s="159">
        <v>100</v>
      </c>
      <c r="E166" s="159"/>
      <c r="F166" s="159">
        <v>62858.89</v>
      </c>
      <c r="G166" s="160"/>
      <c r="H166" s="34" t="s">
        <v>925</v>
      </c>
    </row>
    <row r="167" spans="1:8" ht="33">
      <c r="A167" s="160"/>
      <c r="B167" s="160" t="s">
        <v>934</v>
      </c>
      <c r="C167" s="157" t="s">
        <v>1</v>
      </c>
      <c r="D167" s="159"/>
      <c r="E167" s="159"/>
      <c r="F167" s="159">
        <v>628.59</v>
      </c>
      <c r="G167" s="160"/>
      <c r="H167" s="34" t="s">
        <v>925</v>
      </c>
    </row>
    <row r="168" spans="1:8" ht="33">
      <c r="A168" s="160"/>
      <c r="B168" s="160"/>
      <c r="C168" s="157"/>
      <c r="D168" s="159"/>
      <c r="E168" s="159"/>
      <c r="F168" s="159"/>
      <c r="G168" s="160"/>
      <c r="H168" s="34" t="s">
        <v>925</v>
      </c>
    </row>
    <row r="169" spans="1:8" ht="57">
      <c r="A169" s="160" t="s">
        <v>994</v>
      </c>
      <c r="B169" s="160" t="s">
        <v>964</v>
      </c>
      <c r="C169" s="157" t="s">
        <v>1</v>
      </c>
      <c r="D169" s="159">
        <v>1</v>
      </c>
      <c r="E169" s="159">
        <v>6597.18</v>
      </c>
      <c r="F169" s="159"/>
      <c r="G169" s="160" t="s">
        <v>979</v>
      </c>
      <c r="H169" s="34" t="s">
        <v>925</v>
      </c>
    </row>
    <row r="170" spans="1:8" ht="33">
      <c r="A170" s="160">
        <v>1</v>
      </c>
      <c r="B170" s="160" t="s">
        <v>4871</v>
      </c>
      <c r="C170" s="157" t="s">
        <v>927</v>
      </c>
      <c r="D170" s="159">
        <v>22.88</v>
      </c>
      <c r="E170" s="159">
        <v>279.94</v>
      </c>
      <c r="F170" s="159">
        <v>6405.03</v>
      </c>
      <c r="G170" s="160" t="s">
        <v>4872</v>
      </c>
      <c r="H170" s="34" t="s">
        <v>925</v>
      </c>
    </row>
    <row r="171" spans="1:8" ht="33">
      <c r="A171" s="160">
        <v>2</v>
      </c>
      <c r="B171" s="160" t="s">
        <v>955</v>
      </c>
      <c r="C171" s="157" t="s">
        <v>14</v>
      </c>
      <c r="D171" s="159">
        <v>1</v>
      </c>
      <c r="E171" s="159">
        <v>192.15</v>
      </c>
      <c r="F171" s="159">
        <v>192.15</v>
      </c>
      <c r="G171" s="160" t="s">
        <v>956</v>
      </c>
      <c r="H171" s="34" t="s">
        <v>925</v>
      </c>
    </row>
    <row r="172" spans="1:8" ht="16.5">
      <c r="A172" s="160"/>
      <c r="B172" s="160" t="s">
        <v>933</v>
      </c>
      <c r="C172" s="157" t="s">
        <v>1</v>
      </c>
      <c r="D172" s="159">
        <v>1</v>
      </c>
      <c r="E172" s="159"/>
      <c r="F172" s="159">
        <v>6597.1799999999994</v>
      </c>
      <c r="G172" s="160"/>
    </row>
    <row r="173" spans="1:8" ht="33">
      <c r="A173" s="160"/>
      <c r="B173" s="160" t="s">
        <v>934</v>
      </c>
      <c r="C173" s="157" t="s">
        <v>1</v>
      </c>
      <c r="D173" s="159"/>
      <c r="E173" s="159"/>
      <c r="F173" s="159">
        <v>6597.18</v>
      </c>
      <c r="G173" s="160"/>
      <c r="H173" s="34" t="s">
        <v>925</v>
      </c>
    </row>
    <row r="174" spans="1:8" ht="33">
      <c r="A174" s="160"/>
      <c r="B174" s="160"/>
      <c r="C174" s="157"/>
      <c r="D174" s="159"/>
      <c r="E174" s="159"/>
      <c r="F174" s="159"/>
      <c r="G174" s="160"/>
      <c r="H174" s="34" t="s">
        <v>925</v>
      </c>
    </row>
    <row r="175" spans="1:8" ht="57">
      <c r="A175" s="160" t="s">
        <v>1000</v>
      </c>
      <c r="B175" s="160" t="s">
        <v>939</v>
      </c>
      <c r="C175" s="157" t="s">
        <v>1</v>
      </c>
      <c r="D175" s="159">
        <v>100</v>
      </c>
      <c r="E175" s="159">
        <v>1869.16</v>
      </c>
      <c r="F175" s="159"/>
      <c r="G175" s="160" t="s">
        <v>981</v>
      </c>
      <c r="H175" s="34" t="s">
        <v>925</v>
      </c>
    </row>
    <row r="176" spans="1:8" ht="33">
      <c r="A176" s="160">
        <v>1</v>
      </c>
      <c r="B176" s="160" t="s">
        <v>941</v>
      </c>
      <c r="C176" s="157" t="s">
        <v>927</v>
      </c>
      <c r="D176" s="159">
        <v>23.94</v>
      </c>
      <c r="E176" s="159">
        <v>343.7</v>
      </c>
      <c r="F176" s="159">
        <v>8228.18</v>
      </c>
      <c r="G176" s="160" t="s">
        <v>942</v>
      </c>
      <c r="H176" s="34" t="s">
        <v>925</v>
      </c>
    </row>
    <row r="177" spans="1:8" ht="33">
      <c r="A177" s="160">
        <v>2</v>
      </c>
      <c r="B177" s="160" t="s">
        <v>943</v>
      </c>
      <c r="C177" s="157" t="s">
        <v>927</v>
      </c>
      <c r="D177" s="159">
        <v>119.7</v>
      </c>
      <c r="E177" s="159">
        <v>302.85000000000002</v>
      </c>
      <c r="F177" s="159">
        <v>36251.15</v>
      </c>
      <c r="G177" s="160" t="s">
        <v>944</v>
      </c>
      <c r="H177" s="34" t="s">
        <v>925</v>
      </c>
    </row>
    <row r="178" spans="1:8" ht="33">
      <c r="A178" s="160">
        <v>3</v>
      </c>
      <c r="B178" s="160" t="s">
        <v>945</v>
      </c>
      <c r="C178" s="157" t="s">
        <v>927</v>
      </c>
      <c r="D178" s="159">
        <v>23.94</v>
      </c>
      <c r="E178" s="159">
        <v>399.48</v>
      </c>
      <c r="F178" s="159">
        <v>9563.5499999999993</v>
      </c>
      <c r="G178" s="160" t="s">
        <v>946</v>
      </c>
      <c r="H178" s="34" t="s">
        <v>925</v>
      </c>
    </row>
    <row r="179" spans="1:8" ht="33">
      <c r="A179" s="160">
        <v>4</v>
      </c>
      <c r="B179" s="160" t="s">
        <v>947</v>
      </c>
      <c r="C179" s="157" t="s">
        <v>927</v>
      </c>
      <c r="D179" s="159">
        <v>119.7</v>
      </c>
      <c r="E179" s="159">
        <v>399.48</v>
      </c>
      <c r="F179" s="159">
        <v>47817.760000000002</v>
      </c>
      <c r="G179" s="160" t="s">
        <v>948</v>
      </c>
      <c r="H179" s="34" t="s">
        <v>925</v>
      </c>
    </row>
    <row r="180" spans="1:8" ht="28.5">
      <c r="A180" s="160">
        <v>5</v>
      </c>
      <c r="B180" s="160" t="s">
        <v>4871</v>
      </c>
      <c r="C180" s="157" t="s">
        <v>927</v>
      </c>
      <c r="D180" s="159">
        <v>239.4</v>
      </c>
      <c r="E180" s="159">
        <v>279.94</v>
      </c>
      <c r="F180" s="159">
        <v>67017.64</v>
      </c>
      <c r="G180" s="160" t="s">
        <v>4872</v>
      </c>
    </row>
    <row r="181" spans="1:8" ht="33">
      <c r="A181" s="160">
        <v>6</v>
      </c>
      <c r="B181" s="160" t="s">
        <v>929</v>
      </c>
      <c r="C181" s="157" t="s">
        <v>927</v>
      </c>
      <c r="D181" s="159">
        <v>6.65</v>
      </c>
      <c r="E181" s="159">
        <v>1494.33</v>
      </c>
      <c r="F181" s="159">
        <v>9937.2900000000009</v>
      </c>
      <c r="G181" s="160" t="s">
        <v>930</v>
      </c>
      <c r="H181" s="34" t="s">
        <v>925</v>
      </c>
    </row>
    <row r="182" spans="1:8" ht="42.75">
      <c r="A182" s="160">
        <v>7</v>
      </c>
      <c r="B182" s="160" t="s">
        <v>4869</v>
      </c>
      <c r="C182" s="157" t="s">
        <v>927</v>
      </c>
      <c r="D182" s="159">
        <v>6.65</v>
      </c>
      <c r="E182" s="159">
        <v>399.48</v>
      </c>
      <c r="F182" s="159">
        <v>2656.54</v>
      </c>
      <c r="G182" s="160" t="s">
        <v>4870</v>
      </c>
      <c r="H182" s="34" t="s">
        <v>925</v>
      </c>
    </row>
    <row r="183" spans="1:8" ht="33">
      <c r="A183" s="160">
        <v>8</v>
      </c>
      <c r="B183" s="160" t="s">
        <v>931</v>
      </c>
      <c r="C183" s="157" t="s">
        <v>14</v>
      </c>
      <c r="D183" s="159">
        <v>1</v>
      </c>
      <c r="E183" s="159">
        <v>5444.16</v>
      </c>
      <c r="F183" s="159">
        <v>5444.16</v>
      </c>
      <c r="G183" s="160" t="s">
        <v>932</v>
      </c>
      <c r="H183" s="34" t="s">
        <v>925</v>
      </c>
    </row>
    <row r="184" spans="1:8" ht="33">
      <c r="A184" s="160"/>
      <c r="B184" s="160" t="s">
        <v>933</v>
      </c>
      <c r="C184" s="157" t="s">
        <v>1</v>
      </c>
      <c r="D184" s="159">
        <v>100</v>
      </c>
      <c r="E184" s="159"/>
      <c r="F184" s="159">
        <v>186916.27000000005</v>
      </c>
      <c r="G184" s="160"/>
      <c r="H184" s="34" t="s">
        <v>925</v>
      </c>
    </row>
    <row r="185" spans="1:8" ht="33">
      <c r="A185" s="160"/>
      <c r="B185" s="160" t="s">
        <v>934</v>
      </c>
      <c r="C185" s="157" t="s">
        <v>1</v>
      </c>
      <c r="D185" s="159"/>
      <c r="E185" s="159"/>
      <c r="F185" s="159">
        <v>1869.16</v>
      </c>
      <c r="G185" s="160"/>
      <c r="H185" s="34" t="s">
        <v>925</v>
      </c>
    </row>
    <row r="186" spans="1:8" ht="33">
      <c r="A186" s="160"/>
      <c r="B186" s="160"/>
      <c r="C186" s="157"/>
      <c r="D186" s="159"/>
      <c r="E186" s="159"/>
      <c r="F186" s="159"/>
      <c r="G186" s="160"/>
      <c r="H186" s="34" t="s">
        <v>925</v>
      </c>
    </row>
    <row r="187" spans="1:8" ht="57">
      <c r="A187" s="160" t="s">
        <v>1002</v>
      </c>
      <c r="B187" s="160" t="s">
        <v>985</v>
      </c>
      <c r="C187" s="157" t="s">
        <v>1</v>
      </c>
      <c r="D187" s="159">
        <v>1</v>
      </c>
      <c r="E187" s="159">
        <v>859.25</v>
      </c>
      <c r="F187" s="159"/>
      <c r="G187" s="160" t="s">
        <v>986</v>
      </c>
    </row>
    <row r="188" spans="1:8" ht="33">
      <c r="A188" s="160">
        <v>1</v>
      </c>
      <c r="B188" s="160" t="s">
        <v>4871</v>
      </c>
      <c r="C188" s="157" t="s">
        <v>927</v>
      </c>
      <c r="D188" s="159">
        <v>2.98</v>
      </c>
      <c r="E188" s="159">
        <v>279.94</v>
      </c>
      <c r="F188" s="159">
        <v>834.22</v>
      </c>
      <c r="G188" s="160" t="s">
        <v>4872</v>
      </c>
      <c r="H188" s="34" t="s">
        <v>925</v>
      </c>
    </row>
    <row r="189" spans="1:8" ht="33">
      <c r="A189" s="160">
        <v>2</v>
      </c>
      <c r="B189" s="160" t="s">
        <v>931</v>
      </c>
      <c r="C189" s="157" t="s">
        <v>14</v>
      </c>
      <c r="D189" s="159">
        <v>1</v>
      </c>
      <c r="E189" s="159">
        <v>25.03</v>
      </c>
      <c r="F189" s="159">
        <v>25.03</v>
      </c>
      <c r="G189" s="160" t="s">
        <v>932</v>
      </c>
      <c r="H189" s="34" t="s">
        <v>925</v>
      </c>
    </row>
    <row r="190" spans="1:8" ht="33">
      <c r="A190" s="160"/>
      <c r="B190" s="160" t="s">
        <v>933</v>
      </c>
      <c r="C190" s="157" t="s">
        <v>1</v>
      </c>
      <c r="D190" s="159">
        <v>1</v>
      </c>
      <c r="E190" s="159"/>
      <c r="F190" s="159">
        <v>859.25</v>
      </c>
      <c r="G190" s="160"/>
      <c r="H190" s="34" t="s">
        <v>925</v>
      </c>
    </row>
    <row r="191" spans="1:8" ht="33">
      <c r="A191" s="160"/>
      <c r="B191" s="160" t="s">
        <v>934</v>
      </c>
      <c r="C191" s="157" t="s">
        <v>1</v>
      </c>
      <c r="D191" s="159"/>
      <c r="E191" s="159"/>
      <c r="F191" s="159">
        <v>859.25</v>
      </c>
      <c r="G191" s="160"/>
      <c r="H191" s="34" t="s">
        <v>925</v>
      </c>
    </row>
    <row r="192" spans="1:8" ht="33">
      <c r="A192" s="160"/>
      <c r="B192" s="160"/>
      <c r="C192" s="157"/>
      <c r="D192" s="159"/>
      <c r="E192" s="159"/>
      <c r="F192" s="159"/>
      <c r="G192" s="160"/>
      <c r="H192" s="34" t="s">
        <v>925</v>
      </c>
    </row>
    <row r="193" spans="1:8" ht="33">
      <c r="A193" s="160" t="s">
        <v>1009</v>
      </c>
      <c r="B193" s="160" t="s">
        <v>990</v>
      </c>
      <c r="C193" s="157" t="s">
        <v>17</v>
      </c>
      <c r="D193" s="159">
        <v>200</v>
      </c>
      <c r="E193" s="159">
        <v>89.56</v>
      </c>
      <c r="F193" s="159"/>
      <c r="G193" s="160" t="s">
        <v>991</v>
      </c>
      <c r="H193" s="34" t="s">
        <v>925</v>
      </c>
    </row>
    <row r="194" spans="1:8" ht="28.5">
      <c r="A194" s="160">
        <v>1</v>
      </c>
      <c r="B194" s="160" t="s">
        <v>929</v>
      </c>
      <c r="C194" s="157" t="s">
        <v>927</v>
      </c>
      <c r="D194" s="159">
        <v>8</v>
      </c>
      <c r="E194" s="159">
        <v>1494.33</v>
      </c>
      <c r="F194" s="159">
        <v>11954.64</v>
      </c>
      <c r="G194" s="160" t="s">
        <v>930</v>
      </c>
    </row>
    <row r="195" spans="1:8" ht="42.75">
      <c r="A195" s="160">
        <v>2</v>
      </c>
      <c r="B195" s="160" t="s">
        <v>4869</v>
      </c>
      <c r="C195" s="157" t="s">
        <v>927</v>
      </c>
      <c r="D195" s="159">
        <v>8</v>
      </c>
      <c r="E195" s="159">
        <v>399.48</v>
      </c>
      <c r="F195" s="159">
        <v>3195.84</v>
      </c>
      <c r="G195" s="160" t="s">
        <v>4870</v>
      </c>
      <c r="H195" s="34" t="s">
        <v>925</v>
      </c>
    </row>
    <row r="196" spans="1:8" ht="33">
      <c r="A196" s="160">
        <v>3</v>
      </c>
      <c r="B196" s="160" t="s">
        <v>4871</v>
      </c>
      <c r="C196" s="157" t="s">
        <v>927</v>
      </c>
      <c r="D196" s="159">
        <v>8</v>
      </c>
      <c r="E196" s="159">
        <v>279.94</v>
      </c>
      <c r="F196" s="159">
        <v>2239.52</v>
      </c>
      <c r="G196" s="160" t="s">
        <v>4872</v>
      </c>
      <c r="H196" s="34" t="s">
        <v>925</v>
      </c>
    </row>
    <row r="197" spans="1:8" ht="33">
      <c r="A197" s="160">
        <v>4</v>
      </c>
      <c r="B197" s="160" t="s">
        <v>931</v>
      </c>
      <c r="C197" s="157" t="s">
        <v>14</v>
      </c>
      <c r="D197" s="159">
        <v>1</v>
      </c>
      <c r="E197" s="159">
        <v>521.70000000000005</v>
      </c>
      <c r="F197" s="159">
        <v>521.70000000000005</v>
      </c>
      <c r="G197" s="160" t="s">
        <v>932</v>
      </c>
      <c r="H197" s="34" t="s">
        <v>925</v>
      </c>
    </row>
    <row r="198" spans="1:8" ht="33">
      <c r="A198" s="160"/>
      <c r="B198" s="160" t="s">
        <v>933</v>
      </c>
      <c r="C198" s="157" t="s">
        <v>17</v>
      </c>
      <c r="D198" s="159">
        <v>200</v>
      </c>
      <c r="E198" s="159"/>
      <c r="F198" s="159">
        <v>17911.7</v>
      </c>
      <c r="G198" s="160"/>
      <c r="H198" s="34" t="s">
        <v>925</v>
      </c>
    </row>
    <row r="199" spans="1:8" ht="33">
      <c r="A199" s="160"/>
      <c r="B199" s="160" t="s">
        <v>934</v>
      </c>
      <c r="C199" s="157" t="s">
        <v>17</v>
      </c>
      <c r="D199" s="159"/>
      <c r="E199" s="159"/>
      <c r="F199" s="159">
        <v>89.56</v>
      </c>
      <c r="G199" s="160"/>
      <c r="H199" s="34" t="s">
        <v>925</v>
      </c>
    </row>
    <row r="200" spans="1:8" ht="33">
      <c r="A200" s="160"/>
      <c r="B200" s="160"/>
      <c r="C200" s="157"/>
      <c r="D200" s="159"/>
      <c r="E200" s="159"/>
      <c r="F200" s="159"/>
      <c r="G200" s="160"/>
      <c r="H200" s="34" t="s">
        <v>925</v>
      </c>
    </row>
    <row r="201" spans="1:8" ht="57">
      <c r="A201" s="160" t="s">
        <v>1018</v>
      </c>
      <c r="B201" s="160" t="s">
        <v>990</v>
      </c>
      <c r="C201" s="157" t="s">
        <v>17</v>
      </c>
      <c r="D201" s="159">
        <v>200</v>
      </c>
      <c r="E201" s="159">
        <v>119.11</v>
      </c>
      <c r="F201" s="159"/>
      <c r="G201" s="160" t="s">
        <v>993</v>
      </c>
      <c r="H201" s="34" t="s">
        <v>925</v>
      </c>
    </row>
    <row r="202" spans="1:8" ht="33">
      <c r="A202" s="160">
        <v>1</v>
      </c>
      <c r="B202" s="160" t="s">
        <v>929</v>
      </c>
      <c r="C202" s="157" t="s">
        <v>927</v>
      </c>
      <c r="D202" s="159">
        <v>10.64</v>
      </c>
      <c r="E202" s="159">
        <v>1494.33</v>
      </c>
      <c r="F202" s="159">
        <v>15899.67</v>
      </c>
      <c r="G202" s="160" t="s">
        <v>930</v>
      </c>
      <c r="H202" s="34" t="s">
        <v>925</v>
      </c>
    </row>
    <row r="203" spans="1:8" ht="42.75">
      <c r="A203" s="160">
        <v>2</v>
      </c>
      <c r="B203" s="160" t="s">
        <v>4869</v>
      </c>
      <c r="C203" s="157" t="s">
        <v>927</v>
      </c>
      <c r="D203" s="159">
        <v>10.64</v>
      </c>
      <c r="E203" s="159">
        <v>399.48</v>
      </c>
      <c r="F203" s="159">
        <v>4250.47</v>
      </c>
      <c r="G203" s="160" t="s">
        <v>4870</v>
      </c>
      <c r="H203" s="34" t="s">
        <v>925</v>
      </c>
    </row>
    <row r="204" spans="1:8" ht="28.5">
      <c r="A204" s="160">
        <v>3</v>
      </c>
      <c r="B204" s="160" t="s">
        <v>4871</v>
      </c>
      <c r="C204" s="157" t="s">
        <v>927</v>
      </c>
      <c r="D204" s="159">
        <v>10.64</v>
      </c>
      <c r="E204" s="159">
        <v>279.94</v>
      </c>
      <c r="F204" s="159">
        <v>2978.56</v>
      </c>
      <c r="G204" s="160" t="s">
        <v>4872</v>
      </c>
    </row>
    <row r="205" spans="1:8" ht="33">
      <c r="A205" s="160">
        <v>4</v>
      </c>
      <c r="B205" s="160" t="s">
        <v>931</v>
      </c>
      <c r="C205" s="157" t="s">
        <v>14</v>
      </c>
      <c r="D205" s="159">
        <v>1</v>
      </c>
      <c r="E205" s="159">
        <v>693.86</v>
      </c>
      <c r="F205" s="159">
        <v>693.86</v>
      </c>
      <c r="G205" s="160" t="s">
        <v>932</v>
      </c>
      <c r="H205" s="34" t="s">
        <v>925</v>
      </c>
    </row>
    <row r="206" spans="1:8" ht="33">
      <c r="A206" s="160"/>
      <c r="B206" s="160" t="s">
        <v>933</v>
      </c>
      <c r="C206" s="157" t="s">
        <v>17</v>
      </c>
      <c r="D206" s="159">
        <v>200</v>
      </c>
      <c r="E206" s="159"/>
      <c r="F206" s="159">
        <v>23822.560000000001</v>
      </c>
      <c r="G206" s="160"/>
      <c r="H206" s="34" t="s">
        <v>925</v>
      </c>
    </row>
    <row r="207" spans="1:8" ht="33">
      <c r="A207" s="160"/>
      <c r="B207" s="160" t="s">
        <v>934</v>
      </c>
      <c r="C207" s="157" t="s">
        <v>17</v>
      </c>
      <c r="D207" s="159"/>
      <c r="E207" s="159"/>
      <c r="F207" s="159">
        <v>119.11</v>
      </c>
      <c r="G207" s="160"/>
      <c r="H207" s="34" t="s">
        <v>925</v>
      </c>
    </row>
    <row r="208" spans="1:8" ht="33">
      <c r="A208" s="160"/>
      <c r="B208" s="160"/>
      <c r="C208" s="157"/>
      <c r="D208" s="159"/>
      <c r="E208" s="159"/>
      <c r="F208" s="159"/>
      <c r="G208" s="160"/>
      <c r="H208" s="34" t="s">
        <v>925</v>
      </c>
    </row>
    <row r="209" spans="1:8" ht="33">
      <c r="A209" s="160" t="s">
        <v>1032</v>
      </c>
      <c r="B209" s="160" t="s">
        <v>995</v>
      </c>
      <c r="C209" s="157" t="s">
        <v>0</v>
      </c>
      <c r="D209" s="159">
        <v>100</v>
      </c>
      <c r="E209" s="159">
        <v>592.16</v>
      </c>
      <c r="F209" s="159"/>
      <c r="G209" s="160" t="s">
        <v>996</v>
      </c>
      <c r="H209" s="34" t="s">
        <v>925</v>
      </c>
    </row>
    <row r="210" spans="1:8" ht="33">
      <c r="A210" s="160">
        <v>1</v>
      </c>
      <c r="B210" s="160" t="s">
        <v>997</v>
      </c>
      <c r="C210" s="157" t="s">
        <v>927</v>
      </c>
      <c r="D210" s="159">
        <v>36.97</v>
      </c>
      <c r="E210" s="159">
        <v>1155.6099999999999</v>
      </c>
      <c r="F210" s="159">
        <v>42722.9</v>
      </c>
      <c r="G210" s="160" t="s">
        <v>998</v>
      </c>
      <c r="H210" s="34" t="s">
        <v>925</v>
      </c>
    </row>
    <row r="211" spans="1:8" ht="33">
      <c r="A211" s="160">
        <v>2</v>
      </c>
      <c r="B211" s="160" t="s">
        <v>999</v>
      </c>
      <c r="C211" s="157" t="s">
        <v>927</v>
      </c>
      <c r="D211" s="159">
        <v>36.97</v>
      </c>
      <c r="E211" s="159">
        <v>399.48</v>
      </c>
      <c r="F211" s="159">
        <v>14768.78</v>
      </c>
      <c r="G211" s="160" t="s">
        <v>4877</v>
      </c>
      <c r="H211" s="34" t="s">
        <v>925</v>
      </c>
    </row>
    <row r="212" spans="1:8" ht="28.5">
      <c r="A212" s="160">
        <v>3</v>
      </c>
      <c r="B212" s="160" t="s">
        <v>931</v>
      </c>
      <c r="C212" s="157" t="s">
        <v>14</v>
      </c>
      <c r="D212" s="159">
        <v>1</v>
      </c>
      <c r="E212" s="159">
        <v>1724.75</v>
      </c>
      <c r="F212" s="159">
        <v>1724.75</v>
      </c>
      <c r="G212" s="160" t="s">
        <v>932</v>
      </c>
    </row>
    <row r="213" spans="1:8" ht="33">
      <c r="A213" s="160"/>
      <c r="B213" s="160" t="s">
        <v>933</v>
      </c>
      <c r="C213" s="157" t="s">
        <v>0</v>
      </c>
      <c r="D213" s="159">
        <v>100</v>
      </c>
      <c r="E213" s="159"/>
      <c r="F213" s="159">
        <v>59216.43</v>
      </c>
      <c r="G213" s="160"/>
      <c r="H213" s="34" t="s">
        <v>925</v>
      </c>
    </row>
    <row r="214" spans="1:8" ht="33">
      <c r="A214" s="160"/>
      <c r="B214" s="160" t="s">
        <v>934</v>
      </c>
      <c r="C214" s="157" t="s">
        <v>0</v>
      </c>
      <c r="D214" s="159"/>
      <c r="E214" s="159"/>
      <c r="F214" s="159">
        <v>592.16</v>
      </c>
      <c r="G214" s="160"/>
      <c r="H214" s="34" t="s">
        <v>925</v>
      </c>
    </row>
    <row r="215" spans="1:8" ht="33">
      <c r="A215" s="160"/>
      <c r="B215" s="160"/>
      <c r="C215" s="157"/>
      <c r="D215" s="159"/>
      <c r="E215" s="159"/>
      <c r="F215" s="159"/>
      <c r="G215" s="160"/>
      <c r="H215" s="34" t="s">
        <v>925</v>
      </c>
    </row>
    <row r="216" spans="1:8" ht="57">
      <c r="A216" s="160" t="s">
        <v>1035</v>
      </c>
      <c r="B216" s="160" t="s">
        <v>995</v>
      </c>
      <c r="C216" s="157" t="s">
        <v>0</v>
      </c>
      <c r="D216" s="159">
        <v>100</v>
      </c>
      <c r="E216" s="159">
        <v>787.58</v>
      </c>
      <c r="F216" s="159"/>
      <c r="G216" s="160" t="s">
        <v>1001</v>
      </c>
      <c r="H216" s="34" t="s">
        <v>925</v>
      </c>
    </row>
    <row r="217" spans="1:8" ht="33">
      <c r="A217" s="160">
        <v>1</v>
      </c>
      <c r="B217" s="160" t="s">
        <v>997</v>
      </c>
      <c r="C217" s="157" t="s">
        <v>927</v>
      </c>
      <c r="D217" s="159">
        <v>49.17</v>
      </c>
      <c r="E217" s="159">
        <v>1155.6099999999999</v>
      </c>
      <c r="F217" s="159">
        <v>56821.34</v>
      </c>
      <c r="G217" s="160" t="s">
        <v>998</v>
      </c>
      <c r="H217" s="34" t="s">
        <v>925</v>
      </c>
    </row>
    <row r="218" spans="1:8" ht="33">
      <c r="A218" s="160">
        <v>2</v>
      </c>
      <c r="B218" s="160" t="s">
        <v>999</v>
      </c>
      <c r="C218" s="157" t="s">
        <v>927</v>
      </c>
      <c r="D218" s="159">
        <v>49.17</v>
      </c>
      <c r="E218" s="159">
        <v>399.48</v>
      </c>
      <c r="F218" s="159">
        <v>19642.43</v>
      </c>
      <c r="G218" s="160" t="s">
        <v>4877</v>
      </c>
      <c r="H218" s="34" t="s">
        <v>925</v>
      </c>
    </row>
    <row r="219" spans="1:8" ht="33">
      <c r="A219" s="160">
        <v>3</v>
      </c>
      <c r="B219" s="160" t="s">
        <v>931</v>
      </c>
      <c r="C219" s="157" t="s">
        <v>14</v>
      </c>
      <c r="D219" s="159">
        <v>1</v>
      </c>
      <c r="E219" s="159">
        <v>2293.91</v>
      </c>
      <c r="F219" s="159">
        <v>2293.91</v>
      </c>
      <c r="G219" s="160" t="s">
        <v>932</v>
      </c>
      <c r="H219" s="34" t="s">
        <v>925</v>
      </c>
    </row>
    <row r="220" spans="1:8" ht="33">
      <c r="A220" s="160"/>
      <c r="B220" s="160" t="s">
        <v>933</v>
      </c>
      <c r="C220" s="157" t="s">
        <v>0</v>
      </c>
      <c r="D220" s="159">
        <v>100</v>
      </c>
      <c r="E220" s="159"/>
      <c r="F220" s="159">
        <v>78757.679999999993</v>
      </c>
      <c r="G220" s="160"/>
      <c r="H220" s="34" t="s">
        <v>925</v>
      </c>
    </row>
    <row r="221" spans="1:8" ht="33">
      <c r="A221" s="160"/>
      <c r="B221" s="160" t="s">
        <v>934</v>
      </c>
      <c r="C221" s="157" t="s">
        <v>0</v>
      </c>
      <c r="D221" s="159"/>
      <c r="E221" s="159"/>
      <c r="F221" s="159">
        <v>787.58</v>
      </c>
      <c r="G221" s="160"/>
      <c r="H221" s="34" t="s">
        <v>925</v>
      </c>
    </row>
    <row r="222" spans="1:8" ht="33">
      <c r="A222" s="160"/>
      <c r="B222" s="160"/>
      <c r="C222" s="157"/>
      <c r="D222" s="159"/>
      <c r="E222" s="159"/>
      <c r="F222" s="159"/>
      <c r="G222" s="160"/>
      <c r="H222" s="34" t="s">
        <v>925</v>
      </c>
    </row>
    <row r="223" spans="1:8" ht="33">
      <c r="A223" s="160" t="s">
        <v>1042</v>
      </c>
      <c r="B223" s="160" t="s">
        <v>4443</v>
      </c>
      <c r="C223" s="157" t="s">
        <v>0</v>
      </c>
      <c r="D223" s="159">
        <v>100</v>
      </c>
      <c r="E223" s="159">
        <v>856.02</v>
      </c>
      <c r="F223" s="159"/>
      <c r="G223" s="160" t="s">
        <v>4878</v>
      </c>
      <c r="H223" s="34" t="s">
        <v>925</v>
      </c>
    </row>
    <row r="224" spans="1:8" ht="33">
      <c r="A224" s="160">
        <v>1</v>
      </c>
      <c r="B224" s="160" t="s">
        <v>997</v>
      </c>
      <c r="C224" s="157" t="s">
        <v>927</v>
      </c>
      <c r="D224" s="159">
        <v>42.52</v>
      </c>
      <c r="E224" s="159">
        <v>1155.6099999999999</v>
      </c>
      <c r="F224" s="159">
        <v>49136.54</v>
      </c>
      <c r="G224" s="160" t="s">
        <v>998</v>
      </c>
      <c r="H224" s="34" t="s">
        <v>925</v>
      </c>
    </row>
    <row r="225" spans="1:8" ht="28.5">
      <c r="A225" s="160">
        <v>2</v>
      </c>
      <c r="B225" s="160" t="s">
        <v>4879</v>
      </c>
      <c r="C225" s="157" t="s">
        <v>927</v>
      </c>
      <c r="D225" s="159">
        <v>42.52</v>
      </c>
      <c r="E225" s="159">
        <v>798.97</v>
      </c>
      <c r="F225" s="159">
        <v>33972.199999999997</v>
      </c>
      <c r="G225" s="160" t="s">
        <v>4880</v>
      </c>
    </row>
    <row r="226" spans="1:8" ht="33">
      <c r="A226" s="160">
        <v>3</v>
      </c>
      <c r="B226" s="160" t="s">
        <v>931</v>
      </c>
      <c r="C226" s="157" t="s">
        <v>14</v>
      </c>
      <c r="D226" s="159">
        <v>1</v>
      </c>
      <c r="E226" s="159">
        <v>2493.2600000000002</v>
      </c>
      <c r="F226" s="159">
        <v>2493.2600000000002</v>
      </c>
      <c r="G226" s="160" t="s">
        <v>932</v>
      </c>
      <c r="H226" s="34" t="s">
        <v>925</v>
      </c>
    </row>
    <row r="227" spans="1:8" ht="33">
      <c r="A227" s="160"/>
      <c r="B227" s="160" t="s">
        <v>933</v>
      </c>
      <c r="C227" s="157" t="s">
        <v>0</v>
      </c>
      <c r="D227" s="159">
        <v>100</v>
      </c>
      <c r="E227" s="159"/>
      <c r="F227" s="159">
        <v>85601.999999999985</v>
      </c>
      <c r="G227" s="160"/>
      <c r="H227" s="34" t="s">
        <v>925</v>
      </c>
    </row>
    <row r="228" spans="1:8" ht="33">
      <c r="A228" s="160"/>
      <c r="B228" s="160" t="s">
        <v>934</v>
      </c>
      <c r="C228" s="157" t="s">
        <v>0</v>
      </c>
      <c r="D228" s="159"/>
      <c r="E228" s="159"/>
      <c r="F228" s="159">
        <v>856.02</v>
      </c>
      <c r="G228" s="160"/>
      <c r="H228" s="34" t="s">
        <v>925</v>
      </c>
    </row>
    <row r="229" spans="1:8" ht="33">
      <c r="A229" s="160"/>
      <c r="B229" s="160"/>
      <c r="C229" s="157"/>
      <c r="D229" s="159"/>
      <c r="E229" s="159"/>
      <c r="F229" s="159"/>
      <c r="G229" s="160"/>
      <c r="H229" s="34" t="s">
        <v>925</v>
      </c>
    </row>
    <row r="230" spans="1:8" ht="33">
      <c r="A230" s="160" t="s">
        <v>1047</v>
      </c>
      <c r="B230" s="160" t="s">
        <v>1003</v>
      </c>
      <c r="C230" s="157" t="s">
        <v>1</v>
      </c>
      <c r="D230" s="159">
        <v>100</v>
      </c>
      <c r="E230" s="159">
        <v>98.39</v>
      </c>
      <c r="F230" s="159"/>
      <c r="G230" s="160" t="s">
        <v>1004</v>
      </c>
      <c r="H230" s="34" t="s">
        <v>925</v>
      </c>
    </row>
    <row r="231" spans="1:8" ht="28.5">
      <c r="A231" s="160">
        <v>1</v>
      </c>
      <c r="B231" s="160" t="s">
        <v>1005</v>
      </c>
      <c r="C231" s="157" t="s">
        <v>927</v>
      </c>
      <c r="D231" s="159">
        <v>2</v>
      </c>
      <c r="E231" s="159">
        <v>975.3</v>
      </c>
      <c r="F231" s="159">
        <v>1950.6</v>
      </c>
      <c r="G231" s="160" t="s">
        <v>1006</v>
      </c>
    </row>
    <row r="232" spans="1:8" ht="33">
      <c r="A232" s="160">
        <v>2</v>
      </c>
      <c r="B232" s="160" t="s">
        <v>929</v>
      </c>
      <c r="C232" s="157" t="s">
        <v>927</v>
      </c>
      <c r="D232" s="159">
        <v>2</v>
      </c>
      <c r="E232" s="159">
        <v>1494.33</v>
      </c>
      <c r="F232" s="159">
        <v>2988.66</v>
      </c>
      <c r="G232" s="160" t="s">
        <v>930</v>
      </c>
      <c r="H232" s="34" t="s">
        <v>925</v>
      </c>
    </row>
    <row r="233" spans="1:8" ht="42.75">
      <c r="A233" s="160">
        <v>3</v>
      </c>
      <c r="B233" s="160" t="s">
        <v>4881</v>
      </c>
      <c r="C233" s="157" t="s">
        <v>927</v>
      </c>
      <c r="D233" s="159">
        <v>8</v>
      </c>
      <c r="E233" s="159">
        <v>399.48</v>
      </c>
      <c r="F233" s="159">
        <v>3195.84</v>
      </c>
      <c r="G233" s="160" t="s">
        <v>4882</v>
      </c>
      <c r="H233" s="34" t="s">
        <v>925</v>
      </c>
    </row>
    <row r="234" spans="1:8" ht="33">
      <c r="A234" s="160">
        <v>4</v>
      </c>
      <c r="B234" s="160" t="s">
        <v>4871</v>
      </c>
      <c r="C234" s="157" t="s">
        <v>927</v>
      </c>
      <c r="D234" s="159">
        <v>4</v>
      </c>
      <c r="E234" s="159">
        <v>279.94</v>
      </c>
      <c r="F234" s="159">
        <v>1119.76</v>
      </c>
      <c r="G234" s="160" t="s">
        <v>4872</v>
      </c>
      <c r="H234" s="34" t="s">
        <v>925</v>
      </c>
    </row>
    <row r="235" spans="1:8" ht="33">
      <c r="A235" s="160">
        <v>5</v>
      </c>
      <c r="B235" s="160" t="s">
        <v>1007</v>
      </c>
      <c r="C235" s="157" t="s">
        <v>14</v>
      </c>
      <c r="D235" s="159">
        <v>1</v>
      </c>
      <c r="E235" s="159">
        <v>297.62</v>
      </c>
      <c r="F235" s="159">
        <v>297.62</v>
      </c>
      <c r="G235" s="160" t="s">
        <v>1008</v>
      </c>
      <c r="H235" s="34" t="s">
        <v>925</v>
      </c>
    </row>
    <row r="236" spans="1:8" ht="33">
      <c r="A236" s="160">
        <v>6</v>
      </c>
      <c r="B236" s="160" t="s">
        <v>931</v>
      </c>
      <c r="C236" s="157" t="s">
        <v>14</v>
      </c>
      <c r="D236" s="159">
        <v>1</v>
      </c>
      <c r="E236" s="159">
        <v>286.57</v>
      </c>
      <c r="F236" s="159">
        <v>286.57</v>
      </c>
      <c r="G236" s="160" t="s">
        <v>932</v>
      </c>
      <c r="H236" s="34" t="s">
        <v>925</v>
      </c>
    </row>
    <row r="237" spans="1:8" ht="33">
      <c r="A237" s="160"/>
      <c r="B237" s="160" t="s">
        <v>933</v>
      </c>
      <c r="C237" s="157" t="s">
        <v>1</v>
      </c>
      <c r="D237" s="159">
        <v>100</v>
      </c>
      <c r="E237" s="159"/>
      <c r="F237" s="159">
        <v>9839.0500000000011</v>
      </c>
      <c r="G237" s="160"/>
      <c r="H237" s="34" t="s">
        <v>925</v>
      </c>
    </row>
    <row r="238" spans="1:8" ht="33">
      <c r="A238" s="160"/>
      <c r="B238" s="160" t="s">
        <v>934</v>
      </c>
      <c r="C238" s="157" t="s">
        <v>1</v>
      </c>
      <c r="D238" s="159"/>
      <c r="E238" s="159"/>
      <c r="F238" s="159">
        <v>98.39</v>
      </c>
      <c r="G238" s="160"/>
      <c r="H238" s="34" t="s">
        <v>925</v>
      </c>
    </row>
    <row r="239" spans="1:8" ht="16.5">
      <c r="A239" s="160"/>
      <c r="B239" s="160"/>
      <c r="C239" s="157"/>
      <c r="D239" s="159"/>
      <c r="E239" s="159"/>
      <c r="F239" s="159"/>
      <c r="G239" s="160"/>
    </row>
    <row r="240" spans="1:8" ht="33">
      <c r="A240" s="160" t="s">
        <v>1066</v>
      </c>
      <c r="B240" s="160" t="s">
        <v>1010</v>
      </c>
      <c r="C240" s="157" t="s">
        <v>1</v>
      </c>
      <c r="D240" s="159">
        <v>1</v>
      </c>
      <c r="E240" s="159">
        <v>600.27</v>
      </c>
      <c r="F240" s="159"/>
      <c r="G240" s="160" t="s">
        <v>1011</v>
      </c>
      <c r="H240" s="34" t="s">
        <v>925</v>
      </c>
    </row>
    <row r="241" spans="1:8" ht="33">
      <c r="A241" s="160">
        <v>1</v>
      </c>
      <c r="B241" s="160" t="s">
        <v>1012</v>
      </c>
      <c r="C241" s="157" t="s">
        <v>1</v>
      </c>
      <c r="D241" s="159">
        <v>0.9</v>
      </c>
      <c r="E241" s="159">
        <v>348.68</v>
      </c>
      <c r="F241" s="159">
        <v>313.81</v>
      </c>
      <c r="G241" s="160" t="s">
        <v>1013</v>
      </c>
      <c r="H241" s="34" t="s">
        <v>925</v>
      </c>
    </row>
    <row r="242" spans="1:8" ht="33">
      <c r="A242" s="160">
        <v>2</v>
      </c>
      <c r="B242" s="160" t="s">
        <v>1014</v>
      </c>
      <c r="C242" s="157" t="s">
        <v>1</v>
      </c>
      <c r="D242" s="159">
        <v>0.1</v>
      </c>
      <c r="E242" s="159">
        <v>697.35</v>
      </c>
      <c r="F242" s="159">
        <v>69.739999999999995</v>
      </c>
      <c r="G242" s="160" t="s">
        <v>1015</v>
      </c>
      <c r="H242" s="34" t="s">
        <v>925</v>
      </c>
    </row>
    <row r="243" spans="1:8" ht="33">
      <c r="A243" s="160">
        <v>3</v>
      </c>
      <c r="B243" s="160" t="s">
        <v>1016</v>
      </c>
      <c r="C243" s="157" t="s">
        <v>1</v>
      </c>
      <c r="D243" s="159">
        <v>1</v>
      </c>
      <c r="E243" s="159">
        <v>199.24</v>
      </c>
      <c r="F243" s="159">
        <v>199.24</v>
      </c>
      <c r="G243" s="160" t="s">
        <v>1017</v>
      </c>
      <c r="H243" s="34" t="s">
        <v>925</v>
      </c>
    </row>
    <row r="244" spans="1:8" ht="33">
      <c r="A244" s="160">
        <v>4</v>
      </c>
      <c r="B244" s="160" t="s">
        <v>955</v>
      </c>
      <c r="C244" s="157" t="s">
        <v>14</v>
      </c>
      <c r="D244" s="159">
        <v>1</v>
      </c>
      <c r="E244" s="159">
        <v>17.48</v>
      </c>
      <c r="F244" s="159">
        <v>17.48</v>
      </c>
      <c r="G244" s="160" t="s">
        <v>956</v>
      </c>
      <c r="H244" s="34" t="s">
        <v>925</v>
      </c>
    </row>
    <row r="245" spans="1:8" ht="33">
      <c r="A245" s="160"/>
      <c r="B245" s="160" t="s">
        <v>933</v>
      </c>
      <c r="C245" s="157" t="s">
        <v>1</v>
      </c>
      <c r="D245" s="159">
        <v>1</v>
      </c>
      <c r="E245" s="159"/>
      <c r="F245" s="159">
        <v>600.27</v>
      </c>
      <c r="G245" s="160"/>
      <c r="H245" s="34" t="s">
        <v>925</v>
      </c>
    </row>
    <row r="246" spans="1:8" ht="16.5">
      <c r="A246" s="160"/>
      <c r="B246" s="160" t="s">
        <v>934</v>
      </c>
      <c r="C246" s="157" t="s">
        <v>1</v>
      </c>
      <c r="D246" s="159"/>
      <c r="E246" s="159"/>
      <c r="F246" s="159">
        <v>600.27</v>
      </c>
      <c r="G246" s="160"/>
    </row>
    <row r="247" spans="1:8" ht="33">
      <c r="A247" s="160"/>
      <c r="B247" s="160"/>
      <c r="C247" s="157"/>
      <c r="D247" s="159"/>
      <c r="E247" s="159"/>
      <c r="F247" s="159"/>
      <c r="G247" s="160"/>
      <c r="H247" s="34" t="s">
        <v>925</v>
      </c>
    </row>
    <row r="248" spans="1:8" ht="33">
      <c r="A248" s="160" t="s">
        <v>1071</v>
      </c>
      <c r="B248" s="160" t="s">
        <v>1019</v>
      </c>
      <c r="C248" s="157" t="s">
        <v>1</v>
      </c>
      <c r="D248" s="159">
        <v>20000</v>
      </c>
      <c r="E248" s="159">
        <v>138.47999999999999</v>
      </c>
      <c r="F248" s="159"/>
      <c r="G248" s="160" t="s">
        <v>1020</v>
      </c>
      <c r="H248" s="34" t="s">
        <v>925</v>
      </c>
    </row>
    <row r="249" spans="1:8" ht="33">
      <c r="A249" s="160">
        <v>1</v>
      </c>
      <c r="B249" s="160" t="s">
        <v>1021</v>
      </c>
      <c r="C249" s="157" t="s">
        <v>14</v>
      </c>
      <c r="D249" s="159">
        <v>1</v>
      </c>
      <c r="E249" s="159">
        <v>149432.76999999999</v>
      </c>
      <c r="F249" s="159">
        <v>149432.76999999999</v>
      </c>
      <c r="G249" s="160" t="s">
        <v>1022</v>
      </c>
      <c r="H249" s="34" t="s">
        <v>925</v>
      </c>
    </row>
    <row r="250" spans="1:8" ht="33">
      <c r="A250" s="160">
        <v>2</v>
      </c>
      <c r="B250" s="160" t="s">
        <v>1023</v>
      </c>
      <c r="C250" s="157" t="s">
        <v>1024</v>
      </c>
      <c r="D250" s="159">
        <v>1</v>
      </c>
      <c r="E250" s="159">
        <v>498109.24</v>
      </c>
      <c r="F250" s="159">
        <v>498109.24</v>
      </c>
      <c r="G250" s="160" t="s">
        <v>1025</v>
      </c>
      <c r="H250" s="34" t="s">
        <v>925</v>
      </c>
    </row>
    <row r="251" spans="1:8" ht="33">
      <c r="A251" s="160">
        <v>3</v>
      </c>
      <c r="B251" s="160" t="s">
        <v>1026</v>
      </c>
      <c r="C251" s="157" t="s">
        <v>14</v>
      </c>
      <c r="D251" s="159">
        <v>1</v>
      </c>
      <c r="E251" s="159">
        <v>99621.85</v>
      </c>
      <c r="F251" s="159">
        <v>99621.85</v>
      </c>
      <c r="G251" s="160" t="s">
        <v>1027</v>
      </c>
      <c r="H251" s="34" t="s">
        <v>925</v>
      </c>
    </row>
    <row r="252" spans="1:8" ht="33">
      <c r="A252" s="160">
        <v>4</v>
      </c>
      <c r="B252" s="160" t="s">
        <v>1028</v>
      </c>
      <c r="C252" s="157" t="s">
        <v>1024</v>
      </c>
      <c r="D252" s="159">
        <v>1</v>
      </c>
      <c r="E252" s="159">
        <v>278941.17</v>
      </c>
      <c r="F252" s="159">
        <v>278941.17</v>
      </c>
      <c r="G252" s="160" t="s">
        <v>1029</v>
      </c>
      <c r="H252" s="34" t="s">
        <v>925</v>
      </c>
    </row>
    <row r="253" spans="1:8" ht="33">
      <c r="A253" s="160">
        <v>5</v>
      </c>
      <c r="B253" s="160" t="s">
        <v>929</v>
      </c>
      <c r="C253" s="157" t="s">
        <v>927</v>
      </c>
      <c r="D253" s="159">
        <v>800</v>
      </c>
      <c r="E253" s="159">
        <v>1494.33</v>
      </c>
      <c r="F253" s="159">
        <v>1195464</v>
      </c>
      <c r="G253" s="160" t="s">
        <v>930</v>
      </c>
      <c r="H253" s="34" t="s">
        <v>925</v>
      </c>
    </row>
    <row r="254" spans="1:8" ht="42.75">
      <c r="A254" s="160">
        <v>6</v>
      </c>
      <c r="B254" s="160" t="s">
        <v>4881</v>
      </c>
      <c r="C254" s="157" t="s">
        <v>927</v>
      </c>
      <c r="D254" s="159">
        <v>800</v>
      </c>
      <c r="E254" s="159">
        <v>399.48</v>
      </c>
      <c r="F254" s="159">
        <v>319584</v>
      </c>
      <c r="G254" s="160" t="s">
        <v>4882</v>
      </c>
      <c r="H254" s="34" t="s">
        <v>925</v>
      </c>
    </row>
    <row r="255" spans="1:8" ht="33">
      <c r="A255" s="160">
        <v>7</v>
      </c>
      <c r="B255" s="160" t="s">
        <v>4871</v>
      </c>
      <c r="C255" s="157" t="s">
        <v>927</v>
      </c>
      <c r="D255" s="159">
        <v>350</v>
      </c>
      <c r="E255" s="159">
        <v>279.94</v>
      </c>
      <c r="F255" s="159">
        <v>97979</v>
      </c>
      <c r="G255" s="160" t="s">
        <v>4872</v>
      </c>
      <c r="H255" s="34" t="s">
        <v>925</v>
      </c>
    </row>
    <row r="256" spans="1:8" ht="33">
      <c r="A256" s="160">
        <v>8</v>
      </c>
      <c r="B256" s="160" t="s">
        <v>1030</v>
      </c>
      <c r="C256" s="157" t="s">
        <v>14</v>
      </c>
      <c r="D256" s="159">
        <v>1</v>
      </c>
      <c r="E256" s="159">
        <v>49810.92</v>
      </c>
      <c r="F256" s="159">
        <v>49810.92</v>
      </c>
      <c r="G256" s="160" t="s">
        <v>1031</v>
      </c>
      <c r="H256" s="34" t="s">
        <v>925</v>
      </c>
    </row>
    <row r="257" spans="1:8" ht="33">
      <c r="A257" s="160">
        <v>9</v>
      </c>
      <c r="B257" s="160" t="s">
        <v>931</v>
      </c>
      <c r="C257" s="157" t="s">
        <v>14</v>
      </c>
      <c r="D257" s="159">
        <v>1</v>
      </c>
      <c r="E257" s="159">
        <v>80668.289999999994</v>
      </c>
      <c r="F257" s="159">
        <v>80668.289999999994</v>
      </c>
      <c r="G257" s="160" t="s">
        <v>932</v>
      </c>
      <c r="H257" s="34" t="s">
        <v>925</v>
      </c>
    </row>
    <row r="258" spans="1:8" ht="33">
      <c r="A258" s="160"/>
      <c r="B258" s="160" t="s">
        <v>933</v>
      </c>
      <c r="C258" s="157" t="s">
        <v>1</v>
      </c>
      <c r="D258" s="159">
        <v>20000</v>
      </c>
      <c r="E258" s="159"/>
      <c r="F258" s="159">
        <v>2769611.24</v>
      </c>
      <c r="G258" s="160"/>
      <c r="H258" s="34" t="s">
        <v>925</v>
      </c>
    </row>
    <row r="259" spans="1:8" ht="33">
      <c r="A259" s="160"/>
      <c r="B259" s="160" t="s">
        <v>934</v>
      </c>
      <c r="C259" s="157" t="s">
        <v>1</v>
      </c>
      <c r="D259" s="159"/>
      <c r="E259" s="159"/>
      <c r="F259" s="159">
        <v>138.47999999999999</v>
      </c>
      <c r="G259" s="160"/>
      <c r="H259" s="34" t="s">
        <v>925</v>
      </c>
    </row>
    <row r="260" spans="1:8" ht="33">
      <c r="A260" s="160"/>
      <c r="B260" s="160"/>
      <c r="C260" s="157"/>
      <c r="D260" s="159"/>
      <c r="E260" s="159"/>
      <c r="F260" s="159"/>
      <c r="G260" s="160"/>
      <c r="H260" s="34" t="s">
        <v>925</v>
      </c>
    </row>
    <row r="261" spans="1:8" ht="33">
      <c r="A261" s="160" t="s">
        <v>1074</v>
      </c>
      <c r="B261" s="160" t="s">
        <v>1033</v>
      </c>
      <c r="C261" s="157" t="s">
        <v>17</v>
      </c>
      <c r="D261" s="159">
        <v>50</v>
      </c>
      <c r="E261" s="159">
        <v>60.55</v>
      </c>
      <c r="F261" s="159"/>
      <c r="G261" s="160" t="s">
        <v>1034</v>
      </c>
      <c r="H261" s="34" t="s">
        <v>925</v>
      </c>
    </row>
    <row r="262" spans="1:8" ht="28.5">
      <c r="A262" s="160">
        <v>1</v>
      </c>
      <c r="B262" s="160" t="s">
        <v>4871</v>
      </c>
      <c r="C262" s="157" t="s">
        <v>927</v>
      </c>
      <c r="D262" s="159">
        <v>10.5</v>
      </c>
      <c r="E262" s="159">
        <v>279.94</v>
      </c>
      <c r="F262" s="159">
        <v>2939.37</v>
      </c>
      <c r="G262" s="160" t="s">
        <v>4872</v>
      </c>
    </row>
    <row r="263" spans="1:8" ht="33">
      <c r="A263" s="160">
        <v>2</v>
      </c>
      <c r="B263" s="160" t="s">
        <v>931</v>
      </c>
      <c r="C263" s="157" t="s">
        <v>14</v>
      </c>
      <c r="D263" s="159">
        <v>1</v>
      </c>
      <c r="E263" s="159">
        <v>88.18</v>
      </c>
      <c r="F263" s="159">
        <v>88.18</v>
      </c>
      <c r="G263" s="160" t="s">
        <v>932</v>
      </c>
      <c r="H263" s="34" t="s">
        <v>925</v>
      </c>
    </row>
    <row r="264" spans="1:8" ht="33">
      <c r="A264" s="160"/>
      <c r="B264" s="160" t="s">
        <v>933</v>
      </c>
      <c r="C264" s="157" t="s">
        <v>17</v>
      </c>
      <c r="D264" s="159">
        <v>50</v>
      </c>
      <c r="E264" s="159"/>
      <c r="F264" s="159">
        <v>3027.5499999999997</v>
      </c>
      <c r="G264" s="160"/>
      <c r="H264" s="34" t="s">
        <v>925</v>
      </c>
    </row>
    <row r="265" spans="1:8" ht="33">
      <c r="A265" s="160"/>
      <c r="B265" s="160" t="s">
        <v>934</v>
      </c>
      <c r="C265" s="157" t="s">
        <v>17</v>
      </c>
      <c r="D265" s="159"/>
      <c r="E265" s="159"/>
      <c r="F265" s="159">
        <v>60.55</v>
      </c>
      <c r="G265" s="160"/>
      <c r="H265" s="34" t="s">
        <v>925</v>
      </c>
    </row>
    <row r="266" spans="1:8" ht="33">
      <c r="A266" s="160"/>
      <c r="B266" s="160"/>
      <c r="C266" s="157"/>
      <c r="D266" s="159"/>
      <c r="E266" s="159"/>
      <c r="F266" s="159"/>
      <c r="G266" s="160"/>
      <c r="H266" s="34" t="s">
        <v>925</v>
      </c>
    </row>
    <row r="267" spans="1:8" ht="33">
      <c r="A267" s="160" t="s">
        <v>1082</v>
      </c>
      <c r="B267" s="160" t="s">
        <v>1036</v>
      </c>
      <c r="C267" s="157" t="s">
        <v>3</v>
      </c>
      <c r="D267" s="159">
        <v>100</v>
      </c>
      <c r="E267" s="159">
        <v>15.06</v>
      </c>
      <c r="F267" s="159"/>
      <c r="G267" s="160" t="s">
        <v>1037</v>
      </c>
      <c r="H267" s="34" t="s">
        <v>925</v>
      </c>
    </row>
    <row r="268" spans="1:8" ht="33">
      <c r="A268" s="160">
        <v>1</v>
      </c>
      <c r="B268" s="160" t="s">
        <v>1038</v>
      </c>
      <c r="C268" s="157" t="s">
        <v>927</v>
      </c>
      <c r="D268" s="159">
        <v>1.2</v>
      </c>
      <c r="E268" s="159">
        <v>69.739999999999995</v>
      </c>
      <c r="F268" s="159">
        <v>83.69</v>
      </c>
      <c r="G268" s="160" t="s">
        <v>1039</v>
      </c>
      <c r="H268" s="34" t="s">
        <v>925</v>
      </c>
    </row>
    <row r="269" spans="1:8" ht="33">
      <c r="A269" s="160">
        <v>2</v>
      </c>
      <c r="B269" s="160" t="s">
        <v>4871</v>
      </c>
      <c r="C269" s="157" t="s">
        <v>927</v>
      </c>
      <c r="D269" s="159">
        <v>4.8</v>
      </c>
      <c r="E269" s="159">
        <v>279.94</v>
      </c>
      <c r="F269" s="159">
        <v>1343.71</v>
      </c>
      <c r="G269" s="160" t="s">
        <v>4872</v>
      </c>
      <c r="H269" s="34" t="s">
        <v>925</v>
      </c>
    </row>
    <row r="270" spans="1:8" ht="28.5">
      <c r="A270" s="160">
        <v>3</v>
      </c>
      <c r="B270" s="160" t="s">
        <v>1040</v>
      </c>
      <c r="C270" s="157" t="s">
        <v>14</v>
      </c>
      <c r="D270" s="159">
        <v>1</v>
      </c>
      <c r="E270" s="159">
        <v>34.869999999999997</v>
      </c>
      <c r="F270" s="159">
        <v>34.869999999999997</v>
      </c>
      <c r="G270" s="160" t="s">
        <v>1041</v>
      </c>
    </row>
    <row r="271" spans="1:8" ht="33">
      <c r="A271" s="160">
        <v>4</v>
      </c>
      <c r="B271" s="160" t="s">
        <v>931</v>
      </c>
      <c r="C271" s="157" t="s">
        <v>14</v>
      </c>
      <c r="D271" s="159">
        <v>1</v>
      </c>
      <c r="E271" s="159">
        <v>43.87</v>
      </c>
      <c r="F271" s="159">
        <v>43.87</v>
      </c>
      <c r="G271" s="160" t="s">
        <v>932</v>
      </c>
      <c r="H271" s="34" t="s">
        <v>925</v>
      </c>
    </row>
    <row r="272" spans="1:8" ht="33">
      <c r="A272" s="160"/>
      <c r="B272" s="160" t="s">
        <v>933</v>
      </c>
      <c r="C272" s="157" t="s">
        <v>3</v>
      </c>
      <c r="D272" s="159">
        <v>100</v>
      </c>
      <c r="E272" s="159"/>
      <c r="F272" s="159">
        <v>1506.1399999999999</v>
      </c>
      <c r="G272" s="160"/>
      <c r="H272" s="34" t="s">
        <v>925</v>
      </c>
    </row>
    <row r="273" spans="1:8" ht="33">
      <c r="A273" s="160"/>
      <c r="B273" s="160" t="s">
        <v>934</v>
      </c>
      <c r="C273" s="157" t="s">
        <v>3</v>
      </c>
      <c r="D273" s="159"/>
      <c r="E273" s="159"/>
      <c r="F273" s="159">
        <v>15.06</v>
      </c>
      <c r="G273" s="160"/>
      <c r="H273" s="34" t="s">
        <v>925</v>
      </c>
    </row>
    <row r="274" spans="1:8" ht="33">
      <c r="A274" s="160"/>
      <c r="B274" s="160"/>
      <c r="C274" s="157"/>
      <c r="D274" s="159"/>
      <c r="E274" s="159"/>
      <c r="F274" s="159"/>
      <c r="G274" s="160"/>
      <c r="H274" s="34" t="s">
        <v>925</v>
      </c>
    </row>
    <row r="275" spans="1:8" ht="33">
      <c r="A275" s="160" t="s">
        <v>1088</v>
      </c>
      <c r="B275" s="160" t="s">
        <v>454</v>
      </c>
      <c r="C275" s="157" t="s">
        <v>0</v>
      </c>
      <c r="D275" s="159">
        <v>1</v>
      </c>
      <c r="E275" s="159">
        <v>306.83999999999997</v>
      </c>
      <c r="F275" s="159"/>
      <c r="G275" s="160" t="s">
        <v>1043</v>
      </c>
      <c r="H275" s="34" t="s">
        <v>925</v>
      </c>
    </row>
    <row r="276" spans="1:8" ht="33">
      <c r="A276" s="160">
        <v>1</v>
      </c>
      <c r="B276" s="160" t="s">
        <v>4871</v>
      </c>
      <c r="C276" s="157" t="s">
        <v>927</v>
      </c>
      <c r="D276" s="159">
        <v>1</v>
      </c>
      <c r="E276" s="159">
        <v>279.94</v>
      </c>
      <c r="F276" s="159">
        <v>279.94</v>
      </c>
      <c r="G276" s="160" t="s">
        <v>4872</v>
      </c>
      <c r="H276" s="34" t="s">
        <v>925</v>
      </c>
    </row>
    <row r="277" spans="1:8" ht="33">
      <c r="A277" s="160">
        <v>2</v>
      </c>
      <c r="B277" s="160" t="s">
        <v>1044</v>
      </c>
      <c r="C277" s="157" t="s">
        <v>14</v>
      </c>
      <c r="D277" s="159">
        <v>1</v>
      </c>
      <c r="E277" s="159">
        <v>19.920000000000002</v>
      </c>
      <c r="F277" s="159">
        <v>19.920000000000002</v>
      </c>
      <c r="G277" s="160" t="s">
        <v>1045</v>
      </c>
      <c r="H277" s="34" t="s">
        <v>925</v>
      </c>
    </row>
    <row r="278" spans="1:8" ht="33">
      <c r="A278" s="160">
        <v>3</v>
      </c>
      <c r="B278" s="160" t="s">
        <v>931</v>
      </c>
      <c r="C278" s="157" t="s">
        <v>14</v>
      </c>
      <c r="D278" s="159">
        <v>1</v>
      </c>
      <c r="E278" s="159">
        <v>6.98</v>
      </c>
      <c r="F278" s="159">
        <v>6.98</v>
      </c>
      <c r="G278" s="160" t="s">
        <v>1046</v>
      </c>
      <c r="H278" s="34" t="s">
        <v>925</v>
      </c>
    </row>
    <row r="279" spans="1:8" ht="16.5">
      <c r="A279" s="160"/>
      <c r="B279" s="160" t="s">
        <v>933</v>
      </c>
      <c r="C279" s="157" t="s">
        <v>0</v>
      </c>
      <c r="D279" s="159">
        <v>1</v>
      </c>
      <c r="E279" s="159"/>
      <c r="F279" s="159">
        <v>306.84000000000003</v>
      </c>
      <c r="G279" s="160"/>
    </row>
    <row r="280" spans="1:8" ht="33">
      <c r="A280" s="160"/>
      <c r="B280" s="160" t="s">
        <v>934</v>
      </c>
      <c r="C280" s="157" t="s">
        <v>0</v>
      </c>
      <c r="D280" s="159"/>
      <c r="E280" s="159"/>
      <c r="F280" s="159">
        <v>306.83999999999997</v>
      </c>
      <c r="G280" s="160"/>
      <c r="H280" s="34" t="s">
        <v>925</v>
      </c>
    </row>
    <row r="281" spans="1:8" ht="33">
      <c r="A281" s="160"/>
      <c r="B281" s="160"/>
      <c r="C281" s="157"/>
      <c r="D281" s="159"/>
      <c r="E281" s="159"/>
      <c r="F281" s="159"/>
      <c r="G281" s="160"/>
      <c r="H281" s="34" t="s">
        <v>925</v>
      </c>
    </row>
    <row r="282" spans="1:8" ht="33">
      <c r="A282" s="160" t="s">
        <v>1090</v>
      </c>
      <c r="B282" s="160" t="s">
        <v>1048</v>
      </c>
      <c r="C282" s="157" t="s">
        <v>15</v>
      </c>
      <c r="D282" s="159">
        <v>100</v>
      </c>
      <c r="E282" s="159">
        <v>58.17</v>
      </c>
      <c r="F282" s="159"/>
      <c r="G282" s="160" t="s">
        <v>1049</v>
      </c>
      <c r="H282" s="34" t="s">
        <v>925</v>
      </c>
    </row>
    <row r="283" spans="1:8" ht="33">
      <c r="A283" s="160">
        <v>1</v>
      </c>
      <c r="B283" s="160" t="s">
        <v>1050</v>
      </c>
      <c r="C283" s="157" t="s">
        <v>927</v>
      </c>
      <c r="D283" s="159">
        <v>0.48</v>
      </c>
      <c r="E283" s="159">
        <v>1394.71</v>
      </c>
      <c r="F283" s="159">
        <v>669.46</v>
      </c>
      <c r="G283" s="160" t="s">
        <v>1051</v>
      </c>
      <c r="H283" s="34" t="s">
        <v>925</v>
      </c>
    </row>
    <row r="284" spans="1:8" ht="33">
      <c r="A284" s="160">
        <v>2</v>
      </c>
      <c r="B284" s="160" t="s">
        <v>1052</v>
      </c>
      <c r="C284" s="157" t="s">
        <v>927</v>
      </c>
      <c r="D284" s="159">
        <v>0.53</v>
      </c>
      <c r="E284" s="159">
        <v>1145.6500000000001</v>
      </c>
      <c r="F284" s="159">
        <v>607.19000000000005</v>
      </c>
      <c r="G284" s="160" t="s">
        <v>1053</v>
      </c>
      <c r="H284" s="34" t="s">
        <v>925</v>
      </c>
    </row>
    <row r="285" spans="1:8" ht="33">
      <c r="A285" s="160">
        <v>3</v>
      </c>
      <c r="B285" s="160" t="s">
        <v>1054</v>
      </c>
      <c r="C285" s="157" t="s">
        <v>927</v>
      </c>
      <c r="D285" s="159">
        <v>0.68</v>
      </c>
      <c r="E285" s="159">
        <v>1155.6099999999999</v>
      </c>
      <c r="F285" s="159">
        <v>785.81</v>
      </c>
      <c r="G285" s="160" t="s">
        <v>1055</v>
      </c>
      <c r="H285" s="34" t="s">
        <v>925</v>
      </c>
    </row>
    <row r="286" spans="1:8" ht="33">
      <c r="A286" s="160">
        <v>4</v>
      </c>
      <c r="B286" s="160" t="s">
        <v>1056</v>
      </c>
      <c r="C286" s="157" t="s">
        <v>927</v>
      </c>
      <c r="D286" s="159">
        <v>1.25</v>
      </c>
      <c r="E286" s="159">
        <v>769.08</v>
      </c>
      <c r="F286" s="159">
        <v>961.35</v>
      </c>
      <c r="G286" s="160" t="s">
        <v>1057</v>
      </c>
      <c r="H286" s="34" t="s">
        <v>925</v>
      </c>
    </row>
    <row r="287" spans="1:8" ht="28.5">
      <c r="A287" s="160">
        <v>5</v>
      </c>
      <c r="B287" s="160" t="s">
        <v>1058</v>
      </c>
      <c r="C287" s="157" t="s">
        <v>927</v>
      </c>
      <c r="D287" s="159">
        <v>0.4</v>
      </c>
      <c r="E287" s="159">
        <v>62.76</v>
      </c>
      <c r="F287" s="159">
        <v>25.1</v>
      </c>
      <c r="G287" s="160" t="s">
        <v>1059</v>
      </c>
    </row>
    <row r="288" spans="1:8" ht="42.75">
      <c r="A288" s="160">
        <v>6</v>
      </c>
      <c r="B288" s="160" t="s">
        <v>4883</v>
      </c>
      <c r="C288" s="157" t="s">
        <v>927</v>
      </c>
      <c r="D288" s="159">
        <v>0.48</v>
      </c>
      <c r="E288" s="159">
        <v>399.48</v>
      </c>
      <c r="F288" s="159">
        <v>191.75</v>
      </c>
      <c r="G288" s="160" t="s">
        <v>4884</v>
      </c>
      <c r="H288" s="34" t="s">
        <v>925</v>
      </c>
    </row>
    <row r="289" spans="1:8" ht="42.75">
      <c r="A289" s="160">
        <v>7</v>
      </c>
      <c r="B289" s="160" t="s">
        <v>4885</v>
      </c>
      <c r="C289" s="157" t="s">
        <v>927</v>
      </c>
      <c r="D289" s="159">
        <v>1.21</v>
      </c>
      <c r="E289" s="159">
        <v>399.48</v>
      </c>
      <c r="F289" s="159">
        <v>483.37</v>
      </c>
      <c r="G289" s="160" t="s">
        <v>4886</v>
      </c>
      <c r="H289" s="34" t="s">
        <v>925</v>
      </c>
    </row>
    <row r="290" spans="1:8" ht="33">
      <c r="A290" s="160">
        <v>8</v>
      </c>
      <c r="B290" s="160" t="s">
        <v>1060</v>
      </c>
      <c r="C290" s="157" t="s">
        <v>927</v>
      </c>
      <c r="D290" s="159">
        <v>1.25</v>
      </c>
      <c r="E290" s="159">
        <v>399.48</v>
      </c>
      <c r="F290" s="159">
        <v>499.35</v>
      </c>
      <c r="G290" s="160" t="s">
        <v>1061</v>
      </c>
      <c r="H290" s="34" t="s">
        <v>925</v>
      </c>
    </row>
    <row r="291" spans="1:8" ht="33">
      <c r="A291" s="160">
        <v>9</v>
      </c>
      <c r="B291" s="160" t="s">
        <v>1062</v>
      </c>
      <c r="C291" s="157" t="s">
        <v>927</v>
      </c>
      <c r="D291" s="159">
        <v>0.4</v>
      </c>
      <c r="E291" s="159">
        <v>399.48</v>
      </c>
      <c r="F291" s="159">
        <v>159.79</v>
      </c>
      <c r="G291" s="160" t="s">
        <v>1063</v>
      </c>
      <c r="H291" s="34" t="s">
        <v>925</v>
      </c>
    </row>
    <row r="292" spans="1:8" ht="33">
      <c r="A292" s="160">
        <v>10</v>
      </c>
      <c r="B292" s="160" t="s">
        <v>4871</v>
      </c>
      <c r="C292" s="157" t="s">
        <v>927</v>
      </c>
      <c r="D292" s="159">
        <v>0.96</v>
      </c>
      <c r="E292" s="159">
        <v>279.94</v>
      </c>
      <c r="F292" s="159">
        <v>268.74</v>
      </c>
      <c r="G292" s="160" t="s">
        <v>4872</v>
      </c>
      <c r="H292" s="34" t="s">
        <v>925</v>
      </c>
    </row>
    <row r="293" spans="1:8" ht="33">
      <c r="A293" s="160">
        <v>11</v>
      </c>
      <c r="B293" s="160" t="s">
        <v>1064</v>
      </c>
      <c r="C293" s="157" t="s">
        <v>15</v>
      </c>
      <c r="D293" s="159">
        <v>100</v>
      </c>
      <c r="E293" s="159">
        <v>9.9600000000000009</v>
      </c>
      <c r="F293" s="159">
        <v>996</v>
      </c>
      <c r="G293" s="160" t="s">
        <v>1065</v>
      </c>
      <c r="H293" s="34" t="s">
        <v>925</v>
      </c>
    </row>
    <row r="294" spans="1:8" ht="33">
      <c r="A294" s="160">
        <v>12</v>
      </c>
      <c r="B294" s="160" t="s">
        <v>931</v>
      </c>
      <c r="C294" s="157" t="s">
        <v>14</v>
      </c>
      <c r="D294" s="159">
        <v>1</v>
      </c>
      <c r="E294" s="159">
        <v>169.44</v>
      </c>
      <c r="F294" s="159">
        <v>169.44</v>
      </c>
      <c r="G294" s="160" t="s">
        <v>932</v>
      </c>
      <c r="H294" s="34" t="s">
        <v>925</v>
      </c>
    </row>
    <row r="295" spans="1:8" ht="16.5">
      <c r="A295" s="160"/>
      <c r="B295" s="160" t="s">
        <v>933</v>
      </c>
      <c r="C295" s="157" t="s">
        <v>15</v>
      </c>
      <c r="D295" s="159">
        <v>100</v>
      </c>
      <c r="E295" s="159"/>
      <c r="F295" s="159">
        <v>5817.3499999999995</v>
      </c>
      <c r="G295" s="160"/>
    </row>
    <row r="296" spans="1:8" ht="33">
      <c r="A296" s="160"/>
      <c r="B296" s="160" t="s">
        <v>934</v>
      </c>
      <c r="C296" s="157" t="s">
        <v>15</v>
      </c>
      <c r="D296" s="159"/>
      <c r="E296" s="159"/>
      <c r="F296" s="159">
        <v>58.17</v>
      </c>
      <c r="G296" s="160"/>
      <c r="H296" s="34" t="s">
        <v>925</v>
      </c>
    </row>
    <row r="297" spans="1:8" ht="33">
      <c r="A297" s="160"/>
      <c r="B297" s="160"/>
      <c r="C297" s="157"/>
      <c r="D297" s="159"/>
      <c r="E297" s="159"/>
      <c r="F297" s="159"/>
      <c r="G297" s="160"/>
      <c r="H297" s="34" t="s">
        <v>925</v>
      </c>
    </row>
    <row r="298" spans="1:8" ht="33">
      <c r="A298" s="160" t="s">
        <v>1095</v>
      </c>
      <c r="B298" s="160" t="s">
        <v>1067</v>
      </c>
      <c r="C298" s="157" t="s">
        <v>15</v>
      </c>
      <c r="D298" s="159">
        <v>1</v>
      </c>
      <c r="E298" s="159">
        <v>325.69</v>
      </c>
      <c r="F298" s="159"/>
      <c r="G298" s="160" t="s">
        <v>1068</v>
      </c>
      <c r="H298" s="34" t="s">
        <v>925</v>
      </c>
    </row>
    <row r="299" spans="1:8" ht="33">
      <c r="A299" s="160">
        <v>1</v>
      </c>
      <c r="B299" s="160" t="s">
        <v>4871</v>
      </c>
      <c r="C299" s="157" t="s">
        <v>927</v>
      </c>
      <c r="D299" s="159">
        <v>0.8</v>
      </c>
      <c r="E299" s="159">
        <v>279.94</v>
      </c>
      <c r="F299" s="159">
        <v>223.95</v>
      </c>
      <c r="G299" s="160" t="s">
        <v>4876</v>
      </c>
      <c r="H299" s="34" t="s">
        <v>925</v>
      </c>
    </row>
    <row r="300" spans="1:8" ht="33">
      <c r="A300" s="160">
        <v>2</v>
      </c>
      <c r="B300" s="160" t="s">
        <v>1069</v>
      </c>
      <c r="C300" s="157" t="s">
        <v>927</v>
      </c>
      <c r="D300" s="159">
        <v>0.2</v>
      </c>
      <c r="E300" s="159">
        <v>61.77</v>
      </c>
      <c r="F300" s="159">
        <v>12.35</v>
      </c>
      <c r="G300" s="160" t="s">
        <v>1070</v>
      </c>
      <c r="H300" s="34" t="s">
        <v>925</v>
      </c>
    </row>
    <row r="301" spans="1:8" ht="42.75">
      <c r="A301" s="160">
        <v>3</v>
      </c>
      <c r="B301" s="160" t="s">
        <v>4887</v>
      </c>
      <c r="C301" s="157" t="s">
        <v>927</v>
      </c>
      <c r="D301" s="159">
        <v>0.2</v>
      </c>
      <c r="E301" s="159">
        <v>399.48</v>
      </c>
      <c r="F301" s="159">
        <v>79.900000000000006</v>
      </c>
      <c r="G301" s="160" t="s">
        <v>4888</v>
      </c>
      <c r="H301" s="34" t="s">
        <v>925</v>
      </c>
    </row>
    <row r="302" spans="1:8" ht="33">
      <c r="A302" s="160">
        <v>4</v>
      </c>
      <c r="B302" s="160" t="s">
        <v>931</v>
      </c>
      <c r="C302" s="157" t="s">
        <v>14</v>
      </c>
      <c r="D302" s="159">
        <v>1</v>
      </c>
      <c r="E302" s="159">
        <v>9.49</v>
      </c>
      <c r="F302" s="159">
        <v>9.49</v>
      </c>
      <c r="G302" s="160" t="s">
        <v>932</v>
      </c>
      <c r="H302" s="34" t="s">
        <v>925</v>
      </c>
    </row>
    <row r="303" spans="1:8" ht="16.5">
      <c r="A303" s="160"/>
      <c r="B303" s="160" t="s">
        <v>933</v>
      </c>
      <c r="C303" s="157" t="s">
        <v>15</v>
      </c>
      <c r="D303" s="159">
        <v>1</v>
      </c>
      <c r="E303" s="159"/>
      <c r="F303" s="159">
        <v>325.69</v>
      </c>
      <c r="G303" s="160"/>
    </row>
    <row r="304" spans="1:8" ht="33">
      <c r="A304" s="160"/>
      <c r="B304" s="160" t="s">
        <v>934</v>
      </c>
      <c r="C304" s="157" t="s">
        <v>15</v>
      </c>
      <c r="D304" s="159"/>
      <c r="E304" s="159"/>
      <c r="F304" s="159">
        <v>325.69</v>
      </c>
      <c r="G304" s="160"/>
      <c r="H304" s="34" t="s">
        <v>925</v>
      </c>
    </row>
    <row r="305" spans="1:8" ht="33">
      <c r="A305" s="160"/>
      <c r="B305" s="160"/>
      <c r="C305" s="157"/>
      <c r="D305" s="159"/>
      <c r="E305" s="159"/>
      <c r="F305" s="159"/>
      <c r="G305" s="160"/>
      <c r="H305" s="34" t="s">
        <v>925</v>
      </c>
    </row>
    <row r="306" spans="1:8" ht="33">
      <c r="A306" s="160" t="s">
        <v>1098</v>
      </c>
      <c r="B306" s="160" t="s">
        <v>1072</v>
      </c>
      <c r="C306" s="157" t="s">
        <v>0</v>
      </c>
      <c r="D306" s="159">
        <v>100</v>
      </c>
      <c r="E306" s="159">
        <v>105.08</v>
      </c>
      <c r="F306" s="159"/>
      <c r="G306" s="160" t="s">
        <v>1073</v>
      </c>
      <c r="H306" s="34" t="s">
        <v>925</v>
      </c>
    </row>
    <row r="307" spans="1:8" ht="33">
      <c r="A307" s="160">
        <v>1</v>
      </c>
      <c r="B307" s="160" t="s">
        <v>929</v>
      </c>
      <c r="C307" s="157" t="s">
        <v>927</v>
      </c>
      <c r="D307" s="159">
        <v>2.5</v>
      </c>
      <c r="E307" s="159">
        <v>1494.33</v>
      </c>
      <c r="F307" s="159">
        <v>3735.83</v>
      </c>
      <c r="G307" s="160" t="s">
        <v>930</v>
      </c>
      <c r="H307" s="34" t="s">
        <v>925</v>
      </c>
    </row>
    <row r="308" spans="1:8" ht="42.75">
      <c r="A308" s="160">
        <v>2</v>
      </c>
      <c r="B308" s="160" t="s">
        <v>4869</v>
      </c>
      <c r="C308" s="157" t="s">
        <v>927</v>
      </c>
      <c r="D308" s="159">
        <v>2.5</v>
      </c>
      <c r="E308" s="159">
        <v>399.48</v>
      </c>
      <c r="F308" s="159">
        <v>998.7</v>
      </c>
      <c r="G308" s="160" t="s">
        <v>4870</v>
      </c>
      <c r="H308" s="34" t="s">
        <v>925</v>
      </c>
    </row>
    <row r="309" spans="1:8" ht="33">
      <c r="A309" s="160">
        <v>3</v>
      </c>
      <c r="B309" s="160" t="s">
        <v>1069</v>
      </c>
      <c r="C309" s="157" t="s">
        <v>927</v>
      </c>
      <c r="D309" s="159">
        <v>16</v>
      </c>
      <c r="E309" s="159">
        <v>61.77</v>
      </c>
      <c r="F309" s="159">
        <v>988.32</v>
      </c>
      <c r="G309" s="160" t="s">
        <v>1070</v>
      </c>
      <c r="H309" s="34" t="s">
        <v>925</v>
      </c>
    </row>
    <row r="310" spans="1:8" ht="33">
      <c r="A310" s="160">
        <v>4</v>
      </c>
      <c r="B310" s="160" t="s">
        <v>4871</v>
      </c>
      <c r="C310" s="157" t="s">
        <v>927</v>
      </c>
      <c r="D310" s="159">
        <v>16</v>
      </c>
      <c r="E310" s="159">
        <v>279.94</v>
      </c>
      <c r="F310" s="159">
        <v>4479.04</v>
      </c>
      <c r="G310" s="160" t="s">
        <v>4872</v>
      </c>
      <c r="H310" s="34" t="s">
        <v>925</v>
      </c>
    </row>
    <row r="311" spans="1:8" ht="28.5">
      <c r="A311" s="160">
        <v>5</v>
      </c>
      <c r="B311" s="160" t="s">
        <v>931</v>
      </c>
      <c r="C311" s="157" t="s">
        <v>14</v>
      </c>
      <c r="D311" s="159">
        <v>1</v>
      </c>
      <c r="E311" s="159">
        <v>306.06</v>
      </c>
      <c r="F311" s="159">
        <v>306.06</v>
      </c>
      <c r="G311" s="160" t="s">
        <v>932</v>
      </c>
    </row>
    <row r="312" spans="1:8" ht="33">
      <c r="A312" s="160"/>
      <c r="B312" s="160" t="s">
        <v>933</v>
      </c>
      <c r="C312" s="157" t="s">
        <v>0</v>
      </c>
      <c r="D312" s="159">
        <v>100</v>
      </c>
      <c r="E312" s="159"/>
      <c r="F312" s="159">
        <v>10507.949999999999</v>
      </c>
      <c r="G312" s="160"/>
      <c r="H312" s="34" t="s">
        <v>925</v>
      </c>
    </row>
    <row r="313" spans="1:8" ht="33">
      <c r="A313" s="160"/>
      <c r="B313" s="160" t="s">
        <v>934</v>
      </c>
      <c r="C313" s="157" t="s">
        <v>0</v>
      </c>
      <c r="D313" s="159"/>
      <c r="E313" s="159"/>
      <c r="F313" s="159">
        <v>105.08</v>
      </c>
      <c r="G313" s="160"/>
      <c r="H313" s="34" t="s">
        <v>925</v>
      </c>
    </row>
    <row r="314" spans="1:8" ht="33">
      <c r="A314" s="160"/>
      <c r="B314" s="160"/>
      <c r="C314" s="157"/>
      <c r="D314" s="159"/>
      <c r="E314" s="159"/>
      <c r="F314" s="159"/>
      <c r="G314" s="160"/>
      <c r="H314" s="34" t="s">
        <v>925</v>
      </c>
    </row>
    <row r="315" spans="1:8" ht="42.75">
      <c r="A315" s="160" t="s">
        <v>1103</v>
      </c>
      <c r="B315" s="160" t="s">
        <v>543</v>
      </c>
      <c r="C315" s="157" t="s">
        <v>1</v>
      </c>
      <c r="D315" s="159">
        <v>100</v>
      </c>
      <c r="E315" s="159">
        <v>1191.51</v>
      </c>
      <c r="F315" s="159"/>
      <c r="G315" s="160" t="s">
        <v>1075</v>
      </c>
      <c r="H315" s="34" t="s">
        <v>925</v>
      </c>
    </row>
    <row r="316" spans="1:8" ht="33">
      <c r="A316" s="160">
        <v>1</v>
      </c>
      <c r="B316" s="160" t="s">
        <v>1076</v>
      </c>
      <c r="C316" s="157" t="s">
        <v>927</v>
      </c>
      <c r="D316" s="159">
        <v>120</v>
      </c>
      <c r="E316" s="159">
        <v>398.49</v>
      </c>
      <c r="F316" s="159">
        <v>47818.8</v>
      </c>
      <c r="G316" s="160" t="s">
        <v>1077</v>
      </c>
      <c r="H316" s="34" t="s">
        <v>925</v>
      </c>
    </row>
    <row r="317" spans="1:8" ht="33">
      <c r="A317" s="160">
        <v>2</v>
      </c>
      <c r="B317" s="160" t="s">
        <v>1078</v>
      </c>
      <c r="C317" s="157" t="s">
        <v>927</v>
      </c>
      <c r="D317" s="159">
        <v>120</v>
      </c>
      <c r="E317" s="159">
        <v>399.48</v>
      </c>
      <c r="F317" s="159">
        <v>47937.599999999999</v>
      </c>
      <c r="G317" s="160" t="s">
        <v>1079</v>
      </c>
      <c r="H317" s="34" t="s">
        <v>925</v>
      </c>
    </row>
    <row r="318" spans="1:8" ht="28.5">
      <c r="A318" s="160">
        <v>3</v>
      </c>
      <c r="B318" s="160" t="s">
        <v>1080</v>
      </c>
      <c r="C318" s="157" t="s">
        <v>1</v>
      </c>
      <c r="D318" s="159">
        <v>100</v>
      </c>
      <c r="E318" s="159">
        <v>199.24</v>
      </c>
      <c r="F318" s="159">
        <v>19924</v>
      </c>
      <c r="G318" s="160" t="s">
        <v>1081</v>
      </c>
    </row>
    <row r="319" spans="1:8" ht="33">
      <c r="A319" s="160">
        <v>4</v>
      </c>
      <c r="B319" s="160" t="s">
        <v>931</v>
      </c>
      <c r="C319" s="157" t="s">
        <v>14</v>
      </c>
      <c r="D319" s="159">
        <v>1</v>
      </c>
      <c r="E319" s="159">
        <v>3470.41</v>
      </c>
      <c r="F319" s="159">
        <v>3470.41</v>
      </c>
      <c r="G319" s="160" t="s">
        <v>932</v>
      </c>
      <c r="H319" s="34" t="s">
        <v>925</v>
      </c>
    </row>
    <row r="320" spans="1:8" ht="33">
      <c r="A320" s="160"/>
      <c r="B320" s="160" t="s">
        <v>933</v>
      </c>
      <c r="C320" s="157" t="s">
        <v>1</v>
      </c>
      <c r="D320" s="159">
        <v>100</v>
      </c>
      <c r="E320" s="159"/>
      <c r="F320" s="159">
        <v>119150.81</v>
      </c>
      <c r="G320" s="160"/>
      <c r="H320" s="34" t="s">
        <v>925</v>
      </c>
    </row>
    <row r="321" spans="1:8" ht="33">
      <c r="A321" s="160"/>
      <c r="B321" s="160" t="s">
        <v>934</v>
      </c>
      <c r="C321" s="157" t="s">
        <v>1</v>
      </c>
      <c r="D321" s="159"/>
      <c r="E321" s="159"/>
      <c r="F321" s="159">
        <v>1191.51</v>
      </c>
      <c r="G321" s="160"/>
      <c r="H321" s="34" t="s">
        <v>925</v>
      </c>
    </row>
    <row r="322" spans="1:8" ht="33">
      <c r="A322" s="160"/>
      <c r="B322" s="160"/>
      <c r="C322" s="157"/>
      <c r="D322" s="159"/>
      <c r="E322" s="159"/>
      <c r="F322" s="159"/>
      <c r="G322" s="160"/>
      <c r="H322" s="34" t="s">
        <v>925</v>
      </c>
    </row>
    <row r="323" spans="1:8" ht="33">
      <c r="A323" s="160" t="s">
        <v>1110</v>
      </c>
      <c r="B323" s="160" t="s">
        <v>3971</v>
      </c>
      <c r="C323" s="157" t="s">
        <v>1</v>
      </c>
      <c r="D323" s="159">
        <v>100</v>
      </c>
      <c r="E323" s="159">
        <v>1067.76</v>
      </c>
      <c r="F323" s="159"/>
      <c r="G323" s="160" t="s">
        <v>4016</v>
      </c>
      <c r="H323" s="34" t="s">
        <v>925</v>
      </c>
    </row>
    <row r="324" spans="1:8" ht="33">
      <c r="A324" s="160">
        <v>1</v>
      </c>
      <c r="B324" s="160" t="s">
        <v>4017</v>
      </c>
      <c r="C324" s="157" t="s">
        <v>927</v>
      </c>
      <c r="D324" s="159">
        <v>60</v>
      </c>
      <c r="E324" s="159">
        <v>996.22</v>
      </c>
      <c r="F324" s="159">
        <v>59773.2</v>
      </c>
      <c r="G324" s="160" t="s">
        <v>4018</v>
      </c>
      <c r="H324" s="34" t="s">
        <v>925</v>
      </c>
    </row>
    <row r="325" spans="1:8" ht="33">
      <c r="A325" s="160">
        <v>2</v>
      </c>
      <c r="B325" s="160" t="s">
        <v>1086</v>
      </c>
      <c r="C325" s="157" t="s">
        <v>927</v>
      </c>
      <c r="D325" s="159">
        <v>60</v>
      </c>
      <c r="E325" s="159">
        <v>399.48</v>
      </c>
      <c r="F325" s="159">
        <v>23968.799999999999</v>
      </c>
      <c r="G325" s="160" t="s">
        <v>1087</v>
      </c>
      <c r="H325" s="34" t="s">
        <v>925</v>
      </c>
    </row>
    <row r="326" spans="1:8" ht="28.5">
      <c r="A326" s="160">
        <v>3</v>
      </c>
      <c r="B326" s="160" t="s">
        <v>1080</v>
      </c>
      <c r="C326" s="157" t="s">
        <v>1</v>
      </c>
      <c r="D326" s="159">
        <v>100</v>
      </c>
      <c r="E326" s="159">
        <v>199.24</v>
      </c>
      <c r="F326" s="159">
        <v>19924</v>
      </c>
      <c r="G326" s="160" t="s">
        <v>1081</v>
      </c>
    </row>
    <row r="327" spans="1:8" ht="33">
      <c r="A327" s="160">
        <v>4</v>
      </c>
      <c r="B327" s="160" t="s">
        <v>931</v>
      </c>
      <c r="C327" s="157" t="s">
        <v>14</v>
      </c>
      <c r="D327" s="159">
        <v>1</v>
      </c>
      <c r="E327" s="159">
        <v>3109.98</v>
      </c>
      <c r="F327" s="159">
        <v>3109.98</v>
      </c>
      <c r="G327" s="160" t="s">
        <v>932</v>
      </c>
      <c r="H327" s="34" t="s">
        <v>925</v>
      </c>
    </row>
    <row r="328" spans="1:8" ht="33">
      <c r="A328" s="160"/>
      <c r="B328" s="160" t="s">
        <v>933</v>
      </c>
      <c r="C328" s="157" t="s">
        <v>1</v>
      </c>
      <c r="D328" s="159">
        <v>100</v>
      </c>
      <c r="E328" s="159"/>
      <c r="F328" s="159">
        <v>106775.98</v>
      </c>
      <c r="G328" s="160"/>
      <c r="H328" s="34" t="s">
        <v>925</v>
      </c>
    </row>
    <row r="329" spans="1:8" ht="33">
      <c r="A329" s="160"/>
      <c r="B329" s="160" t="s">
        <v>934</v>
      </c>
      <c r="C329" s="157" t="s">
        <v>1</v>
      </c>
      <c r="D329" s="159"/>
      <c r="E329" s="159"/>
      <c r="F329" s="159">
        <v>1067.76</v>
      </c>
      <c r="G329" s="160"/>
      <c r="H329" s="34" t="s">
        <v>925</v>
      </c>
    </row>
    <row r="330" spans="1:8" ht="33">
      <c r="A330" s="160"/>
      <c r="B330" s="160"/>
      <c r="C330" s="157"/>
      <c r="D330" s="159"/>
      <c r="E330" s="159"/>
      <c r="F330" s="159"/>
      <c r="G330" s="160"/>
      <c r="H330" s="34" t="s">
        <v>925</v>
      </c>
    </row>
    <row r="331" spans="1:8" ht="33">
      <c r="A331" s="160" t="s">
        <v>1117</v>
      </c>
      <c r="B331" s="160" t="s">
        <v>26</v>
      </c>
      <c r="C331" s="157" t="s">
        <v>1</v>
      </c>
      <c r="D331" s="159">
        <v>100</v>
      </c>
      <c r="E331" s="159">
        <v>713.77</v>
      </c>
      <c r="F331" s="159"/>
      <c r="G331" s="160" t="s">
        <v>1089</v>
      </c>
      <c r="H331" s="34" t="s">
        <v>925</v>
      </c>
    </row>
    <row r="332" spans="1:8" ht="33">
      <c r="A332" s="160">
        <v>1</v>
      </c>
      <c r="B332" s="160" t="s">
        <v>997</v>
      </c>
      <c r="C332" s="157" t="s">
        <v>927</v>
      </c>
      <c r="D332" s="159">
        <v>31.75</v>
      </c>
      <c r="E332" s="159">
        <v>1155.6099999999999</v>
      </c>
      <c r="F332" s="159">
        <v>36690.620000000003</v>
      </c>
      <c r="G332" s="160" t="s">
        <v>998</v>
      </c>
      <c r="H332" s="34" t="s">
        <v>925</v>
      </c>
    </row>
    <row r="333" spans="1:8" ht="33">
      <c r="A333" s="160">
        <v>2</v>
      </c>
      <c r="B333" s="160" t="s">
        <v>1086</v>
      </c>
      <c r="C333" s="157" t="s">
        <v>927</v>
      </c>
      <c r="D333" s="159">
        <v>31.75</v>
      </c>
      <c r="E333" s="159">
        <v>399.48</v>
      </c>
      <c r="F333" s="159">
        <v>12683.49</v>
      </c>
      <c r="G333" s="160" t="s">
        <v>1087</v>
      </c>
      <c r="H333" s="34" t="s">
        <v>925</v>
      </c>
    </row>
    <row r="334" spans="1:8" ht="33">
      <c r="A334" s="160">
        <v>3</v>
      </c>
      <c r="B334" s="160" t="s">
        <v>1080</v>
      </c>
      <c r="C334" s="157" t="s">
        <v>1</v>
      </c>
      <c r="D334" s="159">
        <v>100</v>
      </c>
      <c r="E334" s="159">
        <v>199.24</v>
      </c>
      <c r="F334" s="159">
        <v>19924</v>
      </c>
      <c r="G334" s="160" t="s">
        <v>1081</v>
      </c>
      <c r="H334" s="34" t="s">
        <v>925</v>
      </c>
    </row>
    <row r="335" spans="1:8" ht="28.5">
      <c r="A335" s="160">
        <v>4</v>
      </c>
      <c r="B335" s="160" t="s">
        <v>931</v>
      </c>
      <c r="C335" s="157" t="s">
        <v>14</v>
      </c>
      <c r="D335" s="159">
        <v>1</v>
      </c>
      <c r="E335" s="159">
        <v>2078.94</v>
      </c>
      <c r="F335" s="159">
        <v>2078.94</v>
      </c>
      <c r="G335" s="160" t="s">
        <v>932</v>
      </c>
    </row>
    <row r="336" spans="1:8" ht="33">
      <c r="A336" s="160"/>
      <c r="B336" s="160" t="s">
        <v>933</v>
      </c>
      <c r="C336" s="157" t="s">
        <v>1</v>
      </c>
      <c r="D336" s="159">
        <v>100</v>
      </c>
      <c r="E336" s="159"/>
      <c r="F336" s="159">
        <v>71377.05</v>
      </c>
      <c r="G336" s="160"/>
      <c r="H336" s="34" t="s">
        <v>925</v>
      </c>
    </row>
    <row r="337" spans="1:8" ht="33">
      <c r="A337" s="160"/>
      <c r="B337" s="160" t="s">
        <v>934</v>
      </c>
      <c r="C337" s="157" t="s">
        <v>1</v>
      </c>
      <c r="D337" s="159"/>
      <c r="E337" s="159"/>
      <c r="F337" s="159">
        <v>713.77</v>
      </c>
      <c r="G337" s="160"/>
      <c r="H337" s="34" t="s">
        <v>925</v>
      </c>
    </row>
    <row r="338" spans="1:8" ht="33">
      <c r="A338" s="160"/>
      <c r="B338" s="160"/>
      <c r="C338" s="157"/>
      <c r="D338" s="159"/>
      <c r="E338" s="159"/>
      <c r="F338" s="159"/>
      <c r="G338" s="160"/>
      <c r="H338" s="34" t="s">
        <v>925</v>
      </c>
    </row>
    <row r="339" spans="1:8" ht="33">
      <c r="A339" s="160" t="s">
        <v>1129</v>
      </c>
      <c r="B339" s="160" t="s">
        <v>1091</v>
      </c>
      <c r="C339" s="157" t="s">
        <v>1</v>
      </c>
      <c r="D339" s="159">
        <v>100</v>
      </c>
      <c r="E339" s="159">
        <v>474.15</v>
      </c>
      <c r="F339" s="159"/>
      <c r="G339" s="160" t="s">
        <v>1092</v>
      </c>
      <c r="H339" s="34" t="s">
        <v>925</v>
      </c>
    </row>
    <row r="340" spans="1:8" ht="33">
      <c r="A340" s="160">
        <v>1</v>
      </c>
      <c r="B340" s="160" t="s">
        <v>1093</v>
      </c>
      <c r="C340" s="157" t="s">
        <v>927</v>
      </c>
      <c r="D340" s="159">
        <v>13.23</v>
      </c>
      <c r="E340" s="159">
        <v>1574.03</v>
      </c>
      <c r="F340" s="159">
        <v>20824.419999999998</v>
      </c>
      <c r="G340" s="160" t="s">
        <v>1094</v>
      </c>
      <c r="H340" s="34" t="s">
        <v>925</v>
      </c>
    </row>
    <row r="341" spans="1:8" ht="33">
      <c r="A341" s="160">
        <v>2</v>
      </c>
      <c r="B341" s="160" t="s">
        <v>1086</v>
      </c>
      <c r="C341" s="157" t="s">
        <v>927</v>
      </c>
      <c r="D341" s="159">
        <v>13.23</v>
      </c>
      <c r="E341" s="159">
        <v>399.48</v>
      </c>
      <c r="F341" s="159">
        <v>5285.12</v>
      </c>
      <c r="G341" s="160" t="s">
        <v>1087</v>
      </c>
      <c r="H341" s="34" t="s">
        <v>925</v>
      </c>
    </row>
    <row r="342" spans="1:8" ht="33">
      <c r="A342" s="160">
        <v>3</v>
      </c>
      <c r="B342" s="160" t="s">
        <v>1080</v>
      </c>
      <c r="C342" s="157" t="s">
        <v>1</v>
      </c>
      <c r="D342" s="159">
        <v>100</v>
      </c>
      <c r="E342" s="159">
        <v>199.24</v>
      </c>
      <c r="F342" s="159">
        <v>19924</v>
      </c>
      <c r="G342" s="160" t="s">
        <v>1081</v>
      </c>
      <c r="H342" s="34" t="s">
        <v>925</v>
      </c>
    </row>
    <row r="343" spans="1:8" ht="33">
      <c r="A343" s="160">
        <v>4</v>
      </c>
      <c r="B343" s="160" t="s">
        <v>931</v>
      </c>
      <c r="C343" s="157" t="s">
        <v>14</v>
      </c>
      <c r="D343" s="159">
        <v>1</v>
      </c>
      <c r="E343" s="159">
        <v>1381.01</v>
      </c>
      <c r="F343" s="159">
        <v>1381.01</v>
      </c>
      <c r="G343" s="160" t="s">
        <v>932</v>
      </c>
      <c r="H343" s="34" t="s">
        <v>925</v>
      </c>
    </row>
    <row r="344" spans="1:8" ht="33">
      <c r="A344" s="160"/>
      <c r="B344" s="160" t="s">
        <v>933</v>
      </c>
      <c r="C344" s="157" t="s">
        <v>1</v>
      </c>
      <c r="D344" s="159">
        <v>100</v>
      </c>
      <c r="E344" s="159"/>
      <c r="F344" s="159">
        <v>47414.549999999996</v>
      </c>
      <c r="G344" s="160"/>
      <c r="H344" s="34" t="s">
        <v>925</v>
      </c>
    </row>
    <row r="345" spans="1:8" ht="33">
      <c r="A345" s="160"/>
      <c r="B345" s="160" t="s">
        <v>934</v>
      </c>
      <c r="C345" s="157" t="s">
        <v>1</v>
      </c>
      <c r="D345" s="159"/>
      <c r="E345" s="159"/>
      <c r="F345" s="159">
        <v>474.15</v>
      </c>
      <c r="G345" s="160"/>
      <c r="H345" s="34" t="s">
        <v>925</v>
      </c>
    </row>
    <row r="346" spans="1:8" ht="33">
      <c r="A346" s="160"/>
      <c r="B346" s="160"/>
      <c r="C346" s="157"/>
      <c r="D346" s="159"/>
      <c r="E346" s="159"/>
      <c r="F346" s="159"/>
      <c r="G346" s="160"/>
      <c r="H346" s="34" t="s">
        <v>925</v>
      </c>
    </row>
    <row r="347" spans="1:8" ht="33">
      <c r="A347" s="160" t="s">
        <v>1134</v>
      </c>
      <c r="B347" s="160" t="s">
        <v>1096</v>
      </c>
      <c r="C347" s="157" t="s">
        <v>1</v>
      </c>
      <c r="D347" s="159">
        <v>100</v>
      </c>
      <c r="E347" s="159">
        <v>508.55</v>
      </c>
      <c r="F347" s="159"/>
      <c r="G347" s="160" t="s">
        <v>1097</v>
      </c>
      <c r="H347" s="34" t="s">
        <v>925</v>
      </c>
    </row>
    <row r="348" spans="1:8" ht="28.5">
      <c r="A348" s="160">
        <v>1</v>
      </c>
      <c r="B348" s="160" t="s">
        <v>997</v>
      </c>
      <c r="C348" s="157" t="s">
        <v>927</v>
      </c>
      <c r="D348" s="159">
        <v>31.75</v>
      </c>
      <c r="E348" s="159">
        <v>1155.6099999999999</v>
      </c>
      <c r="F348" s="159">
        <v>36690.620000000003</v>
      </c>
      <c r="G348" s="160" t="s">
        <v>998</v>
      </c>
    </row>
    <row r="349" spans="1:8" ht="33">
      <c r="A349" s="160">
        <v>2</v>
      </c>
      <c r="B349" s="160" t="s">
        <v>1086</v>
      </c>
      <c r="C349" s="157" t="s">
        <v>927</v>
      </c>
      <c r="D349" s="159">
        <v>31.75</v>
      </c>
      <c r="E349" s="159">
        <v>399.48</v>
      </c>
      <c r="F349" s="159">
        <v>12683.49</v>
      </c>
      <c r="G349" s="160" t="s">
        <v>1087</v>
      </c>
      <c r="H349" s="34" t="s">
        <v>925</v>
      </c>
    </row>
    <row r="350" spans="1:8" ht="33">
      <c r="A350" s="160">
        <v>3</v>
      </c>
      <c r="B350" s="160" t="s">
        <v>931</v>
      </c>
      <c r="C350" s="157" t="s">
        <v>14</v>
      </c>
      <c r="D350" s="159">
        <v>1</v>
      </c>
      <c r="E350" s="159">
        <v>1481.22</v>
      </c>
      <c r="F350" s="159">
        <v>1481.22</v>
      </c>
      <c r="G350" s="160" t="s">
        <v>932</v>
      </c>
      <c r="H350" s="34" t="s">
        <v>925</v>
      </c>
    </row>
    <row r="351" spans="1:8" ht="33">
      <c r="A351" s="160"/>
      <c r="B351" s="160" t="s">
        <v>933</v>
      </c>
      <c r="C351" s="157" t="s">
        <v>1</v>
      </c>
      <c r="D351" s="159">
        <v>100</v>
      </c>
      <c r="E351" s="159"/>
      <c r="F351" s="159">
        <v>50855.33</v>
      </c>
      <c r="G351" s="160"/>
      <c r="H351" s="34" t="s">
        <v>925</v>
      </c>
    </row>
    <row r="352" spans="1:8" ht="33">
      <c r="A352" s="160"/>
      <c r="B352" s="160" t="s">
        <v>934</v>
      </c>
      <c r="C352" s="157" t="s">
        <v>1</v>
      </c>
      <c r="D352" s="159"/>
      <c r="E352" s="159"/>
      <c r="F352" s="159">
        <v>508.55</v>
      </c>
      <c r="G352" s="160"/>
      <c r="H352" s="34" t="s">
        <v>925</v>
      </c>
    </row>
    <row r="353" spans="1:8" ht="33">
      <c r="A353" s="160"/>
      <c r="B353" s="160"/>
      <c r="C353" s="157"/>
      <c r="D353" s="159"/>
      <c r="E353" s="159"/>
      <c r="F353" s="159"/>
      <c r="G353" s="160"/>
      <c r="H353" s="34" t="s">
        <v>925</v>
      </c>
    </row>
    <row r="354" spans="1:8" ht="33">
      <c r="A354" s="160" t="s">
        <v>1139</v>
      </c>
      <c r="B354" s="160" t="s">
        <v>1099</v>
      </c>
      <c r="C354" s="157" t="s">
        <v>0</v>
      </c>
      <c r="D354" s="159">
        <v>100</v>
      </c>
      <c r="E354" s="159">
        <v>949.77</v>
      </c>
      <c r="F354" s="159"/>
      <c r="G354" s="160" t="s">
        <v>1100</v>
      </c>
      <c r="H354" s="34" t="s">
        <v>925</v>
      </c>
    </row>
    <row r="355" spans="1:8" ht="33">
      <c r="A355" s="160">
        <v>1</v>
      </c>
      <c r="B355" s="160" t="s">
        <v>997</v>
      </c>
      <c r="C355" s="157" t="s">
        <v>927</v>
      </c>
      <c r="D355" s="159">
        <v>31.75</v>
      </c>
      <c r="E355" s="159">
        <v>1155.6099999999999</v>
      </c>
      <c r="F355" s="159">
        <v>36690.620000000003</v>
      </c>
      <c r="G355" s="160" t="s">
        <v>998</v>
      </c>
      <c r="H355" s="34" t="s">
        <v>925</v>
      </c>
    </row>
    <row r="356" spans="1:8" ht="33">
      <c r="A356" s="160">
        <v>2</v>
      </c>
      <c r="B356" s="160" t="s">
        <v>1086</v>
      </c>
      <c r="C356" s="157" t="s">
        <v>927</v>
      </c>
      <c r="D356" s="159">
        <v>31.75</v>
      </c>
      <c r="E356" s="159">
        <v>399.48</v>
      </c>
      <c r="F356" s="159">
        <v>12683.49</v>
      </c>
      <c r="G356" s="160" t="s">
        <v>1087</v>
      </c>
      <c r="H356" s="34" t="s">
        <v>925</v>
      </c>
    </row>
    <row r="357" spans="1:8" ht="33">
      <c r="A357" s="160">
        <v>3</v>
      </c>
      <c r="B357" s="160" t="s">
        <v>1101</v>
      </c>
      <c r="C357" s="157" t="s">
        <v>1</v>
      </c>
      <c r="D357" s="159">
        <v>100</v>
      </c>
      <c r="E357" s="159">
        <v>428.37</v>
      </c>
      <c r="F357" s="159">
        <v>42837</v>
      </c>
      <c r="G357" s="160" t="s">
        <v>1102</v>
      </c>
      <c r="H357" s="34" t="s">
        <v>925</v>
      </c>
    </row>
    <row r="358" spans="1:8" ht="33">
      <c r="A358" s="160">
        <v>4</v>
      </c>
      <c r="B358" s="160" t="s">
        <v>931</v>
      </c>
      <c r="C358" s="157" t="s">
        <v>14</v>
      </c>
      <c r="D358" s="159">
        <v>1</v>
      </c>
      <c r="E358" s="159">
        <v>2766.33</v>
      </c>
      <c r="F358" s="159">
        <v>2766.33</v>
      </c>
      <c r="G358" s="160" t="s">
        <v>932</v>
      </c>
      <c r="H358" s="34" t="s">
        <v>925</v>
      </c>
    </row>
    <row r="359" spans="1:8" ht="33">
      <c r="A359" s="160"/>
      <c r="B359" s="160" t="s">
        <v>933</v>
      </c>
      <c r="C359" s="157" t="s">
        <v>0</v>
      </c>
      <c r="D359" s="159">
        <v>100</v>
      </c>
      <c r="E359" s="159"/>
      <c r="F359" s="159">
        <v>94977.44</v>
      </c>
      <c r="G359" s="160"/>
      <c r="H359" s="34" t="s">
        <v>925</v>
      </c>
    </row>
    <row r="360" spans="1:8" ht="33">
      <c r="A360" s="160"/>
      <c r="B360" s="160" t="s">
        <v>934</v>
      </c>
      <c r="C360" s="157" t="s">
        <v>0</v>
      </c>
      <c r="D360" s="159"/>
      <c r="E360" s="159"/>
      <c r="F360" s="159">
        <v>949.77</v>
      </c>
      <c r="G360" s="160"/>
      <c r="H360" s="34" t="s">
        <v>925</v>
      </c>
    </row>
    <row r="361" spans="1:8" ht="33">
      <c r="A361" s="160"/>
      <c r="B361" s="160"/>
      <c r="C361" s="157"/>
      <c r="D361" s="159"/>
      <c r="E361" s="159"/>
      <c r="F361" s="159"/>
      <c r="G361" s="160"/>
      <c r="H361" s="34" t="s">
        <v>925</v>
      </c>
    </row>
    <row r="362" spans="1:8" ht="33">
      <c r="A362" s="160" t="s">
        <v>1148</v>
      </c>
      <c r="B362" s="160" t="s">
        <v>1104</v>
      </c>
      <c r="C362" s="157" t="s">
        <v>0</v>
      </c>
      <c r="D362" s="159">
        <v>1</v>
      </c>
      <c r="E362" s="159">
        <v>1483.24</v>
      </c>
      <c r="F362" s="159"/>
      <c r="G362" s="160" t="s">
        <v>1105</v>
      </c>
      <c r="H362" s="34" t="s">
        <v>925</v>
      </c>
    </row>
    <row r="363" spans="1:8" ht="33">
      <c r="A363" s="160">
        <v>1</v>
      </c>
      <c r="B363" s="160" t="s">
        <v>1106</v>
      </c>
      <c r="C363" s="157" t="s">
        <v>927</v>
      </c>
      <c r="D363" s="159">
        <v>0.25</v>
      </c>
      <c r="E363" s="159">
        <v>2291.3000000000002</v>
      </c>
      <c r="F363" s="159">
        <v>572.83000000000004</v>
      </c>
      <c r="G363" s="160" t="s">
        <v>1107</v>
      </c>
      <c r="H363" s="34" t="s">
        <v>925</v>
      </c>
    </row>
    <row r="364" spans="1:8" ht="28.5">
      <c r="A364" s="160">
        <v>2</v>
      </c>
      <c r="B364" s="160" t="s">
        <v>999</v>
      </c>
      <c r="C364" s="157" t="s">
        <v>927</v>
      </c>
      <c r="D364" s="159">
        <v>0.25</v>
      </c>
      <c r="E364" s="159">
        <v>399.48</v>
      </c>
      <c r="F364" s="159">
        <v>99.87</v>
      </c>
      <c r="G364" s="160" t="s">
        <v>4877</v>
      </c>
    </row>
    <row r="365" spans="1:8" ht="33">
      <c r="A365" s="160">
        <v>3</v>
      </c>
      <c r="B365" s="160" t="s">
        <v>4871</v>
      </c>
      <c r="C365" s="157" t="s">
        <v>927</v>
      </c>
      <c r="D365" s="159">
        <v>0.25</v>
      </c>
      <c r="E365" s="159">
        <v>279.94</v>
      </c>
      <c r="F365" s="159">
        <v>69.989999999999995</v>
      </c>
      <c r="G365" s="160" t="s">
        <v>4876</v>
      </c>
      <c r="H365" s="34" t="s">
        <v>925</v>
      </c>
    </row>
    <row r="366" spans="1:8" ht="33">
      <c r="A366" s="160">
        <v>4</v>
      </c>
      <c r="B366" s="160" t="s">
        <v>1108</v>
      </c>
      <c r="C366" s="157" t="s">
        <v>0</v>
      </c>
      <c r="D366" s="159">
        <v>1</v>
      </c>
      <c r="E366" s="159">
        <v>697.35</v>
      </c>
      <c r="F366" s="159">
        <v>697.35</v>
      </c>
      <c r="G366" s="160" t="s">
        <v>1109</v>
      </c>
      <c r="H366" s="34" t="s">
        <v>925</v>
      </c>
    </row>
    <row r="367" spans="1:8" ht="33">
      <c r="A367" s="160">
        <v>5</v>
      </c>
      <c r="B367" s="160" t="s">
        <v>931</v>
      </c>
      <c r="C367" s="157" t="s">
        <v>14</v>
      </c>
      <c r="D367" s="159">
        <v>1</v>
      </c>
      <c r="E367" s="159">
        <v>43.2</v>
      </c>
      <c r="F367" s="159">
        <v>43.2</v>
      </c>
      <c r="G367" s="160" t="s">
        <v>932</v>
      </c>
      <c r="H367" s="34" t="s">
        <v>925</v>
      </c>
    </row>
    <row r="368" spans="1:8" ht="33">
      <c r="A368" s="160"/>
      <c r="B368" s="160" t="s">
        <v>933</v>
      </c>
      <c r="C368" s="157" t="s">
        <v>0</v>
      </c>
      <c r="D368" s="159">
        <v>1</v>
      </c>
      <c r="E368" s="159"/>
      <c r="F368" s="159">
        <v>1483.24</v>
      </c>
      <c r="G368" s="160"/>
      <c r="H368" s="34" t="s">
        <v>925</v>
      </c>
    </row>
    <row r="369" spans="1:8" ht="33">
      <c r="A369" s="160"/>
      <c r="B369" s="160" t="s">
        <v>934</v>
      </c>
      <c r="C369" s="157" t="s">
        <v>0</v>
      </c>
      <c r="D369" s="159"/>
      <c r="E369" s="159"/>
      <c r="F369" s="159">
        <v>1483.24</v>
      </c>
      <c r="G369" s="160"/>
      <c r="H369" s="34" t="s">
        <v>925</v>
      </c>
    </row>
    <row r="370" spans="1:8" ht="33">
      <c r="A370" s="160"/>
      <c r="B370" s="160"/>
      <c r="C370" s="157"/>
      <c r="D370" s="159"/>
      <c r="E370" s="159"/>
      <c r="F370" s="159"/>
      <c r="G370" s="160"/>
      <c r="H370" s="34" t="s">
        <v>925</v>
      </c>
    </row>
    <row r="371" spans="1:8" ht="28.5">
      <c r="A371" s="160" t="s">
        <v>1153</v>
      </c>
      <c r="B371" s="160" t="s">
        <v>1111</v>
      </c>
      <c r="C371" s="157" t="s">
        <v>3</v>
      </c>
      <c r="D371" s="159">
        <v>1000</v>
      </c>
      <c r="E371" s="159">
        <v>11.9</v>
      </c>
      <c r="F371" s="159"/>
      <c r="G371" s="160" t="s">
        <v>1112</v>
      </c>
    </row>
    <row r="372" spans="1:8" ht="33">
      <c r="A372" s="160">
        <v>1</v>
      </c>
      <c r="B372" s="160" t="s">
        <v>1050</v>
      </c>
      <c r="C372" s="157" t="s">
        <v>927</v>
      </c>
      <c r="D372" s="159">
        <v>2.5</v>
      </c>
      <c r="E372" s="159">
        <v>1394.71</v>
      </c>
      <c r="F372" s="159">
        <v>3486.78</v>
      </c>
      <c r="G372" s="160" t="s">
        <v>1051</v>
      </c>
      <c r="H372" s="34" t="s">
        <v>925</v>
      </c>
    </row>
    <row r="373" spans="1:8" ht="33">
      <c r="A373" s="160">
        <v>2</v>
      </c>
      <c r="B373" s="160" t="s">
        <v>1113</v>
      </c>
      <c r="C373" s="157" t="s">
        <v>927</v>
      </c>
      <c r="D373" s="159">
        <v>1.88</v>
      </c>
      <c r="E373" s="159">
        <v>1165.58</v>
      </c>
      <c r="F373" s="159">
        <v>2191.29</v>
      </c>
      <c r="G373" s="160" t="s">
        <v>1114</v>
      </c>
      <c r="H373" s="34" t="s">
        <v>925</v>
      </c>
    </row>
    <row r="374" spans="1:8" ht="33">
      <c r="A374" s="160">
        <v>3</v>
      </c>
      <c r="B374" s="160" t="s">
        <v>1056</v>
      </c>
      <c r="C374" s="157" t="s">
        <v>927</v>
      </c>
      <c r="D374" s="159">
        <v>2.5</v>
      </c>
      <c r="E374" s="159">
        <v>769.08</v>
      </c>
      <c r="F374" s="159">
        <v>1922.7</v>
      </c>
      <c r="G374" s="160" t="s">
        <v>1057</v>
      </c>
      <c r="H374" s="34" t="s">
        <v>925</v>
      </c>
    </row>
    <row r="375" spans="1:8" ht="33">
      <c r="A375" s="160">
        <v>4</v>
      </c>
      <c r="B375" s="160" t="s">
        <v>1115</v>
      </c>
      <c r="C375" s="157" t="s">
        <v>14</v>
      </c>
      <c r="D375" s="159">
        <v>1</v>
      </c>
      <c r="E375" s="159">
        <v>85.4</v>
      </c>
      <c r="F375" s="159">
        <v>85.4</v>
      </c>
      <c r="G375" s="160" t="s">
        <v>1116</v>
      </c>
      <c r="H375" s="34" t="s">
        <v>925</v>
      </c>
    </row>
    <row r="376" spans="1:8" ht="42.75">
      <c r="A376" s="160">
        <v>5</v>
      </c>
      <c r="B376" s="160" t="s">
        <v>4883</v>
      </c>
      <c r="C376" s="157" t="s">
        <v>927</v>
      </c>
      <c r="D376" s="159">
        <v>2.5</v>
      </c>
      <c r="E376" s="159">
        <v>399.48</v>
      </c>
      <c r="F376" s="159">
        <v>998.7</v>
      </c>
      <c r="G376" s="160" t="s">
        <v>4884</v>
      </c>
      <c r="H376" s="34" t="s">
        <v>925</v>
      </c>
    </row>
    <row r="377" spans="1:8" ht="42.75">
      <c r="A377" s="160">
        <v>6</v>
      </c>
      <c r="B377" s="160" t="s">
        <v>4885</v>
      </c>
      <c r="C377" s="157" t="s">
        <v>927</v>
      </c>
      <c r="D377" s="159">
        <v>1.88</v>
      </c>
      <c r="E377" s="159">
        <v>399.48</v>
      </c>
      <c r="F377" s="159">
        <v>751.02</v>
      </c>
      <c r="G377" s="160" t="s">
        <v>4886</v>
      </c>
      <c r="H377" s="34" t="s">
        <v>925</v>
      </c>
    </row>
    <row r="378" spans="1:8" ht="28.5">
      <c r="A378" s="160">
        <v>7</v>
      </c>
      <c r="B378" s="160" t="s">
        <v>1060</v>
      </c>
      <c r="C378" s="157" t="s">
        <v>927</v>
      </c>
      <c r="D378" s="159">
        <v>2.5</v>
      </c>
      <c r="E378" s="159">
        <v>399.48</v>
      </c>
      <c r="F378" s="159">
        <v>998.7</v>
      </c>
      <c r="G378" s="160" t="s">
        <v>1061</v>
      </c>
    </row>
    <row r="379" spans="1:8" ht="33">
      <c r="A379" s="160">
        <v>8</v>
      </c>
      <c r="B379" s="160" t="s">
        <v>4871</v>
      </c>
      <c r="C379" s="157" t="s">
        <v>927</v>
      </c>
      <c r="D379" s="159">
        <v>4</v>
      </c>
      <c r="E379" s="159">
        <v>279.94</v>
      </c>
      <c r="F379" s="159">
        <v>1119.76</v>
      </c>
      <c r="G379" s="160" t="s">
        <v>4876</v>
      </c>
      <c r="H379" s="34" t="s">
        <v>925</v>
      </c>
    </row>
    <row r="380" spans="1:8" ht="33">
      <c r="A380" s="160">
        <v>9</v>
      </c>
      <c r="B380" s="160" t="s">
        <v>931</v>
      </c>
      <c r="C380" s="157" t="s">
        <v>14</v>
      </c>
      <c r="D380" s="159">
        <v>1</v>
      </c>
      <c r="E380" s="159">
        <v>346.63</v>
      </c>
      <c r="F380" s="159">
        <v>346.63</v>
      </c>
      <c r="G380" s="160" t="s">
        <v>932</v>
      </c>
      <c r="H380" s="34" t="s">
        <v>925</v>
      </c>
    </row>
    <row r="381" spans="1:8" ht="33">
      <c r="A381" s="160"/>
      <c r="B381" s="160" t="s">
        <v>933</v>
      </c>
      <c r="C381" s="157" t="s">
        <v>3</v>
      </c>
      <c r="D381" s="159">
        <v>1000</v>
      </c>
      <c r="E381" s="159"/>
      <c r="F381" s="159">
        <v>11900.98</v>
      </c>
      <c r="G381" s="160"/>
      <c r="H381" s="34" t="s">
        <v>925</v>
      </c>
    </row>
    <row r="382" spans="1:8" ht="33">
      <c r="A382" s="160"/>
      <c r="B382" s="160" t="s">
        <v>934</v>
      </c>
      <c r="C382" s="157" t="s">
        <v>3</v>
      </c>
      <c r="D382" s="159"/>
      <c r="E382" s="159"/>
      <c r="F382" s="159">
        <v>11.9</v>
      </c>
      <c r="G382" s="160"/>
      <c r="H382" s="34" t="s">
        <v>925</v>
      </c>
    </row>
    <row r="383" spans="1:8" ht="33">
      <c r="A383" s="160"/>
      <c r="B383" s="160"/>
      <c r="C383" s="157"/>
      <c r="D383" s="159"/>
      <c r="E383" s="159"/>
      <c r="F383" s="159"/>
      <c r="G383" s="160"/>
      <c r="H383" s="34" t="s">
        <v>925</v>
      </c>
    </row>
    <row r="384" spans="1:8" ht="33">
      <c r="A384" s="160" t="s">
        <v>1161</v>
      </c>
      <c r="B384" s="160" t="s">
        <v>1118</v>
      </c>
      <c r="C384" s="157" t="s">
        <v>15</v>
      </c>
      <c r="D384" s="159">
        <v>100</v>
      </c>
      <c r="E384" s="159">
        <v>1293.5999999999999</v>
      </c>
      <c r="F384" s="159"/>
      <c r="G384" s="160" t="s">
        <v>1119</v>
      </c>
      <c r="H384" s="34" t="s">
        <v>925</v>
      </c>
    </row>
    <row r="385" spans="1:8" ht="33">
      <c r="A385" s="160">
        <v>1</v>
      </c>
      <c r="B385" s="160" t="s">
        <v>1120</v>
      </c>
      <c r="C385" s="157" t="s">
        <v>1121</v>
      </c>
      <c r="D385" s="159">
        <v>135</v>
      </c>
      <c r="E385" s="159">
        <v>822.88</v>
      </c>
      <c r="F385" s="159">
        <v>111088.8</v>
      </c>
      <c r="G385" s="160" t="s">
        <v>1122</v>
      </c>
      <c r="H385" s="34" t="s">
        <v>925</v>
      </c>
    </row>
    <row r="386" spans="1:8" ht="33">
      <c r="A386" s="160">
        <v>2</v>
      </c>
      <c r="B386" s="160" t="s">
        <v>1123</v>
      </c>
      <c r="C386" s="157" t="s">
        <v>927</v>
      </c>
      <c r="D386" s="159">
        <v>1.43</v>
      </c>
      <c r="E386" s="159">
        <v>1295.08</v>
      </c>
      <c r="F386" s="159">
        <v>1851.96</v>
      </c>
      <c r="G386" s="160" t="s">
        <v>1124</v>
      </c>
      <c r="H386" s="34" t="s">
        <v>925</v>
      </c>
    </row>
    <row r="387" spans="1:8" ht="33">
      <c r="A387" s="160">
        <v>3</v>
      </c>
      <c r="B387" s="160" t="s">
        <v>1113</v>
      </c>
      <c r="C387" s="157" t="s">
        <v>927</v>
      </c>
      <c r="D387" s="159">
        <v>2.5</v>
      </c>
      <c r="E387" s="159">
        <v>1165.58</v>
      </c>
      <c r="F387" s="159">
        <v>2913.95</v>
      </c>
      <c r="G387" s="160" t="s">
        <v>1114</v>
      </c>
      <c r="H387" s="34" t="s">
        <v>925</v>
      </c>
    </row>
    <row r="388" spans="1:8" ht="28.5">
      <c r="A388" s="160">
        <v>4</v>
      </c>
      <c r="B388" s="160" t="s">
        <v>1125</v>
      </c>
      <c r="C388" s="157" t="s">
        <v>927</v>
      </c>
      <c r="D388" s="159">
        <v>2.2999999999999998</v>
      </c>
      <c r="E388" s="159">
        <v>1295.08</v>
      </c>
      <c r="F388" s="159">
        <v>2978.68</v>
      </c>
      <c r="G388" s="160" t="s">
        <v>1126</v>
      </c>
    </row>
    <row r="389" spans="1:8" ht="33">
      <c r="A389" s="160">
        <v>5</v>
      </c>
      <c r="B389" s="160" t="s">
        <v>1056</v>
      </c>
      <c r="C389" s="157" t="s">
        <v>927</v>
      </c>
      <c r="D389" s="159">
        <v>1.2</v>
      </c>
      <c r="E389" s="159">
        <v>769.08</v>
      </c>
      <c r="F389" s="159">
        <v>922.9</v>
      </c>
      <c r="G389" s="160" t="s">
        <v>1057</v>
      </c>
      <c r="H389" s="34" t="s">
        <v>925</v>
      </c>
    </row>
    <row r="390" spans="1:8" ht="33">
      <c r="A390" s="160">
        <v>6</v>
      </c>
      <c r="B390" s="160" t="s">
        <v>1115</v>
      </c>
      <c r="C390" s="157" t="s">
        <v>14</v>
      </c>
      <c r="D390" s="159">
        <v>1</v>
      </c>
      <c r="E390" s="159">
        <v>49.92</v>
      </c>
      <c r="F390" s="159">
        <v>49.92</v>
      </c>
      <c r="G390" s="160" t="s">
        <v>1116</v>
      </c>
      <c r="H390" s="34" t="s">
        <v>925</v>
      </c>
    </row>
    <row r="391" spans="1:8" ht="33">
      <c r="A391" s="160">
        <v>7</v>
      </c>
      <c r="B391" s="160" t="s">
        <v>1127</v>
      </c>
      <c r="C391" s="157" t="s">
        <v>927</v>
      </c>
      <c r="D391" s="159">
        <v>2.5</v>
      </c>
      <c r="E391" s="159">
        <v>455.27</v>
      </c>
      <c r="F391" s="159">
        <v>1138.18</v>
      </c>
      <c r="G391" s="160" t="s">
        <v>1128</v>
      </c>
      <c r="H391" s="34" t="s">
        <v>925</v>
      </c>
    </row>
    <row r="392" spans="1:8" ht="42.75">
      <c r="A392" s="160">
        <v>8</v>
      </c>
      <c r="B392" s="160" t="s">
        <v>4889</v>
      </c>
      <c r="C392" s="157" t="s">
        <v>927</v>
      </c>
      <c r="D392" s="159">
        <v>2.2999999999999998</v>
      </c>
      <c r="E392" s="159">
        <v>399.48</v>
      </c>
      <c r="F392" s="159">
        <v>918.8</v>
      </c>
      <c r="G392" s="160" t="s">
        <v>4890</v>
      </c>
      <c r="H392" s="34" t="s">
        <v>925</v>
      </c>
    </row>
    <row r="393" spans="1:8" ht="42.75">
      <c r="A393" s="160">
        <v>9</v>
      </c>
      <c r="B393" s="160" t="s">
        <v>4885</v>
      </c>
      <c r="C393" s="157" t="s">
        <v>927</v>
      </c>
      <c r="D393" s="159">
        <v>3.93</v>
      </c>
      <c r="E393" s="159">
        <v>399.48</v>
      </c>
      <c r="F393" s="159">
        <v>1569.96</v>
      </c>
      <c r="G393" s="160" t="s">
        <v>4886</v>
      </c>
      <c r="H393" s="34" t="s">
        <v>925</v>
      </c>
    </row>
    <row r="394" spans="1:8" ht="33">
      <c r="A394" s="160">
        <v>10</v>
      </c>
      <c r="B394" s="160" t="s">
        <v>1060</v>
      </c>
      <c r="C394" s="157" t="s">
        <v>927</v>
      </c>
      <c r="D394" s="159">
        <v>1.2</v>
      </c>
      <c r="E394" s="159">
        <v>399.48</v>
      </c>
      <c r="F394" s="159">
        <v>479.38</v>
      </c>
      <c r="G394" s="160" t="s">
        <v>1061</v>
      </c>
      <c r="H394" s="34" t="s">
        <v>925</v>
      </c>
    </row>
    <row r="395" spans="1:8" ht="33">
      <c r="A395" s="160">
        <v>11</v>
      </c>
      <c r="B395" s="160" t="s">
        <v>4871</v>
      </c>
      <c r="C395" s="157" t="s">
        <v>927</v>
      </c>
      <c r="D395" s="159">
        <v>6</v>
      </c>
      <c r="E395" s="159">
        <v>279.94</v>
      </c>
      <c r="F395" s="159">
        <v>1679.64</v>
      </c>
      <c r="G395" s="160" t="s">
        <v>4876</v>
      </c>
      <c r="H395" s="34" t="s">
        <v>925</v>
      </c>
    </row>
    <row r="396" spans="1:8" ht="33">
      <c r="A396" s="160">
        <v>12</v>
      </c>
      <c r="B396" s="160" t="s">
        <v>931</v>
      </c>
      <c r="C396" s="157" t="s">
        <v>14</v>
      </c>
      <c r="D396" s="159">
        <v>1</v>
      </c>
      <c r="E396" s="159">
        <v>3767.77</v>
      </c>
      <c r="F396" s="159">
        <v>3767.77</v>
      </c>
      <c r="G396" s="160" t="s">
        <v>932</v>
      </c>
      <c r="H396" s="34" t="s">
        <v>925</v>
      </c>
    </row>
    <row r="397" spans="1:8" ht="33">
      <c r="A397" s="160"/>
      <c r="B397" s="160" t="s">
        <v>933</v>
      </c>
      <c r="C397" s="157" t="s">
        <v>15</v>
      </c>
      <c r="D397" s="159">
        <v>100</v>
      </c>
      <c r="E397" s="159"/>
      <c r="F397" s="159">
        <v>129359.94</v>
      </c>
      <c r="G397" s="160"/>
      <c r="H397" s="34" t="s">
        <v>925</v>
      </c>
    </row>
    <row r="398" spans="1:8" ht="16.5">
      <c r="A398" s="160"/>
      <c r="B398" s="160" t="s">
        <v>934</v>
      </c>
      <c r="C398" s="157" t="s">
        <v>15</v>
      </c>
      <c r="D398" s="159"/>
      <c r="E398" s="159"/>
      <c r="F398" s="159">
        <v>1293.5999999999999</v>
      </c>
      <c r="G398" s="160"/>
    </row>
    <row r="399" spans="1:8" ht="33">
      <c r="A399" s="160"/>
      <c r="B399" s="160"/>
      <c r="C399" s="157"/>
      <c r="D399" s="159"/>
      <c r="E399" s="159"/>
      <c r="F399" s="159"/>
      <c r="G399" s="160"/>
      <c r="H399" s="34" t="s">
        <v>925</v>
      </c>
    </row>
    <row r="400" spans="1:8" ht="33">
      <c r="A400" s="160" t="s">
        <v>1166</v>
      </c>
      <c r="B400" s="160" t="s">
        <v>1130</v>
      </c>
      <c r="C400" s="157" t="s">
        <v>15</v>
      </c>
      <c r="D400" s="159">
        <v>1</v>
      </c>
      <c r="E400" s="159">
        <v>1461.69</v>
      </c>
      <c r="F400" s="159"/>
      <c r="G400" s="160" t="s">
        <v>1131</v>
      </c>
      <c r="H400" s="34" t="s">
        <v>925</v>
      </c>
    </row>
    <row r="401" spans="1:8" ht="33">
      <c r="A401" s="160">
        <v>1</v>
      </c>
      <c r="B401" s="160" t="s">
        <v>1132</v>
      </c>
      <c r="C401" s="157" t="s">
        <v>1121</v>
      </c>
      <c r="D401" s="159">
        <v>1.25</v>
      </c>
      <c r="E401" s="159">
        <v>687.39</v>
      </c>
      <c r="F401" s="159">
        <v>859.24</v>
      </c>
      <c r="G401" s="160" t="s">
        <v>1133</v>
      </c>
      <c r="H401" s="34" t="s">
        <v>925</v>
      </c>
    </row>
    <row r="402" spans="1:8" ht="33">
      <c r="A402" s="160">
        <v>2</v>
      </c>
      <c r="B402" s="160" t="s">
        <v>4871</v>
      </c>
      <c r="C402" s="157" t="s">
        <v>927</v>
      </c>
      <c r="D402" s="159">
        <v>2</v>
      </c>
      <c r="E402" s="159">
        <v>279.94</v>
      </c>
      <c r="F402" s="159">
        <v>559.88</v>
      </c>
      <c r="G402" s="160" t="s">
        <v>4876</v>
      </c>
      <c r="H402" s="34" t="s">
        <v>925</v>
      </c>
    </row>
    <row r="403" spans="1:8" ht="33">
      <c r="A403" s="160">
        <v>3</v>
      </c>
      <c r="B403" s="160" t="s">
        <v>955</v>
      </c>
      <c r="C403" s="157" t="s">
        <v>14</v>
      </c>
      <c r="D403" s="159">
        <v>1</v>
      </c>
      <c r="E403" s="159">
        <v>42.57</v>
      </c>
      <c r="F403" s="159">
        <v>42.57</v>
      </c>
      <c r="G403" s="160" t="s">
        <v>956</v>
      </c>
      <c r="H403" s="34" t="s">
        <v>925</v>
      </c>
    </row>
    <row r="404" spans="1:8" ht="33">
      <c r="A404" s="160"/>
      <c r="B404" s="160" t="s">
        <v>933</v>
      </c>
      <c r="C404" s="157" t="s">
        <v>15</v>
      </c>
      <c r="D404" s="159">
        <v>1</v>
      </c>
      <c r="E404" s="159"/>
      <c r="F404" s="159">
        <v>1461.6899999999998</v>
      </c>
      <c r="G404" s="160"/>
      <c r="H404" s="34" t="s">
        <v>925</v>
      </c>
    </row>
    <row r="405" spans="1:8" ht="33">
      <c r="A405" s="160"/>
      <c r="B405" s="160" t="s">
        <v>934</v>
      </c>
      <c r="C405" s="157" t="s">
        <v>15</v>
      </c>
      <c r="D405" s="159"/>
      <c r="E405" s="159"/>
      <c r="F405" s="159">
        <v>1461.69</v>
      </c>
      <c r="G405" s="160"/>
      <c r="H405" s="34" t="s">
        <v>925</v>
      </c>
    </row>
    <row r="406" spans="1:8" ht="16.5">
      <c r="A406" s="160"/>
      <c r="B406" s="160"/>
      <c r="C406" s="157"/>
      <c r="D406" s="159"/>
      <c r="E406" s="159"/>
      <c r="F406" s="159"/>
      <c r="G406" s="160"/>
    </row>
    <row r="407" spans="1:8" ht="33">
      <c r="A407" s="160" t="s">
        <v>1170</v>
      </c>
      <c r="B407" s="160" t="s">
        <v>1135</v>
      </c>
      <c r="C407" s="157" t="s">
        <v>15</v>
      </c>
      <c r="D407" s="159">
        <v>1</v>
      </c>
      <c r="E407" s="159">
        <v>1330.35</v>
      </c>
      <c r="F407" s="159"/>
      <c r="G407" s="160" t="s">
        <v>1136</v>
      </c>
      <c r="H407" s="34" t="s">
        <v>925</v>
      </c>
    </row>
    <row r="408" spans="1:8" ht="33">
      <c r="A408" s="160">
        <v>1</v>
      </c>
      <c r="B408" s="160" t="s">
        <v>1137</v>
      </c>
      <c r="C408" s="157" t="s">
        <v>1121</v>
      </c>
      <c r="D408" s="159">
        <v>1.25</v>
      </c>
      <c r="E408" s="159">
        <v>697.35</v>
      </c>
      <c r="F408" s="159">
        <v>871.69</v>
      </c>
      <c r="G408" s="160" t="s">
        <v>1138</v>
      </c>
      <c r="H408" s="34" t="s">
        <v>925</v>
      </c>
    </row>
    <row r="409" spans="1:8" ht="33">
      <c r="A409" s="160">
        <v>2</v>
      </c>
      <c r="B409" s="160" t="s">
        <v>4871</v>
      </c>
      <c r="C409" s="157" t="s">
        <v>927</v>
      </c>
      <c r="D409" s="159">
        <v>1.5</v>
      </c>
      <c r="E409" s="159">
        <v>279.94</v>
      </c>
      <c r="F409" s="159">
        <v>419.91</v>
      </c>
      <c r="G409" s="160" t="s">
        <v>4872</v>
      </c>
      <c r="H409" s="34" t="s">
        <v>925</v>
      </c>
    </row>
    <row r="410" spans="1:8" ht="33">
      <c r="A410" s="160">
        <v>3</v>
      </c>
      <c r="B410" s="160" t="s">
        <v>955</v>
      </c>
      <c r="C410" s="157" t="s">
        <v>14</v>
      </c>
      <c r="D410" s="159">
        <v>1</v>
      </c>
      <c r="E410" s="159">
        <v>38.75</v>
      </c>
      <c r="F410" s="159">
        <v>38.75</v>
      </c>
      <c r="G410" s="160" t="s">
        <v>956</v>
      </c>
      <c r="H410" s="34" t="s">
        <v>925</v>
      </c>
    </row>
    <row r="411" spans="1:8" ht="33">
      <c r="A411" s="160"/>
      <c r="B411" s="160" t="s">
        <v>933</v>
      </c>
      <c r="C411" s="157" t="s">
        <v>15</v>
      </c>
      <c r="D411" s="159">
        <v>1</v>
      </c>
      <c r="E411" s="159"/>
      <c r="F411" s="159">
        <v>1330.3500000000001</v>
      </c>
      <c r="G411" s="160"/>
      <c r="H411" s="34" t="s">
        <v>925</v>
      </c>
    </row>
    <row r="412" spans="1:8" ht="33">
      <c r="A412" s="160"/>
      <c r="B412" s="160" t="s">
        <v>934</v>
      </c>
      <c r="C412" s="157" t="s">
        <v>15</v>
      </c>
      <c r="D412" s="159"/>
      <c r="E412" s="159"/>
      <c r="F412" s="159">
        <v>1330.35</v>
      </c>
      <c r="G412" s="160"/>
      <c r="H412" s="34" t="s">
        <v>925</v>
      </c>
    </row>
    <row r="413" spans="1:8" ht="33">
      <c r="A413" s="160"/>
      <c r="B413" s="160"/>
      <c r="C413" s="157"/>
      <c r="D413" s="159"/>
      <c r="E413" s="159"/>
      <c r="F413" s="159"/>
      <c r="G413" s="160"/>
      <c r="H413" s="34" t="s">
        <v>925</v>
      </c>
    </row>
    <row r="414" spans="1:8" ht="28.5">
      <c r="A414" s="160" t="s">
        <v>1173</v>
      </c>
      <c r="B414" s="160" t="s">
        <v>1140</v>
      </c>
      <c r="C414" s="157" t="s">
        <v>3</v>
      </c>
      <c r="D414" s="159">
        <v>100</v>
      </c>
      <c r="E414" s="159">
        <v>44.22</v>
      </c>
      <c r="F414" s="159"/>
      <c r="G414" s="160" t="s">
        <v>1141</v>
      </c>
    </row>
    <row r="415" spans="1:8" ht="33">
      <c r="A415" s="160">
        <v>1</v>
      </c>
      <c r="B415" s="160" t="s">
        <v>1142</v>
      </c>
      <c r="C415" s="157" t="s">
        <v>18</v>
      </c>
      <c r="D415" s="159">
        <v>80</v>
      </c>
      <c r="E415" s="159">
        <v>44.83</v>
      </c>
      <c r="F415" s="159">
        <v>3586.4</v>
      </c>
      <c r="G415" s="160" t="s">
        <v>1143</v>
      </c>
      <c r="H415" s="34" t="s">
        <v>925</v>
      </c>
    </row>
    <row r="416" spans="1:8" ht="33">
      <c r="A416" s="160">
        <v>2</v>
      </c>
      <c r="B416" s="160" t="s">
        <v>1144</v>
      </c>
      <c r="C416" s="157" t="s">
        <v>927</v>
      </c>
      <c r="D416" s="159">
        <v>0.2</v>
      </c>
      <c r="E416" s="159">
        <v>936.45</v>
      </c>
      <c r="F416" s="159">
        <v>187.29</v>
      </c>
      <c r="G416" s="160" t="s">
        <v>1145</v>
      </c>
      <c r="H416" s="34" t="s">
        <v>925</v>
      </c>
    </row>
    <row r="417" spans="1:8" ht="42.75">
      <c r="A417" s="160">
        <v>3</v>
      </c>
      <c r="B417" s="160" t="s">
        <v>4891</v>
      </c>
      <c r="C417" s="157" t="s">
        <v>927</v>
      </c>
      <c r="D417" s="159">
        <v>0.2</v>
      </c>
      <c r="E417" s="159">
        <v>399.48</v>
      </c>
      <c r="F417" s="159">
        <v>79.900000000000006</v>
      </c>
      <c r="G417" s="160" t="s">
        <v>4892</v>
      </c>
      <c r="H417" s="34" t="s">
        <v>925</v>
      </c>
    </row>
    <row r="418" spans="1:8" ht="33">
      <c r="A418" s="160">
        <v>4</v>
      </c>
      <c r="B418" s="160" t="s">
        <v>1146</v>
      </c>
      <c r="C418" s="157" t="s">
        <v>18</v>
      </c>
      <c r="D418" s="159">
        <v>80</v>
      </c>
      <c r="E418" s="159">
        <v>1.99</v>
      </c>
      <c r="F418" s="159">
        <v>159.19999999999999</v>
      </c>
      <c r="G418" s="160" t="s">
        <v>1147</v>
      </c>
      <c r="H418" s="34" t="s">
        <v>925</v>
      </c>
    </row>
    <row r="419" spans="1:8" ht="33">
      <c r="A419" s="160">
        <v>5</v>
      </c>
      <c r="B419" s="160" t="s">
        <v>4871</v>
      </c>
      <c r="C419" s="157" t="s">
        <v>927</v>
      </c>
      <c r="D419" s="159">
        <v>1</v>
      </c>
      <c r="E419" s="159">
        <v>279.94</v>
      </c>
      <c r="F419" s="159">
        <v>279.94</v>
      </c>
      <c r="G419" s="160" t="s">
        <v>4876</v>
      </c>
      <c r="H419" s="34" t="s">
        <v>925</v>
      </c>
    </row>
    <row r="420" spans="1:8" ht="33">
      <c r="A420" s="160">
        <v>6</v>
      </c>
      <c r="B420" s="160" t="s">
        <v>931</v>
      </c>
      <c r="C420" s="157" t="s">
        <v>14</v>
      </c>
      <c r="D420" s="159">
        <v>1</v>
      </c>
      <c r="E420" s="159">
        <v>128.78</v>
      </c>
      <c r="F420" s="159">
        <v>128.78</v>
      </c>
      <c r="G420" s="160" t="s">
        <v>932</v>
      </c>
      <c r="H420" s="34" t="s">
        <v>925</v>
      </c>
    </row>
    <row r="421" spans="1:8" ht="33">
      <c r="A421" s="160"/>
      <c r="B421" s="160" t="s">
        <v>933</v>
      </c>
      <c r="C421" s="157" t="s">
        <v>3</v>
      </c>
      <c r="D421" s="159">
        <v>100</v>
      </c>
      <c r="E421" s="159"/>
      <c r="F421" s="159">
        <v>4421.5099999999993</v>
      </c>
      <c r="G421" s="160"/>
      <c r="H421" s="34" t="s">
        <v>925</v>
      </c>
    </row>
    <row r="422" spans="1:8" ht="16.5">
      <c r="A422" s="160"/>
      <c r="B422" s="160" t="s">
        <v>934</v>
      </c>
      <c r="C422" s="157" t="s">
        <v>3</v>
      </c>
      <c r="D422" s="159"/>
      <c r="E422" s="159"/>
      <c r="F422" s="159">
        <v>44.22</v>
      </c>
      <c r="G422" s="160"/>
    </row>
    <row r="423" spans="1:8" ht="33">
      <c r="A423" s="160"/>
      <c r="B423" s="160"/>
      <c r="C423" s="157"/>
      <c r="D423" s="159"/>
      <c r="E423" s="159"/>
      <c r="F423" s="159"/>
      <c r="G423" s="160"/>
      <c r="H423" s="34" t="s">
        <v>925</v>
      </c>
    </row>
    <row r="424" spans="1:8" ht="33">
      <c r="A424" s="160" t="s">
        <v>1178</v>
      </c>
      <c r="B424" s="160" t="s">
        <v>1149</v>
      </c>
      <c r="C424" s="157" t="s">
        <v>3</v>
      </c>
      <c r="D424" s="159">
        <v>100</v>
      </c>
      <c r="E424" s="159">
        <v>17.57</v>
      </c>
      <c r="F424" s="159"/>
      <c r="G424" s="160" t="s">
        <v>1150</v>
      </c>
      <c r="H424" s="34" t="s">
        <v>925</v>
      </c>
    </row>
    <row r="425" spans="1:8" ht="33">
      <c r="A425" s="160">
        <v>1</v>
      </c>
      <c r="B425" s="160" t="s">
        <v>1151</v>
      </c>
      <c r="C425" s="157" t="s">
        <v>18</v>
      </c>
      <c r="D425" s="159">
        <v>30</v>
      </c>
      <c r="E425" s="159">
        <v>44.83</v>
      </c>
      <c r="F425" s="159">
        <v>1344.9</v>
      </c>
      <c r="G425" s="160" t="s">
        <v>1152</v>
      </c>
      <c r="H425" s="34" t="s">
        <v>925</v>
      </c>
    </row>
    <row r="426" spans="1:8" ht="33">
      <c r="A426" s="160">
        <v>2</v>
      </c>
      <c r="B426" s="160" t="s">
        <v>1144</v>
      </c>
      <c r="C426" s="157" t="s">
        <v>927</v>
      </c>
      <c r="D426" s="159">
        <v>0.1</v>
      </c>
      <c r="E426" s="159">
        <v>936.45</v>
      </c>
      <c r="F426" s="159">
        <v>93.65</v>
      </c>
      <c r="G426" s="160" t="s">
        <v>1145</v>
      </c>
      <c r="H426" s="34" t="s">
        <v>925</v>
      </c>
    </row>
    <row r="427" spans="1:8" ht="42.75">
      <c r="A427" s="160">
        <v>3</v>
      </c>
      <c r="B427" s="160" t="s">
        <v>4891</v>
      </c>
      <c r="C427" s="157" t="s">
        <v>927</v>
      </c>
      <c r="D427" s="159">
        <v>0.1</v>
      </c>
      <c r="E427" s="159">
        <v>399.48</v>
      </c>
      <c r="F427" s="159">
        <v>39.950000000000003</v>
      </c>
      <c r="G427" s="160" t="s">
        <v>4892</v>
      </c>
      <c r="H427" s="34" t="s">
        <v>925</v>
      </c>
    </row>
    <row r="428" spans="1:8" ht="33">
      <c r="A428" s="160">
        <v>4</v>
      </c>
      <c r="B428" s="160" t="s">
        <v>1146</v>
      </c>
      <c r="C428" s="157" t="s">
        <v>18</v>
      </c>
      <c r="D428" s="159">
        <v>30</v>
      </c>
      <c r="E428" s="159">
        <v>1.99</v>
      </c>
      <c r="F428" s="159">
        <v>59.7</v>
      </c>
      <c r="G428" s="160" t="s">
        <v>1147</v>
      </c>
      <c r="H428" s="34" t="s">
        <v>925</v>
      </c>
    </row>
    <row r="429" spans="1:8" ht="33">
      <c r="A429" s="160">
        <v>5</v>
      </c>
      <c r="B429" s="160" t="s">
        <v>4871</v>
      </c>
      <c r="C429" s="157" t="s">
        <v>927</v>
      </c>
      <c r="D429" s="159">
        <v>0.6</v>
      </c>
      <c r="E429" s="159">
        <v>279.94</v>
      </c>
      <c r="F429" s="159">
        <v>167.96</v>
      </c>
      <c r="G429" s="160" t="s">
        <v>4876</v>
      </c>
      <c r="H429" s="34" t="s">
        <v>925</v>
      </c>
    </row>
    <row r="430" spans="1:8" ht="28.5">
      <c r="A430" s="160">
        <v>6</v>
      </c>
      <c r="B430" s="160" t="s">
        <v>931</v>
      </c>
      <c r="C430" s="157" t="s">
        <v>14</v>
      </c>
      <c r="D430" s="159">
        <v>1</v>
      </c>
      <c r="E430" s="159">
        <v>51.18</v>
      </c>
      <c r="F430" s="159">
        <v>51.18</v>
      </c>
      <c r="G430" s="160" t="s">
        <v>932</v>
      </c>
    </row>
    <row r="431" spans="1:8" ht="33">
      <c r="A431" s="160"/>
      <c r="B431" s="160" t="s">
        <v>933</v>
      </c>
      <c r="C431" s="157" t="s">
        <v>3</v>
      </c>
      <c r="D431" s="159">
        <v>100</v>
      </c>
      <c r="E431" s="159"/>
      <c r="F431" s="159">
        <v>1757.3400000000004</v>
      </c>
      <c r="G431" s="160"/>
      <c r="H431" s="34" t="s">
        <v>925</v>
      </c>
    </row>
    <row r="432" spans="1:8" ht="33">
      <c r="A432" s="160"/>
      <c r="B432" s="160" t="s">
        <v>934</v>
      </c>
      <c r="C432" s="157" t="s">
        <v>3</v>
      </c>
      <c r="D432" s="159"/>
      <c r="E432" s="159"/>
      <c r="F432" s="159">
        <v>17.57</v>
      </c>
      <c r="G432" s="160"/>
      <c r="H432" s="34" t="s">
        <v>925</v>
      </c>
    </row>
    <row r="433" spans="1:8" ht="33">
      <c r="A433" s="160"/>
      <c r="B433" s="160"/>
      <c r="C433" s="157"/>
      <c r="D433" s="159"/>
      <c r="E433" s="159"/>
      <c r="F433" s="159"/>
      <c r="G433" s="160"/>
      <c r="H433" s="34" t="s">
        <v>925</v>
      </c>
    </row>
    <row r="434" spans="1:8" ht="33">
      <c r="A434" s="160" t="s">
        <v>1181</v>
      </c>
      <c r="B434" s="160" t="s">
        <v>4467</v>
      </c>
      <c r="C434" s="157" t="s">
        <v>3</v>
      </c>
      <c r="D434" s="159">
        <v>100</v>
      </c>
      <c r="E434" s="159">
        <v>20.59</v>
      </c>
      <c r="F434" s="159"/>
      <c r="G434" s="160" t="s">
        <v>4893</v>
      </c>
      <c r="H434" s="34" t="s">
        <v>925</v>
      </c>
    </row>
    <row r="435" spans="1:8" ht="33">
      <c r="A435" s="160">
        <v>1</v>
      </c>
      <c r="B435" s="160" t="s">
        <v>1151</v>
      </c>
      <c r="C435" s="157" t="s">
        <v>18</v>
      </c>
      <c r="D435" s="159">
        <v>30</v>
      </c>
      <c r="E435" s="159">
        <v>44.83</v>
      </c>
      <c r="F435" s="159">
        <v>1344.9</v>
      </c>
      <c r="G435" s="160" t="s">
        <v>1152</v>
      </c>
      <c r="H435" s="34" t="s">
        <v>925</v>
      </c>
    </row>
    <row r="436" spans="1:8" ht="33">
      <c r="A436" s="160">
        <v>2</v>
      </c>
      <c r="B436" s="160" t="s">
        <v>1144</v>
      </c>
      <c r="C436" s="157" t="s">
        <v>927</v>
      </c>
      <c r="D436" s="159">
        <v>0.12</v>
      </c>
      <c r="E436" s="159">
        <v>936.45</v>
      </c>
      <c r="F436" s="159">
        <v>112.37</v>
      </c>
      <c r="G436" s="160" t="s">
        <v>1145</v>
      </c>
      <c r="H436" s="34" t="s">
        <v>925</v>
      </c>
    </row>
    <row r="437" spans="1:8" ht="42.75">
      <c r="A437" s="160">
        <v>3</v>
      </c>
      <c r="B437" s="160" t="s">
        <v>4894</v>
      </c>
      <c r="C437" s="157" t="s">
        <v>927</v>
      </c>
      <c r="D437" s="159">
        <v>0.12</v>
      </c>
      <c r="E437" s="159">
        <v>798.97</v>
      </c>
      <c r="F437" s="159">
        <v>95.88</v>
      </c>
      <c r="G437" s="160" t="s">
        <v>4895</v>
      </c>
      <c r="H437" s="34" t="s">
        <v>925</v>
      </c>
    </row>
    <row r="438" spans="1:8" ht="28.5">
      <c r="A438" s="160">
        <v>4</v>
      </c>
      <c r="B438" s="160" t="s">
        <v>1146</v>
      </c>
      <c r="C438" s="157" t="s">
        <v>18</v>
      </c>
      <c r="D438" s="159">
        <v>30</v>
      </c>
      <c r="E438" s="159">
        <v>1.99</v>
      </c>
      <c r="F438" s="159">
        <v>59.7</v>
      </c>
      <c r="G438" s="160" t="s">
        <v>1147</v>
      </c>
    </row>
    <row r="439" spans="1:8" ht="42.75">
      <c r="A439" s="160">
        <v>5</v>
      </c>
      <c r="B439" s="160" t="s">
        <v>4874</v>
      </c>
      <c r="C439" s="157" t="s">
        <v>927</v>
      </c>
      <c r="D439" s="159">
        <v>0.69</v>
      </c>
      <c r="E439" s="159">
        <v>559.87</v>
      </c>
      <c r="F439" s="159">
        <v>386.31</v>
      </c>
      <c r="G439" s="160" t="s">
        <v>4875</v>
      </c>
      <c r="H439" s="34" t="s">
        <v>925</v>
      </c>
    </row>
    <row r="440" spans="1:8" ht="33">
      <c r="A440" s="160">
        <v>6</v>
      </c>
      <c r="B440" s="160" t="s">
        <v>931</v>
      </c>
      <c r="C440" s="157" t="s">
        <v>14</v>
      </c>
      <c r="D440" s="159">
        <v>1</v>
      </c>
      <c r="E440" s="159">
        <v>59.97</v>
      </c>
      <c r="F440" s="159">
        <v>59.97</v>
      </c>
      <c r="G440" s="160" t="s">
        <v>932</v>
      </c>
      <c r="H440" s="34" t="s">
        <v>925</v>
      </c>
    </row>
    <row r="441" spans="1:8" ht="33">
      <c r="A441" s="160"/>
      <c r="B441" s="160" t="s">
        <v>933</v>
      </c>
      <c r="C441" s="157" t="s">
        <v>3</v>
      </c>
      <c r="D441" s="159">
        <v>100</v>
      </c>
      <c r="E441" s="159"/>
      <c r="F441" s="159">
        <v>2059.13</v>
      </c>
      <c r="G441" s="160"/>
      <c r="H441" s="34" t="s">
        <v>925</v>
      </c>
    </row>
    <row r="442" spans="1:8" ht="33">
      <c r="A442" s="160"/>
      <c r="B442" s="160" t="s">
        <v>934</v>
      </c>
      <c r="C442" s="157" t="s">
        <v>3</v>
      </c>
      <c r="D442" s="159"/>
      <c r="E442" s="159"/>
      <c r="F442" s="159">
        <v>20.59</v>
      </c>
      <c r="G442" s="160"/>
      <c r="H442" s="34" t="s">
        <v>925</v>
      </c>
    </row>
    <row r="443" spans="1:8" ht="33">
      <c r="A443" s="160"/>
      <c r="B443" s="160"/>
      <c r="C443" s="157"/>
      <c r="D443" s="159"/>
      <c r="E443" s="159"/>
      <c r="F443" s="159"/>
      <c r="G443" s="160"/>
      <c r="H443" s="34" t="s">
        <v>925</v>
      </c>
    </row>
    <row r="444" spans="1:8" ht="33">
      <c r="A444" s="160" t="s">
        <v>1186</v>
      </c>
      <c r="B444" s="160" t="s">
        <v>1154</v>
      </c>
      <c r="C444" s="157" t="s">
        <v>0</v>
      </c>
      <c r="D444" s="159">
        <v>1</v>
      </c>
      <c r="E444" s="159">
        <v>7724.6</v>
      </c>
      <c r="F444" s="159"/>
      <c r="G444" s="160" t="s">
        <v>1155</v>
      </c>
      <c r="H444" s="34" t="s">
        <v>925</v>
      </c>
    </row>
    <row r="445" spans="1:8" ht="42.75">
      <c r="A445" s="160">
        <v>1</v>
      </c>
      <c r="B445" s="160" t="s">
        <v>1156</v>
      </c>
      <c r="C445" s="157" t="s">
        <v>0</v>
      </c>
      <c r="D445" s="159">
        <v>1</v>
      </c>
      <c r="E445" s="159">
        <v>7103.04</v>
      </c>
      <c r="F445" s="159">
        <v>7103.04</v>
      </c>
      <c r="G445" s="160" t="s">
        <v>1157</v>
      </c>
      <c r="H445" s="34" t="s">
        <v>925</v>
      </c>
    </row>
    <row r="446" spans="1:8" ht="28.5">
      <c r="A446" s="160">
        <v>2</v>
      </c>
      <c r="B446" s="160" t="s">
        <v>4896</v>
      </c>
      <c r="C446" s="157" t="s">
        <v>0</v>
      </c>
      <c r="D446" s="159">
        <v>1</v>
      </c>
      <c r="E446" s="159">
        <v>370.67</v>
      </c>
      <c r="F446" s="159">
        <v>370.67</v>
      </c>
      <c r="G446" s="160" t="s">
        <v>1158</v>
      </c>
    </row>
    <row r="447" spans="1:8" ht="33">
      <c r="A447" s="160">
        <v>3</v>
      </c>
      <c r="B447" s="160" t="s">
        <v>1159</v>
      </c>
      <c r="C447" s="157" t="s">
        <v>0</v>
      </c>
      <c r="D447" s="159">
        <v>1</v>
      </c>
      <c r="E447" s="159">
        <v>25.9</v>
      </c>
      <c r="F447" s="159">
        <v>25.9</v>
      </c>
      <c r="G447" s="160" t="s">
        <v>1160</v>
      </c>
      <c r="H447" s="34" t="s">
        <v>925</v>
      </c>
    </row>
    <row r="448" spans="1:8" ht="33">
      <c r="A448" s="160">
        <v>4</v>
      </c>
      <c r="B448" s="160" t="s">
        <v>931</v>
      </c>
      <c r="C448" s="157" t="s">
        <v>14</v>
      </c>
      <c r="D448" s="159">
        <v>1</v>
      </c>
      <c r="E448" s="159">
        <v>224.99</v>
      </c>
      <c r="F448" s="159">
        <v>224.99</v>
      </c>
      <c r="G448" s="160" t="s">
        <v>932</v>
      </c>
      <c r="H448" s="34" t="s">
        <v>925</v>
      </c>
    </row>
    <row r="449" spans="1:8" ht="33">
      <c r="A449" s="160"/>
      <c r="B449" s="160" t="s">
        <v>933</v>
      </c>
      <c r="C449" s="157" t="s">
        <v>0</v>
      </c>
      <c r="D449" s="159">
        <v>1</v>
      </c>
      <c r="E449" s="159"/>
      <c r="F449" s="159">
        <v>7724.5999999999995</v>
      </c>
      <c r="G449" s="160"/>
      <c r="H449" s="34" t="s">
        <v>925</v>
      </c>
    </row>
    <row r="450" spans="1:8" ht="33">
      <c r="A450" s="160"/>
      <c r="B450" s="160" t="s">
        <v>934</v>
      </c>
      <c r="C450" s="157" t="s">
        <v>0</v>
      </c>
      <c r="D450" s="159"/>
      <c r="E450" s="159"/>
      <c r="F450" s="159">
        <v>7724.6</v>
      </c>
      <c r="G450" s="160"/>
      <c r="H450" s="34" t="s">
        <v>925</v>
      </c>
    </row>
    <row r="451" spans="1:8" ht="33">
      <c r="A451" s="160"/>
      <c r="B451" s="160"/>
      <c r="C451" s="157"/>
      <c r="D451" s="159"/>
      <c r="E451" s="159"/>
      <c r="F451" s="159"/>
      <c r="G451" s="160"/>
      <c r="H451" s="34" t="s">
        <v>925</v>
      </c>
    </row>
    <row r="452" spans="1:8" ht="33">
      <c r="A452" s="160" t="s">
        <v>1191</v>
      </c>
      <c r="B452" s="160" t="s">
        <v>3639</v>
      </c>
      <c r="C452" s="157" t="s">
        <v>0</v>
      </c>
      <c r="D452" s="159">
        <v>1</v>
      </c>
      <c r="E452" s="159">
        <v>8226.06</v>
      </c>
      <c r="F452" s="159"/>
      <c r="G452" s="160" t="s">
        <v>4019</v>
      </c>
      <c r="H452" s="34" t="s">
        <v>925</v>
      </c>
    </row>
    <row r="453" spans="1:8" ht="33">
      <c r="A453" s="160">
        <v>1</v>
      </c>
      <c r="B453" s="160" t="s">
        <v>1167</v>
      </c>
      <c r="C453" s="157" t="s">
        <v>0</v>
      </c>
      <c r="D453" s="159">
        <v>1</v>
      </c>
      <c r="E453" s="159">
        <v>7103.04</v>
      </c>
      <c r="F453" s="159">
        <v>7103.04</v>
      </c>
      <c r="G453" s="160" t="s">
        <v>1168</v>
      </c>
      <c r="H453" s="34" t="s">
        <v>925</v>
      </c>
    </row>
    <row r="454" spans="1:8" ht="28.5">
      <c r="A454" s="160">
        <v>2</v>
      </c>
      <c r="B454" s="160" t="s">
        <v>4897</v>
      </c>
      <c r="C454" s="157" t="s">
        <v>0</v>
      </c>
      <c r="D454" s="159">
        <v>1</v>
      </c>
      <c r="E454" s="159">
        <v>857.53</v>
      </c>
      <c r="F454" s="159">
        <v>857.53</v>
      </c>
      <c r="G454" s="160" t="s">
        <v>1169</v>
      </c>
    </row>
    <row r="455" spans="1:8" ht="33">
      <c r="A455" s="160">
        <v>3</v>
      </c>
      <c r="B455" s="160" t="s">
        <v>1159</v>
      </c>
      <c r="C455" s="157" t="s">
        <v>0</v>
      </c>
      <c r="D455" s="159">
        <v>1</v>
      </c>
      <c r="E455" s="159">
        <v>25.9</v>
      </c>
      <c r="F455" s="159">
        <v>25.9</v>
      </c>
      <c r="G455" s="160" t="s">
        <v>1160</v>
      </c>
      <c r="H455" s="34" t="s">
        <v>925</v>
      </c>
    </row>
    <row r="456" spans="1:8" ht="33">
      <c r="A456" s="160">
        <v>4</v>
      </c>
      <c r="B456" s="160" t="s">
        <v>931</v>
      </c>
      <c r="C456" s="157" t="s">
        <v>14</v>
      </c>
      <c r="D456" s="159">
        <v>1</v>
      </c>
      <c r="E456" s="159">
        <v>239.59</v>
      </c>
      <c r="F456" s="159">
        <v>239.59</v>
      </c>
      <c r="G456" s="160" t="s">
        <v>932</v>
      </c>
      <c r="H456" s="34" t="s">
        <v>925</v>
      </c>
    </row>
    <row r="457" spans="1:8" ht="33">
      <c r="A457" s="160"/>
      <c r="B457" s="160" t="s">
        <v>933</v>
      </c>
      <c r="C457" s="157" t="s">
        <v>0</v>
      </c>
      <c r="D457" s="159">
        <v>1</v>
      </c>
      <c r="E457" s="159"/>
      <c r="F457" s="159">
        <v>8226.06</v>
      </c>
      <c r="G457" s="160"/>
      <c r="H457" s="34" t="s">
        <v>925</v>
      </c>
    </row>
    <row r="458" spans="1:8" ht="33">
      <c r="A458" s="160"/>
      <c r="B458" s="160" t="s">
        <v>934</v>
      </c>
      <c r="C458" s="157" t="s">
        <v>0</v>
      </c>
      <c r="D458" s="159"/>
      <c r="E458" s="159"/>
      <c r="F458" s="159">
        <v>8226.06</v>
      </c>
      <c r="G458" s="160"/>
      <c r="H458" s="34" t="s">
        <v>925</v>
      </c>
    </row>
    <row r="459" spans="1:8" ht="33">
      <c r="A459" s="160"/>
      <c r="B459" s="160"/>
      <c r="C459" s="157"/>
      <c r="D459" s="159"/>
      <c r="E459" s="159"/>
      <c r="F459" s="159"/>
      <c r="G459" s="160"/>
      <c r="H459" s="34" t="s">
        <v>925</v>
      </c>
    </row>
    <row r="460" spans="1:8" ht="42.75">
      <c r="A460" s="160" t="s">
        <v>1194</v>
      </c>
      <c r="B460" s="160" t="s">
        <v>4049</v>
      </c>
      <c r="C460" s="157" t="s">
        <v>0</v>
      </c>
      <c r="D460" s="159">
        <v>1</v>
      </c>
      <c r="E460" s="159">
        <v>8720.94</v>
      </c>
      <c r="F460" s="159"/>
      <c r="G460" s="160" t="s">
        <v>2582</v>
      </c>
      <c r="H460" s="34" t="s">
        <v>925</v>
      </c>
    </row>
    <row r="461" spans="1:8" ht="33">
      <c r="A461" s="160">
        <v>1</v>
      </c>
      <c r="B461" s="160" t="s">
        <v>1167</v>
      </c>
      <c r="C461" s="157" t="s">
        <v>0</v>
      </c>
      <c r="D461" s="159">
        <v>1</v>
      </c>
      <c r="E461" s="159">
        <v>7103.04</v>
      </c>
      <c r="F461" s="159">
        <v>7103.04</v>
      </c>
      <c r="G461" s="160" t="s">
        <v>1168</v>
      </c>
      <c r="H461" s="34" t="s">
        <v>925</v>
      </c>
    </row>
    <row r="462" spans="1:8" ht="28.5">
      <c r="A462" s="160">
        <v>2</v>
      </c>
      <c r="B462" s="160" t="s">
        <v>4898</v>
      </c>
      <c r="C462" s="157" t="s">
        <v>0</v>
      </c>
      <c r="D462" s="159">
        <v>1</v>
      </c>
      <c r="E462" s="159">
        <v>1337.99</v>
      </c>
      <c r="F462" s="159">
        <v>1337.99</v>
      </c>
      <c r="G462" s="160" t="s">
        <v>4899</v>
      </c>
    </row>
    <row r="463" spans="1:8" ht="33">
      <c r="A463" s="160">
        <v>3</v>
      </c>
      <c r="B463" s="160" t="s">
        <v>1159</v>
      </c>
      <c r="C463" s="157" t="s">
        <v>0</v>
      </c>
      <c r="D463" s="159">
        <v>1</v>
      </c>
      <c r="E463" s="159">
        <v>25.9</v>
      </c>
      <c r="F463" s="159">
        <v>25.9</v>
      </c>
      <c r="G463" s="160" t="s">
        <v>1160</v>
      </c>
      <c r="H463" s="34" t="s">
        <v>925</v>
      </c>
    </row>
    <row r="464" spans="1:8" ht="33">
      <c r="A464" s="160">
        <v>4</v>
      </c>
      <c r="B464" s="160" t="s">
        <v>931</v>
      </c>
      <c r="C464" s="157" t="s">
        <v>14</v>
      </c>
      <c r="D464" s="159">
        <v>1</v>
      </c>
      <c r="E464" s="159">
        <v>254.01</v>
      </c>
      <c r="F464" s="159">
        <v>254.01</v>
      </c>
      <c r="G464" s="160" t="s">
        <v>932</v>
      </c>
      <c r="H464" s="34" t="s">
        <v>925</v>
      </c>
    </row>
    <row r="465" spans="1:8" ht="33">
      <c r="A465" s="160"/>
      <c r="B465" s="160" t="s">
        <v>933</v>
      </c>
      <c r="C465" s="157" t="s">
        <v>0</v>
      </c>
      <c r="D465" s="159">
        <v>1</v>
      </c>
      <c r="E465" s="159"/>
      <c r="F465" s="159">
        <v>8720.94</v>
      </c>
      <c r="G465" s="160"/>
      <c r="H465" s="34" t="s">
        <v>925</v>
      </c>
    </row>
    <row r="466" spans="1:8" ht="33">
      <c r="A466" s="160"/>
      <c r="B466" s="160" t="s">
        <v>934</v>
      </c>
      <c r="C466" s="157" t="s">
        <v>0</v>
      </c>
      <c r="D466" s="159"/>
      <c r="E466" s="159"/>
      <c r="F466" s="159">
        <v>8720.94</v>
      </c>
      <c r="G466" s="160"/>
      <c r="H466" s="34" t="s">
        <v>925</v>
      </c>
    </row>
    <row r="467" spans="1:8" ht="33">
      <c r="A467" s="160"/>
      <c r="B467" s="160"/>
      <c r="C467" s="157"/>
      <c r="D467" s="159"/>
      <c r="E467" s="159"/>
      <c r="F467" s="159"/>
      <c r="G467" s="160"/>
      <c r="H467" s="34" t="s">
        <v>925</v>
      </c>
    </row>
    <row r="468" spans="1:8" ht="33">
      <c r="A468" s="160" t="s">
        <v>1199</v>
      </c>
      <c r="B468" s="160" t="s">
        <v>1162</v>
      </c>
      <c r="C468" s="157" t="s">
        <v>0</v>
      </c>
      <c r="D468" s="159">
        <v>1</v>
      </c>
      <c r="E468" s="159">
        <v>7663.02</v>
      </c>
      <c r="F468" s="159"/>
      <c r="G468" s="160" t="s">
        <v>1163</v>
      </c>
      <c r="H468" s="34" t="s">
        <v>925</v>
      </c>
    </row>
    <row r="469" spans="1:8" ht="42.75">
      <c r="A469" s="160">
        <v>1</v>
      </c>
      <c r="B469" s="160" t="s">
        <v>1164</v>
      </c>
      <c r="C469" s="157" t="s">
        <v>0</v>
      </c>
      <c r="D469" s="159">
        <v>1</v>
      </c>
      <c r="E469" s="159">
        <v>7043.26</v>
      </c>
      <c r="F469" s="159">
        <v>7043.26</v>
      </c>
      <c r="G469" s="160" t="s">
        <v>1165</v>
      </c>
      <c r="H469" s="34" t="s">
        <v>925</v>
      </c>
    </row>
    <row r="470" spans="1:8" ht="28.5">
      <c r="A470" s="160">
        <v>2</v>
      </c>
      <c r="B470" s="160" t="s">
        <v>4896</v>
      </c>
      <c r="C470" s="157" t="s">
        <v>0</v>
      </c>
      <c r="D470" s="159">
        <v>1</v>
      </c>
      <c r="E470" s="159">
        <v>370.67</v>
      </c>
      <c r="F470" s="159">
        <v>370.67</v>
      </c>
      <c r="G470" s="160" t="s">
        <v>1158</v>
      </c>
    </row>
    <row r="471" spans="1:8" ht="33">
      <c r="A471" s="160">
        <v>3</v>
      </c>
      <c r="B471" s="160" t="s">
        <v>1159</v>
      </c>
      <c r="C471" s="157" t="s">
        <v>0</v>
      </c>
      <c r="D471" s="159">
        <v>1</v>
      </c>
      <c r="E471" s="159">
        <v>25.9</v>
      </c>
      <c r="F471" s="159">
        <v>25.9</v>
      </c>
      <c r="G471" s="160" t="s">
        <v>1160</v>
      </c>
      <c r="H471" s="34" t="s">
        <v>925</v>
      </c>
    </row>
    <row r="472" spans="1:8" ht="33">
      <c r="A472" s="160">
        <v>4</v>
      </c>
      <c r="B472" s="160" t="s">
        <v>931</v>
      </c>
      <c r="C472" s="157" t="s">
        <v>14</v>
      </c>
      <c r="D472" s="159">
        <v>1</v>
      </c>
      <c r="E472" s="159">
        <v>223.19</v>
      </c>
      <c r="F472" s="159">
        <v>223.19</v>
      </c>
      <c r="G472" s="160" t="s">
        <v>932</v>
      </c>
      <c r="H472" s="34" t="s">
        <v>925</v>
      </c>
    </row>
    <row r="473" spans="1:8" ht="33">
      <c r="A473" s="160"/>
      <c r="B473" s="160" t="s">
        <v>933</v>
      </c>
      <c r="C473" s="157" t="s">
        <v>0</v>
      </c>
      <c r="D473" s="159">
        <v>1</v>
      </c>
      <c r="E473" s="159"/>
      <c r="F473" s="159">
        <v>7663.0199999999995</v>
      </c>
      <c r="G473" s="160"/>
      <c r="H473" s="34" t="s">
        <v>925</v>
      </c>
    </row>
    <row r="474" spans="1:8" ht="33">
      <c r="A474" s="160"/>
      <c r="B474" s="160" t="s">
        <v>934</v>
      </c>
      <c r="C474" s="157" t="s">
        <v>0</v>
      </c>
      <c r="D474" s="159"/>
      <c r="E474" s="159"/>
      <c r="F474" s="159">
        <v>7663.02</v>
      </c>
      <c r="G474" s="160"/>
      <c r="H474" s="34" t="s">
        <v>925</v>
      </c>
    </row>
    <row r="475" spans="1:8" ht="33">
      <c r="A475" s="160"/>
      <c r="B475" s="160"/>
      <c r="C475" s="157"/>
      <c r="D475" s="159"/>
      <c r="E475" s="159"/>
      <c r="F475" s="159"/>
      <c r="G475" s="160"/>
      <c r="H475" s="34" t="s">
        <v>925</v>
      </c>
    </row>
    <row r="476" spans="1:8" ht="42.75">
      <c r="A476" s="160" t="s">
        <v>1202</v>
      </c>
      <c r="B476" s="160" t="s">
        <v>3640</v>
      </c>
      <c r="C476" s="157" t="s">
        <v>0</v>
      </c>
      <c r="D476" s="159">
        <v>1</v>
      </c>
      <c r="E476" s="159">
        <v>8164.49</v>
      </c>
      <c r="F476" s="159"/>
      <c r="G476" s="160" t="s">
        <v>4020</v>
      </c>
      <c r="H476" s="34" t="s">
        <v>925</v>
      </c>
    </row>
    <row r="477" spans="1:8" ht="33">
      <c r="A477" s="160">
        <v>1</v>
      </c>
      <c r="B477" s="160" t="s">
        <v>1171</v>
      </c>
      <c r="C477" s="157" t="s">
        <v>0</v>
      </c>
      <c r="D477" s="159">
        <v>1</v>
      </c>
      <c r="E477" s="159">
        <v>7043.26</v>
      </c>
      <c r="F477" s="159">
        <v>7043.26</v>
      </c>
      <c r="G477" s="160" t="s">
        <v>1172</v>
      </c>
      <c r="H477" s="34" t="s">
        <v>925</v>
      </c>
    </row>
    <row r="478" spans="1:8" ht="28.5">
      <c r="A478" s="160">
        <v>2</v>
      </c>
      <c r="B478" s="160" t="s">
        <v>4897</v>
      </c>
      <c r="C478" s="157" t="s">
        <v>0</v>
      </c>
      <c r="D478" s="159">
        <v>1</v>
      </c>
      <c r="E478" s="159">
        <v>857.53</v>
      </c>
      <c r="F478" s="159">
        <v>857.53</v>
      </c>
      <c r="G478" s="160" t="s">
        <v>1169</v>
      </c>
    </row>
    <row r="479" spans="1:8" ht="33">
      <c r="A479" s="160">
        <v>3</v>
      </c>
      <c r="B479" s="160" t="s">
        <v>1159</v>
      </c>
      <c r="C479" s="157" t="s">
        <v>0</v>
      </c>
      <c r="D479" s="159">
        <v>1</v>
      </c>
      <c r="E479" s="159">
        <v>25.9</v>
      </c>
      <c r="F479" s="159">
        <v>25.9</v>
      </c>
      <c r="G479" s="160" t="s">
        <v>1160</v>
      </c>
      <c r="H479" s="34" t="s">
        <v>925</v>
      </c>
    </row>
    <row r="480" spans="1:8" ht="33">
      <c r="A480" s="160">
        <v>4</v>
      </c>
      <c r="B480" s="160" t="s">
        <v>931</v>
      </c>
      <c r="C480" s="157" t="s">
        <v>14</v>
      </c>
      <c r="D480" s="159">
        <v>1</v>
      </c>
      <c r="E480" s="159">
        <v>237.8</v>
      </c>
      <c r="F480" s="159">
        <v>237.8</v>
      </c>
      <c r="G480" s="160" t="s">
        <v>932</v>
      </c>
      <c r="H480" s="34" t="s">
        <v>925</v>
      </c>
    </row>
    <row r="481" spans="1:8" ht="33">
      <c r="A481" s="160"/>
      <c r="B481" s="160" t="s">
        <v>933</v>
      </c>
      <c r="C481" s="157" t="s">
        <v>0</v>
      </c>
      <c r="D481" s="159">
        <v>1</v>
      </c>
      <c r="E481" s="159"/>
      <c r="F481" s="159">
        <v>8164.49</v>
      </c>
      <c r="G481" s="160"/>
      <c r="H481" s="34" t="s">
        <v>925</v>
      </c>
    </row>
    <row r="482" spans="1:8" ht="33">
      <c r="A482" s="160"/>
      <c r="B482" s="160" t="s">
        <v>934</v>
      </c>
      <c r="C482" s="157" t="s">
        <v>0</v>
      </c>
      <c r="D482" s="159"/>
      <c r="E482" s="159"/>
      <c r="F482" s="159">
        <v>8164.49</v>
      </c>
      <c r="G482" s="160"/>
      <c r="H482" s="34" t="s">
        <v>925</v>
      </c>
    </row>
    <row r="483" spans="1:8" ht="33">
      <c r="A483" s="160"/>
      <c r="B483" s="160"/>
      <c r="C483" s="157"/>
      <c r="D483" s="159"/>
      <c r="E483" s="159"/>
      <c r="F483" s="159"/>
      <c r="G483" s="160"/>
      <c r="H483" s="34" t="s">
        <v>925</v>
      </c>
    </row>
    <row r="484" spans="1:8" ht="42.75">
      <c r="A484" s="160" t="s">
        <v>1214</v>
      </c>
      <c r="B484" s="160" t="s">
        <v>4048</v>
      </c>
      <c r="C484" s="157" t="s">
        <v>0</v>
      </c>
      <c r="D484" s="159">
        <v>1</v>
      </c>
      <c r="E484" s="159">
        <v>8659.36</v>
      </c>
      <c r="F484" s="159"/>
      <c r="G484" s="160" t="s">
        <v>2581</v>
      </c>
      <c r="H484" s="34" t="s">
        <v>925</v>
      </c>
    </row>
    <row r="485" spans="1:8" ht="33">
      <c r="A485" s="160">
        <v>1</v>
      </c>
      <c r="B485" s="160" t="s">
        <v>1171</v>
      </c>
      <c r="C485" s="157" t="s">
        <v>0</v>
      </c>
      <c r="D485" s="159">
        <v>1</v>
      </c>
      <c r="E485" s="159">
        <v>7043.26</v>
      </c>
      <c r="F485" s="159">
        <v>7043.26</v>
      </c>
      <c r="G485" s="160" t="s">
        <v>1172</v>
      </c>
      <c r="H485" s="34" t="s">
        <v>925</v>
      </c>
    </row>
    <row r="486" spans="1:8" ht="28.5">
      <c r="A486" s="160">
        <v>2</v>
      </c>
      <c r="B486" s="160" t="s">
        <v>4898</v>
      </c>
      <c r="C486" s="157" t="s">
        <v>0</v>
      </c>
      <c r="D486" s="159">
        <v>1</v>
      </c>
      <c r="E486" s="159">
        <v>1337.99</v>
      </c>
      <c r="F486" s="159">
        <v>1337.99</v>
      </c>
      <c r="G486" s="160" t="s">
        <v>4899</v>
      </c>
    </row>
    <row r="487" spans="1:8" ht="33">
      <c r="A487" s="160">
        <v>3</v>
      </c>
      <c r="B487" s="160" t="s">
        <v>1159</v>
      </c>
      <c r="C487" s="157" t="s">
        <v>0</v>
      </c>
      <c r="D487" s="159">
        <v>1</v>
      </c>
      <c r="E487" s="159">
        <v>25.9</v>
      </c>
      <c r="F487" s="159">
        <v>25.9</v>
      </c>
      <c r="G487" s="160" t="s">
        <v>1160</v>
      </c>
      <c r="H487" s="34" t="s">
        <v>925</v>
      </c>
    </row>
    <row r="488" spans="1:8" ht="33">
      <c r="A488" s="160">
        <v>4</v>
      </c>
      <c r="B488" s="160" t="s">
        <v>931</v>
      </c>
      <c r="C488" s="157" t="s">
        <v>14</v>
      </c>
      <c r="D488" s="159">
        <v>1</v>
      </c>
      <c r="E488" s="159">
        <v>252.21</v>
      </c>
      <c r="F488" s="159">
        <v>252.21</v>
      </c>
      <c r="G488" s="160" t="s">
        <v>932</v>
      </c>
      <c r="H488" s="34" t="s">
        <v>925</v>
      </c>
    </row>
    <row r="489" spans="1:8" ht="33">
      <c r="A489" s="160"/>
      <c r="B489" s="160" t="s">
        <v>933</v>
      </c>
      <c r="C489" s="157" t="s">
        <v>0</v>
      </c>
      <c r="D489" s="159">
        <v>1</v>
      </c>
      <c r="E489" s="159"/>
      <c r="F489" s="159">
        <v>8659.3599999999988</v>
      </c>
      <c r="G489" s="160"/>
      <c r="H489" s="34" t="s">
        <v>925</v>
      </c>
    </row>
    <row r="490" spans="1:8" ht="33">
      <c r="A490" s="160"/>
      <c r="B490" s="160" t="s">
        <v>934</v>
      </c>
      <c r="C490" s="157" t="s">
        <v>0</v>
      </c>
      <c r="D490" s="159"/>
      <c r="E490" s="159"/>
      <c r="F490" s="159">
        <v>8659.36</v>
      </c>
      <c r="G490" s="160"/>
      <c r="H490" s="34" t="s">
        <v>925</v>
      </c>
    </row>
    <row r="491" spans="1:8" ht="33">
      <c r="A491" s="160"/>
      <c r="B491" s="160"/>
      <c r="C491" s="157"/>
      <c r="D491" s="159"/>
      <c r="E491" s="159"/>
      <c r="F491" s="159"/>
      <c r="G491" s="160"/>
      <c r="H491" s="34" t="s">
        <v>925</v>
      </c>
    </row>
    <row r="492" spans="1:8" ht="33">
      <c r="A492" s="160" t="s">
        <v>1230</v>
      </c>
      <c r="B492" s="160" t="s">
        <v>1174</v>
      </c>
      <c r="C492" s="157" t="s">
        <v>0</v>
      </c>
      <c r="D492" s="159">
        <v>1</v>
      </c>
      <c r="E492" s="159">
        <v>7488.59</v>
      </c>
      <c r="F492" s="159"/>
      <c r="G492" s="160" t="s">
        <v>1175</v>
      </c>
      <c r="H492" s="34" t="s">
        <v>925</v>
      </c>
    </row>
    <row r="493" spans="1:8" ht="42.75">
      <c r="A493" s="160">
        <v>1</v>
      </c>
      <c r="B493" s="160" t="s">
        <v>1176</v>
      </c>
      <c r="C493" s="157" t="s">
        <v>0</v>
      </c>
      <c r="D493" s="159">
        <v>1</v>
      </c>
      <c r="E493" s="159">
        <v>6873.91</v>
      </c>
      <c r="F493" s="159">
        <v>6873.91</v>
      </c>
      <c r="G493" s="160" t="s">
        <v>1177</v>
      </c>
      <c r="H493" s="34" t="s">
        <v>925</v>
      </c>
    </row>
    <row r="494" spans="1:8" ht="33">
      <c r="A494" s="160">
        <v>2</v>
      </c>
      <c r="B494" s="160" t="s">
        <v>1159</v>
      </c>
      <c r="C494" s="157" t="s">
        <v>0</v>
      </c>
      <c r="D494" s="159">
        <v>1</v>
      </c>
      <c r="E494" s="159">
        <v>25.9</v>
      </c>
      <c r="F494" s="159">
        <v>25.9</v>
      </c>
      <c r="G494" s="160" t="s">
        <v>1160</v>
      </c>
      <c r="H494" s="34" t="s">
        <v>925</v>
      </c>
    </row>
    <row r="495" spans="1:8" ht="28.5">
      <c r="A495" s="160">
        <v>3</v>
      </c>
      <c r="B495" s="160" t="s">
        <v>4896</v>
      </c>
      <c r="C495" s="157" t="s">
        <v>0</v>
      </c>
      <c r="D495" s="159">
        <v>1</v>
      </c>
      <c r="E495" s="159">
        <v>370.67</v>
      </c>
      <c r="F495" s="159">
        <v>370.67</v>
      </c>
      <c r="G495" s="160" t="s">
        <v>1158</v>
      </c>
    </row>
    <row r="496" spans="1:8" ht="33">
      <c r="A496" s="160">
        <v>4</v>
      </c>
      <c r="B496" s="160" t="s">
        <v>931</v>
      </c>
      <c r="C496" s="157" t="s">
        <v>14</v>
      </c>
      <c r="D496" s="159">
        <v>1</v>
      </c>
      <c r="E496" s="159">
        <v>218.11</v>
      </c>
      <c r="F496" s="159">
        <v>218.11</v>
      </c>
      <c r="G496" s="160" t="s">
        <v>932</v>
      </c>
      <c r="H496" s="34" t="s">
        <v>925</v>
      </c>
    </row>
    <row r="497" spans="1:8" ht="33">
      <c r="A497" s="160"/>
      <c r="B497" s="160" t="s">
        <v>933</v>
      </c>
      <c r="C497" s="157" t="s">
        <v>0</v>
      </c>
      <c r="D497" s="159">
        <v>1</v>
      </c>
      <c r="E497" s="159"/>
      <c r="F497" s="159">
        <v>7488.5899999999992</v>
      </c>
      <c r="G497" s="160"/>
      <c r="H497" s="34" t="s">
        <v>925</v>
      </c>
    </row>
    <row r="498" spans="1:8" ht="33">
      <c r="A498" s="160"/>
      <c r="B498" s="160" t="s">
        <v>934</v>
      </c>
      <c r="C498" s="157" t="s">
        <v>0</v>
      </c>
      <c r="D498" s="159"/>
      <c r="E498" s="159"/>
      <c r="F498" s="159">
        <v>7488.59</v>
      </c>
      <c r="G498" s="160"/>
      <c r="H498" s="34" t="s">
        <v>925</v>
      </c>
    </row>
    <row r="499" spans="1:8" ht="33">
      <c r="A499" s="160"/>
      <c r="B499" s="160"/>
      <c r="C499" s="157"/>
      <c r="D499" s="159"/>
      <c r="E499" s="159"/>
      <c r="F499" s="159"/>
      <c r="G499" s="160"/>
      <c r="H499" s="34" t="s">
        <v>925</v>
      </c>
    </row>
    <row r="500" spans="1:8" ht="42.75">
      <c r="A500" s="160" t="s">
        <v>1235</v>
      </c>
      <c r="B500" s="160" t="s">
        <v>1179</v>
      </c>
      <c r="C500" s="157" t="s">
        <v>0</v>
      </c>
      <c r="D500" s="159">
        <v>1</v>
      </c>
      <c r="E500" s="159">
        <v>7990.06</v>
      </c>
      <c r="F500" s="159"/>
      <c r="G500" s="160" t="s">
        <v>1180</v>
      </c>
      <c r="H500" s="34" t="s">
        <v>925</v>
      </c>
    </row>
    <row r="501" spans="1:8" ht="42.75">
      <c r="A501" s="160">
        <v>1</v>
      </c>
      <c r="B501" s="160" t="s">
        <v>1176</v>
      </c>
      <c r="C501" s="157" t="s">
        <v>0</v>
      </c>
      <c r="D501" s="159">
        <v>1</v>
      </c>
      <c r="E501" s="159">
        <v>6873.91</v>
      </c>
      <c r="F501" s="159">
        <v>6873.91</v>
      </c>
      <c r="G501" s="160" t="s">
        <v>1177</v>
      </c>
      <c r="H501" s="34" t="s">
        <v>925</v>
      </c>
    </row>
    <row r="502" spans="1:8" ht="33">
      <c r="A502" s="160">
        <v>2</v>
      </c>
      <c r="B502" s="160" t="s">
        <v>1159</v>
      </c>
      <c r="C502" s="157" t="s">
        <v>0</v>
      </c>
      <c r="D502" s="159">
        <v>1</v>
      </c>
      <c r="E502" s="159">
        <v>25.9</v>
      </c>
      <c r="F502" s="159">
        <v>25.9</v>
      </c>
      <c r="G502" s="160" t="s">
        <v>1160</v>
      </c>
      <c r="H502" s="34" t="s">
        <v>925</v>
      </c>
    </row>
    <row r="503" spans="1:8" ht="33">
      <c r="A503" s="160">
        <v>3</v>
      </c>
      <c r="B503" s="160" t="s">
        <v>4897</v>
      </c>
      <c r="C503" s="157" t="s">
        <v>0</v>
      </c>
      <c r="D503" s="159">
        <v>1</v>
      </c>
      <c r="E503" s="159">
        <v>857.53</v>
      </c>
      <c r="F503" s="159">
        <v>857.53</v>
      </c>
      <c r="G503" s="160" t="s">
        <v>1169</v>
      </c>
      <c r="H503" s="34" t="s">
        <v>925</v>
      </c>
    </row>
    <row r="504" spans="1:8" ht="33">
      <c r="A504" s="160">
        <v>4</v>
      </c>
      <c r="B504" s="160" t="s">
        <v>931</v>
      </c>
      <c r="C504" s="157" t="s">
        <v>14</v>
      </c>
      <c r="D504" s="159">
        <v>1</v>
      </c>
      <c r="E504" s="159">
        <v>232.72</v>
      </c>
      <c r="F504" s="159">
        <v>232.72</v>
      </c>
      <c r="G504" s="160" t="s">
        <v>932</v>
      </c>
      <c r="H504" s="34" t="s">
        <v>925</v>
      </c>
    </row>
    <row r="505" spans="1:8" ht="33">
      <c r="A505" s="160"/>
      <c r="B505" s="160" t="s">
        <v>933</v>
      </c>
      <c r="C505" s="157" t="s">
        <v>0</v>
      </c>
      <c r="D505" s="159">
        <v>1</v>
      </c>
      <c r="E505" s="159"/>
      <c r="F505" s="159">
        <v>7990.0599999999995</v>
      </c>
      <c r="G505" s="160"/>
      <c r="H505" s="34" t="s">
        <v>925</v>
      </c>
    </row>
    <row r="506" spans="1:8" ht="33">
      <c r="A506" s="160"/>
      <c r="B506" s="160" t="s">
        <v>934</v>
      </c>
      <c r="C506" s="157" t="s">
        <v>0</v>
      </c>
      <c r="D506" s="159"/>
      <c r="E506" s="159"/>
      <c r="F506" s="159">
        <v>7990.06</v>
      </c>
      <c r="G506" s="160"/>
      <c r="H506" s="34" t="s">
        <v>925</v>
      </c>
    </row>
    <row r="507" spans="1:8" ht="33">
      <c r="A507" s="160"/>
      <c r="B507" s="160"/>
      <c r="C507" s="157"/>
      <c r="D507" s="159"/>
      <c r="E507" s="159"/>
      <c r="F507" s="159"/>
      <c r="G507" s="160"/>
      <c r="H507" s="34" t="s">
        <v>925</v>
      </c>
    </row>
    <row r="508" spans="1:8" ht="42.75">
      <c r="A508" s="160" t="s">
        <v>1238</v>
      </c>
      <c r="B508" s="160" t="s">
        <v>4477</v>
      </c>
      <c r="C508" s="157" t="s">
        <v>0</v>
      </c>
      <c r="D508" s="159">
        <v>1</v>
      </c>
      <c r="E508" s="159">
        <v>8484.93</v>
      </c>
      <c r="F508" s="159"/>
      <c r="G508" s="160" t="s">
        <v>4900</v>
      </c>
    </row>
    <row r="509" spans="1:8" ht="42.75">
      <c r="A509" s="160">
        <v>1</v>
      </c>
      <c r="B509" s="160" t="s">
        <v>1176</v>
      </c>
      <c r="C509" s="157" t="s">
        <v>0</v>
      </c>
      <c r="D509" s="159">
        <v>1</v>
      </c>
      <c r="E509" s="159">
        <v>6873.91</v>
      </c>
      <c r="F509" s="159">
        <v>6873.91</v>
      </c>
      <c r="G509" s="160" t="s">
        <v>1177</v>
      </c>
      <c r="H509" s="34" t="s">
        <v>925</v>
      </c>
    </row>
    <row r="510" spans="1:8" ht="33">
      <c r="A510" s="160">
        <v>2</v>
      </c>
      <c r="B510" s="160" t="s">
        <v>1159</v>
      </c>
      <c r="C510" s="157" t="s">
        <v>0</v>
      </c>
      <c r="D510" s="159">
        <v>1</v>
      </c>
      <c r="E510" s="159">
        <v>25.9</v>
      </c>
      <c r="F510" s="159">
        <v>25.9</v>
      </c>
      <c r="G510" s="160" t="s">
        <v>1160</v>
      </c>
      <c r="H510" s="34" t="s">
        <v>925</v>
      </c>
    </row>
    <row r="511" spans="1:8" ht="33">
      <c r="A511" s="160">
        <v>3</v>
      </c>
      <c r="B511" s="160" t="s">
        <v>4898</v>
      </c>
      <c r="C511" s="157" t="s">
        <v>0</v>
      </c>
      <c r="D511" s="159">
        <v>1</v>
      </c>
      <c r="E511" s="159">
        <v>1337.99</v>
      </c>
      <c r="F511" s="159">
        <v>1337.99</v>
      </c>
      <c r="G511" s="160" t="s">
        <v>4899</v>
      </c>
      <c r="H511" s="34" t="s">
        <v>925</v>
      </c>
    </row>
    <row r="512" spans="1:8" ht="33">
      <c r="A512" s="160">
        <v>4</v>
      </c>
      <c r="B512" s="160" t="s">
        <v>931</v>
      </c>
      <c r="C512" s="157" t="s">
        <v>14</v>
      </c>
      <c r="D512" s="159">
        <v>1</v>
      </c>
      <c r="E512" s="159">
        <v>247.13</v>
      </c>
      <c r="F512" s="159">
        <v>247.13</v>
      </c>
      <c r="G512" s="160" t="s">
        <v>932</v>
      </c>
      <c r="H512" s="34" t="s">
        <v>925</v>
      </c>
    </row>
    <row r="513" spans="1:8" ht="33">
      <c r="A513" s="160"/>
      <c r="B513" s="160" t="s">
        <v>933</v>
      </c>
      <c r="C513" s="157" t="s">
        <v>0</v>
      </c>
      <c r="D513" s="159">
        <v>1</v>
      </c>
      <c r="E513" s="159"/>
      <c r="F513" s="159">
        <v>8484.9299999999985</v>
      </c>
      <c r="G513" s="160"/>
      <c r="H513" s="34" t="s">
        <v>925</v>
      </c>
    </row>
    <row r="514" spans="1:8" ht="33">
      <c r="A514" s="160"/>
      <c r="B514" s="160" t="s">
        <v>934</v>
      </c>
      <c r="C514" s="157" t="s">
        <v>0</v>
      </c>
      <c r="D514" s="159"/>
      <c r="E514" s="159"/>
      <c r="F514" s="159">
        <v>8484.93</v>
      </c>
      <c r="G514" s="160"/>
      <c r="H514" s="34" t="s">
        <v>925</v>
      </c>
    </row>
    <row r="515" spans="1:8" ht="33">
      <c r="A515" s="160"/>
      <c r="B515" s="160"/>
      <c r="C515" s="157"/>
      <c r="D515" s="159"/>
      <c r="E515" s="159"/>
      <c r="F515" s="159"/>
      <c r="G515" s="160"/>
      <c r="H515" s="34" t="s">
        <v>925</v>
      </c>
    </row>
    <row r="516" spans="1:8" ht="33">
      <c r="A516" s="160" t="s">
        <v>1241</v>
      </c>
      <c r="B516" s="160" t="s">
        <v>1182</v>
      </c>
      <c r="C516" s="157" t="s">
        <v>0</v>
      </c>
      <c r="D516" s="159">
        <v>1</v>
      </c>
      <c r="E516" s="159">
        <v>8001.65</v>
      </c>
      <c r="F516" s="159"/>
      <c r="G516" s="160" t="s">
        <v>1183</v>
      </c>
      <c r="H516" s="34" t="s">
        <v>925</v>
      </c>
    </row>
    <row r="517" spans="1:8" ht="33">
      <c r="A517" s="160">
        <v>1</v>
      </c>
      <c r="B517" s="160" t="s">
        <v>1184</v>
      </c>
      <c r="C517" s="157" t="s">
        <v>0</v>
      </c>
      <c r="D517" s="159">
        <v>1</v>
      </c>
      <c r="E517" s="159">
        <v>7372.02</v>
      </c>
      <c r="F517" s="159">
        <v>7372.02</v>
      </c>
      <c r="G517" s="160" t="s">
        <v>1185</v>
      </c>
      <c r="H517" s="34" t="s">
        <v>925</v>
      </c>
    </row>
    <row r="518" spans="1:8" ht="33">
      <c r="A518" s="160">
        <v>2</v>
      </c>
      <c r="B518" s="160" t="s">
        <v>4896</v>
      </c>
      <c r="C518" s="157" t="s">
        <v>0</v>
      </c>
      <c r="D518" s="159">
        <v>1</v>
      </c>
      <c r="E518" s="159">
        <v>370.67</v>
      </c>
      <c r="F518" s="159">
        <v>370.67</v>
      </c>
      <c r="G518" s="160" t="s">
        <v>1158</v>
      </c>
      <c r="H518" s="34" t="s">
        <v>925</v>
      </c>
    </row>
    <row r="519" spans="1:8" ht="33">
      <c r="A519" s="160">
        <v>3</v>
      </c>
      <c r="B519" s="160" t="s">
        <v>1159</v>
      </c>
      <c r="C519" s="157" t="s">
        <v>0</v>
      </c>
      <c r="D519" s="159">
        <v>1</v>
      </c>
      <c r="E519" s="159">
        <v>25.9</v>
      </c>
      <c r="F519" s="159">
        <v>25.9</v>
      </c>
      <c r="G519" s="160" t="s">
        <v>1160</v>
      </c>
      <c r="H519" s="34" t="s">
        <v>925</v>
      </c>
    </row>
    <row r="520" spans="1:8" ht="33">
      <c r="A520" s="160">
        <v>4</v>
      </c>
      <c r="B520" s="160" t="s">
        <v>931</v>
      </c>
      <c r="C520" s="157" t="s">
        <v>14</v>
      </c>
      <c r="D520" s="159">
        <v>1</v>
      </c>
      <c r="E520" s="159">
        <v>233.06</v>
      </c>
      <c r="F520" s="159">
        <v>233.06</v>
      </c>
      <c r="G520" s="160" t="s">
        <v>932</v>
      </c>
      <c r="H520" s="34" t="s">
        <v>925</v>
      </c>
    </row>
    <row r="521" spans="1:8" ht="16.5">
      <c r="A521" s="160"/>
      <c r="B521" s="160" t="s">
        <v>933</v>
      </c>
      <c r="C521" s="157" t="s">
        <v>0</v>
      </c>
      <c r="D521" s="159">
        <v>1</v>
      </c>
      <c r="E521" s="159"/>
      <c r="F521" s="159">
        <v>8001.6500000000005</v>
      </c>
      <c r="G521" s="160"/>
    </row>
    <row r="522" spans="1:8" ht="33">
      <c r="A522" s="160"/>
      <c r="B522" s="160" t="s">
        <v>934</v>
      </c>
      <c r="C522" s="157" t="s">
        <v>0</v>
      </c>
      <c r="D522" s="159"/>
      <c r="E522" s="159"/>
      <c r="F522" s="159">
        <v>8001.65</v>
      </c>
      <c r="G522" s="160"/>
      <c r="H522" s="34" t="s">
        <v>925</v>
      </c>
    </row>
    <row r="523" spans="1:8" ht="33">
      <c r="A523" s="160"/>
      <c r="B523" s="160"/>
      <c r="C523" s="157"/>
      <c r="D523" s="159"/>
      <c r="E523" s="159"/>
      <c r="F523" s="159"/>
      <c r="G523" s="160"/>
      <c r="H523" s="34" t="s">
        <v>925</v>
      </c>
    </row>
    <row r="524" spans="1:8" ht="33">
      <c r="A524" s="160" t="s">
        <v>1249</v>
      </c>
      <c r="B524" s="160" t="s">
        <v>1187</v>
      </c>
      <c r="C524" s="157" t="s">
        <v>0</v>
      </c>
      <c r="D524" s="159">
        <v>1</v>
      </c>
      <c r="E524" s="159">
        <v>7098.67</v>
      </c>
      <c r="F524" s="159"/>
      <c r="G524" s="160" t="s">
        <v>1188</v>
      </c>
      <c r="H524" s="34" t="s">
        <v>925</v>
      </c>
    </row>
    <row r="525" spans="1:8" ht="33">
      <c r="A525" s="160">
        <v>1</v>
      </c>
      <c r="B525" s="160" t="s">
        <v>4896</v>
      </c>
      <c r="C525" s="157" t="s">
        <v>0</v>
      </c>
      <c r="D525" s="159">
        <v>1</v>
      </c>
      <c r="E525" s="159">
        <v>370.67</v>
      </c>
      <c r="F525" s="159">
        <v>370.67</v>
      </c>
      <c r="G525" s="160" t="s">
        <v>1158</v>
      </c>
      <c r="H525" s="34" t="s">
        <v>925</v>
      </c>
    </row>
    <row r="526" spans="1:8" ht="42.75">
      <c r="A526" s="160">
        <v>2</v>
      </c>
      <c r="B526" s="160" t="s">
        <v>1189</v>
      </c>
      <c r="C526" s="157" t="s">
        <v>0</v>
      </c>
      <c r="D526" s="159">
        <v>1</v>
      </c>
      <c r="E526" s="159">
        <v>6495.34</v>
      </c>
      <c r="F526" s="159">
        <v>6495.34</v>
      </c>
      <c r="G526" s="160" t="s">
        <v>1190</v>
      </c>
      <c r="H526" s="34" t="s">
        <v>925</v>
      </c>
    </row>
    <row r="527" spans="1:8" ht="33">
      <c r="A527" s="160">
        <v>3</v>
      </c>
      <c r="B527" s="160" t="s">
        <v>1159</v>
      </c>
      <c r="C527" s="157" t="s">
        <v>0</v>
      </c>
      <c r="D527" s="159">
        <v>1</v>
      </c>
      <c r="E527" s="159">
        <v>25.9</v>
      </c>
      <c r="F527" s="159">
        <v>25.9</v>
      </c>
      <c r="G527" s="160" t="s">
        <v>1160</v>
      </c>
      <c r="H527" s="34" t="s">
        <v>925</v>
      </c>
    </row>
    <row r="528" spans="1:8" ht="33">
      <c r="A528" s="160">
        <v>4</v>
      </c>
      <c r="B528" s="160" t="s">
        <v>931</v>
      </c>
      <c r="C528" s="157" t="s">
        <v>14</v>
      </c>
      <c r="D528" s="159">
        <v>1</v>
      </c>
      <c r="E528" s="159">
        <v>206.76</v>
      </c>
      <c r="F528" s="159">
        <v>206.76</v>
      </c>
      <c r="G528" s="160" t="s">
        <v>932</v>
      </c>
      <c r="H528" s="34" t="s">
        <v>925</v>
      </c>
    </row>
    <row r="529" spans="1:8" ht="33">
      <c r="A529" s="160"/>
      <c r="B529" s="160" t="s">
        <v>933</v>
      </c>
      <c r="C529" s="157" t="s">
        <v>0</v>
      </c>
      <c r="D529" s="159">
        <v>1</v>
      </c>
      <c r="E529" s="159"/>
      <c r="F529" s="159">
        <v>7098.67</v>
      </c>
      <c r="G529" s="160"/>
      <c r="H529" s="34" t="s">
        <v>925</v>
      </c>
    </row>
    <row r="530" spans="1:8" ht="33">
      <c r="A530" s="160"/>
      <c r="B530" s="160" t="s">
        <v>934</v>
      </c>
      <c r="C530" s="157" t="s">
        <v>0</v>
      </c>
      <c r="D530" s="159"/>
      <c r="E530" s="159"/>
      <c r="F530" s="159">
        <v>7098.67</v>
      </c>
      <c r="G530" s="160"/>
      <c r="H530" s="34" t="s">
        <v>925</v>
      </c>
    </row>
    <row r="531" spans="1:8" ht="33">
      <c r="A531" s="160"/>
      <c r="B531" s="160"/>
      <c r="C531" s="157"/>
      <c r="D531" s="159"/>
      <c r="E531" s="159"/>
      <c r="F531" s="159"/>
      <c r="G531" s="160"/>
      <c r="H531" s="34" t="s">
        <v>925</v>
      </c>
    </row>
    <row r="532" spans="1:8" ht="42.75">
      <c r="A532" s="160" t="s">
        <v>1252</v>
      </c>
      <c r="B532" s="160" t="s">
        <v>1192</v>
      </c>
      <c r="C532" s="157" t="s">
        <v>0</v>
      </c>
      <c r="D532" s="159">
        <v>1</v>
      </c>
      <c r="E532" s="159">
        <v>7600.13</v>
      </c>
      <c r="F532" s="159"/>
      <c r="G532" s="160" t="s">
        <v>1193</v>
      </c>
      <c r="H532" s="34" t="s">
        <v>925</v>
      </c>
    </row>
    <row r="533" spans="1:8" ht="33">
      <c r="A533" s="160">
        <v>1</v>
      </c>
      <c r="B533" s="160" t="s">
        <v>4897</v>
      </c>
      <c r="C533" s="157" t="s">
        <v>0</v>
      </c>
      <c r="D533" s="159">
        <v>1</v>
      </c>
      <c r="E533" s="159">
        <v>857.53</v>
      </c>
      <c r="F533" s="159">
        <v>857.53</v>
      </c>
      <c r="G533" s="160" t="s">
        <v>1169</v>
      </c>
      <c r="H533" s="34" t="s">
        <v>925</v>
      </c>
    </row>
    <row r="534" spans="1:8" ht="42.75">
      <c r="A534" s="160">
        <v>2</v>
      </c>
      <c r="B534" s="160" t="s">
        <v>1189</v>
      </c>
      <c r="C534" s="157" t="s">
        <v>0</v>
      </c>
      <c r="D534" s="159">
        <v>1</v>
      </c>
      <c r="E534" s="159">
        <v>6495.34</v>
      </c>
      <c r="F534" s="159">
        <v>6495.34</v>
      </c>
      <c r="G534" s="160" t="s">
        <v>1190</v>
      </c>
    </row>
    <row r="535" spans="1:8" ht="33">
      <c r="A535" s="160">
        <v>3</v>
      </c>
      <c r="B535" s="160" t="s">
        <v>1159</v>
      </c>
      <c r="C535" s="157" t="s">
        <v>0</v>
      </c>
      <c r="D535" s="159">
        <v>1</v>
      </c>
      <c r="E535" s="159">
        <v>25.9</v>
      </c>
      <c r="F535" s="159">
        <v>25.9</v>
      </c>
      <c r="G535" s="160" t="s">
        <v>1160</v>
      </c>
      <c r="H535" s="34" t="s">
        <v>925</v>
      </c>
    </row>
    <row r="536" spans="1:8" ht="33">
      <c r="A536" s="160">
        <v>4</v>
      </c>
      <c r="B536" s="160" t="s">
        <v>931</v>
      </c>
      <c r="C536" s="157" t="s">
        <v>14</v>
      </c>
      <c r="D536" s="159">
        <v>1</v>
      </c>
      <c r="E536" s="159">
        <v>221.36</v>
      </c>
      <c r="F536" s="159">
        <v>221.36</v>
      </c>
      <c r="G536" s="160" t="s">
        <v>932</v>
      </c>
      <c r="H536" s="34" t="s">
        <v>925</v>
      </c>
    </row>
    <row r="537" spans="1:8" ht="33">
      <c r="A537" s="160"/>
      <c r="B537" s="160" t="s">
        <v>933</v>
      </c>
      <c r="C537" s="157" t="s">
        <v>0</v>
      </c>
      <c r="D537" s="159">
        <v>1</v>
      </c>
      <c r="E537" s="159"/>
      <c r="F537" s="159">
        <v>7600.1299999999992</v>
      </c>
      <c r="G537" s="160"/>
      <c r="H537" s="34" t="s">
        <v>925</v>
      </c>
    </row>
    <row r="538" spans="1:8" ht="33">
      <c r="A538" s="160"/>
      <c r="B538" s="160" t="s">
        <v>934</v>
      </c>
      <c r="C538" s="157" t="s">
        <v>0</v>
      </c>
      <c r="D538" s="159"/>
      <c r="E538" s="159"/>
      <c r="F538" s="159">
        <v>7600.13</v>
      </c>
      <c r="G538" s="160"/>
      <c r="H538" s="34" t="s">
        <v>925</v>
      </c>
    </row>
    <row r="539" spans="1:8" ht="33">
      <c r="A539" s="160"/>
      <c r="B539" s="160"/>
      <c r="C539" s="157"/>
      <c r="D539" s="159"/>
      <c r="E539" s="159"/>
      <c r="F539" s="159"/>
      <c r="G539" s="160"/>
      <c r="H539" s="34" t="s">
        <v>925</v>
      </c>
    </row>
    <row r="540" spans="1:8" ht="42.75">
      <c r="A540" s="160" t="s">
        <v>1257</v>
      </c>
      <c r="B540" s="160" t="s">
        <v>4482</v>
      </c>
      <c r="C540" s="157" t="s">
        <v>0</v>
      </c>
      <c r="D540" s="159">
        <v>1</v>
      </c>
      <c r="E540" s="159">
        <v>8095.01</v>
      </c>
      <c r="F540" s="159"/>
      <c r="G540" s="160" t="s">
        <v>4901</v>
      </c>
      <c r="H540" s="34" t="s">
        <v>925</v>
      </c>
    </row>
    <row r="541" spans="1:8" ht="33">
      <c r="A541" s="160">
        <v>1</v>
      </c>
      <c r="B541" s="160" t="s">
        <v>4898</v>
      </c>
      <c r="C541" s="157" t="s">
        <v>0</v>
      </c>
      <c r="D541" s="159">
        <v>1</v>
      </c>
      <c r="E541" s="159">
        <v>1337.99</v>
      </c>
      <c r="F541" s="159">
        <v>1337.99</v>
      </c>
      <c r="G541" s="160" t="s">
        <v>4899</v>
      </c>
      <c r="H541" s="34" t="s">
        <v>925</v>
      </c>
    </row>
    <row r="542" spans="1:8" ht="42.75">
      <c r="A542" s="160">
        <v>2</v>
      </c>
      <c r="B542" s="160" t="s">
        <v>1189</v>
      </c>
      <c r="C542" s="157" t="s">
        <v>0</v>
      </c>
      <c r="D542" s="159">
        <v>1</v>
      </c>
      <c r="E542" s="159">
        <v>6495.34</v>
      </c>
      <c r="F542" s="159">
        <v>6495.34</v>
      </c>
      <c r="G542" s="160" t="s">
        <v>1190</v>
      </c>
      <c r="H542" s="34" t="s">
        <v>925</v>
      </c>
    </row>
    <row r="543" spans="1:8" ht="33">
      <c r="A543" s="160">
        <v>3</v>
      </c>
      <c r="B543" s="160" t="s">
        <v>1159</v>
      </c>
      <c r="C543" s="157" t="s">
        <v>0</v>
      </c>
      <c r="D543" s="159">
        <v>1</v>
      </c>
      <c r="E543" s="159">
        <v>25.9</v>
      </c>
      <c r="F543" s="159">
        <v>25.9</v>
      </c>
      <c r="G543" s="160" t="s">
        <v>1160</v>
      </c>
      <c r="H543" s="34" t="s">
        <v>925</v>
      </c>
    </row>
    <row r="544" spans="1:8" ht="33">
      <c r="A544" s="160">
        <v>4</v>
      </c>
      <c r="B544" s="160" t="s">
        <v>931</v>
      </c>
      <c r="C544" s="157" t="s">
        <v>14</v>
      </c>
      <c r="D544" s="159">
        <v>1</v>
      </c>
      <c r="E544" s="159">
        <v>235.78</v>
      </c>
      <c r="F544" s="159">
        <v>235.78</v>
      </c>
      <c r="G544" s="160" t="s">
        <v>932</v>
      </c>
      <c r="H544" s="34" t="s">
        <v>925</v>
      </c>
    </row>
    <row r="545" spans="1:8" ht="33">
      <c r="A545" s="160"/>
      <c r="B545" s="160" t="s">
        <v>933</v>
      </c>
      <c r="C545" s="157" t="s">
        <v>0</v>
      </c>
      <c r="D545" s="159">
        <v>1</v>
      </c>
      <c r="E545" s="159"/>
      <c r="F545" s="159">
        <v>8095.0099999999993</v>
      </c>
      <c r="G545" s="160"/>
      <c r="H545" s="34" t="s">
        <v>925</v>
      </c>
    </row>
    <row r="546" spans="1:8" ht="33">
      <c r="A546" s="160"/>
      <c r="B546" s="160" t="s">
        <v>934</v>
      </c>
      <c r="C546" s="157" t="s">
        <v>0</v>
      </c>
      <c r="D546" s="159"/>
      <c r="E546" s="159"/>
      <c r="F546" s="159">
        <v>8095.01</v>
      </c>
      <c r="G546" s="160"/>
      <c r="H546" s="34" t="s">
        <v>925</v>
      </c>
    </row>
    <row r="547" spans="1:8" ht="16.5">
      <c r="A547" s="160"/>
      <c r="B547" s="160"/>
      <c r="C547" s="157"/>
      <c r="D547" s="159"/>
      <c r="E547" s="159"/>
      <c r="F547" s="159"/>
      <c r="G547" s="160"/>
    </row>
    <row r="548" spans="1:8" ht="33">
      <c r="A548" s="160" t="s">
        <v>1269</v>
      </c>
      <c r="B548" s="160" t="s">
        <v>1195</v>
      </c>
      <c r="C548" s="157" t="s">
        <v>0</v>
      </c>
      <c r="D548" s="159">
        <v>1</v>
      </c>
      <c r="E548" s="159">
        <v>6729.28</v>
      </c>
      <c r="F548" s="159"/>
      <c r="G548" s="160" t="s">
        <v>1196</v>
      </c>
      <c r="H548" s="34" t="s">
        <v>925</v>
      </c>
    </row>
    <row r="549" spans="1:8" ht="33">
      <c r="A549" s="160">
        <v>1</v>
      </c>
      <c r="B549" s="160" t="s">
        <v>4896</v>
      </c>
      <c r="C549" s="157" t="s">
        <v>0</v>
      </c>
      <c r="D549" s="159">
        <v>1</v>
      </c>
      <c r="E549" s="159">
        <v>370.67</v>
      </c>
      <c r="F549" s="159">
        <v>370.67</v>
      </c>
      <c r="G549" s="160" t="s">
        <v>1158</v>
      </c>
      <c r="H549" s="34" t="s">
        <v>925</v>
      </c>
    </row>
    <row r="550" spans="1:8" ht="42.75">
      <c r="A550" s="160">
        <v>2</v>
      </c>
      <c r="B550" s="160" t="s">
        <v>1197</v>
      </c>
      <c r="C550" s="157" t="s">
        <v>0</v>
      </c>
      <c r="D550" s="159">
        <v>1</v>
      </c>
      <c r="E550" s="159">
        <v>6136.71</v>
      </c>
      <c r="F550" s="159">
        <v>6136.71</v>
      </c>
      <c r="G550" s="160" t="s">
        <v>1198</v>
      </c>
      <c r="H550" s="34" t="s">
        <v>925</v>
      </c>
    </row>
    <row r="551" spans="1:8" ht="33">
      <c r="A551" s="160">
        <v>3</v>
      </c>
      <c r="B551" s="160" t="s">
        <v>1159</v>
      </c>
      <c r="C551" s="157" t="s">
        <v>0</v>
      </c>
      <c r="D551" s="159">
        <v>1</v>
      </c>
      <c r="E551" s="159">
        <v>25.9</v>
      </c>
      <c r="F551" s="159">
        <v>25.9</v>
      </c>
      <c r="G551" s="160" t="s">
        <v>1160</v>
      </c>
      <c r="H551" s="34" t="s">
        <v>925</v>
      </c>
    </row>
    <row r="552" spans="1:8" ht="33">
      <c r="A552" s="160">
        <v>4</v>
      </c>
      <c r="B552" s="160" t="s">
        <v>931</v>
      </c>
      <c r="C552" s="157" t="s">
        <v>14</v>
      </c>
      <c r="D552" s="159">
        <v>1</v>
      </c>
      <c r="E552" s="159">
        <v>196</v>
      </c>
      <c r="F552" s="159">
        <v>196</v>
      </c>
      <c r="G552" s="160" t="s">
        <v>932</v>
      </c>
      <c r="H552" s="34" t="s">
        <v>925</v>
      </c>
    </row>
    <row r="553" spans="1:8" ht="33">
      <c r="A553" s="160"/>
      <c r="B553" s="160" t="s">
        <v>933</v>
      </c>
      <c r="C553" s="157" t="s">
        <v>0</v>
      </c>
      <c r="D553" s="159">
        <v>1</v>
      </c>
      <c r="E553" s="159"/>
      <c r="F553" s="159">
        <v>6729.28</v>
      </c>
      <c r="G553" s="160"/>
      <c r="H553" s="34" t="s">
        <v>925</v>
      </c>
    </row>
    <row r="554" spans="1:8" ht="33">
      <c r="A554" s="160"/>
      <c r="B554" s="160" t="s">
        <v>934</v>
      </c>
      <c r="C554" s="157" t="s">
        <v>0</v>
      </c>
      <c r="D554" s="159"/>
      <c r="E554" s="159"/>
      <c r="F554" s="159">
        <v>6729.28</v>
      </c>
      <c r="G554" s="160"/>
      <c r="H554" s="34" t="s">
        <v>925</v>
      </c>
    </row>
    <row r="555" spans="1:8" ht="33">
      <c r="A555" s="160"/>
      <c r="B555" s="160"/>
      <c r="C555" s="157"/>
      <c r="D555" s="159"/>
      <c r="E555" s="159"/>
      <c r="F555" s="159"/>
      <c r="G555" s="160"/>
      <c r="H555" s="34" t="s">
        <v>925</v>
      </c>
    </row>
    <row r="556" spans="1:8" ht="42.75">
      <c r="A556" s="160" t="s">
        <v>1274</v>
      </c>
      <c r="B556" s="160" t="s">
        <v>1200</v>
      </c>
      <c r="C556" s="157" t="s">
        <v>0</v>
      </c>
      <c r="D556" s="159">
        <v>1</v>
      </c>
      <c r="E556" s="159">
        <v>7230.74</v>
      </c>
      <c r="F556" s="159"/>
      <c r="G556" s="160" t="s">
        <v>1201</v>
      </c>
      <c r="H556" s="34" t="s">
        <v>925</v>
      </c>
    </row>
    <row r="557" spans="1:8" ht="28.5">
      <c r="A557" s="160">
        <v>1</v>
      </c>
      <c r="B557" s="160" t="s">
        <v>4897</v>
      </c>
      <c r="C557" s="157" t="s">
        <v>0</v>
      </c>
      <c r="D557" s="159">
        <v>1</v>
      </c>
      <c r="E557" s="159">
        <v>857.53</v>
      </c>
      <c r="F557" s="159">
        <v>857.53</v>
      </c>
      <c r="G557" s="160" t="s">
        <v>1169</v>
      </c>
    </row>
    <row r="558" spans="1:8" ht="42.75">
      <c r="A558" s="160">
        <v>2</v>
      </c>
      <c r="B558" s="160" t="s">
        <v>1197</v>
      </c>
      <c r="C558" s="157" t="s">
        <v>0</v>
      </c>
      <c r="D558" s="159">
        <v>1</v>
      </c>
      <c r="E558" s="159">
        <v>6136.71</v>
      </c>
      <c r="F558" s="159">
        <v>6136.71</v>
      </c>
      <c r="G558" s="160" t="s">
        <v>1198</v>
      </c>
      <c r="H558" s="34" t="s">
        <v>925</v>
      </c>
    </row>
    <row r="559" spans="1:8" ht="33">
      <c r="A559" s="160">
        <v>3</v>
      </c>
      <c r="B559" s="160" t="s">
        <v>1159</v>
      </c>
      <c r="C559" s="157" t="s">
        <v>0</v>
      </c>
      <c r="D559" s="159">
        <v>1</v>
      </c>
      <c r="E559" s="159">
        <v>25.9</v>
      </c>
      <c r="F559" s="159">
        <v>25.9</v>
      </c>
      <c r="G559" s="160" t="s">
        <v>1160</v>
      </c>
      <c r="H559" s="34" t="s">
        <v>925</v>
      </c>
    </row>
    <row r="560" spans="1:8" ht="33">
      <c r="A560" s="160">
        <v>4</v>
      </c>
      <c r="B560" s="160" t="s">
        <v>931</v>
      </c>
      <c r="C560" s="157" t="s">
        <v>14</v>
      </c>
      <c r="D560" s="159">
        <v>1</v>
      </c>
      <c r="E560" s="159">
        <v>210.6</v>
      </c>
      <c r="F560" s="159">
        <v>210.6</v>
      </c>
      <c r="G560" s="160" t="s">
        <v>932</v>
      </c>
      <c r="H560" s="34" t="s">
        <v>925</v>
      </c>
    </row>
    <row r="561" spans="1:8" ht="33">
      <c r="A561" s="160"/>
      <c r="B561" s="160" t="s">
        <v>933</v>
      </c>
      <c r="C561" s="157" t="s">
        <v>0</v>
      </c>
      <c r="D561" s="159">
        <v>1</v>
      </c>
      <c r="E561" s="159"/>
      <c r="F561" s="159">
        <v>7230.74</v>
      </c>
      <c r="G561" s="160"/>
      <c r="H561" s="34" t="s">
        <v>925</v>
      </c>
    </row>
    <row r="562" spans="1:8" ht="33">
      <c r="A562" s="160"/>
      <c r="B562" s="160" t="s">
        <v>934</v>
      </c>
      <c r="C562" s="157" t="s">
        <v>0</v>
      </c>
      <c r="D562" s="159"/>
      <c r="E562" s="159"/>
      <c r="F562" s="159">
        <v>7230.74</v>
      </c>
      <c r="G562" s="160"/>
      <c r="H562" s="34" t="s">
        <v>925</v>
      </c>
    </row>
    <row r="563" spans="1:8" ht="33">
      <c r="A563" s="160"/>
      <c r="B563" s="160"/>
      <c r="C563" s="157"/>
      <c r="D563" s="159"/>
      <c r="E563" s="159"/>
      <c r="F563" s="159"/>
      <c r="G563" s="160"/>
      <c r="H563" s="34" t="s">
        <v>925</v>
      </c>
    </row>
    <row r="564" spans="1:8" ht="42.75">
      <c r="A564" s="160" t="s">
        <v>1279</v>
      </c>
      <c r="B564" s="160" t="s">
        <v>4486</v>
      </c>
      <c r="C564" s="157" t="s">
        <v>0</v>
      </c>
      <c r="D564" s="159">
        <v>1</v>
      </c>
      <c r="E564" s="159">
        <v>7725.62</v>
      </c>
      <c r="F564" s="159"/>
      <c r="G564" s="160" t="s">
        <v>4902</v>
      </c>
      <c r="H564" s="34" t="s">
        <v>925</v>
      </c>
    </row>
    <row r="565" spans="1:8" ht="33">
      <c r="A565" s="160">
        <v>1</v>
      </c>
      <c r="B565" s="160" t="s">
        <v>4898</v>
      </c>
      <c r="C565" s="157" t="s">
        <v>0</v>
      </c>
      <c r="D565" s="159">
        <v>1</v>
      </c>
      <c r="E565" s="159">
        <v>1337.99</v>
      </c>
      <c r="F565" s="159">
        <v>1337.99</v>
      </c>
      <c r="G565" s="160" t="s">
        <v>4899</v>
      </c>
      <c r="H565" s="34" t="s">
        <v>925</v>
      </c>
    </row>
    <row r="566" spans="1:8" ht="42.75">
      <c r="A566" s="160">
        <v>2</v>
      </c>
      <c r="B566" s="160" t="s">
        <v>1197</v>
      </c>
      <c r="C566" s="157" t="s">
        <v>0</v>
      </c>
      <c r="D566" s="159">
        <v>1</v>
      </c>
      <c r="E566" s="159">
        <v>6136.71</v>
      </c>
      <c r="F566" s="159">
        <v>6136.71</v>
      </c>
      <c r="G566" s="160" t="s">
        <v>1198</v>
      </c>
      <c r="H566" s="34" t="s">
        <v>925</v>
      </c>
    </row>
    <row r="567" spans="1:8" ht="28.5">
      <c r="A567" s="160">
        <v>3</v>
      </c>
      <c r="B567" s="160" t="s">
        <v>1159</v>
      </c>
      <c r="C567" s="157" t="s">
        <v>0</v>
      </c>
      <c r="D567" s="159">
        <v>1</v>
      </c>
      <c r="E567" s="159">
        <v>25.9</v>
      </c>
      <c r="F567" s="159">
        <v>25.9</v>
      </c>
      <c r="G567" s="160" t="s">
        <v>1160</v>
      </c>
    </row>
    <row r="568" spans="1:8" ht="33">
      <c r="A568" s="160">
        <v>4</v>
      </c>
      <c r="B568" s="160" t="s">
        <v>931</v>
      </c>
      <c r="C568" s="157" t="s">
        <v>14</v>
      </c>
      <c r="D568" s="159">
        <v>1</v>
      </c>
      <c r="E568" s="159">
        <v>225.02</v>
      </c>
      <c r="F568" s="159">
        <v>225.02</v>
      </c>
      <c r="G568" s="160" t="s">
        <v>932</v>
      </c>
      <c r="H568" s="34" t="s">
        <v>925</v>
      </c>
    </row>
    <row r="569" spans="1:8" ht="33">
      <c r="A569" s="160"/>
      <c r="B569" s="160" t="s">
        <v>933</v>
      </c>
      <c r="C569" s="157" t="s">
        <v>0</v>
      </c>
      <c r="D569" s="159">
        <v>1</v>
      </c>
      <c r="E569" s="159"/>
      <c r="F569" s="159">
        <v>7725.62</v>
      </c>
      <c r="G569" s="160"/>
      <c r="H569" s="34" t="s">
        <v>925</v>
      </c>
    </row>
    <row r="570" spans="1:8" ht="33">
      <c r="A570" s="160"/>
      <c r="B570" s="160" t="s">
        <v>934</v>
      </c>
      <c r="C570" s="157" t="s">
        <v>0</v>
      </c>
      <c r="D570" s="159"/>
      <c r="E570" s="159"/>
      <c r="F570" s="159">
        <v>7725.62</v>
      </c>
      <c r="G570" s="160"/>
      <c r="H570" s="34" t="s">
        <v>925</v>
      </c>
    </row>
    <row r="571" spans="1:8" ht="33">
      <c r="A571" s="160"/>
      <c r="B571" s="160"/>
      <c r="C571" s="157"/>
      <c r="D571" s="159"/>
      <c r="E571" s="159"/>
      <c r="F571" s="159"/>
      <c r="G571" s="160"/>
      <c r="H571" s="34" t="s">
        <v>925</v>
      </c>
    </row>
    <row r="572" spans="1:8" ht="33">
      <c r="A572" s="160" t="s">
        <v>1284</v>
      </c>
      <c r="B572" s="160" t="s">
        <v>1203</v>
      </c>
      <c r="C572" s="157" t="s">
        <v>0</v>
      </c>
      <c r="D572" s="159">
        <v>1</v>
      </c>
      <c r="E572" s="159">
        <v>57225.46</v>
      </c>
      <c r="F572" s="159"/>
      <c r="G572" s="160" t="s">
        <v>1204</v>
      </c>
      <c r="H572" s="34" t="s">
        <v>925</v>
      </c>
    </row>
    <row r="573" spans="1:8" ht="33">
      <c r="A573" s="160">
        <v>1</v>
      </c>
      <c r="B573" s="160" t="s">
        <v>1205</v>
      </c>
      <c r="C573" s="157" t="s">
        <v>1206</v>
      </c>
      <c r="D573" s="159">
        <v>575</v>
      </c>
      <c r="E573" s="159">
        <v>89.66</v>
      </c>
      <c r="F573" s="159">
        <v>51554.5</v>
      </c>
      <c r="G573" s="160" t="s">
        <v>1207</v>
      </c>
      <c r="H573" s="34" t="s">
        <v>925</v>
      </c>
    </row>
    <row r="574" spans="1:8" ht="33">
      <c r="A574" s="160">
        <v>2</v>
      </c>
      <c r="B574" s="160" t="s">
        <v>1208</v>
      </c>
      <c r="C574" s="157" t="s">
        <v>0</v>
      </c>
      <c r="D574" s="159">
        <v>0.42</v>
      </c>
      <c r="E574" s="159">
        <v>567.84</v>
      </c>
      <c r="F574" s="159">
        <v>238.49</v>
      </c>
      <c r="G574" s="160" t="s">
        <v>1209</v>
      </c>
      <c r="H574" s="34" t="s">
        <v>925</v>
      </c>
    </row>
    <row r="575" spans="1:8" ht="33">
      <c r="A575" s="160">
        <v>3</v>
      </c>
      <c r="B575" s="160" t="s">
        <v>1210</v>
      </c>
      <c r="C575" s="157" t="s">
        <v>927</v>
      </c>
      <c r="D575" s="159">
        <v>8</v>
      </c>
      <c r="E575" s="159">
        <v>408.45</v>
      </c>
      <c r="F575" s="159">
        <v>3267.6</v>
      </c>
      <c r="G575" s="160" t="s">
        <v>1211</v>
      </c>
      <c r="H575" s="34" t="s">
        <v>925</v>
      </c>
    </row>
    <row r="576" spans="1:8" ht="33">
      <c r="A576" s="160">
        <v>4</v>
      </c>
      <c r="B576" s="160" t="s">
        <v>1212</v>
      </c>
      <c r="C576" s="157" t="s">
        <v>14</v>
      </c>
      <c r="D576" s="159">
        <v>1</v>
      </c>
      <c r="E576" s="159">
        <v>498.11</v>
      </c>
      <c r="F576" s="159">
        <v>498.11</v>
      </c>
      <c r="G576" s="160" t="s">
        <v>1213</v>
      </c>
      <c r="H576" s="34" t="s">
        <v>925</v>
      </c>
    </row>
    <row r="577" spans="1:8" ht="33">
      <c r="A577" s="160">
        <v>5</v>
      </c>
      <c r="B577" s="160" t="s">
        <v>931</v>
      </c>
      <c r="C577" s="157" t="s">
        <v>14</v>
      </c>
      <c r="D577" s="159">
        <v>1</v>
      </c>
      <c r="E577" s="159">
        <v>1666.76</v>
      </c>
      <c r="F577" s="159">
        <v>1666.76</v>
      </c>
      <c r="G577" s="160" t="s">
        <v>932</v>
      </c>
      <c r="H577" s="34" t="s">
        <v>925</v>
      </c>
    </row>
    <row r="578" spans="1:8" ht="16.5">
      <c r="A578" s="160"/>
      <c r="B578" s="160" t="s">
        <v>933</v>
      </c>
      <c r="C578" s="157" t="s">
        <v>0</v>
      </c>
      <c r="D578" s="159">
        <v>1</v>
      </c>
      <c r="E578" s="159"/>
      <c r="F578" s="159">
        <v>57225.46</v>
      </c>
      <c r="G578" s="160"/>
    </row>
    <row r="579" spans="1:8" ht="33">
      <c r="A579" s="160"/>
      <c r="B579" s="160" t="s">
        <v>934</v>
      </c>
      <c r="C579" s="157" t="s">
        <v>0</v>
      </c>
      <c r="D579" s="159"/>
      <c r="E579" s="159"/>
      <c r="F579" s="159">
        <v>57225.46</v>
      </c>
      <c r="G579" s="160"/>
      <c r="H579" s="34" t="s">
        <v>925</v>
      </c>
    </row>
    <row r="580" spans="1:8" ht="33">
      <c r="A580" s="160"/>
      <c r="B580" s="160"/>
      <c r="C580" s="157"/>
      <c r="D580" s="159"/>
      <c r="E580" s="159"/>
      <c r="F580" s="159"/>
      <c r="G580" s="160"/>
      <c r="H580" s="34" t="s">
        <v>925</v>
      </c>
    </row>
    <row r="581" spans="1:8" ht="33">
      <c r="A581" s="160" t="s">
        <v>1286</v>
      </c>
      <c r="B581" s="160" t="s">
        <v>1215</v>
      </c>
      <c r="C581" s="157" t="s">
        <v>3</v>
      </c>
      <c r="D581" s="159">
        <v>200</v>
      </c>
      <c r="E581" s="159">
        <v>25.49</v>
      </c>
      <c r="F581" s="159"/>
      <c r="G581" s="160" t="s">
        <v>1216</v>
      </c>
      <c r="H581" s="34" t="s">
        <v>925</v>
      </c>
    </row>
    <row r="582" spans="1:8" ht="33">
      <c r="A582" s="160">
        <v>1</v>
      </c>
      <c r="B582" s="160" t="s">
        <v>1217</v>
      </c>
      <c r="C582" s="157" t="s">
        <v>927</v>
      </c>
      <c r="D582" s="159">
        <v>1</v>
      </c>
      <c r="E582" s="159">
        <v>1016.14</v>
      </c>
      <c r="F582" s="159">
        <v>1016.14</v>
      </c>
      <c r="G582" s="160" t="s">
        <v>1218</v>
      </c>
      <c r="H582" s="34" t="s">
        <v>925</v>
      </c>
    </row>
    <row r="583" spans="1:8" ht="33">
      <c r="A583" s="160">
        <v>2</v>
      </c>
      <c r="B583" s="160" t="s">
        <v>1219</v>
      </c>
      <c r="C583" s="157" t="s">
        <v>1220</v>
      </c>
      <c r="D583" s="159">
        <v>6</v>
      </c>
      <c r="E583" s="159">
        <v>119.55</v>
      </c>
      <c r="F583" s="159">
        <v>717.3</v>
      </c>
      <c r="G583" s="160" t="s">
        <v>1221</v>
      </c>
      <c r="H583" s="34" t="s">
        <v>925</v>
      </c>
    </row>
    <row r="584" spans="1:8" ht="33">
      <c r="A584" s="160">
        <v>3</v>
      </c>
      <c r="B584" s="160" t="s">
        <v>1222</v>
      </c>
      <c r="C584" s="157" t="s">
        <v>927</v>
      </c>
      <c r="D584" s="159">
        <v>1</v>
      </c>
      <c r="E584" s="159">
        <v>647.54</v>
      </c>
      <c r="F584" s="159">
        <v>647.54</v>
      </c>
      <c r="G584" s="160" t="s">
        <v>1223</v>
      </c>
      <c r="H584" s="34" t="s">
        <v>925</v>
      </c>
    </row>
    <row r="585" spans="1:8" ht="42.75">
      <c r="A585" s="160">
        <v>4</v>
      </c>
      <c r="B585" s="160" t="s">
        <v>4891</v>
      </c>
      <c r="C585" s="157" t="s">
        <v>927</v>
      </c>
      <c r="D585" s="159">
        <v>1</v>
      </c>
      <c r="E585" s="159">
        <v>399.48</v>
      </c>
      <c r="F585" s="159">
        <v>399.48</v>
      </c>
      <c r="G585" s="160" t="s">
        <v>4892</v>
      </c>
      <c r="H585" s="34" t="s">
        <v>925</v>
      </c>
    </row>
    <row r="586" spans="1:8" ht="33">
      <c r="A586" s="160">
        <v>5</v>
      </c>
      <c r="B586" s="160" t="s">
        <v>1224</v>
      </c>
      <c r="C586" s="157" t="s">
        <v>927</v>
      </c>
      <c r="D586" s="159">
        <v>1</v>
      </c>
      <c r="E586" s="159">
        <v>537.96</v>
      </c>
      <c r="F586" s="159">
        <v>537.96</v>
      </c>
      <c r="G586" s="160" t="s">
        <v>1225</v>
      </c>
      <c r="H586" s="34" t="s">
        <v>925</v>
      </c>
    </row>
    <row r="587" spans="1:8" ht="33">
      <c r="A587" s="160">
        <v>6</v>
      </c>
      <c r="B587" s="160" t="s">
        <v>1226</v>
      </c>
      <c r="C587" s="157" t="s">
        <v>927</v>
      </c>
      <c r="D587" s="159">
        <v>1</v>
      </c>
      <c r="E587" s="159">
        <v>399.48</v>
      </c>
      <c r="F587" s="159">
        <v>399.48</v>
      </c>
      <c r="G587" s="160" t="s">
        <v>1227</v>
      </c>
      <c r="H587" s="34" t="s">
        <v>925</v>
      </c>
    </row>
    <row r="588" spans="1:8" ht="33">
      <c r="A588" s="160">
        <v>7</v>
      </c>
      <c r="B588" s="160" t="s">
        <v>4871</v>
      </c>
      <c r="C588" s="157" t="s">
        <v>927</v>
      </c>
      <c r="D588" s="159">
        <v>2.2000000000000002</v>
      </c>
      <c r="E588" s="159">
        <v>279.94</v>
      </c>
      <c r="F588" s="159">
        <v>615.87</v>
      </c>
      <c r="G588" s="160" t="s">
        <v>4872</v>
      </c>
      <c r="H588" s="34" t="s">
        <v>925</v>
      </c>
    </row>
    <row r="589" spans="1:8" ht="28.5">
      <c r="A589" s="160">
        <v>8</v>
      </c>
      <c r="B589" s="160" t="s">
        <v>1228</v>
      </c>
      <c r="C589" s="157" t="s">
        <v>927</v>
      </c>
      <c r="D589" s="159">
        <v>2.2000000000000002</v>
      </c>
      <c r="E589" s="159">
        <v>279.94</v>
      </c>
      <c r="F589" s="159">
        <v>615.87</v>
      </c>
      <c r="G589" s="160" t="s">
        <v>1229</v>
      </c>
    </row>
    <row r="590" spans="1:8" ht="33">
      <c r="A590" s="160">
        <v>9</v>
      </c>
      <c r="B590" s="160" t="s">
        <v>931</v>
      </c>
      <c r="C590" s="157" t="s">
        <v>14</v>
      </c>
      <c r="D590" s="159">
        <v>1</v>
      </c>
      <c r="E590" s="159">
        <v>148.49</v>
      </c>
      <c r="F590" s="159">
        <v>148.49</v>
      </c>
      <c r="G590" s="160" t="s">
        <v>932</v>
      </c>
      <c r="H590" s="34" t="s">
        <v>925</v>
      </c>
    </row>
    <row r="591" spans="1:8" ht="33">
      <c r="A591" s="160"/>
      <c r="B591" s="160" t="s">
        <v>933</v>
      </c>
      <c r="C591" s="157" t="s">
        <v>3</v>
      </c>
      <c r="D591" s="159">
        <v>200</v>
      </c>
      <c r="E591" s="159"/>
      <c r="F591" s="159">
        <v>5098.13</v>
      </c>
      <c r="G591" s="160"/>
      <c r="H591" s="34" t="s">
        <v>925</v>
      </c>
    </row>
    <row r="592" spans="1:8" ht="33">
      <c r="A592" s="160"/>
      <c r="B592" s="160" t="s">
        <v>934</v>
      </c>
      <c r="C592" s="157" t="s">
        <v>3</v>
      </c>
      <c r="D592" s="159"/>
      <c r="E592" s="159"/>
      <c r="F592" s="159">
        <v>25.49</v>
      </c>
      <c r="G592" s="160"/>
      <c r="H592" s="34" t="s">
        <v>925</v>
      </c>
    </row>
    <row r="593" spans="1:8" ht="33">
      <c r="A593" s="160"/>
      <c r="B593" s="160"/>
      <c r="C593" s="157"/>
      <c r="D593" s="159"/>
      <c r="E593" s="159"/>
      <c r="F593" s="159"/>
      <c r="G593" s="160"/>
      <c r="H593" s="34" t="s">
        <v>925</v>
      </c>
    </row>
    <row r="594" spans="1:8" ht="42.75">
      <c r="A594" s="160" t="s">
        <v>1291</v>
      </c>
      <c r="B594" s="160" t="s">
        <v>4490</v>
      </c>
      <c r="C594" s="157" t="s">
        <v>3</v>
      </c>
      <c r="D594" s="159">
        <v>200</v>
      </c>
      <c r="E594" s="159">
        <v>40.79</v>
      </c>
      <c r="F594" s="159"/>
      <c r="G594" s="160" t="s">
        <v>4903</v>
      </c>
      <c r="H594" s="34" t="s">
        <v>925</v>
      </c>
    </row>
    <row r="595" spans="1:8" ht="33">
      <c r="A595" s="160">
        <v>1</v>
      </c>
      <c r="B595" s="160" t="s">
        <v>1217</v>
      </c>
      <c r="C595" s="157" t="s">
        <v>927</v>
      </c>
      <c r="D595" s="159">
        <v>1.1499999999999999</v>
      </c>
      <c r="E595" s="159">
        <v>1016.14</v>
      </c>
      <c r="F595" s="159">
        <v>1168.56</v>
      </c>
      <c r="G595" s="160" t="s">
        <v>1218</v>
      </c>
      <c r="H595" s="34" t="s">
        <v>925</v>
      </c>
    </row>
    <row r="596" spans="1:8" ht="33">
      <c r="A596" s="160">
        <v>2</v>
      </c>
      <c r="B596" s="160" t="s">
        <v>1219</v>
      </c>
      <c r="C596" s="157" t="s">
        <v>1220</v>
      </c>
      <c r="D596" s="159">
        <v>6</v>
      </c>
      <c r="E596" s="159">
        <v>119.55</v>
      </c>
      <c r="F596" s="159">
        <v>717.3</v>
      </c>
      <c r="G596" s="160" t="s">
        <v>1221</v>
      </c>
      <c r="H596" s="34" t="s">
        <v>925</v>
      </c>
    </row>
    <row r="597" spans="1:8" ht="33">
      <c r="A597" s="160">
        <v>3</v>
      </c>
      <c r="B597" s="160" t="s">
        <v>1222</v>
      </c>
      <c r="C597" s="157" t="s">
        <v>927</v>
      </c>
      <c r="D597" s="159">
        <v>1.1499999999999999</v>
      </c>
      <c r="E597" s="159">
        <v>647.54</v>
      </c>
      <c r="F597" s="159">
        <v>744.67</v>
      </c>
      <c r="G597" s="160" t="s">
        <v>1223</v>
      </c>
      <c r="H597" s="34" t="s">
        <v>925</v>
      </c>
    </row>
    <row r="598" spans="1:8" ht="42.75">
      <c r="A598" s="160">
        <v>4</v>
      </c>
      <c r="B598" s="160" t="s">
        <v>4894</v>
      </c>
      <c r="C598" s="157" t="s">
        <v>927</v>
      </c>
      <c r="D598" s="159">
        <v>1.1499999999999999</v>
      </c>
      <c r="E598" s="159">
        <v>798.97</v>
      </c>
      <c r="F598" s="159">
        <v>918.82</v>
      </c>
      <c r="G598" s="160" t="s">
        <v>4895</v>
      </c>
      <c r="H598" s="34" t="s">
        <v>925</v>
      </c>
    </row>
    <row r="599" spans="1:8" ht="33">
      <c r="A599" s="160">
        <v>5</v>
      </c>
      <c r="B599" s="160" t="s">
        <v>1224</v>
      </c>
      <c r="C599" s="157" t="s">
        <v>927</v>
      </c>
      <c r="D599" s="159">
        <v>1.1499999999999999</v>
      </c>
      <c r="E599" s="159">
        <v>537.96</v>
      </c>
      <c r="F599" s="159">
        <v>618.65</v>
      </c>
      <c r="G599" s="160" t="s">
        <v>1225</v>
      </c>
      <c r="H599" s="34" t="s">
        <v>925</v>
      </c>
    </row>
    <row r="600" spans="1:8" ht="28.5">
      <c r="A600" s="160">
        <v>6</v>
      </c>
      <c r="B600" s="160" t="s">
        <v>4904</v>
      </c>
      <c r="C600" s="157" t="s">
        <v>927</v>
      </c>
      <c r="D600" s="159">
        <v>1.1499999999999999</v>
      </c>
      <c r="E600" s="159">
        <v>798.97</v>
      </c>
      <c r="F600" s="159">
        <v>918.82</v>
      </c>
      <c r="G600" s="160" t="s">
        <v>4905</v>
      </c>
    </row>
    <row r="601" spans="1:8" ht="42.75">
      <c r="A601" s="160">
        <v>7</v>
      </c>
      <c r="B601" s="160" t="s">
        <v>4874</v>
      </c>
      <c r="C601" s="157" t="s">
        <v>927</v>
      </c>
      <c r="D601" s="159">
        <v>2.5299999999999998</v>
      </c>
      <c r="E601" s="159">
        <v>559.87</v>
      </c>
      <c r="F601" s="159">
        <v>1416.47</v>
      </c>
      <c r="G601" s="160" t="s">
        <v>4875</v>
      </c>
      <c r="H601" s="34" t="s">
        <v>925</v>
      </c>
    </row>
    <row r="602" spans="1:8" ht="33">
      <c r="A602" s="160">
        <v>8</v>
      </c>
      <c r="B602" s="160" t="s">
        <v>2567</v>
      </c>
      <c r="C602" s="157" t="s">
        <v>927</v>
      </c>
      <c r="D602" s="159">
        <v>2.5299999999999998</v>
      </c>
      <c r="E602" s="159">
        <v>559.87</v>
      </c>
      <c r="F602" s="159">
        <v>1416.47</v>
      </c>
      <c r="G602" s="160" t="s">
        <v>2568</v>
      </c>
      <c r="H602" s="34" t="s">
        <v>925</v>
      </c>
    </row>
    <row r="603" spans="1:8" ht="33">
      <c r="A603" s="160">
        <v>9</v>
      </c>
      <c r="B603" s="160" t="s">
        <v>931</v>
      </c>
      <c r="C603" s="157" t="s">
        <v>14</v>
      </c>
      <c r="D603" s="159">
        <v>1</v>
      </c>
      <c r="E603" s="159">
        <v>237.59</v>
      </c>
      <c r="F603" s="159">
        <v>237.59</v>
      </c>
      <c r="G603" s="160" t="s">
        <v>932</v>
      </c>
      <c r="H603" s="34" t="s">
        <v>925</v>
      </c>
    </row>
    <row r="604" spans="1:8" ht="33">
      <c r="A604" s="160"/>
      <c r="B604" s="160" t="s">
        <v>933</v>
      </c>
      <c r="C604" s="157" t="s">
        <v>3</v>
      </c>
      <c r="D604" s="159">
        <v>200</v>
      </c>
      <c r="E604" s="159"/>
      <c r="F604" s="159">
        <v>8157.35</v>
      </c>
      <c r="G604" s="160"/>
      <c r="H604" s="34" t="s">
        <v>925</v>
      </c>
    </row>
    <row r="605" spans="1:8" ht="33">
      <c r="A605" s="160"/>
      <c r="B605" s="160" t="s">
        <v>934</v>
      </c>
      <c r="C605" s="157" t="s">
        <v>3</v>
      </c>
      <c r="D605" s="159"/>
      <c r="E605" s="159"/>
      <c r="F605" s="159">
        <v>40.79</v>
      </c>
      <c r="G605" s="160"/>
      <c r="H605" s="34" t="s">
        <v>925</v>
      </c>
    </row>
    <row r="606" spans="1:8" ht="33">
      <c r="A606" s="160"/>
      <c r="B606" s="160"/>
      <c r="C606" s="157"/>
      <c r="D606" s="159"/>
      <c r="E606" s="159"/>
      <c r="F606" s="159"/>
      <c r="G606" s="160"/>
      <c r="H606" s="34" t="s">
        <v>925</v>
      </c>
    </row>
    <row r="607" spans="1:8" ht="33">
      <c r="A607" s="160" t="s">
        <v>1305</v>
      </c>
      <c r="B607" s="160" t="s">
        <v>1231</v>
      </c>
      <c r="C607" s="157" t="s">
        <v>3</v>
      </c>
      <c r="D607" s="159">
        <v>360</v>
      </c>
      <c r="E607" s="159">
        <v>16.61</v>
      </c>
      <c r="F607" s="159"/>
      <c r="G607" s="160" t="s">
        <v>1232</v>
      </c>
      <c r="H607" s="34" t="s">
        <v>925</v>
      </c>
    </row>
    <row r="608" spans="1:8" ht="33">
      <c r="A608" s="160">
        <v>1</v>
      </c>
      <c r="B608" s="160" t="s">
        <v>1233</v>
      </c>
      <c r="C608" s="157" t="s">
        <v>927</v>
      </c>
      <c r="D608" s="159">
        <v>1</v>
      </c>
      <c r="E608" s="159">
        <v>1394.71</v>
      </c>
      <c r="F608" s="159">
        <v>1394.71</v>
      </c>
      <c r="G608" s="160" t="s">
        <v>1234</v>
      </c>
      <c r="H608" s="34" t="s">
        <v>925</v>
      </c>
    </row>
    <row r="609" spans="1:8" ht="33">
      <c r="A609" s="160">
        <v>2</v>
      </c>
      <c r="B609" s="160" t="s">
        <v>1219</v>
      </c>
      <c r="C609" s="157" t="s">
        <v>1220</v>
      </c>
      <c r="D609" s="159">
        <v>10</v>
      </c>
      <c r="E609" s="159">
        <v>119.55</v>
      </c>
      <c r="F609" s="159">
        <v>1195.5</v>
      </c>
      <c r="G609" s="160" t="s">
        <v>1221</v>
      </c>
      <c r="H609" s="34" t="s">
        <v>925</v>
      </c>
    </row>
    <row r="610" spans="1:8" ht="33">
      <c r="A610" s="160">
        <v>3</v>
      </c>
      <c r="B610" s="160" t="s">
        <v>1222</v>
      </c>
      <c r="C610" s="157" t="s">
        <v>927</v>
      </c>
      <c r="D610" s="159">
        <v>1</v>
      </c>
      <c r="E610" s="159">
        <v>647.54</v>
      </c>
      <c r="F610" s="159">
        <v>647.54</v>
      </c>
      <c r="G610" s="160" t="s">
        <v>1223</v>
      </c>
      <c r="H610" s="34" t="s">
        <v>925</v>
      </c>
    </row>
    <row r="611" spans="1:8" ht="42.75">
      <c r="A611" s="160">
        <v>4</v>
      </c>
      <c r="B611" s="160" t="s">
        <v>4891</v>
      </c>
      <c r="C611" s="157" t="s">
        <v>927</v>
      </c>
      <c r="D611" s="159">
        <v>1</v>
      </c>
      <c r="E611" s="159">
        <v>399.48</v>
      </c>
      <c r="F611" s="159">
        <v>399.48</v>
      </c>
      <c r="G611" s="160" t="s">
        <v>4892</v>
      </c>
    </row>
    <row r="612" spans="1:8" ht="33">
      <c r="A612" s="160">
        <v>5</v>
      </c>
      <c r="B612" s="160" t="s">
        <v>1224</v>
      </c>
      <c r="C612" s="157" t="s">
        <v>927</v>
      </c>
      <c r="D612" s="159">
        <v>1</v>
      </c>
      <c r="E612" s="159">
        <v>537.96</v>
      </c>
      <c r="F612" s="159">
        <v>537.96</v>
      </c>
      <c r="G612" s="160" t="s">
        <v>1225</v>
      </c>
      <c r="H612" s="34" t="s">
        <v>925</v>
      </c>
    </row>
    <row r="613" spans="1:8" ht="33">
      <c r="A613" s="160">
        <v>6</v>
      </c>
      <c r="B613" s="160" t="s">
        <v>1226</v>
      </c>
      <c r="C613" s="157" t="s">
        <v>927</v>
      </c>
      <c r="D613" s="159">
        <v>1</v>
      </c>
      <c r="E613" s="159">
        <v>399.48</v>
      </c>
      <c r="F613" s="159">
        <v>399.48</v>
      </c>
      <c r="G613" s="160" t="s">
        <v>1227</v>
      </c>
      <c r="H613" s="34" t="s">
        <v>925</v>
      </c>
    </row>
    <row r="614" spans="1:8" ht="33">
      <c r="A614" s="160">
        <v>7</v>
      </c>
      <c r="B614" s="160" t="s">
        <v>4871</v>
      </c>
      <c r="C614" s="157" t="s">
        <v>927</v>
      </c>
      <c r="D614" s="159">
        <v>2.2000000000000002</v>
      </c>
      <c r="E614" s="159">
        <v>279.94</v>
      </c>
      <c r="F614" s="159">
        <v>615.87</v>
      </c>
      <c r="G614" s="160" t="s">
        <v>4872</v>
      </c>
      <c r="H614" s="34" t="s">
        <v>925</v>
      </c>
    </row>
    <row r="615" spans="1:8" ht="33">
      <c r="A615" s="160">
        <v>8</v>
      </c>
      <c r="B615" s="160" t="s">
        <v>1228</v>
      </c>
      <c r="C615" s="157" t="s">
        <v>927</v>
      </c>
      <c r="D615" s="159">
        <v>2.2000000000000002</v>
      </c>
      <c r="E615" s="159">
        <v>279.94</v>
      </c>
      <c r="F615" s="159">
        <v>615.87</v>
      </c>
      <c r="G615" s="160" t="s">
        <v>1229</v>
      </c>
      <c r="H615" s="34" t="s">
        <v>925</v>
      </c>
    </row>
    <row r="616" spans="1:8" ht="33">
      <c r="A616" s="160">
        <v>9</v>
      </c>
      <c r="B616" s="160" t="s">
        <v>931</v>
      </c>
      <c r="C616" s="157" t="s">
        <v>14</v>
      </c>
      <c r="D616" s="159">
        <v>1</v>
      </c>
      <c r="E616" s="159">
        <v>174.19</v>
      </c>
      <c r="F616" s="159">
        <v>174.19</v>
      </c>
      <c r="G616" s="160" t="s">
        <v>932</v>
      </c>
      <c r="H616" s="34" t="s">
        <v>925</v>
      </c>
    </row>
    <row r="617" spans="1:8" ht="33">
      <c r="A617" s="160"/>
      <c r="B617" s="160" t="s">
        <v>933</v>
      </c>
      <c r="C617" s="157" t="s">
        <v>3</v>
      </c>
      <c r="D617" s="159">
        <v>360</v>
      </c>
      <c r="E617" s="159"/>
      <c r="F617" s="159">
        <v>5980.5999999999995</v>
      </c>
      <c r="G617" s="160"/>
      <c r="H617" s="34" t="s">
        <v>925</v>
      </c>
    </row>
    <row r="618" spans="1:8" ht="33">
      <c r="A618" s="160"/>
      <c r="B618" s="160" t="s">
        <v>934</v>
      </c>
      <c r="C618" s="157" t="s">
        <v>3</v>
      </c>
      <c r="D618" s="159"/>
      <c r="E618" s="159"/>
      <c r="F618" s="159">
        <v>16.61</v>
      </c>
      <c r="G618" s="160"/>
      <c r="H618" s="34" t="s">
        <v>925</v>
      </c>
    </row>
    <row r="619" spans="1:8" ht="33">
      <c r="A619" s="160"/>
      <c r="B619" s="160"/>
      <c r="C619" s="157"/>
      <c r="D619" s="159"/>
      <c r="E619" s="159"/>
      <c r="F619" s="159"/>
      <c r="G619" s="160"/>
      <c r="H619" s="34" t="s">
        <v>925</v>
      </c>
    </row>
    <row r="620" spans="1:8" ht="33">
      <c r="A620" s="160" t="s">
        <v>1308</v>
      </c>
      <c r="B620" s="160" t="s">
        <v>1236</v>
      </c>
      <c r="C620" s="157" t="s">
        <v>3</v>
      </c>
      <c r="D620" s="159">
        <v>120</v>
      </c>
      <c r="E620" s="159">
        <v>43.51</v>
      </c>
      <c r="F620" s="159"/>
      <c r="G620" s="160" t="s">
        <v>1237</v>
      </c>
      <c r="H620" s="34" t="s">
        <v>925</v>
      </c>
    </row>
    <row r="621" spans="1:8" ht="33">
      <c r="A621" s="160">
        <v>1</v>
      </c>
      <c r="B621" s="160" t="s">
        <v>1217</v>
      </c>
      <c r="C621" s="157" t="s">
        <v>927</v>
      </c>
      <c r="D621" s="159">
        <v>1</v>
      </c>
      <c r="E621" s="159">
        <v>1016.14</v>
      </c>
      <c r="F621" s="159">
        <v>1016.14</v>
      </c>
      <c r="G621" s="160" t="s">
        <v>1218</v>
      </c>
      <c r="H621" s="34" t="s">
        <v>925</v>
      </c>
    </row>
    <row r="622" spans="1:8" ht="28.5">
      <c r="A622" s="160">
        <v>2</v>
      </c>
      <c r="B622" s="160" t="s">
        <v>1219</v>
      </c>
      <c r="C622" s="157" t="s">
        <v>1220</v>
      </c>
      <c r="D622" s="159">
        <v>7</v>
      </c>
      <c r="E622" s="159">
        <v>119.55</v>
      </c>
      <c r="F622" s="159">
        <v>836.85</v>
      </c>
      <c r="G622" s="160" t="s">
        <v>1221</v>
      </c>
    </row>
    <row r="623" spans="1:8" ht="33">
      <c r="A623" s="160">
        <v>3</v>
      </c>
      <c r="B623" s="160" t="s">
        <v>1222</v>
      </c>
      <c r="C623" s="157" t="s">
        <v>927</v>
      </c>
      <c r="D623" s="159">
        <v>1</v>
      </c>
      <c r="E623" s="159">
        <v>647.54</v>
      </c>
      <c r="F623" s="159">
        <v>647.54</v>
      </c>
      <c r="G623" s="160" t="s">
        <v>1223</v>
      </c>
      <c r="H623" s="34" t="s">
        <v>925</v>
      </c>
    </row>
    <row r="624" spans="1:8" ht="42.75">
      <c r="A624" s="160">
        <v>4</v>
      </c>
      <c r="B624" s="160" t="s">
        <v>4891</v>
      </c>
      <c r="C624" s="157" t="s">
        <v>927</v>
      </c>
      <c r="D624" s="159">
        <v>1</v>
      </c>
      <c r="E624" s="159">
        <v>399.48</v>
      </c>
      <c r="F624" s="159">
        <v>399.48</v>
      </c>
      <c r="G624" s="160" t="s">
        <v>4892</v>
      </c>
      <c r="H624" s="34" t="s">
        <v>925</v>
      </c>
    </row>
    <row r="625" spans="1:8" ht="33">
      <c r="A625" s="160">
        <v>5</v>
      </c>
      <c r="B625" s="160" t="s">
        <v>1224</v>
      </c>
      <c r="C625" s="157" t="s">
        <v>927</v>
      </c>
      <c r="D625" s="159">
        <v>1</v>
      </c>
      <c r="E625" s="159">
        <v>537.96</v>
      </c>
      <c r="F625" s="159">
        <v>537.96</v>
      </c>
      <c r="G625" s="160" t="s">
        <v>1225</v>
      </c>
      <c r="H625" s="34" t="s">
        <v>925</v>
      </c>
    </row>
    <row r="626" spans="1:8" ht="33">
      <c r="A626" s="160">
        <v>6</v>
      </c>
      <c r="B626" s="160" t="s">
        <v>1226</v>
      </c>
      <c r="C626" s="157" t="s">
        <v>927</v>
      </c>
      <c r="D626" s="159">
        <v>1</v>
      </c>
      <c r="E626" s="159">
        <v>399.48</v>
      </c>
      <c r="F626" s="159">
        <v>399.48</v>
      </c>
      <c r="G626" s="160" t="s">
        <v>1227</v>
      </c>
      <c r="H626" s="34" t="s">
        <v>925</v>
      </c>
    </row>
    <row r="627" spans="1:8" ht="33">
      <c r="A627" s="160">
        <v>7</v>
      </c>
      <c r="B627" s="160" t="s">
        <v>4871</v>
      </c>
      <c r="C627" s="157" t="s">
        <v>927</v>
      </c>
      <c r="D627" s="159">
        <v>2.2000000000000002</v>
      </c>
      <c r="E627" s="159">
        <v>279.94</v>
      </c>
      <c r="F627" s="159">
        <v>615.87</v>
      </c>
      <c r="G627" s="160" t="s">
        <v>4872</v>
      </c>
      <c r="H627" s="34" t="s">
        <v>925</v>
      </c>
    </row>
    <row r="628" spans="1:8" ht="33">
      <c r="A628" s="160">
        <v>8</v>
      </c>
      <c r="B628" s="160" t="s">
        <v>1228</v>
      </c>
      <c r="C628" s="157" t="s">
        <v>927</v>
      </c>
      <c r="D628" s="159">
        <v>2.2000000000000002</v>
      </c>
      <c r="E628" s="159">
        <v>279.94</v>
      </c>
      <c r="F628" s="159">
        <v>615.87</v>
      </c>
      <c r="G628" s="160" t="s">
        <v>1229</v>
      </c>
      <c r="H628" s="34" t="s">
        <v>925</v>
      </c>
    </row>
    <row r="629" spans="1:8" ht="33">
      <c r="A629" s="160">
        <v>9</v>
      </c>
      <c r="B629" s="160" t="s">
        <v>931</v>
      </c>
      <c r="C629" s="157" t="s">
        <v>14</v>
      </c>
      <c r="D629" s="159">
        <v>1</v>
      </c>
      <c r="E629" s="159">
        <v>152.08000000000001</v>
      </c>
      <c r="F629" s="159">
        <v>152.08000000000001</v>
      </c>
      <c r="G629" s="160" t="s">
        <v>932</v>
      </c>
      <c r="H629" s="34" t="s">
        <v>925</v>
      </c>
    </row>
    <row r="630" spans="1:8" ht="33">
      <c r="A630" s="160"/>
      <c r="B630" s="160" t="s">
        <v>933</v>
      </c>
      <c r="C630" s="157" t="s">
        <v>3</v>
      </c>
      <c r="D630" s="159">
        <v>120</v>
      </c>
      <c r="E630" s="159"/>
      <c r="F630" s="159">
        <v>5221.2699999999995</v>
      </c>
      <c r="G630" s="160"/>
      <c r="H630" s="34" t="s">
        <v>925</v>
      </c>
    </row>
    <row r="631" spans="1:8" ht="33">
      <c r="A631" s="160"/>
      <c r="B631" s="160" t="s">
        <v>934</v>
      </c>
      <c r="C631" s="157" t="s">
        <v>3</v>
      </c>
      <c r="D631" s="159"/>
      <c r="E631" s="159"/>
      <c r="F631" s="159">
        <v>43.51</v>
      </c>
      <c r="G631" s="160"/>
      <c r="H631" s="34" t="s">
        <v>925</v>
      </c>
    </row>
    <row r="632" spans="1:8" ht="33">
      <c r="A632" s="160"/>
      <c r="B632" s="160"/>
      <c r="C632" s="157"/>
      <c r="D632" s="159"/>
      <c r="E632" s="159"/>
      <c r="F632" s="159"/>
      <c r="G632" s="160"/>
      <c r="H632" s="34" t="s">
        <v>925</v>
      </c>
    </row>
    <row r="633" spans="1:8" ht="42.75">
      <c r="A633" s="160" t="s">
        <v>1311</v>
      </c>
      <c r="B633" s="160" t="s">
        <v>4494</v>
      </c>
      <c r="C633" s="157" t="s">
        <v>3</v>
      </c>
      <c r="D633" s="159">
        <v>120</v>
      </c>
      <c r="E633" s="159">
        <v>69</v>
      </c>
      <c r="F633" s="159"/>
      <c r="G633" s="160" t="s">
        <v>4906</v>
      </c>
    </row>
    <row r="634" spans="1:8" ht="33">
      <c r="A634" s="160">
        <v>1</v>
      </c>
      <c r="B634" s="160" t="s">
        <v>1217</v>
      </c>
      <c r="C634" s="157" t="s">
        <v>927</v>
      </c>
      <c r="D634" s="159">
        <v>1.1499999999999999</v>
      </c>
      <c r="E634" s="159">
        <v>1016.14</v>
      </c>
      <c r="F634" s="159">
        <v>1168.56</v>
      </c>
      <c r="G634" s="160" t="s">
        <v>1218</v>
      </c>
      <c r="H634" s="34" t="s">
        <v>925</v>
      </c>
    </row>
    <row r="635" spans="1:8" ht="33">
      <c r="A635" s="160">
        <v>2</v>
      </c>
      <c r="B635" s="160" t="s">
        <v>1219</v>
      </c>
      <c r="C635" s="157" t="s">
        <v>1220</v>
      </c>
      <c r="D635" s="159">
        <v>7</v>
      </c>
      <c r="E635" s="159">
        <v>119.55</v>
      </c>
      <c r="F635" s="159">
        <v>836.85</v>
      </c>
      <c r="G635" s="160" t="s">
        <v>1221</v>
      </c>
      <c r="H635" s="34" t="s">
        <v>925</v>
      </c>
    </row>
    <row r="636" spans="1:8" ht="33">
      <c r="A636" s="160">
        <v>3</v>
      </c>
      <c r="B636" s="160" t="s">
        <v>1222</v>
      </c>
      <c r="C636" s="157" t="s">
        <v>927</v>
      </c>
      <c r="D636" s="159">
        <v>1.1499999999999999</v>
      </c>
      <c r="E636" s="159">
        <v>647.54</v>
      </c>
      <c r="F636" s="159">
        <v>744.67</v>
      </c>
      <c r="G636" s="160" t="s">
        <v>1223</v>
      </c>
      <c r="H636" s="34" t="s">
        <v>925</v>
      </c>
    </row>
    <row r="637" spans="1:8" ht="42.75">
      <c r="A637" s="160">
        <v>4</v>
      </c>
      <c r="B637" s="160" t="s">
        <v>4894</v>
      </c>
      <c r="C637" s="157" t="s">
        <v>927</v>
      </c>
      <c r="D637" s="159">
        <v>1.1499999999999999</v>
      </c>
      <c r="E637" s="159">
        <v>798.97</v>
      </c>
      <c r="F637" s="159">
        <v>918.82</v>
      </c>
      <c r="G637" s="160" t="s">
        <v>4895</v>
      </c>
      <c r="H637" s="34" t="s">
        <v>925</v>
      </c>
    </row>
    <row r="638" spans="1:8" ht="33">
      <c r="A638" s="160">
        <v>5</v>
      </c>
      <c r="B638" s="160" t="s">
        <v>1224</v>
      </c>
      <c r="C638" s="157" t="s">
        <v>927</v>
      </c>
      <c r="D638" s="159">
        <v>1.1499999999999999</v>
      </c>
      <c r="E638" s="159">
        <v>537.96</v>
      </c>
      <c r="F638" s="159">
        <v>618.65</v>
      </c>
      <c r="G638" s="160" t="s">
        <v>1225</v>
      </c>
      <c r="H638" s="34" t="s">
        <v>925</v>
      </c>
    </row>
    <row r="639" spans="1:8" ht="33">
      <c r="A639" s="160">
        <v>6</v>
      </c>
      <c r="B639" s="160" t="s">
        <v>4904</v>
      </c>
      <c r="C639" s="157" t="s">
        <v>927</v>
      </c>
      <c r="D639" s="159">
        <v>1.1499999999999999</v>
      </c>
      <c r="E639" s="159">
        <v>798.97</v>
      </c>
      <c r="F639" s="159">
        <v>918.82</v>
      </c>
      <c r="G639" s="160" t="s">
        <v>4905</v>
      </c>
      <c r="H639" s="34" t="s">
        <v>925</v>
      </c>
    </row>
    <row r="640" spans="1:8" ht="42.75">
      <c r="A640" s="160">
        <v>7</v>
      </c>
      <c r="B640" s="160" t="s">
        <v>4874</v>
      </c>
      <c r="C640" s="157" t="s">
        <v>927</v>
      </c>
      <c r="D640" s="159">
        <v>2.5299999999999998</v>
      </c>
      <c r="E640" s="159">
        <v>559.87</v>
      </c>
      <c r="F640" s="159">
        <v>1416.47</v>
      </c>
      <c r="G640" s="160" t="s">
        <v>4875</v>
      </c>
      <c r="H640" s="34" t="s">
        <v>925</v>
      </c>
    </row>
    <row r="641" spans="1:8" ht="33">
      <c r="A641" s="160">
        <v>8</v>
      </c>
      <c r="B641" s="160" t="s">
        <v>2567</v>
      </c>
      <c r="C641" s="157" t="s">
        <v>927</v>
      </c>
      <c r="D641" s="159">
        <v>2.5299999999999998</v>
      </c>
      <c r="E641" s="159">
        <v>559.87</v>
      </c>
      <c r="F641" s="159">
        <v>1416.47</v>
      </c>
      <c r="G641" s="160" t="s">
        <v>2568</v>
      </c>
      <c r="H641" s="34" t="s">
        <v>925</v>
      </c>
    </row>
    <row r="642" spans="1:8" ht="33">
      <c r="A642" s="160">
        <v>9</v>
      </c>
      <c r="B642" s="160" t="s">
        <v>931</v>
      </c>
      <c r="C642" s="157" t="s">
        <v>14</v>
      </c>
      <c r="D642" s="159">
        <v>1</v>
      </c>
      <c r="E642" s="159">
        <v>241.18</v>
      </c>
      <c r="F642" s="159">
        <v>241.18</v>
      </c>
      <c r="G642" s="160" t="s">
        <v>932</v>
      </c>
      <c r="H642" s="34" t="s">
        <v>925</v>
      </c>
    </row>
    <row r="643" spans="1:8" ht="33">
      <c r="A643" s="160"/>
      <c r="B643" s="160" t="s">
        <v>933</v>
      </c>
      <c r="C643" s="157" t="s">
        <v>3</v>
      </c>
      <c r="D643" s="159">
        <v>120</v>
      </c>
      <c r="E643" s="159"/>
      <c r="F643" s="159">
        <v>8280.49</v>
      </c>
      <c r="G643" s="160"/>
      <c r="H643" s="34" t="s">
        <v>925</v>
      </c>
    </row>
    <row r="644" spans="1:8" ht="16.5">
      <c r="A644" s="160"/>
      <c r="B644" s="160" t="s">
        <v>934</v>
      </c>
      <c r="C644" s="157" t="s">
        <v>3</v>
      </c>
      <c r="D644" s="159"/>
      <c r="E644" s="159"/>
      <c r="F644" s="159">
        <v>69</v>
      </c>
      <c r="G644" s="160"/>
    </row>
    <row r="645" spans="1:8" ht="33">
      <c r="A645" s="160"/>
      <c r="B645" s="160"/>
      <c r="C645" s="157"/>
      <c r="D645" s="159"/>
      <c r="E645" s="159"/>
      <c r="F645" s="159"/>
      <c r="G645" s="160"/>
      <c r="H645" s="34" t="s">
        <v>925</v>
      </c>
    </row>
    <row r="646" spans="1:8" ht="33">
      <c r="A646" s="160" t="s">
        <v>1314</v>
      </c>
      <c r="B646" s="160" t="s">
        <v>1239</v>
      </c>
      <c r="C646" s="157" t="s">
        <v>3</v>
      </c>
      <c r="D646" s="159">
        <v>216</v>
      </c>
      <c r="E646" s="159">
        <v>28.64</v>
      </c>
      <c r="F646" s="159"/>
      <c r="G646" s="160" t="s">
        <v>1240</v>
      </c>
      <c r="H646" s="34" t="s">
        <v>925</v>
      </c>
    </row>
    <row r="647" spans="1:8" ht="33">
      <c r="A647" s="160">
        <v>1</v>
      </c>
      <c r="B647" s="160" t="s">
        <v>1233</v>
      </c>
      <c r="C647" s="157" t="s">
        <v>927</v>
      </c>
      <c r="D647" s="159">
        <v>1</v>
      </c>
      <c r="E647" s="159">
        <v>1394.71</v>
      </c>
      <c r="F647" s="159">
        <v>1394.71</v>
      </c>
      <c r="G647" s="160" t="s">
        <v>1234</v>
      </c>
      <c r="H647" s="34" t="s">
        <v>925</v>
      </c>
    </row>
    <row r="648" spans="1:8" ht="33">
      <c r="A648" s="160">
        <v>2</v>
      </c>
      <c r="B648" s="160" t="s">
        <v>1219</v>
      </c>
      <c r="C648" s="157" t="s">
        <v>1220</v>
      </c>
      <c r="D648" s="159">
        <v>12.6</v>
      </c>
      <c r="E648" s="159">
        <v>119.55</v>
      </c>
      <c r="F648" s="159">
        <v>1506.33</v>
      </c>
      <c r="G648" s="160" t="s">
        <v>1221</v>
      </c>
      <c r="H648" s="34" t="s">
        <v>925</v>
      </c>
    </row>
    <row r="649" spans="1:8" ht="33">
      <c r="A649" s="160">
        <v>3</v>
      </c>
      <c r="B649" s="160" t="s">
        <v>1222</v>
      </c>
      <c r="C649" s="157" t="s">
        <v>927</v>
      </c>
      <c r="D649" s="159">
        <v>1</v>
      </c>
      <c r="E649" s="159">
        <v>647.54</v>
      </c>
      <c r="F649" s="159">
        <v>647.54</v>
      </c>
      <c r="G649" s="160" t="s">
        <v>1223</v>
      </c>
      <c r="H649" s="34" t="s">
        <v>925</v>
      </c>
    </row>
    <row r="650" spans="1:8" ht="42.75">
      <c r="A650" s="160">
        <v>4</v>
      </c>
      <c r="B650" s="160" t="s">
        <v>4891</v>
      </c>
      <c r="C650" s="157" t="s">
        <v>927</v>
      </c>
      <c r="D650" s="159">
        <v>1</v>
      </c>
      <c r="E650" s="159">
        <v>399.48</v>
      </c>
      <c r="F650" s="159">
        <v>399.48</v>
      </c>
      <c r="G650" s="160" t="s">
        <v>4892</v>
      </c>
      <c r="H650" s="34" t="s">
        <v>925</v>
      </c>
    </row>
    <row r="651" spans="1:8" ht="33">
      <c r="A651" s="160">
        <v>5</v>
      </c>
      <c r="B651" s="160" t="s">
        <v>1224</v>
      </c>
      <c r="C651" s="157" t="s">
        <v>927</v>
      </c>
      <c r="D651" s="159">
        <v>1</v>
      </c>
      <c r="E651" s="159">
        <v>537.96</v>
      </c>
      <c r="F651" s="159">
        <v>537.96</v>
      </c>
      <c r="G651" s="160" t="s">
        <v>1225</v>
      </c>
      <c r="H651" s="34" t="s">
        <v>925</v>
      </c>
    </row>
    <row r="652" spans="1:8" ht="33">
      <c r="A652" s="160">
        <v>6</v>
      </c>
      <c r="B652" s="160" t="s">
        <v>1226</v>
      </c>
      <c r="C652" s="157" t="s">
        <v>927</v>
      </c>
      <c r="D652" s="159">
        <v>1</v>
      </c>
      <c r="E652" s="159">
        <v>399.48</v>
      </c>
      <c r="F652" s="159">
        <v>399.48</v>
      </c>
      <c r="G652" s="160" t="s">
        <v>1227</v>
      </c>
      <c r="H652" s="34" t="s">
        <v>925</v>
      </c>
    </row>
    <row r="653" spans="1:8" ht="33">
      <c r="A653" s="160">
        <v>7</v>
      </c>
      <c r="B653" s="160" t="s">
        <v>4871</v>
      </c>
      <c r="C653" s="157" t="s">
        <v>927</v>
      </c>
      <c r="D653" s="159">
        <v>2</v>
      </c>
      <c r="E653" s="159">
        <v>279.94</v>
      </c>
      <c r="F653" s="159">
        <v>559.88</v>
      </c>
      <c r="G653" s="160" t="s">
        <v>4872</v>
      </c>
      <c r="H653" s="34" t="s">
        <v>925</v>
      </c>
    </row>
    <row r="654" spans="1:8" ht="33">
      <c r="A654" s="160">
        <v>8</v>
      </c>
      <c r="B654" s="160" t="s">
        <v>1228</v>
      </c>
      <c r="C654" s="157" t="s">
        <v>927</v>
      </c>
      <c r="D654" s="159">
        <v>2</v>
      </c>
      <c r="E654" s="159">
        <v>279.94</v>
      </c>
      <c r="F654" s="159">
        <v>559.88</v>
      </c>
      <c r="G654" s="160" t="s">
        <v>1229</v>
      </c>
      <c r="H654" s="34" t="s">
        <v>925</v>
      </c>
    </row>
    <row r="655" spans="1:8" ht="33">
      <c r="A655" s="160">
        <v>9</v>
      </c>
      <c r="B655" s="160" t="s">
        <v>931</v>
      </c>
      <c r="C655" s="157" t="s">
        <v>14</v>
      </c>
      <c r="D655" s="159">
        <v>1</v>
      </c>
      <c r="E655" s="159">
        <v>180.16</v>
      </c>
      <c r="F655" s="159">
        <v>180.16</v>
      </c>
      <c r="G655" s="160" t="s">
        <v>932</v>
      </c>
      <c r="H655" s="34" t="s">
        <v>925</v>
      </c>
    </row>
    <row r="656" spans="1:8" ht="33">
      <c r="A656" s="160"/>
      <c r="B656" s="160" t="s">
        <v>933</v>
      </c>
      <c r="C656" s="157" t="s">
        <v>3</v>
      </c>
      <c r="D656" s="159">
        <v>216</v>
      </c>
      <c r="E656" s="159"/>
      <c r="F656" s="159">
        <v>6185.42</v>
      </c>
      <c r="G656" s="160"/>
      <c r="H656" s="34" t="s">
        <v>925</v>
      </c>
    </row>
    <row r="657" spans="1:8" ht="16.5">
      <c r="A657" s="160"/>
      <c r="B657" s="160" t="s">
        <v>934</v>
      </c>
      <c r="C657" s="157" t="s">
        <v>3</v>
      </c>
      <c r="D657" s="159"/>
      <c r="E657" s="159"/>
      <c r="F657" s="159">
        <v>28.64</v>
      </c>
      <c r="G657" s="160"/>
    </row>
    <row r="658" spans="1:8" ht="33">
      <c r="A658" s="160"/>
      <c r="B658" s="160"/>
      <c r="C658" s="157"/>
      <c r="D658" s="159"/>
      <c r="E658" s="159"/>
      <c r="F658" s="159"/>
      <c r="G658" s="160"/>
      <c r="H658" s="34" t="s">
        <v>925</v>
      </c>
    </row>
    <row r="659" spans="1:8" ht="33">
      <c r="A659" s="160" t="s">
        <v>1319</v>
      </c>
      <c r="B659" s="160" t="s">
        <v>462</v>
      </c>
      <c r="C659" s="157" t="s">
        <v>17</v>
      </c>
      <c r="D659" s="159">
        <v>280</v>
      </c>
      <c r="E659" s="159">
        <v>65.94</v>
      </c>
      <c r="F659" s="159"/>
      <c r="G659" s="160" t="s">
        <v>1242</v>
      </c>
      <c r="H659" s="34" t="s">
        <v>925</v>
      </c>
    </row>
    <row r="660" spans="1:8" ht="33">
      <c r="A660" s="160">
        <v>1</v>
      </c>
      <c r="B660" s="160" t="s">
        <v>1243</v>
      </c>
      <c r="C660" s="157" t="s">
        <v>927</v>
      </c>
      <c r="D660" s="159">
        <v>8</v>
      </c>
      <c r="E660" s="159">
        <v>951.19</v>
      </c>
      <c r="F660" s="159">
        <v>7609.52</v>
      </c>
      <c r="G660" s="160" t="s">
        <v>1244</v>
      </c>
      <c r="H660" s="34" t="s">
        <v>925</v>
      </c>
    </row>
    <row r="661" spans="1:8" ht="33">
      <c r="A661" s="160">
        <v>2</v>
      </c>
      <c r="B661" s="160" t="s">
        <v>1245</v>
      </c>
      <c r="C661" s="157" t="s">
        <v>14</v>
      </c>
      <c r="D661" s="159">
        <v>1</v>
      </c>
      <c r="E661" s="159">
        <v>4482.9799999999996</v>
      </c>
      <c r="F661" s="159">
        <v>4482.9799999999996</v>
      </c>
      <c r="G661" s="160" t="s">
        <v>1246</v>
      </c>
      <c r="H661" s="34" t="s">
        <v>925</v>
      </c>
    </row>
    <row r="662" spans="1:8" ht="42.75">
      <c r="A662" s="160">
        <v>3</v>
      </c>
      <c r="B662" s="160" t="s">
        <v>4907</v>
      </c>
      <c r="C662" s="157" t="s">
        <v>927</v>
      </c>
      <c r="D662" s="159">
        <v>8</v>
      </c>
      <c r="E662" s="159">
        <v>399.48</v>
      </c>
      <c r="F662" s="159">
        <v>3195.84</v>
      </c>
      <c r="G662" s="160" t="s">
        <v>4908</v>
      </c>
      <c r="H662" s="34" t="s">
        <v>925</v>
      </c>
    </row>
    <row r="663" spans="1:8" ht="33">
      <c r="A663" s="160">
        <v>4</v>
      </c>
      <c r="B663" s="160" t="s">
        <v>4871</v>
      </c>
      <c r="C663" s="157" t="s">
        <v>927</v>
      </c>
      <c r="D663" s="159">
        <v>8</v>
      </c>
      <c r="E663" s="159">
        <v>279.94</v>
      </c>
      <c r="F663" s="159">
        <v>2239.52</v>
      </c>
      <c r="G663" s="160" t="s">
        <v>4876</v>
      </c>
      <c r="H663" s="34" t="s">
        <v>925</v>
      </c>
    </row>
    <row r="664" spans="1:8" ht="33">
      <c r="A664" s="160">
        <v>5</v>
      </c>
      <c r="B664" s="160" t="s">
        <v>1247</v>
      </c>
      <c r="C664" s="157" t="s">
        <v>14</v>
      </c>
      <c r="D664" s="159">
        <v>1</v>
      </c>
      <c r="E664" s="159">
        <v>398.49</v>
      </c>
      <c r="F664" s="159">
        <v>398.49</v>
      </c>
      <c r="G664" s="160" t="s">
        <v>1248</v>
      </c>
      <c r="H664" s="34" t="s">
        <v>925</v>
      </c>
    </row>
    <row r="665" spans="1:8" ht="33">
      <c r="A665" s="160">
        <v>6</v>
      </c>
      <c r="B665" s="160" t="s">
        <v>955</v>
      </c>
      <c r="C665" s="157" t="s">
        <v>14</v>
      </c>
      <c r="D665" s="159">
        <v>1</v>
      </c>
      <c r="E665" s="159">
        <v>537.79</v>
      </c>
      <c r="F665" s="159">
        <v>537.79</v>
      </c>
      <c r="G665" s="160" t="s">
        <v>956</v>
      </c>
      <c r="H665" s="34" t="s">
        <v>925</v>
      </c>
    </row>
    <row r="666" spans="1:8" ht="33">
      <c r="A666" s="160"/>
      <c r="B666" s="160" t="s">
        <v>933</v>
      </c>
      <c r="C666" s="157" t="s">
        <v>17</v>
      </c>
      <c r="D666" s="159">
        <v>280</v>
      </c>
      <c r="E666" s="159"/>
      <c r="F666" s="159">
        <v>18464.140000000003</v>
      </c>
      <c r="G666" s="160"/>
      <c r="H666" s="34" t="s">
        <v>925</v>
      </c>
    </row>
    <row r="667" spans="1:8" ht="33">
      <c r="A667" s="160"/>
      <c r="B667" s="160" t="s">
        <v>934</v>
      </c>
      <c r="C667" s="157" t="s">
        <v>17</v>
      </c>
      <c r="D667" s="159"/>
      <c r="E667" s="159"/>
      <c r="F667" s="159">
        <v>65.94</v>
      </c>
      <c r="G667" s="160"/>
      <c r="H667" s="34" t="s">
        <v>925</v>
      </c>
    </row>
    <row r="668" spans="1:8" ht="33">
      <c r="A668" s="160"/>
      <c r="B668" s="160"/>
      <c r="C668" s="157"/>
      <c r="D668" s="159"/>
      <c r="E668" s="159"/>
      <c r="F668" s="159"/>
      <c r="G668" s="160"/>
      <c r="H668" s="34" t="s">
        <v>925</v>
      </c>
    </row>
    <row r="669" spans="1:8" ht="33">
      <c r="A669" s="160" t="s">
        <v>1325</v>
      </c>
      <c r="B669" s="160" t="s">
        <v>1250</v>
      </c>
      <c r="C669" s="157" t="s">
        <v>17</v>
      </c>
      <c r="D669" s="159">
        <v>240</v>
      </c>
      <c r="E669" s="159">
        <v>76.930000000000007</v>
      </c>
      <c r="F669" s="159"/>
      <c r="G669" s="160" t="s">
        <v>1251</v>
      </c>
      <c r="H669" s="34" t="s">
        <v>925</v>
      </c>
    </row>
    <row r="670" spans="1:8" ht="28.5">
      <c r="A670" s="160">
        <v>1</v>
      </c>
      <c r="B670" s="160" t="s">
        <v>1243</v>
      </c>
      <c r="C670" s="157" t="s">
        <v>927</v>
      </c>
      <c r="D670" s="159">
        <v>8</v>
      </c>
      <c r="E670" s="159">
        <v>951.19</v>
      </c>
      <c r="F670" s="159">
        <v>7609.52</v>
      </c>
      <c r="G670" s="160" t="s">
        <v>1244</v>
      </c>
    </row>
    <row r="671" spans="1:8" ht="33">
      <c r="A671" s="160">
        <v>2</v>
      </c>
      <c r="B671" s="160" t="s">
        <v>1245</v>
      </c>
      <c r="C671" s="157" t="s">
        <v>14</v>
      </c>
      <c r="D671" s="159">
        <v>1</v>
      </c>
      <c r="E671" s="159">
        <v>4482.9799999999996</v>
      </c>
      <c r="F671" s="159">
        <v>4482.9799999999996</v>
      </c>
      <c r="G671" s="160" t="s">
        <v>1246</v>
      </c>
      <c r="H671" s="34" t="s">
        <v>925</v>
      </c>
    </row>
    <row r="672" spans="1:8" ht="42.75">
      <c r="A672" s="160">
        <v>3</v>
      </c>
      <c r="B672" s="160" t="s">
        <v>4907</v>
      </c>
      <c r="C672" s="157" t="s">
        <v>927</v>
      </c>
      <c r="D672" s="159">
        <v>8</v>
      </c>
      <c r="E672" s="159">
        <v>399.48</v>
      </c>
      <c r="F672" s="159">
        <v>3195.84</v>
      </c>
      <c r="G672" s="160" t="s">
        <v>4908</v>
      </c>
      <c r="H672" s="34" t="s">
        <v>925</v>
      </c>
    </row>
    <row r="673" spans="1:8" ht="33">
      <c r="A673" s="160">
        <v>4</v>
      </c>
      <c r="B673" s="160" t="s">
        <v>4871</v>
      </c>
      <c r="C673" s="157" t="s">
        <v>927</v>
      </c>
      <c r="D673" s="159">
        <v>8</v>
      </c>
      <c r="E673" s="159">
        <v>279.94</v>
      </c>
      <c r="F673" s="159">
        <v>2239.52</v>
      </c>
      <c r="G673" s="160" t="s">
        <v>4872</v>
      </c>
      <c r="H673" s="34" t="s">
        <v>925</v>
      </c>
    </row>
    <row r="674" spans="1:8" ht="33">
      <c r="A674" s="160">
        <v>5</v>
      </c>
      <c r="B674" s="160" t="s">
        <v>1247</v>
      </c>
      <c r="C674" s="157" t="s">
        <v>14</v>
      </c>
      <c r="D674" s="159">
        <v>1</v>
      </c>
      <c r="E674" s="159">
        <v>398.49</v>
      </c>
      <c r="F674" s="159">
        <v>398.49</v>
      </c>
      <c r="G674" s="160" t="s">
        <v>1248</v>
      </c>
      <c r="H674" s="34" t="s">
        <v>925</v>
      </c>
    </row>
    <row r="675" spans="1:8" ht="33">
      <c r="A675" s="160">
        <v>6</v>
      </c>
      <c r="B675" s="160" t="s">
        <v>955</v>
      </c>
      <c r="C675" s="157" t="s">
        <v>14</v>
      </c>
      <c r="D675" s="159">
        <v>1</v>
      </c>
      <c r="E675" s="159">
        <v>537.79</v>
      </c>
      <c r="F675" s="159">
        <v>537.79</v>
      </c>
      <c r="G675" s="160" t="s">
        <v>956</v>
      </c>
      <c r="H675" s="34" t="s">
        <v>925</v>
      </c>
    </row>
    <row r="676" spans="1:8" ht="33">
      <c r="A676" s="160"/>
      <c r="B676" s="160" t="s">
        <v>933</v>
      </c>
      <c r="C676" s="157" t="s">
        <v>17</v>
      </c>
      <c r="D676" s="159">
        <v>240</v>
      </c>
      <c r="E676" s="159"/>
      <c r="F676" s="159">
        <v>18464.140000000003</v>
      </c>
      <c r="G676" s="160"/>
      <c r="H676" s="34" t="s">
        <v>925</v>
      </c>
    </row>
    <row r="677" spans="1:8" ht="33">
      <c r="A677" s="160"/>
      <c r="B677" s="160" t="s">
        <v>934</v>
      </c>
      <c r="C677" s="157" t="s">
        <v>17</v>
      </c>
      <c r="D677" s="159"/>
      <c r="E677" s="159"/>
      <c r="F677" s="159">
        <v>76.930000000000007</v>
      </c>
      <c r="G677" s="160"/>
      <c r="H677" s="34" t="s">
        <v>925</v>
      </c>
    </row>
    <row r="678" spans="1:8" ht="33">
      <c r="A678" s="160"/>
      <c r="B678" s="160"/>
      <c r="C678" s="157"/>
      <c r="D678" s="159"/>
      <c r="E678" s="159"/>
      <c r="F678" s="159"/>
      <c r="G678" s="160"/>
      <c r="H678" s="34" t="s">
        <v>925</v>
      </c>
    </row>
    <row r="679" spans="1:8" ht="33">
      <c r="A679" s="160" t="s">
        <v>1327</v>
      </c>
      <c r="B679" s="160" t="s">
        <v>1253</v>
      </c>
      <c r="C679" s="157" t="s">
        <v>17</v>
      </c>
      <c r="D679" s="159">
        <v>160</v>
      </c>
      <c r="E679" s="159">
        <v>139.58000000000001</v>
      </c>
      <c r="F679" s="159"/>
      <c r="G679" s="160" t="s">
        <v>1254</v>
      </c>
      <c r="H679" s="34" t="s">
        <v>925</v>
      </c>
    </row>
    <row r="680" spans="1:8" ht="33">
      <c r="A680" s="160">
        <v>1</v>
      </c>
      <c r="B680" s="160" t="s">
        <v>1243</v>
      </c>
      <c r="C680" s="157" t="s">
        <v>927</v>
      </c>
      <c r="D680" s="159">
        <v>8</v>
      </c>
      <c r="E680" s="159">
        <v>951.19</v>
      </c>
      <c r="F680" s="159">
        <v>7609.52</v>
      </c>
      <c r="G680" s="160" t="s">
        <v>1244</v>
      </c>
      <c r="H680" s="34" t="s">
        <v>925</v>
      </c>
    </row>
    <row r="681" spans="1:8" ht="33">
      <c r="A681" s="160">
        <v>2</v>
      </c>
      <c r="B681" s="160" t="s">
        <v>1245</v>
      </c>
      <c r="C681" s="157" t="s">
        <v>14</v>
      </c>
      <c r="D681" s="159">
        <v>1</v>
      </c>
      <c r="E681" s="159">
        <v>4482.9799999999996</v>
      </c>
      <c r="F681" s="159">
        <v>4482.9799999999996</v>
      </c>
      <c r="G681" s="160" t="s">
        <v>1246</v>
      </c>
      <c r="H681" s="34" t="s">
        <v>925</v>
      </c>
    </row>
    <row r="682" spans="1:8" ht="42.75">
      <c r="A682" s="160">
        <v>3</v>
      </c>
      <c r="B682" s="160" t="s">
        <v>4907</v>
      </c>
      <c r="C682" s="157" t="s">
        <v>927</v>
      </c>
      <c r="D682" s="159">
        <v>8</v>
      </c>
      <c r="E682" s="159">
        <v>399.48</v>
      </c>
      <c r="F682" s="159">
        <v>3195.84</v>
      </c>
      <c r="G682" s="160" t="s">
        <v>4908</v>
      </c>
      <c r="H682" s="34" t="s">
        <v>925</v>
      </c>
    </row>
    <row r="683" spans="1:8" ht="28.5">
      <c r="A683" s="160">
        <v>4</v>
      </c>
      <c r="B683" s="160" t="s">
        <v>4871</v>
      </c>
      <c r="C683" s="157" t="s">
        <v>927</v>
      </c>
      <c r="D683" s="159">
        <v>10</v>
      </c>
      <c r="E683" s="159">
        <v>279.94</v>
      </c>
      <c r="F683" s="159">
        <v>2799.4</v>
      </c>
      <c r="G683" s="160" t="s">
        <v>4872</v>
      </c>
    </row>
    <row r="684" spans="1:8" ht="33">
      <c r="A684" s="160">
        <v>5</v>
      </c>
      <c r="B684" s="160" t="s">
        <v>1255</v>
      </c>
      <c r="C684" s="157" t="s">
        <v>927</v>
      </c>
      <c r="D684" s="159">
        <v>8</v>
      </c>
      <c r="E684" s="159">
        <v>399.48</v>
      </c>
      <c r="F684" s="159">
        <v>3195.84</v>
      </c>
      <c r="G684" s="160" t="s">
        <v>1256</v>
      </c>
      <c r="H684" s="34" t="s">
        <v>925</v>
      </c>
    </row>
    <row r="685" spans="1:8" ht="33">
      <c r="A685" s="160">
        <v>6</v>
      </c>
      <c r="B685" s="160" t="s">
        <v>1247</v>
      </c>
      <c r="C685" s="157" t="s">
        <v>14</v>
      </c>
      <c r="D685" s="159">
        <v>1</v>
      </c>
      <c r="E685" s="159">
        <v>398.49</v>
      </c>
      <c r="F685" s="159">
        <v>398.49</v>
      </c>
      <c r="G685" s="160" t="s">
        <v>1248</v>
      </c>
      <c r="H685" s="34" t="s">
        <v>925</v>
      </c>
    </row>
    <row r="686" spans="1:8" ht="33">
      <c r="A686" s="160">
        <v>7</v>
      </c>
      <c r="B686" s="160" t="s">
        <v>955</v>
      </c>
      <c r="C686" s="157" t="s">
        <v>14</v>
      </c>
      <c r="D686" s="159">
        <v>1</v>
      </c>
      <c r="E686" s="159">
        <v>650.46</v>
      </c>
      <c r="F686" s="159">
        <v>650.46</v>
      </c>
      <c r="G686" s="160" t="s">
        <v>956</v>
      </c>
      <c r="H686" s="34" t="s">
        <v>925</v>
      </c>
    </row>
    <row r="687" spans="1:8" ht="33">
      <c r="A687" s="160"/>
      <c r="B687" s="160" t="s">
        <v>933</v>
      </c>
      <c r="C687" s="157" t="s">
        <v>17</v>
      </c>
      <c r="D687" s="159">
        <v>160</v>
      </c>
      <c r="E687" s="159"/>
      <c r="F687" s="159">
        <v>22332.530000000002</v>
      </c>
      <c r="G687" s="160"/>
      <c r="H687" s="34" t="s">
        <v>925</v>
      </c>
    </row>
    <row r="688" spans="1:8" ht="33">
      <c r="A688" s="160"/>
      <c r="B688" s="160" t="s">
        <v>934</v>
      </c>
      <c r="C688" s="157" t="s">
        <v>17</v>
      </c>
      <c r="D688" s="159"/>
      <c r="E688" s="159"/>
      <c r="F688" s="159">
        <v>139.58000000000001</v>
      </c>
      <c r="G688" s="160"/>
      <c r="H688" s="34" t="s">
        <v>925</v>
      </c>
    </row>
    <row r="689" spans="1:8" ht="33">
      <c r="A689" s="160"/>
      <c r="B689" s="160"/>
      <c r="C689" s="157"/>
      <c r="D689" s="159"/>
      <c r="E689" s="159"/>
      <c r="F689" s="159"/>
      <c r="G689" s="160"/>
      <c r="H689" s="34" t="s">
        <v>925</v>
      </c>
    </row>
    <row r="690" spans="1:8" ht="33">
      <c r="A690" s="160" t="s">
        <v>1332</v>
      </c>
      <c r="B690" s="160" t="s">
        <v>464</v>
      </c>
      <c r="C690" s="157" t="s">
        <v>0</v>
      </c>
      <c r="D690" s="159">
        <v>1</v>
      </c>
      <c r="E690" s="159">
        <v>3327.95</v>
      </c>
      <c r="F690" s="159"/>
      <c r="G690" s="160" t="s">
        <v>1258</v>
      </c>
      <c r="H690" s="34" t="s">
        <v>925</v>
      </c>
    </row>
    <row r="691" spans="1:8" ht="33">
      <c r="A691" s="160">
        <v>1</v>
      </c>
      <c r="B691" s="160" t="s">
        <v>1259</v>
      </c>
      <c r="C691" s="157" t="s">
        <v>0</v>
      </c>
      <c r="D691" s="159">
        <v>1</v>
      </c>
      <c r="E691" s="159">
        <v>2948.81</v>
      </c>
      <c r="F691" s="159">
        <v>2948.81</v>
      </c>
      <c r="G691" s="160" t="s">
        <v>1260</v>
      </c>
      <c r="H691" s="34" t="s">
        <v>925</v>
      </c>
    </row>
    <row r="692" spans="1:8" ht="33">
      <c r="A692" s="160">
        <v>2</v>
      </c>
      <c r="B692" s="160" t="s">
        <v>4909</v>
      </c>
      <c r="C692" s="157" t="s">
        <v>927</v>
      </c>
      <c r="D692" s="159">
        <v>0.24</v>
      </c>
      <c r="E692" s="159">
        <v>408.45</v>
      </c>
      <c r="F692" s="159">
        <v>98.03</v>
      </c>
      <c r="G692" s="160" t="s">
        <v>4910</v>
      </c>
      <c r="H692" s="34" t="s">
        <v>925</v>
      </c>
    </row>
    <row r="693" spans="1:8" ht="33">
      <c r="A693" s="160">
        <v>3</v>
      </c>
      <c r="B693" s="160" t="s">
        <v>4871</v>
      </c>
      <c r="C693" s="157" t="s">
        <v>927</v>
      </c>
      <c r="D693" s="159">
        <v>0.48</v>
      </c>
      <c r="E693" s="159">
        <v>279.94</v>
      </c>
      <c r="F693" s="159">
        <v>134.37</v>
      </c>
      <c r="G693" s="160" t="s">
        <v>4876</v>
      </c>
      <c r="H693" s="34" t="s">
        <v>925</v>
      </c>
    </row>
    <row r="694" spans="1:8" ht="33">
      <c r="A694" s="160">
        <v>4</v>
      </c>
      <c r="B694" s="160" t="s">
        <v>1263</v>
      </c>
      <c r="C694" s="157" t="s">
        <v>14</v>
      </c>
      <c r="D694" s="159">
        <v>1</v>
      </c>
      <c r="E694" s="159">
        <v>9.9600000000000009</v>
      </c>
      <c r="F694" s="159">
        <v>9.9600000000000009</v>
      </c>
      <c r="G694" s="160" t="s">
        <v>1264</v>
      </c>
      <c r="H694" s="34" t="s">
        <v>925</v>
      </c>
    </row>
    <row r="695" spans="1:8" ht="33">
      <c r="A695" s="160">
        <v>5</v>
      </c>
      <c r="B695" s="160" t="s">
        <v>1265</v>
      </c>
      <c r="C695" s="157" t="s">
        <v>14</v>
      </c>
      <c r="D695" s="159">
        <v>1</v>
      </c>
      <c r="E695" s="159">
        <v>9.9600000000000009</v>
      </c>
      <c r="F695" s="159">
        <v>9.9600000000000009</v>
      </c>
      <c r="G695" s="160" t="s">
        <v>1266</v>
      </c>
      <c r="H695" s="34" t="s">
        <v>925</v>
      </c>
    </row>
    <row r="696" spans="1:8" ht="28.5">
      <c r="A696" s="160">
        <v>6</v>
      </c>
      <c r="B696" s="160" t="s">
        <v>1267</v>
      </c>
      <c r="C696" s="157" t="s">
        <v>14</v>
      </c>
      <c r="D696" s="159">
        <v>1</v>
      </c>
      <c r="E696" s="159">
        <v>29.89</v>
      </c>
      <c r="F696" s="159">
        <v>29.89</v>
      </c>
      <c r="G696" s="160" t="s">
        <v>1268</v>
      </c>
    </row>
    <row r="697" spans="1:8" ht="33">
      <c r="A697" s="160">
        <v>7</v>
      </c>
      <c r="B697" s="160" t="s">
        <v>931</v>
      </c>
      <c r="C697" s="157" t="s">
        <v>14</v>
      </c>
      <c r="D697" s="159">
        <v>1</v>
      </c>
      <c r="E697" s="159">
        <v>96.93</v>
      </c>
      <c r="F697" s="159">
        <v>96.93</v>
      </c>
      <c r="G697" s="160" t="s">
        <v>932</v>
      </c>
      <c r="H697" s="34" t="s">
        <v>925</v>
      </c>
    </row>
    <row r="698" spans="1:8" ht="33">
      <c r="A698" s="160"/>
      <c r="B698" s="160" t="s">
        <v>933</v>
      </c>
      <c r="C698" s="157" t="s">
        <v>0</v>
      </c>
      <c r="D698" s="159">
        <v>1</v>
      </c>
      <c r="E698" s="159"/>
      <c r="F698" s="159">
        <v>3327.95</v>
      </c>
      <c r="G698" s="160"/>
      <c r="H698" s="34" t="s">
        <v>925</v>
      </c>
    </row>
    <row r="699" spans="1:8" ht="33">
      <c r="A699" s="160"/>
      <c r="B699" s="160" t="s">
        <v>934</v>
      </c>
      <c r="C699" s="157" t="s">
        <v>0</v>
      </c>
      <c r="D699" s="159"/>
      <c r="E699" s="159"/>
      <c r="F699" s="159">
        <v>3327.95</v>
      </c>
      <c r="G699" s="160"/>
      <c r="H699" s="34" t="s">
        <v>925</v>
      </c>
    </row>
    <row r="700" spans="1:8" ht="33">
      <c r="A700" s="160"/>
      <c r="B700" s="160"/>
      <c r="C700" s="157"/>
      <c r="D700" s="159"/>
      <c r="E700" s="159"/>
      <c r="F700" s="159"/>
      <c r="G700" s="160"/>
      <c r="H700" s="34" t="s">
        <v>925</v>
      </c>
    </row>
    <row r="701" spans="1:8" ht="33">
      <c r="A701" s="160" t="s">
        <v>1346</v>
      </c>
      <c r="B701" s="160" t="s">
        <v>4501</v>
      </c>
      <c r="C701" s="157" t="s">
        <v>0</v>
      </c>
      <c r="D701" s="159">
        <v>1</v>
      </c>
      <c r="E701" s="159">
        <v>3641.34</v>
      </c>
      <c r="F701" s="159"/>
      <c r="G701" s="160" t="s">
        <v>4911</v>
      </c>
      <c r="H701" s="34" t="s">
        <v>925</v>
      </c>
    </row>
    <row r="702" spans="1:8" ht="33">
      <c r="A702" s="160">
        <v>1</v>
      </c>
      <c r="B702" s="160" t="s">
        <v>1259</v>
      </c>
      <c r="C702" s="157" t="s">
        <v>0</v>
      </c>
      <c r="D702" s="159">
        <v>1</v>
      </c>
      <c r="E702" s="159">
        <v>2948.81</v>
      </c>
      <c r="F702" s="159">
        <v>2948.81</v>
      </c>
      <c r="G702" s="160" t="s">
        <v>1260</v>
      </c>
      <c r="H702" s="34" t="s">
        <v>925</v>
      </c>
    </row>
    <row r="703" spans="1:8" ht="33">
      <c r="A703" s="160">
        <v>2</v>
      </c>
      <c r="B703" s="160" t="s">
        <v>4912</v>
      </c>
      <c r="C703" s="157" t="s">
        <v>927</v>
      </c>
      <c r="D703" s="159">
        <v>0.28000000000000003</v>
      </c>
      <c r="E703" s="159">
        <v>816.9</v>
      </c>
      <c r="F703" s="159">
        <v>228.73</v>
      </c>
      <c r="G703" s="160" t="s">
        <v>4913</v>
      </c>
      <c r="H703" s="34" t="s">
        <v>925</v>
      </c>
    </row>
    <row r="704" spans="1:8" ht="42.75">
      <c r="A704" s="160">
        <v>3</v>
      </c>
      <c r="B704" s="160" t="s">
        <v>4874</v>
      </c>
      <c r="C704" s="157" t="s">
        <v>927</v>
      </c>
      <c r="D704" s="159">
        <v>0.55000000000000004</v>
      </c>
      <c r="E704" s="159">
        <v>559.87</v>
      </c>
      <c r="F704" s="159">
        <v>307.93</v>
      </c>
      <c r="G704" s="160" t="s">
        <v>4875</v>
      </c>
      <c r="H704" s="34" t="s">
        <v>925</v>
      </c>
    </row>
    <row r="705" spans="1:8" ht="33">
      <c r="A705" s="160">
        <v>4</v>
      </c>
      <c r="B705" s="160" t="s">
        <v>1263</v>
      </c>
      <c r="C705" s="157" t="s">
        <v>14</v>
      </c>
      <c r="D705" s="159">
        <v>1</v>
      </c>
      <c r="E705" s="159">
        <v>9.9600000000000009</v>
      </c>
      <c r="F705" s="159">
        <v>9.9600000000000009</v>
      </c>
      <c r="G705" s="160" t="s">
        <v>1264</v>
      </c>
      <c r="H705" s="34" t="s">
        <v>925</v>
      </c>
    </row>
    <row r="706" spans="1:8" ht="33">
      <c r="A706" s="160">
        <v>5</v>
      </c>
      <c r="B706" s="160" t="s">
        <v>1265</v>
      </c>
      <c r="C706" s="157" t="s">
        <v>14</v>
      </c>
      <c r="D706" s="159">
        <v>1</v>
      </c>
      <c r="E706" s="159">
        <v>9.9600000000000009</v>
      </c>
      <c r="F706" s="159">
        <v>9.9600000000000009</v>
      </c>
      <c r="G706" s="160" t="s">
        <v>1266</v>
      </c>
      <c r="H706" s="34" t="s">
        <v>925</v>
      </c>
    </row>
    <row r="707" spans="1:8" ht="28.5">
      <c r="A707" s="160">
        <v>6</v>
      </c>
      <c r="B707" s="160" t="s">
        <v>1267</v>
      </c>
      <c r="C707" s="157" t="s">
        <v>14</v>
      </c>
      <c r="D707" s="159">
        <v>1</v>
      </c>
      <c r="E707" s="159">
        <v>29.89</v>
      </c>
      <c r="F707" s="159">
        <v>29.89</v>
      </c>
      <c r="G707" s="160" t="s">
        <v>1268</v>
      </c>
    </row>
    <row r="708" spans="1:8" ht="33">
      <c r="A708" s="160">
        <v>7</v>
      </c>
      <c r="B708" s="160" t="s">
        <v>931</v>
      </c>
      <c r="C708" s="157" t="s">
        <v>14</v>
      </c>
      <c r="D708" s="159">
        <v>1</v>
      </c>
      <c r="E708" s="159">
        <v>106.06</v>
      </c>
      <c r="F708" s="159">
        <v>106.06</v>
      </c>
      <c r="G708" s="160" t="s">
        <v>932</v>
      </c>
      <c r="H708" s="34" t="s">
        <v>925</v>
      </c>
    </row>
    <row r="709" spans="1:8" ht="33">
      <c r="A709" s="160"/>
      <c r="B709" s="160" t="s">
        <v>933</v>
      </c>
      <c r="C709" s="157" t="s">
        <v>0</v>
      </c>
      <c r="D709" s="159">
        <v>1</v>
      </c>
      <c r="E709" s="159"/>
      <c r="F709" s="159">
        <v>3641.3399999999997</v>
      </c>
      <c r="G709" s="160"/>
      <c r="H709" s="34" t="s">
        <v>925</v>
      </c>
    </row>
    <row r="710" spans="1:8" ht="33">
      <c r="A710" s="160"/>
      <c r="B710" s="160" t="s">
        <v>934</v>
      </c>
      <c r="C710" s="157" t="s">
        <v>0</v>
      </c>
      <c r="D710" s="159"/>
      <c r="E710" s="159"/>
      <c r="F710" s="159">
        <v>3641.34</v>
      </c>
      <c r="G710" s="160"/>
      <c r="H710" s="34" t="s">
        <v>925</v>
      </c>
    </row>
    <row r="711" spans="1:8" ht="33">
      <c r="A711" s="160"/>
      <c r="B711" s="160"/>
      <c r="C711" s="157"/>
      <c r="D711" s="159"/>
      <c r="E711" s="159"/>
      <c r="F711" s="159"/>
      <c r="G711" s="160"/>
      <c r="H711" s="34" t="s">
        <v>925</v>
      </c>
    </row>
    <row r="712" spans="1:8" ht="33">
      <c r="A712" s="160" t="s">
        <v>1351</v>
      </c>
      <c r="B712" s="160" t="s">
        <v>1270</v>
      </c>
      <c r="C712" s="157" t="s">
        <v>0</v>
      </c>
      <c r="D712" s="159">
        <v>1</v>
      </c>
      <c r="E712" s="159">
        <v>3420.3</v>
      </c>
      <c r="F712" s="159"/>
      <c r="G712" s="160" t="s">
        <v>1271</v>
      </c>
      <c r="H712" s="34" t="s">
        <v>925</v>
      </c>
    </row>
    <row r="713" spans="1:8" ht="33">
      <c r="A713" s="160">
        <v>1</v>
      </c>
      <c r="B713" s="160" t="s">
        <v>1272</v>
      </c>
      <c r="C713" s="157" t="s">
        <v>0</v>
      </c>
      <c r="D713" s="159">
        <v>1</v>
      </c>
      <c r="E713" s="159">
        <v>3038.47</v>
      </c>
      <c r="F713" s="159">
        <v>3038.47</v>
      </c>
      <c r="G713" s="160" t="s">
        <v>1273</v>
      </c>
      <c r="H713" s="34" t="s">
        <v>925</v>
      </c>
    </row>
    <row r="714" spans="1:8" ht="33">
      <c r="A714" s="160">
        <v>2</v>
      </c>
      <c r="B714" s="160" t="s">
        <v>4909</v>
      </c>
      <c r="C714" s="157" t="s">
        <v>927</v>
      </c>
      <c r="D714" s="159">
        <v>0.24</v>
      </c>
      <c r="E714" s="159">
        <v>408.45</v>
      </c>
      <c r="F714" s="159">
        <v>98.03</v>
      </c>
      <c r="G714" s="160" t="s">
        <v>4910</v>
      </c>
      <c r="H714" s="34" t="s">
        <v>925</v>
      </c>
    </row>
    <row r="715" spans="1:8" ht="33">
      <c r="A715" s="160">
        <v>3</v>
      </c>
      <c r="B715" s="160" t="s">
        <v>4871</v>
      </c>
      <c r="C715" s="157" t="s">
        <v>927</v>
      </c>
      <c r="D715" s="159">
        <v>0.48</v>
      </c>
      <c r="E715" s="159">
        <v>279.94</v>
      </c>
      <c r="F715" s="159">
        <v>134.37</v>
      </c>
      <c r="G715" s="160" t="s">
        <v>4876</v>
      </c>
      <c r="H715" s="34" t="s">
        <v>925</v>
      </c>
    </row>
    <row r="716" spans="1:8" ht="33">
      <c r="A716" s="160">
        <v>4</v>
      </c>
      <c r="B716" s="160" t="s">
        <v>1263</v>
      </c>
      <c r="C716" s="157" t="s">
        <v>14</v>
      </c>
      <c r="D716" s="159">
        <v>1</v>
      </c>
      <c r="E716" s="159">
        <v>9.9600000000000009</v>
      </c>
      <c r="F716" s="159">
        <v>9.9600000000000009</v>
      </c>
      <c r="G716" s="160" t="s">
        <v>1264</v>
      </c>
      <c r="H716" s="34" t="s">
        <v>925</v>
      </c>
    </row>
    <row r="717" spans="1:8" ht="33">
      <c r="A717" s="160">
        <v>5</v>
      </c>
      <c r="B717" s="160" t="s">
        <v>1265</v>
      </c>
      <c r="C717" s="157" t="s">
        <v>14</v>
      </c>
      <c r="D717" s="159">
        <v>1</v>
      </c>
      <c r="E717" s="159">
        <v>9.9600000000000009</v>
      </c>
      <c r="F717" s="159">
        <v>9.9600000000000009</v>
      </c>
      <c r="G717" s="160" t="s">
        <v>1266</v>
      </c>
      <c r="H717" s="34" t="s">
        <v>925</v>
      </c>
    </row>
    <row r="718" spans="1:8" ht="28.5">
      <c r="A718" s="160">
        <v>6</v>
      </c>
      <c r="B718" s="160" t="s">
        <v>1267</v>
      </c>
      <c r="C718" s="157" t="s">
        <v>14</v>
      </c>
      <c r="D718" s="159">
        <v>1</v>
      </c>
      <c r="E718" s="159">
        <v>29.89</v>
      </c>
      <c r="F718" s="159">
        <v>29.89</v>
      </c>
      <c r="G718" s="160" t="s">
        <v>1268</v>
      </c>
    </row>
    <row r="719" spans="1:8" ht="33">
      <c r="A719" s="160">
        <v>7</v>
      </c>
      <c r="B719" s="160" t="s">
        <v>931</v>
      </c>
      <c r="C719" s="157" t="s">
        <v>14</v>
      </c>
      <c r="D719" s="159">
        <v>1</v>
      </c>
      <c r="E719" s="159">
        <v>99.62</v>
      </c>
      <c r="F719" s="159">
        <v>99.62</v>
      </c>
      <c r="G719" s="160" t="s">
        <v>932</v>
      </c>
      <c r="H719" s="34" t="s">
        <v>925</v>
      </c>
    </row>
    <row r="720" spans="1:8" ht="33">
      <c r="A720" s="160"/>
      <c r="B720" s="160" t="s">
        <v>933</v>
      </c>
      <c r="C720" s="157" t="s">
        <v>0</v>
      </c>
      <c r="D720" s="159">
        <v>1</v>
      </c>
      <c r="E720" s="159"/>
      <c r="F720" s="159">
        <v>3420.2999999999997</v>
      </c>
      <c r="G720" s="160"/>
      <c r="H720" s="34" t="s">
        <v>925</v>
      </c>
    </row>
    <row r="721" spans="1:8" ht="33">
      <c r="A721" s="160"/>
      <c r="B721" s="160" t="s">
        <v>934</v>
      </c>
      <c r="C721" s="157" t="s">
        <v>0</v>
      </c>
      <c r="D721" s="159"/>
      <c r="E721" s="159"/>
      <c r="F721" s="159">
        <v>3420.3</v>
      </c>
      <c r="G721" s="160"/>
      <c r="H721" s="34" t="s">
        <v>925</v>
      </c>
    </row>
    <row r="722" spans="1:8" ht="33">
      <c r="A722" s="160"/>
      <c r="B722" s="160"/>
      <c r="C722" s="157"/>
      <c r="D722" s="159"/>
      <c r="E722" s="159"/>
      <c r="F722" s="159"/>
      <c r="G722" s="160"/>
      <c r="H722" s="34" t="s">
        <v>925</v>
      </c>
    </row>
    <row r="723" spans="1:8" ht="57">
      <c r="A723" s="160" t="s">
        <v>1356</v>
      </c>
      <c r="B723" s="160" t="s">
        <v>1275</v>
      </c>
      <c r="C723" s="157" t="s">
        <v>0</v>
      </c>
      <c r="D723" s="159">
        <v>1</v>
      </c>
      <c r="E723" s="159">
        <v>3522.91</v>
      </c>
      <c r="F723" s="159"/>
      <c r="G723" s="160" t="s">
        <v>1276</v>
      </c>
      <c r="H723" s="34" t="s">
        <v>925</v>
      </c>
    </row>
    <row r="724" spans="1:8" ht="57">
      <c r="A724" s="160">
        <v>1</v>
      </c>
      <c r="B724" s="160" t="s">
        <v>1277</v>
      </c>
      <c r="C724" s="157" t="s">
        <v>0</v>
      </c>
      <c r="D724" s="159">
        <v>1</v>
      </c>
      <c r="E724" s="159">
        <v>3138.09</v>
      </c>
      <c r="F724" s="159">
        <v>3138.09</v>
      </c>
      <c r="G724" s="160" t="s">
        <v>1278</v>
      </c>
      <c r="H724" s="34" t="s">
        <v>925</v>
      </c>
    </row>
    <row r="725" spans="1:8" ht="33">
      <c r="A725" s="160">
        <v>2</v>
      </c>
      <c r="B725" s="160" t="s">
        <v>4909</v>
      </c>
      <c r="C725" s="157" t="s">
        <v>927</v>
      </c>
      <c r="D725" s="159">
        <v>0.24</v>
      </c>
      <c r="E725" s="159">
        <v>408.45</v>
      </c>
      <c r="F725" s="159">
        <v>98.03</v>
      </c>
      <c r="G725" s="160" t="s">
        <v>4910</v>
      </c>
      <c r="H725" s="34" t="s">
        <v>925</v>
      </c>
    </row>
    <row r="726" spans="1:8" ht="33">
      <c r="A726" s="160">
        <v>3</v>
      </c>
      <c r="B726" s="160" t="s">
        <v>4871</v>
      </c>
      <c r="C726" s="157" t="s">
        <v>927</v>
      </c>
      <c r="D726" s="159">
        <v>0.48</v>
      </c>
      <c r="E726" s="159">
        <v>279.94</v>
      </c>
      <c r="F726" s="159">
        <v>134.37</v>
      </c>
      <c r="G726" s="160" t="s">
        <v>4876</v>
      </c>
      <c r="H726" s="34" t="s">
        <v>925</v>
      </c>
    </row>
    <row r="727" spans="1:8" ht="28.5">
      <c r="A727" s="160">
        <v>4</v>
      </c>
      <c r="B727" s="160" t="s">
        <v>1263</v>
      </c>
      <c r="C727" s="157" t="s">
        <v>14</v>
      </c>
      <c r="D727" s="159">
        <v>1</v>
      </c>
      <c r="E727" s="159">
        <v>9.9600000000000009</v>
      </c>
      <c r="F727" s="159">
        <v>9.9600000000000009</v>
      </c>
      <c r="G727" s="160" t="s">
        <v>1264</v>
      </c>
    </row>
    <row r="728" spans="1:8" ht="33">
      <c r="A728" s="160">
        <v>5</v>
      </c>
      <c r="B728" s="160" t="s">
        <v>1265</v>
      </c>
      <c r="C728" s="157" t="s">
        <v>14</v>
      </c>
      <c r="D728" s="159">
        <v>1</v>
      </c>
      <c r="E728" s="159">
        <v>9.9600000000000009</v>
      </c>
      <c r="F728" s="159">
        <v>9.9600000000000009</v>
      </c>
      <c r="G728" s="160" t="s">
        <v>1266</v>
      </c>
      <c r="H728" s="34" t="s">
        <v>925</v>
      </c>
    </row>
    <row r="729" spans="1:8" ht="33">
      <c r="A729" s="160">
        <v>6</v>
      </c>
      <c r="B729" s="160" t="s">
        <v>1267</v>
      </c>
      <c r="C729" s="157" t="s">
        <v>14</v>
      </c>
      <c r="D729" s="159">
        <v>1</v>
      </c>
      <c r="E729" s="159">
        <v>29.89</v>
      </c>
      <c r="F729" s="159">
        <v>29.89</v>
      </c>
      <c r="G729" s="160" t="s">
        <v>1268</v>
      </c>
      <c r="H729" s="34" t="s">
        <v>925</v>
      </c>
    </row>
    <row r="730" spans="1:8" ht="33">
      <c r="A730" s="160">
        <v>7</v>
      </c>
      <c r="B730" s="160" t="s">
        <v>931</v>
      </c>
      <c r="C730" s="157" t="s">
        <v>14</v>
      </c>
      <c r="D730" s="159">
        <v>1</v>
      </c>
      <c r="E730" s="159">
        <v>102.61</v>
      </c>
      <c r="F730" s="159">
        <v>102.61</v>
      </c>
      <c r="G730" s="160" t="s">
        <v>932</v>
      </c>
      <c r="H730" s="34" t="s">
        <v>925</v>
      </c>
    </row>
    <row r="731" spans="1:8" ht="33">
      <c r="A731" s="160"/>
      <c r="B731" s="160" t="s">
        <v>933</v>
      </c>
      <c r="C731" s="157" t="s">
        <v>0</v>
      </c>
      <c r="D731" s="159">
        <v>1</v>
      </c>
      <c r="E731" s="159"/>
      <c r="F731" s="159">
        <v>3522.9100000000003</v>
      </c>
      <c r="G731" s="160"/>
      <c r="H731" s="34" t="s">
        <v>925</v>
      </c>
    </row>
    <row r="732" spans="1:8" ht="33">
      <c r="A732" s="160"/>
      <c r="B732" s="160" t="s">
        <v>934</v>
      </c>
      <c r="C732" s="157" t="s">
        <v>0</v>
      </c>
      <c r="D732" s="159"/>
      <c r="E732" s="159"/>
      <c r="F732" s="159">
        <v>3522.91</v>
      </c>
      <c r="G732" s="160"/>
      <c r="H732" s="34" t="s">
        <v>925</v>
      </c>
    </row>
    <row r="733" spans="1:8" ht="33">
      <c r="A733" s="160"/>
      <c r="B733" s="160"/>
      <c r="C733" s="157"/>
      <c r="D733" s="159"/>
      <c r="E733" s="159"/>
      <c r="F733" s="159"/>
      <c r="G733" s="160"/>
      <c r="H733" s="34" t="s">
        <v>925</v>
      </c>
    </row>
    <row r="734" spans="1:8" ht="57">
      <c r="A734" s="160" t="s">
        <v>1359</v>
      </c>
      <c r="B734" s="160" t="s">
        <v>4505</v>
      </c>
      <c r="C734" s="157" t="s">
        <v>0</v>
      </c>
      <c r="D734" s="159">
        <v>1</v>
      </c>
      <c r="E734" s="159">
        <v>3836.3</v>
      </c>
      <c r="F734" s="159"/>
      <c r="G734" s="160" t="s">
        <v>4914</v>
      </c>
      <c r="H734" s="34" t="s">
        <v>925</v>
      </c>
    </row>
    <row r="735" spans="1:8" ht="57">
      <c r="A735" s="160">
        <v>1</v>
      </c>
      <c r="B735" s="160" t="s">
        <v>1277</v>
      </c>
      <c r="C735" s="157" t="s">
        <v>0</v>
      </c>
      <c r="D735" s="159">
        <v>1</v>
      </c>
      <c r="E735" s="159">
        <v>3138.09</v>
      </c>
      <c r="F735" s="159">
        <v>3138.09</v>
      </c>
      <c r="G735" s="160" t="s">
        <v>1278</v>
      </c>
    </row>
    <row r="736" spans="1:8" ht="33">
      <c r="A736" s="160">
        <v>2</v>
      </c>
      <c r="B736" s="160" t="s">
        <v>4912</v>
      </c>
      <c r="C736" s="157" t="s">
        <v>927</v>
      </c>
      <c r="D736" s="159">
        <v>0.28000000000000003</v>
      </c>
      <c r="E736" s="159">
        <v>816.9</v>
      </c>
      <c r="F736" s="159">
        <v>228.73</v>
      </c>
      <c r="G736" s="160" t="s">
        <v>4913</v>
      </c>
      <c r="H736" s="34" t="s">
        <v>925</v>
      </c>
    </row>
    <row r="737" spans="1:8" ht="42.75">
      <c r="A737" s="160">
        <v>3</v>
      </c>
      <c r="B737" s="160" t="s">
        <v>4874</v>
      </c>
      <c r="C737" s="157" t="s">
        <v>927</v>
      </c>
      <c r="D737" s="159">
        <v>0.55000000000000004</v>
      </c>
      <c r="E737" s="159">
        <v>559.87</v>
      </c>
      <c r="F737" s="159">
        <v>307.93</v>
      </c>
      <c r="G737" s="160" t="s">
        <v>4875</v>
      </c>
      <c r="H737" s="34" t="s">
        <v>925</v>
      </c>
    </row>
    <row r="738" spans="1:8" ht="33">
      <c r="A738" s="160">
        <v>4</v>
      </c>
      <c r="B738" s="160" t="s">
        <v>1263</v>
      </c>
      <c r="C738" s="157" t="s">
        <v>14</v>
      </c>
      <c r="D738" s="159">
        <v>1</v>
      </c>
      <c r="E738" s="159">
        <v>9.9600000000000009</v>
      </c>
      <c r="F738" s="159">
        <v>9.9600000000000009</v>
      </c>
      <c r="G738" s="160" t="s">
        <v>1264</v>
      </c>
      <c r="H738" s="34" t="s">
        <v>925</v>
      </c>
    </row>
    <row r="739" spans="1:8" ht="33">
      <c r="A739" s="160">
        <v>5</v>
      </c>
      <c r="B739" s="160" t="s">
        <v>1265</v>
      </c>
      <c r="C739" s="157" t="s">
        <v>14</v>
      </c>
      <c r="D739" s="159">
        <v>1</v>
      </c>
      <c r="E739" s="159">
        <v>9.9600000000000009</v>
      </c>
      <c r="F739" s="159">
        <v>9.9600000000000009</v>
      </c>
      <c r="G739" s="160" t="s">
        <v>1266</v>
      </c>
      <c r="H739" s="34" t="s">
        <v>925</v>
      </c>
    </row>
    <row r="740" spans="1:8" ht="33">
      <c r="A740" s="160">
        <v>6</v>
      </c>
      <c r="B740" s="160" t="s">
        <v>1267</v>
      </c>
      <c r="C740" s="157" t="s">
        <v>14</v>
      </c>
      <c r="D740" s="159">
        <v>1</v>
      </c>
      <c r="E740" s="159">
        <v>29.89</v>
      </c>
      <c r="F740" s="159">
        <v>29.89</v>
      </c>
      <c r="G740" s="160" t="s">
        <v>1268</v>
      </c>
      <c r="H740" s="34" t="s">
        <v>925</v>
      </c>
    </row>
    <row r="741" spans="1:8" ht="33">
      <c r="A741" s="160">
        <v>7</v>
      </c>
      <c r="B741" s="160" t="s">
        <v>931</v>
      </c>
      <c r="C741" s="157" t="s">
        <v>14</v>
      </c>
      <c r="D741" s="159">
        <v>1</v>
      </c>
      <c r="E741" s="159">
        <v>111.74</v>
      </c>
      <c r="F741" s="159">
        <v>111.74</v>
      </c>
      <c r="G741" s="160" t="s">
        <v>932</v>
      </c>
      <c r="H741" s="34" t="s">
        <v>925</v>
      </c>
    </row>
    <row r="742" spans="1:8" ht="33">
      <c r="A742" s="160"/>
      <c r="B742" s="160" t="s">
        <v>933</v>
      </c>
      <c r="C742" s="157" t="s">
        <v>0</v>
      </c>
      <c r="D742" s="159">
        <v>1</v>
      </c>
      <c r="E742" s="159"/>
      <c r="F742" s="159">
        <v>3836.2999999999997</v>
      </c>
      <c r="G742" s="160"/>
      <c r="H742" s="34" t="s">
        <v>925</v>
      </c>
    </row>
    <row r="743" spans="1:8" ht="33">
      <c r="A743" s="160"/>
      <c r="B743" s="160" t="s">
        <v>934</v>
      </c>
      <c r="C743" s="157" t="s">
        <v>0</v>
      </c>
      <c r="D743" s="159"/>
      <c r="E743" s="159"/>
      <c r="F743" s="159">
        <v>3836.3</v>
      </c>
      <c r="G743" s="160"/>
      <c r="H743" s="34" t="s">
        <v>925</v>
      </c>
    </row>
    <row r="744" spans="1:8" ht="33">
      <c r="A744" s="160"/>
      <c r="B744" s="160"/>
      <c r="C744" s="157"/>
      <c r="D744" s="159"/>
      <c r="E744" s="159"/>
      <c r="F744" s="159"/>
      <c r="G744" s="160"/>
      <c r="H744" s="34" t="s">
        <v>925</v>
      </c>
    </row>
    <row r="745" spans="1:8" ht="33">
      <c r="A745" s="160" t="s">
        <v>1362</v>
      </c>
      <c r="B745" s="160" t="s">
        <v>1280</v>
      </c>
      <c r="C745" s="157" t="s">
        <v>0</v>
      </c>
      <c r="D745" s="159">
        <v>1</v>
      </c>
      <c r="E745" s="159">
        <v>3692.17</v>
      </c>
      <c r="F745" s="159"/>
      <c r="G745" s="160" t="s">
        <v>1281</v>
      </c>
      <c r="H745" s="34" t="s">
        <v>925</v>
      </c>
    </row>
    <row r="746" spans="1:8" ht="33">
      <c r="A746" s="160">
        <v>1</v>
      </c>
      <c r="B746" s="160" t="s">
        <v>1282</v>
      </c>
      <c r="C746" s="157" t="s">
        <v>0</v>
      </c>
      <c r="D746" s="159">
        <v>1</v>
      </c>
      <c r="E746" s="159">
        <v>3247.67</v>
      </c>
      <c r="F746" s="159">
        <v>3247.67</v>
      </c>
      <c r="G746" s="160" t="s">
        <v>1283</v>
      </c>
      <c r="H746" s="34" t="s">
        <v>925</v>
      </c>
    </row>
    <row r="747" spans="1:8" ht="33">
      <c r="A747" s="160">
        <v>2</v>
      </c>
      <c r="B747" s="160" t="s">
        <v>4909</v>
      </c>
      <c r="C747" s="157" t="s">
        <v>927</v>
      </c>
      <c r="D747" s="159">
        <v>0.24</v>
      </c>
      <c r="E747" s="159">
        <v>408.45</v>
      </c>
      <c r="F747" s="159">
        <v>98.03</v>
      </c>
      <c r="G747" s="160" t="s">
        <v>4910</v>
      </c>
      <c r="H747" s="34" t="s">
        <v>925</v>
      </c>
    </row>
    <row r="748" spans="1:8" ht="28.5">
      <c r="A748" s="160">
        <v>3</v>
      </c>
      <c r="B748" s="160" t="s">
        <v>4871</v>
      </c>
      <c r="C748" s="157" t="s">
        <v>927</v>
      </c>
      <c r="D748" s="159">
        <v>0.64</v>
      </c>
      <c r="E748" s="159">
        <v>279.94</v>
      </c>
      <c r="F748" s="159">
        <v>179.16</v>
      </c>
      <c r="G748" s="160" t="s">
        <v>4876</v>
      </c>
    </row>
    <row r="749" spans="1:8" ht="33">
      <c r="A749" s="160">
        <v>4</v>
      </c>
      <c r="B749" s="160" t="s">
        <v>1263</v>
      </c>
      <c r="C749" s="157" t="s">
        <v>14</v>
      </c>
      <c r="D749" s="159">
        <v>1</v>
      </c>
      <c r="E749" s="159">
        <v>12.95</v>
      </c>
      <c r="F749" s="159">
        <v>12.95</v>
      </c>
      <c r="G749" s="160" t="s">
        <v>1264</v>
      </c>
      <c r="H749" s="34" t="s">
        <v>925</v>
      </c>
    </row>
    <row r="750" spans="1:8" ht="33">
      <c r="A750" s="160">
        <v>5</v>
      </c>
      <c r="B750" s="160" t="s">
        <v>1265</v>
      </c>
      <c r="C750" s="157" t="s">
        <v>14</v>
      </c>
      <c r="D750" s="159">
        <v>1</v>
      </c>
      <c r="E750" s="159">
        <v>9.9600000000000009</v>
      </c>
      <c r="F750" s="159">
        <v>9.9600000000000009</v>
      </c>
      <c r="G750" s="160" t="s">
        <v>1266</v>
      </c>
      <c r="H750" s="34" t="s">
        <v>925</v>
      </c>
    </row>
    <row r="751" spans="1:8" ht="33">
      <c r="A751" s="160">
        <v>6</v>
      </c>
      <c r="B751" s="160" t="s">
        <v>1267</v>
      </c>
      <c r="C751" s="157" t="s">
        <v>14</v>
      </c>
      <c r="D751" s="159">
        <v>1</v>
      </c>
      <c r="E751" s="159">
        <v>36.86</v>
      </c>
      <c r="F751" s="159">
        <v>36.86</v>
      </c>
      <c r="G751" s="160" t="s">
        <v>1268</v>
      </c>
      <c r="H751" s="34" t="s">
        <v>925</v>
      </c>
    </row>
    <row r="752" spans="1:8" ht="33">
      <c r="A752" s="160">
        <v>7</v>
      </c>
      <c r="B752" s="160" t="s">
        <v>931</v>
      </c>
      <c r="C752" s="157" t="s">
        <v>14</v>
      </c>
      <c r="D752" s="159">
        <v>1</v>
      </c>
      <c r="E752" s="159">
        <v>107.54</v>
      </c>
      <c r="F752" s="159">
        <v>107.54</v>
      </c>
      <c r="G752" s="160" t="s">
        <v>932</v>
      </c>
      <c r="H752" s="34" t="s">
        <v>925</v>
      </c>
    </row>
    <row r="753" spans="1:8" ht="33">
      <c r="A753" s="160"/>
      <c r="B753" s="160" t="s">
        <v>933</v>
      </c>
      <c r="C753" s="157" t="s">
        <v>0</v>
      </c>
      <c r="D753" s="159">
        <v>1</v>
      </c>
      <c r="E753" s="159"/>
      <c r="F753" s="159">
        <v>3692.17</v>
      </c>
      <c r="G753" s="160"/>
      <c r="H753" s="34" t="s">
        <v>925</v>
      </c>
    </row>
    <row r="754" spans="1:8" ht="33">
      <c r="A754" s="160"/>
      <c r="B754" s="160" t="s">
        <v>934</v>
      </c>
      <c r="C754" s="157" t="s">
        <v>0</v>
      </c>
      <c r="D754" s="159"/>
      <c r="E754" s="159"/>
      <c r="F754" s="159">
        <v>3692.17</v>
      </c>
      <c r="G754" s="160"/>
      <c r="H754" s="34" t="s">
        <v>925</v>
      </c>
    </row>
    <row r="755" spans="1:8" ht="33">
      <c r="A755" s="160"/>
      <c r="B755" s="160"/>
      <c r="C755" s="157"/>
      <c r="D755" s="159"/>
      <c r="E755" s="159"/>
      <c r="F755" s="159"/>
      <c r="G755" s="160"/>
      <c r="H755" s="34" t="s">
        <v>925</v>
      </c>
    </row>
    <row r="756" spans="1:8" ht="57">
      <c r="A756" s="160" t="s">
        <v>1368</v>
      </c>
      <c r="B756" s="160" t="s">
        <v>16</v>
      </c>
      <c r="C756" s="157" t="s">
        <v>0</v>
      </c>
      <c r="D756" s="159">
        <v>1</v>
      </c>
      <c r="E756" s="159">
        <v>3847.4</v>
      </c>
      <c r="F756" s="159"/>
      <c r="G756" s="160" t="s">
        <v>4021</v>
      </c>
      <c r="H756" s="34" t="s">
        <v>925</v>
      </c>
    </row>
    <row r="757" spans="1:8" ht="57">
      <c r="A757" s="160">
        <v>1</v>
      </c>
      <c r="B757" s="160" t="s">
        <v>1285</v>
      </c>
      <c r="C757" s="157" t="s">
        <v>0</v>
      </c>
      <c r="D757" s="159">
        <v>1</v>
      </c>
      <c r="E757" s="159">
        <v>3337.33</v>
      </c>
      <c r="F757" s="159">
        <v>3337.33</v>
      </c>
      <c r="G757" s="160" t="s">
        <v>4915</v>
      </c>
      <c r="H757" s="34" t="s">
        <v>925</v>
      </c>
    </row>
    <row r="758" spans="1:8" ht="33">
      <c r="A758" s="160">
        <v>2</v>
      </c>
      <c r="B758" s="160" t="s">
        <v>4909</v>
      </c>
      <c r="C758" s="157" t="s">
        <v>927</v>
      </c>
      <c r="D758" s="159">
        <v>0.32</v>
      </c>
      <c r="E758" s="159">
        <v>408.45</v>
      </c>
      <c r="F758" s="159">
        <v>130.69999999999999</v>
      </c>
      <c r="G758" s="160" t="s">
        <v>4910</v>
      </c>
      <c r="H758" s="34" t="s">
        <v>925</v>
      </c>
    </row>
    <row r="759" spans="1:8" ht="33">
      <c r="A759" s="160">
        <v>3</v>
      </c>
      <c r="B759" s="160" t="s">
        <v>4871</v>
      </c>
      <c r="C759" s="157" t="s">
        <v>927</v>
      </c>
      <c r="D759" s="159">
        <v>0.72</v>
      </c>
      <c r="E759" s="159">
        <v>279.94</v>
      </c>
      <c r="F759" s="159">
        <v>201.56</v>
      </c>
      <c r="G759" s="160" t="s">
        <v>4876</v>
      </c>
      <c r="H759" s="34" t="s">
        <v>925</v>
      </c>
    </row>
    <row r="760" spans="1:8" ht="33">
      <c r="A760" s="160">
        <v>4</v>
      </c>
      <c r="B760" s="160" t="s">
        <v>1263</v>
      </c>
      <c r="C760" s="157" t="s">
        <v>14</v>
      </c>
      <c r="D760" s="159">
        <v>1</v>
      </c>
      <c r="E760" s="159">
        <v>12.95</v>
      </c>
      <c r="F760" s="159">
        <v>12.95</v>
      </c>
      <c r="G760" s="160" t="s">
        <v>1264</v>
      </c>
      <c r="H760" s="34" t="s">
        <v>925</v>
      </c>
    </row>
    <row r="761" spans="1:8" ht="28.5">
      <c r="A761" s="160">
        <v>5</v>
      </c>
      <c r="B761" s="160" t="s">
        <v>1265</v>
      </c>
      <c r="C761" s="157" t="s">
        <v>14</v>
      </c>
      <c r="D761" s="159">
        <v>1</v>
      </c>
      <c r="E761" s="159">
        <v>12.95</v>
      </c>
      <c r="F761" s="159">
        <v>12.95</v>
      </c>
      <c r="G761" s="160" t="s">
        <v>1266</v>
      </c>
    </row>
    <row r="762" spans="1:8" ht="33">
      <c r="A762" s="160">
        <v>6</v>
      </c>
      <c r="B762" s="160" t="s">
        <v>1267</v>
      </c>
      <c r="C762" s="157" t="s">
        <v>14</v>
      </c>
      <c r="D762" s="159">
        <v>1</v>
      </c>
      <c r="E762" s="159">
        <v>39.85</v>
      </c>
      <c r="F762" s="159">
        <v>39.85</v>
      </c>
      <c r="G762" s="160" t="s">
        <v>1268</v>
      </c>
      <c r="H762" s="34" t="s">
        <v>925</v>
      </c>
    </row>
    <row r="763" spans="1:8" ht="33">
      <c r="A763" s="160">
        <v>7</v>
      </c>
      <c r="B763" s="160" t="s">
        <v>931</v>
      </c>
      <c r="C763" s="157" t="s">
        <v>14</v>
      </c>
      <c r="D763" s="159">
        <v>1</v>
      </c>
      <c r="E763" s="159">
        <v>112.06</v>
      </c>
      <c r="F763" s="159">
        <v>112.06</v>
      </c>
      <c r="G763" s="160" t="s">
        <v>932</v>
      </c>
      <c r="H763" s="34" t="s">
        <v>925</v>
      </c>
    </row>
    <row r="764" spans="1:8" ht="33">
      <c r="A764" s="160"/>
      <c r="B764" s="160" t="s">
        <v>933</v>
      </c>
      <c r="C764" s="157" t="s">
        <v>0</v>
      </c>
      <c r="D764" s="159">
        <v>1</v>
      </c>
      <c r="E764" s="159"/>
      <c r="F764" s="159">
        <v>3847.3999999999992</v>
      </c>
      <c r="G764" s="160"/>
      <c r="H764" s="34" t="s">
        <v>925</v>
      </c>
    </row>
    <row r="765" spans="1:8" ht="33">
      <c r="A765" s="160"/>
      <c r="B765" s="160" t="s">
        <v>934</v>
      </c>
      <c r="C765" s="157" t="s">
        <v>0</v>
      </c>
      <c r="D765" s="159"/>
      <c r="E765" s="159"/>
      <c r="F765" s="159">
        <v>3847.4</v>
      </c>
      <c r="G765" s="160"/>
      <c r="H765" s="34" t="s">
        <v>925</v>
      </c>
    </row>
    <row r="766" spans="1:8" ht="33">
      <c r="A766" s="160"/>
      <c r="B766" s="160"/>
      <c r="C766" s="157"/>
      <c r="D766" s="159"/>
      <c r="E766" s="159"/>
      <c r="F766" s="159"/>
      <c r="G766" s="160"/>
      <c r="H766" s="34" t="s">
        <v>925</v>
      </c>
    </row>
    <row r="767" spans="1:8" ht="57">
      <c r="A767" s="160" t="s">
        <v>1371</v>
      </c>
      <c r="B767" s="160" t="s">
        <v>4509</v>
      </c>
      <c r="C767" s="157" t="s">
        <v>0</v>
      </c>
      <c r="D767" s="159">
        <v>1</v>
      </c>
      <c r="E767" s="159">
        <v>4295.12</v>
      </c>
      <c r="F767" s="159"/>
      <c r="G767" s="160" t="s">
        <v>4916</v>
      </c>
      <c r="H767" s="34" t="s">
        <v>925</v>
      </c>
    </row>
    <row r="768" spans="1:8" ht="57">
      <c r="A768" s="160">
        <v>1</v>
      </c>
      <c r="B768" s="160" t="s">
        <v>1285</v>
      </c>
      <c r="C768" s="157" t="s">
        <v>0</v>
      </c>
      <c r="D768" s="159">
        <v>1</v>
      </c>
      <c r="E768" s="159">
        <v>3337.33</v>
      </c>
      <c r="F768" s="159">
        <v>3337.33</v>
      </c>
      <c r="G768" s="160" t="s">
        <v>4915</v>
      </c>
      <c r="H768" s="34" t="s">
        <v>925</v>
      </c>
    </row>
    <row r="769" spans="1:8" ht="33">
      <c r="A769" s="160">
        <v>2</v>
      </c>
      <c r="B769" s="160" t="s">
        <v>4912</v>
      </c>
      <c r="C769" s="157" t="s">
        <v>927</v>
      </c>
      <c r="D769" s="159">
        <v>0.37</v>
      </c>
      <c r="E769" s="159">
        <v>816.9</v>
      </c>
      <c r="F769" s="159">
        <v>302.25</v>
      </c>
      <c r="G769" s="160" t="s">
        <v>4913</v>
      </c>
      <c r="H769" s="34" t="s">
        <v>925</v>
      </c>
    </row>
    <row r="770" spans="1:8" ht="42.75">
      <c r="A770" s="160">
        <v>3</v>
      </c>
      <c r="B770" s="160" t="s">
        <v>4874</v>
      </c>
      <c r="C770" s="157" t="s">
        <v>927</v>
      </c>
      <c r="D770" s="159">
        <v>0.83</v>
      </c>
      <c r="E770" s="159">
        <v>559.87</v>
      </c>
      <c r="F770" s="159">
        <v>464.69</v>
      </c>
      <c r="G770" s="160" t="s">
        <v>4875</v>
      </c>
      <c r="H770" s="34" t="s">
        <v>925</v>
      </c>
    </row>
    <row r="771" spans="1:8" ht="33">
      <c r="A771" s="160">
        <v>4</v>
      </c>
      <c r="B771" s="160" t="s">
        <v>1263</v>
      </c>
      <c r="C771" s="157" t="s">
        <v>14</v>
      </c>
      <c r="D771" s="159">
        <v>1</v>
      </c>
      <c r="E771" s="159">
        <v>12.95</v>
      </c>
      <c r="F771" s="159">
        <v>12.95</v>
      </c>
      <c r="G771" s="160" t="s">
        <v>1264</v>
      </c>
      <c r="H771" s="34" t="s">
        <v>925</v>
      </c>
    </row>
    <row r="772" spans="1:8" ht="33">
      <c r="A772" s="160">
        <v>5</v>
      </c>
      <c r="B772" s="160" t="s">
        <v>1265</v>
      </c>
      <c r="C772" s="157" t="s">
        <v>14</v>
      </c>
      <c r="D772" s="159">
        <v>1</v>
      </c>
      <c r="E772" s="159">
        <v>12.95</v>
      </c>
      <c r="F772" s="159">
        <v>12.95</v>
      </c>
      <c r="G772" s="160" t="s">
        <v>1266</v>
      </c>
      <c r="H772" s="34" t="s">
        <v>925</v>
      </c>
    </row>
    <row r="773" spans="1:8" ht="33">
      <c r="A773" s="160">
        <v>6</v>
      </c>
      <c r="B773" s="160" t="s">
        <v>1267</v>
      </c>
      <c r="C773" s="157" t="s">
        <v>14</v>
      </c>
      <c r="D773" s="159">
        <v>1</v>
      </c>
      <c r="E773" s="159">
        <v>39.85</v>
      </c>
      <c r="F773" s="159">
        <v>39.85</v>
      </c>
      <c r="G773" s="160" t="s">
        <v>1268</v>
      </c>
      <c r="H773" s="34" t="s">
        <v>925</v>
      </c>
    </row>
    <row r="774" spans="1:8" ht="28.5">
      <c r="A774" s="160">
        <v>7</v>
      </c>
      <c r="B774" s="160" t="s">
        <v>931</v>
      </c>
      <c r="C774" s="157" t="s">
        <v>14</v>
      </c>
      <c r="D774" s="159">
        <v>1</v>
      </c>
      <c r="E774" s="159">
        <v>125.1</v>
      </c>
      <c r="F774" s="159">
        <v>125.1</v>
      </c>
      <c r="G774" s="160" t="s">
        <v>932</v>
      </c>
    </row>
    <row r="775" spans="1:8" ht="33">
      <c r="A775" s="160"/>
      <c r="B775" s="160" t="s">
        <v>933</v>
      </c>
      <c r="C775" s="157" t="s">
        <v>0</v>
      </c>
      <c r="D775" s="159">
        <v>1</v>
      </c>
      <c r="E775" s="159"/>
      <c r="F775" s="159">
        <v>4295.12</v>
      </c>
      <c r="G775" s="160"/>
      <c r="H775" s="34" t="s">
        <v>925</v>
      </c>
    </row>
    <row r="776" spans="1:8" ht="33">
      <c r="A776" s="160"/>
      <c r="B776" s="160" t="s">
        <v>934</v>
      </c>
      <c r="C776" s="157" t="s">
        <v>0</v>
      </c>
      <c r="D776" s="159"/>
      <c r="E776" s="159"/>
      <c r="F776" s="159">
        <v>4295.12</v>
      </c>
      <c r="G776" s="160"/>
      <c r="H776" s="34" t="s">
        <v>925</v>
      </c>
    </row>
    <row r="777" spans="1:8" ht="33">
      <c r="A777" s="160"/>
      <c r="B777" s="160"/>
      <c r="C777" s="157"/>
      <c r="D777" s="159"/>
      <c r="E777" s="159"/>
      <c r="F777" s="159"/>
      <c r="G777" s="160"/>
      <c r="H777" s="34" t="s">
        <v>925</v>
      </c>
    </row>
    <row r="778" spans="1:8" ht="33">
      <c r="A778" s="160" t="s">
        <v>1374</v>
      </c>
      <c r="B778" s="160" t="s">
        <v>1287</v>
      </c>
      <c r="C778" s="157" t="s">
        <v>0</v>
      </c>
      <c r="D778" s="159">
        <v>1</v>
      </c>
      <c r="E778" s="159">
        <v>4116.53</v>
      </c>
      <c r="F778" s="159"/>
      <c r="G778" s="160" t="s">
        <v>1288</v>
      </c>
      <c r="H778" s="34" t="s">
        <v>925</v>
      </c>
    </row>
    <row r="779" spans="1:8" ht="33">
      <c r="A779" s="160">
        <v>1</v>
      </c>
      <c r="B779" s="160" t="s">
        <v>1289</v>
      </c>
      <c r="C779" s="157" t="s">
        <v>0</v>
      </c>
      <c r="D779" s="159">
        <v>1</v>
      </c>
      <c r="E779" s="159">
        <v>3536.58</v>
      </c>
      <c r="F779" s="159">
        <v>3536.58</v>
      </c>
      <c r="G779" s="160" t="s">
        <v>1290</v>
      </c>
      <c r="H779" s="34" t="s">
        <v>925</v>
      </c>
    </row>
    <row r="780" spans="1:8" ht="33">
      <c r="A780" s="160">
        <v>2</v>
      </c>
      <c r="B780" s="160" t="s">
        <v>4909</v>
      </c>
      <c r="C780" s="157" t="s">
        <v>927</v>
      </c>
      <c r="D780" s="159">
        <v>0.4</v>
      </c>
      <c r="E780" s="159">
        <v>408.45</v>
      </c>
      <c r="F780" s="159">
        <v>163.38</v>
      </c>
      <c r="G780" s="160" t="s">
        <v>4910</v>
      </c>
      <c r="H780" s="34" t="s">
        <v>925</v>
      </c>
    </row>
    <row r="781" spans="1:8" ht="33">
      <c r="A781" s="160">
        <v>3</v>
      </c>
      <c r="B781" s="160" t="s">
        <v>4871</v>
      </c>
      <c r="C781" s="157" t="s">
        <v>927</v>
      </c>
      <c r="D781" s="159">
        <v>0.8</v>
      </c>
      <c r="E781" s="159">
        <v>279.94</v>
      </c>
      <c r="F781" s="159">
        <v>223.95</v>
      </c>
      <c r="G781" s="160" t="s">
        <v>4876</v>
      </c>
      <c r="H781" s="34" t="s">
        <v>925</v>
      </c>
    </row>
    <row r="782" spans="1:8" ht="33">
      <c r="A782" s="160">
        <v>4</v>
      </c>
      <c r="B782" s="160" t="s">
        <v>1263</v>
      </c>
      <c r="C782" s="157" t="s">
        <v>14</v>
      </c>
      <c r="D782" s="159">
        <v>1</v>
      </c>
      <c r="E782" s="159">
        <v>12.95</v>
      </c>
      <c r="F782" s="159">
        <v>12.95</v>
      </c>
      <c r="G782" s="160" t="s">
        <v>1264</v>
      </c>
      <c r="H782" s="34" t="s">
        <v>925</v>
      </c>
    </row>
    <row r="783" spans="1:8" ht="33">
      <c r="A783" s="160">
        <v>5</v>
      </c>
      <c r="B783" s="160" t="s">
        <v>1265</v>
      </c>
      <c r="C783" s="157" t="s">
        <v>14</v>
      </c>
      <c r="D783" s="159">
        <v>1</v>
      </c>
      <c r="E783" s="159">
        <v>9.9600000000000009</v>
      </c>
      <c r="F783" s="159">
        <v>9.9600000000000009</v>
      </c>
      <c r="G783" s="160" t="s">
        <v>1266</v>
      </c>
      <c r="H783" s="34" t="s">
        <v>925</v>
      </c>
    </row>
    <row r="784" spans="1:8" ht="33">
      <c r="A784" s="160">
        <v>6</v>
      </c>
      <c r="B784" s="160" t="s">
        <v>1267</v>
      </c>
      <c r="C784" s="157" t="s">
        <v>14</v>
      </c>
      <c r="D784" s="159">
        <v>1</v>
      </c>
      <c r="E784" s="159">
        <v>49.81</v>
      </c>
      <c r="F784" s="159">
        <v>49.81</v>
      </c>
      <c r="G784" s="160" t="s">
        <v>1268</v>
      </c>
      <c r="H784" s="34" t="s">
        <v>925</v>
      </c>
    </row>
    <row r="785" spans="1:8" ht="33">
      <c r="A785" s="160">
        <v>7</v>
      </c>
      <c r="B785" s="160" t="s">
        <v>931</v>
      </c>
      <c r="C785" s="157" t="s">
        <v>14</v>
      </c>
      <c r="D785" s="159">
        <v>1</v>
      </c>
      <c r="E785" s="159">
        <v>119.9</v>
      </c>
      <c r="F785" s="159">
        <v>119.9</v>
      </c>
      <c r="G785" s="160" t="s">
        <v>932</v>
      </c>
      <c r="H785" s="34" t="s">
        <v>925</v>
      </c>
    </row>
    <row r="786" spans="1:8" ht="16.5">
      <c r="A786" s="160"/>
      <c r="B786" s="160" t="s">
        <v>933</v>
      </c>
      <c r="C786" s="157" t="s">
        <v>0</v>
      </c>
      <c r="D786" s="159">
        <v>1</v>
      </c>
      <c r="E786" s="159"/>
      <c r="F786" s="159">
        <v>4116.53</v>
      </c>
      <c r="G786" s="160"/>
    </row>
    <row r="787" spans="1:8" ht="33">
      <c r="A787" s="160"/>
      <c r="B787" s="160" t="s">
        <v>934</v>
      </c>
      <c r="C787" s="157" t="s">
        <v>0</v>
      </c>
      <c r="D787" s="159"/>
      <c r="E787" s="159"/>
      <c r="F787" s="159">
        <v>4116.53</v>
      </c>
      <c r="G787" s="160"/>
      <c r="H787" s="34" t="s">
        <v>925</v>
      </c>
    </row>
    <row r="788" spans="1:8" ht="33">
      <c r="A788" s="160"/>
      <c r="B788" s="160"/>
      <c r="C788" s="157"/>
      <c r="D788" s="159"/>
      <c r="E788" s="159"/>
      <c r="F788" s="159"/>
      <c r="G788" s="160"/>
      <c r="H788" s="34" t="s">
        <v>925</v>
      </c>
    </row>
    <row r="789" spans="1:8" ht="57">
      <c r="A789" s="160" t="s">
        <v>1377</v>
      </c>
      <c r="B789" s="160" t="s">
        <v>1292</v>
      </c>
      <c r="C789" s="157" t="s">
        <v>0</v>
      </c>
      <c r="D789" s="159">
        <v>1</v>
      </c>
      <c r="E789" s="159">
        <v>4379.1099999999997</v>
      </c>
      <c r="F789" s="159"/>
      <c r="G789" s="160" t="s">
        <v>1293</v>
      </c>
      <c r="H789" s="34" t="s">
        <v>925</v>
      </c>
    </row>
    <row r="790" spans="1:8" ht="33">
      <c r="A790" s="160">
        <v>1</v>
      </c>
      <c r="B790" s="160" t="s">
        <v>1294</v>
      </c>
      <c r="C790" s="157" t="s">
        <v>1295</v>
      </c>
      <c r="D790" s="159">
        <v>4.5</v>
      </c>
      <c r="E790" s="159">
        <v>166.37</v>
      </c>
      <c r="F790" s="159">
        <v>748.67</v>
      </c>
      <c r="G790" s="160" t="s">
        <v>1296</v>
      </c>
      <c r="H790" s="34" t="s">
        <v>925</v>
      </c>
    </row>
    <row r="791" spans="1:8" ht="33">
      <c r="A791" s="160">
        <v>2</v>
      </c>
      <c r="B791" s="160" t="s">
        <v>1297</v>
      </c>
      <c r="C791" s="157" t="s">
        <v>1121</v>
      </c>
      <c r="D791" s="159">
        <v>0.75</v>
      </c>
      <c r="E791" s="159">
        <v>712.3</v>
      </c>
      <c r="F791" s="159">
        <v>534.23</v>
      </c>
      <c r="G791" s="160" t="s">
        <v>1298</v>
      </c>
      <c r="H791" s="34" t="s">
        <v>925</v>
      </c>
    </row>
    <row r="792" spans="1:8" ht="33">
      <c r="A792" s="160">
        <v>3</v>
      </c>
      <c r="B792" s="160" t="s">
        <v>1299</v>
      </c>
      <c r="C792" s="157" t="s">
        <v>1121</v>
      </c>
      <c r="D792" s="159">
        <v>0.53</v>
      </c>
      <c r="E792" s="159">
        <v>725.25</v>
      </c>
      <c r="F792" s="159">
        <v>384.38</v>
      </c>
      <c r="G792" s="160" t="s">
        <v>1300</v>
      </c>
      <c r="H792" s="34" t="s">
        <v>925</v>
      </c>
    </row>
    <row r="793" spans="1:8" ht="33">
      <c r="A793" s="160">
        <v>4</v>
      </c>
      <c r="B793" s="160" t="s">
        <v>1301</v>
      </c>
      <c r="C793" s="157" t="s">
        <v>927</v>
      </c>
      <c r="D793" s="159">
        <v>0.24</v>
      </c>
      <c r="E793" s="159">
        <v>399.48</v>
      </c>
      <c r="F793" s="159">
        <v>95.88</v>
      </c>
      <c r="G793" s="160" t="s">
        <v>1302</v>
      </c>
      <c r="H793" s="34" t="s">
        <v>925</v>
      </c>
    </row>
    <row r="794" spans="1:8" ht="33">
      <c r="A794" s="160">
        <v>5</v>
      </c>
      <c r="B794" s="160" t="s">
        <v>1261</v>
      </c>
      <c r="C794" s="157" t="s">
        <v>927</v>
      </c>
      <c r="D794" s="159">
        <v>0.24</v>
      </c>
      <c r="E794" s="159">
        <v>399.48</v>
      </c>
      <c r="F794" s="159">
        <v>95.88</v>
      </c>
      <c r="G794" s="160" t="s">
        <v>1262</v>
      </c>
      <c r="H794" s="34" t="s">
        <v>925</v>
      </c>
    </row>
    <row r="795" spans="1:8" ht="33">
      <c r="A795" s="160">
        <v>6</v>
      </c>
      <c r="B795" s="160" t="s">
        <v>4871</v>
      </c>
      <c r="C795" s="157" t="s">
        <v>927</v>
      </c>
      <c r="D795" s="159">
        <v>3.6</v>
      </c>
      <c r="E795" s="159">
        <v>279.94</v>
      </c>
      <c r="F795" s="159">
        <v>1007.78</v>
      </c>
      <c r="G795" s="160" t="s">
        <v>4872</v>
      </c>
      <c r="H795" s="34" t="s">
        <v>925</v>
      </c>
    </row>
    <row r="796" spans="1:8" ht="33">
      <c r="A796" s="160">
        <v>7</v>
      </c>
      <c r="B796" s="160" t="s">
        <v>1265</v>
      </c>
      <c r="C796" s="157" t="s">
        <v>14</v>
      </c>
      <c r="D796" s="159">
        <v>1</v>
      </c>
      <c r="E796" s="159">
        <v>9.9600000000000009</v>
      </c>
      <c r="F796" s="159">
        <v>9.9600000000000009</v>
      </c>
      <c r="G796" s="160" t="s">
        <v>1266</v>
      </c>
      <c r="H796" s="34" t="s">
        <v>925</v>
      </c>
    </row>
    <row r="797" spans="1:8" ht="33">
      <c r="A797" s="160">
        <v>8</v>
      </c>
      <c r="B797" s="160" t="s">
        <v>1303</v>
      </c>
      <c r="C797" s="157" t="s">
        <v>14</v>
      </c>
      <c r="D797" s="159">
        <v>1</v>
      </c>
      <c r="E797" s="159">
        <v>1374.78</v>
      </c>
      <c r="F797" s="159">
        <v>1374.78</v>
      </c>
      <c r="G797" s="160" t="s">
        <v>1304</v>
      </c>
      <c r="H797" s="34" t="s">
        <v>925</v>
      </c>
    </row>
    <row r="798" spans="1:8" ht="28.5">
      <c r="A798" s="160">
        <v>9</v>
      </c>
      <c r="B798" s="160" t="s">
        <v>931</v>
      </c>
      <c r="C798" s="157" t="s">
        <v>14</v>
      </c>
      <c r="D798" s="159">
        <v>1</v>
      </c>
      <c r="E798" s="159">
        <v>127.55</v>
      </c>
      <c r="F798" s="159">
        <v>127.55</v>
      </c>
      <c r="G798" s="160" t="s">
        <v>932</v>
      </c>
    </row>
    <row r="799" spans="1:8" ht="33">
      <c r="A799" s="160"/>
      <c r="B799" s="160" t="s">
        <v>933</v>
      </c>
      <c r="C799" s="157" t="s">
        <v>0</v>
      </c>
      <c r="D799" s="159">
        <v>1</v>
      </c>
      <c r="E799" s="159"/>
      <c r="F799" s="159">
        <v>4379.1100000000006</v>
      </c>
      <c r="G799" s="160"/>
      <c r="H799" s="34" t="s">
        <v>925</v>
      </c>
    </row>
    <row r="800" spans="1:8" ht="33">
      <c r="A800" s="160"/>
      <c r="B800" s="160" t="s">
        <v>934</v>
      </c>
      <c r="C800" s="157" t="s">
        <v>0</v>
      </c>
      <c r="D800" s="159"/>
      <c r="E800" s="159"/>
      <c r="F800" s="159">
        <v>4379.1099999999997</v>
      </c>
      <c r="G800" s="160"/>
      <c r="H800" s="34" t="s">
        <v>925</v>
      </c>
    </row>
    <row r="801" spans="1:8" ht="33">
      <c r="A801" s="160"/>
      <c r="B801" s="160"/>
      <c r="C801" s="157"/>
      <c r="D801" s="159"/>
      <c r="E801" s="159"/>
      <c r="F801" s="159"/>
      <c r="G801" s="160"/>
      <c r="H801" s="34" t="s">
        <v>925</v>
      </c>
    </row>
    <row r="802" spans="1:8" ht="57">
      <c r="A802" s="160" t="s">
        <v>1380</v>
      </c>
      <c r="B802" s="160" t="s">
        <v>1306</v>
      </c>
      <c r="C802" s="157" t="s">
        <v>0</v>
      </c>
      <c r="D802" s="159">
        <v>1</v>
      </c>
      <c r="E802" s="159">
        <v>4535.66</v>
      </c>
      <c r="F802" s="159"/>
      <c r="G802" s="160" t="s">
        <v>1307</v>
      </c>
      <c r="H802" s="34" t="s">
        <v>925</v>
      </c>
    </row>
    <row r="803" spans="1:8" ht="33">
      <c r="A803" s="160">
        <v>1</v>
      </c>
      <c r="B803" s="160" t="s">
        <v>1294</v>
      </c>
      <c r="C803" s="157" t="s">
        <v>1295</v>
      </c>
      <c r="D803" s="159">
        <v>5.5</v>
      </c>
      <c r="E803" s="159">
        <v>166.37</v>
      </c>
      <c r="F803" s="159">
        <v>915.04</v>
      </c>
      <c r="G803" s="160" t="s">
        <v>1296</v>
      </c>
      <c r="H803" s="34" t="s">
        <v>925</v>
      </c>
    </row>
    <row r="804" spans="1:8" ht="33">
      <c r="A804" s="160">
        <v>2</v>
      </c>
      <c r="B804" s="160" t="s">
        <v>1297</v>
      </c>
      <c r="C804" s="157" t="s">
        <v>1121</v>
      </c>
      <c r="D804" s="159">
        <v>0.74</v>
      </c>
      <c r="E804" s="159">
        <v>712.3</v>
      </c>
      <c r="F804" s="159">
        <v>527.1</v>
      </c>
      <c r="G804" s="160" t="s">
        <v>1298</v>
      </c>
      <c r="H804" s="34" t="s">
        <v>925</v>
      </c>
    </row>
    <row r="805" spans="1:8" ht="33">
      <c r="A805" s="160">
        <v>3</v>
      </c>
      <c r="B805" s="160" t="s">
        <v>1299</v>
      </c>
      <c r="C805" s="157" t="s">
        <v>1121</v>
      </c>
      <c r="D805" s="159">
        <v>0.52</v>
      </c>
      <c r="E805" s="159">
        <v>725.25</v>
      </c>
      <c r="F805" s="159">
        <v>377.13</v>
      </c>
      <c r="G805" s="160" t="s">
        <v>1300</v>
      </c>
      <c r="H805" s="34" t="s">
        <v>925</v>
      </c>
    </row>
    <row r="806" spans="1:8" ht="33">
      <c r="A806" s="160">
        <v>4</v>
      </c>
      <c r="B806" s="160" t="s">
        <v>1301</v>
      </c>
      <c r="C806" s="157" t="s">
        <v>927</v>
      </c>
      <c r="D806" s="159">
        <v>0.24</v>
      </c>
      <c r="E806" s="159">
        <v>399.48</v>
      </c>
      <c r="F806" s="159">
        <v>95.88</v>
      </c>
      <c r="G806" s="160" t="s">
        <v>1302</v>
      </c>
      <c r="H806" s="34" t="s">
        <v>925</v>
      </c>
    </row>
    <row r="807" spans="1:8" ht="28.5">
      <c r="A807" s="160">
        <v>5</v>
      </c>
      <c r="B807" s="160" t="s">
        <v>1261</v>
      </c>
      <c r="C807" s="157" t="s">
        <v>927</v>
      </c>
      <c r="D807" s="159">
        <v>0.24</v>
      </c>
      <c r="E807" s="159">
        <v>399.48</v>
      </c>
      <c r="F807" s="159">
        <v>95.88</v>
      </c>
      <c r="G807" s="160" t="s">
        <v>1262</v>
      </c>
    </row>
    <row r="808" spans="1:8" ht="33">
      <c r="A808" s="160">
        <v>6</v>
      </c>
      <c r="B808" s="160" t="s">
        <v>4871</v>
      </c>
      <c r="C808" s="157" t="s">
        <v>927</v>
      </c>
      <c r="D808" s="159">
        <v>3.6</v>
      </c>
      <c r="E808" s="159">
        <v>279.94</v>
      </c>
      <c r="F808" s="159">
        <v>1007.78</v>
      </c>
      <c r="G808" s="160" t="s">
        <v>4872</v>
      </c>
      <c r="H808" s="34" t="s">
        <v>925</v>
      </c>
    </row>
    <row r="809" spans="1:8" ht="33">
      <c r="A809" s="160">
        <v>7</v>
      </c>
      <c r="B809" s="160" t="s">
        <v>1265</v>
      </c>
      <c r="C809" s="157" t="s">
        <v>14</v>
      </c>
      <c r="D809" s="159">
        <v>1</v>
      </c>
      <c r="E809" s="159">
        <v>9.9600000000000009</v>
      </c>
      <c r="F809" s="159">
        <v>9.9600000000000009</v>
      </c>
      <c r="G809" s="160" t="s">
        <v>1266</v>
      </c>
      <c r="H809" s="34" t="s">
        <v>925</v>
      </c>
    </row>
    <row r="810" spans="1:8" ht="33">
      <c r="A810" s="160">
        <v>8</v>
      </c>
      <c r="B810" s="160" t="s">
        <v>1303</v>
      </c>
      <c r="C810" s="157" t="s">
        <v>14</v>
      </c>
      <c r="D810" s="159">
        <v>1</v>
      </c>
      <c r="E810" s="159">
        <v>1374.78</v>
      </c>
      <c r="F810" s="159">
        <v>1374.78</v>
      </c>
      <c r="G810" s="160" t="s">
        <v>1304</v>
      </c>
      <c r="H810" s="34" t="s">
        <v>925</v>
      </c>
    </row>
    <row r="811" spans="1:8" ht="33">
      <c r="A811" s="160">
        <v>9</v>
      </c>
      <c r="B811" s="160" t="s">
        <v>931</v>
      </c>
      <c r="C811" s="157" t="s">
        <v>14</v>
      </c>
      <c r="D811" s="159">
        <v>1</v>
      </c>
      <c r="E811" s="159">
        <v>132.11000000000001</v>
      </c>
      <c r="F811" s="159">
        <v>132.11000000000001</v>
      </c>
      <c r="G811" s="160" t="s">
        <v>932</v>
      </c>
      <c r="H811" s="34" t="s">
        <v>925</v>
      </c>
    </row>
    <row r="812" spans="1:8" ht="33">
      <c r="A812" s="160"/>
      <c r="B812" s="160" t="s">
        <v>933</v>
      </c>
      <c r="C812" s="157" t="s">
        <v>0</v>
      </c>
      <c r="D812" s="159">
        <v>1</v>
      </c>
      <c r="E812" s="159"/>
      <c r="F812" s="159">
        <v>4535.66</v>
      </c>
      <c r="G812" s="160"/>
      <c r="H812" s="34" t="s">
        <v>925</v>
      </c>
    </row>
    <row r="813" spans="1:8" ht="33">
      <c r="A813" s="160"/>
      <c r="B813" s="160" t="s">
        <v>934</v>
      </c>
      <c r="C813" s="157" t="s">
        <v>0</v>
      </c>
      <c r="D813" s="159"/>
      <c r="E813" s="159"/>
      <c r="F813" s="159">
        <v>4535.66</v>
      </c>
      <c r="G813" s="160"/>
      <c r="H813" s="34" t="s">
        <v>925</v>
      </c>
    </row>
    <row r="814" spans="1:8" ht="33">
      <c r="A814" s="160"/>
      <c r="B814" s="160"/>
      <c r="C814" s="157"/>
      <c r="D814" s="159"/>
      <c r="E814" s="159"/>
      <c r="F814" s="159"/>
      <c r="G814" s="160"/>
      <c r="H814" s="34" t="s">
        <v>925</v>
      </c>
    </row>
    <row r="815" spans="1:8" ht="57">
      <c r="A815" s="160" t="s">
        <v>1383</v>
      </c>
      <c r="B815" s="160" t="s">
        <v>1309</v>
      </c>
      <c r="C815" s="157" t="s">
        <v>0</v>
      </c>
      <c r="D815" s="159">
        <v>1</v>
      </c>
      <c r="E815" s="159">
        <v>4699.68</v>
      </c>
      <c r="F815" s="159"/>
      <c r="G815" s="160" t="s">
        <v>1310</v>
      </c>
      <c r="H815" s="34" t="s">
        <v>925</v>
      </c>
    </row>
    <row r="816" spans="1:8" ht="28.5">
      <c r="A816" s="160">
        <v>1</v>
      </c>
      <c r="B816" s="160" t="s">
        <v>1294</v>
      </c>
      <c r="C816" s="157" t="s">
        <v>1295</v>
      </c>
      <c r="D816" s="159">
        <v>6.5</v>
      </c>
      <c r="E816" s="159">
        <v>166.37</v>
      </c>
      <c r="F816" s="159">
        <v>1081.4100000000001</v>
      </c>
      <c r="G816" s="160" t="s">
        <v>1296</v>
      </c>
    </row>
    <row r="817" spans="1:8" ht="33">
      <c r="A817" s="160">
        <v>2</v>
      </c>
      <c r="B817" s="160" t="s">
        <v>1297</v>
      </c>
      <c r="C817" s="157" t="s">
        <v>1121</v>
      </c>
      <c r="D817" s="159">
        <v>0.73</v>
      </c>
      <c r="E817" s="159">
        <v>712.3</v>
      </c>
      <c r="F817" s="159">
        <v>519.98</v>
      </c>
      <c r="G817" s="160" t="s">
        <v>1298</v>
      </c>
      <c r="H817" s="34" t="s">
        <v>925</v>
      </c>
    </row>
    <row r="818" spans="1:8" ht="33">
      <c r="A818" s="160">
        <v>3</v>
      </c>
      <c r="B818" s="160" t="s">
        <v>1299</v>
      </c>
      <c r="C818" s="157" t="s">
        <v>1121</v>
      </c>
      <c r="D818" s="159">
        <v>0.52</v>
      </c>
      <c r="E818" s="159">
        <v>725.25</v>
      </c>
      <c r="F818" s="159">
        <v>377.13</v>
      </c>
      <c r="G818" s="160" t="s">
        <v>1300</v>
      </c>
      <c r="H818" s="34" t="s">
        <v>925</v>
      </c>
    </row>
    <row r="819" spans="1:8" ht="33">
      <c r="A819" s="160">
        <v>4</v>
      </c>
      <c r="B819" s="160" t="s">
        <v>1301</v>
      </c>
      <c r="C819" s="157" t="s">
        <v>927</v>
      </c>
      <c r="D819" s="159">
        <v>0.24</v>
      </c>
      <c r="E819" s="159">
        <v>399.48</v>
      </c>
      <c r="F819" s="159">
        <v>95.88</v>
      </c>
      <c r="G819" s="160" t="s">
        <v>1302</v>
      </c>
      <c r="H819" s="34" t="s">
        <v>925</v>
      </c>
    </row>
    <row r="820" spans="1:8" ht="33">
      <c r="A820" s="160">
        <v>5</v>
      </c>
      <c r="B820" s="160" t="s">
        <v>1261</v>
      </c>
      <c r="C820" s="157" t="s">
        <v>927</v>
      </c>
      <c r="D820" s="159">
        <v>0.24</v>
      </c>
      <c r="E820" s="159">
        <v>399.48</v>
      </c>
      <c r="F820" s="159">
        <v>95.88</v>
      </c>
      <c r="G820" s="160" t="s">
        <v>1262</v>
      </c>
      <c r="H820" s="34" t="s">
        <v>925</v>
      </c>
    </row>
    <row r="821" spans="1:8" ht="33">
      <c r="A821" s="160">
        <v>6</v>
      </c>
      <c r="B821" s="160" t="s">
        <v>4871</v>
      </c>
      <c r="C821" s="157" t="s">
        <v>927</v>
      </c>
      <c r="D821" s="159">
        <v>3.6</v>
      </c>
      <c r="E821" s="159">
        <v>279.94</v>
      </c>
      <c r="F821" s="159">
        <v>1007.78</v>
      </c>
      <c r="G821" s="160" t="s">
        <v>4872</v>
      </c>
      <c r="H821" s="34" t="s">
        <v>925</v>
      </c>
    </row>
    <row r="822" spans="1:8" ht="33">
      <c r="A822" s="160">
        <v>7</v>
      </c>
      <c r="B822" s="160" t="s">
        <v>1265</v>
      </c>
      <c r="C822" s="157" t="s">
        <v>14</v>
      </c>
      <c r="D822" s="159">
        <v>1</v>
      </c>
      <c r="E822" s="159">
        <v>9.9600000000000009</v>
      </c>
      <c r="F822" s="159">
        <v>9.9600000000000009</v>
      </c>
      <c r="G822" s="160" t="s">
        <v>1266</v>
      </c>
      <c r="H822" s="34" t="s">
        <v>925</v>
      </c>
    </row>
    <row r="823" spans="1:8" ht="33">
      <c r="A823" s="160">
        <v>8</v>
      </c>
      <c r="B823" s="160" t="s">
        <v>1303</v>
      </c>
      <c r="C823" s="157" t="s">
        <v>14</v>
      </c>
      <c r="D823" s="159">
        <v>1</v>
      </c>
      <c r="E823" s="159">
        <v>1374.78</v>
      </c>
      <c r="F823" s="159">
        <v>1374.78</v>
      </c>
      <c r="G823" s="160" t="s">
        <v>1304</v>
      </c>
      <c r="H823" s="34" t="s">
        <v>925</v>
      </c>
    </row>
    <row r="824" spans="1:8" ht="33">
      <c r="A824" s="160">
        <v>9</v>
      </c>
      <c r="B824" s="160" t="s">
        <v>931</v>
      </c>
      <c r="C824" s="157" t="s">
        <v>14</v>
      </c>
      <c r="D824" s="159">
        <v>1</v>
      </c>
      <c r="E824" s="159">
        <v>136.88</v>
      </c>
      <c r="F824" s="159">
        <v>136.88</v>
      </c>
      <c r="G824" s="160" t="s">
        <v>932</v>
      </c>
      <c r="H824" s="34" t="s">
        <v>925</v>
      </c>
    </row>
    <row r="825" spans="1:8" ht="16.5">
      <c r="A825" s="160"/>
      <c r="B825" s="160" t="s">
        <v>933</v>
      </c>
      <c r="C825" s="157" t="s">
        <v>0</v>
      </c>
      <c r="D825" s="159">
        <v>1</v>
      </c>
      <c r="E825" s="159"/>
      <c r="F825" s="159">
        <v>4699.68</v>
      </c>
      <c r="G825" s="160"/>
    </row>
    <row r="826" spans="1:8" ht="33">
      <c r="A826" s="160"/>
      <c r="B826" s="160" t="s">
        <v>934</v>
      </c>
      <c r="C826" s="157" t="s">
        <v>0</v>
      </c>
      <c r="D826" s="159"/>
      <c r="E826" s="159"/>
      <c r="F826" s="159">
        <v>4699.68</v>
      </c>
      <c r="G826" s="160"/>
      <c r="H826" s="34" t="s">
        <v>925</v>
      </c>
    </row>
    <row r="827" spans="1:8" ht="33">
      <c r="A827" s="160"/>
      <c r="B827" s="160"/>
      <c r="C827" s="157"/>
      <c r="D827" s="159"/>
      <c r="E827" s="159"/>
      <c r="F827" s="159"/>
      <c r="G827" s="160"/>
      <c r="H827" s="34" t="s">
        <v>925</v>
      </c>
    </row>
    <row r="828" spans="1:8" ht="57">
      <c r="A828" s="160" t="s">
        <v>1386</v>
      </c>
      <c r="B828" s="160" t="s">
        <v>1312</v>
      </c>
      <c r="C828" s="157" t="s">
        <v>0</v>
      </c>
      <c r="D828" s="159">
        <v>1</v>
      </c>
      <c r="E828" s="159">
        <v>4778.03</v>
      </c>
      <c r="F828" s="159"/>
      <c r="G828" s="160" t="s">
        <v>1313</v>
      </c>
      <c r="H828" s="34" t="s">
        <v>925</v>
      </c>
    </row>
    <row r="829" spans="1:8" ht="33">
      <c r="A829" s="160">
        <v>1</v>
      </c>
      <c r="B829" s="160" t="s">
        <v>1294</v>
      </c>
      <c r="C829" s="157" t="s">
        <v>1295</v>
      </c>
      <c r="D829" s="159">
        <v>7</v>
      </c>
      <c r="E829" s="159">
        <v>166.37</v>
      </c>
      <c r="F829" s="159">
        <v>1164.5899999999999</v>
      </c>
      <c r="G829" s="160" t="s">
        <v>1296</v>
      </c>
      <c r="H829" s="34" t="s">
        <v>925</v>
      </c>
    </row>
    <row r="830" spans="1:8" ht="33">
      <c r="A830" s="160">
        <v>2</v>
      </c>
      <c r="B830" s="160" t="s">
        <v>1297</v>
      </c>
      <c r="C830" s="157" t="s">
        <v>1121</v>
      </c>
      <c r="D830" s="159">
        <v>0.72</v>
      </c>
      <c r="E830" s="159">
        <v>712.3</v>
      </c>
      <c r="F830" s="159">
        <v>512.86</v>
      </c>
      <c r="G830" s="160" t="s">
        <v>1298</v>
      </c>
      <c r="H830" s="34" t="s">
        <v>925</v>
      </c>
    </row>
    <row r="831" spans="1:8" ht="33">
      <c r="A831" s="160">
        <v>3</v>
      </c>
      <c r="B831" s="160" t="s">
        <v>1299</v>
      </c>
      <c r="C831" s="157" t="s">
        <v>1121</v>
      </c>
      <c r="D831" s="159">
        <v>0.52</v>
      </c>
      <c r="E831" s="159">
        <v>725.25</v>
      </c>
      <c r="F831" s="159">
        <v>377.13</v>
      </c>
      <c r="G831" s="160" t="s">
        <v>1300</v>
      </c>
      <c r="H831" s="34" t="s">
        <v>925</v>
      </c>
    </row>
    <row r="832" spans="1:8" ht="33">
      <c r="A832" s="160">
        <v>4</v>
      </c>
      <c r="B832" s="160" t="s">
        <v>1301</v>
      </c>
      <c r="C832" s="157" t="s">
        <v>927</v>
      </c>
      <c r="D832" s="159">
        <v>0.24</v>
      </c>
      <c r="E832" s="159">
        <v>399.48</v>
      </c>
      <c r="F832" s="159">
        <v>95.88</v>
      </c>
      <c r="G832" s="160" t="s">
        <v>1302</v>
      </c>
      <c r="H832" s="34" t="s">
        <v>925</v>
      </c>
    </row>
    <row r="833" spans="1:8" ht="33">
      <c r="A833" s="160">
        <v>5</v>
      </c>
      <c r="B833" s="160" t="s">
        <v>1261</v>
      </c>
      <c r="C833" s="157" t="s">
        <v>927</v>
      </c>
      <c r="D833" s="159">
        <v>0.24</v>
      </c>
      <c r="E833" s="159">
        <v>399.48</v>
      </c>
      <c r="F833" s="159">
        <v>95.88</v>
      </c>
      <c r="G833" s="160" t="s">
        <v>1262</v>
      </c>
      <c r="H833" s="34" t="s">
        <v>925</v>
      </c>
    </row>
    <row r="834" spans="1:8" ht="28.5">
      <c r="A834" s="160">
        <v>6</v>
      </c>
      <c r="B834" s="160" t="s">
        <v>4871</v>
      </c>
      <c r="C834" s="157" t="s">
        <v>927</v>
      </c>
      <c r="D834" s="159">
        <v>3.6</v>
      </c>
      <c r="E834" s="159">
        <v>279.94</v>
      </c>
      <c r="F834" s="159">
        <v>1007.78</v>
      </c>
      <c r="G834" s="160" t="s">
        <v>4872</v>
      </c>
    </row>
    <row r="835" spans="1:8" ht="33">
      <c r="A835" s="160">
        <v>7</v>
      </c>
      <c r="B835" s="160" t="s">
        <v>1265</v>
      </c>
      <c r="C835" s="157" t="s">
        <v>14</v>
      </c>
      <c r="D835" s="159">
        <v>1</v>
      </c>
      <c r="E835" s="159">
        <v>9.9600000000000009</v>
      </c>
      <c r="F835" s="159">
        <v>9.9600000000000009</v>
      </c>
      <c r="G835" s="160" t="s">
        <v>1266</v>
      </c>
      <c r="H835" s="34" t="s">
        <v>925</v>
      </c>
    </row>
    <row r="836" spans="1:8" ht="33">
      <c r="A836" s="160">
        <v>8</v>
      </c>
      <c r="B836" s="160" t="s">
        <v>1303</v>
      </c>
      <c r="C836" s="157" t="s">
        <v>14</v>
      </c>
      <c r="D836" s="159">
        <v>1</v>
      </c>
      <c r="E836" s="159">
        <v>1374.78</v>
      </c>
      <c r="F836" s="159">
        <v>1374.78</v>
      </c>
      <c r="G836" s="160" t="s">
        <v>1304</v>
      </c>
      <c r="H836" s="34" t="s">
        <v>925</v>
      </c>
    </row>
    <row r="837" spans="1:8" ht="33">
      <c r="A837" s="160">
        <v>9</v>
      </c>
      <c r="B837" s="160" t="s">
        <v>931</v>
      </c>
      <c r="C837" s="157" t="s">
        <v>14</v>
      </c>
      <c r="D837" s="159">
        <v>1</v>
      </c>
      <c r="E837" s="159">
        <v>139.16999999999999</v>
      </c>
      <c r="F837" s="159">
        <v>139.16999999999999</v>
      </c>
      <c r="G837" s="160" t="s">
        <v>932</v>
      </c>
      <c r="H837" s="34" t="s">
        <v>925</v>
      </c>
    </row>
    <row r="838" spans="1:8" ht="33">
      <c r="A838" s="160"/>
      <c r="B838" s="160" t="s">
        <v>933</v>
      </c>
      <c r="C838" s="157" t="s">
        <v>0</v>
      </c>
      <c r="D838" s="159">
        <v>1</v>
      </c>
      <c r="E838" s="159"/>
      <c r="F838" s="159">
        <v>4778.03</v>
      </c>
      <c r="G838" s="160"/>
      <c r="H838" s="34" t="s">
        <v>925</v>
      </c>
    </row>
    <row r="839" spans="1:8" ht="33">
      <c r="A839" s="160"/>
      <c r="B839" s="160" t="s">
        <v>934</v>
      </c>
      <c r="C839" s="157" t="s">
        <v>0</v>
      </c>
      <c r="D839" s="159"/>
      <c r="E839" s="159"/>
      <c r="F839" s="159">
        <v>4778.03</v>
      </c>
      <c r="G839" s="160"/>
      <c r="H839" s="34" t="s">
        <v>925</v>
      </c>
    </row>
    <row r="840" spans="1:8" ht="33">
      <c r="A840" s="160"/>
      <c r="B840" s="160"/>
      <c r="C840" s="157"/>
      <c r="D840" s="159"/>
      <c r="E840" s="159"/>
      <c r="F840" s="159"/>
      <c r="G840" s="160"/>
      <c r="H840" s="34" t="s">
        <v>925</v>
      </c>
    </row>
    <row r="841" spans="1:8" ht="57">
      <c r="A841" s="160" t="s">
        <v>1388</v>
      </c>
      <c r="B841" s="160" t="s">
        <v>1315</v>
      </c>
      <c r="C841" s="157" t="s">
        <v>0</v>
      </c>
      <c r="D841" s="159">
        <v>1</v>
      </c>
      <c r="E841" s="159">
        <v>6850.6</v>
      </c>
      <c r="F841" s="159"/>
      <c r="G841" s="160" t="s">
        <v>1316</v>
      </c>
      <c r="H841" s="34" t="s">
        <v>925</v>
      </c>
    </row>
    <row r="842" spans="1:8" ht="33">
      <c r="A842" s="160">
        <v>1</v>
      </c>
      <c r="B842" s="160" t="s">
        <v>1301</v>
      </c>
      <c r="C842" s="157" t="s">
        <v>927</v>
      </c>
      <c r="D842" s="159">
        <v>0.26</v>
      </c>
      <c r="E842" s="159">
        <v>399.48</v>
      </c>
      <c r="F842" s="159">
        <v>103.86</v>
      </c>
      <c r="G842" s="160" t="s">
        <v>1302</v>
      </c>
      <c r="H842" s="34" t="s">
        <v>925</v>
      </c>
    </row>
    <row r="843" spans="1:8" ht="28.5">
      <c r="A843" s="160">
        <v>2</v>
      </c>
      <c r="B843" s="160" t="s">
        <v>1261</v>
      </c>
      <c r="C843" s="157" t="s">
        <v>927</v>
      </c>
      <c r="D843" s="159">
        <v>0.26</v>
      </c>
      <c r="E843" s="159">
        <v>399.48</v>
      </c>
      <c r="F843" s="159">
        <v>103.86</v>
      </c>
      <c r="G843" s="160" t="s">
        <v>1262</v>
      </c>
    </row>
    <row r="844" spans="1:8" ht="33">
      <c r="A844" s="160">
        <v>3</v>
      </c>
      <c r="B844" s="160" t="s">
        <v>4871</v>
      </c>
      <c r="C844" s="157" t="s">
        <v>927</v>
      </c>
      <c r="D844" s="159">
        <v>3.8</v>
      </c>
      <c r="E844" s="159">
        <v>279.94</v>
      </c>
      <c r="F844" s="159">
        <v>1063.77</v>
      </c>
      <c r="G844" s="160" t="s">
        <v>4872</v>
      </c>
      <c r="H844" s="34" t="s">
        <v>925</v>
      </c>
    </row>
    <row r="845" spans="1:8" ht="33">
      <c r="A845" s="160">
        <v>4</v>
      </c>
      <c r="B845" s="160" t="s">
        <v>1265</v>
      </c>
      <c r="C845" s="157" t="s">
        <v>14</v>
      </c>
      <c r="D845" s="159">
        <v>1</v>
      </c>
      <c r="E845" s="159">
        <v>39.85</v>
      </c>
      <c r="F845" s="159">
        <v>39.85</v>
      </c>
      <c r="G845" s="160" t="s">
        <v>1266</v>
      </c>
      <c r="H845" s="34" t="s">
        <v>925</v>
      </c>
    </row>
    <row r="846" spans="1:8" ht="33">
      <c r="A846" s="160">
        <v>5</v>
      </c>
      <c r="B846" s="160" t="s">
        <v>1303</v>
      </c>
      <c r="C846" s="157" t="s">
        <v>14</v>
      </c>
      <c r="D846" s="159">
        <v>1</v>
      </c>
      <c r="E846" s="159">
        <v>1374.78</v>
      </c>
      <c r="F846" s="159">
        <v>1374.78</v>
      </c>
      <c r="G846" s="160" t="s">
        <v>1304</v>
      </c>
      <c r="H846" s="34" t="s">
        <v>925</v>
      </c>
    </row>
    <row r="847" spans="1:8" ht="33">
      <c r="A847" s="160">
        <v>6</v>
      </c>
      <c r="B847" s="160" t="s">
        <v>1317</v>
      </c>
      <c r="C847" s="157" t="s">
        <v>0</v>
      </c>
      <c r="D847" s="159">
        <v>1</v>
      </c>
      <c r="E847" s="159">
        <v>3964.95</v>
      </c>
      <c r="F847" s="159">
        <v>3964.95</v>
      </c>
      <c r="G847" s="160" t="s">
        <v>1318</v>
      </c>
      <c r="H847" s="34" t="s">
        <v>925</v>
      </c>
    </row>
    <row r="848" spans="1:8" ht="33">
      <c r="A848" s="160">
        <v>7</v>
      </c>
      <c r="B848" s="160" t="s">
        <v>931</v>
      </c>
      <c r="C848" s="157" t="s">
        <v>14</v>
      </c>
      <c r="D848" s="159">
        <v>1</v>
      </c>
      <c r="E848" s="159">
        <v>199.53</v>
      </c>
      <c r="F848" s="159">
        <v>199.53</v>
      </c>
      <c r="G848" s="160" t="s">
        <v>932</v>
      </c>
      <c r="H848" s="34" t="s">
        <v>925</v>
      </c>
    </row>
    <row r="849" spans="1:8" ht="33">
      <c r="A849" s="160"/>
      <c r="B849" s="160" t="s">
        <v>933</v>
      </c>
      <c r="C849" s="157" t="s">
        <v>0</v>
      </c>
      <c r="D849" s="159">
        <v>1</v>
      </c>
      <c r="E849" s="159"/>
      <c r="F849" s="159">
        <v>6850.5999999999995</v>
      </c>
      <c r="G849" s="160"/>
      <c r="H849" s="34" t="s">
        <v>925</v>
      </c>
    </row>
    <row r="850" spans="1:8" ht="33">
      <c r="A850" s="160"/>
      <c r="B850" s="160" t="s">
        <v>934</v>
      </c>
      <c r="C850" s="157" t="s">
        <v>0</v>
      </c>
      <c r="D850" s="159"/>
      <c r="E850" s="159"/>
      <c r="F850" s="159">
        <v>6850.6</v>
      </c>
      <c r="G850" s="160"/>
      <c r="H850" s="34" t="s">
        <v>925</v>
      </c>
    </row>
    <row r="851" spans="1:8" ht="33">
      <c r="A851" s="160"/>
      <c r="B851" s="160"/>
      <c r="C851" s="157"/>
      <c r="D851" s="159"/>
      <c r="E851" s="159"/>
      <c r="F851" s="159"/>
      <c r="G851" s="160"/>
      <c r="H851" s="34" t="s">
        <v>925</v>
      </c>
    </row>
    <row r="852" spans="1:8" ht="57">
      <c r="A852" s="160" t="s">
        <v>1391</v>
      </c>
      <c r="B852" s="160" t="s">
        <v>4517</v>
      </c>
      <c r="C852" s="157" t="s">
        <v>0</v>
      </c>
      <c r="D852" s="159">
        <v>1</v>
      </c>
      <c r="E852" s="159">
        <v>8554.76</v>
      </c>
      <c r="F852" s="159"/>
      <c r="G852" s="160" t="s">
        <v>4917</v>
      </c>
    </row>
    <row r="853" spans="1:8" ht="33">
      <c r="A853" s="160">
        <v>1</v>
      </c>
      <c r="B853" s="160" t="s">
        <v>4918</v>
      </c>
      <c r="C853" s="157" t="s">
        <v>927</v>
      </c>
      <c r="D853" s="159">
        <v>0.3</v>
      </c>
      <c r="E853" s="159">
        <v>798.97</v>
      </c>
      <c r="F853" s="159">
        <v>239.69</v>
      </c>
      <c r="G853" s="160" t="s">
        <v>4919</v>
      </c>
      <c r="H853" s="34" t="s">
        <v>925</v>
      </c>
    </row>
    <row r="854" spans="1:8" ht="33">
      <c r="A854" s="160">
        <v>2</v>
      </c>
      <c r="B854" s="160" t="s">
        <v>4920</v>
      </c>
      <c r="C854" s="157" t="s">
        <v>927</v>
      </c>
      <c r="D854" s="159">
        <v>0.3</v>
      </c>
      <c r="E854" s="159">
        <v>798.97</v>
      </c>
      <c r="F854" s="159">
        <v>239.69</v>
      </c>
      <c r="G854" s="160" t="s">
        <v>4921</v>
      </c>
      <c r="H854" s="34" t="s">
        <v>925</v>
      </c>
    </row>
    <row r="855" spans="1:8" ht="42.75">
      <c r="A855" s="160">
        <v>3</v>
      </c>
      <c r="B855" s="160" t="s">
        <v>4874</v>
      </c>
      <c r="C855" s="157" t="s">
        <v>927</v>
      </c>
      <c r="D855" s="159">
        <v>4.37</v>
      </c>
      <c r="E855" s="159">
        <v>559.87</v>
      </c>
      <c r="F855" s="159">
        <v>2446.63</v>
      </c>
      <c r="G855" s="160" t="s">
        <v>4875</v>
      </c>
      <c r="H855" s="34" t="s">
        <v>925</v>
      </c>
    </row>
    <row r="856" spans="1:8" ht="33">
      <c r="A856" s="160">
        <v>4</v>
      </c>
      <c r="B856" s="160" t="s">
        <v>1265</v>
      </c>
      <c r="C856" s="157" t="s">
        <v>14</v>
      </c>
      <c r="D856" s="159">
        <v>1</v>
      </c>
      <c r="E856" s="159">
        <v>39.85</v>
      </c>
      <c r="F856" s="159">
        <v>39.85</v>
      </c>
      <c r="G856" s="160" t="s">
        <v>1266</v>
      </c>
      <c r="H856" s="34" t="s">
        <v>925</v>
      </c>
    </row>
    <row r="857" spans="1:8" ht="33">
      <c r="A857" s="160">
        <v>5</v>
      </c>
      <c r="B857" s="160" t="s">
        <v>1303</v>
      </c>
      <c r="C857" s="157" t="s">
        <v>14</v>
      </c>
      <c r="D857" s="159">
        <v>1</v>
      </c>
      <c r="E857" s="159">
        <v>1374.78</v>
      </c>
      <c r="F857" s="159">
        <v>1374.78</v>
      </c>
      <c r="G857" s="160" t="s">
        <v>1304</v>
      </c>
      <c r="H857" s="34" t="s">
        <v>925</v>
      </c>
    </row>
    <row r="858" spans="1:8" ht="33">
      <c r="A858" s="160">
        <v>6</v>
      </c>
      <c r="B858" s="160" t="s">
        <v>1317</v>
      </c>
      <c r="C858" s="157" t="s">
        <v>0</v>
      </c>
      <c r="D858" s="159">
        <v>1</v>
      </c>
      <c r="E858" s="159">
        <v>3964.95</v>
      </c>
      <c r="F858" s="159">
        <v>3964.95</v>
      </c>
      <c r="G858" s="160" t="s">
        <v>1318</v>
      </c>
      <c r="H858" s="34" t="s">
        <v>925</v>
      </c>
    </row>
    <row r="859" spans="1:8" ht="33">
      <c r="A859" s="160">
        <v>7</v>
      </c>
      <c r="B859" s="160" t="s">
        <v>931</v>
      </c>
      <c r="C859" s="157" t="s">
        <v>14</v>
      </c>
      <c r="D859" s="159">
        <v>1</v>
      </c>
      <c r="E859" s="159">
        <v>249.17</v>
      </c>
      <c r="F859" s="159">
        <v>249.17</v>
      </c>
      <c r="G859" s="160" t="s">
        <v>932</v>
      </c>
      <c r="H859" s="34" t="s">
        <v>925</v>
      </c>
    </row>
    <row r="860" spans="1:8" ht="33">
      <c r="A860" s="160"/>
      <c r="B860" s="160" t="s">
        <v>933</v>
      </c>
      <c r="C860" s="157" t="s">
        <v>0</v>
      </c>
      <c r="D860" s="159">
        <v>1</v>
      </c>
      <c r="E860" s="159"/>
      <c r="F860" s="159">
        <v>8554.76</v>
      </c>
      <c r="G860" s="160"/>
      <c r="H860" s="34" t="s">
        <v>925</v>
      </c>
    </row>
    <row r="861" spans="1:8" ht="33">
      <c r="A861" s="160"/>
      <c r="B861" s="160" t="s">
        <v>934</v>
      </c>
      <c r="C861" s="157" t="s">
        <v>0</v>
      </c>
      <c r="D861" s="159"/>
      <c r="E861" s="159"/>
      <c r="F861" s="159">
        <v>8554.76</v>
      </c>
      <c r="G861" s="160"/>
      <c r="H861" s="34" t="s">
        <v>925</v>
      </c>
    </row>
    <row r="862" spans="1:8" ht="33">
      <c r="A862" s="160"/>
      <c r="B862" s="160"/>
      <c r="C862" s="157"/>
      <c r="D862" s="159"/>
      <c r="E862" s="159"/>
      <c r="F862" s="159"/>
      <c r="G862" s="160"/>
      <c r="H862" s="34" t="s">
        <v>925</v>
      </c>
    </row>
    <row r="863" spans="1:8" ht="57">
      <c r="A863" s="160" t="s">
        <v>1394</v>
      </c>
      <c r="B863" s="160" t="s">
        <v>4519</v>
      </c>
      <c r="C863" s="157" t="s">
        <v>0</v>
      </c>
      <c r="D863" s="159">
        <v>1</v>
      </c>
      <c r="E863" s="159">
        <v>1749.87</v>
      </c>
      <c r="F863" s="159"/>
      <c r="G863" s="160" t="s">
        <v>4922</v>
      </c>
      <c r="H863" s="34" t="s">
        <v>925</v>
      </c>
    </row>
    <row r="864" spans="1:8" ht="33">
      <c r="A864" s="160">
        <v>1</v>
      </c>
      <c r="B864" s="160" t="s">
        <v>4923</v>
      </c>
      <c r="C864" s="157" t="s">
        <v>0</v>
      </c>
      <c r="D864" s="159">
        <v>1</v>
      </c>
      <c r="E864" s="159">
        <v>1494.33</v>
      </c>
      <c r="F864" s="159">
        <v>1494.33</v>
      </c>
      <c r="G864" s="160" t="s">
        <v>4924</v>
      </c>
      <c r="H864" s="34" t="s">
        <v>925</v>
      </c>
    </row>
    <row r="865" spans="1:8" ht="28.5">
      <c r="A865" s="160">
        <v>2</v>
      </c>
      <c r="B865" s="160" t="s">
        <v>4909</v>
      </c>
      <c r="C865" s="157" t="s">
        <v>927</v>
      </c>
      <c r="D865" s="159">
        <v>0.19</v>
      </c>
      <c r="E865" s="159">
        <v>408.45</v>
      </c>
      <c r="F865" s="159">
        <v>77.61</v>
      </c>
      <c r="G865" s="160" t="s">
        <v>4910</v>
      </c>
    </row>
    <row r="866" spans="1:8" ht="33">
      <c r="A866" s="160">
        <v>3</v>
      </c>
      <c r="B866" s="160" t="s">
        <v>4871</v>
      </c>
      <c r="C866" s="157" t="s">
        <v>927</v>
      </c>
      <c r="D866" s="159">
        <v>0.39</v>
      </c>
      <c r="E866" s="159">
        <v>279.94</v>
      </c>
      <c r="F866" s="159">
        <v>109.18</v>
      </c>
      <c r="G866" s="160" t="s">
        <v>4876</v>
      </c>
      <c r="H866" s="34" t="s">
        <v>925</v>
      </c>
    </row>
    <row r="867" spans="1:8" ht="33">
      <c r="A867" s="160">
        <v>4</v>
      </c>
      <c r="B867" s="160" t="s">
        <v>1267</v>
      </c>
      <c r="C867" s="157" t="s">
        <v>14</v>
      </c>
      <c r="D867" s="159">
        <v>1</v>
      </c>
      <c r="E867" s="159">
        <v>17.78</v>
      </c>
      <c r="F867" s="159">
        <v>17.78</v>
      </c>
      <c r="G867" s="160" t="s">
        <v>1268</v>
      </c>
      <c r="H867" s="34" t="s">
        <v>925</v>
      </c>
    </row>
    <row r="868" spans="1:8" ht="33">
      <c r="A868" s="160">
        <v>5</v>
      </c>
      <c r="B868" s="160" t="s">
        <v>955</v>
      </c>
      <c r="C868" s="157" t="s">
        <v>14</v>
      </c>
      <c r="D868" s="159">
        <v>1</v>
      </c>
      <c r="E868" s="159">
        <v>50.97</v>
      </c>
      <c r="F868" s="159">
        <v>50.97</v>
      </c>
      <c r="G868" s="160" t="s">
        <v>956</v>
      </c>
      <c r="H868" s="34" t="s">
        <v>925</v>
      </c>
    </row>
    <row r="869" spans="1:8" ht="33">
      <c r="A869" s="160"/>
      <c r="B869" s="160" t="s">
        <v>933</v>
      </c>
      <c r="C869" s="157" t="s">
        <v>0</v>
      </c>
      <c r="D869" s="159">
        <v>1</v>
      </c>
      <c r="E869" s="159"/>
      <c r="F869" s="159">
        <v>1749.87</v>
      </c>
      <c r="G869" s="160"/>
      <c r="H869" s="34" t="s">
        <v>925</v>
      </c>
    </row>
    <row r="870" spans="1:8" ht="33">
      <c r="A870" s="160"/>
      <c r="B870" s="160" t="s">
        <v>934</v>
      </c>
      <c r="C870" s="157" t="s">
        <v>0</v>
      </c>
      <c r="D870" s="159"/>
      <c r="E870" s="159"/>
      <c r="F870" s="159">
        <v>1749.87</v>
      </c>
      <c r="G870" s="160"/>
      <c r="H870" s="34" t="s">
        <v>925</v>
      </c>
    </row>
    <row r="871" spans="1:8" ht="33">
      <c r="A871" s="160"/>
      <c r="B871" s="160"/>
      <c r="C871" s="157"/>
      <c r="D871" s="159"/>
      <c r="E871" s="159"/>
      <c r="F871" s="159"/>
      <c r="G871" s="160"/>
      <c r="H871" s="34" t="s">
        <v>925</v>
      </c>
    </row>
    <row r="872" spans="1:8" ht="57">
      <c r="A872" s="160" t="s">
        <v>1397</v>
      </c>
      <c r="B872" s="160" t="s">
        <v>4521</v>
      </c>
      <c r="C872" s="157" t="s">
        <v>0</v>
      </c>
      <c r="D872" s="159">
        <v>1</v>
      </c>
      <c r="E872" s="159">
        <v>2002.08</v>
      </c>
      <c r="F872" s="159"/>
      <c r="G872" s="160" t="s">
        <v>4925</v>
      </c>
      <c r="H872" s="34" t="s">
        <v>925</v>
      </c>
    </row>
    <row r="873" spans="1:8" ht="33">
      <c r="A873" s="160">
        <v>1</v>
      </c>
      <c r="B873" s="160" t="s">
        <v>4923</v>
      </c>
      <c r="C873" s="157" t="s">
        <v>0</v>
      </c>
      <c r="D873" s="159">
        <v>1</v>
      </c>
      <c r="E873" s="159">
        <v>1494.33</v>
      </c>
      <c r="F873" s="159">
        <v>1494.33</v>
      </c>
      <c r="G873" s="160" t="s">
        <v>4924</v>
      </c>
      <c r="H873" s="34" t="s">
        <v>925</v>
      </c>
    </row>
    <row r="874" spans="1:8" ht="33">
      <c r="A874" s="160">
        <v>2</v>
      </c>
      <c r="B874" s="160" t="s">
        <v>4912</v>
      </c>
      <c r="C874" s="157" t="s">
        <v>927</v>
      </c>
      <c r="D874" s="159">
        <v>0.22</v>
      </c>
      <c r="E874" s="159">
        <v>816.9</v>
      </c>
      <c r="F874" s="159">
        <v>179.72</v>
      </c>
      <c r="G874" s="160" t="s">
        <v>4913</v>
      </c>
      <c r="H874" s="34" t="s">
        <v>925</v>
      </c>
    </row>
    <row r="875" spans="1:8" ht="42.75">
      <c r="A875" s="160">
        <v>3</v>
      </c>
      <c r="B875" s="160" t="s">
        <v>4874</v>
      </c>
      <c r="C875" s="157" t="s">
        <v>927</v>
      </c>
      <c r="D875" s="159">
        <v>0.45</v>
      </c>
      <c r="E875" s="159">
        <v>559.87</v>
      </c>
      <c r="F875" s="159">
        <v>251.94</v>
      </c>
      <c r="G875" s="160" t="s">
        <v>4875</v>
      </c>
      <c r="H875" s="34" t="s">
        <v>925</v>
      </c>
    </row>
    <row r="876" spans="1:8" ht="33">
      <c r="A876" s="160">
        <v>4</v>
      </c>
      <c r="B876" s="160" t="s">
        <v>1267</v>
      </c>
      <c r="C876" s="157" t="s">
        <v>14</v>
      </c>
      <c r="D876" s="159">
        <v>1</v>
      </c>
      <c r="E876" s="159">
        <v>17.78</v>
      </c>
      <c r="F876" s="159">
        <v>17.78</v>
      </c>
      <c r="G876" s="160" t="s">
        <v>1268</v>
      </c>
      <c r="H876" s="34" t="s">
        <v>925</v>
      </c>
    </row>
    <row r="877" spans="1:8" ht="33">
      <c r="A877" s="160">
        <v>5</v>
      </c>
      <c r="B877" s="160" t="s">
        <v>955</v>
      </c>
      <c r="C877" s="157" t="s">
        <v>14</v>
      </c>
      <c r="D877" s="159">
        <v>1</v>
      </c>
      <c r="E877" s="159">
        <v>58.31</v>
      </c>
      <c r="F877" s="159">
        <v>58.31</v>
      </c>
      <c r="G877" s="160" t="s">
        <v>956</v>
      </c>
      <c r="H877" s="34" t="s">
        <v>925</v>
      </c>
    </row>
    <row r="878" spans="1:8" ht="16.5">
      <c r="A878" s="160"/>
      <c r="B878" s="160" t="s">
        <v>933</v>
      </c>
      <c r="C878" s="157" t="s">
        <v>0</v>
      </c>
      <c r="D878" s="159">
        <v>1</v>
      </c>
      <c r="E878" s="159"/>
      <c r="F878" s="159">
        <v>2002.08</v>
      </c>
      <c r="G878" s="160"/>
    </row>
    <row r="879" spans="1:8" ht="33">
      <c r="A879" s="160"/>
      <c r="B879" s="160" t="s">
        <v>934</v>
      </c>
      <c r="C879" s="157" t="s">
        <v>0</v>
      </c>
      <c r="D879" s="159"/>
      <c r="E879" s="159"/>
      <c r="F879" s="159">
        <v>2002.08</v>
      </c>
      <c r="G879" s="160"/>
      <c r="H879" s="34" t="s">
        <v>925</v>
      </c>
    </row>
    <row r="880" spans="1:8" ht="33">
      <c r="A880" s="160"/>
      <c r="B880" s="160"/>
      <c r="C880" s="157"/>
      <c r="D880" s="159"/>
      <c r="E880" s="159"/>
      <c r="F880" s="159"/>
      <c r="G880" s="160"/>
      <c r="H880" s="34" t="s">
        <v>925</v>
      </c>
    </row>
    <row r="881" spans="1:8" ht="33">
      <c r="A881" s="160" t="s">
        <v>1399</v>
      </c>
      <c r="B881" s="160" t="s">
        <v>1320</v>
      </c>
      <c r="C881" s="157" t="s">
        <v>0</v>
      </c>
      <c r="D881" s="159">
        <v>1</v>
      </c>
      <c r="E881" s="159">
        <v>5076.34</v>
      </c>
      <c r="F881" s="159"/>
      <c r="G881" s="160" t="s">
        <v>1321</v>
      </c>
      <c r="H881" s="34" t="s">
        <v>925</v>
      </c>
    </row>
    <row r="882" spans="1:8" ht="33">
      <c r="A882" s="160">
        <v>1</v>
      </c>
      <c r="B882" s="160" t="s">
        <v>1322</v>
      </c>
      <c r="C882" s="157" t="s">
        <v>0</v>
      </c>
      <c r="D882" s="159">
        <v>1</v>
      </c>
      <c r="E882" s="159">
        <v>4482.9799999999996</v>
      </c>
      <c r="F882" s="159">
        <v>4482.9799999999996</v>
      </c>
      <c r="G882" s="160" t="s">
        <v>1323</v>
      </c>
      <c r="H882" s="34" t="s">
        <v>925</v>
      </c>
    </row>
    <row r="883" spans="1:8" ht="33">
      <c r="A883" s="160">
        <v>2</v>
      </c>
      <c r="B883" s="160" t="s">
        <v>1261</v>
      </c>
      <c r="C883" s="157" t="s">
        <v>927</v>
      </c>
      <c r="D883" s="159">
        <v>0.5</v>
      </c>
      <c r="E883" s="159">
        <v>399.48</v>
      </c>
      <c r="F883" s="159">
        <v>199.74</v>
      </c>
      <c r="G883" s="160" t="s">
        <v>1262</v>
      </c>
      <c r="H883" s="34" t="s">
        <v>925</v>
      </c>
    </row>
    <row r="884" spans="1:8" ht="33">
      <c r="A884" s="160">
        <v>3</v>
      </c>
      <c r="B884" s="160" t="s">
        <v>4871</v>
      </c>
      <c r="C884" s="157" t="s">
        <v>927</v>
      </c>
      <c r="D884" s="159">
        <v>0.7</v>
      </c>
      <c r="E884" s="159">
        <v>279.94</v>
      </c>
      <c r="F884" s="159">
        <v>195.96</v>
      </c>
      <c r="G884" s="160" t="s">
        <v>1324</v>
      </c>
      <c r="H884" s="34" t="s">
        <v>925</v>
      </c>
    </row>
    <row r="885" spans="1:8" ht="33">
      <c r="A885" s="160">
        <v>4</v>
      </c>
      <c r="B885" s="160" t="s">
        <v>1263</v>
      </c>
      <c r="C885" s="157" t="s">
        <v>14</v>
      </c>
      <c r="D885" s="159">
        <v>1</v>
      </c>
      <c r="E885" s="159">
        <v>9.9600000000000009</v>
      </c>
      <c r="F885" s="159">
        <v>9.9600000000000009</v>
      </c>
      <c r="G885" s="160" t="s">
        <v>1264</v>
      </c>
      <c r="H885" s="34" t="s">
        <v>925</v>
      </c>
    </row>
    <row r="886" spans="1:8" ht="33">
      <c r="A886" s="160">
        <v>5</v>
      </c>
      <c r="B886" s="160" t="s">
        <v>1265</v>
      </c>
      <c r="C886" s="157" t="s">
        <v>14</v>
      </c>
      <c r="D886" s="159">
        <v>1</v>
      </c>
      <c r="E886" s="159">
        <v>9.9600000000000009</v>
      </c>
      <c r="F886" s="159">
        <v>9.9600000000000009</v>
      </c>
      <c r="G886" s="160" t="s">
        <v>1266</v>
      </c>
      <c r="H886" s="34" t="s">
        <v>925</v>
      </c>
    </row>
    <row r="887" spans="1:8" ht="33">
      <c r="A887" s="160">
        <v>6</v>
      </c>
      <c r="B887" s="160" t="s">
        <v>1267</v>
      </c>
      <c r="C887" s="157" t="s">
        <v>14</v>
      </c>
      <c r="D887" s="159">
        <v>1</v>
      </c>
      <c r="E887" s="159">
        <v>29.89</v>
      </c>
      <c r="F887" s="159">
        <v>29.89</v>
      </c>
      <c r="G887" s="160" t="s">
        <v>1268</v>
      </c>
      <c r="H887" s="34" t="s">
        <v>925</v>
      </c>
    </row>
    <row r="888" spans="1:8" ht="33">
      <c r="A888" s="160">
        <v>7</v>
      </c>
      <c r="B888" s="160" t="s">
        <v>931</v>
      </c>
      <c r="C888" s="157" t="s">
        <v>14</v>
      </c>
      <c r="D888" s="159">
        <v>1</v>
      </c>
      <c r="E888" s="159">
        <v>147.85</v>
      </c>
      <c r="F888" s="159">
        <v>147.85</v>
      </c>
      <c r="G888" s="160" t="s">
        <v>932</v>
      </c>
      <c r="H888" s="34" t="s">
        <v>925</v>
      </c>
    </row>
    <row r="889" spans="1:8" ht="33">
      <c r="A889" s="160"/>
      <c r="B889" s="160" t="s">
        <v>933</v>
      </c>
      <c r="C889" s="157" t="s">
        <v>0</v>
      </c>
      <c r="D889" s="159">
        <v>1</v>
      </c>
      <c r="E889" s="159"/>
      <c r="F889" s="159">
        <v>5076.34</v>
      </c>
      <c r="G889" s="160"/>
      <c r="H889" s="34" t="s">
        <v>925</v>
      </c>
    </row>
    <row r="890" spans="1:8" ht="33">
      <c r="A890" s="160"/>
      <c r="B890" s="160" t="s">
        <v>934</v>
      </c>
      <c r="C890" s="157" t="s">
        <v>0</v>
      </c>
      <c r="D890" s="159"/>
      <c r="E890" s="159"/>
      <c r="F890" s="159">
        <v>5076.34</v>
      </c>
      <c r="G890" s="160"/>
      <c r="H890" s="34" t="s">
        <v>925</v>
      </c>
    </row>
    <row r="891" spans="1:8" ht="16.5">
      <c r="A891" s="160"/>
      <c r="B891" s="160"/>
      <c r="C891" s="157"/>
      <c r="D891" s="159"/>
      <c r="E891" s="159"/>
      <c r="F891" s="159"/>
      <c r="G891" s="160"/>
    </row>
    <row r="892" spans="1:8" ht="33">
      <c r="A892" s="160" t="s">
        <v>1401</v>
      </c>
      <c r="B892" s="160" t="s">
        <v>1328</v>
      </c>
      <c r="C892" s="157" t="s">
        <v>3</v>
      </c>
      <c r="D892" s="159">
        <v>1</v>
      </c>
      <c r="E892" s="159">
        <v>264.97000000000003</v>
      </c>
      <c r="F892" s="159"/>
      <c r="G892" s="160" t="s">
        <v>1329</v>
      </c>
      <c r="H892" s="34" t="s">
        <v>925</v>
      </c>
    </row>
    <row r="893" spans="1:8" ht="33">
      <c r="A893" s="160">
        <v>1</v>
      </c>
      <c r="B893" s="160" t="s">
        <v>1294</v>
      </c>
      <c r="C893" s="157" t="s">
        <v>1295</v>
      </c>
      <c r="D893" s="159">
        <v>0.02</v>
      </c>
      <c r="E893" s="159">
        <v>166.37</v>
      </c>
      <c r="F893" s="159">
        <v>3.33</v>
      </c>
      <c r="G893" s="160" t="s">
        <v>1296</v>
      </c>
      <c r="H893" s="34" t="s">
        <v>925</v>
      </c>
    </row>
    <row r="894" spans="1:8" ht="33">
      <c r="A894" s="160">
        <v>2</v>
      </c>
      <c r="B894" s="160" t="s">
        <v>4871</v>
      </c>
      <c r="C894" s="157" t="s">
        <v>927</v>
      </c>
      <c r="D894" s="159">
        <v>0.48</v>
      </c>
      <c r="E894" s="159">
        <v>279.94</v>
      </c>
      <c r="F894" s="159">
        <v>134.37</v>
      </c>
      <c r="G894" s="160" t="s">
        <v>4872</v>
      </c>
      <c r="H894" s="34" t="s">
        <v>925</v>
      </c>
    </row>
    <row r="895" spans="1:8" ht="33">
      <c r="A895" s="160">
        <v>3</v>
      </c>
      <c r="B895" s="160" t="s">
        <v>1330</v>
      </c>
      <c r="C895" s="157" t="s">
        <v>14</v>
      </c>
      <c r="D895" s="159">
        <v>1</v>
      </c>
      <c r="E895" s="159">
        <v>119.55</v>
      </c>
      <c r="F895" s="159">
        <v>119.55</v>
      </c>
      <c r="G895" s="160" t="s">
        <v>1331</v>
      </c>
      <c r="H895" s="34" t="s">
        <v>925</v>
      </c>
    </row>
    <row r="896" spans="1:8" ht="33">
      <c r="A896" s="160">
        <v>4</v>
      </c>
      <c r="B896" s="160" t="s">
        <v>931</v>
      </c>
      <c r="C896" s="157" t="s">
        <v>14</v>
      </c>
      <c r="D896" s="159">
        <v>1</v>
      </c>
      <c r="E896" s="159">
        <v>7.72</v>
      </c>
      <c r="F896" s="159">
        <v>7.72</v>
      </c>
      <c r="G896" s="160" t="s">
        <v>932</v>
      </c>
      <c r="H896" s="34" t="s">
        <v>925</v>
      </c>
    </row>
    <row r="897" spans="1:8" ht="33">
      <c r="A897" s="160"/>
      <c r="B897" s="160" t="s">
        <v>933</v>
      </c>
      <c r="C897" s="157" t="s">
        <v>3</v>
      </c>
      <c r="D897" s="159">
        <v>1</v>
      </c>
      <c r="E897" s="159"/>
      <c r="F897" s="159">
        <v>264.97000000000003</v>
      </c>
      <c r="G897" s="160"/>
      <c r="H897" s="34" t="s">
        <v>925</v>
      </c>
    </row>
    <row r="898" spans="1:8" ht="33">
      <c r="A898" s="160"/>
      <c r="B898" s="160" t="s">
        <v>934</v>
      </c>
      <c r="C898" s="157" t="s">
        <v>3</v>
      </c>
      <c r="D898" s="159"/>
      <c r="E898" s="159"/>
      <c r="F898" s="159">
        <v>264.97000000000003</v>
      </c>
      <c r="G898" s="160"/>
      <c r="H898" s="34" t="s">
        <v>925</v>
      </c>
    </row>
    <row r="899" spans="1:8" ht="33">
      <c r="A899" s="160"/>
      <c r="B899" s="160"/>
      <c r="C899" s="157"/>
      <c r="D899" s="159"/>
      <c r="E899" s="159"/>
      <c r="F899" s="159"/>
      <c r="G899" s="160"/>
      <c r="H899" s="34" t="s">
        <v>925</v>
      </c>
    </row>
    <row r="900" spans="1:8" ht="33">
      <c r="A900" s="160" t="s">
        <v>1403</v>
      </c>
      <c r="B900" s="160" t="s">
        <v>1333</v>
      </c>
      <c r="C900" s="157" t="s">
        <v>3</v>
      </c>
      <c r="D900" s="159">
        <v>10</v>
      </c>
      <c r="E900" s="159">
        <v>957</v>
      </c>
      <c r="F900" s="159"/>
      <c r="G900" s="160" t="s">
        <v>1334</v>
      </c>
      <c r="H900" s="34" t="s">
        <v>925</v>
      </c>
    </row>
    <row r="901" spans="1:8" ht="33">
      <c r="A901" s="160">
        <v>1</v>
      </c>
      <c r="B901" s="160" t="s">
        <v>1335</v>
      </c>
      <c r="C901" s="157" t="s">
        <v>0</v>
      </c>
      <c r="D901" s="159">
        <v>0.03</v>
      </c>
      <c r="E901" s="159">
        <v>21518.32</v>
      </c>
      <c r="F901" s="159">
        <v>645.54999999999995</v>
      </c>
      <c r="G901" s="160" t="s">
        <v>4926</v>
      </c>
      <c r="H901" s="34" t="s">
        <v>925</v>
      </c>
    </row>
    <row r="902" spans="1:8" ht="33">
      <c r="A902" s="160">
        <v>2</v>
      </c>
      <c r="B902" s="160" t="s">
        <v>1336</v>
      </c>
      <c r="C902" s="157" t="s">
        <v>0</v>
      </c>
      <c r="D902" s="159">
        <v>0.03</v>
      </c>
      <c r="E902" s="159">
        <v>22913.03</v>
      </c>
      <c r="F902" s="159">
        <v>687.39</v>
      </c>
      <c r="G902" s="160" t="s">
        <v>1337</v>
      </c>
      <c r="H902" s="34" t="s">
        <v>925</v>
      </c>
    </row>
    <row r="903" spans="1:8" ht="28.5">
      <c r="A903" s="160">
        <v>3</v>
      </c>
      <c r="B903" s="160" t="s">
        <v>1338</v>
      </c>
      <c r="C903" s="157" t="s">
        <v>3</v>
      </c>
      <c r="D903" s="159">
        <v>3.33</v>
      </c>
      <c r="E903" s="159">
        <v>83.68</v>
      </c>
      <c r="F903" s="159">
        <v>278.64999999999998</v>
      </c>
      <c r="G903" s="160" t="s">
        <v>1339</v>
      </c>
    </row>
    <row r="904" spans="1:8" ht="33">
      <c r="A904" s="160">
        <v>4</v>
      </c>
      <c r="B904" s="160" t="s">
        <v>1340</v>
      </c>
      <c r="C904" s="157" t="s">
        <v>14</v>
      </c>
      <c r="D904" s="159">
        <v>1</v>
      </c>
      <c r="E904" s="159">
        <v>547.91999999999996</v>
      </c>
      <c r="F904" s="159">
        <v>547.91999999999996</v>
      </c>
      <c r="G904" s="160" t="s">
        <v>1341</v>
      </c>
      <c r="H904" s="34" t="s">
        <v>925</v>
      </c>
    </row>
    <row r="905" spans="1:8" ht="42.75">
      <c r="A905" s="160">
        <v>5</v>
      </c>
      <c r="B905" s="160" t="s">
        <v>4927</v>
      </c>
      <c r="C905" s="157" t="s">
        <v>927</v>
      </c>
      <c r="D905" s="159">
        <v>9.6</v>
      </c>
      <c r="E905" s="159">
        <v>408.45</v>
      </c>
      <c r="F905" s="159">
        <v>3921.12</v>
      </c>
      <c r="G905" s="160" t="s">
        <v>4928</v>
      </c>
      <c r="H905" s="34" t="s">
        <v>925</v>
      </c>
    </row>
    <row r="906" spans="1:8" ht="33">
      <c r="A906" s="160">
        <v>6</v>
      </c>
      <c r="B906" s="160" t="s">
        <v>4871</v>
      </c>
      <c r="C906" s="157" t="s">
        <v>927</v>
      </c>
      <c r="D906" s="159">
        <v>11.2</v>
      </c>
      <c r="E906" s="159">
        <v>279.94</v>
      </c>
      <c r="F906" s="159">
        <v>3135.33</v>
      </c>
      <c r="G906" s="160" t="s">
        <v>4876</v>
      </c>
      <c r="H906" s="34" t="s">
        <v>925</v>
      </c>
    </row>
    <row r="907" spans="1:8" ht="33">
      <c r="A907" s="160">
        <v>7</v>
      </c>
      <c r="B907" s="160" t="s">
        <v>1342</v>
      </c>
      <c r="C907" s="157" t="s">
        <v>18</v>
      </c>
      <c r="D907" s="159">
        <v>1</v>
      </c>
      <c r="E907" s="159">
        <v>35.86</v>
      </c>
      <c r="F907" s="159">
        <v>35.86</v>
      </c>
      <c r="G907" s="160" t="s">
        <v>1343</v>
      </c>
      <c r="H907" s="34" t="s">
        <v>925</v>
      </c>
    </row>
    <row r="908" spans="1:8" ht="33">
      <c r="A908" s="160">
        <v>8</v>
      </c>
      <c r="B908" s="160" t="s">
        <v>1344</v>
      </c>
      <c r="C908" s="157" t="s">
        <v>18</v>
      </c>
      <c r="D908" s="159">
        <v>1.1000000000000001</v>
      </c>
      <c r="E908" s="159">
        <v>35.86</v>
      </c>
      <c r="F908" s="159">
        <v>39.450000000000003</v>
      </c>
      <c r="G908" s="160" t="s">
        <v>1345</v>
      </c>
      <c r="H908" s="34" t="s">
        <v>925</v>
      </c>
    </row>
    <row r="909" spans="1:8" ht="33">
      <c r="A909" s="160">
        <v>9</v>
      </c>
      <c r="B909" s="160" t="s">
        <v>931</v>
      </c>
      <c r="C909" s="157" t="s">
        <v>14</v>
      </c>
      <c r="D909" s="159">
        <v>1</v>
      </c>
      <c r="E909" s="159">
        <v>278.74</v>
      </c>
      <c r="F909" s="159">
        <v>278.74</v>
      </c>
      <c r="G909" s="160" t="s">
        <v>932</v>
      </c>
      <c r="H909" s="34" t="s">
        <v>925</v>
      </c>
    </row>
    <row r="910" spans="1:8" ht="33">
      <c r="A910" s="160"/>
      <c r="B910" s="160" t="s">
        <v>933</v>
      </c>
      <c r="C910" s="157" t="s">
        <v>3</v>
      </c>
      <c r="D910" s="159">
        <v>10</v>
      </c>
      <c r="E910" s="159"/>
      <c r="F910" s="159">
        <v>9570.01</v>
      </c>
      <c r="G910" s="160"/>
      <c r="H910" s="34" t="s">
        <v>925</v>
      </c>
    </row>
    <row r="911" spans="1:8" ht="33">
      <c r="A911" s="160"/>
      <c r="B911" s="160" t="s">
        <v>934</v>
      </c>
      <c r="C911" s="157" t="s">
        <v>3</v>
      </c>
      <c r="D911" s="159"/>
      <c r="E911" s="159"/>
      <c r="F911" s="159">
        <v>957</v>
      </c>
      <c r="G911" s="160"/>
      <c r="H911" s="34" t="s">
        <v>925</v>
      </c>
    </row>
    <row r="912" spans="1:8" ht="33">
      <c r="A912" s="160"/>
      <c r="B912" s="160"/>
      <c r="C912" s="157"/>
      <c r="D912" s="159"/>
      <c r="E912" s="159"/>
      <c r="F912" s="159"/>
      <c r="G912" s="160"/>
      <c r="H912" s="34" t="s">
        <v>925</v>
      </c>
    </row>
    <row r="913" spans="1:8" ht="57">
      <c r="A913" s="160" t="s">
        <v>1405</v>
      </c>
      <c r="B913" s="160" t="s">
        <v>1384</v>
      </c>
      <c r="C913" s="157" t="s">
        <v>3</v>
      </c>
      <c r="D913" s="159">
        <v>10</v>
      </c>
      <c r="E913" s="159">
        <v>1197.05</v>
      </c>
      <c r="F913" s="159"/>
      <c r="G913" s="160" t="s">
        <v>1385</v>
      </c>
      <c r="H913" s="34" t="s">
        <v>925</v>
      </c>
    </row>
    <row r="914" spans="1:8" ht="33">
      <c r="A914" s="160">
        <v>1</v>
      </c>
      <c r="B914" s="160" t="s">
        <v>1335</v>
      </c>
      <c r="C914" s="157" t="s">
        <v>0</v>
      </c>
      <c r="D914" s="159">
        <v>0.03</v>
      </c>
      <c r="E914" s="159">
        <v>21518.32</v>
      </c>
      <c r="F914" s="159">
        <v>645.54999999999995</v>
      </c>
      <c r="G914" s="160" t="s">
        <v>4926</v>
      </c>
      <c r="H914" s="34" t="s">
        <v>925</v>
      </c>
    </row>
    <row r="915" spans="1:8" ht="28.5">
      <c r="A915" s="160">
        <v>2</v>
      </c>
      <c r="B915" s="160" t="s">
        <v>1336</v>
      </c>
      <c r="C915" s="157" t="s">
        <v>0</v>
      </c>
      <c r="D915" s="159">
        <v>0.03</v>
      </c>
      <c r="E915" s="159">
        <v>22913.03</v>
      </c>
      <c r="F915" s="159">
        <v>687.39</v>
      </c>
      <c r="G915" s="160" t="s">
        <v>1337</v>
      </c>
    </row>
    <row r="916" spans="1:8" ht="33">
      <c r="A916" s="160">
        <v>3</v>
      </c>
      <c r="B916" s="160" t="s">
        <v>1338</v>
      </c>
      <c r="C916" s="157" t="s">
        <v>3</v>
      </c>
      <c r="D916" s="159">
        <v>3.33</v>
      </c>
      <c r="E916" s="159">
        <v>83.68</v>
      </c>
      <c r="F916" s="159">
        <v>278.64999999999998</v>
      </c>
      <c r="G916" s="160" t="s">
        <v>1339</v>
      </c>
      <c r="H916" s="34" t="s">
        <v>925</v>
      </c>
    </row>
    <row r="917" spans="1:8" ht="33">
      <c r="A917" s="160">
        <v>4</v>
      </c>
      <c r="B917" s="160" t="s">
        <v>1340</v>
      </c>
      <c r="C917" s="157" t="s">
        <v>14</v>
      </c>
      <c r="D917" s="159">
        <v>1</v>
      </c>
      <c r="E917" s="159">
        <v>547.91999999999996</v>
      </c>
      <c r="F917" s="159">
        <v>547.91999999999996</v>
      </c>
      <c r="G917" s="160" t="s">
        <v>1341</v>
      </c>
      <c r="H917" s="34" t="s">
        <v>925</v>
      </c>
    </row>
    <row r="918" spans="1:8" ht="42.75">
      <c r="A918" s="160">
        <v>5</v>
      </c>
      <c r="B918" s="160" t="s">
        <v>4927</v>
      </c>
      <c r="C918" s="157" t="s">
        <v>927</v>
      </c>
      <c r="D918" s="159">
        <v>12.77</v>
      </c>
      <c r="E918" s="159">
        <v>408.45</v>
      </c>
      <c r="F918" s="159">
        <v>5215.91</v>
      </c>
      <c r="G918" s="160" t="s">
        <v>4928</v>
      </c>
      <c r="H918" s="34" t="s">
        <v>925</v>
      </c>
    </row>
    <row r="919" spans="1:8" ht="33">
      <c r="A919" s="160">
        <v>6</v>
      </c>
      <c r="B919" s="160" t="s">
        <v>4871</v>
      </c>
      <c r="C919" s="157" t="s">
        <v>927</v>
      </c>
      <c r="D919" s="159">
        <v>14.9</v>
      </c>
      <c r="E919" s="159">
        <v>279.94</v>
      </c>
      <c r="F919" s="159">
        <v>4171.1099999999997</v>
      </c>
      <c r="G919" s="160" t="s">
        <v>4872</v>
      </c>
      <c r="H919" s="34" t="s">
        <v>925</v>
      </c>
    </row>
    <row r="920" spans="1:8" ht="33">
      <c r="A920" s="160">
        <v>7</v>
      </c>
      <c r="B920" s="160" t="s">
        <v>1342</v>
      </c>
      <c r="C920" s="157" t="s">
        <v>18</v>
      </c>
      <c r="D920" s="159">
        <v>1</v>
      </c>
      <c r="E920" s="159">
        <v>35.86</v>
      </c>
      <c r="F920" s="159">
        <v>35.86</v>
      </c>
      <c r="G920" s="160" t="s">
        <v>1343</v>
      </c>
      <c r="H920" s="34" t="s">
        <v>925</v>
      </c>
    </row>
    <row r="921" spans="1:8" ht="33">
      <c r="A921" s="160">
        <v>8</v>
      </c>
      <c r="B921" s="160" t="s">
        <v>1344</v>
      </c>
      <c r="C921" s="157" t="s">
        <v>18</v>
      </c>
      <c r="D921" s="159">
        <v>1.1000000000000001</v>
      </c>
      <c r="E921" s="159">
        <v>35.86</v>
      </c>
      <c r="F921" s="159">
        <v>39.450000000000003</v>
      </c>
      <c r="G921" s="160" t="s">
        <v>1345</v>
      </c>
      <c r="H921" s="34" t="s">
        <v>925</v>
      </c>
    </row>
    <row r="922" spans="1:8" ht="33">
      <c r="A922" s="160">
        <v>9</v>
      </c>
      <c r="B922" s="160" t="s">
        <v>931</v>
      </c>
      <c r="C922" s="157" t="s">
        <v>14</v>
      </c>
      <c r="D922" s="159">
        <v>1</v>
      </c>
      <c r="E922" s="159">
        <v>348.66</v>
      </c>
      <c r="F922" s="159">
        <v>348.66</v>
      </c>
      <c r="G922" s="160" t="s">
        <v>932</v>
      </c>
      <c r="H922" s="34" t="s">
        <v>925</v>
      </c>
    </row>
    <row r="923" spans="1:8" ht="33">
      <c r="A923" s="160"/>
      <c r="B923" s="160" t="s">
        <v>933</v>
      </c>
      <c r="C923" s="157" t="s">
        <v>3</v>
      </c>
      <c r="D923" s="159">
        <v>10</v>
      </c>
      <c r="E923" s="159"/>
      <c r="F923" s="159">
        <v>11970.5</v>
      </c>
      <c r="G923" s="160"/>
      <c r="H923" s="34" t="s">
        <v>925</v>
      </c>
    </row>
    <row r="924" spans="1:8" ht="16.5">
      <c r="A924" s="160"/>
      <c r="B924" s="160" t="s">
        <v>934</v>
      </c>
      <c r="C924" s="157" t="s">
        <v>3</v>
      </c>
      <c r="D924" s="159"/>
      <c r="E924" s="159"/>
      <c r="F924" s="159">
        <v>1197.05</v>
      </c>
      <c r="G924" s="160"/>
    </row>
    <row r="925" spans="1:8" ht="33">
      <c r="A925" s="160"/>
      <c r="B925" s="160"/>
      <c r="C925" s="157"/>
      <c r="D925" s="159"/>
      <c r="E925" s="159"/>
      <c r="F925" s="159"/>
      <c r="G925" s="160"/>
      <c r="H925" s="34" t="s">
        <v>925</v>
      </c>
    </row>
    <row r="926" spans="1:8" ht="71.25">
      <c r="A926" s="160" t="s">
        <v>1407</v>
      </c>
      <c r="B926" s="160" t="s">
        <v>1347</v>
      </c>
      <c r="C926" s="157" t="s">
        <v>3</v>
      </c>
      <c r="D926" s="159">
        <v>100</v>
      </c>
      <c r="E926" s="159">
        <v>801.75</v>
      </c>
      <c r="F926" s="159"/>
      <c r="G926" s="160" t="s">
        <v>1348</v>
      </c>
      <c r="H926" s="34" t="s">
        <v>925</v>
      </c>
    </row>
    <row r="927" spans="1:8" ht="33">
      <c r="A927" s="160">
        <v>1</v>
      </c>
      <c r="B927" s="160" t="s">
        <v>1335</v>
      </c>
      <c r="C927" s="157" t="s">
        <v>0</v>
      </c>
      <c r="D927" s="159">
        <v>0.3</v>
      </c>
      <c r="E927" s="159">
        <v>21518.32</v>
      </c>
      <c r="F927" s="159">
        <v>6455.5</v>
      </c>
      <c r="G927" s="160" t="s">
        <v>4926</v>
      </c>
      <c r="H927" s="34" t="s">
        <v>925</v>
      </c>
    </row>
    <row r="928" spans="1:8" ht="33">
      <c r="A928" s="160">
        <v>2</v>
      </c>
      <c r="B928" s="160" t="s">
        <v>1336</v>
      </c>
      <c r="C928" s="157" t="s">
        <v>0</v>
      </c>
      <c r="D928" s="159">
        <v>0.21</v>
      </c>
      <c r="E928" s="159">
        <v>22913.03</v>
      </c>
      <c r="F928" s="159">
        <v>4811.74</v>
      </c>
      <c r="G928" s="160" t="s">
        <v>1337</v>
      </c>
      <c r="H928" s="34" t="s">
        <v>925</v>
      </c>
    </row>
    <row r="929" spans="1:8" ht="33">
      <c r="A929" s="160">
        <v>3</v>
      </c>
      <c r="B929" s="160" t="s">
        <v>1338</v>
      </c>
      <c r="C929" s="157" t="s">
        <v>3</v>
      </c>
      <c r="D929" s="159">
        <v>33.299999999999997</v>
      </c>
      <c r="E929" s="159">
        <v>83.68</v>
      </c>
      <c r="F929" s="159">
        <v>2786.54</v>
      </c>
      <c r="G929" s="160" t="s">
        <v>1339</v>
      </c>
      <c r="H929" s="34" t="s">
        <v>925</v>
      </c>
    </row>
    <row r="930" spans="1:8" ht="33">
      <c r="A930" s="160">
        <v>4</v>
      </c>
      <c r="B930" s="160" t="s">
        <v>1349</v>
      </c>
      <c r="C930" s="157" t="s">
        <v>14</v>
      </c>
      <c r="D930" s="159">
        <v>1</v>
      </c>
      <c r="E930" s="159">
        <v>2311.23</v>
      </c>
      <c r="F930" s="159">
        <v>2311.23</v>
      </c>
      <c r="G930" s="160" t="s">
        <v>1350</v>
      </c>
      <c r="H930" s="34" t="s">
        <v>925</v>
      </c>
    </row>
    <row r="931" spans="1:8" ht="42.75">
      <c r="A931" s="160">
        <v>5</v>
      </c>
      <c r="B931" s="160" t="s">
        <v>4927</v>
      </c>
      <c r="C931" s="157" t="s">
        <v>927</v>
      </c>
      <c r="D931" s="159">
        <v>88</v>
      </c>
      <c r="E931" s="159">
        <v>408.45</v>
      </c>
      <c r="F931" s="159">
        <v>35943.599999999999</v>
      </c>
      <c r="G931" s="160" t="s">
        <v>4928</v>
      </c>
      <c r="H931" s="34" t="s">
        <v>925</v>
      </c>
    </row>
    <row r="932" spans="1:8" ht="33">
      <c r="A932" s="160">
        <v>6</v>
      </c>
      <c r="B932" s="160" t="s">
        <v>4871</v>
      </c>
      <c r="C932" s="157" t="s">
        <v>927</v>
      </c>
      <c r="D932" s="159">
        <v>88</v>
      </c>
      <c r="E932" s="159">
        <v>279.94</v>
      </c>
      <c r="F932" s="159">
        <v>24634.720000000001</v>
      </c>
      <c r="G932" s="160" t="s">
        <v>4872</v>
      </c>
      <c r="H932" s="34" t="s">
        <v>925</v>
      </c>
    </row>
    <row r="933" spans="1:8" ht="28.5">
      <c r="A933" s="160">
        <v>7</v>
      </c>
      <c r="B933" s="160" t="s">
        <v>1342</v>
      </c>
      <c r="C933" s="157" t="s">
        <v>18</v>
      </c>
      <c r="D933" s="159">
        <v>12</v>
      </c>
      <c r="E933" s="159">
        <v>35.86</v>
      </c>
      <c r="F933" s="159">
        <v>430.32</v>
      </c>
      <c r="G933" s="160" t="s">
        <v>1343</v>
      </c>
    </row>
    <row r="934" spans="1:8" ht="33">
      <c r="A934" s="160">
        <v>8</v>
      </c>
      <c r="B934" s="160" t="s">
        <v>1344</v>
      </c>
      <c r="C934" s="157" t="s">
        <v>18</v>
      </c>
      <c r="D934" s="159">
        <v>13</v>
      </c>
      <c r="E934" s="159">
        <v>35.86</v>
      </c>
      <c r="F934" s="159">
        <v>466.18</v>
      </c>
      <c r="G934" s="160" t="s">
        <v>1345</v>
      </c>
      <c r="H934" s="34" t="s">
        <v>925</v>
      </c>
    </row>
    <row r="935" spans="1:8" ht="33">
      <c r="A935" s="160">
        <v>9</v>
      </c>
      <c r="B935" s="160" t="s">
        <v>931</v>
      </c>
      <c r="C935" s="157" t="s">
        <v>14</v>
      </c>
      <c r="D935" s="159">
        <v>1</v>
      </c>
      <c r="E935" s="159">
        <v>2335.19</v>
      </c>
      <c r="F935" s="159">
        <v>2335.19</v>
      </c>
      <c r="G935" s="160" t="s">
        <v>932</v>
      </c>
      <c r="H935" s="34" t="s">
        <v>925</v>
      </c>
    </row>
    <row r="936" spans="1:8" ht="33">
      <c r="A936" s="160"/>
      <c r="B936" s="160" t="s">
        <v>933</v>
      </c>
      <c r="C936" s="157" t="s">
        <v>3</v>
      </c>
      <c r="D936" s="159">
        <v>100</v>
      </c>
      <c r="E936" s="159"/>
      <c r="F936" s="159">
        <v>80175.02</v>
      </c>
      <c r="G936" s="160"/>
      <c r="H936" s="34" t="s">
        <v>925</v>
      </c>
    </row>
    <row r="937" spans="1:8" ht="33">
      <c r="A937" s="160"/>
      <c r="B937" s="160" t="s">
        <v>934</v>
      </c>
      <c r="C937" s="157" t="s">
        <v>3</v>
      </c>
      <c r="D937" s="159"/>
      <c r="E937" s="159"/>
      <c r="F937" s="159">
        <v>801.75</v>
      </c>
      <c r="G937" s="160"/>
      <c r="H937" s="34" t="s">
        <v>925</v>
      </c>
    </row>
    <row r="938" spans="1:8" ht="33">
      <c r="A938" s="160"/>
      <c r="B938" s="160"/>
      <c r="C938" s="157"/>
      <c r="D938" s="159"/>
      <c r="E938" s="159"/>
      <c r="F938" s="159"/>
      <c r="G938" s="160"/>
      <c r="H938" s="34" t="s">
        <v>925</v>
      </c>
    </row>
    <row r="939" spans="1:8" ht="99.75">
      <c r="A939" s="160" t="s">
        <v>1409</v>
      </c>
      <c r="B939" s="160" t="s">
        <v>1347</v>
      </c>
      <c r="C939" s="157" t="s">
        <v>3</v>
      </c>
      <c r="D939" s="159">
        <v>100</v>
      </c>
      <c r="E939" s="159">
        <v>1007.66</v>
      </c>
      <c r="F939" s="159"/>
      <c r="G939" s="160" t="s">
        <v>1387</v>
      </c>
      <c r="H939" s="34" t="s">
        <v>925</v>
      </c>
    </row>
    <row r="940" spans="1:8" ht="33">
      <c r="A940" s="160">
        <v>1</v>
      </c>
      <c r="B940" s="160" t="s">
        <v>1335</v>
      </c>
      <c r="C940" s="157" t="s">
        <v>0</v>
      </c>
      <c r="D940" s="159">
        <v>0.3</v>
      </c>
      <c r="E940" s="159">
        <v>21518.32</v>
      </c>
      <c r="F940" s="159">
        <v>6455.5</v>
      </c>
      <c r="G940" s="160" t="s">
        <v>4926</v>
      </c>
      <c r="H940" s="34" t="s">
        <v>925</v>
      </c>
    </row>
    <row r="941" spans="1:8" ht="33">
      <c r="A941" s="160">
        <v>2</v>
      </c>
      <c r="B941" s="160" t="s">
        <v>1336</v>
      </c>
      <c r="C941" s="157" t="s">
        <v>0</v>
      </c>
      <c r="D941" s="159">
        <v>0.21</v>
      </c>
      <c r="E941" s="159">
        <v>22913.03</v>
      </c>
      <c r="F941" s="159">
        <v>4811.74</v>
      </c>
      <c r="G941" s="160" t="s">
        <v>1337</v>
      </c>
      <c r="H941" s="34" t="s">
        <v>925</v>
      </c>
    </row>
    <row r="942" spans="1:8" ht="28.5">
      <c r="A942" s="160">
        <v>3</v>
      </c>
      <c r="B942" s="160" t="s">
        <v>1338</v>
      </c>
      <c r="C942" s="157" t="s">
        <v>3</v>
      </c>
      <c r="D942" s="159">
        <v>33.299999999999997</v>
      </c>
      <c r="E942" s="159">
        <v>83.68</v>
      </c>
      <c r="F942" s="159">
        <v>2786.54</v>
      </c>
      <c r="G942" s="160" t="s">
        <v>1339</v>
      </c>
    </row>
    <row r="943" spans="1:8" ht="33">
      <c r="A943" s="160">
        <v>4</v>
      </c>
      <c r="B943" s="160" t="s">
        <v>1349</v>
      </c>
      <c r="C943" s="157" t="s">
        <v>14</v>
      </c>
      <c r="D943" s="159">
        <v>1</v>
      </c>
      <c r="E943" s="159">
        <v>2311.23</v>
      </c>
      <c r="F943" s="159">
        <v>2311.23</v>
      </c>
      <c r="G943" s="160" t="s">
        <v>1350</v>
      </c>
      <c r="H943" s="34" t="s">
        <v>925</v>
      </c>
    </row>
    <row r="944" spans="1:8" ht="42.75">
      <c r="A944" s="160">
        <v>5</v>
      </c>
      <c r="B944" s="160" t="s">
        <v>4927</v>
      </c>
      <c r="C944" s="157" t="s">
        <v>927</v>
      </c>
      <c r="D944" s="159">
        <v>117.04</v>
      </c>
      <c r="E944" s="159">
        <v>408.45</v>
      </c>
      <c r="F944" s="159">
        <v>47804.99</v>
      </c>
      <c r="G944" s="160" t="s">
        <v>4928</v>
      </c>
      <c r="H944" s="34" t="s">
        <v>925</v>
      </c>
    </row>
    <row r="945" spans="1:8" ht="33">
      <c r="A945" s="160">
        <v>6</v>
      </c>
      <c r="B945" s="160" t="s">
        <v>4871</v>
      </c>
      <c r="C945" s="157" t="s">
        <v>927</v>
      </c>
      <c r="D945" s="159">
        <v>117.04</v>
      </c>
      <c r="E945" s="159">
        <v>279.94</v>
      </c>
      <c r="F945" s="159">
        <v>32764.18</v>
      </c>
      <c r="G945" s="160" t="s">
        <v>4872</v>
      </c>
      <c r="H945" s="34" t="s">
        <v>925</v>
      </c>
    </row>
    <row r="946" spans="1:8" ht="33">
      <c r="A946" s="160">
        <v>7</v>
      </c>
      <c r="B946" s="160" t="s">
        <v>1342</v>
      </c>
      <c r="C946" s="157" t="s">
        <v>18</v>
      </c>
      <c r="D946" s="159">
        <v>12</v>
      </c>
      <c r="E946" s="159">
        <v>35.86</v>
      </c>
      <c r="F946" s="159">
        <v>430.32</v>
      </c>
      <c r="G946" s="160" t="s">
        <v>1343</v>
      </c>
      <c r="H946" s="34" t="s">
        <v>925</v>
      </c>
    </row>
    <row r="947" spans="1:8" ht="33">
      <c r="A947" s="160">
        <v>8</v>
      </c>
      <c r="B947" s="160" t="s">
        <v>1344</v>
      </c>
      <c r="C947" s="157" t="s">
        <v>18</v>
      </c>
      <c r="D947" s="159">
        <v>13</v>
      </c>
      <c r="E947" s="159">
        <v>35.86</v>
      </c>
      <c r="F947" s="159">
        <v>466.18</v>
      </c>
      <c r="G947" s="160" t="s">
        <v>1345</v>
      </c>
      <c r="H947" s="34" t="s">
        <v>925</v>
      </c>
    </row>
    <row r="948" spans="1:8" ht="33">
      <c r="A948" s="160">
        <v>9</v>
      </c>
      <c r="B948" s="160" t="s">
        <v>931</v>
      </c>
      <c r="C948" s="157" t="s">
        <v>14</v>
      </c>
      <c r="D948" s="159">
        <v>1</v>
      </c>
      <c r="E948" s="159">
        <v>2934.92</v>
      </c>
      <c r="F948" s="159">
        <v>2934.92</v>
      </c>
      <c r="G948" s="160" t="s">
        <v>932</v>
      </c>
      <c r="H948" s="34" t="s">
        <v>925</v>
      </c>
    </row>
    <row r="949" spans="1:8" ht="33">
      <c r="A949" s="160"/>
      <c r="B949" s="160" t="s">
        <v>933</v>
      </c>
      <c r="C949" s="157" t="s">
        <v>3</v>
      </c>
      <c r="D949" s="159">
        <v>100</v>
      </c>
      <c r="E949" s="159"/>
      <c r="F949" s="159">
        <v>100765.59999999999</v>
      </c>
      <c r="G949" s="160"/>
      <c r="H949" s="34" t="s">
        <v>925</v>
      </c>
    </row>
    <row r="950" spans="1:8" ht="33">
      <c r="A950" s="160"/>
      <c r="B950" s="160" t="s">
        <v>934</v>
      </c>
      <c r="C950" s="157" t="s">
        <v>3</v>
      </c>
      <c r="D950" s="159"/>
      <c r="E950" s="159"/>
      <c r="F950" s="159">
        <v>1007.66</v>
      </c>
      <c r="G950" s="160"/>
      <c r="H950" s="34" t="s">
        <v>925</v>
      </c>
    </row>
    <row r="951" spans="1:8" ht="16.5">
      <c r="A951" s="160"/>
      <c r="B951" s="160"/>
      <c r="C951" s="157"/>
      <c r="D951" s="159"/>
      <c r="E951" s="159"/>
      <c r="F951" s="159"/>
      <c r="G951" s="160"/>
    </row>
    <row r="952" spans="1:8" ht="33">
      <c r="A952" s="160" t="s">
        <v>1416</v>
      </c>
      <c r="B952" s="160" t="s">
        <v>1352</v>
      </c>
      <c r="C952" s="157" t="s">
        <v>3</v>
      </c>
      <c r="D952" s="159">
        <v>100</v>
      </c>
      <c r="E952" s="159">
        <v>550.35</v>
      </c>
      <c r="F952" s="159"/>
      <c r="G952" s="160" t="s">
        <v>1353</v>
      </c>
      <c r="H952" s="34" t="s">
        <v>925</v>
      </c>
    </row>
    <row r="953" spans="1:8" ht="33">
      <c r="A953" s="160">
        <v>1</v>
      </c>
      <c r="B953" s="160" t="s">
        <v>1335</v>
      </c>
      <c r="C953" s="157" t="s">
        <v>0</v>
      </c>
      <c r="D953" s="159">
        <v>0.23</v>
      </c>
      <c r="E953" s="159">
        <v>21518.32</v>
      </c>
      <c r="F953" s="159">
        <v>4949.21</v>
      </c>
      <c r="G953" s="160" t="s">
        <v>4926</v>
      </c>
      <c r="H953" s="34" t="s">
        <v>925</v>
      </c>
    </row>
    <row r="954" spans="1:8" ht="33">
      <c r="A954" s="160">
        <v>2</v>
      </c>
      <c r="B954" s="160" t="s">
        <v>1336</v>
      </c>
      <c r="C954" s="157" t="s">
        <v>0</v>
      </c>
      <c r="D954" s="159">
        <v>0.13</v>
      </c>
      <c r="E954" s="159">
        <v>22913.03</v>
      </c>
      <c r="F954" s="159">
        <v>2978.69</v>
      </c>
      <c r="G954" s="160" t="s">
        <v>1337</v>
      </c>
      <c r="H954" s="34" t="s">
        <v>925</v>
      </c>
    </row>
    <row r="955" spans="1:8" ht="33">
      <c r="A955" s="160">
        <v>3</v>
      </c>
      <c r="B955" s="160" t="s">
        <v>1338</v>
      </c>
      <c r="C955" s="157" t="s">
        <v>3</v>
      </c>
      <c r="D955" s="159">
        <v>33.299999999999997</v>
      </c>
      <c r="E955" s="159">
        <v>83.68</v>
      </c>
      <c r="F955" s="159">
        <v>2786.54</v>
      </c>
      <c r="G955" s="160" t="s">
        <v>1339</v>
      </c>
      <c r="H955" s="34" t="s">
        <v>925</v>
      </c>
    </row>
    <row r="956" spans="1:8" ht="33">
      <c r="A956" s="160">
        <v>4</v>
      </c>
      <c r="B956" s="160" t="s">
        <v>1354</v>
      </c>
      <c r="C956" s="157" t="s">
        <v>14</v>
      </c>
      <c r="D956" s="159">
        <v>1</v>
      </c>
      <c r="E956" s="159">
        <v>1394.71</v>
      </c>
      <c r="F956" s="159">
        <v>1394.71</v>
      </c>
      <c r="G956" s="160" t="s">
        <v>1355</v>
      </c>
      <c r="H956" s="34" t="s">
        <v>925</v>
      </c>
    </row>
    <row r="957" spans="1:8" ht="42.75">
      <c r="A957" s="160">
        <v>5</v>
      </c>
      <c r="B957" s="160" t="s">
        <v>4927</v>
      </c>
      <c r="C957" s="157" t="s">
        <v>927</v>
      </c>
      <c r="D957" s="159">
        <v>72</v>
      </c>
      <c r="E957" s="159">
        <v>408.45</v>
      </c>
      <c r="F957" s="159">
        <v>29408.400000000001</v>
      </c>
      <c r="G957" s="160" t="s">
        <v>4928</v>
      </c>
      <c r="H957" s="34" t="s">
        <v>925</v>
      </c>
    </row>
    <row r="958" spans="1:8" ht="33">
      <c r="A958" s="160">
        <v>6</v>
      </c>
      <c r="B958" s="160" t="s">
        <v>4871</v>
      </c>
      <c r="C958" s="157" t="s">
        <v>927</v>
      </c>
      <c r="D958" s="159">
        <v>40</v>
      </c>
      <c r="E958" s="159">
        <v>279.94</v>
      </c>
      <c r="F958" s="159">
        <v>11197.6</v>
      </c>
      <c r="G958" s="160" t="s">
        <v>4876</v>
      </c>
      <c r="H958" s="34" t="s">
        <v>925</v>
      </c>
    </row>
    <row r="959" spans="1:8" ht="33">
      <c r="A959" s="160">
        <v>7</v>
      </c>
      <c r="B959" s="160" t="s">
        <v>1342</v>
      </c>
      <c r="C959" s="157" t="s">
        <v>18</v>
      </c>
      <c r="D959" s="159">
        <v>10</v>
      </c>
      <c r="E959" s="159">
        <v>35.86</v>
      </c>
      <c r="F959" s="159">
        <v>358.6</v>
      </c>
      <c r="G959" s="160" t="s">
        <v>1343</v>
      </c>
      <c r="H959" s="34" t="s">
        <v>925</v>
      </c>
    </row>
    <row r="960" spans="1:8" ht="28.5">
      <c r="A960" s="160">
        <v>8</v>
      </c>
      <c r="B960" s="160" t="s">
        <v>1344</v>
      </c>
      <c r="C960" s="157" t="s">
        <v>18</v>
      </c>
      <c r="D960" s="159">
        <v>10</v>
      </c>
      <c r="E960" s="159">
        <v>35.86</v>
      </c>
      <c r="F960" s="159">
        <v>358.6</v>
      </c>
      <c r="G960" s="160" t="s">
        <v>1345</v>
      </c>
    </row>
    <row r="961" spans="1:8" ht="33">
      <c r="A961" s="160">
        <v>9</v>
      </c>
      <c r="B961" s="160" t="s">
        <v>931</v>
      </c>
      <c r="C961" s="157" t="s">
        <v>14</v>
      </c>
      <c r="D961" s="159">
        <v>1</v>
      </c>
      <c r="E961" s="159">
        <v>1602.97</v>
      </c>
      <c r="F961" s="159">
        <v>1602.97</v>
      </c>
      <c r="G961" s="160" t="s">
        <v>932</v>
      </c>
      <c r="H961" s="34" t="s">
        <v>925</v>
      </c>
    </row>
    <row r="962" spans="1:8" ht="33">
      <c r="A962" s="160"/>
      <c r="B962" s="160" t="s">
        <v>933</v>
      </c>
      <c r="C962" s="157" t="s">
        <v>3</v>
      </c>
      <c r="D962" s="159">
        <v>100</v>
      </c>
      <c r="E962" s="159"/>
      <c r="F962" s="159">
        <v>55035.32</v>
      </c>
      <c r="G962" s="160"/>
      <c r="H962" s="34" t="s">
        <v>925</v>
      </c>
    </row>
    <row r="963" spans="1:8" ht="33">
      <c r="A963" s="160"/>
      <c r="B963" s="160" t="s">
        <v>934</v>
      </c>
      <c r="C963" s="157" t="s">
        <v>3</v>
      </c>
      <c r="D963" s="159"/>
      <c r="E963" s="159"/>
      <c r="F963" s="159">
        <v>550.35</v>
      </c>
      <c r="G963" s="160"/>
      <c r="H963" s="34" t="s">
        <v>925</v>
      </c>
    </row>
    <row r="964" spans="1:8" ht="33">
      <c r="A964" s="160"/>
      <c r="B964" s="160"/>
      <c r="C964" s="157"/>
      <c r="D964" s="159"/>
      <c r="E964" s="159"/>
      <c r="F964" s="159"/>
      <c r="G964" s="160"/>
      <c r="H964" s="34" t="s">
        <v>925</v>
      </c>
    </row>
    <row r="965" spans="1:8" ht="57">
      <c r="A965" s="160" t="s">
        <v>1419</v>
      </c>
      <c r="B965" s="160" t="s">
        <v>1389</v>
      </c>
      <c r="C965" s="157" t="s">
        <v>3</v>
      </c>
      <c r="D965" s="159">
        <v>100</v>
      </c>
      <c r="E965" s="159">
        <v>688.37</v>
      </c>
      <c r="F965" s="159"/>
      <c r="G965" s="160" t="s">
        <v>1390</v>
      </c>
      <c r="H965" s="34" t="s">
        <v>925</v>
      </c>
    </row>
    <row r="966" spans="1:8" ht="33">
      <c r="A966" s="160">
        <v>1</v>
      </c>
      <c r="B966" s="160" t="s">
        <v>1335</v>
      </c>
      <c r="C966" s="157" t="s">
        <v>0</v>
      </c>
      <c r="D966" s="159">
        <v>0.23</v>
      </c>
      <c r="E966" s="159">
        <v>21518.32</v>
      </c>
      <c r="F966" s="159">
        <v>4949.21</v>
      </c>
      <c r="G966" s="160" t="s">
        <v>4926</v>
      </c>
      <c r="H966" s="34" t="s">
        <v>925</v>
      </c>
    </row>
    <row r="967" spans="1:8" ht="33">
      <c r="A967" s="160">
        <v>2</v>
      </c>
      <c r="B967" s="160" t="s">
        <v>1336</v>
      </c>
      <c r="C967" s="157" t="s">
        <v>0</v>
      </c>
      <c r="D967" s="159">
        <v>0.13</v>
      </c>
      <c r="E967" s="159">
        <v>22913.03</v>
      </c>
      <c r="F967" s="159">
        <v>2978.69</v>
      </c>
      <c r="G967" s="160" t="s">
        <v>1337</v>
      </c>
      <c r="H967" s="34" t="s">
        <v>925</v>
      </c>
    </row>
    <row r="968" spans="1:8" ht="33">
      <c r="A968" s="160">
        <v>3</v>
      </c>
      <c r="B968" s="160" t="s">
        <v>1338</v>
      </c>
      <c r="C968" s="157" t="s">
        <v>3</v>
      </c>
      <c r="D968" s="159">
        <v>33.299999999999997</v>
      </c>
      <c r="E968" s="159">
        <v>83.68</v>
      </c>
      <c r="F968" s="159">
        <v>2786.54</v>
      </c>
      <c r="G968" s="160" t="s">
        <v>1339</v>
      </c>
      <c r="H968" s="34" t="s">
        <v>925</v>
      </c>
    </row>
    <row r="969" spans="1:8" ht="28.5">
      <c r="A969" s="160">
        <v>4</v>
      </c>
      <c r="B969" s="160" t="s">
        <v>1354</v>
      </c>
      <c r="C969" s="157" t="s">
        <v>14</v>
      </c>
      <c r="D969" s="159">
        <v>1</v>
      </c>
      <c r="E969" s="159">
        <v>1394.71</v>
      </c>
      <c r="F969" s="159">
        <v>1394.71</v>
      </c>
      <c r="G969" s="160" t="s">
        <v>1355</v>
      </c>
    </row>
    <row r="970" spans="1:8" ht="42.75">
      <c r="A970" s="160">
        <v>5</v>
      </c>
      <c r="B970" s="160" t="s">
        <v>4927</v>
      </c>
      <c r="C970" s="157" t="s">
        <v>927</v>
      </c>
      <c r="D970" s="159">
        <v>95.76</v>
      </c>
      <c r="E970" s="159">
        <v>408.45</v>
      </c>
      <c r="F970" s="159">
        <v>39113.17</v>
      </c>
      <c r="G970" s="160" t="s">
        <v>4928</v>
      </c>
      <c r="H970" s="34" t="s">
        <v>925</v>
      </c>
    </row>
    <row r="971" spans="1:8" ht="33">
      <c r="A971" s="160">
        <v>6</v>
      </c>
      <c r="B971" s="160" t="s">
        <v>4871</v>
      </c>
      <c r="C971" s="157" t="s">
        <v>927</v>
      </c>
      <c r="D971" s="159">
        <v>53.2</v>
      </c>
      <c r="E971" s="159">
        <v>279.94</v>
      </c>
      <c r="F971" s="159">
        <v>14892.81</v>
      </c>
      <c r="G971" s="160" t="s">
        <v>4872</v>
      </c>
      <c r="H971" s="34" t="s">
        <v>925</v>
      </c>
    </row>
    <row r="972" spans="1:8" ht="33">
      <c r="A972" s="160">
        <v>7</v>
      </c>
      <c r="B972" s="160" t="s">
        <v>1342</v>
      </c>
      <c r="C972" s="157" t="s">
        <v>18</v>
      </c>
      <c r="D972" s="159">
        <v>10</v>
      </c>
      <c r="E972" s="159">
        <v>35.86</v>
      </c>
      <c r="F972" s="159">
        <v>358.6</v>
      </c>
      <c r="G972" s="160" t="s">
        <v>1343</v>
      </c>
      <c r="H972" s="34" t="s">
        <v>925</v>
      </c>
    </row>
    <row r="973" spans="1:8" ht="33">
      <c r="A973" s="160">
        <v>8</v>
      </c>
      <c r="B973" s="160" t="s">
        <v>1344</v>
      </c>
      <c r="C973" s="157" t="s">
        <v>18</v>
      </c>
      <c r="D973" s="159">
        <v>10</v>
      </c>
      <c r="E973" s="159">
        <v>35.86</v>
      </c>
      <c r="F973" s="159">
        <v>358.6</v>
      </c>
      <c r="G973" s="160" t="s">
        <v>1345</v>
      </c>
      <c r="H973" s="34" t="s">
        <v>925</v>
      </c>
    </row>
    <row r="974" spans="1:8" ht="33">
      <c r="A974" s="160">
        <v>9</v>
      </c>
      <c r="B974" s="160" t="s">
        <v>931</v>
      </c>
      <c r="C974" s="157" t="s">
        <v>14</v>
      </c>
      <c r="D974" s="159">
        <v>1</v>
      </c>
      <c r="E974" s="159">
        <v>2004.97</v>
      </c>
      <c r="F974" s="159">
        <v>2004.97</v>
      </c>
      <c r="G974" s="160" t="s">
        <v>932</v>
      </c>
      <c r="H974" s="34" t="s">
        <v>925</v>
      </c>
    </row>
    <row r="975" spans="1:8" ht="33">
      <c r="A975" s="160"/>
      <c r="B975" s="160" t="s">
        <v>933</v>
      </c>
      <c r="C975" s="157" t="s">
        <v>3</v>
      </c>
      <c r="D975" s="159">
        <v>100</v>
      </c>
      <c r="E975" s="159"/>
      <c r="F975" s="159">
        <v>68837.3</v>
      </c>
      <c r="G975" s="160"/>
      <c r="H975" s="34" t="s">
        <v>925</v>
      </c>
    </row>
    <row r="976" spans="1:8" ht="33">
      <c r="A976" s="160"/>
      <c r="B976" s="160" t="s">
        <v>934</v>
      </c>
      <c r="C976" s="157" t="s">
        <v>3</v>
      </c>
      <c r="D976" s="159"/>
      <c r="E976" s="159"/>
      <c r="F976" s="159">
        <v>688.37</v>
      </c>
      <c r="G976" s="160"/>
      <c r="H976" s="34" t="s">
        <v>925</v>
      </c>
    </row>
    <row r="977" spans="1:8" ht="33">
      <c r="A977" s="160"/>
      <c r="B977" s="160"/>
      <c r="C977" s="157"/>
      <c r="D977" s="159"/>
      <c r="E977" s="159"/>
      <c r="F977" s="159"/>
      <c r="G977" s="160"/>
      <c r="H977" s="34" t="s">
        <v>925</v>
      </c>
    </row>
    <row r="978" spans="1:8" ht="28.5">
      <c r="A978" s="160" t="s">
        <v>1424</v>
      </c>
      <c r="B978" s="160" t="s">
        <v>4531</v>
      </c>
      <c r="C978" s="157" t="s">
        <v>3</v>
      </c>
      <c r="D978" s="159">
        <v>100</v>
      </c>
      <c r="E978" s="159">
        <v>1094.06</v>
      </c>
      <c r="F978" s="159"/>
      <c r="G978" s="160" t="s">
        <v>4929</v>
      </c>
    </row>
    <row r="979" spans="1:8" ht="33">
      <c r="A979" s="160">
        <v>1</v>
      </c>
      <c r="B979" s="160" t="s">
        <v>1335</v>
      </c>
      <c r="C979" s="157" t="s">
        <v>0</v>
      </c>
      <c r="D979" s="159">
        <v>0.23</v>
      </c>
      <c r="E979" s="159">
        <v>21518.32</v>
      </c>
      <c r="F979" s="159">
        <v>4949.21</v>
      </c>
      <c r="G979" s="160" t="s">
        <v>4926</v>
      </c>
      <c r="H979" s="34" t="s">
        <v>925</v>
      </c>
    </row>
    <row r="980" spans="1:8" ht="33">
      <c r="A980" s="160">
        <v>2</v>
      </c>
      <c r="B980" s="160" t="s">
        <v>1336</v>
      </c>
      <c r="C980" s="157" t="s">
        <v>0</v>
      </c>
      <c r="D980" s="159">
        <v>0.13</v>
      </c>
      <c r="E980" s="159">
        <v>22913.03</v>
      </c>
      <c r="F980" s="159">
        <v>2978.69</v>
      </c>
      <c r="G980" s="160" t="s">
        <v>1337</v>
      </c>
      <c r="H980" s="34" t="s">
        <v>925</v>
      </c>
    </row>
    <row r="981" spans="1:8" ht="33">
      <c r="A981" s="160">
        <v>3</v>
      </c>
      <c r="B981" s="160" t="s">
        <v>1338</v>
      </c>
      <c r="C981" s="157" t="s">
        <v>3</v>
      </c>
      <c r="D981" s="159">
        <v>33.299999999999997</v>
      </c>
      <c r="E981" s="159">
        <v>83.68</v>
      </c>
      <c r="F981" s="159">
        <v>2786.54</v>
      </c>
      <c r="G981" s="160" t="s">
        <v>1339</v>
      </c>
      <c r="H981" s="34" t="s">
        <v>925</v>
      </c>
    </row>
    <row r="982" spans="1:8" ht="33">
      <c r="A982" s="160">
        <v>4</v>
      </c>
      <c r="B982" s="160" t="s">
        <v>1354</v>
      </c>
      <c r="C982" s="157" t="s">
        <v>14</v>
      </c>
      <c r="D982" s="159">
        <v>1</v>
      </c>
      <c r="E982" s="159">
        <v>1394.71</v>
      </c>
      <c r="F982" s="159">
        <v>1394.71</v>
      </c>
      <c r="G982" s="160" t="s">
        <v>1355</v>
      </c>
      <c r="H982" s="34" t="s">
        <v>925</v>
      </c>
    </row>
    <row r="983" spans="1:8" ht="42.75">
      <c r="A983" s="160">
        <v>5</v>
      </c>
      <c r="B983" s="160" t="s">
        <v>4930</v>
      </c>
      <c r="C983" s="157" t="s">
        <v>927</v>
      </c>
      <c r="D983" s="159">
        <v>82.8</v>
      </c>
      <c r="E983" s="159">
        <v>816.9</v>
      </c>
      <c r="F983" s="159">
        <v>67639.320000000007</v>
      </c>
      <c r="G983" s="160" t="s">
        <v>4931</v>
      </c>
      <c r="H983" s="34" t="s">
        <v>925</v>
      </c>
    </row>
    <row r="984" spans="1:8" ht="42.75">
      <c r="A984" s="160">
        <v>6</v>
      </c>
      <c r="B984" s="160" t="s">
        <v>4874</v>
      </c>
      <c r="C984" s="157" t="s">
        <v>927</v>
      </c>
      <c r="D984" s="159">
        <v>46</v>
      </c>
      <c r="E984" s="159">
        <v>559.87</v>
      </c>
      <c r="F984" s="159">
        <v>25754.02</v>
      </c>
      <c r="G984" s="160" t="s">
        <v>4875</v>
      </c>
      <c r="H984" s="34" t="s">
        <v>925</v>
      </c>
    </row>
    <row r="985" spans="1:8" ht="33">
      <c r="A985" s="160">
        <v>7</v>
      </c>
      <c r="B985" s="160" t="s">
        <v>1342</v>
      </c>
      <c r="C985" s="157" t="s">
        <v>18</v>
      </c>
      <c r="D985" s="159">
        <v>10</v>
      </c>
      <c r="E985" s="159">
        <v>35.86</v>
      </c>
      <c r="F985" s="159">
        <v>358.6</v>
      </c>
      <c r="G985" s="160" t="s">
        <v>1343</v>
      </c>
      <c r="H985" s="34" t="s">
        <v>925</v>
      </c>
    </row>
    <row r="986" spans="1:8" ht="33">
      <c r="A986" s="160">
        <v>8</v>
      </c>
      <c r="B986" s="160" t="s">
        <v>1344</v>
      </c>
      <c r="C986" s="157" t="s">
        <v>18</v>
      </c>
      <c r="D986" s="159">
        <v>10</v>
      </c>
      <c r="E986" s="159">
        <v>35.86</v>
      </c>
      <c r="F986" s="159">
        <v>358.6</v>
      </c>
      <c r="G986" s="160" t="s">
        <v>1345</v>
      </c>
      <c r="H986" s="34" t="s">
        <v>925</v>
      </c>
    </row>
    <row r="987" spans="1:8" ht="28.5">
      <c r="A987" s="160">
        <v>9</v>
      </c>
      <c r="B987" s="160" t="s">
        <v>931</v>
      </c>
      <c r="C987" s="157" t="s">
        <v>14</v>
      </c>
      <c r="D987" s="159">
        <v>1</v>
      </c>
      <c r="E987" s="159">
        <v>3186.59</v>
      </c>
      <c r="F987" s="159">
        <v>3186.59</v>
      </c>
      <c r="G987" s="160" t="s">
        <v>932</v>
      </c>
    </row>
    <row r="988" spans="1:8" ht="33">
      <c r="A988" s="160"/>
      <c r="B988" s="160" t="s">
        <v>933</v>
      </c>
      <c r="C988" s="157" t="s">
        <v>3</v>
      </c>
      <c r="D988" s="159">
        <v>100</v>
      </c>
      <c r="E988" s="159"/>
      <c r="F988" s="159">
        <v>109406.28000000001</v>
      </c>
      <c r="G988" s="160"/>
      <c r="H988" s="34" t="s">
        <v>925</v>
      </c>
    </row>
    <row r="989" spans="1:8" ht="33">
      <c r="A989" s="160"/>
      <c r="B989" s="160" t="s">
        <v>934</v>
      </c>
      <c r="C989" s="157" t="s">
        <v>3</v>
      </c>
      <c r="D989" s="159"/>
      <c r="E989" s="159"/>
      <c r="F989" s="159">
        <v>1094.06</v>
      </c>
      <c r="G989" s="160"/>
      <c r="H989" s="34" t="s">
        <v>925</v>
      </c>
    </row>
    <row r="990" spans="1:8" ht="33">
      <c r="A990" s="160"/>
      <c r="B990" s="160"/>
      <c r="C990" s="157"/>
      <c r="D990" s="159"/>
      <c r="E990" s="159"/>
      <c r="F990" s="159"/>
      <c r="G990" s="160"/>
      <c r="H990" s="34" t="s">
        <v>925</v>
      </c>
    </row>
    <row r="991" spans="1:8" ht="42.75">
      <c r="A991" s="160" t="s">
        <v>1429</v>
      </c>
      <c r="B991" s="160" t="s">
        <v>1357</v>
      </c>
      <c r="C991" s="157" t="s">
        <v>3</v>
      </c>
      <c r="D991" s="159">
        <v>10</v>
      </c>
      <c r="E991" s="159">
        <v>655.4</v>
      </c>
      <c r="F991" s="159"/>
      <c r="G991" s="160" t="s">
        <v>1358</v>
      </c>
      <c r="H991" s="34" t="s">
        <v>925</v>
      </c>
    </row>
    <row r="992" spans="1:8" ht="33">
      <c r="A992" s="160">
        <v>1</v>
      </c>
      <c r="B992" s="160" t="s">
        <v>1335</v>
      </c>
      <c r="C992" s="157" t="s">
        <v>0</v>
      </c>
      <c r="D992" s="159">
        <v>0.03</v>
      </c>
      <c r="E992" s="159">
        <v>21518.32</v>
      </c>
      <c r="F992" s="159">
        <v>645.54999999999995</v>
      </c>
      <c r="G992" s="160" t="s">
        <v>4926</v>
      </c>
      <c r="H992" s="34" t="s">
        <v>925</v>
      </c>
    </row>
    <row r="993" spans="1:8" ht="33">
      <c r="A993" s="160">
        <v>2</v>
      </c>
      <c r="B993" s="160" t="s">
        <v>1336</v>
      </c>
      <c r="C993" s="157" t="s">
        <v>0</v>
      </c>
      <c r="D993" s="159">
        <v>0.02</v>
      </c>
      <c r="E993" s="159">
        <v>22913.03</v>
      </c>
      <c r="F993" s="159">
        <v>458.26</v>
      </c>
      <c r="G993" s="160" t="s">
        <v>1337</v>
      </c>
      <c r="H993" s="34" t="s">
        <v>925</v>
      </c>
    </row>
    <row r="994" spans="1:8" ht="33">
      <c r="A994" s="160">
        <v>3</v>
      </c>
      <c r="B994" s="160" t="s">
        <v>1349</v>
      </c>
      <c r="C994" s="157" t="s">
        <v>14</v>
      </c>
      <c r="D994" s="159">
        <v>1</v>
      </c>
      <c r="E994" s="159">
        <v>231.12</v>
      </c>
      <c r="F994" s="159">
        <v>231.12</v>
      </c>
      <c r="G994" s="160" t="s">
        <v>1350</v>
      </c>
      <c r="H994" s="34" t="s">
        <v>925</v>
      </c>
    </row>
    <row r="995" spans="1:8" ht="42.75">
      <c r="A995" s="160">
        <v>4</v>
      </c>
      <c r="B995" s="160" t="s">
        <v>4927</v>
      </c>
      <c r="C995" s="157" t="s">
        <v>927</v>
      </c>
      <c r="D995" s="159">
        <v>7.2</v>
      </c>
      <c r="E995" s="159">
        <v>408.45</v>
      </c>
      <c r="F995" s="159">
        <v>2940.84</v>
      </c>
      <c r="G995" s="160" t="s">
        <v>4928</v>
      </c>
      <c r="H995" s="34" t="s">
        <v>925</v>
      </c>
    </row>
    <row r="996" spans="1:8" ht="28.5">
      <c r="A996" s="160">
        <v>5</v>
      </c>
      <c r="B996" s="160" t="s">
        <v>4871</v>
      </c>
      <c r="C996" s="157" t="s">
        <v>927</v>
      </c>
      <c r="D996" s="159">
        <v>7.2</v>
      </c>
      <c r="E996" s="159">
        <v>279.94</v>
      </c>
      <c r="F996" s="159">
        <v>2015.57</v>
      </c>
      <c r="G996" s="160" t="s">
        <v>4876</v>
      </c>
    </row>
    <row r="997" spans="1:8" ht="33">
      <c r="A997" s="160">
        <v>6</v>
      </c>
      <c r="B997" s="160" t="s">
        <v>1342</v>
      </c>
      <c r="C997" s="157" t="s">
        <v>18</v>
      </c>
      <c r="D997" s="159">
        <v>1</v>
      </c>
      <c r="E997" s="159">
        <v>35.86</v>
      </c>
      <c r="F997" s="159">
        <v>35.86</v>
      </c>
      <c r="G997" s="160" t="s">
        <v>1343</v>
      </c>
      <c r="H997" s="34" t="s">
        <v>925</v>
      </c>
    </row>
    <row r="998" spans="1:8" ht="33">
      <c r="A998" s="160">
        <v>7</v>
      </c>
      <c r="B998" s="160" t="s">
        <v>1344</v>
      </c>
      <c r="C998" s="157" t="s">
        <v>18</v>
      </c>
      <c r="D998" s="159">
        <v>1</v>
      </c>
      <c r="E998" s="159">
        <v>35.86</v>
      </c>
      <c r="F998" s="159">
        <v>35.86</v>
      </c>
      <c r="G998" s="160" t="s">
        <v>1345</v>
      </c>
      <c r="H998" s="34" t="s">
        <v>925</v>
      </c>
    </row>
    <row r="999" spans="1:8" ht="33">
      <c r="A999" s="160">
        <v>8</v>
      </c>
      <c r="B999" s="160" t="s">
        <v>931</v>
      </c>
      <c r="C999" s="157" t="s">
        <v>14</v>
      </c>
      <c r="D999" s="159">
        <v>1</v>
      </c>
      <c r="E999" s="159">
        <v>190.89</v>
      </c>
      <c r="F999" s="159">
        <v>190.89</v>
      </c>
      <c r="G999" s="160" t="s">
        <v>932</v>
      </c>
      <c r="H999" s="34" t="s">
        <v>925</v>
      </c>
    </row>
    <row r="1000" spans="1:8" ht="33">
      <c r="A1000" s="160"/>
      <c r="B1000" s="160" t="s">
        <v>933</v>
      </c>
      <c r="C1000" s="157" t="s">
        <v>3</v>
      </c>
      <c r="D1000" s="159">
        <v>10</v>
      </c>
      <c r="E1000" s="159"/>
      <c r="F1000" s="159">
        <v>6553.95</v>
      </c>
      <c r="G1000" s="160"/>
      <c r="H1000" s="34" t="s">
        <v>925</v>
      </c>
    </row>
    <row r="1001" spans="1:8" ht="33">
      <c r="A1001" s="160"/>
      <c r="B1001" s="160" t="s">
        <v>934</v>
      </c>
      <c r="C1001" s="157" t="s">
        <v>3</v>
      </c>
      <c r="D1001" s="159"/>
      <c r="E1001" s="159"/>
      <c r="F1001" s="159">
        <v>655.4</v>
      </c>
      <c r="G1001" s="160"/>
      <c r="H1001" s="34" t="s">
        <v>925</v>
      </c>
    </row>
    <row r="1002" spans="1:8" ht="33">
      <c r="A1002" s="160"/>
      <c r="B1002" s="160"/>
      <c r="C1002" s="157"/>
      <c r="D1002" s="159"/>
      <c r="E1002" s="159"/>
      <c r="F1002" s="159"/>
      <c r="G1002" s="160"/>
      <c r="H1002" s="34" t="s">
        <v>925</v>
      </c>
    </row>
    <row r="1003" spans="1:8" ht="85.5">
      <c r="A1003" s="160" t="s">
        <v>1430</v>
      </c>
      <c r="B1003" s="160" t="s">
        <v>1392</v>
      </c>
      <c r="C1003" s="157" t="s">
        <v>3</v>
      </c>
      <c r="D1003" s="159">
        <v>10</v>
      </c>
      <c r="E1003" s="159">
        <v>824.15</v>
      </c>
      <c r="F1003" s="159"/>
      <c r="G1003" s="160" t="s">
        <v>1393</v>
      </c>
      <c r="H1003" s="34" t="s">
        <v>925</v>
      </c>
    </row>
    <row r="1004" spans="1:8" ht="33">
      <c r="A1004" s="160">
        <v>1</v>
      </c>
      <c r="B1004" s="160" t="s">
        <v>1335</v>
      </c>
      <c r="C1004" s="157" t="s">
        <v>0</v>
      </c>
      <c r="D1004" s="159">
        <v>0.03</v>
      </c>
      <c r="E1004" s="159">
        <v>21518.32</v>
      </c>
      <c r="F1004" s="159">
        <v>645.54999999999995</v>
      </c>
      <c r="G1004" s="160" t="s">
        <v>4926</v>
      </c>
      <c r="H1004" s="34" t="s">
        <v>925</v>
      </c>
    </row>
    <row r="1005" spans="1:8" ht="28.5">
      <c r="A1005" s="160">
        <v>2</v>
      </c>
      <c r="B1005" s="160" t="s">
        <v>1336</v>
      </c>
      <c r="C1005" s="157" t="s">
        <v>0</v>
      </c>
      <c r="D1005" s="159">
        <v>0.02</v>
      </c>
      <c r="E1005" s="159">
        <v>22913.03</v>
      </c>
      <c r="F1005" s="159">
        <v>458.26</v>
      </c>
      <c r="G1005" s="160" t="s">
        <v>1337</v>
      </c>
    </row>
    <row r="1006" spans="1:8" ht="33">
      <c r="A1006" s="160">
        <v>3</v>
      </c>
      <c r="B1006" s="160" t="s">
        <v>1349</v>
      </c>
      <c r="C1006" s="157" t="s">
        <v>14</v>
      </c>
      <c r="D1006" s="159">
        <v>1</v>
      </c>
      <c r="E1006" s="159">
        <v>231.12</v>
      </c>
      <c r="F1006" s="159">
        <v>231.12</v>
      </c>
      <c r="G1006" s="160" t="s">
        <v>1350</v>
      </c>
      <c r="H1006" s="34" t="s">
        <v>925</v>
      </c>
    </row>
    <row r="1007" spans="1:8" ht="42.75">
      <c r="A1007" s="160">
        <v>4</v>
      </c>
      <c r="B1007" s="160" t="s">
        <v>4927</v>
      </c>
      <c r="C1007" s="157" t="s">
        <v>927</v>
      </c>
      <c r="D1007" s="159">
        <v>9.58</v>
      </c>
      <c r="E1007" s="159">
        <v>408.45</v>
      </c>
      <c r="F1007" s="159">
        <v>3912.95</v>
      </c>
      <c r="G1007" s="160" t="s">
        <v>4928</v>
      </c>
      <c r="H1007" s="34" t="s">
        <v>925</v>
      </c>
    </row>
    <row r="1008" spans="1:8" ht="33">
      <c r="A1008" s="160">
        <v>5</v>
      </c>
      <c r="B1008" s="160" t="s">
        <v>4871</v>
      </c>
      <c r="C1008" s="157" t="s">
        <v>927</v>
      </c>
      <c r="D1008" s="159">
        <v>9.58</v>
      </c>
      <c r="E1008" s="159">
        <v>279.94</v>
      </c>
      <c r="F1008" s="159">
        <v>2681.83</v>
      </c>
      <c r="G1008" s="160" t="s">
        <v>4872</v>
      </c>
      <c r="H1008" s="34" t="s">
        <v>925</v>
      </c>
    </row>
    <row r="1009" spans="1:8" ht="33">
      <c r="A1009" s="160">
        <v>6</v>
      </c>
      <c r="B1009" s="160" t="s">
        <v>1342</v>
      </c>
      <c r="C1009" s="157" t="s">
        <v>18</v>
      </c>
      <c r="D1009" s="159">
        <v>1</v>
      </c>
      <c r="E1009" s="159">
        <v>35.86</v>
      </c>
      <c r="F1009" s="159">
        <v>35.86</v>
      </c>
      <c r="G1009" s="160" t="s">
        <v>1343</v>
      </c>
      <c r="H1009" s="34" t="s">
        <v>925</v>
      </c>
    </row>
    <row r="1010" spans="1:8" ht="33">
      <c r="A1010" s="160">
        <v>7</v>
      </c>
      <c r="B1010" s="160" t="s">
        <v>1344</v>
      </c>
      <c r="C1010" s="157" t="s">
        <v>18</v>
      </c>
      <c r="D1010" s="159">
        <v>1</v>
      </c>
      <c r="E1010" s="159">
        <v>35.86</v>
      </c>
      <c r="F1010" s="159">
        <v>35.86</v>
      </c>
      <c r="G1010" s="160" t="s">
        <v>1345</v>
      </c>
      <c r="H1010" s="34" t="s">
        <v>925</v>
      </c>
    </row>
    <row r="1011" spans="1:8" ht="33">
      <c r="A1011" s="160">
        <v>8</v>
      </c>
      <c r="B1011" s="160" t="s">
        <v>931</v>
      </c>
      <c r="C1011" s="157" t="s">
        <v>14</v>
      </c>
      <c r="D1011" s="159">
        <v>1</v>
      </c>
      <c r="E1011" s="159">
        <v>240.04</v>
      </c>
      <c r="F1011" s="159">
        <v>240.04</v>
      </c>
      <c r="G1011" s="160" t="s">
        <v>932</v>
      </c>
      <c r="H1011" s="34" t="s">
        <v>925</v>
      </c>
    </row>
    <row r="1012" spans="1:8" ht="33">
      <c r="A1012" s="160"/>
      <c r="B1012" s="160" t="s">
        <v>933</v>
      </c>
      <c r="C1012" s="157" t="s">
        <v>3</v>
      </c>
      <c r="D1012" s="159">
        <v>10</v>
      </c>
      <c r="E1012" s="159"/>
      <c r="F1012" s="159">
        <v>8241.4699999999993</v>
      </c>
      <c r="G1012" s="160"/>
      <c r="H1012" s="34" t="s">
        <v>925</v>
      </c>
    </row>
    <row r="1013" spans="1:8" ht="33">
      <c r="A1013" s="160"/>
      <c r="B1013" s="160" t="s">
        <v>934</v>
      </c>
      <c r="C1013" s="157" t="s">
        <v>3</v>
      </c>
      <c r="D1013" s="159"/>
      <c r="E1013" s="159"/>
      <c r="F1013" s="159">
        <v>824.15</v>
      </c>
      <c r="G1013" s="160"/>
      <c r="H1013" s="34" t="s">
        <v>925</v>
      </c>
    </row>
    <row r="1014" spans="1:8" ht="16.5">
      <c r="A1014" s="160"/>
      <c r="B1014" s="160"/>
      <c r="C1014" s="157"/>
      <c r="D1014" s="159"/>
      <c r="E1014" s="159"/>
      <c r="F1014" s="159"/>
      <c r="G1014" s="160"/>
    </row>
    <row r="1015" spans="1:8" ht="42.75">
      <c r="A1015" s="160" t="s">
        <v>1432</v>
      </c>
      <c r="B1015" s="160" t="s">
        <v>1360</v>
      </c>
      <c r="C1015" s="157" t="s">
        <v>3</v>
      </c>
      <c r="D1015" s="159">
        <v>10</v>
      </c>
      <c r="E1015" s="159">
        <v>417.54</v>
      </c>
      <c r="F1015" s="159"/>
      <c r="G1015" s="160" t="s">
        <v>1361</v>
      </c>
      <c r="H1015" s="34" t="s">
        <v>925</v>
      </c>
    </row>
    <row r="1016" spans="1:8" ht="33">
      <c r="A1016" s="160">
        <v>1</v>
      </c>
      <c r="B1016" s="160" t="s">
        <v>1335</v>
      </c>
      <c r="C1016" s="157" t="s">
        <v>0</v>
      </c>
      <c r="D1016" s="159">
        <v>0.02</v>
      </c>
      <c r="E1016" s="159">
        <v>21518.32</v>
      </c>
      <c r="F1016" s="159">
        <v>430.37</v>
      </c>
      <c r="G1016" s="160" t="s">
        <v>4926</v>
      </c>
      <c r="H1016" s="34" t="s">
        <v>925</v>
      </c>
    </row>
    <row r="1017" spans="1:8" ht="33">
      <c r="A1017" s="160">
        <v>2</v>
      </c>
      <c r="B1017" s="160" t="s">
        <v>1336</v>
      </c>
      <c r="C1017" s="157" t="s">
        <v>0</v>
      </c>
      <c r="D1017" s="159">
        <v>0.01</v>
      </c>
      <c r="E1017" s="159">
        <v>22913.03</v>
      </c>
      <c r="F1017" s="159">
        <v>229.13</v>
      </c>
      <c r="G1017" s="160" t="s">
        <v>1337</v>
      </c>
      <c r="H1017" s="34" t="s">
        <v>925</v>
      </c>
    </row>
    <row r="1018" spans="1:8" ht="33">
      <c r="A1018" s="160">
        <v>3</v>
      </c>
      <c r="B1018" s="160" t="s">
        <v>1354</v>
      </c>
      <c r="C1018" s="157" t="s">
        <v>14</v>
      </c>
      <c r="D1018" s="159">
        <v>1</v>
      </c>
      <c r="E1018" s="159">
        <v>139.47</v>
      </c>
      <c r="F1018" s="159">
        <v>139.47</v>
      </c>
      <c r="G1018" s="160" t="s">
        <v>1355</v>
      </c>
      <c r="H1018" s="34" t="s">
        <v>925</v>
      </c>
    </row>
    <row r="1019" spans="1:8" ht="42.75">
      <c r="A1019" s="160">
        <v>4</v>
      </c>
      <c r="B1019" s="160" t="s">
        <v>4927</v>
      </c>
      <c r="C1019" s="157" t="s">
        <v>927</v>
      </c>
      <c r="D1019" s="159">
        <v>5.6</v>
      </c>
      <c r="E1019" s="159">
        <v>408.45</v>
      </c>
      <c r="F1019" s="159">
        <v>2287.3200000000002</v>
      </c>
      <c r="G1019" s="160" t="s">
        <v>4928</v>
      </c>
      <c r="H1019" s="34" t="s">
        <v>925</v>
      </c>
    </row>
    <row r="1020" spans="1:8" ht="33">
      <c r="A1020" s="160">
        <v>5</v>
      </c>
      <c r="B1020" s="160" t="s">
        <v>4871</v>
      </c>
      <c r="C1020" s="157" t="s">
        <v>927</v>
      </c>
      <c r="D1020" s="159">
        <v>3.2</v>
      </c>
      <c r="E1020" s="159">
        <v>279.94</v>
      </c>
      <c r="F1020" s="159">
        <v>895.81</v>
      </c>
      <c r="G1020" s="160" t="s">
        <v>4876</v>
      </c>
      <c r="H1020" s="34" t="s">
        <v>925</v>
      </c>
    </row>
    <row r="1021" spans="1:8" ht="33">
      <c r="A1021" s="160">
        <v>6</v>
      </c>
      <c r="B1021" s="160" t="s">
        <v>1342</v>
      </c>
      <c r="C1021" s="157" t="s">
        <v>18</v>
      </c>
      <c r="D1021" s="159">
        <v>1</v>
      </c>
      <c r="E1021" s="159">
        <v>35.86</v>
      </c>
      <c r="F1021" s="159">
        <v>35.86</v>
      </c>
      <c r="G1021" s="160" t="s">
        <v>1343</v>
      </c>
      <c r="H1021" s="34" t="s">
        <v>925</v>
      </c>
    </row>
    <row r="1022" spans="1:8" ht="33">
      <c r="A1022" s="160">
        <v>7</v>
      </c>
      <c r="B1022" s="160" t="s">
        <v>1344</v>
      </c>
      <c r="C1022" s="157" t="s">
        <v>18</v>
      </c>
      <c r="D1022" s="159">
        <v>1</v>
      </c>
      <c r="E1022" s="159">
        <v>35.86</v>
      </c>
      <c r="F1022" s="159">
        <v>35.86</v>
      </c>
      <c r="G1022" s="160" t="s">
        <v>1345</v>
      </c>
      <c r="H1022" s="34" t="s">
        <v>925</v>
      </c>
    </row>
    <row r="1023" spans="1:8" ht="28.5">
      <c r="A1023" s="160">
        <v>8</v>
      </c>
      <c r="B1023" s="160" t="s">
        <v>931</v>
      </c>
      <c r="C1023" s="157" t="s">
        <v>14</v>
      </c>
      <c r="D1023" s="159">
        <v>1</v>
      </c>
      <c r="E1023" s="159">
        <v>121.61</v>
      </c>
      <c r="F1023" s="159">
        <v>121.61</v>
      </c>
      <c r="G1023" s="160" t="s">
        <v>932</v>
      </c>
    </row>
    <row r="1024" spans="1:8" ht="33">
      <c r="A1024" s="160"/>
      <c r="B1024" s="160" t="s">
        <v>933</v>
      </c>
      <c r="C1024" s="157" t="s">
        <v>3</v>
      </c>
      <c r="D1024" s="159">
        <v>10</v>
      </c>
      <c r="E1024" s="159"/>
      <c r="F1024" s="159">
        <v>4175.43</v>
      </c>
      <c r="G1024" s="160"/>
      <c r="H1024" s="34" t="s">
        <v>925</v>
      </c>
    </row>
    <row r="1025" spans="1:8" ht="33">
      <c r="A1025" s="160"/>
      <c r="B1025" s="160" t="s">
        <v>934</v>
      </c>
      <c r="C1025" s="157" t="s">
        <v>3</v>
      </c>
      <c r="D1025" s="159"/>
      <c r="E1025" s="159"/>
      <c r="F1025" s="159">
        <v>417.54</v>
      </c>
      <c r="G1025" s="160"/>
      <c r="H1025" s="34" t="s">
        <v>925</v>
      </c>
    </row>
    <row r="1026" spans="1:8" ht="33">
      <c r="A1026" s="160"/>
      <c r="B1026" s="160"/>
      <c r="C1026" s="157"/>
      <c r="D1026" s="159"/>
      <c r="E1026" s="159"/>
      <c r="F1026" s="159"/>
      <c r="G1026" s="160"/>
      <c r="H1026" s="34" t="s">
        <v>925</v>
      </c>
    </row>
    <row r="1027" spans="1:8" ht="71.25">
      <c r="A1027" s="160" t="s">
        <v>1434</v>
      </c>
      <c r="B1027" s="160" t="s">
        <v>1395</v>
      </c>
      <c r="C1027" s="157" t="s">
        <v>3</v>
      </c>
      <c r="D1027" s="159">
        <v>10</v>
      </c>
      <c r="E1027" s="159">
        <v>525.94000000000005</v>
      </c>
      <c r="F1027" s="159"/>
      <c r="G1027" s="160" t="s">
        <v>1396</v>
      </c>
      <c r="H1027" s="34" t="s">
        <v>925</v>
      </c>
    </row>
    <row r="1028" spans="1:8" ht="33">
      <c r="A1028" s="160">
        <v>1</v>
      </c>
      <c r="B1028" s="160" t="s">
        <v>1335</v>
      </c>
      <c r="C1028" s="157" t="s">
        <v>0</v>
      </c>
      <c r="D1028" s="159">
        <v>0.02</v>
      </c>
      <c r="E1028" s="159">
        <v>21518.32</v>
      </c>
      <c r="F1028" s="159">
        <v>430.37</v>
      </c>
      <c r="G1028" s="160" t="s">
        <v>4926</v>
      </c>
      <c r="H1028" s="34" t="s">
        <v>925</v>
      </c>
    </row>
    <row r="1029" spans="1:8" ht="33">
      <c r="A1029" s="160">
        <v>2</v>
      </c>
      <c r="B1029" s="160" t="s">
        <v>1336</v>
      </c>
      <c r="C1029" s="157" t="s">
        <v>0</v>
      </c>
      <c r="D1029" s="159">
        <v>0.01</v>
      </c>
      <c r="E1029" s="159">
        <v>22913.03</v>
      </c>
      <c r="F1029" s="159">
        <v>229.13</v>
      </c>
      <c r="G1029" s="160" t="s">
        <v>1337</v>
      </c>
      <c r="H1029" s="34" t="s">
        <v>925</v>
      </c>
    </row>
    <row r="1030" spans="1:8" ht="33">
      <c r="A1030" s="160">
        <v>3</v>
      </c>
      <c r="B1030" s="160" t="s">
        <v>1354</v>
      </c>
      <c r="C1030" s="157" t="s">
        <v>14</v>
      </c>
      <c r="D1030" s="159">
        <v>1</v>
      </c>
      <c r="E1030" s="159">
        <v>139.47</v>
      </c>
      <c r="F1030" s="159">
        <v>139.47</v>
      </c>
      <c r="G1030" s="160" t="s">
        <v>1355</v>
      </c>
      <c r="H1030" s="34" t="s">
        <v>925</v>
      </c>
    </row>
    <row r="1031" spans="1:8" ht="42.75">
      <c r="A1031" s="160">
        <v>4</v>
      </c>
      <c r="B1031" s="160" t="s">
        <v>4927</v>
      </c>
      <c r="C1031" s="157" t="s">
        <v>927</v>
      </c>
      <c r="D1031" s="159">
        <v>7.45</v>
      </c>
      <c r="E1031" s="159">
        <v>408.45</v>
      </c>
      <c r="F1031" s="159">
        <v>3042.95</v>
      </c>
      <c r="G1031" s="160" t="s">
        <v>4928</v>
      </c>
      <c r="H1031" s="34" t="s">
        <v>925</v>
      </c>
    </row>
    <row r="1032" spans="1:8" ht="28.5">
      <c r="A1032" s="160">
        <v>5</v>
      </c>
      <c r="B1032" s="160" t="s">
        <v>4871</v>
      </c>
      <c r="C1032" s="157" t="s">
        <v>927</v>
      </c>
      <c r="D1032" s="159">
        <v>4.26</v>
      </c>
      <c r="E1032" s="159">
        <v>279.94</v>
      </c>
      <c r="F1032" s="159">
        <v>1192.54</v>
      </c>
      <c r="G1032" s="160" t="s">
        <v>4872</v>
      </c>
    </row>
    <row r="1033" spans="1:8" ht="33">
      <c r="A1033" s="160">
        <v>6</v>
      </c>
      <c r="B1033" s="160" t="s">
        <v>1342</v>
      </c>
      <c r="C1033" s="157" t="s">
        <v>18</v>
      </c>
      <c r="D1033" s="159">
        <v>1</v>
      </c>
      <c r="E1033" s="159">
        <v>35.86</v>
      </c>
      <c r="F1033" s="159">
        <v>35.86</v>
      </c>
      <c r="G1033" s="160" t="s">
        <v>1343</v>
      </c>
      <c r="H1033" s="34" t="s">
        <v>925</v>
      </c>
    </row>
    <row r="1034" spans="1:8" ht="33">
      <c r="A1034" s="160">
        <v>7</v>
      </c>
      <c r="B1034" s="160" t="s">
        <v>1344</v>
      </c>
      <c r="C1034" s="157" t="s">
        <v>18</v>
      </c>
      <c r="D1034" s="159">
        <v>1</v>
      </c>
      <c r="E1034" s="159">
        <v>35.86</v>
      </c>
      <c r="F1034" s="159">
        <v>35.86</v>
      </c>
      <c r="G1034" s="160" t="s">
        <v>1345</v>
      </c>
      <c r="H1034" s="34" t="s">
        <v>925</v>
      </c>
    </row>
    <row r="1035" spans="1:8" ht="33">
      <c r="A1035" s="160">
        <v>8</v>
      </c>
      <c r="B1035" s="160" t="s">
        <v>931</v>
      </c>
      <c r="C1035" s="157" t="s">
        <v>14</v>
      </c>
      <c r="D1035" s="159">
        <v>1</v>
      </c>
      <c r="E1035" s="159">
        <v>153.19</v>
      </c>
      <c r="F1035" s="159">
        <v>153.19</v>
      </c>
      <c r="G1035" s="160" t="s">
        <v>932</v>
      </c>
      <c r="H1035" s="34" t="s">
        <v>925</v>
      </c>
    </row>
    <row r="1036" spans="1:8" ht="33">
      <c r="A1036" s="160"/>
      <c r="B1036" s="160" t="s">
        <v>933</v>
      </c>
      <c r="C1036" s="157" t="s">
        <v>3</v>
      </c>
      <c r="D1036" s="159">
        <v>10</v>
      </c>
      <c r="E1036" s="159"/>
      <c r="F1036" s="159">
        <v>5259.369999999999</v>
      </c>
      <c r="G1036" s="160"/>
      <c r="H1036" s="34" t="s">
        <v>925</v>
      </c>
    </row>
    <row r="1037" spans="1:8" ht="33">
      <c r="A1037" s="160"/>
      <c r="B1037" s="160" t="s">
        <v>934</v>
      </c>
      <c r="C1037" s="157" t="s">
        <v>3</v>
      </c>
      <c r="D1037" s="159"/>
      <c r="E1037" s="159"/>
      <c r="F1037" s="159">
        <v>525.94000000000005</v>
      </c>
      <c r="G1037" s="160"/>
      <c r="H1037" s="34" t="s">
        <v>925</v>
      </c>
    </row>
    <row r="1038" spans="1:8" ht="33">
      <c r="A1038" s="160"/>
      <c r="B1038" s="160"/>
      <c r="C1038" s="157"/>
      <c r="D1038" s="159"/>
      <c r="E1038" s="159"/>
      <c r="F1038" s="159"/>
      <c r="G1038" s="160"/>
      <c r="H1038" s="34" t="s">
        <v>925</v>
      </c>
    </row>
    <row r="1039" spans="1:8" ht="42.75">
      <c r="A1039" s="160" t="s">
        <v>1436</v>
      </c>
      <c r="B1039" s="160" t="s">
        <v>4537</v>
      </c>
      <c r="C1039" s="157" t="s">
        <v>3</v>
      </c>
      <c r="D1039" s="159">
        <v>10</v>
      </c>
      <c r="E1039" s="159">
        <v>843.76</v>
      </c>
      <c r="F1039" s="159"/>
      <c r="G1039" s="160" t="s">
        <v>4932</v>
      </c>
      <c r="H1039" s="34" t="s">
        <v>925</v>
      </c>
    </row>
    <row r="1040" spans="1:8" ht="33">
      <c r="A1040" s="160">
        <v>1</v>
      </c>
      <c r="B1040" s="160" t="s">
        <v>1335</v>
      </c>
      <c r="C1040" s="157" t="s">
        <v>0</v>
      </c>
      <c r="D1040" s="159">
        <v>0.02</v>
      </c>
      <c r="E1040" s="159">
        <v>21518.32</v>
      </c>
      <c r="F1040" s="159">
        <v>430.37</v>
      </c>
      <c r="G1040" s="160" t="s">
        <v>4926</v>
      </c>
      <c r="H1040" s="34" t="s">
        <v>925</v>
      </c>
    </row>
    <row r="1041" spans="1:8" ht="28.5">
      <c r="A1041" s="160">
        <v>2</v>
      </c>
      <c r="B1041" s="160" t="s">
        <v>1336</v>
      </c>
      <c r="C1041" s="157" t="s">
        <v>0</v>
      </c>
      <c r="D1041" s="159">
        <v>0.01</v>
      </c>
      <c r="E1041" s="159">
        <v>22913.03</v>
      </c>
      <c r="F1041" s="159">
        <v>229.13</v>
      </c>
      <c r="G1041" s="160" t="s">
        <v>1337</v>
      </c>
    </row>
    <row r="1042" spans="1:8" ht="33">
      <c r="A1042" s="160">
        <v>3</v>
      </c>
      <c r="B1042" s="160" t="s">
        <v>1354</v>
      </c>
      <c r="C1042" s="157" t="s">
        <v>14</v>
      </c>
      <c r="D1042" s="159">
        <v>1</v>
      </c>
      <c r="E1042" s="159">
        <v>139.47</v>
      </c>
      <c r="F1042" s="159">
        <v>139.47</v>
      </c>
      <c r="G1042" s="160" t="s">
        <v>1355</v>
      </c>
      <c r="H1042" s="34" t="s">
        <v>925</v>
      </c>
    </row>
    <row r="1043" spans="1:8" ht="42.75">
      <c r="A1043" s="160">
        <v>4</v>
      </c>
      <c r="B1043" s="160" t="s">
        <v>4930</v>
      </c>
      <c r="C1043" s="157" t="s">
        <v>927</v>
      </c>
      <c r="D1043" s="159">
        <v>6.44</v>
      </c>
      <c r="E1043" s="159">
        <v>816.9</v>
      </c>
      <c r="F1043" s="159">
        <v>5260.84</v>
      </c>
      <c r="G1043" s="160" t="s">
        <v>4931</v>
      </c>
      <c r="H1043" s="34" t="s">
        <v>925</v>
      </c>
    </row>
    <row r="1044" spans="1:8" ht="42.75">
      <c r="A1044" s="160">
        <v>5</v>
      </c>
      <c r="B1044" s="160" t="s">
        <v>4874</v>
      </c>
      <c r="C1044" s="157" t="s">
        <v>927</v>
      </c>
      <c r="D1044" s="159">
        <v>3.68</v>
      </c>
      <c r="E1044" s="159">
        <v>559.87</v>
      </c>
      <c r="F1044" s="159">
        <v>2060.3200000000002</v>
      </c>
      <c r="G1044" s="160" t="s">
        <v>4875</v>
      </c>
      <c r="H1044" s="34" t="s">
        <v>925</v>
      </c>
    </row>
    <row r="1045" spans="1:8" ht="33">
      <c r="A1045" s="160">
        <v>6</v>
      </c>
      <c r="B1045" s="160" t="s">
        <v>1342</v>
      </c>
      <c r="C1045" s="157" t="s">
        <v>18</v>
      </c>
      <c r="D1045" s="159">
        <v>1</v>
      </c>
      <c r="E1045" s="159">
        <v>35.86</v>
      </c>
      <c r="F1045" s="159">
        <v>35.86</v>
      </c>
      <c r="G1045" s="160" t="s">
        <v>1343</v>
      </c>
      <c r="H1045" s="34" t="s">
        <v>925</v>
      </c>
    </row>
    <row r="1046" spans="1:8" ht="33">
      <c r="A1046" s="160">
        <v>7</v>
      </c>
      <c r="B1046" s="160" t="s">
        <v>1344</v>
      </c>
      <c r="C1046" s="157" t="s">
        <v>18</v>
      </c>
      <c r="D1046" s="159">
        <v>1</v>
      </c>
      <c r="E1046" s="159">
        <v>35.86</v>
      </c>
      <c r="F1046" s="159">
        <v>35.86</v>
      </c>
      <c r="G1046" s="160" t="s">
        <v>1345</v>
      </c>
      <c r="H1046" s="34" t="s">
        <v>925</v>
      </c>
    </row>
    <row r="1047" spans="1:8" ht="33">
      <c r="A1047" s="160">
        <v>8</v>
      </c>
      <c r="B1047" s="160" t="s">
        <v>931</v>
      </c>
      <c r="C1047" s="157" t="s">
        <v>14</v>
      </c>
      <c r="D1047" s="159">
        <v>1</v>
      </c>
      <c r="E1047" s="159">
        <v>245.76</v>
      </c>
      <c r="F1047" s="159">
        <v>245.76</v>
      </c>
      <c r="G1047" s="160" t="s">
        <v>932</v>
      </c>
      <c r="H1047" s="34" t="s">
        <v>925</v>
      </c>
    </row>
    <row r="1048" spans="1:8" ht="33">
      <c r="A1048" s="160"/>
      <c r="B1048" s="160" t="s">
        <v>933</v>
      </c>
      <c r="C1048" s="157" t="s">
        <v>3</v>
      </c>
      <c r="D1048" s="159">
        <v>10</v>
      </c>
      <c r="E1048" s="159"/>
      <c r="F1048" s="159">
        <v>8437.61</v>
      </c>
      <c r="G1048" s="160"/>
      <c r="H1048" s="34" t="s">
        <v>925</v>
      </c>
    </row>
    <row r="1049" spans="1:8" ht="33">
      <c r="A1049" s="160"/>
      <c r="B1049" s="160" t="s">
        <v>934</v>
      </c>
      <c r="C1049" s="157" t="s">
        <v>3</v>
      </c>
      <c r="D1049" s="159"/>
      <c r="E1049" s="159"/>
      <c r="F1049" s="159">
        <v>843.76</v>
      </c>
      <c r="G1049" s="160"/>
      <c r="H1049" s="34" t="s">
        <v>925</v>
      </c>
    </row>
    <row r="1050" spans="1:8" ht="16.5">
      <c r="A1050" s="160"/>
      <c r="B1050" s="160"/>
      <c r="C1050" s="157"/>
      <c r="D1050" s="159"/>
      <c r="E1050" s="159"/>
      <c r="F1050" s="159"/>
      <c r="G1050" s="160"/>
    </row>
    <row r="1051" spans="1:8" ht="33">
      <c r="A1051" s="160" t="s">
        <v>1447</v>
      </c>
      <c r="B1051" s="160" t="s">
        <v>404</v>
      </c>
      <c r="C1051" s="157" t="s">
        <v>17</v>
      </c>
      <c r="D1051" s="159">
        <v>10</v>
      </c>
      <c r="E1051" s="159">
        <v>638.77</v>
      </c>
      <c r="F1051" s="159"/>
      <c r="G1051" s="160" t="s">
        <v>1363</v>
      </c>
      <c r="H1051" s="34" t="s">
        <v>925</v>
      </c>
    </row>
    <row r="1052" spans="1:8" ht="33">
      <c r="A1052" s="160">
        <v>1</v>
      </c>
      <c r="B1052" s="160" t="s">
        <v>1364</v>
      </c>
      <c r="C1052" s="157" t="s">
        <v>3</v>
      </c>
      <c r="D1052" s="159">
        <v>0.25</v>
      </c>
      <c r="E1052" s="159">
        <v>2988.66</v>
      </c>
      <c r="F1052" s="159">
        <v>747.17</v>
      </c>
      <c r="G1052" s="160" t="s">
        <v>1365</v>
      </c>
      <c r="H1052" s="34" t="s">
        <v>925</v>
      </c>
    </row>
    <row r="1053" spans="1:8" ht="33">
      <c r="A1053" s="160">
        <v>2</v>
      </c>
      <c r="B1053" s="160" t="s">
        <v>1366</v>
      </c>
      <c r="C1053" s="157" t="s">
        <v>14</v>
      </c>
      <c r="D1053" s="159">
        <v>1</v>
      </c>
      <c r="E1053" s="159">
        <v>498.11</v>
      </c>
      <c r="F1053" s="159">
        <v>498.11</v>
      </c>
      <c r="G1053" s="160" t="s">
        <v>1367</v>
      </c>
      <c r="H1053" s="34" t="s">
        <v>925</v>
      </c>
    </row>
    <row r="1054" spans="1:8" ht="42.75">
      <c r="A1054" s="160">
        <v>3</v>
      </c>
      <c r="B1054" s="160" t="s">
        <v>4927</v>
      </c>
      <c r="C1054" s="157" t="s">
        <v>927</v>
      </c>
      <c r="D1054" s="159">
        <v>7.2</v>
      </c>
      <c r="E1054" s="159">
        <v>408.45</v>
      </c>
      <c r="F1054" s="159">
        <v>2940.84</v>
      </c>
      <c r="G1054" s="160" t="s">
        <v>4928</v>
      </c>
      <c r="H1054" s="34" t="s">
        <v>925</v>
      </c>
    </row>
    <row r="1055" spans="1:8" ht="33">
      <c r="A1055" s="160">
        <v>4</v>
      </c>
      <c r="B1055" s="160" t="s">
        <v>4871</v>
      </c>
      <c r="C1055" s="157" t="s">
        <v>927</v>
      </c>
      <c r="D1055" s="159">
        <v>7.2</v>
      </c>
      <c r="E1055" s="159">
        <v>279.94</v>
      </c>
      <c r="F1055" s="159">
        <v>2015.57</v>
      </c>
      <c r="G1055" s="160" t="s">
        <v>4872</v>
      </c>
      <c r="H1055" s="34" t="s">
        <v>925</v>
      </c>
    </row>
    <row r="1056" spans="1:8" ht="33">
      <c r="A1056" s="160">
        <v>5</v>
      </c>
      <c r="B1056" s="160" t="s">
        <v>931</v>
      </c>
      <c r="C1056" s="157" t="s">
        <v>14</v>
      </c>
      <c r="D1056" s="159">
        <v>1</v>
      </c>
      <c r="E1056" s="159">
        <v>186.05</v>
      </c>
      <c r="F1056" s="159">
        <v>186.05</v>
      </c>
      <c r="G1056" s="160" t="s">
        <v>932</v>
      </c>
      <c r="H1056" s="34" t="s">
        <v>925</v>
      </c>
    </row>
    <row r="1057" spans="1:8" ht="16.5">
      <c r="A1057" s="160"/>
      <c r="B1057" s="160" t="s">
        <v>933</v>
      </c>
      <c r="C1057" s="157" t="s">
        <v>17</v>
      </c>
      <c r="D1057" s="159">
        <v>10</v>
      </c>
      <c r="E1057" s="159"/>
      <c r="F1057" s="159">
        <v>6387.74</v>
      </c>
      <c r="G1057" s="160"/>
    </row>
    <row r="1058" spans="1:8" ht="33">
      <c r="A1058" s="160"/>
      <c r="B1058" s="160" t="s">
        <v>934</v>
      </c>
      <c r="C1058" s="157" t="s">
        <v>17</v>
      </c>
      <c r="D1058" s="159"/>
      <c r="E1058" s="159"/>
      <c r="F1058" s="159">
        <v>638.77</v>
      </c>
      <c r="G1058" s="160"/>
      <c r="H1058" s="34" t="s">
        <v>925</v>
      </c>
    </row>
    <row r="1059" spans="1:8" ht="33">
      <c r="A1059" s="160"/>
      <c r="B1059" s="160"/>
      <c r="C1059" s="157"/>
      <c r="D1059" s="159"/>
      <c r="E1059" s="159"/>
      <c r="F1059" s="159"/>
      <c r="G1059" s="160"/>
      <c r="H1059" s="34" t="s">
        <v>925</v>
      </c>
    </row>
    <row r="1060" spans="1:8" ht="33">
      <c r="A1060" s="160" t="s">
        <v>1454</v>
      </c>
      <c r="B1060" s="160" t="s">
        <v>1369</v>
      </c>
      <c r="C1060" s="157" t="s">
        <v>3</v>
      </c>
      <c r="D1060" s="159">
        <v>10</v>
      </c>
      <c r="E1060" s="159">
        <v>381.1</v>
      </c>
      <c r="F1060" s="159"/>
      <c r="G1060" s="160" t="s">
        <v>1370</v>
      </c>
      <c r="H1060" s="34" t="s">
        <v>925</v>
      </c>
    </row>
    <row r="1061" spans="1:8" ht="33">
      <c r="A1061" s="160">
        <v>1</v>
      </c>
      <c r="B1061" s="160" t="s">
        <v>1364</v>
      </c>
      <c r="C1061" s="157" t="s">
        <v>3</v>
      </c>
      <c r="D1061" s="159">
        <v>0.25</v>
      </c>
      <c r="E1061" s="159">
        <v>2988.66</v>
      </c>
      <c r="F1061" s="159">
        <v>747.17</v>
      </c>
      <c r="G1061" s="160" t="s">
        <v>1365</v>
      </c>
      <c r="H1061" s="34" t="s">
        <v>925</v>
      </c>
    </row>
    <row r="1062" spans="1:8" ht="33">
      <c r="A1062" s="160">
        <v>2</v>
      </c>
      <c r="B1062" s="160" t="s">
        <v>1366</v>
      </c>
      <c r="C1062" s="157" t="s">
        <v>14</v>
      </c>
      <c r="D1062" s="159">
        <v>1</v>
      </c>
      <c r="E1062" s="159">
        <v>199.24</v>
      </c>
      <c r="F1062" s="159">
        <v>199.24</v>
      </c>
      <c r="G1062" s="160" t="s">
        <v>1367</v>
      </c>
      <c r="H1062" s="34" t="s">
        <v>925</v>
      </c>
    </row>
    <row r="1063" spans="1:8" ht="42.75">
      <c r="A1063" s="160">
        <v>3</v>
      </c>
      <c r="B1063" s="160" t="s">
        <v>4927</v>
      </c>
      <c r="C1063" s="157" t="s">
        <v>927</v>
      </c>
      <c r="D1063" s="159">
        <v>4</v>
      </c>
      <c r="E1063" s="159">
        <v>408.45</v>
      </c>
      <c r="F1063" s="159">
        <v>1633.8</v>
      </c>
      <c r="G1063" s="160" t="s">
        <v>4928</v>
      </c>
      <c r="H1063" s="34" t="s">
        <v>925</v>
      </c>
    </row>
    <row r="1064" spans="1:8" ht="28.5">
      <c r="A1064" s="160">
        <v>4</v>
      </c>
      <c r="B1064" s="160" t="s">
        <v>4871</v>
      </c>
      <c r="C1064" s="157" t="s">
        <v>927</v>
      </c>
      <c r="D1064" s="159">
        <v>4</v>
      </c>
      <c r="E1064" s="159">
        <v>279.94</v>
      </c>
      <c r="F1064" s="159">
        <v>1119.76</v>
      </c>
      <c r="G1064" s="160" t="s">
        <v>4872</v>
      </c>
    </row>
    <row r="1065" spans="1:8" ht="33">
      <c r="A1065" s="160">
        <v>5</v>
      </c>
      <c r="B1065" s="160" t="s">
        <v>931</v>
      </c>
      <c r="C1065" s="157" t="s">
        <v>14</v>
      </c>
      <c r="D1065" s="159">
        <v>1</v>
      </c>
      <c r="E1065" s="159">
        <v>111</v>
      </c>
      <c r="F1065" s="159">
        <v>111</v>
      </c>
      <c r="G1065" s="160" t="s">
        <v>932</v>
      </c>
      <c r="H1065" s="34" t="s">
        <v>925</v>
      </c>
    </row>
    <row r="1066" spans="1:8" ht="33">
      <c r="A1066" s="160"/>
      <c r="B1066" s="160" t="s">
        <v>933</v>
      </c>
      <c r="C1066" s="157" t="s">
        <v>3</v>
      </c>
      <c r="D1066" s="159">
        <v>10</v>
      </c>
      <c r="E1066" s="159"/>
      <c r="F1066" s="159">
        <v>3810.9700000000003</v>
      </c>
      <c r="G1066" s="160"/>
      <c r="H1066" s="34" t="s">
        <v>925</v>
      </c>
    </row>
    <row r="1067" spans="1:8" ht="33">
      <c r="A1067" s="160"/>
      <c r="B1067" s="160" t="s">
        <v>934</v>
      </c>
      <c r="C1067" s="157" t="s">
        <v>3</v>
      </c>
      <c r="D1067" s="159"/>
      <c r="E1067" s="159"/>
      <c r="F1067" s="159">
        <v>381.1</v>
      </c>
      <c r="G1067" s="160"/>
      <c r="H1067" s="34" t="s">
        <v>925</v>
      </c>
    </row>
    <row r="1068" spans="1:8" ht="33">
      <c r="A1068" s="160"/>
      <c r="B1068" s="160"/>
      <c r="C1068" s="157"/>
      <c r="D1068" s="159"/>
      <c r="E1068" s="159"/>
      <c r="F1068" s="159"/>
      <c r="G1068" s="160"/>
      <c r="H1068" s="34" t="s">
        <v>925</v>
      </c>
    </row>
    <row r="1069" spans="1:8" ht="33">
      <c r="A1069" s="160" t="s">
        <v>1459</v>
      </c>
      <c r="B1069" s="160" t="s">
        <v>1372</v>
      </c>
      <c r="C1069" s="157" t="s">
        <v>17</v>
      </c>
      <c r="D1069" s="159">
        <v>10</v>
      </c>
      <c r="E1069" s="159">
        <v>777.18</v>
      </c>
      <c r="F1069" s="159"/>
      <c r="G1069" s="160" t="s">
        <v>1373</v>
      </c>
      <c r="H1069" s="34" t="s">
        <v>925</v>
      </c>
    </row>
    <row r="1070" spans="1:8" ht="33">
      <c r="A1070" s="160">
        <v>1</v>
      </c>
      <c r="B1070" s="160" t="s">
        <v>1364</v>
      </c>
      <c r="C1070" s="157" t="s">
        <v>3</v>
      </c>
      <c r="D1070" s="159">
        <v>0.25</v>
      </c>
      <c r="E1070" s="159">
        <v>2988.66</v>
      </c>
      <c r="F1070" s="159">
        <v>747.17</v>
      </c>
      <c r="G1070" s="160" t="s">
        <v>1365</v>
      </c>
      <c r="H1070" s="34" t="s">
        <v>925</v>
      </c>
    </row>
    <row r="1071" spans="1:8" ht="33">
      <c r="A1071" s="160">
        <v>2</v>
      </c>
      <c r="B1071" s="160" t="s">
        <v>1366</v>
      </c>
      <c r="C1071" s="157" t="s">
        <v>14</v>
      </c>
      <c r="D1071" s="159">
        <v>1</v>
      </c>
      <c r="E1071" s="159">
        <v>498.11</v>
      </c>
      <c r="F1071" s="159">
        <v>498.11</v>
      </c>
      <c r="G1071" s="160" t="s">
        <v>1367</v>
      </c>
      <c r="H1071" s="34" t="s">
        <v>925</v>
      </c>
    </row>
    <row r="1072" spans="1:8" ht="42.75">
      <c r="A1072" s="160">
        <v>3</v>
      </c>
      <c r="B1072" s="160" t="s">
        <v>4927</v>
      </c>
      <c r="C1072" s="157" t="s">
        <v>927</v>
      </c>
      <c r="D1072" s="159">
        <v>7.2</v>
      </c>
      <c r="E1072" s="159">
        <v>408.45</v>
      </c>
      <c r="F1072" s="159">
        <v>2940.84</v>
      </c>
      <c r="G1072" s="160" t="s">
        <v>4928</v>
      </c>
    </row>
    <row r="1073" spans="1:8" ht="33">
      <c r="A1073" s="160">
        <v>4</v>
      </c>
      <c r="B1073" s="160" t="s">
        <v>4871</v>
      </c>
      <c r="C1073" s="157" t="s">
        <v>927</v>
      </c>
      <c r="D1073" s="159">
        <v>12</v>
      </c>
      <c r="E1073" s="159">
        <v>279.94</v>
      </c>
      <c r="F1073" s="159">
        <v>3359.28</v>
      </c>
      <c r="G1073" s="160" t="s">
        <v>4872</v>
      </c>
      <c r="H1073" s="34" t="s">
        <v>925</v>
      </c>
    </row>
    <row r="1074" spans="1:8" ht="33">
      <c r="A1074" s="160">
        <v>5</v>
      </c>
      <c r="B1074" s="160" t="s">
        <v>931</v>
      </c>
      <c r="C1074" s="157" t="s">
        <v>14</v>
      </c>
      <c r="D1074" s="159">
        <v>1</v>
      </c>
      <c r="E1074" s="159">
        <v>226.36</v>
      </c>
      <c r="F1074" s="159">
        <v>226.36</v>
      </c>
      <c r="G1074" s="160" t="s">
        <v>932</v>
      </c>
      <c r="H1074" s="34" t="s">
        <v>925</v>
      </c>
    </row>
    <row r="1075" spans="1:8" ht="33">
      <c r="A1075" s="160"/>
      <c r="B1075" s="160" t="s">
        <v>933</v>
      </c>
      <c r="C1075" s="157" t="s">
        <v>17</v>
      </c>
      <c r="D1075" s="159">
        <v>10</v>
      </c>
      <c r="E1075" s="159"/>
      <c r="F1075" s="159">
        <v>7771.7599999999993</v>
      </c>
      <c r="G1075" s="160"/>
      <c r="H1075" s="34" t="s">
        <v>925</v>
      </c>
    </row>
    <row r="1076" spans="1:8" ht="33">
      <c r="A1076" s="160"/>
      <c r="B1076" s="160" t="s">
        <v>934</v>
      </c>
      <c r="C1076" s="157" t="s">
        <v>17</v>
      </c>
      <c r="D1076" s="159"/>
      <c r="E1076" s="159"/>
      <c r="F1076" s="159">
        <v>777.18</v>
      </c>
      <c r="G1076" s="160"/>
      <c r="H1076" s="34" t="s">
        <v>925</v>
      </c>
    </row>
    <row r="1077" spans="1:8" ht="33">
      <c r="A1077" s="160"/>
      <c r="B1077" s="160"/>
      <c r="C1077" s="157"/>
      <c r="D1077" s="159"/>
      <c r="E1077" s="159"/>
      <c r="F1077" s="159"/>
      <c r="G1077" s="160"/>
      <c r="H1077" s="34" t="s">
        <v>925</v>
      </c>
    </row>
    <row r="1078" spans="1:8" ht="33">
      <c r="A1078" s="160" t="s">
        <v>1468</v>
      </c>
      <c r="B1078" s="160" t="s">
        <v>1375</v>
      </c>
      <c r="C1078" s="157" t="s">
        <v>3</v>
      </c>
      <c r="D1078" s="159">
        <v>10</v>
      </c>
      <c r="E1078" s="159">
        <v>460.56</v>
      </c>
      <c r="F1078" s="159"/>
      <c r="G1078" s="160" t="s">
        <v>1376</v>
      </c>
      <c r="H1078" s="34" t="s">
        <v>925</v>
      </c>
    </row>
    <row r="1079" spans="1:8" ht="33">
      <c r="A1079" s="160">
        <v>1</v>
      </c>
      <c r="B1079" s="160" t="s">
        <v>1364</v>
      </c>
      <c r="C1079" s="157" t="s">
        <v>3</v>
      </c>
      <c r="D1079" s="159">
        <v>0.25</v>
      </c>
      <c r="E1079" s="159">
        <v>2988.66</v>
      </c>
      <c r="F1079" s="159">
        <v>747.17</v>
      </c>
      <c r="G1079" s="160" t="s">
        <v>1365</v>
      </c>
      <c r="H1079" s="34" t="s">
        <v>925</v>
      </c>
    </row>
    <row r="1080" spans="1:8" ht="28.5">
      <c r="A1080" s="160">
        <v>2</v>
      </c>
      <c r="B1080" s="160" t="s">
        <v>1366</v>
      </c>
      <c r="C1080" s="157" t="s">
        <v>14</v>
      </c>
      <c r="D1080" s="159">
        <v>1</v>
      </c>
      <c r="E1080" s="159">
        <v>298.87</v>
      </c>
      <c r="F1080" s="159">
        <v>298.87</v>
      </c>
      <c r="G1080" s="160" t="s">
        <v>1367</v>
      </c>
    </row>
    <row r="1081" spans="1:8" ht="42.75">
      <c r="A1081" s="160">
        <v>3</v>
      </c>
      <c r="B1081" s="160" t="s">
        <v>4927</v>
      </c>
      <c r="C1081" s="157" t="s">
        <v>927</v>
      </c>
      <c r="D1081" s="159">
        <v>4</v>
      </c>
      <c r="E1081" s="159">
        <v>408.45</v>
      </c>
      <c r="F1081" s="159">
        <v>1633.8</v>
      </c>
      <c r="G1081" s="160" t="s">
        <v>4928</v>
      </c>
      <c r="H1081" s="34" t="s">
        <v>925</v>
      </c>
    </row>
    <row r="1082" spans="1:8" ht="33">
      <c r="A1082" s="160">
        <v>4</v>
      </c>
      <c r="B1082" s="160" t="s">
        <v>4871</v>
      </c>
      <c r="C1082" s="157" t="s">
        <v>927</v>
      </c>
      <c r="D1082" s="159">
        <v>6.4</v>
      </c>
      <c r="E1082" s="159">
        <v>279.94</v>
      </c>
      <c r="F1082" s="159">
        <v>1791.62</v>
      </c>
      <c r="G1082" s="160" t="s">
        <v>4872</v>
      </c>
      <c r="H1082" s="34" t="s">
        <v>925</v>
      </c>
    </row>
    <row r="1083" spans="1:8" ht="33">
      <c r="A1083" s="160">
        <v>5</v>
      </c>
      <c r="B1083" s="160" t="s">
        <v>931</v>
      </c>
      <c r="C1083" s="157" t="s">
        <v>14</v>
      </c>
      <c r="D1083" s="159">
        <v>1</v>
      </c>
      <c r="E1083" s="159">
        <v>134.13999999999999</v>
      </c>
      <c r="F1083" s="159">
        <v>134.13999999999999</v>
      </c>
      <c r="G1083" s="160" t="s">
        <v>932</v>
      </c>
      <c r="H1083" s="34" t="s">
        <v>925</v>
      </c>
    </row>
    <row r="1084" spans="1:8" ht="33">
      <c r="A1084" s="160"/>
      <c r="B1084" s="160" t="s">
        <v>933</v>
      </c>
      <c r="C1084" s="157" t="s">
        <v>3</v>
      </c>
      <c r="D1084" s="159">
        <v>10</v>
      </c>
      <c r="E1084" s="159"/>
      <c r="F1084" s="159">
        <v>4605.6000000000004</v>
      </c>
      <c r="G1084" s="160"/>
      <c r="H1084" s="34" t="s">
        <v>925</v>
      </c>
    </row>
    <row r="1085" spans="1:8" ht="33">
      <c r="A1085" s="160"/>
      <c r="B1085" s="160" t="s">
        <v>934</v>
      </c>
      <c r="C1085" s="157" t="s">
        <v>3</v>
      </c>
      <c r="D1085" s="159"/>
      <c r="E1085" s="159"/>
      <c r="F1085" s="159">
        <v>460.56</v>
      </c>
      <c r="G1085" s="160"/>
      <c r="H1085" s="34" t="s">
        <v>925</v>
      </c>
    </row>
    <row r="1086" spans="1:8" ht="33">
      <c r="A1086" s="160"/>
      <c r="B1086" s="160"/>
      <c r="C1086" s="157"/>
      <c r="D1086" s="159"/>
      <c r="E1086" s="159"/>
      <c r="F1086" s="159"/>
      <c r="G1086" s="160"/>
      <c r="H1086" s="34" t="s">
        <v>925</v>
      </c>
    </row>
    <row r="1087" spans="1:8" ht="33">
      <c r="A1087" s="160" t="s">
        <v>1471</v>
      </c>
      <c r="B1087" s="160" t="s">
        <v>1378</v>
      </c>
      <c r="C1087" s="157" t="s">
        <v>17</v>
      </c>
      <c r="D1087" s="159">
        <v>10</v>
      </c>
      <c r="E1087" s="159">
        <v>902.77</v>
      </c>
      <c r="F1087" s="159"/>
      <c r="G1087" s="160" t="s">
        <v>1379</v>
      </c>
      <c r="H1087" s="34" t="s">
        <v>925</v>
      </c>
    </row>
    <row r="1088" spans="1:8" ht="28.5">
      <c r="A1088" s="160">
        <v>1</v>
      </c>
      <c r="B1088" s="160" t="s">
        <v>1364</v>
      </c>
      <c r="C1088" s="157" t="s">
        <v>3</v>
      </c>
      <c r="D1088" s="159">
        <v>0.25</v>
      </c>
      <c r="E1088" s="159">
        <v>2988.66</v>
      </c>
      <c r="F1088" s="159">
        <v>747.17</v>
      </c>
      <c r="G1088" s="160" t="s">
        <v>1365</v>
      </c>
    </row>
    <row r="1089" spans="1:8" ht="33">
      <c r="A1089" s="160">
        <v>2</v>
      </c>
      <c r="B1089" s="160" t="s">
        <v>1366</v>
      </c>
      <c r="C1089" s="157" t="s">
        <v>14</v>
      </c>
      <c r="D1089" s="159">
        <v>1</v>
      </c>
      <c r="E1089" s="159">
        <v>597.73</v>
      </c>
      <c r="F1089" s="159">
        <v>597.73</v>
      </c>
      <c r="G1089" s="160" t="s">
        <v>1367</v>
      </c>
      <c r="H1089" s="34" t="s">
        <v>925</v>
      </c>
    </row>
    <row r="1090" spans="1:8" ht="42.75">
      <c r="A1090" s="160">
        <v>3</v>
      </c>
      <c r="B1090" s="160" t="s">
        <v>4927</v>
      </c>
      <c r="C1090" s="157" t="s">
        <v>927</v>
      </c>
      <c r="D1090" s="159">
        <v>7.2</v>
      </c>
      <c r="E1090" s="159">
        <v>408.45</v>
      </c>
      <c r="F1090" s="159">
        <v>2940.84</v>
      </c>
      <c r="G1090" s="160" t="s">
        <v>4928</v>
      </c>
      <c r="H1090" s="34" t="s">
        <v>925</v>
      </c>
    </row>
    <row r="1091" spans="1:8" ht="33">
      <c r="A1091" s="160">
        <v>4</v>
      </c>
      <c r="B1091" s="160" t="s">
        <v>4871</v>
      </c>
      <c r="C1091" s="157" t="s">
        <v>927</v>
      </c>
      <c r="D1091" s="159">
        <v>16</v>
      </c>
      <c r="E1091" s="159">
        <v>279.94</v>
      </c>
      <c r="F1091" s="159">
        <v>4479.04</v>
      </c>
      <c r="G1091" s="160" t="s">
        <v>4872</v>
      </c>
      <c r="H1091" s="34" t="s">
        <v>925</v>
      </c>
    </row>
    <row r="1092" spans="1:8" ht="33">
      <c r="A1092" s="160">
        <v>5</v>
      </c>
      <c r="B1092" s="160" t="s">
        <v>931</v>
      </c>
      <c r="C1092" s="157" t="s">
        <v>14</v>
      </c>
      <c r="D1092" s="159">
        <v>1</v>
      </c>
      <c r="E1092" s="159">
        <v>262.94</v>
      </c>
      <c r="F1092" s="159">
        <v>262.94</v>
      </c>
      <c r="G1092" s="160" t="s">
        <v>932</v>
      </c>
      <c r="H1092" s="34" t="s">
        <v>925</v>
      </c>
    </row>
    <row r="1093" spans="1:8" ht="33">
      <c r="A1093" s="160"/>
      <c r="B1093" s="160" t="s">
        <v>933</v>
      </c>
      <c r="C1093" s="157" t="s">
        <v>17</v>
      </c>
      <c r="D1093" s="159">
        <v>10</v>
      </c>
      <c r="E1093" s="159"/>
      <c r="F1093" s="159">
        <v>9027.7199999999993</v>
      </c>
      <c r="G1093" s="160"/>
      <c r="H1093" s="34" t="s">
        <v>925</v>
      </c>
    </row>
    <row r="1094" spans="1:8" ht="33">
      <c r="A1094" s="160"/>
      <c r="B1094" s="160" t="s">
        <v>934</v>
      </c>
      <c r="C1094" s="157" t="s">
        <v>17</v>
      </c>
      <c r="D1094" s="159"/>
      <c r="E1094" s="159"/>
      <c r="F1094" s="159">
        <v>902.77</v>
      </c>
      <c r="G1094" s="160"/>
      <c r="H1094" s="34" t="s">
        <v>925</v>
      </c>
    </row>
    <row r="1095" spans="1:8" ht="33">
      <c r="A1095" s="160"/>
      <c r="B1095" s="160"/>
      <c r="C1095" s="157"/>
      <c r="D1095" s="159"/>
      <c r="E1095" s="159"/>
      <c r="F1095" s="159"/>
      <c r="G1095" s="160"/>
      <c r="H1095" s="34" t="s">
        <v>925</v>
      </c>
    </row>
    <row r="1096" spans="1:8" ht="33">
      <c r="A1096" s="160" t="s">
        <v>1474</v>
      </c>
      <c r="B1096" s="160" t="s">
        <v>1381</v>
      </c>
      <c r="C1096" s="157" t="s">
        <v>3</v>
      </c>
      <c r="D1096" s="159">
        <v>10</v>
      </c>
      <c r="E1096" s="159">
        <v>535.96</v>
      </c>
      <c r="F1096" s="159"/>
      <c r="G1096" s="160" t="s">
        <v>1382</v>
      </c>
      <c r="H1096" s="34" t="s">
        <v>925</v>
      </c>
    </row>
    <row r="1097" spans="1:8" ht="33">
      <c r="A1097" s="160">
        <v>1</v>
      </c>
      <c r="B1097" s="160" t="s">
        <v>1364</v>
      </c>
      <c r="C1097" s="157" t="s">
        <v>3</v>
      </c>
      <c r="D1097" s="159">
        <v>0.25</v>
      </c>
      <c r="E1097" s="159">
        <v>2988.66</v>
      </c>
      <c r="F1097" s="159">
        <v>747.17</v>
      </c>
      <c r="G1097" s="160" t="s">
        <v>1365</v>
      </c>
      <c r="H1097" s="34" t="s">
        <v>925</v>
      </c>
    </row>
    <row r="1098" spans="1:8" ht="28.5">
      <c r="A1098" s="160">
        <v>2</v>
      </c>
      <c r="B1098" s="160" t="s">
        <v>1366</v>
      </c>
      <c r="C1098" s="157" t="s">
        <v>14</v>
      </c>
      <c r="D1098" s="159">
        <v>1</v>
      </c>
      <c r="E1098" s="159">
        <v>398.49</v>
      </c>
      <c r="F1098" s="159">
        <v>398.49</v>
      </c>
      <c r="G1098" s="160" t="s">
        <v>1367</v>
      </c>
    </row>
    <row r="1099" spans="1:8" ht="42.75">
      <c r="A1099" s="160">
        <v>3</v>
      </c>
      <c r="B1099" s="160" t="s">
        <v>4927</v>
      </c>
      <c r="C1099" s="157" t="s">
        <v>927</v>
      </c>
      <c r="D1099" s="159">
        <v>5</v>
      </c>
      <c r="E1099" s="159">
        <v>408.45</v>
      </c>
      <c r="F1099" s="159">
        <v>2042.25</v>
      </c>
      <c r="G1099" s="160" t="s">
        <v>4928</v>
      </c>
      <c r="H1099" s="34" t="s">
        <v>925</v>
      </c>
    </row>
    <row r="1100" spans="1:8" ht="33">
      <c r="A1100" s="160">
        <v>4</v>
      </c>
      <c r="B1100" s="160" t="s">
        <v>4871</v>
      </c>
      <c r="C1100" s="157" t="s">
        <v>927</v>
      </c>
      <c r="D1100" s="159">
        <v>7.2</v>
      </c>
      <c r="E1100" s="159">
        <v>279.94</v>
      </c>
      <c r="F1100" s="159">
        <v>2015.57</v>
      </c>
      <c r="G1100" s="160" t="s">
        <v>4872</v>
      </c>
      <c r="H1100" s="34" t="s">
        <v>925</v>
      </c>
    </row>
    <row r="1101" spans="1:8" ht="33">
      <c r="A1101" s="160">
        <v>5</v>
      </c>
      <c r="B1101" s="160" t="s">
        <v>931</v>
      </c>
      <c r="C1101" s="157" t="s">
        <v>14</v>
      </c>
      <c r="D1101" s="159">
        <v>1</v>
      </c>
      <c r="E1101" s="159">
        <v>156.1</v>
      </c>
      <c r="F1101" s="159">
        <v>156.1</v>
      </c>
      <c r="G1101" s="160" t="s">
        <v>932</v>
      </c>
      <c r="H1101" s="34" t="s">
        <v>925</v>
      </c>
    </row>
    <row r="1102" spans="1:8" ht="33">
      <c r="A1102" s="160"/>
      <c r="B1102" s="160" t="s">
        <v>933</v>
      </c>
      <c r="C1102" s="157" t="s">
        <v>3</v>
      </c>
      <c r="D1102" s="159">
        <v>10</v>
      </c>
      <c r="E1102" s="159"/>
      <c r="F1102" s="159">
        <v>5359.58</v>
      </c>
      <c r="G1102" s="160"/>
      <c r="H1102" s="34" t="s">
        <v>925</v>
      </c>
    </row>
    <row r="1103" spans="1:8" ht="33">
      <c r="A1103" s="160"/>
      <c r="B1103" s="160" t="s">
        <v>934</v>
      </c>
      <c r="C1103" s="157" t="s">
        <v>3</v>
      </c>
      <c r="D1103" s="159"/>
      <c r="E1103" s="159"/>
      <c r="F1103" s="159">
        <v>535.96</v>
      </c>
      <c r="G1103" s="160"/>
      <c r="H1103" s="34" t="s">
        <v>925</v>
      </c>
    </row>
    <row r="1104" spans="1:8" ht="33">
      <c r="A1104" s="160"/>
      <c r="B1104" s="160"/>
      <c r="C1104" s="157"/>
      <c r="D1104" s="159"/>
      <c r="E1104" s="159"/>
      <c r="F1104" s="159"/>
      <c r="G1104" s="160"/>
      <c r="H1104" s="34" t="s">
        <v>925</v>
      </c>
    </row>
    <row r="1105" spans="1:8" ht="57">
      <c r="A1105" s="160" t="s">
        <v>1483</v>
      </c>
      <c r="B1105" s="160" t="s">
        <v>404</v>
      </c>
      <c r="C1105" s="157" t="s">
        <v>17</v>
      </c>
      <c r="D1105" s="159">
        <v>10</v>
      </c>
      <c r="E1105" s="159">
        <v>807.53</v>
      </c>
      <c r="F1105" s="159"/>
      <c r="G1105" s="160" t="s">
        <v>1398</v>
      </c>
      <c r="H1105" s="34" t="s">
        <v>925</v>
      </c>
    </row>
    <row r="1106" spans="1:8" ht="33">
      <c r="A1106" s="160">
        <v>1</v>
      </c>
      <c r="B1106" s="160" t="s">
        <v>1364</v>
      </c>
      <c r="C1106" s="157" t="s">
        <v>3</v>
      </c>
      <c r="D1106" s="159">
        <v>0.25</v>
      </c>
      <c r="E1106" s="159">
        <v>2988.66</v>
      </c>
      <c r="F1106" s="159">
        <v>747.17</v>
      </c>
      <c r="G1106" s="160" t="s">
        <v>1365</v>
      </c>
      <c r="H1106" s="34" t="s">
        <v>925</v>
      </c>
    </row>
    <row r="1107" spans="1:8" ht="33">
      <c r="A1107" s="160">
        <v>2</v>
      </c>
      <c r="B1107" s="160" t="s">
        <v>1366</v>
      </c>
      <c r="C1107" s="157" t="s">
        <v>14</v>
      </c>
      <c r="D1107" s="159">
        <v>1</v>
      </c>
      <c r="E1107" s="159">
        <v>498.11</v>
      </c>
      <c r="F1107" s="159">
        <v>498.11</v>
      </c>
      <c r="G1107" s="160" t="s">
        <v>1367</v>
      </c>
      <c r="H1107" s="34" t="s">
        <v>925</v>
      </c>
    </row>
    <row r="1108" spans="1:8" ht="42.75">
      <c r="A1108" s="160">
        <v>3</v>
      </c>
      <c r="B1108" s="160" t="s">
        <v>4927</v>
      </c>
      <c r="C1108" s="157" t="s">
        <v>927</v>
      </c>
      <c r="D1108" s="159">
        <v>9.58</v>
      </c>
      <c r="E1108" s="159">
        <v>408.45</v>
      </c>
      <c r="F1108" s="159">
        <v>3912.95</v>
      </c>
      <c r="G1108" s="160" t="s">
        <v>4928</v>
      </c>
    </row>
    <row r="1109" spans="1:8" ht="33">
      <c r="A1109" s="160">
        <v>4</v>
      </c>
      <c r="B1109" s="160" t="s">
        <v>4871</v>
      </c>
      <c r="C1109" s="157" t="s">
        <v>927</v>
      </c>
      <c r="D1109" s="159">
        <v>9.58</v>
      </c>
      <c r="E1109" s="159">
        <v>279.94</v>
      </c>
      <c r="F1109" s="159">
        <v>2681.83</v>
      </c>
      <c r="G1109" s="160" t="s">
        <v>4872</v>
      </c>
      <c r="H1109" s="34" t="s">
        <v>925</v>
      </c>
    </row>
    <row r="1110" spans="1:8" ht="33">
      <c r="A1110" s="160">
        <v>5</v>
      </c>
      <c r="B1110" s="160" t="s">
        <v>931</v>
      </c>
      <c r="C1110" s="157" t="s">
        <v>14</v>
      </c>
      <c r="D1110" s="159">
        <v>1</v>
      </c>
      <c r="E1110" s="159">
        <v>235.2</v>
      </c>
      <c r="F1110" s="159">
        <v>235.2</v>
      </c>
      <c r="G1110" s="160" t="s">
        <v>932</v>
      </c>
      <c r="H1110" s="34" t="s">
        <v>925</v>
      </c>
    </row>
    <row r="1111" spans="1:8" ht="33">
      <c r="A1111" s="160"/>
      <c r="B1111" s="160" t="s">
        <v>933</v>
      </c>
      <c r="C1111" s="157" t="s">
        <v>17</v>
      </c>
      <c r="D1111" s="159">
        <v>10</v>
      </c>
      <c r="E1111" s="159"/>
      <c r="F1111" s="159">
        <v>8075.2599999999993</v>
      </c>
      <c r="G1111" s="160"/>
      <c r="H1111" s="34" t="s">
        <v>925</v>
      </c>
    </row>
    <row r="1112" spans="1:8" ht="33">
      <c r="A1112" s="160"/>
      <c r="B1112" s="160" t="s">
        <v>934</v>
      </c>
      <c r="C1112" s="157" t="s">
        <v>17</v>
      </c>
      <c r="D1112" s="159"/>
      <c r="E1112" s="159"/>
      <c r="F1112" s="159">
        <v>807.53</v>
      </c>
      <c r="G1112" s="160"/>
      <c r="H1112" s="34" t="s">
        <v>925</v>
      </c>
    </row>
    <row r="1113" spans="1:8" ht="33">
      <c r="A1113" s="160"/>
      <c r="B1113" s="160"/>
      <c r="C1113" s="157"/>
      <c r="D1113" s="159"/>
      <c r="E1113" s="159"/>
      <c r="F1113" s="159"/>
      <c r="G1113" s="160"/>
      <c r="H1113" s="34" t="s">
        <v>925</v>
      </c>
    </row>
    <row r="1114" spans="1:8" ht="57">
      <c r="A1114" s="160" t="s">
        <v>1488</v>
      </c>
      <c r="B1114" s="160" t="s">
        <v>1369</v>
      </c>
      <c r="C1114" s="157" t="s">
        <v>3</v>
      </c>
      <c r="D1114" s="159">
        <v>10</v>
      </c>
      <c r="E1114" s="159">
        <v>474.69</v>
      </c>
      <c r="F1114" s="159"/>
      <c r="G1114" s="160" t="s">
        <v>1400</v>
      </c>
      <c r="H1114" s="34" t="s">
        <v>925</v>
      </c>
    </row>
    <row r="1115" spans="1:8" ht="33">
      <c r="A1115" s="160">
        <v>1</v>
      </c>
      <c r="B1115" s="160" t="s">
        <v>1364</v>
      </c>
      <c r="C1115" s="157" t="s">
        <v>3</v>
      </c>
      <c r="D1115" s="159">
        <v>0.25</v>
      </c>
      <c r="E1115" s="159">
        <v>2988.66</v>
      </c>
      <c r="F1115" s="159">
        <v>747.17</v>
      </c>
      <c r="G1115" s="160" t="s">
        <v>1365</v>
      </c>
      <c r="H1115" s="34" t="s">
        <v>925</v>
      </c>
    </row>
    <row r="1116" spans="1:8" ht="33">
      <c r="A1116" s="160">
        <v>2</v>
      </c>
      <c r="B1116" s="160" t="s">
        <v>1366</v>
      </c>
      <c r="C1116" s="157" t="s">
        <v>14</v>
      </c>
      <c r="D1116" s="159">
        <v>1</v>
      </c>
      <c r="E1116" s="159">
        <v>199.24</v>
      </c>
      <c r="F1116" s="159">
        <v>199.24</v>
      </c>
      <c r="G1116" s="160" t="s">
        <v>1367</v>
      </c>
      <c r="H1116" s="34" t="s">
        <v>925</v>
      </c>
    </row>
    <row r="1117" spans="1:8" ht="42.75">
      <c r="A1117" s="160">
        <v>3</v>
      </c>
      <c r="B1117" s="160" t="s">
        <v>4927</v>
      </c>
      <c r="C1117" s="157" t="s">
        <v>927</v>
      </c>
      <c r="D1117" s="159">
        <v>5.32</v>
      </c>
      <c r="E1117" s="159">
        <v>408.45</v>
      </c>
      <c r="F1117" s="159">
        <v>2172.9499999999998</v>
      </c>
      <c r="G1117" s="160" t="s">
        <v>4928</v>
      </c>
      <c r="H1117" s="34" t="s">
        <v>925</v>
      </c>
    </row>
    <row r="1118" spans="1:8" ht="28.5">
      <c r="A1118" s="160">
        <v>4</v>
      </c>
      <c r="B1118" s="160" t="s">
        <v>4871</v>
      </c>
      <c r="C1118" s="157" t="s">
        <v>927</v>
      </c>
      <c r="D1118" s="159">
        <v>5.32</v>
      </c>
      <c r="E1118" s="159">
        <v>279.94</v>
      </c>
      <c r="F1118" s="159">
        <v>1489.28</v>
      </c>
      <c r="G1118" s="160" t="s">
        <v>4872</v>
      </c>
    </row>
    <row r="1119" spans="1:8" ht="33">
      <c r="A1119" s="160">
        <v>5</v>
      </c>
      <c r="B1119" s="160" t="s">
        <v>931</v>
      </c>
      <c r="C1119" s="157" t="s">
        <v>14</v>
      </c>
      <c r="D1119" s="159">
        <v>1</v>
      </c>
      <c r="E1119" s="159">
        <v>138.26</v>
      </c>
      <c r="F1119" s="159">
        <v>138.26</v>
      </c>
      <c r="G1119" s="160" t="s">
        <v>932</v>
      </c>
      <c r="H1119" s="34" t="s">
        <v>925</v>
      </c>
    </row>
    <row r="1120" spans="1:8" ht="33">
      <c r="A1120" s="160"/>
      <c r="B1120" s="160" t="s">
        <v>933</v>
      </c>
      <c r="C1120" s="157" t="s">
        <v>3</v>
      </c>
      <c r="D1120" s="159">
        <v>10</v>
      </c>
      <c r="E1120" s="159"/>
      <c r="F1120" s="159">
        <v>4746.8999999999996</v>
      </c>
      <c r="G1120" s="160"/>
      <c r="H1120" s="34" t="s">
        <v>925</v>
      </c>
    </row>
    <row r="1121" spans="1:8" ht="33">
      <c r="A1121" s="160"/>
      <c r="B1121" s="160" t="s">
        <v>934</v>
      </c>
      <c r="C1121" s="157" t="s">
        <v>3</v>
      </c>
      <c r="D1121" s="159"/>
      <c r="E1121" s="159"/>
      <c r="F1121" s="159">
        <v>474.69</v>
      </c>
      <c r="G1121" s="160"/>
      <c r="H1121" s="34" t="s">
        <v>925</v>
      </c>
    </row>
    <row r="1122" spans="1:8" ht="33">
      <c r="A1122" s="160"/>
      <c r="B1122" s="160"/>
      <c r="C1122" s="157"/>
      <c r="D1122" s="159"/>
      <c r="E1122" s="159"/>
      <c r="F1122" s="159"/>
      <c r="G1122" s="160"/>
      <c r="H1122" s="34" t="s">
        <v>925</v>
      </c>
    </row>
    <row r="1123" spans="1:8" ht="57">
      <c r="A1123" s="160" t="s">
        <v>1493</v>
      </c>
      <c r="B1123" s="160" t="s">
        <v>1372</v>
      </c>
      <c r="C1123" s="157" t="s">
        <v>17</v>
      </c>
      <c r="D1123" s="159">
        <v>10</v>
      </c>
      <c r="E1123" s="159">
        <v>991.49</v>
      </c>
      <c r="F1123" s="159"/>
      <c r="G1123" s="160" t="s">
        <v>1402</v>
      </c>
      <c r="H1123" s="34" t="s">
        <v>925</v>
      </c>
    </row>
    <row r="1124" spans="1:8" ht="33">
      <c r="A1124" s="160">
        <v>1</v>
      </c>
      <c r="B1124" s="160" t="s">
        <v>1364</v>
      </c>
      <c r="C1124" s="157" t="s">
        <v>3</v>
      </c>
      <c r="D1124" s="159">
        <v>0.25</v>
      </c>
      <c r="E1124" s="159">
        <v>2988.66</v>
      </c>
      <c r="F1124" s="159">
        <v>747.17</v>
      </c>
      <c r="G1124" s="160" t="s">
        <v>1365</v>
      </c>
      <c r="H1124" s="34" t="s">
        <v>925</v>
      </c>
    </row>
    <row r="1125" spans="1:8" ht="33">
      <c r="A1125" s="160">
        <v>2</v>
      </c>
      <c r="B1125" s="160" t="s">
        <v>1366</v>
      </c>
      <c r="C1125" s="157" t="s">
        <v>14</v>
      </c>
      <c r="D1125" s="159">
        <v>1</v>
      </c>
      <c r="E1125" s="159">
        <v>498.11</v>
      </c>
      <c r="F1125" s="159">
        <v>498.11</v>
      </c>
      <c r="G1125" s="160" t="s">
        <v>1367</v>
      </c>
      <c r="H1125" s="34" t="s">
        <v>925</v>
      </c>
    </row>
    <row r="1126" spans="1:8" ht="42.75">
      <c r="A1126" s="160">
        <v>3</v>
      </c>
      <c r="B1126" s="160" t="s">
        <v>4927</v>
      </c>
      <c r="C1126" s="157" t="s">
        <v>927</v>
      </c>
      <c r="D1126" s="159">
        <v>9.58</v>
      </c>
      <c r="E1126" s="159">
        <v>408.45</v>
      </c>
      <c r="F1126" s="159">
        <v>3912.95</v>
      </c>
      <c r="G1126" s="160" t="s">
        <v>4928</v>
      </c>
      <c r="H1126" s="34" t="s">
        <v>925</v>
      </c>
    </row>
    <row r="1127" spans="1:8" ht="33">
      <c r="A1127" s="160">
        <v>4</v>
      </c>
      <c r="B1127" s="160" t="s">
        <v>4871</v>
      </c>
      <c r="C1127" s="157" t="s">
        <v>927</v>
      </c>
      <c r="D1127" s="159">
        <v>15.96</v>
      </c>
      <c r="E1127" s="159">
        <v>279.94</v>
      </c>
      <c r="F1127" s="159">
        <v>4467.84</v>
      </c>
      <c r="G1127" s="160" t="s">
        <v>4872</v>
      </c>
      <c r="H1127" s="34" t="s">
        <v>925</v>
      </c>
    </row>
    <row r="1128" spans="1:8" ht="33">
      <c r="A1128" s="160">
        <v>5</v>
      </c>
      <c r="B1128" s="160" t="s">
        <v>931</v>
      </c>
      <c r="C1128" s="157" t="s">
        <v>14</v>
      </c>
      <c r="D1128" s="159">
        <v>1</v>
      </c>
      <c r="E1128" s="159">
        <v>288.77999999999997</v>
      </c>
      <c r="F1128" s="159">
        <v>288.77999999999997</v>
      </c>
      <c r="G1128" s="160" t="s">
        <v>932</v>
      </c>
      <c r="H1128" s="34" t="s">
        <v>925</v>
      </c>
    </row>
    <row r="1129" spans="1:8" ht="16.5">
      <c r="A1129" s="160"/>
      <c r="B1129" s="160" t="s">
        <v>933</v>
      </c>
      <c r="C1129" s="157" t="s">
        <v>17</v>
      </c>
      <c r="D1129" s="159">
        <v>10</v>
      </c>
      <c r="E1129" s="159"/>
      <c r="F1129" s="159">
        <v>9914.85</v>
      </c>
      <c r="G1129" s="160"/>
    </row>
    <row r="1130" spans="1:8" ht="33">
      <c r="A1130" s="160"/>
      <c r="B1130" s="160" t="s">
        <v>934</v>
      </c>
      <c r="C1130" s="157" t="s">
        <v>17</v>
      </c>
      <c r="D1130" s="159"/>
      <c r="E1130" s="159"/>
      <c r="F1130" s="159">
        <v>991.49</v>
      </c>
      <c r="G1130" s="160"/>
      <c r="H1130" s="34" t="s">
        <v>925</v>
      </c>
    </row>
    <row r="1131" spans="1:8" ht="33">
      <c r="A1131" s="160"/>
      <c r="B1131" s="160"/>
      <c r="C1131" s="157"/>
      <c r="D1131" s="159"/>
      <c r="E1131" s="159"/>
      <c r="F1131" s="159"/>
      <c r="G1131" s="160"/>
      <c r="H1131" s="34" t="s">
        <v>925</v>
      </c>
    </row>
    <row r="1132" spans="1:8" ht="57">
      <c r="A1132" s="160" t="s">
        <v>1507</v>
      </c>
      <c r="B1132" s="160" t="s">
        <v>1375</v>
      </c>
      <c r="C1132" s="157" t="s">
        <v>3</v>
      </c>
      <c r="D1132" s="159">
        <v>10</v>
      </c>
      <c r="E1132" s="159">
        <v>576.92999999999995</v>
      </c>
      <c r="F1132" s="159"/>
      <c r="G1132" s="160" t="s">
        <v>1404</v>
      </c>
      <c r="H1132" s="34" t="s">
        <v>925</v>
      </c>
    </row>
    <row r="1133" spans="1:8" ht="33">
      <c r="A1133" s="160">
        <v>1</v>
      </c>
      <c r="B1133" s="160" t="s">
        <v>1364</v>
      </c>
      <c r="C1133" s="157" t="s">
        <v>3</v>
      </c>
      <c r="D1133" s="159">
        <v>0.25</v>
      </c>
      <c r="E1133" s="159">
        <v>2988.66</v>
      </c>
      <c r="F1133" s="159">
        <v>747.17</v>
      </c>
      <c r="G1133" s="160" t="s">
        <v>1365</v>
      </c>
      <c r="H1133" s="34" t="s">
        <v>925</v>
      </c>
    </row>
    <row r="1134" spans="1:8" ht="33">
      <c r="A1134" s="160">
        <v>2</v>
      </c>
      <c r="B1134" s="160" t="s">
        <v>1366</v>
      </c>
      <c r="C1134" s="157" t="s">
        <v>14</v>
      </c>
      <c r="D1134" s="159">
        <v>1</v>
      </c>
      <c r="E1134" s="159">
        <v>298.87</v>
      </c>
      <c r="F1134" s="159">
        <v>298.87</v>
      </c>
      <c r="G1134" s="160" t="s">
        <v>1367</v>
      </c>
      <c r="H1134" s="34" t="s">
        <v>925</v>
      </c>
    </row>
    <row r="1135" spans="1:8" ht="42.75">
      <c r="A1135" s="160">
        <v>3</v>
      </c>
      <c r="B1135" s="160" t="s">
        <v>4927</v>
      </c>
      <c r="C1135" s="157" t="s">
        <v>927</v>
      </c>
      <c r="D1135" s="159">
        <v>5.32</v>
      </c>
      <c r="E1135" s="159">
        <v>408.45</v>
      </c>
      <c r="F1135" s="159">
        <v>2172.9499999999998</v>
      </c>
      <c r="G1135" s="160" t="s">
        <v>4928</v>
      </c>
      <c r="H1135" s="34" t="s">
        <v>925</v>
      </c>
    </row>
    <row r="1136" spans="1:8" ht="33">
      <c r="A1136" s="160">
        <v>4</v>
      </c>
      <c r="B1136" s="160" t="s">
        <v>4871</v>
      </c>
      <c r="C1136" s="157" t="s">
        <v>927</v>
      </c>
      <c r="D1136" s="159">
        <v>8.51</v>
      </c>
      <c r="E1136" s="159">
        <v>279.94</v>
      </c>
      <c r="F1136" s="159">
        <v>2382.29</v>
      </c>
      <c r="G1136" s="160" t="s">
        <v>4872</v>
      </c>
      <c r="H1136" s="34" t="s">
        <v>925</v>
      </c>
    </row>
    <row r="1137" spans="1:8" ht="33">
      <c r="A1137" s="160">
        <v>5</v>
      </c>
      <c r="B1137" s="160" t="s">
        <v>931</v>
      </c>
      <c r="C1137" s="157" t="s">
        <v>14</v>
      </c>
      <c r="D1137" s="159">
        <v>1</v>
      </c>
      <c r="E1137" s="159">
        <v>168.04</v>
      </c>
      <c r="F1137" s="159">
        <v>168.04</v>
      </c>
      <c r="G1137" s="160" t="s">
        <v>932</v>
      </c>
      <c r="H1137" s="34" t="s">
        <v>925</v>
      </c>
    </row>
    <row r="1138" spans="1:8" ht="33">
      <c r="A1138" s="160"/>
      <c r="B1138" s="160" t="s">
        <v>933</v>
      </c>
      <c r="C1138" s="157" t="s">
        <v>3</v>
      </c>
      <c r="D1138" s="159">
        <v>10</v>
      </c>
      <c r="E1138" s="159"/>
      <c r="F1138" s="159">
        <v>5769.32</v>
      </c>
      <c r="G1138" s="160"/>
      <c r="H1138" s="34" t="s">
        <v>925</v>
      </c>
    </row>
    <row r="1139" spans="1:8" ht="33">
      <c r="A1139" s="160"/>
      <c r="B1139" s="160" t="s">
        <v>934</v>
      </c>
      <c r="C1139" s="157" t="s">
        <v>3</v>
      </c>
      <c r="D1139" s="159"/>
      <c r="E1139" s="159"/>
      <c r="F1139" s="159">
        <v>576.92999999999995</v>
      </c>
      <c r="G1139" s="160"/>
      <c r="H1139" s="34" t="s">
        <v>925</v>
      </c>
    </row>
    <row r="1140" spans="1:8" ht="16.5">
      <c r="A1140" s="160"/>
      <c r="B1140" s="160"/>
      <c r="C1140" s="157"/>
      <c r="D1140" s="159"/>
      <c r="E1140" s="159"/>
      <c r="F1140" s="159"/>
      <c r="G1140" s="160"/>
    </row>
    <row r="1141" spans="1:8" ht="57">
      <c r="A1141" s="160" t="s">
        <v>1512</v>
      </c>
      <c r="B1141" s="160" t="s">
        <v>1378</v>
      </c>
      <c r="C1141" s="157" t="s">
        <v>17</v>
      </c>
      <c r="D1141" s="159">
        <v>10</v>
      </c>
      <c r="E1141" s="159">
        <v>1155.1400000000001</v>
      </c>
      <c r="F1141" s="159"/>
      <c r="G1141" s="160" t="s">
        <v>1406</v>
      </c>
      <c r="H1141" s="34" t="s">
        <v>925</v>
      </c>
    </row>
    <row r="1142" spans="1:8" ht="33">
      <c r="A1142" s="160">
        <v>1</v>
      </c>
      <c r="B1142" s="160" t="s">
        <v>1364</v>
      </c>
      <c r="C1142" s="157" t="s">
        <v>3</v>
      </c>
      <c r="D1142" s="159">
        <v>0.25</v>
      </c>
      <c r="E1142" s="159">
        <v>2988.66</v>
      </c>
      <c r="F1142" s="159">
        <v>747.17</v>
      </c>
      <c r="G1142" s="160" t="s">
        <v>1365</v>
      </c>
      <c r="H1142" s="34" t="s">
        <v>925</v>
      </c>
    </row>
    <row r="1143" spans="1:8" ht="33">
      <c r="A1143" s="160">
        <v>2</v>
      </c>
      <c r="B1143" s="160" t="s">
        <v>1366</v>
      </c>
      <c r="C1143" s="157" t="s">
        <v>14</v>
      </c>
      <c r="D1143" s="159">
        <v>1</v>
      </c>
      <c r="E1143" s="159">
        <v>597.73</v>
      </c>
      <c r="F1143" s="159">
        <v>597.73</v>
      </c>
      <c r="G1143" s="160" t="s">
        <v>1367</v>
      </c>
      <c r="H1143" s="34" t="s">
        <v>925</v>
      </c>
    </row>
    <row r="1144" spans="1:8" ht="42.75">
      <c r="A1144" s="160">
        <v>3</v>
      </c>
      <c r="B1144" s="160" t="s">
        <v>4927</v>
      </c>
      <c r="C1144" s="157" t="s">
        <v>927</v>
      </c>
      <c r="D1144" s="159">
        <v>9.58</v>
      </c>
      <c r="E1144" s="159">
        <v>408.45</v>
      </c>
      <c r="F1144" s="159">
        <v>3912.95</v>
      </c>
      <c r="G1144" s="160" t="s">
        <v>4928</v>
      </c>
      <c r="H1144" s="34" t="s">
        <v>925</v>
      </c>
    </row>
    <row r="1145" spans="1:8" ht="33">
      <c r="A1145" s="160">
        <v>4</v>
      </c>
      <c r="B1145" s="160" t="s">
        <v>4871</v>
      </c>
      <c r="C1145" s="157" t="s">
        <v>927</v>
      </c>
      <c r="D1145" s="159">
        <v>21.28</v>
      </c>
      <c r="E1145" s="159">
        <v>279.94</v>
      </c>
      <c r="F1145" s="159">
        <v>5957.12</v>
      </c>
      <c r="G1145" s="160" t="s">
        <v>4872</v>
      </c>
      <c r="H1145" s="34" t="s">
        <v>925</v>
      </c>
    </row>
    <row r="1146" spans="1:8" ht="33">
      <c r="A1146" s="160">
        <v>5</v>
      </c>
      <c r="B1146" s="160" t="s">
        <v>931</v>
      </c>
      <c r="C1146" s="157" t="s">
        <v>14</v>
      </c>
      <c r="D1146" s="159">
        <v>1</v>
      </c>
      <c r="E1146" s="159">
        <v>336.45</v>
      </c>
      <c r="F1146" s="159">
        <v>336.45</v>
      </c>
      <c r="G1146" s="160" t="s">
        <v>932</v>
      </c>
      <c r="H1146" s="34" t="s">
        <v>925</v>
      </c>
    </row>
    <row r="1147" spans="1:8" ht="33">
      <c r="A1147" s="160"/>
      <c r="B1147" s="160" t="s">
        <v>933</v>
      </c>
      <c r="C1147" s="157" t="s">
        <v>17</v>
      </c>
      <c r="D1147" s="159">
        <v>10</v>
      </c>
      <c r="E1147" s="159"/>
      <c r="F1147" s="159">
        <v>11551.420000000002</v>
      </c>
      <c r="G1147" s="160"/>
      <c r="H1147" s="34" t="s">
        <v>925</v>
      </c>
    </row>
    <row r="1148" spans="1:8" ht="33">
      <c r="A1148" s="160"/>
      <c r="B1148" s="160" t="s">
        <v>934</v>
      </c>
      <c r="C1148" s="157" t="s">
        <v>17</v>
      </c>
      <c r="D1148" s="159"/>
      <c r="E1148" s="159"/>
      <c r="F1148" s="159">
        <v>1155.1400000000001</v>
      </c>
      <c r="G1148" s="160"/>
      <c r="H1148" s="34" t="s">
        <v>925</v>
      </c>
    </row>
    <row r="1149" spans="1:8" ht="33">
      <c r="A1149" s="160"/>
      <c r="B1149" s="160"/>
      <c r="C1149" s="157"/>
      <c r="D1149" s="159"/>
      <c r="E1149" s="159"/>
      <c r="F1149" s="159"/>
      <c r="G1149" s="160"/>
      <c r="H1149" s="34" t="s">
        <v>925</v>
      </c>
    </row>
    <row r="1150" spans="1:8" ht="57">
      <c r="A1150" s="160" t="s">
        <v>1517</v>
      </c>
      <c r="B1150" s="160" t="s">
        <v>1381</v>
      </c>
      <c r="C1150" s="157" t="s">
        <v>3</v>
      </c>
      <c r="D1150" s="159">
        <v>10</v>
      </c>
      <c r="E1150" s="159">
        <v>674</v>
      </c>
      <c r="F1150" s="159"/>
      <c r="G1150" s="160" t="s">
        <v>1408</v>
      </c>
      <c r="H1150" s="34" t="s">
        <v>925</v>
      </c>
    </row>
    <row r="1151" spans="1:8" ht="28.5">
      <c r="A1151" s="160">
        <v>1</v>
      </c>
      <c r="B1151" s="160" t="s">
        <v>1364</v>
      </c>
      <c r="C1151" s="157" t="s">
        <v>3</v>
      </c>
      <c r="D1151" s="159">
        <v>0.25</v>
      </c>
      <c r="E1151" s="159">
        <v>2988.66</v>
      </c>
      <c r="F1151" s="159">
        <v>747.17</v>
      </c>
      <c r="G1151" s="160" t="s">
        <v>1365</v>
      </c>
    </row>
    <row r="1152" spans="1:8" ht="33">
      <c r="A1152" s="160">
        <v>2</v>
      </c>
      <c r="B1152" s="160" t="s">
        <v>1366</v>
      </c>
      <c r="C1152" s="157" t="s">
        <v>14</v>
      </c>
      <c r="D1152" s="159">
        <v>1</v>
      </c>
      <c r="E1152" s="159">
        <v>398.49</v>
      </c>
      <c r="F1152" s="159">
        <v>398.49</v>
      </c>
      <c r="G1152" s="160" t="s">
        <v>1367</v>
      </c>
      <c r="H1152" s="34" t="s">
        <v>925</v>
      </c>
    </row>
    <row r="1153" spans="1:8" ht="42.75">
      <c r="A1153" s="160">
        <v>3</v>
      </c>
      <c r="B1153" s="160" t="s">
        <v>4927</v>
      </c>
      <c r="C1153" s="157" t="s">
        <v>927</v>
      </c>
      <c r="D1153" s="159">
        <v>6.65</v>
      </c>
      <c r="E1153" s="159">
        <v>408.45</v>
      </c>
      <c r="F1153" s="159">
        <v>2716.19</v>
      </c>
      <c r="G1153" s="160" t="s">
        <v>4928</v>
      </c>
      <c r="H1153" s="34" t="s">
        <v>925</v>
      </c>
    </row>
    <row r="1154" spans="1:8" ht="33">
      <c r="A1154" s="160">
        <v>4</v>
      </c>
      <c r="B1154" s="160" t="s">
        <v>4871</v>
      </c>
      <c r="C1154" s="157" t="s">
        <v>927</v>
      </c>
      <c r="D1154" s="159">
        <v>9.58</v>
      </c>
      <c r="E1154" s="159">
        <v>279.94</v>
      </c>
      <c r="F1154" s="159">
        <v>2681.83</v>
      </c>
      <c r="G1154" s="160" t="s">
        <v>4872</v>
      </c>
      <c r="H1154" s="34" t="s">
        <v>925</v>
      </c>
    </row>
    <row r="1155" spans="1:8" ht="33">
      <c r="A1155" s="160">
        <v>5</v>
      </c>
      <c r="B1155" s="160" t="s">
        <v>931</v>
      </c>
      <c r="C1155" s="157" t="s">
        <v>14</v>
      </c>
      <c r="D1155" s="159">
        <v>1</v>
      </c>
      <c r="E1155" s="159">
        <v>196.31</v>
      </c>
      <c r="F1155" s="159">
        <v>196.31</v>
      </c>
      <c r="G1155" s="160" t="s">
        <v>932</v>
      </c>
      <c r="H1155" s="34" t="s">
        <v>925</v>
      </c>
    </row>
    <row r="1156" spans="1:8" ht="33">
      <c r="A1156" s="160"/>
      <c r="B1156" s="160" t="s">
        <v>933</v>
      </c>
      <c r="C1156" s="157" t="s">
        <v>3</v>
      </c>
      <c r="D1156" s="159">
        <v>10</v>
      </c>
      <c r="E1156" s="159"/>
      <c r="F1156" s="159">
        <v>6739.9900000000007</v>
      </c>
      <c r="G1156" s="160"/>
      <c r="H1156" s="34" t="s">
        <v>925</v>
      </c>
    </row>
    <row r="1157" spans="1:8" ht="33">
      <c r="A1157" s="160"/>
      <c r="B1157" s="160" t="s">
        <v>934</v>
      </c>
      <c r="C1157" s="157" t="s">
        <v>3</v>
      </c>
      <c r="D1157" s="159"/>
      <c r="E1157" s="159"/>
      <c r="F1157" s="159">
        <v>674</v>
      </c>
      <c r="G1157" s="160"/>
      <c r="H1157" s="34" t="s">
        <v>925</v>
      </c>
    </row>
    <row r="1158" spans="1:8" ht="16.5">
      <c r="A1158" s="160"/>
      <c r="B1158" s="160"/>
      <c r="C1158" s="157"/>
      <c r="D1158" s="159"/>
      <c r="E1158" s="159"/>
      <c r="F1158" s="159"/>
      <c r="G1158" s="160"/>
    </row>
    <row r="1159" spans="1:8" ht="33">
      <c r="A1159" s="160" t="s">
        <v>1524</v>
      </c>
      <c r="B1159" s="160" t="s">
        <v>4551</v>
      </c>
      <c r="C1159" s="157" t="s">
        <v>17</v>
      </c>
      <c r="D1159" s="159">
        <v>10</v>
      </c>
      <c r="E1159" s="159">
        <v>1302.43</v>
      </c>
      <c r="F1159" s="159"/>
      <c r="G1159" s="160" t="s">
        <v>4933</v>
      </c>
      <c r="H1159" s="34" t="s">
        <v>925</v>
      </c>
    </row>
    <row r="1160" spans="1:8" ht="33">
      <c r="A1160" s="160">
        <v>1</v>
      </c>
      <c r="B1160" s="160" t="s">
        <v>1364</v>
      </c>
      <c r="C1160" s="157" t="s">
        <v>3</v>
      </c>
      <c r="D1160" s="159">
        <v>0.25</v>
      </c>
      <c r="E1160" s="159">
        <v>2988.66</v>
      </c>
      <c r="F1160" s="159">
        <v>747.17</v>
      </c>
      <c r="G1160" s="160" t="s">
        <v>1365</v>
      </c>
      <c r="H1160" s="34" t="s">
        <v>925</v>
      </c>
    </row>
    <row r="1161" spans="1:8" ht="33">
      <c r="A1161" s="160">
        <v>2</v>
      </c>
      <c r="B1161" s="160" t="s">
        <v>1366</v>
      </c>
      <c r="C1161" s="157" t="s">
        <v>14</v>
      </c>
      <c r="D1161" s="159">
        <v>1</v>
      </c>
      <c r="E1161" s="159">
        <v>498.11</v>
      </c>
      <c r="F1161" s="159">
        <v>498.11</v>
      </c>
      <c r="G1161" s="160" t="s">
        <v>1367</v>
      </c>
      <c r="H1161" s="34" t="s">
        <v>925</v>
      </c>
    </row>
    <row r="1162" spans="1:8" ht="42.75">
      <c r="A1162" s="160">
        <v>3</v>
      </c>
      <c r="B1162" s="160" t="s">
        <v>4930</v>
      </c>
      <c r="C1162" s="157" t="s">
        <v>927</v>
      </c>
      <c r="D1162" s="159">
        <v>8.2799999999999994</v>
      </c>
      <c r="E1162" s="159">
        <v>816.9</v>
      </c>
      <c r="F1162" s="159">
        <v>6763.93</v>
      </c>
      <c r="G1162" s="160" t="s">
        <v>4931</v>
      </c>
      <c r="H1162" s="34" t="s">
        <v>925</v>
      </c>
    </row>
    <row r="1163" spans="1:8" ht="42.75">
      <c r="A1163" s="160">
        <v>4</v>
      </c>
      <c r="B1163" s="160" t="s">
        <v>4874</v>
      </c>
      <c r="C1163" s="157" t="s">
        <v>927</v>
      </c>
      <c r="D1163" s="159">
        <v>8.2799999999999994</v>
      </c>
      <c r="E1163" s="159">
        <v>559.87</v>
      </c>
      <c r="F1163" s="159">
        <v>4635.72</v>
      </c>
      <c r="G1163" s="160" t="s">
        <v>4875</v>
      </c>
      <c r="H1163" s="34" t="s">
        <v>925</v>
      </c>
    </row>
    <row r="1164" spans="1:8" ht="33">
      <c r="A1164" s="160">
        <v>5</v>
      </c>
      <c r="B1164" s="160" t="s">
        <v>931</v>
      </c>
      <c r="C1164" s="157" t="s">
        <v>14</v>
      </c>
      <c r="D1164" s="159">
        <v>1</v>
      </c>
      <c r="E1164" s="159">
        <v>379.35</v>
      </c>
      <c r="F1164" s="159">
        <v>379.35</v>
      </c>
      <c r="G1164" s="160" t="s">
        <v>932</v>
      </c>
      <c r="H1164" s="34" t="s">
        <v>925</v>
      </c>
    </row>
    <row r="1165" spans="1:8" ht="16.5">
      <c r="A1165" s="160"/>
      <c r="B1165" s="160" t="s">
        <v>933</v>
      </c>
      <c r="C1165" s="157" t="s">
        <v>17</v>
      </c>
      <c r="D1165" s="159">
        <v>10</v>
      </c>
      <c r="E1165" s="159"/>
      <c r="F1165" s="159">
        <v>13024.28</v>
      </c>
      <c r="G1165" s="160"/>
    </row>
    <row r="1166" spans="1:8" ht="33">
      <c r="A1166" s="160"/>
      <c r="B1166" s="160" t="s">
        <v>934</v>
      </c>
      <c r="C1166" s="157" t="s">
        <v>17</v>
      </c>
      <c r="D1166" s="159"/>
      <c r="E1166" s="159"/>
      <c r="F1166" s="159">
        <v>1302.43</v>
      </c>
      <c r="G1166" s="160"/>
      <c r="H1166" s="34" t="s">
        <v>925</v>
      </c>
    </row>
    <row r="1167" spans="1:8" ht="33">
      <c r="A1167" s="160"/>
      <c r="B1167" s="160"/>
      <c r="C1167" s="157"/>
      <c r="D1167" s="159"/>
      <c r="E1167" s="159"/>
      <c r="F1167" s="159"/>
      <c r="G1167" s="160"/>
      <c r="H1167" s="34" t="s">
        <v>925</v>
      </c>
    </row>
    <row r="1168" spans="1:8" ht="33">
      <c r="A1168" s="160" t="s">
        <v>1532</v>
      </c>
      <c r="B1168" s="160" t="s">
        <v>4553</v>
      </c>
      <c r="C1168" s="157" t="s">
        <v>3</v>
      </c>
      <c r="D1168" s="159">
        <v>10</v>
      </c>
      <c r="E1168" s="159">
        <v>749.79</v>
      </c>
      <c r="F1168" s="159"/>
      <c r="G1168" s="160" t="s">
        <v>4934</v>
      </c>
      <c r="H1168" s="34" t="s">
        <v>925</v>
      </c>
    </row>
    <row r="1169" spans="1:8" ht="33">
      <c r="A1169" s="160">
        <v>1</v>
      </c>
      <c r="B1169" s="160" t="s">
        <v>1364</v>
      </c>
      <c r="C1169" s="157" t="s">
        <v>3</v>
      </c>
      <c r="D1169" s="159">
        <v>0.25</v>
      </c>
      <c r="E1169" s="159">
        <v>2988.66</v>
      </c>
      <c r="F1169" s="159">
        <v>747.17</v>
      </c>
      <c r="G1169" s="160" t="s">
        <v>1365</v>
      </c>
      <c r="H1169" s="34" t="s">
        <v>925</v>
      </c>
    </row>
    <row r="1170" spans="1:8" ht="33">
      <c r="A1170" s="160">
        <v>2</v>
      </c>
      <c r="B1170" s="160" t="s">
        <v>1366</v>
      </c>
      <c r="C1170" s="157" t="s">
        <v>14</v>
      </c>
      <c r="D1170" s="159">
        <v>1</v>
      </c>
      <c r="E1170" s="159">
        <v>199.24</v>
      </c>
      <c r="F1170" s="159">
        <v>199.24</v>
      </c>
      <c r="G1170" s="160" t="s">
        <v>1367</v>
      </c>
      <c r="H1170" s="34" t="s">
        <v>925</v>
      </c>
    </row>
    <row r="1171" spans="1:8" ht="42.75">
      <c r="A1171" s="160">
        <v>3</v>
      </c>
      <c r="B1171" s="160" t="s">
        <v>4930</v>
      </c>
      <c r="C1171" s="157" t="s">
        <v>927</v>
      </c>
      <c r="D1171" s="159">
        <v>4.5999999999999996</v>
      </c>
      <c r="E1171" s="159">
        <v>816.9</v>
      </c>
      <c r="F1171" s="159">
        <v>3757.74</v>
      </c>
      <c r="G1171" s="160" t="s">
        <v>4931</v>
      </c>
      <c r="H1171" s="34" t="s">
        <v>925</v>
      </c>
    </row>
    <row r="1172" spans="1:8" ht="42.75">
      <c r="A1172" s="160">
        <v>4</v>
      </c>
      <c r="B1172" s="160" t="s">
        <v>4874</v>
      </c>
      <c r="C1172" s="157" t="s">
        <v>927</v>
      </c>
      <c r="D1172" s="159">
        <v>4.5999999999999996</v>
      </c>
      <c r="E1172" s="159">
        <v>559.87</v>
      </c>
      <c r="F1172" s="159">
        <v>2575.4</v>
      </c>
      <c r="G1172" s="160" t="s">
        <v>4875</v>
      </c>
      <c r="H1172" s="34" t="s">
        <v>925</v>
      </c>
    </row>
    <row r="1173" spans="1:8" ht="28.5">
      <c r="A1173" s="160">
        <v>5</v>
      </c>
      <c r="B1173" s="160" t="s">
        <v>931</v>
      </c>
      <c r="C1173" s="157" t="s">
        <v>14</v>
      </c>
      <c r="D1173" s="159">
        <v>1</v>
      </c>
      <c r="E1173" s="159">
        <v>218.39</v>
      </c>
      <c r="F1173" s="159">
        <v>218.39</v>
      </c>
      <c r="G1173" s="160" t="s">
        <v>932</v>
      </c>
    </row>
    <row r="1174" spans="1:8" ht="33">
      <c r="A1174" s="160"/>
      <c r="B1174" s="160" t="s">
        <v>933</v>
      </c>
      <c r="C1174" s="157" t="s">
        <v>3</v>
      </c>
      <c r="D1174" s="159">
        <v>10</v>
      </c>
      <c r="E1174" s="159"/>
      <c r="F1174" s="159">
        <v>7497.94</v>
      </c>
      <c r="G1174" s="160"/>
      <c r="H1174" s="34" t="s">
        <v>925</v>
      </c>
    </row>
    <row r="1175" spans="1:8" ht="33">
      <c r="A1175" s="160"/>
      <c r="B1175" s="160" t="s">
        <v>934</v>
      </c>
      <c r="C1175" s="157" t="s">
        <v>3</v>
      </c>
      <c r="D1175" s="159"/>
      <c r="E1175" s="159"/>
      <c r="F1175" s="159">
        <v>749.79</v>
      </c>
      <c r="G1175" s="160"/>
      <c r="H1175" s="34" t="s">
        <v>925</v>
      </c>
    </row>
    <row r="1176" spans="1:8" ht="33">
      <c r="A1176" s="160"/>
      <c r="B1176" s="160"/>
      <c r="C1176" s="157"/>
      <c r="D1176" s="159"/>
      <c r="E1176" s="159"/>
      <c r="F1176" s="159"/>
      <c r="G1176" s="160"/>
      <c r="H1176" s="34" t="s">
        <v>925</v>
      </c>
    </row>
    <row r="1177" spans="1:8" ht="33">
      <c r="A1177" s="160" t="s">
        <v>1542</v>
      </c>
      <c r="B1177" s="160" t="s">
        <v>4555</v>
      </c>
      <c r="C1177" s="157" t="s">
        <v>17</v>
      </c>
      <c r="D1177" s="159">
        <v>10</v>
      </c>
      <c r="E1177" s="159">
        <v>1620.75</v>
      </c>
      <c r="F1177" s="159"/>
      <c r="G1177" s="160" t="s">
        <v>4935</v>
      </c>
      <c r="H1177" s="34" t="s">
        <v>925</v>
      </c>
    </row>
    <row r="1178" spans="1:8" ht="33">
      <c r="A1178" s="160">
        <v>1</v>
      </c>
      <c r="B1178" s="160" t="s">
        <v>1364</v>
      </c>
      <c r="C1178" s="157" t="s">
        <v>3</v>
      </c>
      <c r="D1178" s="159">
        <v>0.25</v>
      </c>
      <c r="E1178" s="159">
        <v>2988.66</v>
      </c>
      <c r="F1178" s="159">
        <v>747.17</v>
      </c>
      <c r="G1178" s="160" t="s">
        <v>1365</v>
      </c>
      <c r="H1178" s="34" t="s">
        <v>925</v>
      </c>
    </row>
    <row r="1179" spans="1:8" ht="33">
      <c r="A1179" s="160">
        <v>2</v>
      </c>
      <c r="B1179" s="160" t="s">
        <v>1366</v>
      </c>
      <c r="C1179" s="157" t="s">
        <v>14</v>
      </c>
      <c r="D1179" s="159">
        <v>1</v>
      </c>
      <c r="E1179" s="159">
        <v>498.11</v>
      </c>
      <c r="F1179" s="159">
        <v>498.11</v>
      </c>
      <c r="G1179" s="160" t="s">
        <v>1367</v>
      </c>
      <c r="H1179" s="34" t="s">
        <v>925</v>
      </c>
    </row>
    <row r="1180" spans="1:8" ht="42.75">
      <c r="A1180" s="160">
        <v>3</v>
      </c>
      <c r="B1180" s="160" t="s">
        <v>4930</v>
      </c>
      <c r="C1180" s="157" t="s">
        <v>927</v>
      </c>
      <c r="D1180" s="159">
        <v>8.2799999999999994</v>
      </c>
      <c r="E1180" s="159">
        <v>816.9</v>
      </c>
      <c r="F1180" s="159">
        <v>6763.93</v>
      </c>
      <c r="G1180" s="160" t="s">
        <v>4931</v>
      </c>
      <c r="H1180" s="34" t="s">
        <v>925</v>
      </c>
    </row>
    <row r="1181" spans="1:8" ht="42.75">
      <c r="A1181" s="160">
        <v>4</v>
      </c>
      <c r="B1181" s="160" t="s">
        <v>4874</v>
      </c>
      <c r="C1181" s="157" t="s">
        <v>927</v>
      </c>
      <c r="D1181" s="159">
        <v>13.8</v>
      </c>
      <c r="E1181" s="159">
        <v>559.87</v>
      </c>
      <c r="F1181" s="159">
        <v>7726.21</v>
      </c>
      <c r="G1181" s="160" t="s">
        <v>4875</v>
      </c>
    </row>
    <row r="1182" spans="1:8" ht="33">
      <c r="A1182" s="160">
        <v>5</v>
      </c>
      <c r="B1182" s="160" t="s">
        <v>931</v>
      </c>
      <c r="C1182" s="157" t="s">
        <v>14</v>
      </c>
      <c r="D1182" s="159">
        <v>1</v>
      </c>
      <c r="E1182" s="159">
        <v>472.06</v>
      </c>
      <c r="F1182" s="159">
        <v>472.06</v>
      </c>
      <c r="G1182" s="160" t="s">
        <v>932</v>
      </c>
      <c r="H1182" s="34" t="s">
        <v>925</v>
      </c>
    </row>
    <row r="1183" spans="1:8" ht="33">
      <c r="A1183" s="160"/>
      <c r="B1183" s="160" t="s">
        <v>933</v>
      </c>
      <c r="C1183" s="157" t="s">
        <v>17</v>
      </c>
      <c r="D1183" s="159">
        <v>10</v>
      </c>
      <c r="E1183" s="159"/>
      <c r="F1183" s="159">
        <v>16207.48</v>
      </c>
      <c r="G1183" s="160"/>
      <c r="H1183" s="34" t="s">
        <v>925</v>
      </c>
    </row>
    <row r="1184" spans="1:8" ht="33">
      <c r="A1184" s="160"/>
      <c r="B1184" s="160" t="s">
        <v>934</v>
      </c>
      <c r="C1184" s="157" t="s">
        <v>17</v>
      </c>
      <c r="D1184" s="159"/>
      <c r="E1184" s="159"/>
      <c r="F1184" s="159">
        <v>1620.75</v>
      </c>
      <c r="G1184" s="160"/>
      <c r="H1184" s="34" t="s">
        <v>925</v>
      </c>
    </row>
    <row r="1185" spans="1:8" ht="33">
      <c r="A1185" s="160"/>
      <c r="B1185" s="160"/>
      <c r="C1185" s="157"/>
      <c r="D1185" s="159"/>
      <c r="E1185" s="159"/>
      <c r="F1185" s="159"/>
      <c r="G1185" s="160"/>
      <c r="H1185" s="34" t="s">
        <v>925</v>
      </c>
    </row>
    <row r="1186" spans="1:8" ht="33">
      <c r="A1186" s="160" t="s">
        <v>1549</v>
      </c>
      <c r="B1186" s="160" t="s">
        <v>4557</v>
      </c>
      <c r="C1186" s="157" t="s">
        <v>3</v>
      </c>
      <c r="D1186" s="159">
        <v>10</v>
      </c>
      <c r="E1186" s="159">
        <v>919.22</v>
      </c>
      <c r="F1186" s="159"/>
      <c r="G1186" s="160" t="s">
        <v>4936</v>
      </c>
      <c r="H1186" s="34" t="s">
        <v>925</v>
      </c>
    </row>
    <row r="1187" spans="1:8" ht="33">
      <c r="A1187" s="160">
        <v>1</v>
      </c>
      <c r="B1187" s="160" t="s">
        <v>1364</v>
      </c>
      <c r="C1187" s="157" t="s">
        <v>3</v>
      </c>
      <c r="D1187" s="159">
        <v>0.25</v>
      </c>
      <c r="E1187" s="159">
        <v>2988.66</v>
      </c>
      <c r="F1187" s="159">
        <v>747.17</v>
      </c>
      <c r="G1187" s="160" t="s">
        <v>1365</v>
      </c>
      <c r="H1187" s="34" t="s">
        <v>925</v>
      </c>
    </row>
    <row r="1188" spans="1:8" ht="33">
      <c r="A1188" s="160">
        <v>2</v>
      </c>
      <c r="B1188" s="160" t="s">
        <v>1366</v>
      </c>
      <c r="C1188" s="157" t="s">
        <v>14</v>
      </c>
      <c r="D1188" s="159">
        <v>1</v>
      </c>
      <c r="E1188" s="159">
        <v>298.87</v>
      </c>
      <c r="F1188" s="159">
        <v>298.87</v>
      </c>
      <c r="G1188" s="160" t="s">
        <v>1367</v>
      </c>
      <c r="H1188" s="34" t="s">
        <v>925</v>
      </c>
    </row>
    <row r="1189" spans="1:8" ht="42.75">
      <c r="A1189" s="160">
        <v>3</v>
      </c>
      <c r="B1189" s="160" t="s">
        <v>4930</v>
      </c>
      <c r="C1189" s="157" t="s">
        <v>927</v>
      </c>
      <c r="D1189" s="159">
        <v>4.5999999999999996</v>
      </c>
      <c r="E1189" s="159">
        <v>816.9</v>
      </c>
      <c r="F1189" s="159">
        <v>3757.74</v>
      </c>
      <c r="G1189" s="160" t="s">
        <v>4931</v>
      </c>
    </row>
    <row r="1190" spans="1:8" ht="42.75">
      <c r="A1190" s="160">
        <v>4</v>
      </c>
      <c r="B1190" s="160" t="s">
        <v>4874</v>
      </c>
      <c r="C1190" s="157" t="s">
        <v>927</v>
      </c>
      <c r="D1190" s="159">
        <v>7.36</v>
      </c>
      <c r="E1190" s="159">
        <v>559.87</v>
      </c>
      <c r="F1190" s="159">
        <v>4120.6400000000003</v>
      </c>
      <c r="G1190" s="160" t="s">
        <v>4875</v>
      </c>
      <c r="H1190" s="34" t="s">
        <v>925</v>
      </c>
    </row>
    <row r="1191" spans="1:8" ht="33">
      <c r="A1191" s="160">
        <v>5</v>
      </c>
      <c r="B1191" s="160" t="s">
        <v>931</v>
      </c>
      <c r="C1191" s="157" t="s">
        <v>14</v>
      </c>
      <c r="D1191" s="159">
        <v>1</v>
      </c>
      <c r="E1191" s="159">
        <v>267.73</v>
      </c>
      <c r="F1191" s="159">
        <v>267.73</v>
      </c>
      <c r="G1191" s="160" t="s">
        <v>932</v>
      </c>
      <c r="H1191" s="34" t="s">
        <v>925</v>
      </c>
    </row>
    <row r="1192" spans="1:8" ht="33">
      <c r="A1192" s="160"/>
      <c r="B1192" s="160" t="s">
        <v>933</v>
      </c>
      <c r="C1192" s="157" t="s">
        <v>3</v>
      </c>
      <c r="D1192" s="159">
        <v>10</v>
      </c>
      <c r="E1192" s="159"/>
      <c r="F1192" s="159">
        <v>9192.15</v>
      </c>
      <c r="G1192" s="160"/>
      <c r="H1192" s="34" t="s">
        <v>925</v>
      </c>
    </row>
    <row r="1193" spans="1:8" ht="33">
      <c r="A1193" s="160"/>
      <c r="B1193" s="160" t="s">
        <v>934</v>
      </c>
      <c r="C1193" s="157" t="s">
        <v>3</v>
      </c>
      <c r="D1193" s="159"/>
      <c r="E1193" s="159"/>
      <c r="F1193" s="159">
        <v>919.22</v>
      </c>
      <c r="G1193" s="160"/>
      <c r="H1193" s="34" t="s">
        <v>925</v>
      </c>
    </row>
    <row r="1194" spans="1:8" ht="33">
      <c r="A1194" s="160"/>
      <c r="B1194" s="160"/>
      <c r="C1194" s="157"/>
      <c r="D1194" s="159"/>
      <c r="E1194" s="159"/>
      <c r="F1194" s="159"/>
      <c r="G1194" s="160"/>
      <c r="H1194" s="34" t="s">
        <v>925</v>
      </c>
    </row>
    <row r="1195" spans="1:8" ht="33">
      <c r="A1195" s="160" t="s">
        <v>1556</v>
      </c>
      <c r="B1195" s="160" t="s">
        <v>4559</v>
      </c>
      <c r="C1195" s="157" t="s">
        <v>17</v>
      </c>
      <c r="D1195" s="159">
        <v>10</v>
      </c>
      <c r="E1195" s="159">
        <v>1896.28</v>
      </c>
      <c r="F1195" s="159"/>
      <c r="G1195" s="160" t="s">
        <v>4937</v>
      </c>
      <c r="H1195" s="34" t="s">
        <v>925</v>
      </c>
    </row>
    <row r="1196" spans="1:8" ht="33">
      <c r="A1196" s="160">
        <v>1</v>
      </c>
      <c r="B1196" s="160" t="s">
        <v>1364</v>
      </c>
      <c r="C1196" s="157" t="s">
        <v>3</v>
      </c>
      <c r="D1196" s="159">
        <v>0.25</v>
      </c>
      <c r="E1196" s="159">
        <v>2988.66</v>
      </c>
      <c r="F1196" s="159">
        <v>747.17</v>
      </c>
      <c r="G1196" s="160" t="s">
        <v>1365</v>
      </c>
      <c r="H1196" s="34" t="s">
        <v>925</v>
      </c>
    </row>
    <row r="1197" spans="1:8" ht="28.5">
      <c r="A1197" s="160">
        <v>2</v>
      </c>
      <c r="B1197" s="160" t="s">
        <v>1366</v>
      </c>
      <c r="C1197" s="157" t="s">
        <v>14</v>
      </c>
      <c r="D1197" s="159">
        <v>1</v>
      </c>
      <c r="E1197" s="159">
        <v>597.73</v>
      </c>
      <c r="F1197" s="159">
        <v>597.73</v>
      </c>
      <c r="G1197" s="160" t="s">
        <v>1367</v>
      </c>
    </row>
    <row r="1198" spans="1:8" ht="42.75">
      <c r="A1198" s="160">
        <v>3</v>
      </c>
      <c r="B1198" s="160" t="s">
        <v>4930</v>
      </c>
      <c r="C1198" s="157" t="s">
        <v>927</v>
      </c>
      <c r="D1198" s="159">
        <v>8.2799999999999994</v>
      </c>
      <c r="E1198" s="159">
        <v>816.9</v>
      </c>
      <c r="F1198" s="159">
        <v>6763.93</v>
      </c>
      <c r="G1198" s="160" t="s">
        <v>4931</v>
      </c>
      <c r="H1198" s="34" t="s">
        <v>925</v>
      </c>
    </row>
    <row r="1199" spans="1:8" ht="42.75">
      <c r="A1199" s="160">
        <v>4</v>
      </c>
      <c r="B1199" s="160" t="s">
        <v>4874</v>
      </c>
      <c r="C1199" s="157" t="s">
        <v>927</v>
      </c>
      <c r="D1199" s="159">
        <v>18.399999999999999</v>
      </c>
      <c r="E1199" s="159">
        <v>559.87</v>
      </c>
      <c r="F1199" s="159">
        <v>10301.61</v>
      </c>
      <c r="G1199" s="160" t="s">
        <v>4875</v>
      </c>
      <c r="H1199" s="34" t="s">
        <v>925</v>
      </c>
    </row>
    <row r="1200" spans="1:8" ht="33">
      <c r="A1200" s="160">
        <v>5</v>
      </c>
      <c r="B1200" s="160" t="s">
        <v>931</v>
      </c>
      <c r="C1200" s="157" t="s">
        <v>14</v>
      </c>
      <c r="D1200" s="159">
        <v>1</v>
      </c>
      <c r="E1200" s="159">
        <v>552.30999999999995</v>
      </c>
      <c r="F1200" s="159">
        <v>552.30999999999995</v>
      </c>
      <c r="G1200" s="160" t="s">
        <v>932</v>
      </c>
      <c r="H1200" s="34" t="s">
        <v>925</v>
      </c>
    </row>
    <row r="1201" spans="1:8" ht="33">
      <c r="A1201" s="160"/>
      <c r="B1201" s="160" t="s">
        <v>933</v>
      </c>
      <c r="C1201" s="157" t="s">
        <v>17</v>
      </c>
      <c r="D1201" s="159">
        <v>10</v>
      </c>
      <c r="E1201" s="159"/>
      <c r="F1201" s="159">
        <v>18962.750000000004</v>
      </c>
      <c r="G1201" s="160"/>
      <c r="H1201" s="34" t="s">
        <v>925</v>
      </c>
    </row>
    <row r="1202" spans="1:8" ht="33">
      <c r="A1202" s="160"/>
      <c r="B1202" s="160" t="s">
        <v>934</v>
      </c>
      <c r="C1202" s="157" t="s">
        <v>17</v>
      </c>
      <c r="D1202" s="159"/>
      <c r="E1202" s="159"/>
      <c r="F1202" s="159">
        <v>1896.28</v>
      </c>
      <c r="G1202" s="160"/>
      <c r="H1202" s="34" t="s">
        <v>925</v>
      </c>
    </row>
    <row r="1203" spans="1:8" ht="33">
      <c r="A1203" s="160"/>
      <c r="B1203" s="160"/>
      <c r="C1203" s="157"/>
      <c r="D1203" s="159"/>
      <c r="E1203" s="159"/>
      <c r="F1203" s="159"/>
      <c r="G1203" s="160"/>
      <c r="H1203" s="34" t="s">
        <v>925</v>
      </c>
    </row>
    <row r="1204" spans="1:8" ht="33">
      <c r="A1204" s="160" t="s">
        <v>1563</v>
      </c>
      <c r="B1204" s="160" t="s">
        <v>4561</v>
      </c>
      <c r="C1204" s="157" t="s">
        <v>3</v>
      </c>
      <c r="D1204" s="159">
        <v>10</v>
      </c>
      <c r="E1204" s="159">
        <v>1079.29</v>
      </c>
      <c r="F1204" s="159"/>
      <c r="G1204" s="160" t="s">
        <v>4938</v>
      </c>
      <c r="H1204" s="34" t="s">
        <v>925</v>
      </c>
    </row>
    <row r="1205" spans="1:8" ht="28.5">
      <c r="A1205" s="160">
        <v>1</v>
      </c>
      <c r="B1205" s="160" t="s">
        <v>1364</v>
      </c>
      <c r="C1205" s="157" t="s">
        <v>3</v>
      </c>
      <c r="D1205" s="159">
        <v>0.25</v>
      </c>
      <c r="E1205" s="159">
        <v>2988.66</v>
      </c>
      <c r="F1205" s="159">
        <v>747.17</v>
      </c>
      <c r="G1205" s="160" t="s">
        <v>1365</v>
      </c>
    </row>
    <row r="1206" spans="1:8" ht="33">
      <c r="A1206" s="160">
        <v>2</v>
      </c>
      <c r="B1206" s="160" t="s">
        <v>1366</v>
      </c>
      <c r="C1206" s="157" t="s">
        <v>14</v>
      </c>
      <c r="D1206" s="159">
        <v>1</v>
      </c>
      <c r="E1206" s="159">
        <v>398.49</v>
      </c>
      <c r="F1206" s="159">
        <v>398.49</v>
      </c>
      <c r="G1206" s="160" t="s">
        <v>1367</v>
      </c>
      <c r="H1206" s="34" t="s">
        <v>925</v>
      </c>
    </row>
    <row r="1207" spans="1:8" ht="42.75">
      <c r="A1207" s="160">
        <v>3</v>
      </c>
      <c r="B1207" s="160" t="s">
        <v>4930</v>
      </c>
      <c r="C1207" s="157" t="s">
        <v>927</v>
      </c>
      <c r="D1207" s="159">
        <v>5.75</v>
      </c>
      <c r="E1207" s="159">
        <v>816.9</v>
      </c>
      <c r="F1207" s="159">
        <v>4697.18</v>
      </c>
      <c r="G1207" s="160" t="s">
        <v>4931</v>
      </c>
      <c r="H1207" s="34" t="s">
        <v>925</v>
      </c>
    </row>
    <row r="1208" spans="1:8" ht="42.75">
      <c r="A1208" s="160">
        <v>4</v>
      </c>
      <c r="B1208" s="160" t="s">
        <v>4874</v>
      </c>
      <c r="C1208" s="157" t="s">
        <v>927</v>
      </c>
      <c r="D1208" s="159">
        <v>8.2799999999999994</v>
      </c>
      <c r="E1208" s="159">
        <v>559.87</v>
      </c>
      <c r="F1208" s="159">
        <v>4635.72</v>
      </c>
      <c r="G1208" s="160" t="s">
        <v>4875</v>
      </c>
      <c r="H1208" s="34" t="s">
        <v>925</v>
      </c>
    </row>
    <row r="1209" spans="1:8" ht="33">
      <c r="A1209" s="160">
        <v>5</v>
      </c>
      <c r="B1209" s="160" t="s">
        <v>931</v>
      </c>
      <c r="C1209" s="157" t="s">
        <v>14</v>
      </c>
      <c r="D1209" s="159">
        <v>1</v>
      </c>
      <c r="E1209" s="159">
        <v>314.36</v>
      </c>
      <c r="F1209" s="159">
        <v>314.36</v>
      </c>
      <c r="G1209" s="160" t="s">
        <v>932</v>
      </c>
      <c r="H1209" s="34" t="s">
        <v>925</v>
      </c>
    </row>
    <row r="1210" spans="1:8" ht="33">
      <c r="A1210" s="160"/>
      <c r="B1210" s="160" t="s">
        <v>933</v>
      </c>
      <c r="C1210" s="157" t="s">
        <v>3</v>
      </c>
      <c r="D1210" s="159">
        <v>10</v>
      </c>
      <c r="E1210" s="159"/>
      <c r="F1210" s="159">
        <v>10792.920000000002</v>
      </c>
      <c r="G1210" s="160"/>
      <c r="H1210" s="34" t="s">
        <v>925</v>
      </c>
    </row>
    <row r="1211" spans="1:8" ht="33">
      <c r="A1211" s="160"/>
      <c r="B1211" s="160" t="s">
        <v>934</v>
      </c>
      <c r="C1211" s="157" t="s">
        <v>3</v>
      </c>
      <c r="D1211" s="159"/>
      <c r="E1211" s="159"/>
      <c r="F1211" s="159">
        <v>1079.29</v>
      </c>
      <c r="G1211" s="160"/>
      <c r="H1211" s="34" t="s">
        <v>925</v>
      </c>
    </row>
    <row r="1212" spans="1:8" ht="33">
      <c r="A1212" s="160"/>
      <c r="B1212" s="160"/>
      <c r="C1212" s="157"/>
      <c r="D1212" s="159"/>
      <c r="E1212" s="159"/>
      <c r="F1212" s="159"/>
      <c r="G1212" s="160"/>
      <c r="H1212" s="34" t="s">
        <v>925</v>
      </c>
    </row>
    <row r="1213" spans="1:8" ht="28.5">
      <c r="A1213" s="160" t="s">
        <v>1570</v>
      </c>
      <c r="B1213" s="160" t="s">
        <v>1472</v>
      </c>
      <c r="C1213" s="157" t="s">
        <v>4563</v>
      </c>
      <c r="D1213" s="159">
        <v>10</v>
      </c>
      <c r="E1213" s="159">
        <v>265.76</v>
      </c>
      <c r="F1213" s="159"/>
      <c r="G1213" s="160" t="s">
        <v>1473</v>
      </c>
    </row>
    <row r="1214" spans="1:8" ht="33">
      <c r="A1214" s="160">
        <v>1</v>
      </c>
      <c r="B1214" s="160" t="s">
        <v>1364</v>
      </c>
      <c r="C1214" s="157" t="s">
        <v>3</v>
      </c>
      <c r="D1214" s="159">
        <v>0.25</v>
      </c>
      <c r="E1214" s="159">
        <v>2988.66</v>
      </c>
      <c r="F1214" s="159">
        <v>747.17</v>
      </c>
      <c r="G1214" s="160" t="s">
        <v>1365</v>
      </c>
      <c r="H1214" s="34" t="s">
        <v>925</v>
      </c>
    </row>
    <row r="1215" spans="1:8" ht="33">
      <c r="A1215" s="160">
        <v>2</v>
      </c>
      <c r="B1215" s="160" t="s">
        <v>1366</v>
      </c>
      <c r="C1215" s="157" t="s">
        <v>14</v>
      </c>
      <c r="D1215" s="159">
        <v>1</v>
      </c>
      <c r="E1215" s="159">
        <v>199.24</v>
      </c>
      <c r="F1215" s="159">
        <v>199.24</v>
      </c>
      <c r="G1215" s="160" t="s">
        <v>1367</v>
      </c>
      <c r="H1215" s="34" t="s">
        <v>925</v>
      </c>
    </row>
    <row r="1216" spans="1:8" ht="42.75">
      <c r="A1216" s="160">
        <v>3</v>
      </c>
      <c r="B1216" s="160" t="s">
        <v>4927</v>
      </c>
      <c r="C1216" s="157" t="s">
        <v>927</v>
      </c>
      <c r="D1216" s="159">
        <v>4</v>
      </c>
      <c r="E1216" s="159">
        <v>408.45</v>
      </c>
      <c r="F1216" s="159">
        <v>1633.8</v>
      </c>
      <c r="G1216" s="160" t="s">
        <v>4928</v>
      </c>
      <c r="H1216" s="34" t="s">
        <v>925</v>
      </c>
    </row>
    <row r="1217" spans="1:8" ht="33">
      <c r="A1217" s="160">
        <v>4</v>
      </c>
      <c r="B1217" s="160" t="s">
        <v>931</v>
      </c>
      <c r="C1217" s="157" t="s">
        <v>14</v>
      </c>
      <c r="D1217" s="159">
        <v>1</v>
      </c>
      <c r="E1217" s="159">
        <v>77.41</v>
      </c>
      <c r="F1217" s="159">
        <v>77.41</v>
      </c>
      <c r="G1217" s="160" t="s">
        <v>932</v>
      </c>
      <c r="H1217" s="34" t="s">
        <v>925</v>
      </c>
    </row>
    <row r="1218" spans="1:8" ht="33">
      <c r="A1218" s="160"/>
      <c r="B1218" s="160" t="s">
        <v>933</v>
      </c>
      <c r="C1218" s="157" t="s">
        <v>4563</v>
      </c>
      <c r="D1218" s="159">
        <v>10</v>
      </c>
      <c r="E1218" s="159"/>
      <c r="F1218" s="159">
        <v>2657.62</v>
      </c>
      <c r="G1218" s="160"/>
      <c r="H1218" s="34" t="s">
        <v>925</v>
      </c>
    </row>
    <row r="1219" spans="1:8" ht="33">
      <c r="A1219" s="160"/>
      <c r="B1219" s="160" t="s">
        <v>934</v>
      </c>
      <c r="C1219" s="157" t="s">
        <v>4563</v>
      </c>
      <c r="D1219" s="159"/>
      <c r="E1219" s="159"/>
      <c r="F1219" s="159">
        <v>265.76</v>
      </c>
      <c r="G1219" s="160"/>
      <c r="H1219" s="34" t="s">
        <v>925</v>
      </c>
    </row>
    <row r="1220" spans="1:8" ht="16.5">
      <c r="A1220" s="160"/>
      <c r="B1220" s="160"/>
      <c r="C1220" s="157"/>
      <c r="D1220" s="159"/>
      <c r="E1220" s="159"/>
      <c r="F1220" s="159"/>
      <c r="G1220" s="160"/>
    </row>
    <row r="1221" spans="1:8" ht="33">
      <c r="A1221" s="160" t="s">
        <v>1577</v>
      </c>
      <c r="B1221" s="160" t="s">
        <v>4565</v>
      </c>
      <c r="C1221" s="157" t="s">
        <v>4563</v>
      </c>
      <c r="D1221" s="159">
        <v>10</v>
      </c>
      <c r="E1221" s="159">
        <v>484.53</v>
      </c>
      <c r="F1221" s="159"/>
      <c r="G1221" s="160" t="s">
        <v>4939</v>
      </c>
      <c r="H1221" s="34" t="s">
        <v>925</v>
      </c>
    </row>
    <row r="1222" spans="1:8" ht="33">
      <c r="A1222" s="160">
        <v>1</v>
      </c>
      <c r="B1222" s="160" t="s">
        <v>1364</v>
      </c>
      <c r="C1222" s="157" t="s">
        <v>3</v>
      </c>
      <c r="D1222" s="159">
        <v>0.25</v>
      </c>
      <c r="E1222" s="159">
        <v>2988.66</v>
      </c>
      <c r="F1222" s="159">
        <v>747.17</v>
      </c>
      <c r="G1222" s="160" t="s">
        <v>1365</v>
      </c>
      <c r="H1222" s="34" t="s">
        <v>925</v>
      </c>
    </row>
    <row r="1223" spans="1:8" ht="33">
      <c r="A1223" s="160">
        <v>2</v>
      </c>
      <c r="B1223" s="160" t="s">
        <v>1366</v>
      </c>
      <c r="C1223" s="157" t="s">
        <v>14</v>
      </c>
      <c r="D1223" s="159">
        <v>1</v>
      </c>
      <c r="E1223" s="159">
        <v>199.24</v>
      </c>
      <c r="F1223" s="159">
        <v>199.24</v>
      </c>
      <c r="G1223" s="160" t="s">
        <v>1367</v>
      </c>
      <c r="H1223" s="34" t="s">
        <v>925</v>
      </c>
    </row>
    <row r="1224" spans="1:8" ht="42.75">
      <c r="A1224" s="160">
        <v>3</v>
      </c>
      <c r="B1224" s="160" t="s">
        <v>4930</v>
      </c>
      <c r="C1224" s="157" t="s">
        <v>927</v>
      </c>
      <c r="D1224" s="159">
        <v>4.5999999999999996</v>
      </c>
      <c r="E1224" s="159">
        <v>816.9</v>
      </c>
      <c r="F1224" s="159">
        <v>3757.74</v>
      </c>
      <c r="G1224" s="160" t="s">
        <v>4931</v>
      </c>
      <c r="H1224" s="34" t="s">
        <v>925</v>
      </c>
    </row>
    <row r="1225" spans="1:8" ht="33">
      <c r="A1225" s="160">
        <v>4</v>
      </c>
      <c r="B1225" s="160" t="s">
        <v>931</v>
      </c>
      <c r="C1225" s="157" t="s">
        <v>14</v>
      </c>
      <c r="D1225" s="159">
        <v>1</v>
      </c>
      <c r="E1225" s="159">
        <v>141.12</v>
      </c>
      <c r="F1225" s="159">
        <v>141.12</v>
      </c>
      <c r="G1225" s="160" t="s">
        <v>932</v>
      </c>
      <c r="H1225" s="34" t="s">
        <v>925</v>
      </c>
    </row>
    <row r="1226" spans="1:8" ht="33">
      <c r="A1226" s="160"/>
      <c r="B1226" s="160" t="s">
        <v>933</v>
      </c>
      <c r="C1226" s="157" t="s">
        <v>4563</v>
      </c>
      <c r="D1226" s="159">
        <v>10</v>
      </c>
      <c r="E1226" s="159"/>
      <c r="F1226" s="159">
        <v>4845.2699999999995</v>
      </c>
      <c r="G1226" s="160"/>
      <c r="H1226" s="34" t="s">
        <v>925</v>
      </c>
    </row>
    <row r="1227" spans="1:8" ht="16.5">
      <c r="A1227" s="160"/>
      <c r="B1227" s="160" t="s">
        <v>934</v>
      </c>
      <c r="C1227" s="157" t="s">
        <v>4563</v>
      </c>
      <c r="D1227" s="159"/>
      <c r="E1227" s="159"/>
      <c r="F1227" s="159">
        <v>484.53</v>
      </c>
      <c r="G1227" s="160"/>
    </row>
    <row r="1228" spans="1:8" ht="33">
      <c r="A1228" s="160"/>
      <c r="B1228" s="160"/>
      <c r="C1228" s="157"/>
      <c r="D1228" s="159"/>
      <c r="E1228" s="159"/>
      <c r="F1228" s="159"/>
      <c r="G1228" s="160"/>
      <c r="H1228" s="34" t="s">
        <v>925</v>
      </c>
    </row>
    <row r="1229" spans="1:8" ht="42.75">
      <c r="A1229" s="160" t="s">
        <v>1584</v>
      </c>
      <c r="B1229" s="160" t="s">
        <v>513</v>
      </c>
      <c r="C1229" s="157" t="s">
        <v>18</v>
      </c>
      <c r="D1229" s="159">
        <v>1000</v>
      </c>
      <c r="E1229" s="159">
        <v>32.020000000000003</v>
      </c>
      <c r="F1229" s="159"/>
      <c r="G1229" s="160" t="s">
        <v>1410</v>
      </c>
      <c r="H1229" s="34" t="s">
        <v>925</v>
      </c>
    </row>
    <row r="1230" spans="1:8" ht="42.75">
      <c r="A1230" s="160">
        <v>1</v>
      </c>
      <c r="B1230" s="160" t="s">
        <v>1411</v>
      </c>
      <c r="C1230" s="157" t="s">
        <v>1412</v>
      </c>
      <c r="D1230" s="159">
        <v>1.05</v>
      </c>
      <c r="E1230" s="159">
        <v>21368.89</v>
      </c>
      <c r="F1230" s="159">
        <v>22437.33</v>
      </c>
      <c r="G1230" s="160" t="s">
        <v>1413</v>
      </c>
      <c r="H1230" s="34" t="s">
        <v>925</v>
      </c>
    </row>
    <row r="1231" spans="1:8" ht="42.75">
      <c r="A1231" s="160">
        <v>2</v>
      </c>
      <c r="B1231" s="160" t="s">
        <v>4940</v>
      </c>
      <c r="C1231" s="157" t="s">
        <v>927</v>
      </c>
      <c r="D1231" s="159">
        <v>10.4</v>
      </c>
      <c r="E1231" s="159">
        <v>408.45</v>
      </c>
      <c r="F1231" s="159">
        <v>4247.88</v>
      </c>
      <c r="G1231" s="160" t="s">
        <v>4941</v>
      </c>
      <c r="H1231" s="34" t="s">
        <v>925</v>
      </c>
    </row>
    <row r="1232" spans="1:8" ht="42.75">
      <c r="A1232" s="160">
        <v>3</v>
      </c>
      <c r="B1232" s="160" t="s">
        <v>4942</v>
      </c>
      <c r="C1232" s="157" t="s">
        <v>927</v>
      </c>
      <c r="D1232" s="159">
        <v>10.4</v>
      </c>
      <c r="E1232" s="159">
        <v>408.45</v>
      </c>
      <c r="F1232" s="159">
        <v>4247.88</v>
      </c>
      <c r="G1232" s="160" t="s">
        <v>4943</v>
      </c>
      <c r="H1232" s="34" t="s">
        <v>925</v>
      </c>
    </row>
    <row r="1233" spans="1:8" ht="33">
      <c r="A1233" s="160">
        <v>4</v>
      </c>
      <c r="B1233" s="160" t="s">
        <v>1414</v>
      </c>
      <c r="C1233" s="157" t="s">
        <v>18</v>
      </c>
      <c r="D1233" s="159">
        <v>4</v>
      </c>
      <c r="E1233" s="159">
        <v>38.25</v>
      </c>
      <c r="F1233" s="159">
        <v>153</v>
      </c>
      <c r="G1233" s="160" t="s">
        <v>1415</v>
      </c>
      <c r="H1233" s="34" t="s">
        <v>925</v>
      </c>
    </row>
    <row r="1234" spans="1:8" ht="28.5">
      <c r="A1234" s="160">
        <v>5</v>
      </c>
      <c r="B1234" s="160" t="s">
        <v>931</v>
      </c>
      <c r="C1234" s="157" t="s">
        <v>14</v>
      </c>
      <c r="D1234" s="159">
        <v>1</v>
      </c>
      <c r="E1234" s="159">
        <v>932.58</v>
      </c>
      <c r="F1234" s="159">
        <v>932.58</v>
      </c>
      <c r="G1234" s="160" t="s">
        <v>932</v>
      </c>
    </row>
    <row r="1235" spans="1:8" ht="33">
      <c r="A1235" s="160"/>
      <c r="B1235" s="160" t="s">
        <v>933</v>
      </c>
      <c r="C1235" s="157" t="s">
        <v>18</v>
      </c>
      <c r="D1235" s="159">
        <v>1000</v>
      </c>
      <c r="E1235" s="159"/>
      <c r="F1235" s="159">
        <v>32018.670000000006</v>
      </c>
      <c r="G1235" s="160"/>
      <c r="H1235" s="34" t="s">
        <v>925</v>
      </c>
    </row>
    <row r="1236" spans="1:8" ht="33">
      <c r="A1236" s="160"/>
      <c r="B1236" s="160" t="s">
        <v>934</v>
      </c>
      <c r="C1236" s="157" t="s">
        <v>18</v>
      </c>
      <c r="D1236" s="159"/>
      <c r="E1236" s="159"/>
      <c r="F1236" s="159">
        <v>32.020000000000003</v>
      </c>
      <c r="G1236" s="160"/>
      <c r="H1236" s="34" t="s">
        <v>925</v>
      </c>
    </row>
    <row r="1237" spans="1:8" ht="33">
      <c r="A1237" s="160"/>
      <c r="B1237" s="160"/>
      <c r="C1237" s="157"/>
      <c r="D1237" s="159"/>
      <c r="E1237" s="159"/>
      <c r="F1237" s="159"/>
      <c r="G1237" s="160"/>
      <c r="H1237" s="34" t="s">
        <v>925</v>
      </c>
    </row>
    <row r="1238" spans="1:8" ht="42.75">
      <c r="A1238" s="160" t="s">
        <v>1591</v>
      </c>
      <c r="B1238" s="160" t="s">
        <v>1417</v>
      </c>
      <c r="C1238" s="157" t="s">
        <v>18</v>
      </c>
      <c r="D1238" s="159">
        <v>1000</v>
      </c>
      <c r="E1238" s="159">
        <v>31.63</v>
      </c>
      <c r="F1238" s="159"/>
      <c r="G1238" s="160" t="s">
        <v>4022</v>
      </c>
      <c r="H1238" s="34" t="s">
        <v>925</v>
      </c>
    </row>
    <row r="1239" spans="1:8" ht="42.75">
      <c r="A1239" s="160">
        <v>1</v>
      </c>
      <c r="B1239" s="160" t="s">
        <v>1418</v>
      </c>
      <c r="C1239" s="157" t="s">
        <v>1412</v>
      </c>
      <c r="D1239" s="159">
        <v>1.05</v>
      </c>
      <c r="E1239" s="159">
        <v>21010.25</v>
      </c>
      <c r="F1239" s="159">
        <v>22060.76</v>
      </c>
      <c r="G1239" s="160" t="s">
        <v>4944</v>
      </c>
      <c r="H1239" s="34" t="s">
        <v>925</v>
      </c>
    </row>
    <row r="1240" spans="1:8" ht="42.75">
      <c r="A1240" s="160">
        <v>2</v>
      </c>
      <c r="B1240" s="160" t="s">
        <v>4940</v>
      </c>
      <c r="C1240" s="157" t="s">
        <v>927</v>
      </c>
      <c r="D1240" s="159">
        <v>10.4</v>
      </c>
      <c r="E1240" s="159">
        <v>408.45</v>
      </c>
      <c r="F1240" s="159">
        <v>4247.88</v>
      </c>
      <c r="G1240" s="160" t="s">
        <v>4941</v>
      </c>
      <c r="H1240" s="34" t="s">
        <v>925</v>
      </c>
    </row>
    <row r="1241" spans="1:8" ht="42.75">
      <c r="A1241" s="160">
        <v>3</v>
      </c>
      <c r="B1241" s="160" t="s">
        <v>4942</v>
      </c>
      <c r="C1241" s="157" t="s">
        <v>927</v>
      </c>
      <c r="D1241" s="159">
        <v>10.4</v>
      </c>
      <c r="E1241" s="159">
        <v>408.45</v>
      </c>
      <c r="F1241" s="159">
        <v>4247.88</v>
      </c>
      <c r="G1241" s="160" t="s">
        <v>4943</v>
      </c>
    </row>
    <row r="1242" spans="1:8" ht="33">
      <c r="A1242" s="160">
        <v>4</v>
      </c>
      <c r="B1242" s="160" t="s">
        <v>1414</v>
      </c>
      <c r="C1242" s="157" t="s">
        <v>18</v>
      </c>
      <c r="D1242" s="159">
        <v>4</v>
      </c>
      <c r="E1242" s="159">
        <v>38.25</v>
      </c>
      <c r="F1242" s="159">
        <v>153</v>
      </c>
      <c r="G1242" s="160" t="s">
        <v>1415</v>
      </c>
      <c r="H1242" s="34" t="s">
        <v>925</v>
      </c>
    </row>
    <row r="1243" spans="1:8" ht="33">
      <c r="A1243" s="160">
        <v>5</v>
      </c>
      <c r="B1243" s="160" t="s">
        <v>931</v>
      </c>
      <c r="C1243" s="157" t="s">
        <v>14</v>
      </c>
      <c r="D1243" s="159">
        <v>1</v>
      </c>
      <c r="E1243" s="159">
        <v>921.29</v>
      </c>
      <c r="F1243" s="159">
        <v>921.29</v>
      </c>
      <c r="G1243" s="160" t="s">
        <v>932</v>
      </c>
      <c r="H1243" s="34" t="s">
        <v>925</v>
      </c>
    </row>
    <row r="1244" spans="1:8" ht="33">
      <c r="A1244" s="160"/>
      <c r="B1244" s="160" t="s">
        <v>933</v>
      </c>
      <c r="C1244" s="157" t="s">
        <v>18</v>
      </c>
      <c r="D1244" s="159">
        <v>1000</v>
      </c>
      <c r="E1244" s="159"/>
      <c r="F1244" s="159">
        <v>31630.81</v>
      </c>
      <c r="G1244" s="160"/>
      <c r="H1244" s="34" t="s">
        <v>925</v>
      </c>
    </row>
    <row r="1245" spans="1:8" ht="33">
      <c r="A1245" s="160"/>
      <c r="B1245" s="160" t="s">
        <v>934</v>
      </c>
      <c r="C1245" s="157" t="s">
        <v>18</v>
      </c>
      <c r="D1245" s="159"/>
      <c r="E1245" s="159"/>
      <c r="F1245" s="159">
        <v>31.63</v>
      </c>
      <c r="G1245" s="160"/>
      <c r="H1245" s="34" t="s">
        <v>925</v>
      </c>
    </row>
    <row r="1246" spans="1:8" ht="33">
      <c r="A1246" s="160"/>
      <c r="B1246" s="160"/>
      <c r="C1246" s="157"/>
      <c r="D1246" s="159"/>
      <c r="E1246" s="159"/>
      <c r="F1246" s="159"/>
      <c r="G1246" s="160"/>
      <c r="H1246" s="34" t="s">
        <v>925</v>
      </c>
    </row>
    <row r="1247" spans="1:8" ht="33">
      <c r="A1247" s="160" t="s">
        <v>1598</v>
      </c>
      <c r="B1247" s="160" t="s">
        <v>1420</v>
      </c>
      <c r="C1247" s="157" t="s">
        <v>18</v>
      </c>
      <c r="D1247" s="159">
        <v>1000</v>
      </c>
      <c r="E1247" s="159">
        <v>33.630000000000003</v>
      </c>
      <c r="F1247" s="159"/>
      <c r="G1247" s="160" t="s">
        <v>1421</v>
      </c>
      <c r="H1247" s="34" t="s">
        <v>925</v>
      </c>
    </row>
    <row r="1248" spans="1:8" ht="33">
      <c r="A1248" s="160">
        <v>1</v>
      </c>
      <c r="B1248" s="160" t="s">
        <v>1422</v>
      </c>
      <c r="C1248" s="157" t="s">
        <v>1412</v>
      </c>
      <c r="D1248" s="159">
        <v>1.1000000000000001</v>
      </c>
      <c r="E1248" s="159">
        <v>22116.05</v>
      </c>
      <c r="F1248" s="159">
        <v>24327.66</v>
      </c>
      <c r="G1248" s="160" t="s">
        <v>1423</v>
      </c>
      <c r="H1248" s="34" t="s">
        <v>925</v>
      </c>
    </row>
    <row r="1249" spans="1:8" ht="42.75">
      <c r="A1249" s="160">
        <v>2</v>
      </c>
      <c r="B1249" s="160" t="s">
        <v>4940</v>
      </c>
      <c r="C1249" s="157" t="s">
        <v>927</v>
      </c>
      <c r="D1249" s="159">
        <v>10</v>
      </c>
      <c r="E1249" s="159">
        <v>408.45</v>
      </c>
      <c r="F1249" s="159">
        <v>4084.5</v>
      </c>
      <c r="G1249" s="160" t="s">
        <v>4941</v>
      </c>
    </row>
    <row r="1250" spans="1:8" ht="42.75">
      <c r="A1250" s="160">
        <v>3</v>
      </c>
      <c r="B1250" s="160" t="s">
        <v>4942</v>
      </c>
      <c r="C1250" s="157" t="s">
        <v>927</v>
      </c>
      <c r="D1250" s="159">
        <v>10</v>
      </c>
      <c r="E1250" s="159">
        <v>408.45</v>
      </c>
      <c r="F1250" s="159">
        <v>4084.5</v>
      </c>
      <c r="G1250" s="160" t="s">
        <v>4943</v>
      </c>
      <c r="H1250" s="34" t="s">
        <v>925</v>
      </c>
    </row>
    <row r="1251" spans="1:8" ht="33">
      <c r="A1251" s="160">
        <v>4</v>
      </c>
      <c r="B1251" s="160" t="s">
        <v>1414</v>
      </c>
      <c r="C1251" s="157" t="s">
        <v>18</v>
      </c>
      <c r="D1251" s="159">
        <v>4</v>
      </c>
      <c r="E1251" s="159">
        <v>38.25</v>
      </c>
      <c r="F1251" s="159">
        <v>153</v>
      </c>
      <c r="G1251" s="160" t="s">
        <v>1415</v>
      </c>
      <c r="H1251" s="34" t="s">
        <v>925</v>
      </c>
    </row>
    <row r="1252" spans="1:8" ht="33">
      <c r="A1252" s="160">
        <v>5</v>
      </c>
      <c r="B1252" s="160" t="s">
        <v>931</v>
      </c>
      <c r="C1252" s="157" t="s">
        <v>14</v>
      </c>
      <c r="D1252" s="159">
        <v>1</v>
      </c>
      <c r="E1252" s="159">
        <v>979.49</v>
      </c>
      <c r="F1252" s="159">
        <v>979.49</v>
      </c>
      <c r="G1252" s="160" t="s">
        <v>932</v>
      </c>
      <c r="H1252" s="34" t="s">
        <v>925</v>
      </c>
    </row>
    <row r="1253" spans="1:8" ht="33">
      <c r="A1253" s="160"/>
      <c r="B1253" s="160" t="s">
        <v>933</v>
      </c>
      <c r="C1253" s="157" t="s">
        <v>18</v>
      </c>
      <c r="D1253" s="159">
        <v>1000</v>
      </c>
      <c r="E1253" s="159"/>
      <c r="F1253" s="159">
        <v>33629.15</v>
      </c>
      <c r="G1253" s="160"/>
      <c r="H1253" s="34" t="s">
        <v>925</v>
      </c>
    </row>
    <row r="1254" spans="1:8" ht="33">
      <c r="A1254" s="160"/>
      <c r="B1254" s="160" t="s">
        <v>934</v>
      </c>
      <c r="C1254" s="157" t="s">
        <v>18</v>
      </c>
      <c r="D1254" s="159"/>
      <c r="E1254" s="159"/>
      <c r="F1254" s="159">
        <v>33.630000000000003</v>
      </c>
      <c r="G1254" s="160"/>
      <c r="H1254" s="34" t="s">
        <v>925</v>
      </c>
    </row>
    <row r="1255" spans="1:8" ht="33">
      <c r="A1255" s="160"/>
      <c r="B1255" s="160"/>
      <c r="C1255" s="157"/>
      <c r="D1255" s="159"/>
      <c r="E1255" s="159"/>
      <c r="F1255" s="159"/>
      <c r="G1255" s="160"/>
      <c r="H1255" s="34" t="s">
        <v>925</v>
      </c>
    </row>
    <row r="1256" spans="1:8" ht="33">
      <c r="A1256" s="160" t="s">
        <v>1605</v>
      </c>
      <c r="B1256" s="160" t="s">
        <v>1425</v>
      </c>
      <c r="C1256" s="157" t="s">
        <v>18</v>
      </c>
      <c r="D1256" s="159">
        <v>1000</v>
      </c>
      <c r="E1256" s="159">
        <v>33.83</v>
      </c>
      <c r="F1256" s="159"/>
      <c r="G1256" s="160" t="s">
        <v>1426</v>
      </c>
      <c r="H1256" s="34" t="s">
        <v>925</v>
      </c>
    </row>
    <row r="1257" spans="1:8" ht="28.5">
      <c r="A1257" s="160">
        <v>1</v>
      </c>
      <c r="B1257" s="160" t="s">
        <v>1427</v>
      </c>
      <c r="C1257" s="157" t="s">
        <v>1412</v>
      </c>
      <c r="D1257" s="159">
        <v>1.1000000000000001</v>
      </c>
      <c r="E1257" s="159">
        <v>22295.37</v>
      </c>
      <c r="F1257" s="159">
        <v>24524.91</v>
      </c>
      <c r="G1257" s="160" t="s">
        <v>1428</v>
      </c>
    </row>
    <row r="1258" spans="1:8" ht="42.75">
      <c r="A1258" s="160">
        <v>2</v>
      </c>
      <c r="B1258" s="160" t="s">
        <v>4940</v>
      </c>
      <c r="C1258" s="157" t="s">
        <v>927</v>
      </c>
      <c r="D1258" s="159">
        <v>10</v>
      </c>
      <c r="E1258" s="159">
        <v>408.45</v>
      </c>
      <c r="F1258" s="159">
        <v>4084.5</v>
      </c>
      <c r="G1258" s="160" t="s">
        <v>4941</v>
      </c>
      <c r="H1258" s="34" t="s">
        <v>925</v>
      </c>
    </row>
    <row r="1259" spans="1:8" ht="42.75">
      <c r="A1259" s="160">
        <v>3</v>
      </c>
      <c r="B1259" s="160" t="s">
        <v>4942</v>
      </c>
      <c r="C1259" s="157" t="s">
        <v>927</v>
      </c>
      <c r="D1259" s="159">
        <v>10</v>
      </c>
      <c r="E1259" s="159">
        <v>408.45</v>
      </c>
      <c r="F1259" s="159">
        <v>4084.5</v>
      </c>
      <c r="G1259" s="160" t="s">
        <v>4943</v>
      </c>
      <c r="H1259" s="34" t="s">
        <v>925</v>
      </c>
    </row>
    <row r="1260" spans="1:8" ht="33">
      <c r="A1260" s="160">
        <v>4</v>
      </c>
      <c r="B1260" s="160" t="s">
        <v>1414</v>
      </c>
      <c r="C1260" s="157" t="s">
        <v>18</v>
      </c>
      <c r="D1260" s="159">
        <v>4</v>
      </c>
      <c r="E1260" s="159">
        <v>38.25</v>
      </c>
      <c r="F1260" s="159">
        <v>153</v>
      </c>
      <c r="G1260" s="160" t="s">
        <v>1415</v>
      </c>
      <c r="H1260" s="34" t="s">
        <v>925</v>
      </c>
    </row>
    <row r="1261" spans="1:8" ht="33">
      <c r="A1261" s="160">
        <v>5</v>
      </c>
      <c r="B1261" s="160" t="s">
        <v>931</v>
      </c>
      <c r="C1261" s="157" t="s">
        <v>14</v>
      </c>
      <c r="D1261" s="159">
        <v>1</v>
      </c>
      <c r="E1261" s="159">
        <v>985.41</v>
      </c>
      <c r="F1261" s="159">
        <v>985.41</v>
      </c>
      <c r="G1261" s="160" t="s">
        <v>932</v>
      </c>
      <c r="H1261" s="34" t="s">
        <v>925</v>
      </c>
    </row>
    <row r="1262" spans="1:8" ht="33">
      <c r="A1262" s="160"/>
      <c r="B1262" s="160" t="s">
        <v>933</v>
      </c>
      <c r="C1262" s="157" t="s">
        <v>18</v>
      </c>
      <c r="D1262" s="159">
        <v>1000</v>
      </c>
      <c r="E1262" s="159"/>
      <c r="F1262" s="159">
        <v>33832.320000000007</v>
      </c>
      <c r="G1262" s="160"/>
      <c r="H1262" s="34" t="s">
        <v>925</v>
      </c>
    </row>
    <row r="1263" spans="1:8" ht="33">
      <c r="A1263" s="160"/>
      <c r="B1263" s="160" t="s">
        <v>934</v>
      </c>
      <c r="C1263" s="157" t="s">
        <v>18</v>
      </c>
      <c r="D1263" s="159"/>
      <c r="E1263" s="159"/>
      <c r="F1263" s="159">
        <v>33.83</v>
      </c>
      <c r="G1263" s="160"/>
      <c r="H1263" s="34" t="s">
        <v>925</v>
      </c>
    </row>
    <row r="1264" spans="1:8" ht="16.5">
      <c r="A1264" s="160"/>
      <c r="B1264" s="160"/>
      <c r="C1264" s="157"/>
      <c r="D1264" s="159"/>
      <c r="E1264" s="159"/>
      <c r="F1264" s="159"/>
      <c r="G1264" s="160"/>
    </row>
    <row r="1265" spans="1:8" ht="85.5">
      <c r="A1265" s="160" t="s">
        <v>1612</v>
      </c>
      <c r="B1265" s="160" t="s">
        <v>1417</v>
      </c>
      <c r="C1265" s="157" t="s">
        <v>18</v>
      </c>
      <c r="D1265" s="159">
        <v>1000</v>
      </c>
      <c r="E1265" s="159">
        <v>34.520000000000003</v>
      </c>
      <c r="F1265" s="159"/>
      <c r="G1265" s="160" t="s">
        <v>4024</v>
      </c>
      <c r="H1265" s="34" t="s">
        <v>925</v>
      </c>
    </row>
    <row r="1266" spans="1:8" ht="42.75">
      <c r="A1266" s="160">
        <v>1</v>
      </c>
      <c r="B1266" s="160" t="s">
        <v>1418</v>
      </c>
      <c r="C1266" s="157" t="s">
        <v>1412</v>
      </c>
      <c r="D1266" s="159">
        <v>1.05</v>
      </c>
      <c r="E1266" s="159">
        <v>21010.25</v>
      </c>
      <c r="F1266" s="159">
        <v>22060.76</v>
      </c>
      <c r="G1266" s="160" t="s">
        <v>4944</v>
      </c>
      <c r="H1266" s="34" t="s">
        <v>925</v>
      </c>
    </row>
    <row r="1267" spans="1:8" ht="42.75">
      <c r="A1267" s="160">
        <v>2</v>
      </c>
      <c r="B1267" s="160" t="s">
        <v>4940</v>
      </c>
      <c r="C1267" s="157" t="s">
        <v>927</v>
      </c>
      <c r="D1267" s="159">
        <v>13.83</v>
      </c>
      <c r="E1267" s="159">
        <v>408.45</v>
      </c>
      <c r="F1267" s="159">
        <v>5648.86</v>
      </c>
      <c r="G1267" s="160" t="s">
        <v>4941</v>
      </c>
      <c r="H1267" s="34" t="s">
        <v>925</v>
      </c>
    </row>
    <row r="1268" spans="1:8" ht="42.75">
      <c r="A1268" s="160">
        <v>3</v>
      </c>
      <c r="B1268" s="160" t="s">
        <v>4942</v>
      </c>
      <c r="C1268" s="157" t="s">
        <v>927</v>
      </c>
      <c r="D1268" s="159">
        <v>13.83</v>
      </c>
      <c r="E1268" s="159">
        <v>408.45</v>
      </c>
      <c r="F1268" s="159">
        <v>5648.86</v>
      </c>
      <c r="G1268" s="160" t="s">
        <v>4943</v>
      </c>
      <c r="H1268" s="34" t="s">
        <v>925</v>
      </c>
    </row>
    <row r="1269" spans="1:8" ht="33">
      <c r="A1269" s="160">
        <v>4</v>
      </c>
      <c r="B1269" s="160" t="s">
        <v>1414</v>
      </c>
      <c r="C1269" s="157" t="s">
        <v>18</v>
      </c>
      <c r="D1269" s="159">
        <v>4</v>
      </c>
      <c r="E1269" s="159">
        <v>38.25</v>
      </c>
      <c r="F1269" s="159">
        <v>153</v>
      </c>
      <c r="G1269" s="160" t="s">
        <v>1415</v>
      </c>
      <c r="H1269" s="34" t="s">
        <v>925</v>
      </c>
    </row>
    <row r="1270" spans="1:8" ht="33">
      <c r="A1270" s="160">
        <v>5</v>
      </c>
      <c r="B1270" s="160" t="s">
        <v>931</v>
      </c>
      <c r="C1270" s="157" t="s">
        <v>14</v>
      </c>
      <c r="D1270" s="159">
        <v>1</v>
      </c>
      <c r="E1270" s="159">
        <v>1005.34</v>
      </c>
      <c r="F1270" s="159">
        <v>1005.34</v>
      </c>
      <c r="G1270" s="160" t="s">
        <v>932</v>
      </c>
      <c r="H1270" s="34" t="s">
        <v>925</v>
      </c>
    </row>
    <row r="1271" spans="1:8" ht="16.5">
      <c r="A1271" s="160"/>
      <c r="B1271" s="160" t="s">
        <v>933</v>
      </c>
      <c r="C1271" s="157" t="s">
        <v>18</v>
      </c>
      <c r="D1271" s="159">
        <v>1000</v>
      </c>
      <c r="E1271" s="159"/>
      <c r="F1271" s="159">
        <v>34516.819999999992</v>
      </c>
      <c r="G1271" s="160"/>
    </row>
    <row r="1272" spans="1:8" ht="33">
      <c r="A1272" s="160"/>
      <c r="B1272" s="160" t="s">
        <v>934</v>
      </c>
      <c r="C1272" s="157" t="s">
        <v>18</v>
      </c>
      <c r="D1272" s="159"/>
      <c r="E1272" s="159"/>
      <c r="F1272" s="159">
        <v>34.520000000000003</v>
      </c>
      <c r="G1272" s="160"/>
      <c r="H1272" s="34" t="s">
        <v>925</v>
      </c>
    </row>
    <row r="1273" spans="1:8" ht="33">
      <c r="A1273" s="160"/>
      <c r="B1273" s="160"/>
      <c r="C1273" s="157"/>
      <c r="D1273" s="159"/>
      <c r="E1273" s="159"/>
      <c r="F1273" s="159"/>
      <c r="G1273" s="160"/>
      <c r="H1273" s="34" t="s">
        <v>925</v>
      </c>
    </row>
    <row r="1274" spans="1:8" ht="85.5">
      <c r="A1274" s="160" t="s">
        <v>1619</v>
      </c>
      <c r="B1274" s="160" t="s">
        <v>513</v>
      </c>
      <c r="C1274" s="157" t="s">
        <v>18</v>
      </c>
      <c r="D1274" s="159">
        <v>1000</v>
      </c>
      <c r="E1274" s="159">
        <v>34.9</v>
      </c>
      <c r="F1274" s="159"/>
      <c r="G1274" s="160" t="s">
        <v>1431</v>
      </c>
      <c r="H1274" s="34" t="s">
        <v>925</v>
      </c>
    </row>
    <row r="1275" spans="1:8" ht="42.75">
      <c r="A1275" s="160">
        <v>1</v>
      </c>
      <c r="B1275" s="160" t="s">
        <v>1411</v>
      </c>
      <c r="C1275" s="157" t="s">
        <v>1412</v>
      </c>
      <c r="D1275" s="159">
        <v>1.05</v>
      </c>
      <c r="E1275" s="159">
        <v>21368.89</v>
      </c>
      <c r="F1275" s="159">
        <v>22437.33</v>
      </c>
      <c r="G1275" s="160" t="s">
        <v>1413</v>
      </c>
      <c r="H1275" s="34" t="s">
        <v>925</v>
      </c>
    </row>
    <row r="1276" spans="1:8" ht="42.75">
      <c r="A1276" s="160">
        <v>2</v>
      </c>
      <c r="B1276" s="160" t="s">
        <v>4940</v>
      </c>
      <c r="C1276" s="157" t="s">
        <v>927</v>
      </c>
      <c r="D1276" s="159">
        <v>13.83</v>
      </c>
      <c r="E1276" s="159">
        <v>408.45</v>
      </c>
      <c r="F1276" s="159">
        <v>5648.86</v>
      </c>
      <c r="G1276" s="160" t="s">
        <v>4941</v>
      </c>
      <c r="H1276" s="34" t="s">
        <v>925</v>
      </c>
    </row>
    <row r="1277" spans="1:8" ht="42.75">
      <c r="A1277" s="160">
        <v>3</v>
      </c>
      <c r="B1277" s="160" t="s">
        <v>4942</v>
      </c>
      <c r="C1277" s="157" t="s">
        <v>927</v>
      </c>
      <c r="D1277" s="159">
        <v>13.83</v>
      </c>
      <c r="E1277" s="159">
        <v>408.45</v>
      </c>
      <c r="F1277" s="159">
        <v>5648.86</v>
      </c>
      <c r="G1277" s="160" t="s">
        <v>4943</v>
      </c>
      <c r="H1277" s="34" t="s">
        <v>925</v>
      </c>
    </row>
    <row r="1278" spans="1:8" ht="33">
      <c r="A1278" s="160">
        <v>4</v>
      </c>
      <c r="B1278" s="160" t="s">
        <v>1414</v>
      </c>
      <c r="C1278" s="157" t="s">
        <v>18</v>
      </c>
      <c r="D1278" s="159">
        <v>4</v>
      </c>
      <c r="E1278" s="159">
        <v>38.25</v>
      </c>
      <c r="F1278" s="159">
        <v>153</v>
      </c>
      <c r="G1278" s="160" t="s">
        <v>1415</v>
      </c>
      <c r="H1278" s="34" t="s">
        <v>925</v>
      </c>
    </row>
    <row r="1279" spans="1:8" ht="28.5">
      <c r="A1279" s="160">
        <v>5</v>
      </c>
      <c r="B1279" s="160" t="s">
        <v>931</v>
      </c>
      <c r="C1279" s="157" t="s">
        <v>14</v>
      </c>
      <c r="D1279" s="159">
        <v>1</v>
      </c>
      <c r="E1279" s="159">
        <v>1016.64</v>
      </c>
      <c r="F1279" s="159">
        <v>1016.64</v>
      </c>
      <c r="G1279" s="160" t="s">
        <v>932</v>
      </c>
    </row>
    <row r="1280" spans="1:8" ht="33">
      <c r="A1280" s="160"/>
      <c r="B1280" s="160" t="s">
        <v>933</v>
      </c>
      <c r="C1280" s="157" t="s">
        <v>18</v>
      </c>
      <c r="D1280" s="159">
        <v>1000</v>
      </c>
      <c r="E1280" s="159"/>
      <c r="F1280" s="159">
        <v>34904.69</v>
      </c>
      <c r="G1280" s="160"/>
      <c r="H1280" s="34" t="s">
        <v>925</v>
      </c>
    </row>
    <row r="1281" spans="1:8" ht="33">
      <c r="A1281" s="160"/>
      <c r="B1281" s="160" t="s">
        <v>934</v>
      </c>
      <c r="C1281" s="157" t="s">
        <v>18</v>
      </c>
      <c r="D1281" s="159"/>
      <c r="E1281" s="159"/>
      <c r="F1281" s="159">
        <v>34.9</v>
      </c>
      <c r="G1281" s="160"/>
      <c r="H1281" s="34" t="s">
        <v>925</v>
      </c>
    </row>
    <row r="1282" spans="1:8" ht="33">
      <c r="A1282" s="160"/>
      <c r="B1282" s="160"/>
      <c r="C1282" s="157"/>
      <c r="D1282" s="159"/>
      <c r="E1282" s="159"/>
      <c r="F1282" s="159"/>
      <c r="G1282" s="160"/>
      <c r="H1282" s="34" t="s">
        <v>925</v>
      </c>
    </row>
    <row r="1283" spans="1:8" ht="57">
      <c r="A1283" s="160" t="s">
        <v>1624</v>
      </c>
      <c r="B1283" s="160" t="s">
        <v>1420</v>
      </c>
      <c r="C1283" s="157" t="s">
        <v>18</v>
      </c>
      <c r="D1283" s="159">
        <v>1000</v>
      </c>
      <c r="E1283" s="159">
        <v>36.409999999999997</v>
      </c>
      <c r="F1283" s="159"/>
      <c r="G1283" s="160" t="s">
        <v>1433</v>
      </c>
      <c r="H1283" s="34" t="s">
        <v>925</v>
      </c>
    </row>
    <row r="1284" spans="1:8" ht="33">
      <c r="A1284" s="160">
        <v>1</v>
      </c>
      <c r="B1284" s="160" t="s">
        <v>1422</v>
      </c>
      <c r="C1284" s="157" t="s">
        <v>1412</v>
      </c>
      <c r="D1284" s="159">
        <v>1.1000000000000001</v>
      </c>
      <c r="E1284" s="159">
        <v>22116.05</v>
      </c>
      <c r="F1284" s="159">
        <v>24327.66</v>
      </c>
      <c r="G1284" s="160" t="s">
        <v>1423</v>
      </c>
      <c r="H1284" s="34" t="s">
        <v>925</v>
      </c>
    </row>
    <row r="1285" spans="1:8" ht="42.75">
      <c r="A1285" s="160">
        <v>2</v>
      </c>
      <c r="B1285" s="160" t="s">
        <v>4940</v>
      </c>
      <c r="C1285" s="157" t="s">
        <v>927</v>
      </c>
      <c r="D1285" s="159">
        <v>13.3</v>
      </c>
      <c r="E1285" s="159">
        <v>408.45</v>
      </c>
      <c r="F1285" s="159">
        <v>5432.39</v>
      </c>
      <c r="G1285" s="160" t="s">
        <v>4941</v>
      </c>
      <c r="H1285" s="34" t="s">
        <v>925</v>
      </c>
    </row>
    <row r="1286" spans="1:8" ht="42.75">
      <c r="A1286" s="160">
        <v>3</v>
      </c>
      <c r="B1286" s="160" t="s">
        <v>4942</v>
      </c>
      <c r="C1286" s="157" t="s">
        <v>927</v>
      </c>
      <c r="D1286" s="159">
        <v>13.3</v>
      </c>
      <c r="E1286" s="159">
        <v>408.45</v>
      </c>
      <c r="F1286" s="159">
        <v>5432.39</v>
      </c>
      <c r="G1286" s="160" t="s">
        <v>4943</v>
      </c>
      <c r="H1286" s="34" t="s">
        <v>925</v>
      </c>
    </row>
    <row r="1287" spans="1:8" ht="28.5">
      <c r="A1287" s="160">
        <v>4</v>
      </c>
      <c r="B1287" s="160" t="s">
        <v>1414</v>
      </c>
      <c r="C1287" s="157" t="s">
        <v>18</v>
      </c>
      <c r="D1287" s="159">
        <v>4</v>
      </c>
      <c r="E1287" s="159">
        <v>38.25</v>
      </c>
      <c r="F1287" s="159">
        <v>153</v>
      </c>
      <c r="G1287" s="160" t="s">
        <v>1415</v>
      </c>
    </row>
    <row r="1288" spans="1:8" ht="33">
      <c r="A1288" s="160">
        <v>5</v>
      </c>
      <c r="B1288" s="160" t="s">
        <v>931</v>
      </c>
      <c r="C1288" s="157" t="s">
        <v>14</v>
      </c>
      <c r="D1288" s="159">
        <v>1</v>
      </c>
      <c r="E1288" s="159">
        <v>1060.3599999999999</v>
      </c>
      <c r="F1288" s="159">
        <v>1060.3599999999999</v>
      </c>
      <c r="G1288" s="160" t="s">
        <v>932</v>
      </c>
      <c r="H1288" s="34" t="s">
        <v>925</v>
      </c>
    </row>
    <row r="1289" spans="1:8" ht="33">
      <c r="A1289" s="160"/>
      <c r="B1289" s="160" t="s">
        <v>933</v>
      </c>
      <c r="C1289" s="157" t="s">
        <v>18</v>
      </c>
      <c r="D1289" s="159">
        <v>1000</v>
      </c>
      <c r="E1289" s="159"/>
      <c r="F1289" s="159">
        <v>36405.800000000003</v>
      </c>
      <c r="G1289" s="160"/>
      <c r="H1289" s="34" t="s">
        <v>925</v>
      </c>
    </row>
    <row r="1290" spans="1:8" ht="33">
      <c r="A1290" s="160"/>
      <c r="B1290" s="160" t="s">
        <v>934</v>
      </c>
      <c r="C1290" s="157" t="s">
        <v>18</v>
      </c>
      <c r="D1290" s="159"/>
      <c r="E1290" s="159"/>
      <c r="F1290" s="159">
        <v>36.409999999999997</v>
      </c>
      <c r="G1290" s="160"/>
      <c r="H1290" s="34" t="s">
        <v>925</v>
      </c>
    </row>
    <row r="1291" spans="1:8" ht="33">
      <c r="A1291" s="160"/>
      <c r="B1291" s="160"/>
      <c r="C1291" s="157"/>
      <c r="D1291" s="159"/>
      <c r="E1291" s="159"/>
      <c r="F1291" s="159"/>
      <c r="G1291" s="160"/>
      <c r="H1291" s="34" t="s">
        <v>925</v>
      </c>
    </row>
    <row r="1292" spans="1:8" ht="57">
      <c r="A1292" s="160" t="s">
        <v>1629</v>
      </c>
      <c r="B1292" s="160" t="s">
        <v>1425</v>
      </c>
      <c r="C1292" s="157" t="s">
        <v>18</v>
      </c>
      <c r="D1292" s="159">
        <v>1000</v>
      </c>
      <c r="E1292" s="159">
        <v>36.61</v>
      </c>
      <c r="F1292" s="159"/>
      <c r="G1292" s="160" t="s">
        <v>1435</v>
      </c>
      <c r="H1292" s="34" t="s">
        <v>925</v>
      </c>
    </row>
    <row r="1293" spans="1:8" ht="33">
      <c r="A1293" s="160">
        <v>1</v>
      </c>
      <c r="B1293" s="160" t="s">
        <v>1427</v>
      </c>
      <c r="C1293" s="157" t="s">
        <v>1412</v>
      </c>
      <c r="D1293" s="159">
        <v>1.1000000000000001</v>
      </c>
      <c r="E1293" s="159">
        <v>22295.37</v>
      </c>
      <c r="F1293" s="159">
        <v>24524.91</v>
      </c>
      <c r="G1293" s="160" t="s">
        <v>4023</v>
      </c>
      <c r="H1293" s="34" t="s">
        <v>925</v>
      </c>
    </row>
    <row r="1294" spans="1:8" ht="42.75">
      <c r="A1294" s="160">
        <v>2</v>
      </c>
      <c r="B1294" s="160" t="s">
        <v>4940</v>
      </c>
      <c r="C1294" s="157" t="s">
        <v>927</v>
      </c>
      <c r="D1294" s="159">
        <v>13.3</v>
      </c>
      <c r="E1294" s="159">
        <v>408.45</v>
      </c>
      <c r="F1294" s="159">
        <v>5432.39</v>
      </c>
      <c r="G1294" s="160" t="s">
        <v>4941</v>
      </c>
      <c r="H1294" s="34" t="s">
        <v>925</v>
      </c>
    </row>
    <row r="1295" spans="1:8" ht="42.75">
      <c r="A1295" s="160">
        <v>3</v>
      </c>
      <c r="B1295" s="160" t="s">
        <v>4942</v>
      </c>
      <c r="C1295" s="157" t="s">
        <v>927</v>
      </c>
      <c r="D1295" s="159">
        <v>13.3</v>
      </c>
      <c r="E1295" s="159">
        <v>408.45</v>
      </c>
      <c r="F1295" s="159">
        <v>5432.39</v>
      </c>
      <c r="G1295" s="160" t="s">
        <v>4943</v>
      </c>
    </row>
    <row r="1296" spans="1:8" ht="33">
      <c r="A1296" s="160">
        <v>4</v>
      </c>
      <c r="B1296" s="160" t="s">
        <v>1414</v>
      </c>
      <c r="C1296" s="157" t="s">
        <v>18</v>
      </c>
      <c r="D1296" s="159">
        <v>4</v>
      </c>
      <c r="E1296" s="159">
        <v>38.25</v>
      </c>
      <c r="F1296" s="159">
        <v>153</v>
      </c>
      <c r="G1296" s="160" t="s">
        <v>1415</v>
      </c>
      <c r="H1296" s="34" t="s">
        <v>925</v>
      </c>
    </row>
    <row r="1297" spans="1:8" ht="33">
      <c r="A1297" s="160">
        <v>5</v>
      </c>
      <c r="B1297" s="160" t="s">
        <v>931</v>
      </c>
      <c r="C1297" s="157" t="s">
        <v>14</v>
      </c>
      <c r="D1297" s="159">
        <v>1</v>
      </c>
      <c r="E1297" s="159">
        <v>1066.28</v>
      </c>
      <c r="F1297" s="159">
        <v>1066.28</v>
      </c>
      <c r="G1297" s="160" t="s">
        <v>932</v>
      </c>
      <c r="H1297" s="34" t="s">
        <v>925</v>
      </c>
    </row>
    <row r="1298" spans="1:8" ht="33">
      <c r="A1298" s="160"/>
      <c r="B1298" s="160" t="s">
        <v>933</v>
      </c>
      <c r="C1298" s="157" t="s">
        <v>18</v>
      </c>
      <c r="D1298" s="159">
        <v>1000</v>
      </c>
      <c r="E1298" s="159"/>
      <c r="F1298" s="159">
        <v>36608.97</v>
      </c>
      <c r="G1298" s="160"/>
      <c r="H1298" s="34" t="s">
        <v>925</v>
      </c>
    </row>
    <row r="1299" spans="1:8" ht="33">
      <c r="A1299" s="160"/>
      <c r="B1299" s="160" t="s">
        <v>934</v>
      </c>
      <c r="C1299" s="157" t="s">
        <v>18</v>
      </c>
      <c r="D1299" s="159"/>
      <c r="E1299" s="159"/>
      <c r="F1299" s="159">
        <v>36.61</v>
      </c>
      <c r="G1299" s="160"/>
      <c r="H1299" s="34" t="s">
        <v>925</v>
      </c>
    </row>
    <row r="1300" spans="1:8" ht="33">
      <c r="A1300" s="160"/>
      <c r="B1300" s="160"/>
      <c r="C1300" s="157"/>
      <c r="D1300" s="159"/>
      <c r="E1300" s="159"/>
      <c r="F1300" s="159"/>
      <c r="G1300" s="160"/>
      <c r="H1300" s="34" t="s">
        <v>925</v>
      </c>
    </row>
    <row r="1301" spans="1:8" ht="42.75">
      <c r="A1301" s="160" t="s">
        <v>1634</v>
      </c>
      <c r="B1301" s="160" t="s">
        <v>4575</v>
      </c>
      <c r="C1301" s="157" t="s">
        <v>18</v>
      </c>
      <c r="D1301" s="159">
        <v>1000</v>
      </c>
      <c r="E1301" s="159">
        <v>43.39</v>
      </c>
      <c r="F1301" s="159"/>
      <c r="G1301" s="160" t="s">
        <v>4945</v>
      </c>
      <c r="H1301" s="34" t="s">
        <v>925</v>
      </c>
    </row>
    <row r="1302" spans="1:8" ht="42.75">
      <c r="A1302" s="160">
        <v>1</v>
      </c>
      <c r="B1302" s="160" t="s">
        <v>1411</v>
      </c>
      <c r="C1302" s="157" t="s">
        <v>1412</v>
      </c>
      <c r="D1302" s="159">
        <v>1.05</v>
      </c>
      <c r="E1302" s="159">
        <v>21368.89</v>
      </c>
      <c r="F1302" s="159">
        <v>22437.33</v>
      </c>
      <c r="G1302" s="160" t="s">
        <v>1413</v>
      </c>
      <c r="H1302" s="34" t="s">
        <v>925</v>
      </c>
    </row>
    <row r="1303" spans="1:8" ht="42.75">
      <c r="A1303" s="160">
        <v>2</v>
      </c>
      <c r="B1303" s="160" t="s">
        <v>4946</v>
      </c>
      <c r="C1303" s="157" t="s">
        <v>927</v>
      </c>
      <c r="D1303" s="159">
        <v>11.96</v>
      </c>
      <c r="E1303" s="159">
        <v>816.9</v>
      </c>
      <c r="F1303" s="159">
        <v>9770.1200000000008</v>
      </c>
      <c r="G1303" s="160" t="s">
        <v>4947</v>
      </c>
    </row>
    <row r="1304" spans="1:8" ht="42.75">
      <c r="A1304" s="160">
        <v>3</v>
      </c>
      <c r="B1304" s="160" t="s">
        <v>4948</v>
      </c>
      <c r="C1304" s="157" t="s">
        <v>927</v>
      </c>
      <c r="D1304" s="159">
        <v>11.96</v>
      </c>
      <c r="E1304" s="159">
        <v>816.9</v>
      </c>
      <c r="F1304" s="159">
        <v>9770.1200000000008</v>
      </c>
      <c r="G1304" s="160" t="s">
        <v>4949</v>
      </c>
      <c r="H1304" s="34" t="s">
        <v>925</v>
      </c>
    </row>
    <row r="1305" spans="1:8" ht="33">
      <c r="A1305" s="160">
        <v>4</v>
      </c>
      <c r="B1305" s="160" t="s">
        <v>1414</v>
      </c>
      <c r="C1305" s="157" t="s">
        <v>18</v>
      </c>
      <c r="D1305" s="159">
        <v>4</v>
      </c>
      <c r="E1305" s="159">
        <v>38.25</v>
      </c>
      <c r="F1305" s="159">
        <v>153</v>
      </c>
      <c r="G1305" s="160" t="s">
        <v>1415</v>
      </c>
      <c r="H1305" s="34" t="s">
        <v>925</v>
      </c>
    </row>
    <row r="1306" spans="1:8" ht="33">
      <c r="A1306" s="160">
        <v>5</v>
      </c>
      <c r="B1306" s="160" t="s">
        <v>931</v>
      </c>
      <c r="C1306" s="157" t="s">
        <v>14</v>
      </c>
      <c r="D1306" s="159">
        <v>1</v>
      </c>
      <c r="E1306" s="159">
        <v>1263.92</v>
      </c>
      <c r="F1306" s="159">
        <v>1263.92</v>
      </c>
      <c r="G1306" s="160" t="s">
        <v>932</v>
      </c>
      <c r="H1306" s="34" t="s">
        <v>925</v>
      </c>
    </row>
    <row r="1307" spans="1:8" ht="33">
      <c r="A1307" s="160"/>
      <c r="B1307" s="160" t="s">
        <v>933</v>
      </c>
      <c r="C1307" s="157" t="s">
        <v>18</v>
      </c>
      <c r="D1307" s="159">
        <v>1000</v>
      </c>
      <c r="E1307" s="159"/>
      <c r="F1307" s="159">
        <v>43394.490000000005</v>
      </c>
      <c r="G1307" s="160"/>
      <c r="H1307" s="34" t="s">
        <v>925</v>
      </c>
    </row>
    <row r="1308" spans="1:8" ht="33">
      <c r="A1308" s="160"/>
      <c r="B1308" s="160" t="s">
        <v>934</v>
      </c>
      <c r="C1308" s="157" t="s">
        <v>18</v>
      </c>
      <c r="D1308" s="159"/>
      <c r="E1308" s="159"/>
      <c r="F1308" s="159">
        <v>43.39</v>
      </c>
      <c r="G1308" s="160"/>
      <c r="H1308" s="34" t="s">
        <v>925</v>
      </c>
    </row>
    <row r="1309" spans="1:8" ht="33">
      <c r="A1309" s="160"/>
      <c r="B1309" s="160"/>
      <c r="C1309" s="157"/>
      <c r="D1309" s="159"/>
      <c r="E1309" s="159"/>
      <c r="F1309" s="159"/>
      <c r="G1309" s="160"/>
      <c r="H1309" s="34" t="s">
        <v>925</v>
      </c>
    </row>
    <row r="1310" spans="1:8" ht="33">
      <c r="A1310" s="160" t="s">
        <v>1640</v>
      </c>
      <c r="B1310" s="160" t="s">
        <v>4577</v>
      </c>
      <c r="C1310" s="157" t="s">
        <v>18</v>
      </c>
      <c r="D1310" s="159">
        <v>1000</v>
      </c>
      <c r="E1310" s="159">
        <v>44.77</v>
      </c>
      <c r="F1310" s="159"/>
      <c r="G1310" s="160" t="s">
        <v>4950</v>
      </c>
      <c r="H1310" s="34" t="s">
        <v>925</v>
      </c>
    </row>
    <row r="1311" spans="1:8" ht="33">
      <c r="A1311" s="160">
        <v>1</v>
      </c>
      <c r="B1311" s="160" t="s">
        <v>1427</v>
      </c>
      <c r="C1311" s="157" t="s">
        <v>1412</v>
      </c>
      <c r="D1311" s="159">
        <v>1.1000000000000001</v>
      </c>
      <c r="E1311" s="159">
        <v>22295.37</v>
      </c>
      <c r="F1311" s="159">
        <v>24524.91</v>
      </c>
      <c r="G1311" s="160" t="s">
        <v>1428</v>
      </c>
      <c r="H1311" s="34" t="s">
        <v>925</v>
      </c>
    </row>
    <row r="1312" spans="1:8" ht="42.75">
      <c r="A1312" s="160">
        <v>2</v>
      </c>
      <c r="B1312" s="160" t="s">
        <v>4948</v>
      </c>
      <c r="C1312" s="157" t="s">
        <v>927</v>
      </c>
      <c r="D1312" s="159">
        <v>11.5</v>
      </c>
      <c r="E1312" s="159">
        <v>816.9</v>
      </c>
      <c r="F1312" s="159">
        <v>9394.35</v>
      </c>
      <c r="G1312" s="160" t="s">
        <v>4949</v>
      </c>
      <c r="H1312" s="34" t="s">
        <v>925</v>
      </c>
    </row>
    <row r="1313" spans="1:8" ht="42.75">
      <c r="A1313" s="160">
        <v>3</v>
      </c>
      <c r="B1313" s="160" t="s">
        <v>4946</v>
      </c>
      <c r="C1313" s="157" t="s">
        <v>927</v>
      </c>
      <c r="D1313" s="159">
        <v>11.5</v>
      </c>
      <c r="E1313" s="159">
        <v>816.9</v>
      </c>
      <c r="F1313" s="159">
        <v>9394.35</v>
      </c>
      <c r="G1313" s="160" t="s">
        <v>4947</v>
      </c>
    </row>
    <row r="1314" spans="1:8" ht="33">
      <c r="A1314" s="160">
        <v>4</v>
      </c>
      <c r="B1314" s="160" t="s">
        <v>1414</v>
      </c>
      <c r="C1314" s="157" t="s">
        <v>18</v>
      </c>
      <c r="D1314" s="159">
        <v>4</v>
      </c>
      <c r="E1314" s="159">
        <v>38.25</v>
      </c>
      <c r="F1314" s="159">
        <v>153</v>
      </c>
      <c r="G1314" s="160" t="s">
        <v>1415</v>
      </c>
      <c r="H1314" s="34" t="s">
        <v>925</v>
      </c>
    </row>
    <row r="1315" spans="1:8" ht="33">
      <c r="A1315" s="160">
        <v>5</v>
      </c>
      <c r="B1315" s="160" t="s">
        <v>931</v>
      </c>
      <c r="C1315" s="157" t="s">
        <v>14</v>
      </c>
      <c r="D1315" s="159">
        <v>1</v>
      </c>
      <c r="E1315" s="159">
        <v>1304</v>
      </c>
      <c r="F1315" s="159">
        <v>1304</v>
      </c>
      <c r="G1315" s="160" t="s">
        <v>932</v>
      </c>
      <c r="H1315" s="34" t="s">
        <v>925</v>
      </c>
    </row>
    <row r="1316" spans="1:8" ht="33">
      <c r="A1316" s="160"/>
      <c r="B1316" s="160" t="s">
        <v>933</v>
      </c>
      <c r="C1316" s="157" t="s">
        <v>18</v>
      </c>
      <c r="D1316" s="159">
        <v>1000</v>
      </c>
      <c r="E1316" s="159"/>
      <c r="F1316" s="159">
        <v>44770.61</v>
      </c>
      <c r="G1316" s="160"/>
      <c r="H1316" s="34" t="s">
        <v>925</v>
      </c>
    </row>
    <row r="1317" spans="1:8" ht="33">
      <c r="A1317" s="160"/>
      <c r="B1317" s="160" t="s">
        <v>934</v>
      </c>
      <c r="C1317" s="157" t="s">
        <v>18</v>
      </c>
      <c r="D1317" s="159"/>
      <c r="E1317" s="159"/>
      <c r="F1317" s="159">
        <v>44.77</v>
      </c>
      <c r="G1317" s="160"/>
      <c r="H1317" s="34" t="s">
        <v>925</v>
      </c>
    </row>
    <row r="1318" spans="1:8" ht="33">
      <c r="A1318" s="160"/>
      <c r="B1318" s="160"/>
      <c r="C1318" s="157"/>
      <c r="D1318" s="159"/>
      <c r="E1318" s="159"/>
      <c r="F1318" s="159"/>
      <c r="G1318" s="160"/>
      <c r="H1318" s="34" t="s">
        <v>925</v>
      </c>
    </row>
    <row r="1319" spans="1:8" ht="33">
      <c r="A1319" s="160" t="s">
        <v>1646</v>
      </c>
      <c r="B1319" s="160" t="s">
        <v>1437</v>
      </c>
      <c r="C1319" s="157" t="s">
        <v>18</v>
      </c>
      <c r="D1319" s="159">
        <v>1000</v>
      </c>
      <c r="E1319" s="159">
        <v>35.44</v>
      </c>
      <c r="F1319" s="159"/>
      <c r="G1319" s="160" t="s">
        <v>1438</v>
      </c>
      <c r="H1319" s="34" t="s">
        <v>925</v>
      </c>
    </row>
    <row r="1320" spans="1:8" ht="33">
      <c r="A1320" s="160">
        <v>1</v>
      </c>
      <c r="B1320" s="160" t="s">
        <v>1439</v>
      </c>
      <c r="C1320" s="157" t="s">
        <v>14</v>
      </c>
      <c r="D1320" s="159">
        <v>1</v>
      </c>
      <c r="E1320" s="159">
        <v>8965.9699999999993</v>
      </c>
      <c r="F1320" s="159">
        <v>8965.9699999999993</v>
      </c>
      <c r="G1320" s="160" t="s">
        <v>1440</v>
      </c>
      <c r="H1320" s="34" t="s">
        <v>925</v>
      </c>
    </row>
    <row r="1321" spans="1:8" ht="28.5">
      <c r="A1321" s="160">
        <v>2</v>
      </c>
      <c r="B1321" s="160" t="s">
        <v>1441</v>
      </c>
      <c r="C1321" s="157" t="s">
        <v>927</v>
      </c>
      <c r="D1321" s="159">
        <v>2</v>
      </c>
      <c r="E1321" s="159">
        <v>1359.84</v>
      </c>
      <c r="F1321" s="159">
        <v>2719.68</v>
      </c>
      <c r="G1321" s="160" t="s">
        <v>1442</v>
      </c>
    </row>
    <row r="1322" spans="1:8" ht="33">
      <c r="A1322" s="160">
        <v>3</v>
      </c>
      <c r="B1322" s="160" t="s">
        <v>1443</v>
      </c>
      <c r="C1322" s="157" t="s">
        <v>927</v>
      </c>
      <c r="D1322" s="159">
        <v>2</v>
      </c>
      <c r="E1322" s="159">
        <v>399.48</v>
      </c>
      <c r="F1322" s="159">
        <v>798.96</v>
      </c>
      <c r="G1322" s="160" t="s">
        <v>1444</v>
      </c>
      <c r="H1322" s="34" t="s">
        <v>925</v>
      </c>
    </row>
    <row r="1323" spans="1:8" ht="33">
      <c r="A1323" s="160">
        <v>4</v>
      </c>
      <c r="B1323" s="160" t="s">
        <v>1445</v>
      </c>
      <c r="C1323" s="157" t="s">
        <v>18</v>
      </c>
      <c r="D1323" s="159">
        <v>1000</v>
      </c>
      <c r="E1323" s="159">
        <v>21.92</v>
      </c>
      <c r="F1323" s="159">
        <v>21920</v>
      </c>
      <c r="G1323" s="160" t="s">
        <v>1446</v>
      </c>
      <c r="H1323" s="34" t="s">
        <v>925</v>
      </c>
    </row>
    <row r="1324" spans="1:8" ht="33">
      <c r="A1324" s="160">
        <v>5</v>
      </c>
      <c r="B1324" s="160" t="s">
        <v>931</v>
      </c>
      <c r="C1324" s="157" t="s">
        <v>14</v>
      </c>
      <c r="D1324" s="159">
        <v>1</v>
      </c>
      <c r="E1324" s="159">
        <v>1032.1400000000001</v>
      </c>
      <c r="F1324" s="159">
        <v>1032.1400000000001</v>
      </c>
      <c r="G1324" s="160" t="s">
        <v>932</v>
      </c>
      <c r="H1324" s="34" t="s">
        <v>925</v>
      </c>
    </row>
    <row r="1325" spans="1:8" ht="33">
      <c r="A1325" s="160"/>
      <c r="B1325" s="160" t="s">
        <v>933</v>
      </c>
      <c r="C1325" s="157" t="s">
        <v>18</v>
      </c>
      <c r="D1325" s="159">
        <v>1000</v>
      </c>
      <c r="E1325" s="159"/>
      <c r="F1325" s="159">
        <v>35436.75</v>
      </c>
      <c r="G1325" s="160"/>
      <c r="H1325" s="34" t="s">
        <v>925</v>
      </c>
    </row>
    <row r="1326" spans="1:8" ht="33">
      <c r="A1326" s="160"/>
      <c r="B1326" s="160" t="s">
        <v>934</v>
      </c>
      <c r="C1326" s="157" t="s">
        <v>18</v>
      </c>
      <c r="D1326" s="159"/>
      <c r="E1326" s="159"/>
      <c r="F1326" s="159">
        <v>35.44</v>
      </c>
      <c r="G1326" s="160"/>
      <c r="H1326" s="34" t="s">
        <v>925</v>
      </c>
    </row>
    <row r="1327" spans="1:8" ht="33">
      <c r="A1327" s="160"/>
      <c r="B1327" s="160"/>
      <c r="C1327" s="157"/>
      <c r="D1327" s="159"/>
      <c r="E1327" s="159"/>
      <c r="F1327" s="159"/>
      <c r="G1327" s="160"/>
      <c r="H1327" s="34" t="s">
        <v>925</v>
      </c>
    </row>
    <row r="1328" spans="1:8" ht="33">
      <c r="A1328" s="160" t="s">
        <v>1650</v>
      </c>
      <c r="B1328" s="160" t="s">
        <v>1448</v>
      </c>
      <c r="C1328" s="157" t="s">
        <v>18</v>
      </c>
      <c r="D1328" s="159">
        <v>1</v>
      </c>
      <c r="E1328" s="159">
        <v>277.05</v>
      </c>
      <c r="F1328" s="159"/>
      <c r="G1328" s="160" t="s">
        <v>1449</v>
      </c>
      <c r="H1328" s="34" t="s">
        <v>925</v>
      </c>
    </row>
    <row r="1329" spans="1:8" ht="28.5">
      <c r="A1329" s="160">
        <v>1</v>
      </c>
      <c r="B1329" s="160" t="s">
        <v>1450</v>
      </c>
      <c r="C1329" s="157" t="s">
        <v>18</v>
      </c>
      <c r="D1329" s="159">
        <v>1</v>
      </c>
      <c r="E1329" s="159">
        <v>119.55</v>
      </c>
      <c r="F1329" s="159">
        <v>119.55</v>
      </c>
      <c r="G1329" s="160" t="s">
        <v>1451</v>
      </c>
    </row>
    <row r="1330" spans="1:8" ht="33">
      <c r="A1330" s="160">
        <v>2</v>
      </c>
      <c r="B1330" s="160" t="s">
        <v>1452</v>
      </c>
      <c r="C1330" s="157" t="s">
        <v>14</v>
      </c>
      <c r="D1330" s="159">
        <v>1</v>
      </c>
      <c r="E1330" s="159">
        <v>149.43</v>
      </c>
      <c r="F1330" s="159">
        <v>149.43</v>
      </c>
      <c r="G1330" s="160" t="s">
        <v>1453</v>
      </c>
      <c r="H1330" s="34" t="s">
        <v>925</v>
      </c>
    </row>
    <row r="1331" spans="1:8" ht="33">
      <c r="A1331" s="160">
        <v>3</v>
      </c>
      <c r="B1331" s="160" t="s">
        <v>931</v>
      </c>
      <c r="C1331" s="157" t="s">
        <v>14</v>
      </c>
      <c r="D1331" s="159">
        <v>1</v>
      </c>
      <c r="E1331" s="159">
        <v>8.07</v>
      </c>
      <c r="F1331" s="159">
        <v>8.07</v>
      </c>
      <c r="G1331" s="160" t="s">
        <v>932</v>
      </c>
      <c r="H1331" s="34" t="s">
        <v>925</v>
      </c>
    </row>
    <row r="1332" spans="1:8" ht="33">
      <c r="A1332" s="160"/>
      <c r="B1332" s="160" t="s">
        <v>933</v>
      </c>
      <c r="C1332" s="157" t="s">
        <v>18</v>
      </c>
      <c r="D1332" s="159">
        <v>1</v>
      </c>
      <c r="E1332" s="159"/>
      <c r="F1332" s="159">
        <v>277.05</v>
      </c>
      <c r="G1332" s="160"/>
      <c r="H1332" s="34" t="s">
        <v>925</v>
      </c>
    </row>
    <row r="1333" spans="1:8" ht="33">
      <c r="A1333" s="160"/>
      <c r="B1333" s="160" t="s">
        <v>934</v>
      </c>
      <c r="C1333" s="157" t="s">
        <v>18</v>
      </c>
      <c r="D1333" s="159"/>
      <c r="E1333" s="159"/>
      <c r="F1333" s="159">
        <v>277.05</v>
      </c>
      <c r="G1333" s="160"/>
      <c r="H1333" s="34" t="s">
        <v>925</v>
      </c>
    </row>
    <row r="1334" spans="1:8" ht="33">
      <c r="A1334" s="160"/>
      <c r="B1334" s="160"/>
      <c r="C1334" s="157"/>
      <c r="D1334" s="159"/>
      <c r="E1334" s="159"/>
      <c r="F1334" s="159"/>
      <c r="G1334" s="160"/>
      <c r="H1334" s="34" t="s">
        <v>925</v>
      </c>
    </row>
    <row r="1335" spans="1:8" ht="33">
      <c r="A1335" s="160" t="s">
        <v>1657</v>
      </c>
      <c r="B1335" s="160" t="s">
        <v>1455</v>
      </c>
      <c r="C1335" s="157" t="s">
        <v>18</v>
      </c>
      <c r="D1335" s="159">
        <v>1</v>
      </c>
      <c r="E1335" s="159">
        <v>318.08</v>
      </c>
      <c r="F1335" s="159"/>
      <c r="G1335" s="160" t="s">
        <v>1456</v>
      </c>
      <c r="H1335" s="34" t="s">
        <v>925</v>
      </c>
    </row>
    <row r="1336" spans="1:8" ht="33">
      <c r="A1336" s="160">
        <v>1</v>
      </c>
      <c r="B1336" s="160" t="s">
        <v>1457</v>
      </c>
      <c r="C1336" s="157" t="s">
        <v>18</v>
      </c>
      <c r="D1336" s="159">
        <v>1</v>
      </c>
      <c r="E1336" s="159">
        <v>159.38999999999999</v>
      </c>
      <c r="F1336" s="159">
        <v>159.38999999999999</v>
      </c>
      <c r="G1336" s="160" t="s">
        <v>1458</v>
      </c>
      <c r="H1336" s="34" t="s">
        <v>925</v>
      </c>
    </row>
    <row r="1337" spans="1:8" ht="33">
      <c r="A1337" s="160">
        <v>2</v>
      </c>
      <c r="B1337" s="160" t="s">
        <v>1452</v>
      </c>
      <c r="C1337" s="157" t="s">
        <v>14</v>
      </c>
      <c r="D1337" s="159">
        <v>1</v>
      </c>
      <c r="E1337" s="159">
        <v>149.43</v>
      </c>
      <c r="F1337" s="159">
        <v>149.43</v>
      </c>
      <c r="G1337" s="160" t="s">
        <v>1453</v>
      </c>
      <c r="H1337" s="34" t="s">
        <v>925</v>
      </c>
    </row>
    <row r="1338" spans="1:8" ht="33">
      <c r="A1338" s="160">
        <v>3</v>
      </c>
      <c r="B1338" s="160" t="s">
        <v>931</v>
      </c>
      <c r="C1338" s="157" t="s">
        <v>14</v>
      </c>
      <c r="D1338" s="159">
        <v>1</v>
      </c>
      <c r="E1338" s="159">
        <v>9.26</v>
      </c>
      <c r="F1338" s="159">
        <v>9.26</v>
      </c>
      <c r="G1338" s="160" t="s">
        <v>932</v>
      </c>
      <c r="H1338" s="34" t="s">
        <v>925</v>
      </c>
    </row>
    <row r="1339" spans="1:8" ht="33">
      <c r="A1339" s="160"/>
      <c r="B1339" s="160" t="s">
        <v>933</v>
      </c>
      <c r="C1339" s="157" t="s">
        <v>18</v>
      </c>
      <c r="D1339" s="159">
        <v>1</v>
      </c>
      <c r="E1339" s="159"/>
      <c r="F1339" s="159">
        <v>318.08</v>
      </c>
      <c r="G1339" s="160"/>
      <c r="H1339" s="34" t="s">
        <v>925</v>
      </c>
    </row>
    <row r="1340" spans="1:8" ht="16.5">
      <c r="A1340" s="160"/>
      <c r="B1340" s="160" t="s">
        <v>934</v>
      </c>
      <c r="C1340" s="157" t="s">
        <v>18</v>
      </c>
      <c r="D1340" s="159"/>
      <c r="E1340" s="159"/>
      <c r="F1340" s="159">
        <v>318.08</v>
      </c>
      <c r="G1340" s="160"/>
    </row>
    <row r="1341" spans="1:8" ht="33">
      <c r="A1341" s="160"/>
      <c r="B1341" s="160"/>
      <c r="C1341" s="157"/>
      <c r="D1341" s="159"/>
      <c r="E1341" s="159"/>
      <c r="F1341" s="159"/>
      <c r="G1341" s="160"/>
      <c r="H1341" s="34" t="s">
        <v>925</v>
      </c>
    </row>
    <row r="1342" spans="1:8" ht="33">
      <c r="A1342" s="160" t="s">
        <v>1661</v>
      </c>
      <c r="B1342" s="160" t="s">
        <v>1460</v>
      </c>
      <c r="C1342" s="157" t="s">
        <v>3</v>
      </c>
      <c r="D1342" s="159">
        <v>1</v>
      </c>
      <c r="E1342" s="159">
        <v>865.64</v>
      </c>
      <c r="F1342" s="159"/>
      <c r="G1342" s="160" t="s">
        <v>1461</v>
      </c>
      <c r="H1342" s="34" t="s">
        <v>925</v>
      </c>
    </row>
    <row r="1343" spans="1:8" ht="33">
      <c r="A1343" s="160">
        <v>1</v>
      </c>
      <c r="B1343" s="160" t="s">
        <v>1462</v>
      </c>
      <c r="C1343" s="157" t="s">
        <v>14</v>
      </c>
      <c r="D1343" s="159">
        <v>1</v>
      </c>
      <c r="E1343" s="159">
        <v>29.89</v>
      </c>
      <c r="F1343" s="159">
        <v>29.89</v>
      </c>
      <c r="G1343" s="160" t="s">
        <v>1463</v>
      </c>
      <c r="H1343" s="34" t="s">
        <v>925</v>
      </c>
    </row>
    <row r="1344" spans="1:8" ht="33">
      <c r="A1344" s="160">
        <v>2</v>
      </c>
      <c r="B1344" s="160" t="s">
        <v>1464</v>
      </c>
      <c r="C1344" s="157" t="s">
        <v>18</v>
      </c>
      <c r="D1344" s="159">
        <v>23.55</v>
      </c>
      <c r="E1344" s="159">
        <v>31.88</v>
      </c>
      <c r="F1344" s="159">
        <v>750.77</v>
      </c>
      <c r="G1344" s="160" t="s">
        <v>1465</v>
      </c>
      <c r="H1344" s="34" t="s">
        <v>925</v>
      </c>
    </row>
    <row r="1345" spans="1:8" ht="33">
      <c r="A1345" s="160">
        <v>3</v>
      </c>
      <c r="B1345" s="160" t="s">
        <v>1466</v>
      </c>
      <c r="C1345" s="157" t="s">
        <v>14</v>
      </c>
      <c r="D1345" s="159">
        <v>1</v>
      </c>
      <c r="E1345" s="159">
        <v>59.77</v>
      </c>
      <c r="F1345" s="159">
        <v>59.77</v>
      </c>
      <c r="G1345" s="160" t="s">
        <v>1467</v>
      </c>
      <c r="H1345" s="34" t="s">
        <v>925</v>
      </c>
    </row>
    <row r="1346" spans="1:8" ht="33">
      <c r="A1346" s="160">
        <v>4</v>
      </c>
      <c r="B1346" s="160" t="s">
        <v>931</v>
      </c>
      <c r="C1346" s="157" t="s">
        <v>14</v>
      </c>
      <c r="D1346" s="159">
        <v>1</v>
      </c>
      <c r="E1346" s="159">
        <v>25.21</v>
      </c>
      <c r="F1346" s="159">
        <v>25.21</v>
      </c>
      <c r="G1346" s="160" t="s">
        <v>932</v>
      </c>
      <c r="H1346" s="34" t="s">
        <v>925</v>
      </c>
    </row>
    <row r="1347" spans="1:8" ht="33">
      <c r="A1347" s="160"/>
      <c r="B1347" s="160" t="s">
        <v>933</v>
      </c>
      <c r="C1347" s="157" t="s">
        <v>3</v>
      </c>
      <c r="D1347" s="159">
        <v>1</v>
      </c>
      <c r="E1347" s="159"/>
      <c r="F1347" s="159">
        <v>865.64</v>
      </c>
      <c r="G1347" s="160"/>
      <c r="H1347" s="34" t="s">
        <v>925</v>
      </c>
    </row>
    <row r="1348" spans="1:8" ht="33">
      <c r="A1348" s="160"/>
      <c r="B1348" s="160" t="s">
        <v>934</v>
      </c>
      <c r="C1348" s="157" t="s">
        <v>3</v>
      </c>
      <c r="D1348" s="159"/>
      <c r="E1348" s="159"/>
      <c r="F1348" s="159">
        <v>865.64</v>
      </c>
      <c r="G1348" s="160"/>
      <c r="H1348" s="34" t="s">
        <v>925</v>
      </c>
    </row>
    <row r="1349" spans="1:8" ht="33">
      <c r="A1349" s="160"/>
      <c r="B1349" s="160"/>
      <c r="C1349" s="157"/>
      <c r="D1349" s="159"/>
      <c r="E1349" s="159"/>
      <c r="F1349" s="159"/>
      <c r="G1349" s="160"/>
      <c r="H1349" s="34" t="s">
        <v>925</v>
      </c>
    </row>
    <row r="1350" spans="1:8" ht="33">
      <c r="A1350" s="160" t="s">
        <v>1663</v>
      </c>
      <c r="B1350" s="160" t="s">
        <v>1469</v>
      </c>
      <c r="C1350" s="157" t="s">
        <v>3</v>
      </c>
      <c r="D1350" s="159">
        <v>1</v>
      </c>
      <c r="E1350" s="159">
        <v>1510.23</v>
      </c>
      <c r="F1350" s="159"/>
      <c r="G1350" s="160" t="s">
        <v>1470</v>
      </c>
      <c r="H1350" s="34" t="s">
        <v>925</v>
      </c>
    </row>
    <row r="1351" spans="1:8" ht="28.5">
      <c r="A1351" s="160">
        <v>1</v>
      </c>
      <c r="B1351" s="160" t="s">
        <v>1462</v>
      </c>
      <c r="C1351" s="157" t="s">
        <v>14</v>
      </c>
      <c r="D1351" s="159">
        <v>1</v>
      </c>
      <c r="E1351" s="159">
        <v>29.89</v>
      </c>
      <c r="F1351" s="159">
        <v>29.89</v>
      </c>
      <c r="G1351" s="160" t="s">
        <v>1463</v>
      </c>
    </row>
    <row r="1352" spans="1:8" ht="33">
      <c r="A1352" s="160">
        <v>2</v>
      </c>
      <c r="B1352" s="160" t="s">
        <v>1464</v>
      </c>
      <c r="C1352" s="157" t="s">
        <v>18</v>
      </c>
      <c r="D1352" s="159">
        <v>43.18</v>
      </c>
      <c r="E1352" s="159">
        <v>31.88</v>
      </c>
      <c r="F1352" s="159">
        <v>1376.58</v>
      </c>
      <c r="G1352" s="160" t="s">
        <v>1465</v>
      </c>
      <c r="H1352" s="34" t="s">
        <v>925</v>
      </c>
    </row>
    <row r="1353" spans="1:8" ht="33">
      <c r="A1353" s="160">
        <v>3</v>
      </c>
      <c r="B1353" s="160" t="s">
        <v>1466</v>
      </c>
      <c r="C1353" s="157" t="s">
        <v>14</v>
      </c>
      <c r="D1353" s="159">
        <v>1</v>
      </c>
      <c r="E1353" s="159">
        <v>59.77</v>
      </c>
      <c r="F1353" s="159">
        <v>59.77</v>
      </c>
      <c r="G1353" s="160" t="s">
        <v>1467</v>
      </c>
      <c r="H1353" s="34" t="s">
        <v>925</v>
      </c>
    </row>
    <row r="1354" spans="1:8" ht="33">
      <c r="A1354" s="160">
        <v>4</v>
      </c>
      <c r="B1354" s="160" t="s">
        <v>931</v>
      </c>
      <c r="C1354" s="157" t="s">
        <v>14</v>
      </c>
      <c r="D1354" s="159">
        <v>1</v>
      </c>
      <c r="E1354" s="159">
        <v>43.99</v>
      </c>
      <c r="F1354" s="159">
        <v>43.99</v>
      </c>
      <c r="G1354" s="160" t="s">
        <v>932</v>
      </c>
      <c r="H1354" s="34" t="s">
        <v>925</v>
      </c>
    </row>
    <row r="1355" spans="1:8" ht="33">
      <c r="A1355" s="160"/>
      <c r="B1355" s="160" t="s">
        <v>933</v>
      </c>
      <c r="C1355" s="157" t="s">
        <v>3</v>
      </c>
      <c r="D1355" s="159">
        <v>1</v>
      </c>
      <c r="E1355" s="159"/>
      <c r="F1355" s="159">
        <v>1510.23</v>
      </c>
      <c r="G1355" s="160"/>
      <c r="H1355" s="34" t="s">
        <v>925</v>
      </c>
    </row>
    <row r="1356" spans="1:8" ht="33">
      <c r="A1356" s="160"/>
      <c r="B1356" s="160" t="s">
        <v>934</v>
      </c>
      <c r="C1356" s="157" t="s">
        <v>3</v>
      </c>
      <c r="D1356" s="159"/>
      <c r="E1356" s="159"/>
      <c r="F1356" s="159">
        <v>1510.23</v>
      </c>
      <c r="G1356" s="160"/>
      <c r="H1356" s="34" t="s">
        <v>925</v>
      </c>
    </row>
    <row r="1357" spans="1:8" ht="33">
      <c r="A1357" s="160"/>
      <c r="B1357" s="160"/>
      <c r="C1357" s="157"/>
      <c r="D1357" s="159"/>
      <c r="E1357" s="159"/>
      <c r="F1357" s="159"/>
      <c r="G1357" s="160"/>
      <c r="H1357" s="34" t="s">
        <v>925</v>
      </c>
    </row>
    <row r="1358" spans="1:8" ht="57">
      <c r="A1358" s="160" t="s">
        <v>1665</v>
      </c>
      <c r="B1358" s="160" t="s">
        <v>1475</v>
      </c>
      <c r="C1358" s="157" t="s">
        <v>17</v>
      </c>
      <c r="D1358" s="159">
        <v>1</v>
      </c>
      <c r="E1358" s="159">
        <v>1568.58</v>
      </c>
      <c r="F1358" s="159"/>
      <c r="G1358" s="160" t="s">
        <v>1476</v>
      </c>
      <c r="H1358" s="34" t="s">
        <v>925</v>
      </c>
    </row>
    <row r="1359" spans="1:8" ht="33">
      <c r="A1359" s="160">
        <v>1</v>
      </c>
      <c r="B1359" s="160" t="s">
        <v>1477</v>
      </c>
      <c r="C1359" s="157" t="s">
        <v>0</v>
      </c>
      <c r="D1359" s="159">
        <v>0.1</v>
      </c>
      <c r="E1359" s="159">
        <v>3254.65</v>
      </c>
      <c r="F1359" s="159">
        <v>325.47000000000003</v>
      </c>
      <c r="G1359" s="160" t="s">
        <v>1478</v>
      </c>
      <c r="H1359" s="34" t="s">
        <v>925</v>
      </c>
    </row>
    <row r="1360" spans="1:8" ht="33">
      <c r="A1360" s="160">
        <v>2</v>
      </c>
      <c r="B1360" s="160" t="s">
        <v>1479</v>
      </c>
      <c r="C1360" s="157" t="s">
        <v>17</v>
      </c>
      <c r="D1360" s="159">
        <v>1</v>
      </c>
      <c r="E1360" s="159">
        <v>354.65</v>
      </c>
      <c r="F1360" s="159">
        <v>354.65</v>
      </c>
      <c r="G1360" s="160" t="s">
        <v>1480</v>
      </c>
      <c r="H1360" s="34" t="s">
        <v>925</v>
      </c>
    </row>
    <row r="1361" spans="1:8" ht="33">
      <c r="A1361" s="160">
        <v>3</v>
      </c>
      <c r="B1361" s="160" t="s">
        <v>1104</v>
      </c>
      <c r="C1361" s="157" t="s">
        <v>0</v>
      </c>
      <c r="D1361" s="159">
        <v>0.1</v>
      </c>
      <c r="E1361" s="159">
        <v>1483.24</v>
      </c>
      <c r="F1361" s="159">
        <v>148.32</v>
      </c>
      <c r="G1361" s="160" t="s">
        <v>4951</v>
      </c>
      <c r="H1361" s="34" t="s">
        <v>925</v>
      </c>
    </row>
    <row r="1362" spans="1:8" ht="57">
      <c r="A1362" s="160">
        <v>4</v>
      </c>
      <c r="B1362" s="160" t="s">
        <v>513</v>
      </c>
      <c r="C1362" s="157" t="s">
        <v>18</v>
      </c>
      <c r="D1362" s="159">
        <v>19</v>
      </c>
      <c r="E1362" s="159">
        <v>32.020000000000003</v>
      </c>
      <c r="F1362" s="159">
        <v>608.38</v>
      </c>
      <c r="G1362" s="160" t="s">
        <v>4952</v>
      </c>
    </row>
    <row r="1363" spans="1:8" ht="33">
      <c r="A1363" s="160">
        <v>5</v>
      </c>
      <c r="B1363" s="160" t="s">
        <v>1481</v>
      </c>
      <c r="C1363" s="157" t="s">
        <v>18</v>
      </c>
      <c r="D1363" s="159">
        <v>19</v>
      </c>
      <c r="E1363" s="159">
        <v>4.53</v>
      </c>
      <c r="F1363" s="159">
        <v>86.07</v>
      </c>
      <c r="G1363" s="160" t="s">
        <v>1482</v>
      </c>
      <c r="H1363" s="34" t="s">
        <v>925</v>
      </c>
    </row>
    <row r="1364" spans="1:8" ht="33">
      <c r="A1364" s="160">
        <v>6</v>
      </c>
      <c r="B1364" s="160" t="s">
        <v>931</v>
      </c>
      <c r="C1364" s="157" t="s">
        <v>14</v>
      </c>
      <c r="D1364" s="159">
        <v>1</v>
      </c>
      <c r="E1364" s="159">
        <v>45.69</v>
      </c>
      <c r="F1364" s="159">
        <v>45.69</v>
      </c>
      <c r="G1364" s="160" t="s">
        <v>932</v>
      </c>
      <c r="H1364" s="34" t="s">
        <v>925</v>
      </c>
    </row>
    <row r="1365" spans="1:8" ht="33">
      <c r="A1365" s="160"/>
      <c r="B1365" s="160" t="s">
        <v>933</v>
      </c>
      <c r="C1365" s="157" t="s">
        <v>17</v>
      </c>
      <c r="D1365" s="159">
        <v>1</v>
      </c>
      <c r="E1365" s="159"/>
      <c r="F1365" s="159">
        <v>1568.5800000000002</v>
      </c>
      <c r="G1365" s="160"/>
      <c r="H1365" s="34" t="s">
        <v>925</v>
      </c>
    </row>
    <row r="1366" spans="1:8" ht="33">
      <c r="A1366" s="160"/>
      <c r="B1366" s="160" t="s">
        <v>934</v>
      </c>
      <c r="C1366" s="157" t="s">
        <v>17</v>
      </c>
      <c r="D1366" s="159"/>
      <c r="E1366" s="159"/>
      <c r="F1366" s="159">
        <v>1568.58</v>
      </c>
      <c r="G1366" s="160"/>
      <c r="H1366" s="34" t="s">
        <v>925</v>
      </c>
    </row>
    <row r="1367" spans="1:8" ht="33">
      <c r="A1367" s="160"/>
      <c r="B1367" s="160"/>
      <c r="C1367" s="157"/>
      <c r="D1367" s="159"/>
      <c r="E1367" s="159"/>
      <c r="F1367" s="159"/>
      <c r="G1367" s="160"/>
      <c r="H1367" s="34" t="s">
        <v>925</v>
      </c>
    </row>
    <row r="1368" spans="1:8" ht="57">
      <c r="A1368" s="160" t="s">
        <v>1674</v>
      </c>
      <c r="B1368" s="160" t="s">
        <v>1484</v>
      </c>
      <c r="C1368" s="157" t="s">
        <v>17</v>
      </c>
      <c r="D1368" s="159">
        <v>1</v>
      </c>
      <c r="E1368" s="159">
        <v>1923.37</v>
      </c>
      <c r="F1368" s="159"/>
      <c r="G1368" s="160" t="s">
        <v>1485</v>
      </c>
      <c r="H1368" s="34" t="s">
        <v>925</v>
      </c>
    </row>
    <row r="1369" spans="1:8" ht="33">
      <c r="A1369" s="160">
        <v>1</v>
      </c>
      <c r="B1369" s="160" t="s">
        <v>1477</v>
      </c>
      <c r="C1369" s="157" t="s">
        <v>0</v>
      </c>
      <c r="D1369" s="159">
        <v>0.14000000000000001</v>
      </c>
      <c r="E1369" s="159">
        <v>3254.65</v>
      </c>
      <c r="F1369" s="159">
        <v>455.65</v>
      </c>
      <c r="G1369" s="160" t="s">
        <v>1478</v>
      </c>
      <c r="H1369" s="34" t="s">
        <v>925</v>
      </c>
    </row>
    <row r="1370" spans="1:8" ht="28.5">
      <c r="A1370" s="160">
        <v>2</v>
      </c>
      <c r="B1370" s="160" t="s">
        <v>1486</v>
      </c>
      <c r="C1370" s="157" t="s">
        <v>17</v>
      </c>
      <c r="D1370" s="159">
        <v>1</v>
      </c>
      <c r="E1370" s="159">
        <v>398.49</v>
      </c>
      <c r="F1370" s="159">
        <v>398.49</v>
      </c>
      <c r="G1370" s="160" t="s">
        <v>1487</v>
      </c>
    </row>
    <row r="1371" spans="1:8" ht="33">
      <c r="A1371" s="160">
        <v>3</v>
      </c>
      <c r="B1371" s="160" t="s">
        <v>1104</v>
      </c>
      <c r="C1371" s="157" t="s">
        <v>0</v>
      </c>
      <c r="D1371" s="159">
        <v>0.14000000000000001</v>
      </c>
      <c r="E1371" s="159">
        <v>1483.24</v>
      </c>
      <c r="F1371" s="159">
        <v>207.65</v>
      </c>
      <c r="G1371" s="160" t="s">
        <v>4951</v>
      </c>
      <c r="H1371" s="34" t="s">
        <v>925</v>
      </c>
    </row>
    <row r="1372" spans="1:8" ht="33">
      <c r="A1372" s="160">
        <v>4</v>
      </c>
      <c r="B1372" s="160" t="s">
        <v>1425</v>
      </c>
      <c r="C1372" s="157" t="s">
        <v>18</v>
      </c>
      <c r="D1372" s="159">
        <v>21</v>
      </c>
      <c r="E1372" s="159">
        <v>33.83</v>
      </c>
      <c r="F1372" s="159">
        <v>710.43</v>
      </c>
      <c r="G1372" s="160" t="s">
        <v>4953</v>
      </c>
      <c r="H1372" s="34" t="s">
        <v>925</v>
      </c>
    </row>
    <row r="1373" spans="1:8" ht="33">
      <c r="A1373" s="160">
        <v>5</v>
      </c>
      <c r="B1373" s="160" t="s">
        <v>1481</v>
      </c>
      <c r="C1373" s="157" t="s">
        <v>18</v>
      </c>
      <c r="D1373" s="159">
        <v>21</v>
      </c>
      <c r="E1373" s="159">
        <v>4.53</v>
      </c>
      <c r="F1373" s="159">
        <v>95.13</v>
      </c>
      <c r="G1373" s="160" t="s">
        <v>1482</v>
      </c>
      <c r="H1373" s="34" t="s">
        <v>925</v>
      </c>
    </row>
    <row r="1374" spans="1:8" ht="33">
      <c r="A1374" s="160">
        <v>6</v>
      </c>
      <c r="B1374" s="160" t="s">
        <v>931</v>
      </c>
      <c r="C1374" s="157" t="s">
        <v>14</v>
      </c>
      <c r="D1374" s="159">
        <v>1</v>
      </c>
      <c r="E1374" s="159">
        <v>56.02</v>
      </c>
      <c r="F1374" s="159">
        <v>56.02</v>
      </c>
      <c r="G1374" s="160" t="s">
        <v>932</v>
      </c>
      <c r="H1374" s="34" t="s">
        <v>925</v>
      </c>
    </row>
    <row r="1375" spans="1:8" ht="33">
      <c r="A1375" s="160"/>
      <c r="B1375" s="160" t="s">
        <v>933</v>
      </c>
      <c r="C1375" s="157" t="s">
        <v>17</v>
      </c>
      <c r="D1375" s="159">
        <v>1</v>
      </c>
      <c r="E1375" s="159"/>
      <c r="F1375" s="159">
        <v>1923.37</v>
      </c>
      <c r="G1375" s="160"/>
      <c r="H1375" s="34" t="s">
        <v>925</v>
      </c>
    </row>
    <row r="1376" spans="1:8" ht="33">
      <c r="A1376" s="160"/>
      <c r="B1376" s="160" t="s">
        <v>934</v>
      </c>
      <c r="C1376" s="157" t="s">
        <v>17</v>
      </c>
      <c r="D1376" s="159"/>
      <c r="E1376" s="159"/>
      <c r="F1376" s="159">
        <v>1923.37</v>
      </c>
      <c r="G1376" s="160"/>
      <c r="H1376" s="34" t="s">
        <v>925</v>
      </c>
    </row>
    <row r="1377" spans="1:8" ht="33">
      <c r="A1377" s="160"/>
      <c r="B1377" s="160"/>
      <c r="C1377" s="157"/>
      <c r="D1377" s="159"/>
      <c r="E1377" s="159"/>
      <c r="F1377" s="159"/>
      <c r="G1377" s="160"/>
      <c r="H1377" s="34" t="s">
        <v>925</v>
      </c>
    </row>
    <row r="1378" spans="1:8" ht="57">
      <c r="A1378" s="160" t="s">
        <v>1679</v>
      </c>
      <c r="B1378" s="160" t="s">
        <v>1489</v>
      </c>
      <c r="C1378" s="157" t="s">
        <v>17</v>
      </c>
      <c r="D1378" s="159">
        <v>1</v>
      </c>
      <c r="E1378" s="159">
        <v>2243.77</v>
      </c>
      <c r="F1378" s="159"/>
      <c r="G1378" s="160" t="s">
        <v>1490</v>
      </c>
      <c r="H1378" s="34" t="s">
        <v>925</v>
      </c>
    </row>
    <row r="1379" spans="1:8" ht="33">
      <c r="A1379" s="160">
        <v>1</v>
      </c>
      <c r="B1379" s="160" t="s">
        <v>1477</v>
      </c>
      <c r="C1379" s="157" t="s">
        <v>0</v>
      </c>
      <c r="D1379" s="159">
        <v>0.18</v>
      </c>
      <c r="E1379" s="159">
        <v>3254.65</v>
      </c>
      <c r="F1379" s="159">
        <v>585.84</v>
      </c>
      <c r="G1379" s="160" t="s">
        <v>1478</v>
      </c>
      <c r="H1379" s="34" t="s">
        <v>925</v>
      </c>
    </row>
    <row r="1380" spans="1:8" ht="28.5">
      <c r="A1380" s="160">
        <v>2</v>
      </c>
      <c r="B1380" s="160" t="s">
        <v>1491</v>
      </c>
      <c r="C1380" s="157" t="s">
        <v>17</v>
      </c>
      <c r="D1380" s="159">
        <v>1</v>
      </c>
      <c r="E1380" s="159">
        <v>443.32</v>
      </c>
      <c r="F1380" s="159">
        <v>443.32</v>
      </c>
      <c r="G1380" s="160" t="s">
        <v>1492</v>
      </c>
    </row>
    <row r="1381" spans="1:8" ht="33">
      <c r="A1381" s="160">
        <v>3</v>
      </c>
      <c r="B1381" s="160" t="s">
        <v>1104</v>
      </c>
      <c r="C1381" s="157" t="s">
        <v>0</v>
      </c>
      <c r="D1381" s="159">
        <v>0.18</v>
      </c>
      <c r="E1381" s="159">
        <v>1483.24</v>
      </c>
      <c r="F1381" s="159">
        <v>266.98</v>
      </c>
      <c r="G1381" s="160" t="s">
        <v>4951</v>
      </c>
      <c r="H1381" s="34" t="s">
        <v>925</v>
      </c>
    </row>
    <row r="1382" spans="1:8" ht="33">
      <c r="A1382" s="160">
        <v>4</v>
      </c>
      <c r="B1382" s="160" t="s">
        <v>1425</v>
      </c>
      <c r="C1382" s="157" t="s">
        <v>18</v>
      </c>
      <c r="D1382" s="159">
        <v>23</v>
      </c>
      <c r="E1382" s="159">
        <v>33.83</v>
      </c>
      <c r="F1382" s="159">
        <v>778.09</v>
      </c>
      <c r="G1382" s="160" t="s">
        <v>4953</v>
      </c>
      <c r="H1382" s="34" t="s">
        <v>925</v>
      </c>
    </row>
    <row r="1383" spans="1:8" ht="33">
      <c r="A1383" s="160">
        <v>5</v>
      </c>
      <c r="B1383" s="160" t="s">
        <v>1481</v>
      </c>
      <c r="C1383" s="157" t="s">
        <v>18</v>
      </c>
      <c r="D1383" s="159">
        <v>23</v>
      </c>
      <c r="E1383" s="159">
        <v>4.53</v>
      </c>
      <c r="F1383" s="159">
        <v>104.19</v>
      </c>
      <c r="G1383" s="160" t="s">
        <v>1482</v>
      </c>
      <c r="H1383" s="34" t="s">
        <v>925</v>
      </c>
    </row>
    <row r="1384" spans="1:8" ht="33">
      <c r="A1384" s="160">
        <v>6</v>
      </c>
      <c r="B1384" s="160" t="s">
        <v>931</v>
      </c>
      <c r="C1384" s="157" t="s">
        <v>14</v>
      </c>
      <c r="D1384" s="159">
        <v>1</v>
      </c>
      <c r="E1384" s="159">
        <v>65.349999999999994</v>
      </c>
      <c r="F1384" s="159">
        <v>65.349999999999994</v>
      </c>
      <c r="G1384" s="160" t="s">
        <v>932</v>
      </c>
      <c r="H1384" s="34" t="s">
        <v>925</v>
      </c>
    </row>
    <row r="1385" spans="1:8" ht="33">
      <c r="A1385" s="160"/>
      <c r="B1385" s="160" t="s">
        <v>933</v>
      </c>
      <c r="C1385" s="157" t="s">
        <v>17</v>
      </c>
      <c r="D1385" s="159">
        <v>1</v>
      </c>
      <c r="E1385" s="159"/>
      <c r="F1385" s="159">
        <v>2243.77</v>
      </c>
      <c r="G1385" s="160"/>
      <c r="H1385" s="34" t="s">
        <v>925</v>
      </c>
    </row>
    <row r="1386" spans="1:8" ht="33">
      <c r="A1386" s="160"/>
      <c r="B1386" s="160" t="s">
        <v>934</v>
      </c>
      <c r="C1386" s="157" t="s">
        <v>17</v>
      </c>
      <c r="D1386" s="159"/>
      <c r="E1386" s="159"/>
      <c r="F1386" s="159">
        <v>2243.77</v>
      </c>
      <c r="G1386" s="160"/>
      <c r="H1386" s="34" t="s">
        <v>925</v>
      </c>
    </row>
    <row r="1387" spans="1:8" ht="33">
      <c r="A1387" s="160"/>
      <c r="B1387" s="160"/>
      <c r="C1387" s="157"/>
      <c r="D1387" s="159"/>
      <c r="E1387" s="159"/>
      <c r="F1387" s="159"/>
      <c r="G1387" s="160"/>
      <c r="H1387" s="34" t="s">
        <v>925</v>
      </c>
    </row>
    <row r="1388" spans="1:8" ht="57">
      <c r="A1388" s="160" t="s">
        <v>1684</v>
      </c>
      <c r="B1388" s="160" t="s">
        <v>1494</v>
      </c>
      <c r="C1388" s="157" t="s">
        <v>17</v>
      </c>
      <c r="D1388" s="159">
        <v>100</v>
      </c>
      <c r="E1388" s="159">
        <v>1521.05</v>
      </c>
      <c r="F1388" s="159"/>
      <c r="G1388" s="160" t="s">
        <v>1495</v>
      </c>
    </row>
    <row r="1389" spans="1:8" ht="42.75">
      <c r="A1389" s="160">
        <v>1</v>
      </c>
      <c r="B1389" s="160" t="s">
        <v>1496</v>
      </c>
      <c r="C1389" s="157" t="s">
        <v>1497</v>
      </c>
      <c r="D1389" s="159">
        <v>400</v>
      </c>
      <c r="E1389" s="159">
        <v>39.85</v>
      </c>
      <c r="F1389" s="159">
        <v>15940</v>
      </c>
      <c r="G1389" s="160" t="s">
        <v>1498</v>
      </c>
      <c r="H1389" s="34" t="s">
        <v>925</v>
      </c>
    </row>
    <row r="1390" spans="1:8" ht="33">
      <c r="A1390" s="160">
        <v>2</v>
      </c>
      <c r="B1390" s="160" t="s">
        <v>1499</v>
      </c>
      <c r="C1390" s="157" t="s">
        <v>0</v>
      </c>
      <c r="D1390" s="159">
        <v>4.5</v>
      </c>
      <c r="E1390" s="159">
        <v>16749.419999999998</v>
      </c>
      <c r="F1390" s="159">
        <v>75372.39</v>
      </c>
      <c r="G1390" s="160" t="s">
        <v>1500</v>
      </c>
      <c r="H1390" s="34" t="s">
        <v>925</v>
      </c>
    </row>
    <row r="1391" spans="1:8" ht="33">
      <c r="A1391" s="160">
        <v>3</v>
      </c>
      <c r="B1391" s="160" t="s">
        <v>1501</v>
      </c>
      <c r="C1391" s="157" t="s">
        <v>0</v>
      </c>
      <c r="D1391" s="159">
        <v>0.34</v>
      </c>
      <c r="E1391" s="159">
        <v>16749.419999999998</v>
      </c>
      <c r="F1391" s="159">
        <v>5694.8</v>
      </c>
      <c r="G1391" s="160" t="s">
        <v>1502</v>
      </c>
      <c r="H1391" s="34" t="s">
        <v>925</v>
      </c>
    </row>
    <row r="1392" spans="1:8" ht="33">
      <c r="A1392" s="160">
        <v>4</v>
      </c>
      <c r="B1392" s="160" t="s">
        <v>1503</v>
      </c>
      <c r="C1392" s="157" t="s">
        <v>927</v>
      </c>
      <c r="D1392" s="159">
        <v>10</v>
      </c>
      <c r="E1392" s="159">
        <v>408.45</v>
      </c>
      <c r="F1392" s="159">
        <v>4084.5</v>
      </c>
      <c r="G1392" s="160" t="s">
        <v>1504</v>
      </c>
      <c r="H1392" s="34" t="s">
        <v>925</v>
      </c>
    </row>
    <row r="1393" spans="1:8" ht="33">
      <c r="A1393" s="160">
        <v>5</v>
      </c>
      <c r="B1393" s="160" t="s">
        <v>4871</v>
      </c>
      <c r="C1393" s="157" t="s">
        <v>927</v>
      </c>
      <c r="D1393" s="159">
        <v>160</v>
      </c>
      <c r="E1393" s="159">
        <v>279.94</v>
      </c>
      <c r="F1393" s="159">
        <v>44790.400000000001</v>
      </c>
      <c r="G1393" s="160" t="s">
        <v>4872</v>
      </c>
      <c r="H1393" s="34" t="s">
        <v>925</v>
      </c>
    </row>
    <row r="1394" spans="1:8" ht="33">
      <c r="A1394" s="160">
        <v>6</v>
      </c>
      <c r="B1394" s="160" t="s">
        <v>1505</v>
      </c>
      <c r="C1394" s="157" t="s">
        <v>18</v>
      </c>
      <c r="D1394" s="159">
        <v>50</v>
      </c>
      <c r="E1394" s="159">
        <v>35.86</v>
      </c>
      <c r="F1394" s="159">
        <v>1793</v>
      </c>
      <c r="G1394" s="160" t="s">
        <v>1506</v>
      </c>
      <c r="H1394" s="34" t="s">
        <v>925</v>
      </c>
    </row>
    <row r="1395" spans="1:8" ht="28.5">
      <c r="A1395" s="160">
        <v>7</v>
      </c>
      <c r="B1395" s="160" t="s">
        <v>931</v>
      </c>
      <c r="C1395" s="157" t="s">
        <v>14</v>
      </c>
      <c r="D1395" s="159">
        <v>1</v>
      </c>
      <c r="E1395" s="159">
        <v>4430.25</v>
      </c>
      <c r="F1395" s="159">
        <v>4430.25</v>
      </c>
      <c r="G1395" s="160" t="s">
        <v>932</v>
      </c>
    </row>
    <row r="1396" spans="1:8" ht="33">
      <c r="A1396" s="160"/>
      <c r="B1396" s="160" t="s">
        <v>933</v>
      </c>
      <c r="C1396" s="157" t="s">
        <v>17</v>
      </c>
      <c r="D1396" s="159">
        <v>100</v>
      </c>
      <c r="E1396" s="159"/>
      <c r="F1396" s="159">
        <v>152105.34</v>
      </c>
      <c r="G1396" s="160"/>
      <c r="H1396" s="34" t="s">
        <v>925</v>
      </c>
    </row>
    <row r="1397" spans="1:8" ht="33">
      <c r="A1397" s="160"/>
      <c r="B1397" s="160" t="s">
        <v>934</v>
      </c>
      <c r="C1397" s="157" t="s">
        <v>17</v>
      </c>
      <c r="D1397" s="159"/>
      <c r="E1397" s="159"/>
      <c r="F1397" s="159">
        <v>1521.05</v>
      </c>
      <c r="G1397" s="160"/>
      <c r="H1397" s="34" t="s">
        <v>925</v>
      </c>
    </row>
    <row r="1398" spans="1:8" ht="33">
      <c r="A1398" s="160"/>
      <c r="B1398" s="160"/>
      <c r="C1398" s="157"/>
      <c r="D1398" s="159"/>
      <c r="E1398" s="159"/>
      <c r="F1398" s="159"/>
      <c r="G1398" s="160"/>
      <c r="H1398" s="34" t="s">
        <v>925</v>
      </c>
    </row>
    <row r="1399" spans="1:8" ht="57">
      <c r="A1399" s="160" t="s">
        <v>1687</v>
      </c>
      <c r="B1399" s="160" t="s">
        <v>1508</v>
      </c>
      <c r="C1399" s="157" t="s">
        <v>17</v>
      </c>
      <c r="D1399" s="159">
        <v>100</v>
      </c>
      <c r="E1399" s="159">
        <v>1219.23</v>
      </c>
      <c r="F1399" s="159"/>
      <c r="G1399" s="160" t="s">
        <v>1509</v>
      </c>
      <c r="H1399" s="34" t="s">
        <v>925</v>
      </c>
    </row>
    <row r="1400" spans="1:8" ht="42.75">
      <c r="A1400" s="160">
        <v>1</v>
      </c>
      <c r="B1400" s="160" t="s">
        <v>1510</v>
      </c>
      <c r="C1400" s="157" t="s">
        <v>1497</v>
      </c>
      <c r="D1400" s="159">
        <v>400</v>
      </c>
      <c r="E1400" s="159">
        <v>34.869999999999997</v>
      </c>
      <c r="F1400" s="159">
        <v>13948</v>
      </c>
      <c r="G1400" s="160" t="s">
        <v>1511</v>
      </c>
      <c r="H1400" s="34" t="s">
        <v>925</v>
      </c>
    </row>
    <row r="1401" spans="1:8" ht="33">
      <c r="A1401" s="160">
        <v>2</v>
      </c>
      <c r="B1401" s="160" t="s">
        <v>1499</v>
      </c>
      <c r="C1401" s="157" t="s">
        <v>0</v>
      </c>
      <c r="D1401" s="159">
        <v>3.2</v>
      </c>
      <c r="E1401" s="159">
        <v>16749.419999999998</v>
      </c>
      <c r="F1401" s="159">
        <v>53598.14</v>
      </c>
      <c r="G1401" s="160" t="s">
        <v>1500</v>
      </c>
      <c r="H1401" s="34" t="s">
        <v>925</v>
      </c>
    </row>
    <row r="1402" spans="1:8" ht="33">
      <c r="A1402" s="160">
        <v>3</v>
      </c>
      <c r="B1402" s="160" t="s">
        <v>1501</v>
      </c>
      <c r="C1402" s="157" t="s">
        <v>0</v>
      </c>
      <c r="D1402" s="159">
        <v>0.17</v>
      </c>
      <c r="E1402" s="159">
        <v>16749.419999999998</v>
      </c>
      <c r="F1402" s="159">
        <v>2847.4</v>
      </c>
      <c r="G1402" s="160" t="s">
        <v>1502</v>
      </c>
      <c r="H1402" s="34" t="s">
        <v>925</v>
      </c>
    </row>
    <row r="1403" spans="1:8" ht="33">
      <c r="A1403" s="160">
        <v>4</v>
      </c>
      <c r="B1403" s="160" t="s">
        <v>1503</v>
      </c>
      <c r="C1403" s="157" t="s">
        <v>927</v>
      </c>
      <c r="D1403" s="159">
        <v>60</v>
      </c>
      <c r="E1403" s="159">
        <v>408.45</v>
      </c>
      <c r="F1403" s="159">
        <v>24507</v>
      </c>
      <c r="G1403" s="160" t="s">
        <v>1504</v>
      </c>
      <c r="H1403" s="34" t="s">
        <v>925</v>
      </c>
    </row>
    <row r="1404" spans="1:8" ht="33">
      <c r="A1404" s="160">
        <v>5</v>
      </c>
      <c r="B1404" s="160" t="s">
        <v>4871</v>
      </c>
      <c r="C1404" s="157" t="s">
        <v>927</v>
      </c>
      <c r="D1404" s="159">
        <v>80</v>
      </c>
      <c r="E1404" s="159">
        <v>279.94</v>
      </c>
      <c r="F1404" s="159">
        <v>22395.200000000001</v>
      </c>
      <c r="G1404" s="160" t="s">
        <v>4872</v>
      </c>
      <c r="H1404" s="34" t="s">
        <v>925</v>
      </c>
    </row>
    <row r="1405" spans="1:8" ht="33">
      <c r="A1405" s="160">
        <v>6</v>
      </c>
      <c r="B1405" s="160" t="s">
        <v>1505</v>
      </c>
      <c r="C1405" s="157" t="s">
        <v>18</v>
      </c>
      <c r="D1405" s="159">
        <v>30</v>
      </c>
      <c r="E1405" s="159">
        <v>35.86</v>
      </c>
      <c r="F1405" s="159">
        <v>1075.8</v>
      </c>
      <c r="G1405" s="160" t="s">
        <v>1506</v>
      </c>
      <c r="H1405" s="34" t="s">
        <v>925</v>
      </c>
    </row>
    <row r="1406" spans="1:8" ht="33">
      <c r="A1406" s="160">
        <v>7</v>
      </c>
      <c r="B1406" s="160" t="s">
        <v>931</v>
      </c>
      <c r="C1406" s="157" t="s">
        <v>14</v>
      </c>
      <c r="D1406" s="159">
        <v>1</v>
      </c>
      <c r="E1406" s="159">
        <v>3551.15</v>
      </c>
      <c r="F1406" s="159">
        <v>3551.15</v>
      </c>
      <c r="G1406" s="160" t="s">
        <v>932</v>
      </c>
      <c r="H1406" s="34" t="s">
        <v>925</v>
      </c>
    </row>
    <row r="1407" spans="1:8" ht="33">
      <c r="A1407" s="160"/>
      <c r="B1407" s="160" t="s">
        <v>933</v>
      </c>
      <c r="C1407" s="157" t="s">
        <v>17</v>
      </c>
      <c r="D1407" s="159">
        <v>100</v>
      </c>
      <c r="E1407" s="159"/>
      <c r="F1407" s="159">
        <v>121922.68999999999</v>
      </c>
      <c r="G1407" s="160"/>
      <c r="H1407" s="34" t="s">
        <v>925</v>
      </c>
    </row>
    <row r="1408" spans="1:8" ht="16.5">
      <c r="A1408" s="160"/>
      <c r="B1408" s="160" t="s">
        <v>934</v>
      </c>
      <c r="C1408" s="157" t="s">
        <v>17</v>
      </c>
      <c r="D1408" s="159"/>
      <c r="E1408" s="159"/>
      <c r="F1408" s="159">
        <v>1219.23</v>
      </c>
      <c r="G1408" s="160"/>
    </row>
    <row r="1409" spans="1:8" ht="33">
      <c r="A1409" s="160"/>
      <c r="B1409" s="160"/>
      <c r="C1409" s="157"/>
      <c r="D1409" s="159"/>
      <c r="E1409" s="159"/>
      <c r="F1409" s="159"/>
      <c r="G1409" s="160"/>
      <c r="H1409" s="34" t="s">
        <v>925</v>
      </c>
    </row>
    <row r="1410" spans="1:8" ht="57">
      <c r="A1410" s="160" t="s">
        <v>1699</v>
      </c>
      <c r="B1410" s="160" t="s">
        <v>1513</v>
      </c>
      <c r="C1410" s="157" t="s">
        <v>17</v>
      </c>
      <c r="D1410" s="159">
        <v>100</v>
      </c>
      <c r="E1410" s="159">
        <v>922.95</v>
      </c>
      <c r="F1410" s="159"/>
      <c r="G1410" s="160" t="s">
        <v>1514</v>
      </c>
      <c r="H1410" s="34" t="s">
        <v>925</v>
      </c>
    </row>
    <row r="1411" spans="1:8" ht="42.75">
      <c r="A1411" s="160">
        <v>1</v>
      </c>
      <c r="B1411" s="160" t="s">
        <v>1515</v>
      </c>
      <c r="C1411" s="157" t="s">
        <v>1497</v>
      </c>
      <c r="D1411" s="159">
        <v>400</v>
      </c>
      <c r="E1411" s="159">
        <v>29.89</v>
      </c>
      <c r="F1411" s="159">
        <v>11956</v>
      </c>
      <c r="G1411" s="160" t="s">
        <v>1516</v>
      </c>
      <c r="H1411" s="34" t="s">
        <v>925</v>
      </c>
    </row>
    <row r="1412" spans="1:8" ht="33">
      <c r="A1412" s="160">
        <v>2</v>
      </c>
      <c r="B1412" s="160" t="s">
        <v>1499</v>
      </c>
      <c r="C1412" s="157" t="s">
        <v>0</v>
      </c>
      <c r="D1412" s="159">
        <v>2.1</v>
      </c>
      <c r="E1412" s="159">
        <v>16749.419999999998</v>
      </c>
      <c r="F1412" s="159">
        <v>35173.78</v>
      </c>
      <c r="G1412" s="160" t="s">
        <v>1500</v>
      </c>
      <c r="H1412" s="34" t="s">
        <v>925</v>
      </c>
    </row>
    <row r="1413" spans="1:8" ht="33">
      <c r="A1413" s="160">
        <v>3</v>
      </c>
      <c r="B1413" s="160" t="s">
        <v>1501</v>
      </c>
      <c r="C1413" s="157" t="s">
        <v>0</v>
      </c>
      <c r="D1413" s="159">
        <v>0.17</v>
      </c>
      <c r="E1413" s="159">
        <v>16749.419999999998</v>
      </c>
      <c r="F1413" s="159">
        <v>2847.4</v>
      </c>
      <c r="G1413" s="160" t="s">
        <v>1502</v>
      </c>
      <c r="H1413" s="34" t="s">
        <v>925</v>
      </c>
    </row>
    <row r="1414" spans="1:8" ht="33">
      <c r="A1414" s="160">
        <v>4</v>
      </c>
      <c r="B1414" s="160" t="s">
        <v>1503</v>
      </c>
      <c r="C1414" s="157" t="s">
        <v>927</v>
      </c>
      <c r="D1414" s="159">
        <v>40</v>
      </c>
      <c r="E1414" s="159">
        <v>408.45</v>
      </c>
      <c r="F1414" s="159">
        <v>16338</v>
      </c>
      <c r="G1414" s="160" t="s">
        <v>1504</v>
      </c>
      <c r="H1414" s="34" t="s">
        <v>925</v>
      </c>
    </row>
    <row r="1415" spans="1:8" ht="33">
      <c r="A1415" s="160">
        <v>5</v>
      </c>
      <c r="B1415" s="160" t="s">
        <v>4871</v>
      </c>
      <c r="C1415" s="157" t="s">
        <v>927</v>
      </c>
      <c r="D1415" s="159">
        <v>80</v>
      </c>
      <c r="E1415" s="159">
        <v>279.94</v>
      </c>
      <c r="F1415" s="159">
        <v>22395.200000000001</v>
      </c>
      <c r="G1415" s="160" t="s">
        <v>4872</v>
      </c>
      <c r="H1415" s="34" t="s">
        <v>925</v>
      </c>
    </row>
    <row r="1416" spans="1:8" ht="33">
      <c r="A1416" s="160">
        <v>6</v>
      </c>
      <c r="B1416" s="160" t="s">
        <v>1505</v>
      </c>
      <c r="C1416" s="157" t="s">
        <v>18</v>
      </c>
      <c r="D1416" s="159">
        <v>25</v>
      </c>
      <c r="E1416" s="159">
        <v>35.86</v>
      </c>
      <c r="F1416" s="159">
        <v>896.5</v>
      </c>
      <c r="G1416" s="160" t="s">
        <v>1506</v>
      </c>
      <c r="H1416" s="34" t="s">
        <v>925</v>
      </c>
    </row>
    <row r="1417" spans="1:8" ht="33">
      <c r="A1417" s="160">
        <v>7</v>
      </c>
      <c r="B1417" s="160" t="s">
        <v>931</v>
      </c>
      <c r="C1417" s="157" t="s">
        <v>14</v>
      </c>
      <c r="D1417" s="159">
        <v>1</v>
      </c>
      <c r="E1417" s="159">
        <v>2688.21</v>
      </c>
      <c r="F1417" s="159">
        <v>2688.21</v>
      </c>
      <c r="G1417" s="160" t="s">
        <v>932</v>
      </c>
      <c r="H1417" s="34" t="s">
        <v>925</v>
      </c>
    </row>
    <row r="1418" spans="1:8" ht="16.5">
      <c r="A1418" s="160"/>
      <c r="B1418" s="160" t="s">
        <v>933</v>
      </c>
      <c r="C1418" s="157" t="s">
        <v>17</v>
      </c>
      <c r="D1418" s="159">
        <v>100</v>
      </c>
      <c r="E1418" s="159"/>
      <c r="F1418" s="159">
        <v>92295.09</v>
      </c>
      <c r="G1418" s="160"/>
    </row>
    <row r="1419" spans="1:8" ht="33">
      <c r="A1419" s="160"/>
      <c r="B1419" s="160" t="s">
        <v>934</v>
      </c>
      <c r="C1419" s="157" t="s">
        <v>17</v>
      </c>
      <c r="D1419" s="159"/>
      <c r="E1419" s="159"/>
      <c r="F1419" s="159">
        <v>922.95</v>
      </c>
      <c r="G1419" s="160"/>
      <c r="H1419" s="34" t="s">
        <v>925</v>
      </c>
    </row>
    <row r="1420" spans="1:8" ht="33">
      <c r="A1420" s="160"/>
      <c r="B1420" s="160"/>
      <c r="C1420" s="157"/>
      <c r="D1420" s="159"/>
      <c r="E1420" s="159"/>
      <c r="F1420" s="159"/>
      <c r="G1420" s="160"/>
      <c r="H1420" s="34" t="s">
        <v>925</v>
      </c>
    </row>
    <row r="1421" spans="1:8" ht="33">
      <c r="A1421" s="160" t="s">
        <v>1706</v>
      </c>
      <c r="B1421" s="160" t="s">
        <v>1518</v>
      </c>
      <c r="C1421" s="157" t="s">
        <v>17</v>
      </c>
      <c r="D1421" s="159">
        <v>12</v>
      </c>
      <c r="E1421" s="159">
        <v>3078.32</v>
      </c>
      <c r="F1421" s="159"/>
      <c r="G1421" s="160" t="s">
        <v>1519</v>
      </c>
      <c r="H1421" s="34" t="s">
        <v>925</v>
      </c>
    </row>
    <row r="1422" spans="1:8" ht="33">
      <c r="A1422" s="160">
        <v>1</v>
      </c>
      <c r="B1422" s="160" t="s">
        <v>1520</v>
      </c>
      <c r="C1422" s="157" t="s">
        <v>17</v>
      </c>
      <c r="D1422" s="159">
        <v>12</v>
      </c>
      <c r="E1422" s="159">
        <v>1992.44</v>
      </c>
      <c r="F1422" s="159">
        <v>23909.279999999999</v>
      </c>
      <c r="G1422" s="160" t="s">
        <v>1521</v>
      </c>
      <c r="H1422" s="34" t="s">
        <v>925</v>
      </c>
    </row>
    <row r="1423" spans="1:8" ht="33">
      <c r="A1423" s="160">
        <v>2</v>
      </c>
      <c r="B1423" s="160" t="s">
        <v>1522</v>
      </c>
      <c r="C1423" s="157" t="s">
        <v>17</v>
      </c>
      <c r="D1423" s="159">
        <v>12</v>
      </c>
      <c r="E1423" s="159">
        <v>996.22</v>
      </c>
      <c r="F1423" s="159">
        <v>11954.64</v>
      </c>
      <c r="G1423" s="160" t="s">
        <v>1523</v>
      </c>
      <c r="H1423" s="34" t="s">
        <v>925</v>
      </c>
    </row>
    <row r="1424" spans="1:8" ht="33">
      <c r="A1424" s="160">
        <v>3</v>
      </c>
      <c r="B1424" s="160" t="s">
        <v>931</v>
      </c>
      <c r="C1424" s="157" t="s">
        <v>14</v>
      </c>
      <c r="D1424" s="159">
        <v>1</v>
      </c>
      <c r="E1424" s="159">
        <v>1075.92</v>
      </c>
      <c r="F1424" s="159">
        <v>1075.92</v>
      </c>
      <c r="G1424" s="160" t="s">
        <v>932</v>
      </c>
      <c r="H1424" s="34" t="s">
        <v>925</v>
      </c>
    </row>
    <row r="1425" spans="1:8" ht="33">
      <c r="A1425" s="160"/>
      <c r="B1425" s="160" t="s">
        <v>933</v>
      </c>
      <c r="C1425" s="157" t="s">
        <v>17</v>
      </c>
      <c r="D1425" s="159">
        <v>12</v>
      </c>
      <c r="E1425" s="159"/>
      <c r="F1425" s="159">
        <v>36939.839999999997</v>
      </c>
      <c r="G1425" s="160"/>
      <c r="H1425" s="34" t="s">
        <v>925</v>
      </c>
    </row>
    <row r="1426" spans="1:8" ht="33">
      <c r="A1426" s="160"/>
      <c r="B1426" s="160" t="s">
        <v>934</v>
      </c>
      <c r="C1426" s="157" t="s">
        <v>17</v>
      </c>
      <c r="D1426" s="159"/>
      <c r="E1426" s="159"/>
      <c r="F1426" s="159">
        <v>3078.32</v>
      </c>
      <c r="G1426" s="160"/>
      <c r="H1426" s="34" t="s">
        <v>925</v>
      </c>
    </row>
    <row r="1427" spans="1:8" ht="33">
      <c r="A1427" s="160"/>
      <c r="B1427" s="160"/>
      <c r="C1427" s="157"/>
      <c r="D1427" s="159"/>
      <c r="E1427" s="159"/>
      <c r="F1427" s="159"/>
      <c r="G1427" s="160"/>
      <c r="H1427" s="34" t="s">
        <v>925</v>
      </c>
    </row>
    <row r="1428" spans="1:8" ht="42.75">
      <c r="A1428" s="160" t="s">
        <v>1710</v>
      </c>
      <c r="B1428" s="160" t="s">
        <v>1525</v>
      </c>
      <c r="C1428" s="157" t="s">
        <v>3</v>
      </c>
      <c r="D1428" s="159">
        <v>1000</v>
      </c>
      <c r="E1428" s="159">
        <v>634.26</v>
      </c>
      <c r="F1428" s="159"/>
      <c r="G1428" s="160" t="s">
        <v>1526</v>
      </c>
      <c r="H1428" s="34" t="s">
        <v>925</v>
      </c>
    </row>
    <row r="1429" spans="1:8" ht="33">
      <c r="A1429" s="160">
        <v>1</v>
      </c>
      <c r="B1429" s="160" t="s">
        <v>1527</v>
      </c>
      <c r="C1429" s="157" t="s">
        <v>1528</v>
      </c>
      <c r="D1429" s="159">
        <v>875</v>
      </c>
      <c r="E1429" s="159">
        <v>134.49</v>
      </c>
      <c r="F1429" s="159">
        <v>117678.75</v>
      </c>
      <c r="G1429" s="160" t="s">
        <v>1529</v>
      </c>
      <c r="H1429" s="34" t="s">
        <v>925</v>
      </c>
    </row>
    <row r="1430" spans="1:8" ht="28.5">
      <c r="A1430" s="160">
        <v>2</v>
      </c>
      <c r="B1430" s="160" t="s">
        <v>1530</v>
      </c>
      <c r="C1430" s="157" t="s">
        <v>3</v>
      </c>
      <c r="D1430" s="159">
        <v>1000</v>
      </c>
      <c r="E1430" s="159">
        <v>498.11</v>
      </c>
      <c r="F1430" s="159">
        <v>498110</v>
      </c>
      <c r="G1430" s="160" t="s">
        <v>1531</v>
      </c>
    </row>
    <row r="1431" spans="1:8" ht="33">
      <c r="A1431" s="160">
        <v>3</v>
      </c>
      <c r="B1431" s="160" t="s">
        <v>931</v>
      </c>
      <c r="C1431" s="157" t="s">
        <v>14</v>
      </c>
      <c r="D1431" s="159">
        <v>1</v>
      </c>
      <c r="E1431" s="159">
        <v>18473.66</v>
      </c>
      <c r="F1431" s="159">
        <v>18473.66</v>
      </c>
      <c r="G1431" s="160" t="s">
        <v>932</v>
      </c>
      <c r="H1431" s="34" t="s">
        <v>925</v>
      </c>
    </row>
    <row r="1432" spans="1:8" ht="33">
      <c r="A1432" s="160"/>
      <c r="B1432" s="160" t="s">
        <v>933</v>
      </c>
      <c r="C1432" s="157" t="s">
        <v>3</v>
      </c>
      <c r="D1432" s="159">
        <v>1000</v>
      </c>
      <c r="E1432" s="159"/>
      <c r="F1432" s="159">
        <v>634262.41</v>
      </c>
      <c r="G1432" s="160"/>
      <c r="H1432" s="34" t="s">
        <v>925</v>
      </c>
    </row>
    <row r="1433" spans="1:8" ht="33">
      <c r="A1433" s="160"/>
      <c r="B1433" s="160" t="s">
        <v>934</v>
      </c>
      <c r="C1433" s="157" t="s">
        <v>3</v>
      </c>
      <c r="D1433" s="159"/>
      <c r="E1433" s="159"/>
      <c r="F1433" s="159">
        <v>634.26</v>
      </c>
      <c r="G1433" s="160"/>
      <c r="H1433" s="34" t="s">
        <v>925</v>
      </c>
    </row>
    <row r="1434" spans="1:8" ht="33">
      <c r="A1434" s="160"/>
      <c r="B1434" s="160"/>
      <c r="C1434" s="157"/>
      <c r="D1434" s="159"/>
      <c r="E1434" s="159"/>
      <c r="F1434" s="159"/>
      <c r="G1434" s="160"/>
      <c r="H1434" s="34" t="s">
        <v>925</v>
      </c>
    </row>
    <row r="1435" spans="1:8" ht="42.75">
      <c r="A1435" s="160" t="s">
        <v>1722</v>
      </c>
      <c r="B1435" s="160" t="s">
        <v>1533</v>
      </c>
      <c r="C1435" s="157" t="s">
        <v>17</v>
      </c>
      <c r="D1435" s="159">
        <v>10</v>
      </c>
      <c r="E1435" s="159">
        <v>2344.66</v>
      </c>
      <c r="F1435" s="159"/>
      <c r="G1435" s="160" t="s">
        <v>1534</v>
      </c>
      <c r="H1435" s="34" t="s">
        <v>925</v>
      </c>
    </row>
    <row r="1436" spans="1:8" ht="33">
      <c r="A1436" s="160">
        <v>1</v>
      </c>
      <c r="B1436" s="160" t="s">
        <v>1535</v>
      </c>
      <c r="C1436" s="157" t="s">
        <v>1536</v>
      </c>
      <c r="D1436" s="159">
        <v>25</v>
      </c>
      <c r="E1436" s="159">
        <v>268.98</v>
      </c>
      <c r="F1436" s="159">
        <v>6724.5</v>
      </c>
      <c r="G1436" s="160" t="s">
        <v>1537</v>
      </c>
      <c r="H1436" s="34" t="s">
        <v>925</v>
      </c>
    </row>
    <row r="1437" spans="1:8" ht="33">
      <c r="A1437" s="160">
        <v>2</v>
      </c>
      <c r="B1437" s="160" t="s">
        <v>1538</v>
      </c>
      <c r="C1437" s="157" t="s">
        <v>1220</v>
      </c>
      <c r="D1437" s="159">
        <v>25</v>
      </c>
      <c r="E1437" s="159">
        <v>617.66</v>
      </c>
      <c r="F1437" s="159">
        <v>15441.5</v>
      </c>
      <c r="G1437" s="160" t="s">
        <v>1539</v>
      </c>
      <c r="H1437" s="34" t="s">
        <v>925</v>
      </c>
    </row>
    <row r="1438" spans="1:8" ht="33">
      <c r="A1438" s="160">
        <v>3</v>
      </c>
      <c r="B1438" s="160" t="s">
        <v>1540</v>
      </c>
      <c r="C1438" s="157" t="s">
        <v>14</v>
      </c>
      <c r="D1438" s="159">
        <v>1</v>
      </c>
      <c r="E1438" s="159">
        <v>597.73</v>
      </c>
      <c r="F1438" s="159">
        <v>597.73</v>
      </c>
      <c r="G1438" s="160" t="s">
        <v>1541</v>
      </c>
      <c r="H1438" s="34" t="s">
        <v>925</v>
      </c>
    </row>
    <row r="1439" spans="1:8" ht="28.5">
      <c r="A1439" s="160">
        <v>4</v>
      </c>
      <c r="B1439" s="160" t="s">
        <v>931</v>
      </c>
      <c r="C1439" s="157" t="s">
        <v>14</v>
      </c>
      <c r="D1439" s="159">
        <v>1</v>
      </c>
      <c r="E1439" s="159">
        <v>682.91</v>
      </c>
      <c r="F1439" s="159">
        <v>682.91</v>
      </c>
      <c r="G1439" s="160" t="s">
        <v>932</v>
      </c>
    </row>
    <row r="1440" spans="1:8" ht="33">
      <c r="A1440" s="160"/>
      <c r="B1440" s="160" t="s">
        <v>933</v>
      </c>
      <c r="C1440" s="157" t="s">
        <v>17</v>
      </c>
      <c r="D1440" s="159">
        <v>10</v>
      </c>
      <c r="E1440" s="159"/>
      <c r="F1440" s="159">
        <v>23446.639999999999</v>
      </c>
      <c r="G1440" s="160"/>
      <c r="H1440" s="34" t="s">
        <v>925</v>
      </c>
    </row>
    <row r="1441" spans="1:8" ht="33">
      <c r="A1441" s="160"/>
      <c r="B1441" s="160" t="s">
        <v>934</v>
      </c>
      <c r="C1441" s="157" t="s">
        <v>17</v>
      </c>
      <c r="D1441" s="159"/>
      <c r="E1441" s="159"/>
      <c r="F1441" s="159">
        <v>2344.66</v>
      </c>
      <c r="G1441" s="160"/>
      <c r="H1441" s="34" t="s">
        <v>925</v>
      </c>
    </row>
    <row r="1442" spans="1:8" ht="33">
      <c r="A1442" s="160"/>
      <c r="B1442" s="160"/>
      <c r="C1442" s="157"/>
      <c r="D1442" s="159"/>
      <c r="E1442" s="159"/>
      <c r="F1442" s="159"/>
      <c r="G1442" s="160"/>
      <c r="H1442" s="34" t="s">
        <v>925</v>
      </c>
    </row>
    <row r="1443" spans="1:8" ht="42.75">
      <c r="A1443" s="160" t="s">
        <v>1728</v>
      </c>
      <c r="B1443" s="160" t="s">
        <v>1543</v>
      </c>
      <c r="C1443" s="157" t="s">
        <v>17</v>
      </c>
      <c r="D1443" s="159">
        <v>10</v>
      </c>
      <c r="E1443" s="159">
        <v>2606.31</v>
      </c>
      <c r="F1443" s="159"/>
      <c r="G1443" s="160" t="s">
        <v>1544</v>
      </c>
      <c r="H1443" s="34" t="s">
        <v>925</v>
      </c>
    </row>
    <row r="1444" spans="1:8" ht="33">
      <c r="A1444" s="160">
        <v>1</v>
      </c>
      <c r="B1444" s="160" t="s">
        <v>1545</v>
      </c>
      <c r="C1444" s="157" t="s">
        <v>1536</v>
      </c>
      <c r="D1444" s="159">
        <v>25</v>
      </c>
      <c r="E1444" s="159">
        <v>270.97000000000003</v>
      </c>
      <c r="F1444" s="159">
        <v>6774.25</v>
      </c>
      <c r="G1444" s="160" t="s">
        <v>1546</v>
      </c>
      <c r="H1444" s="34" t="s">
        <v>925</v>
      </c>
    </row>
    <row r="1445" spans="1:8" ht="33">
      <c r="A1445" s="160">
        <v>2</v>
      </c>
      <c r="B1445" s="160" t="s">
        <v>1547</v>
      </c>
      <c r="C1445" s="157" t="s">
        <v>1220</v>
      </c>
      <c r="D1445" s="159">
        <v>25</v>
      </c>
      <c r="E1445" s="159">
        <v>717.28</v>
      </c>
      <c r="F1445" s="159">
        <v>17932</v>
      </c>
      <c r="G1445" s="160" t="s">
        <v>1548</v>
      </c>
      <c r="H1445" s="34" t="s">
        <v>925</v>
      </c>
    </row>
    <row r="1446" spans="1:8" ht="33">
      <c r="A1446" s="160">
        <v>3</v>
      </c>
      <c r="B1446" s="160" t="s">
        <v>1540</v>
      </c>
      <c r="C1446" s="157" t="s">
        <v>14</v>
      </c>
      <c r="D1446" s="159">
        <v>1</v>
      </c>
      <c r="E1446" s="159">
        <v>597.73</v>
      </c>
      <c r="F1446" s="159">
        <v>597.73</v>
      </c>
      <c r="G1446" s="160" t="s">
        <v>1541</v>
      </c>
      <c r="H1446" s="34" t="s">
        <v>925</v>
      </c>
    </row>
    <row r="1447" spans="1:8" ht="33">
      <c r="A1447" s="160">
        <v>4</v>
      </c>
      <c r="B1447" s="160" t="s">
        <v>931</v>
      </c>
      <c r="C1447" s="157" t="s">
        <v>14</v>
      </c>
      <c r="D1447" s="159">
        <v>1</v>
      </c>
      <c r="E1447" s="159">
        <v>759.12</v>
      </c>
      <c r="F1447" s="159">
        <v>759.12</v>
      </c>
      <c r="G1447" s="160" t="s">
        <v>932</v>
      </c>
      <c r="H1447" s="34" t="s">
        <v>925</v>
      </c>
    </row>
    <row r="1448" spans="1:8" ht="33">
      <c r="A1448" s="160"/>
      <c r="B1448" s="160" t="s">
        <v>933</v>
      </c>
      <c r="C1448" s="157" t="s">
        <v>17</v>
      </c>
      <c r="D1448" s="159">
        <v>10</v>
      </c>
      <c r="E1448" s="159"/>
      <c r="F1448" s="159">
        <v>26063.1</v>
      </c>
      <c r="G1448" s="160"/>
      <c r="H1448" s="34" t="s">
        <v>925</v>
      </c>
    </row>
    <row r="1449" spans="1:8" ht="33">
      <c r="A1449" s="160"/>
      <c r="B1449" s="160" t="s">
        <v>934</v>
      </c>
      <c r="C1449" s="157" t="s">
        <v>17</v>
      </c>
      <c r="D1449" s="159"/>
      <c r="E1449" s="159"/>
      <c r="F1449" s="159">
        <v>2606.31</v>
      </c>
      <c r="G1449" s="160"/>
      <c r="H1449" s="34" t="s">
        <v>925</v>
      </c>
    </row>
    <row r="1450" spans="1:8" ht="33">
      <c r="A1450" s="160"/>
      <c r="B1450" s="160"/>
      <c r="C1450" s="157"/>
      <c r="D1450" s="159"/>
      <c r="E1450" s="159"/>
      <c r="F1450" s="159"/>
      <c r="G1450" s="160"/>
      <c r="H1450" s="34" t="s">
        <v>925</v>
      </c>
    </row>
    <row r="1451" spans="1:8" ht="42.75">
      <c r="A1451" s="160" t="s">
        <v>1740</v>
      </c>
      <c r="B1451" s="160" t="s">
        <v>1550</v>
      </c>
      <c r="C1451" s="157" t="s">
        <v>17</v>
      </c>
      <c r="D1451" s="159">
        <v>10</v>
      </c>
      <c r="E1451" s="159">
        <v>2773.04</v>
      </c>
      <c r="F1451" s="159"/>
      <c r="G1451" s="160" t="s">
        <v>1551</v>
      </c>
      <c r="H1451" s="34" t="s">
        <v>925</v>
      </c>
    </row>
    <row r="1452" spans="1:8" ht="28.5">
      <c r="A1452" s="160">
        <v>1</v>
      </c>
      <c r="B1452" s="160" t="s">
        <v>1552</v>
      </c>
      <c r="C1452" s="157" t="s">
        <v>1536</v>
      </c>
      <c r="D1452" s="159">
        <v>25</v>
      </c>
      <c r="E1452" s="159">
        <v>256.02999999999997</v>
      </c>
      <c r="F1452" s="159">
        <v>6400.75</v>
      </c>
      <c r="G1452" s="160" t="s">
        <v>1553</v>
      </c>
    </row>
    <row r="1453" spans="1:8" ht="33">
      <c r="A1453" s="160">
        <v>2</v>
      </c>
      <c r="B1453" s="160" t="s">
        <v>1554</v>
      </c>
      <c r="C1453" s="157" t="s">
        <v>1220</v>
      </c>
      <c r="D1453" s="159">
        <v>25</v>
      </c>
      <c r="E1453" s="159">
        <v>796.97</v>
      </c>
      <c r="F1453" s="159">
        <v>19924.25</v>
      </c>
      <c r="G1453" s="160" t="s">
        <v>1555</v>
      </c>
      <c r="H1453" s="34" t="s">
        <v>925</v>
      </c>
    </row>
    <row r="1454" spans="1:8" ht="33">
      <c r="A1454" s="160">
        <v>3</v>
      </c>
      <c r="B1454" s="160" t="s">
        <v>1540</v>
      </c>
      <c r="C1454" s="157" t="s">
        <v>14</v>
      </c>
      <c r="D1454" s="159">
        <v>1</v>
      </c>
      <c r="E1454" s="159">
        <v>597.73</v>
      </c>
      <c r="F1454" s="159">
        <v>597.73</v>
      </c>
      <c r="G1454" s="160" t="s">
        <v>1541</v>
      </c>
      <c r="H1454" s="34" t="s">
        <v>925</v>
      </c>
    </row>
    <row r="1455" spans="1:8" ht="33">
      <c r="A1455" s="160">
        <v>4</v>
      </c>
      <c r="B1455" s="160" t="s">
        <v>931</v>
      </c>
      <c r="C1455" s="157" t="s">
        <v>14</v>
      </c>
      <c r="D1455" s="159">
        <v>1</v>
      </c>
      <c r="E1455" s="159">
        <v>807.68</v>
      </c>
      <c r="F1455" s="159">
        <v>807.68</v>
      </c>
      <c r="G1455" s="160" t="s">
        <v>932</v>
      </c>
      <c r="H1455" s="34" t="s">
        <v>925</v>
      </c>
    </row>
    <row r="1456" spans="1:8" ht="33">
      <c r="A1456" s="160"/>
      <c r="B1456" s="160" t="s">
        <v>933</v>
      </c>
      <c r="C1456" s="157" t="s">
        <v>17</v>
      </c>
      <c r="D1456" s="159">
        <v>10</v>
      </c>
      <c r="E1456" s="159"/>
      <c r="F1456" s="159">
        <v>27730.41</v>
      </c>
      <c r="G1456" s="160"/>
      <c r="H1456" s="34" t="s">
        <v>925</v>
      </c>
    </row>
    <row r="1457" spans="1:8" ht="33">
      <c r="A1457" s="160"/>
      <c r="B1457" s="160" t="s">
        <v>934</v>
      </c>
      <c r="C1457" s="157" t="s">
        <v>17</v>
      </c>
      <c r="D1457" s="159"/>
      <c r="E1457" s="159"/>
      <c r="F1457" s="159">
        <v>2773.04</v>
      </c>
      <c r="G1457" s="160"/>
      <c r="H1457" s="34" t="s">
        <v>925</v>
      </c>
    </row>
    <row r="1458" spans="1:8" ht="33">
      <c r="A1458" s="160"/>
      <c r="B1458" s="160"/>
      <c r="C1458" s="157"/>
      <c r="D1458" s="159"/>
      <c r="E1458" s="159"/>
      <c r="F1458" s="159"/>
      <c r="G1458" s="160"/>
      <c r="H1458" s="34" t="s">
        <v>925</v>
      </c>
    </row>
    <row r="1459" spans="1:8" ht="42.75">
      <c r="A1459" s="160" t="s">
        <v>1750</v>
      </c>
      <c r="B1459" s="160" t="s">
        <v>1557</v>
      </c>
      <c r="C1459" s="157" t="s">
        <v>17</v>
      </c>
      <c r="D1459" s="159">
        <v>10</v>
      </c>
      <c r="E1459" s="159">
        <v>3899.19</v>
      </c>
      <c r="F1459" s="159"/>
      <c r="G1459" s="160" t="s">
        <v>1558</v>
      </c>
      <c r="H1459" s="34" t="s">
        <v>925</v>
      </c>
    </row>
    <row r="1460" spans="1:8" ht="33">
      <c r="A1460" s="160">
        <v>1</v>
      </c>
      <c r="B1460" s="160" t="s">
        <v>1559</v>
      </c>
      <c r="C1460" s="157" t="s">
        <v>1536</v>
      </c>
      <c r="D1460" s="159">
        <v>25</v>
      </c>
      <c r="E1460" s="159">
        <v>334.73</v>
      </c>
      <c r="F1460" s="159">
        <v>8368.25</v>
      </c>
      <c r="G1460" s="160" t="s">
        <v>1560</v>
      </c>
      <c r="H1460" s="34" t="s">
        <v>925</v>
      </c>
    </row>
    <row r="1461" spans="1:8" ht="33">
      <c r="A1461" s="160">
        <v>2</v>
      </c>
      <c r="B1461" s="160" t="s">
        <v>1561</v>
      </c>
      <c r="C1461" s="157" t="s">
        <v>1220</v>
      </c>
      <c r="D1461" s="159">
        <v>25</v>
      </c>
      <c r="E1461" s="159">
        <v>1155.6099999999999</v>
      </c>
      <c r="F1461" s="159">
        <v>28890.25</v>
      </c>
      <c r="G1461" s="160" t="s">
        <v>1562</v>
      </c>
      <c r="H1461" s="34" t="s">
        <v>925</v>
      </c>
    </row>
    <row r="1462" spans="1:8" ht="28.5">
      <c r="A1462" s="160">
        <v>3</v>
      </c>
      <c r="B1462" s="160" t="s">
        <v>1540</v>
      </c>
      <c r="C1462" s="157" t="s">
        <v>14</v>
      </c>
      <c r="D1462" s="159">
        <v>1</v>
      </c>
      <c r="E1462" s="159">
        <v>597.73</v>
      </c>
      <c r="F1462" s="159">
        <v>597.73</v>
      </c>
      <c r="G1462" s="160" t="s">
        <v>1541</v>
      </c>
    </row>
    <row r="1463" spans="1:8" ht="33">
      <c r="A1463" s="160">
        <v>4</v>
      </c>
      <c r="B1463" s="160" t="s">
        <v>931</v>
      </c>
      <c r="C1463" s="157" t="s">
        <v>14</v>
      </c>
      <c r="D1463" s="159">
        <v>1</v>
      </c>
      <c r="E1463" s="159">
        <v>1135.69</v>
      </c>
      <c r="F1463" s="159">
        <v>1135.69</v>
      </c>
      <c r="G1463" s="160" t="s">
        <v>932</v>
      </c>
      <c r="H1463" s="34" t="s">
        <v>925</v>
      </c>
    </row>
    <row r="1464" spans="1:8" ht="33">
      <c r="A1464" s="160"/>
      <c r="B1464" s="160" t="s">
        <v>933</v>
      </c>
      <c r="C1464" s="157" t="s">
        <v>17</v>
      </c>
      <c r="D1464" s="159">
        <v>10</v>
      </c>
      <c r="E1464" s="159"/>
      <c r="F1464" s="159">
        <v>38991.920000000006</v>
      </c>
      <c r="G1464" s="160"/>
      <c r="H1464" s="34" t="s">
        <v>925</v>
      </c>
    </row>
    <row r="1465" spans="1:8" ht="33">
      <c r="A1465" s="160"/>
      <c r="B1465" s="160" t="s">
        <v>934</v>
      </c>
      <c r="C1465" s="157" t="s">
        <v>17</v>
      </c>
      <c r="D1465" s="159"/>
      <c r="E1465" s="159"/>
      <c r="F1465" s="159">
        <v>3899.19</v>
      </c>
      <c r="G1465" s="160"/>
      <c r="H1465" s="34" t="s">
        <v>925</v>
      </c>
    </row>
    <row r="1466" spans="1:8" ht="33">
      <c r="A1466" s="160"/>
      <c r="B1466" s="160"/>
      <c r="C1466" s="157"/>
      <c r="D1466" s="159"/>
      <c r="E1466" s="159"/>
      <c r="F1466" s="159"/>
      <c r="G1466" s="160"/>
      <c r="H1466" s="34" t="s">
        <v>925</v>
      </c>
    </row>
    <row r="1467" spans="1:8" ht="42.75">
      <c r="A1467" s="160" t="s">
        <v>1769</v>
      </c>
      <c r="B1467" s="160" t="s">
        <v>1564</v>
      </c>
      <c r="C1467" s="157" t="s">
        <v>17</v>
      </c>
      <c r="D1467" s="159">
        <v>10</v>
      </c>
      <c r="E1467" s="159">
        <v>5702.59</v>
      </c>
      <c r="F1467" s="159"/>
      <c r="G1467" s="160" t="s">
        <v>1565</v>
      </c>
      <c r="H1467" s="34" t="s">
        <v>925</v>
      </c>
    </row>
    <row r="1468" spans="1:8" ht="33">
      <c r="A1468" s="160">
        <v>1</v>
      </c>
      <c r="B1468" s="160" t="s">
        <v>1566</v>
      </c>
      <c r="C1468" s="157" t="s">
        <v>1536</v>
      </c>
      <c r="D1468" s="159">
        <v>25</v>
      </c>
      <c r="E1468" s="159">
        <v>467.23</v>
      </c>
      <c r="F1468" s="159">
        <v>11680.75</v>
      </c>
      <c r="G1468" s="160" t="s">
        <v>1567</v>
      </c>
      <c r="H1468" s="34" t="s">
        <v>925</v>
      </c>
    </row>
    <row r="1469" spans="1:8" ht="33">
      <c r="A1469" s="160">
        <v>2</v>
      </c>
      <c r="B1469" s="160" t="s">
        <v>1568</v>
      </c>
      <c r="C1469" s="157" t="s">
        <v>1220</v>
      </c>
      <c r="D1469" s="159">
        <v>25</v>
      </c>
      <c r="E1469" s="159">
        <v>1723.46</v>
      </c>
      <c r="F1469" s="159">
        <v>43086.5</v>
      </c>
      <c r="G1469" s="160" t="s">
        <v>1569</v>
      </c>
      <c r="H1469" s="34" t="s">
        <v>925</v>
      </c>
    </row>
    <row r="1470" spans="1:8" ht="33">
      <c r="A1470" s="160">
        <v>3</v>
      </c>
      <c r="B1470" s="160" t="s">
        <v>1540</v>
      </c>
      <c r="C1470" s="157" t="s">
        <v>14</v>
      </c>
      <c r="D1470" s="159">
        <v>1</v>
      </c>
      <c r="E1470" s="159">
        <v>597.73</v>
      </c>
      <c r="F1470" s="159">
        <v>597.73</v>
      </c>
      <c r="G1470" s="160" t="s">
        <v>1541</v>
      </c>
      <c r="H1470" s="34" t="s">
        <v>925</v>
      </c>
    </row>
    <row r="1471" spans="1:8" ht="33">
      <c r="A1471" s="160">
        <v>4</v>
      </c>
      <c r="B1471" s="160" t="s">
        <v>931</v>
      </c>
      <c r="C1471" s="157" t="s">
        <v>14</v>
      </c>
      <c r="D1471" s="159">
        <v>1</v>
      </c>
      <c r="E1471" s="159">
        <v>1660.95</v>
      </c>
      <c r="F1471" s="159">
        <v>1660.95</v>
      </c>
      <c r="G1471" s="160" t="s">
        <v>932</v>
      </c>
      <c r="H1471" s="34" t="s">
        <v>925</v>
      </c>
    </row>
    <row r="1472" spans="1:8" ht="16.5">
      <c r="A1472" s="160"/>
      <c r="B1472" s="160" t="s">
        <v>933</v>
      </c>
      <c r="C1472" s="157" t="s">
        <v>17</v>
      </c>
      <c r="D1472" s="159">
        <v>10</v>
      </c>
      <c r="E1472" s="159"/>
      <c r="F1472" s="159">
        <v>57025.93</v>
      </c>
      <c r="G1472" s="160"/>
    </row>
    <row r="1473" spans="1:8" ht="33">
      <c r="A1473" s="160"/>
      <c r="B1473" s="160" t="s">
        <v>934</v>
      </c>
      <c r="C1473" s="157" t="s">
        <v>17</v>
      </c>
      <c r="D1473" s="159"/>
      <c r="E1473" s="159"/>
      <c r="F1473" s="159">
        <v>5702.59</v>
      </c>
      <c r="G1473" s="160"/>
      <c r="H1473" s="34" t="s">
        <v>925</v>
      </c>
    </row>
    <row r="1474" spans="1:8" ht="33">
      <c r="A1474" s="160"/>
      <c r="B1474" s="160"/>
      <c r="C1474" s="157"/>
      <c r="D1474" s="159"/>
      <c r="E1474" s="159"/>
      <c r="F1474" s="159"/>
      <c r="G1474" s="160"/>
      <c r="H1474" s="34" t="s">
        <v>925</v>
      </c>
    </row>
    <row r="1475" spans="1:8" ht="42.75">
      <c r="A1475" s="160" t="s">
        <v>1776</v>
      </c>
      <c r="B1475" s="160" t="s">
        <v>1571</v>
      </c>
      <c r="C1475" s="157" t="s">
        <v>17</v>
      </c>
      <c r="D1475" s="159">
        <v>10</v>
      </c>
      <c r="E1475" s="159">
        <v>8939.93</v>
      </c>
      <c r="F1475" s="159"/>
      <c r="G1475" s="160" t="s">
        <v>1572</v>
      </c>
      <c r="H1475" s="34" t="s">
        <v>925</v>
      </c>
    </row>
    <row r="1476" spans="1:8" ht="33">
      <c r="A1476" s="160">
        <v>1</v>
      </c>
      <c r="B1476" s="160" t="s">
        <v>1573</v>
      </c>
      <c r="C1476" s="157" t="s">
        <v>1536</v>
      </c>
      <c r="D1476" s="159">
        <v>25</v>
      </c>
      <c r="E1476" s="159">
        <v>528.99</v>
      </c>
      <c r="F1476" s="159">
        <v>13224.75</v>
      </c>
      <c r="G1476" s="160" t="s">
        <v>1574</v>
      </c>
      <c r="H1476" s="34" t="s">
        <v>925</v>
      </c>
    </row>
    <row r="1477" spans="1:8" ht="33">
      <c r="A1477" s="160">
        <v>2</v>
      </c>
      <c r="B1477" s="160" t="s">
        <v>1575</v>
      </c>
      <c r="C1477" s="157" t="s">
        <v>1220</v>
      </c>
      <c r="D1477" s="159">
        <v>25</v>
      </c>
      <c r="E1477" s="159">
        <v>2918.92</v>
      </c>
      <c r="F1477" s="159">
        <v>72973</v>
      </c>
      <c r="G1477" s="160" t="s">
        <v>1576</v>
      </c>
      <c r="H1477" s="34" t="s">
        <v>925</v>
      </c>
    </row>
    <row r="1478" spans="1:8" ht="33">
      <c r="A1478" s="160">
        <v>3</v>
      </c>
      <c r="B1478" s="160" t="s">
        <v>1540</v>
      </c>
      <c r="C1478" s="157" t="s">
        <v>14</v>
      </c>
      <c r="D1478" s="159">
        <v>1</v>
      </c>
      <c r="E1478" s="159">
        <v>597.73</v>
      </c>
      <c r="F1478" s="159">
        <v>597.73</v>
      </c>
      <c r="G1478" s="160" t="s">
        <v>1541</v>
      </c>
      <c r="H1478" s="34" t="s">
        <v>925</v>
      </c>
    </row>
    <row r="1479" spans="1:8" ht="33">
      <c r="A1479" s="160">
        <v>4</v>
      </c>
      <c r="B1479" s="160" t="s">
        <v>931</v>
      </c>
      <c r="C1479" s="157" t="s">
        <v>14</v>
      </c>
      <c r="D1479" s="159">
        <v>1</v>
      </c>
      <c r="E1479" s="159">
        <v>2603.86</v>
      </c>
      <c r="F1479" s="159">
        <v>2603.86</v>
      </c>
      <c r="G1479" s="160" t="s">
        <v>932</v>
      </c>
      <c r="H1479" s="34" t="s">
        <v>925</v>
      </c>
    </row>
    <row r="1480" spans="1:8" ht="33">
      <c r="A1480" s="160"/>
      <c r="B1480" s="160" t="s">
        <v>933</v>
      </c>
      <c r="C1480" s="157" t="s">
        <v>17</v>
      </c>
      <c r="D1480" s="159">
        <v>10</v>
      </c>
      <c r="E1480" s="159"/>
      <c r="F1480" s="159">
        <v>89399.34</v>
      </c>
      <c r="G1480" s="160"/>
      <c r="H1480" s="34" t="s">
        <v>925</v>
      </c>
    </row>
    <row r="1481" spans="1:8" ht="33">
      <c r="A1481" s="160"/>
      <c r="B1481" s="160" t="s">
        <v>934</v>
      </c>
      <c r="C1481" s="157" t="s">
        <v>17</v>
      </c>
      <c r="D1481" s="159"/>
      <c r="E1481" s="159"/>
      <c r="F1481" s="159">
        <v>8939.93</v>
      </c>
      <c r="G1481" s="160"/>
      <c r="H1481" s="34" t="s">
        <v>925</v>
      </c>
    </row>
    <row r="1482" spans="1:8" ht="16.5">
      <c r="A1482" s="160"/>
      <c r="B1482" s="160"/>
      <c r="C1482" s="157"/>
      <c r="D1482" s="159"/>
      <c r="E1482" s="159"/>
      <c r="F1482" s="159"/>
      <c r="G1482" s="160"/>
    </row>
    <row r="1483" spans="1:8" ht="33">
      <c r="A1483" s="160" t="s">
        <v>1781</v>
      </c>
      <c r="B1483" s="160" t="s">
        <v>1578</v>
      </c>
      <c r="C1483" s="157" t="s">
        <v>17</v>
      </c>
      <c r="D1483" s="159">
        <v>9</v>
      </c>
      <c r="E1483" s="159">
        <v>169.3</v>
      </c>
      <c r="F1483" s="159"/>
      <c r="G1483" s="160" t="s">
        <v>1579</v>
      </c>
      <c r="H1483" s="34" t="s">
        <v>925</v>
      </c>
    </row>
    <row r="1484" spans="1:8" ht="33">
      <c r="A1484" s="160">
        <v>1</v>
      </c>
      <c r="B1484" s="160" t="s">
        <v>1580</v>
      </c>
      <c r="C1484" s="157" t="s">
        <v>17</v>
      </c>
      <c r="D1484" s="159">
        <v>9</v>
      </c>
      <c r="E1484" s="159">
        <v>109.58</v>
      </c>
      <c r="F1484" s="159">
        <v>986.22</v>
      </c>
      <c r="G1484" s="160" t="s">
        <v>1581</v>
      </c>
      <c r="H1484" s="34" t="s">
        <v>925</v>
      </c>
    </row>
    <row r="1485" spans="1:8" ht="33">
      <c r="A1485" s="160">
        <v>2</v>
      </c>
      <c r="B1485" s="160" t="s">
        <v>1582</v>
      </c>
      <c r="C1485" s="157" t="s">
        <v>17</v>
      </c>
      <c r="D1485" s="159">
        <v>9</v>
      </c>
      <c r="E1485" s="159">
        <v>54.79</v>
      </c>
      <c r="F1485" s="159">
        <v>493.11</v>
      </c>
      <c r="G1485" s="160" t="s">
        <v>1583</v>
      </c>
      <c r="H1485" s="34" t="s">
        <v>925</v>
      </c>
    </row>
    <row r="1486" spans="1:8" ht="33">
      <c r="A1486" s="160">
        <v>3</v>
      </c>
      <c r="B1486" s="160" t="s">
        <v>931</v>
      </c>
      <c r="C1486" s="157" t="s">
        <v>14</v>
      </c>
      <c r="D1486" s="159">
        <v>1</v>
      </c>
      <c r="E1486" s="159">
        <v>44.38</v>
      </c>
      <c r="F1486" s="159">
        <v>44.38</v>
      </c>
      <c r="G1486" s="160" t="s">
        <v>932</v>
      </c>
      <c r="H1486" s="34" t="s">
        <v>925</v>
      </c>
    </row>
    <row r="1487" spans="1:8" ht="33">
      <c r="A1487" s="160"/>
      <c r="B1487" s="160" t="s">
        <v>933</v>
      </c>
      <c r="C1487" s="157" t="s">
        <v>17</v>
      </c>
      <c r="D1487" s="159">
        <v>9</v>
      </c>
      <c r="E1487" s="159"/>
      <c r="F1487" s="159">
        <v>1523.71</v>
      </c>
      <c r="G1487" s="160"/>
      <c r="H1487" s="34" t="s">
        <v>925</v>
      </c>
    </row>
    <row r="1488" spans="1:8" ht="33">
      <c r="A1488" s="160"/>
      <c r="B1488" s="160" t="s">
        <v>934</v>
      </c>
      <c r="C1488" s="157" t="s">
        <v>17</v>
      </c>
      <c r="D1488" s="159"/>
      <c r="E1488" s="159"/>
      <c r="F1488" s="159">
        <v>169.3</v>
      </c>
      <c r="G1488" s="160"/>
      <c r="H1488" s="34" t="s">
        <v>925</v>
      </c>
    </row>
    <row r="1489" spans="1:8" ht="33">
      <c r="A1489" s="160"/>
      <c r="B1489" s="160"/>
      <c r="C1489" s="157"/>
      <c r="D1489" s="159"/>
      <c r="E1489" s="159"/>
      <c r="F1489" s="159"/>
      <c r="G1489" s="160"/>
      <c r="H1489" s="34" t="s">
        <v>925</v>
      </c>
    </row>
    <row r="1490" spans="1:8" ht="33">
      <c r="A1490" s="160" t="s">
        <v>1786</v>
      </c>
      <c r="B1490" s="160" t="s">
        <v>1585</v>
      </c>
      <c r="C1490" s="157" t="s">
        <v>17</v>
      </c>
      <c r="D1490" s="159">
        <v>13</v>
      </c>
      <c r="E1490" s="159">
        <v>246.26</v>
      </c>
      <c r="F1490" s="159"/>
      <c r="G1490" s="160" t="s">
        <v>1586</v>
      </c>
      <c r="H1490" s="34" t="s">
        <v>925</v>
      </c>
    </row>
    <row r="1491" spans="1:8" ht="33">
      <c r="A1491" s="160">
        <v>1</v>
      </c>
      <c r="B1491" s="160" t="s">
        <v>1587</v>
      </c>
      <c r="C1491" s="157" t="s">
        <v>17</v>
      </c>
      <c r="D1491" s="159">
        <v>13</v>
      </c>
      <c r="E1491" s="159">
        <v>174.34</v>
      </c>
      <c r="F1491" s="159">
        <v>2266.42</v>
      </c>
      <c r="G1491" s="160" t="s">
        <v>1588</v>
      </c>
      <c r="H1491" s="34" t="s">
        <v>925</v>
      </c>
    </row>
    <row r="1492" spans="1:8" ht="28.5">
      <c r="A1492" s="160">
        <v>2</v>
      </c>
      <c r="B1492" s="160" t="s">
        <v>1589</v>
      </c>
      <c r="C1492" s="157" t="s">
        <v>17</v>
      </c>
      <c r="D1492" s="159">
        <v>13</v>
      </c>
      <c r="E1492" s="159">
        <v>64.75</v>
      </c>
      <c r="F1492" s="159">
        <v>841.75</v>
      </c>
      <c r="G1492" s="160" t="s">
        <v>1590</v>
      </c>
    </row>
    <row r="1493" spans="1:8" ht="33">
      <c r="A1493" s="160">
        <v>3</v>
      </c>
      <c r="B1493" s="160" t="s">
        <v>931</v>
      </c>
      <c r="C1493" s="157" t="s">
        <v>14</v>
      </c>
      <c r="D1493" s="159">
        <v>1</v>
      </c>
      <c r="E1493" s="159">
        <v>93.25</v>
      </c>
      <c r="F1493" s="159">
        <v>93.25</v>
      </c>
      <c r="G1493" s="160" t="s">
        <v>932</v>
      </c>
      <c r="H1493" s="34" t="s">
        <v>925</v>
      </c>
    </row>
    <row r="1494" spans="1:8" ht="33">
      <c r="A1494" s="160"/>
      <c r="B1494" s="160" t="s">
        <v>933</v>
      </c>
      <c r="C1494" s="157" t="s">
        <v>17</v>
      </c>
      <c r="D1494" s="159">
        <v>13</v>
      </c>
      <c r="E1494" s="159"/>
      <c r="F1494" s="159">
        <v>3201.42</v>
      </c>
      <c r="G1494" s="160"/>
      <c r="H1494" s="34" t="s">
        <v>925</v>
      </c>
    </row>
    <row r="1495" spans="1:8" ht="33">
      <c r="A1495" s="160"/>
      <c r="B1495" s="160" t="s">
        <v>934</v>
      </c>
      <c r="C1495" s="157" t="s">
        <v>17</v>
      </c>
      <c r="D1495" s="159"/>
      <c r="E1495" s="159"/>
      <c r="F1495" s="159">
        <v>246.26</v>
      </c>
      <c r="G1495" s="160"/>
      <c r="H1495" s="34" t="s">
        <v>925</v>
      </c>
    </row>
    <row r="1496" spans="1:8" ht="33">
      <c r="A1496" s="160"/>
      <c r="B1496" s="160"/>
      <c r="C1496" s="157"/>
      <c r="D1496" s="159"/>
      <c r="E1496" s="159"/>
      <c r="F1496" s="159"/>
      <c r="G1496" s="160"/>
      <c r="H1496" s="34" t="s">
        <v>925</v>
      </c>
    </row>
    <row r="1497" spans="1:8" ht="33">
      <c r="A1497" s="160" t="s">
        <v>1791</v>
      </c>
      <c r="B1497" s="160" t="s">
        <v>1592</v>
      </c>
      <c r="C1497" s="157" t="s">
        <v>17</v>
      </c>
      <c r="D1497" s="159">
        <v>9</v>
      </c>
      <c r="E1497" s="159">
        <v>872.19</v>
      </c>
      <c r="F1497" s="159"/>
      <c r="G1497" s="160" t="s">
        <v>1593</v>
      </c>
      <c r="H1497" s="34" t="s">
        <v>925</v>
      </c>
    </row>
    <row r="1498" spans="1:8" ht="33">
      <c r="A1498" s="160">
        <v>1</v>
      </c>
      <c r="B1498" s="160" t="s">
        <v>1594</v>
      </c>
      <c r="C1498" s="157" t="s">
        <v>17</v>
      </c>
      <c r="D1498" s="159">
        <v>9</v>
      </c>
      <c r="E1498" s="159">
        <v>69.739999999999995</v>
      </c>
      <c r="F1498" s="159">
        <v>627.66</v>
      </c>
      <c r="G1498" s="160" t="s">
        <v>1595</v>
      </c>
      <c r="H1498" s="34" t="s">
        <v>925</v>
      </c>
    </row>
    <row r="1499" spans="1:8" ht="33">
      <c r="A1499" s="160">
        <v>2</v>
      </c>
      <c r="B1499" s="160" t="s">
        <v>1596</v>
      </c>
      <c r="C1499" s="157" t="s">
        <v>17</v>
      </c>
      <c r="D1499" s="159">
        <v>9</v>
      </c>
      <c r="E1499" s="159">
        <v>777.05</v>
      </c>
      <c r="F1499" s="159">
        <v>6993.45</v>
      </c>
      <c r="G1499" s="160" t="s">
        <v>1597</v>
      </c>
      <c r="H1499" s="34" t="s">
        <v>925</v>
      </c>
    </row>
    <row r="1500" spans="1:8" ht="33">
      <c r="A1500" s="160">
        <v>3</v>
      </c>
      <c r="B1500" s="160" t="s">
        <v>931</v>
      </c>
      <c r="C1500" s="157" t="s">
        <v>14</v>
      </c>
      <c r="D1500" s="159">
        <v>1</v>
      </c>
      <c r="E1500" s="159">
        <v>228.63</v>
      </c>
      <c r="F1500" s="159">
        <v>228.63</v>
      </c>
      <c r="G1500" s="160" t="s">
        <v>932</v>
      </c>
      <c r="H1500" s="34" t="s">
        <v>925</v>
      </c>
    </row>
    <row r="1501" spans="1:8" ht="33">
      <c r="A1501" s="160"/>
      <c r="B1501" s="160" t="s">
        <v>933</v>
      </c>
      <c r="C1501" s="157" t="s">
        <v>17</v>
      </c>
      <c r="D1501" s="159">
        <v>9</v>
      </c>
      <c r="E1501" s="159"/>
      <c r="F1501" s="159">
        <v>7849.74</v>
      </c>
      <c r="G1501" s="160"/>
      <c r="H1501" s="34" t="s">
        <v>925</v>
      </c>
    </row>
    <row r="1502" spans="1:8" ht="16.5">
      <c r="A1502" s="160"/>
      <c r="B1502" s="160" t="s">
        <v>934</v>
      </c>
      <c r="C1502" s="157" t="s">
        <v>17</v>
      </c>
      <c r="D1502" s="159"/>
      <c r="E1502" s="159"/>
      <c r="F1502" s="159">
        <v>872.19</v>
      </c>
      <c r="G1502" s="160"/>
    </row>
    <row r="1503" spans="1:8" ht="33">
      <c r="A1503" s="160"/>
      <c r="B1503" s="160"/>
      <c r="C1503" s="157"/>
      <c r="D1503" s="159"/>
      <c r="E1503" s="159"/>
      <c r="F1503" s="159"/>
      <c r="G1503" s="160"/>
      <c r="H1503" s="34" t="s">
        <v>925</v>
      </c>
    </row>
    <row r="1504" spans="1:8" ht="33">
      <c r="A1504" s="160" t="s">
        <v>1796</v>
      </c>
      <c r="B1504" s="160" t="s">
        <v>1599</v>
      </c>
      <c r="C1504" s="157" t="s">
        <v>17</v>
      </c>
      <c r="D1504" s="159">
        <v>13</v>
      </c>
      <c r="E1504" s="159">
        <v>1195.42</v>
      </c>
      <c r="F1504" s="159"/>
      <c r="G1504" s="160" t="s">
        <v>1600</v>
      </c>
      <c r="H1504" s="34" t="s">
        <v>925</v>
      </c>
    </row>
    <row r="1505" spans="1:8" ht="33">
      <c r="A1505" s="160">
        <v>1</v>
      </c>
      <c r="B1505" s="160" t="s">
        <v>1601</v>
      </c>
      <c r="C1505" s="157" t="s">
        <v>17</v>
      </c>
      <c r="D1505" s="159">
        <v>13</v>
      </c>
      <c r="E1505" s="159">
        <v>114.57</v>
      </c>
      <c r="F1505" s="159">
        <v>1489.41</v>
      </c>
      <c r="G1505" s="160" t="s">
        <v>1602</v>
      </c>
      <c r="H1505" s="34" t="s">
        <v>925</v>
      </c>
    </row>
    <row r="1506" spans="1:8" ht="33">
      <c r="A1506" s="160">
        <v>2</v>
      </c>
      <c r="B1506" s="160" t="s">
        <v>1603</v>
      </c>
      <c r="C1506" s="157" t="s">
        <v>17</v>
      </c>
      <c r="D1506" s="159">
        <v>13</v>
      </c>
      <c r="E1506" s="159">
        <v>1046.03</v>
      </c>
      <c r="F1506" s="159">
        <v>13598.39</v>
      </c>
      <c r="G1506" s="160" t="s">
        <v>1604</v>
      </c>
      <c r="H1506" s="34" t="s">
        <v>925</v>
      </c>
    </row>
    <row r="1507" spans="1:8" ht="33">
      <c r="A1507" s="160">
        <v>3</v>
      </c>
      <c r="B1507" s="160" t="s">
        <v>931</v>
      </c>
      <c r="C1507" s="157" t="s">
        <v>14</v>
      </c>
      <c r="D1507" s="159">
        <v>1</v>
      </c>
      <c r="E1507" s="159">
        <v>452.63</v>
      </c>
      <c r="F1507" s="159">
        <v>452.63</v>
      </c>
      <c r="G1507" s="160" t="s">
        <v>932</v>
      </c>
      <c r="H1507" s="34" t="s">
        <v>925</v>
      </c>
    </row>
    <row r="1508" spans="1:8" ht="33">
      <c r="A1508" s="160"/>
      <c r="B1508" s="160" t="s">
        <v>933</v>
      </c>
      <c r="C1508" s="157" t="s">
        <v>17</v>
      </c>
      <c r="D1508" s="159">
        <v>13</v>
      </c>
      <c r="E1508" s="159"/>
      <c r="F1508" s="159">
        <v>15540.429999999998</v>
      </c>
      <c r="G1508" s="160"/>
      <c r="H1508" s="34" t="s">
        <v>925</v>
      </c>
    </row>
    <row r="1509" spans="1:8" ht="33">
      <c r="A1509" s="160"/>
      <c r="B1509" s="160" t="s">
        <v>934</v>
      </c>
      <c r="C1509" s="157" t="s">
        <v>17</v>
      </c>
      <c r="D1509" s="159"/>
      <c r="E1509" s="159"/>
      <c r="F1509" s="159">
        <v>1195.42</v>
      </c>
      <c r="G1509" s="160"/>
      <c r="H1509" s="34" t="s">
        <v>925</v>
      </c>
    </row>
    <row r="1510" spans="1:8" ht="33">
      <c r="A1510" s="160"/>
      <c r="B1510" s="160"/>
      <c r="C1510" s="157"/>
      <c r="D1510" s="159"/>
      <c r="E1510" s="159"/>
      <c r="F1510" s="159"/>
      <c r="G1510" s="160"/>
      <c r="H1510" s="34" t="s">
        <v>925</v>
      </c>
    </row>
    <row r="1511" spans="1:8" ht="33">
      <c r="A1511" s="160" t="s">
        <v>1801</v>
      </c>
      <c r="B1511" s="160" t="s">
        <v>1606</v>
      </c>
      <c r="C1511" s="157" t="s">
        <v>17</v>
      </c>
      <c r="D1511" s="159">
        <v>9</v>
      </c>
      <c r="E1511" s="159">
        <v>371.1</v>
      </c>
      <c r="F1511" s="159"/>
      <c r="G1511" s="160" t="s">
        <v>1607</v>
      </c>
      <c r="H1511" s="34" t="s">
        <v>925</v>
      </c>
    </row>
    <row r="1512" spans="1:8" ht="28.5">
      <c r="A1512" s="160">
        <v>1</v>
      </c>
      <c r="B1512" s="160" t="s">
        <v>1608</v>
      </c>
      <c r="C1512" s="157" t="s">
        <v>17</v>
      </c>
      <c r="D1512" s="159">
        <v>9</v>
      </c>
      <c r="E1512" s="159">
        <v>199.24</v>
      </c>
      <c r="F1512" s="159">
        <v>1793.16</v>
      </c>
      <c r="G1512" s="160" t="s">
        <v>1609</v>
      </c>
    </row>
    <row r="1513" spans="1:8" ht="33">
      <c r="A1513" s="160">
        <v>2</v>
      </c>
      <c r="B1513" s="160" t="s">
        <v>1610</v>
      </c>
      <c r="C1513" s="157" t="s">
        <v>17</v>
      </c>
      <c r="D1513" s="159">
        <v>9</v>
      </c>
      <c r="E1513" s="159">
        <v>94.64</v>
      </c>
      <c r="F1513" s="159">
        <v>851.76</v>
      </c>
      <c r="G1513" s="160" t="s">
        <v>1611</v>
      </c>
      <c r="H1513" s="34" t="s">
        <v>925</v>
      </c>
    </row>
    <row r="1514" spans="1:8" ht="33">
      <c r="A1514" s="160">
        <v>3</v>
      </c>
      <c r="B1514" s="160" t="s">
        <v>1540</v>
      </c>
      <c r="C1514" s="157" t="s">
        <v>14</v>
      </c>
      <c r="D1514" s="159">
        <v>1</v>
      </c>
      <c r="E1514" s="159">
        <v>597.73</v>
      </c>
      <c r="F1514" s="159">
        <v>597.73</v>
      </c>
      <c r="G1514" s="160" t="s">
        <v>1541</v>
      </c>
      <c r="H1514" s="34" t="s">
        <v>925</v>
      </c>
    </row>
    <row r="1515" spans="1:8" ht="33">
      <c r="A1515" s="160">
        <v>4</v>
      </c>
      <c r="B1515" s="160" t="s">
        <v>931</v>
      </c>
      <c r="C1515" s="157" t="s">
        <v>14</v>
      </c>
      <c r="D1515" s="159">
        <v>1</v>
      </c>
      <c r="E1515" s="159">
        <v>97.28</v>
      </c>
      <c r="F1515" s="159">
        <v>97.28</v>
      </c>
      <c r="G1515" s="160" t="s">
        <v>932</v>
      </c>
      <c r="H1515" s="34" t="s">
        <v>925</v>
      </c>
    </row>
    <row r="1516" spans="1:8" ht="33">
      <c r="A1516" s="160"/>
      <c r="B1516" s="160" t="s">
        <v>933</v>
      </c>
      <c r="C1516" s="157" t="s">
        <v>17</v>
      </c>
      <c r="D1516" s="159">
        <v>9</v>
      </c>
      <c r="E1516" s="159"/>
      <c r="F1516" s="159">
        <v>3339.9300000000003</v>
      </c>
      <c r="G1516" s="160"/>
      <c r="H1516" s="34" t="s">
        <v>925</v>
      </c>
    </row>
    <row r="1517" spans="1:8" ht="33">
      <c r="A1517" s="160"/>
      <c r="B1517" s="160" t="s">
        <v>934</v>
      </c>
      <c r="C1517" s="157" t="s">
        <v>17</v>
      </c>
      <c r="D1517" s="159"/>
      <c r="E1517" s="159"/>
      <c r="F1517" s="159">
        <v>371.1</v>
      </c>
      <c r="G1517" s="160"/>
      <c r="H1517" s="34" t="s">
        <v>925</v>
      </c>
    </row>
    <row r="1518" spans="1:8" ht="33">
      <c r="A1518" s="160"/>
      <c r="B1518" s="160"/>
      <c r="C1518" s="157"/>
      <c r="D1518" s="159"/>
      <c r="E1518" s="159"/>
      <c r="F1518" s="159"/>
      <c r="G1518" s="160"/>
      <c r="H1518" s="34" t="s">
        <v>925</v>
      </c>
    </row>
    <row r="1519" spans="1:8" ht="33">
      <c r="A1519" s="160" t="s">
        <v>1806</v>
      </c>
      <c r="B1519" s="160" t="s">
        <v>1613</v>
      </c>
      <c r="C1519" s="157" t="s">
        <v>17</v>
      </c>
      <c r="D1519" s="159">
        <v>9</v>
      </c>
      <c r="E1519" s="159">
        <v>1325.39</v>
      </c>
      <c r="F1519" s="159"/>
      <c r="G1519" s="160" t="s">
        <v>1614</v>
      </c>
      <c r="H1519" s="34" t="s">
        <v>925</v>
      </c>
    </row>
    <row r="1520" spans="1:8" ht="33">
      <c r="A1520" s="160">
        <v>1</v>
      </c>
      <c r="B1520" s="160" t="s">
        <v>1615</v>
      </c>
      <c r="C1520" s="157" t="s">
        <v>17</v>
      </c>
      <c r="D1520" s="159">
        <v>9</v>
      </c>
      <c r="E1520" s="159">
        <v>124.53</v>
      </c>
      <c r="F1520" s="159">
        <v>1120.77</v>
      </c>
      <c r="G1520" s="160" t="s">
        <v>1616</v>
      </c>
      <c r="H1520" s="34" t="s">
        <v>925</v>
      </c>
    </row>
    <row r="1521" spans="1:8" ht="33">
      <c r="A1521" s="160">
        <v>2</v>
      </c>
      <c r="B1521" s="160" t="s">
        <v>1617</v>
      </c>
      <c r="C1521" s="157" t="s">
        <v>17</v>
      </c>
      <c r="D1521" s="159">
        <v>9</v>
      </c>
      <c r="E1521" s="159">
        <v>1095.8399999999999</v>
      </c>
      <c r="F1521" s="159">
        <v>9862.56</v>
      </c>
      <c r="G1521" s="160" t="s">
        <v>1618</v>
      </c>
      <c r="H1521" s="34" t="s">
        <v>925</v>
      </c>
    </row>
    <row r="1522" spans="1:8" ht="28.5">
      <c r="A1522" s="160">
        <v>3</v>
      </c>
      <c r="B1522" s="160" t="s">
        <v>1540</v>
      </c>
      <c r="C1522" s="157" t="s">
        <v>14</v>
      </c>
      <c r="D1522" s="159">
        <v>1</v>
      </c>
      <c r="E1522" s="159">
        <v>597.73</v>
      </c>
      <c r="F1522" s="159">
        <v>597.73</v>
      </c>
      <c r="G1522" s="160" t="s">
        <v>1541</v>
      </c>
    </row>
    <row r="1523" spans="1:8" ht="33">
      <c r="A1523" s="160">
        <v>4</v>
      </c>
      <c r="B1523" s="160" t="s">
        <v>931</v>
      </c>
      <c r="C1523" s="157" t="s">
        <v>14</v>
      </c>
      <c r="D1523" s="159">
        <v>1</v>
      </c>
      <c r="E1523" s="159">
        <v>347.43</v>
      </c>
      <c r="F1523" s="159">
        <v>347.43</v>
      </c>
      <c r="G1523" s="160" t="s">
        <v>932</v>
      </c>
      <c r="H1523" s="34" t="s">
        <v>925</v>
      </c>
    </row>
    <row r="1524" spans="1:8" ht="33">
      <c r="A1524" s="160"/>
      <c r="B1524" s="160" t="s">
        <v>933</v>
      </c>
      <c r="C1524" s="157" t="s">
        <v>17</v>
      </c>
      <c r="D1524" s="159">
        <v>9</v>
      </c>
      <c r="E1524" s="159"/>
      <c r="F1524" s="159">
        <v>11928.49</v>
      </c>
      <c r="G1524" s="160"/>
      <c r="H1524" s="34" t="s">
        <v>925</v>
      </c>
    </row>
    <row r="1525" spans="1:8" ht="33">
      <c r="A1525" s="160"/>
      <c r="B1525" s="160" t="s">
        <v>934</v>
      </c>
      <c r="C1525" s="157" t="s">
        <v>17</v>
      </c>
      <c r="D1525" s="159"/>
      <c r="E1525" s="159"/>
      <c r="F1525" s="159">
        <v>1325.39</v>
      </c>
      <c r="G1525" s="160"/>
      <c r="H1525" s="34" t="s">
        <v>925</v>
      </c>
    </row>
    <row r="1526" spans="1:8" ht="33">
      <c r="A1526" s="160"/>
      <c r="B1526" s="160"/>
      <c r="C1526" s="157"/>
      <c r="D1526" s="159"/>
      <c r="E1526" s="159"/>
      <c r="F1526" s="159"/>
      <c r="G1526" s="160"/>
      <c r="H1526" s="34" t="s">
        <v>925</v>
      </c>
    </row>
    <row r="1527" spans="1:8" ht="33">
      <c r="A1527" s="160" t="s">
        <v>1811</v>
      </c>
      <c r="B1527" s="160" t="s">
        <v>1620</v>
      </c>
      <c r="C1527" s="157" t="s">
        <v>17</v>
      </c>
      <c r="D1527" s="159">
        <v>9</v>
      </c>
      <c r="E1527" s="159">
        <v>164.17</v>
      </c>
      <c r="F1527" s="159"/>
      <c r="G1527" s="160" t="s">
        <v>1621</v>
      </c>
      <c r="H1527" s="34" t="s">
        <v>925</v>
      </c>
    </row>
    <row r="1528" spans="1:8" ht="33">
      <c r="A1528" s="160">
        <v>1</v>
      </c>
      <c r="B1528" s="160" t="s">
        <v>1580</v>
      </c>
      <c r="C1528" s="157" t="s">
        <v>17</v>
      </c>
      <c r="D1528" s="159">
        <v>9</v>
      </c>
      <c r="E1528" s="159">
        <v>109.58</v>
      </c>
      <c r="F1528" s="159">
        <v>986.22</v>
      </c>
      <c r="G1528" s="160" t="s">
        <v>1581</v>
      </c>
      <c r="H1528" s="34" t="s">
        <v>925</v>
      </c>
    </row>
    <row r="1529" spans="1:8" ht="33">
      <c r="A1529" s="160">
        <v>2</v>
      </c>
      <c r="B1529" s="160" t="s">
        <v>1622</v>
      </c>
      <c r="C1529" s="157" t="s">
        <v>17</v>
      </c>
      <c r="D1529" s="159">
        <v>9</v>
      </c>
      <c r="E1529" s="159">
        <v>49.81</v>
      </c>
      <c r="F1529" s="159">
        <v>448.29</v>
      </c>
      <c r="G1529" s="160" t="s">
        <v>1623</v>
      </c>
      <c r="H1529" s="34" t="s">
        <v>925</v>
      </c>
    </row>
    <row r="1530" spans="1:8" ht="33">
      <c r="A1530" s="160">
        <v>3</v>
      </c>
      <c r="B1530" s="160" t="s">
        <v>931</v>
      </c>
      <c r="C1530" s="157" t="s">
        <v>14</v>
      </c>
      <c r="D1530" s="159">
        <v>1</v>
      </c>
      <c r="E1530" s="159">
        <v>43.04</v>
      </c>
      <c r="F1530" s="159">
        <v>43.04</v>
      </c>
      <c r="G1530" s="160" t="s">
        <v>932</v>
      </c>
      <c r="H1530" s="34" t="s">
        <v>925</v>
      </c>
    </row>
    <row r="1531" spans="1:8" ht="33">
      <c r="A1531" s="160"/>
      <c r="B1531" s="160" t="s">
        <v>933</v>
      </c>
      <c r="C1531" s="157" t="s">
        <v>17</v>
      </c>
      <c r="D1531" s="159">
        <v>9</v>
      </c>
      <c r="E1531" s="159"/>
      <c r="F1531" s="159">
        <v>1477.55</v>
      </c>
      <c r="G1531" s="160"/>
      <c r="H1531" s="34" t="s">
        <v>925</v>
      </c>
    </row>
    <row r="1532" spans="1:8" ht="16.5">
      <c r="A1532" s="160"/>
      <c r="B1532" s="160" t="s">
        <v>934</v>
      </c>
      <c r="C1532" s="157" t="s">
        <v>17</v>
      </c>
      <c r="D1532" s="159"/>
      <c r="E1532" s="159"/>
      <c r="F1532" s="159">
        <v>164.17</v>
      </c>
      <c r="G1532" s="160"/>
    </row>
    <row r="1533" spans="1:8" ht="33">
      <c r="A1533" s="160"/>
      <c r="B1533" s="160"/>
      <c r="C1533" s="157"/>
      <c r="D1533" s="159"/>
      <c r="E1533" s="159"/>
      <c r="F1533" s="159"/>
      <c r="G1533" s="160"/>
      <c r="H1533" s="34" t="s">
        <v>925</v>
      </c>
    </row>
    <row r="1534" spans="1:8" ht="33">
      <c r="A1534" s="160" t="s">
        <v>1816</v>
      </c>
      <c r="B1534" s="160" t="s">
        <v>1625</v>
      </c>
      <c r="C1534" s="157" t="s">
        <v>17</v>
      </c>
      <c r="D1534" s="159">
        <v>9</v>
      </c>
      <c r="E1534" s="159">
        <v>236</v>
      </c>
      <c r="F1534" s="159"/>
      <c r="G1534" s="160" t="s">
        <v>1626</v>
      </c>
      <c r="H1534" s="34" t="s">
        <v>925</v>
      </c>
    </row>
    <row r="1535" spans="1:8" ht="33">
      <c r="A1535" s="160">
        <v>1</v>
      </c>
      <c r="B1535" s="160" t="s">
        <v>1587</v>
      </c>
      <c r="C1535" s="157" t="s">
        <v>17</v>
      </c>
      <c r="D1535" s="159">
        <v>9</v>
      </c>
      <c r="E1535" s="159">
        <v>174.34</v>
      </c>
      <c r="F1535" s="159">
        <v>1569.06</v>
      </c>
      <c r="G1535" s="160" t="s">
        <v>1588</v>
      </c>
      <c r="H1535" s="34" t="s">
        <v>925</v>
      </c>
    </row>
    <row r="1536" spans="1:8" ht="33">
      <c r="A1536" s="160">
        <v>2</v>
      </c>
      <c r="B1536" s="160" t="s">
        <v>1627</v>
      </c>
      <c r="C1536" s="157" t="s">
        <v>17</v>
      </c>
      <c r="D1536" s="159">
        <v>9</v>
      </c>
      <c r="E1536" s="159">
        <v>54.79</v>
      </c>
      <c r="F1536" s="159">
        <v>493.11</v>
      </c>
      <c r="G1536" s="160" t="s">
        <v>1628</v>
      </c>
      <c r="H1536" s="34" t="s">
        <v>925</v>
      </c>
    </row>
    <row r="1537" spans="1:8" ht="33">
      <c r="A1537" s="160">
        <v>3</v>
      </c>
      <c r="B1537" s="160" t="s">
        <v>931</v>
      </c>
      <c r="C1537" s="157" t="s">
        <v>14</v>
      </c>
      <c r="D1537" s="159">
        <v>1</v>
      </c>
      <c r="E1537" s="159">
        <v>61.87</v>
      </c>
      <c r="F1537" s="159">
        <v>61.87</v>
      </c>
      <c r="G1537" s="160" t="s">
        <v>932</v>
      </c>
      <c r="H1537" s="34" t="s">
        <v>925</v>
      </c>
    </row>
    <row r="1538" spans="1:8" ht="33">
      <c r="A1538" s="160"/>
      <c r="B1538" s="160" t="s">
        <v>933</v>
      </c>
      <c r="C1538" s="157" t="s">
        <v>17</v>
      </c>
      <c r="D1538" s="159">
        <v>9</v>
      </c>
      <c r="E1538" s="159"/>
      <c r="F1538" s="159">
        <v>2124.04</v>
      </c>
      <c r="G1538" s="160"/>
      <c r="H1538" s="34" t="s">
        <v>925</v>
      </c>
    </row>
    <row r="1539" spans="1:8" ht="33">
      <c r="A1539" s="160"/>
      <c r="B1539" s="160" t="s">
        <v>934</v>
      </c>
      <c r="C1539" s="157" t="s">
        <v>17</v>
      </c>
      <c r="D1539" s="159"/>
      <c r="E1539" s="159"/>
      <c r="F1539" s="159">
        <v>236</v>
      </c>
      <c r="G1539" s="160"/>
      <c r="H1539" s="34" t="s">
        <v>925</v>
      </c>
    </row>
    <row r="1540" spans="1:8" ht="33">
      <c r="A1540" s="160"/>
      <c r="B1540" s="160"/>
      <c r="C1540" s="157"/>
      <c r="D1540" s="159"/>
      <c r="E1540" s="159"/>
      <c r="F1540" s="159"/>
      <c r="G1540" s="160"/>
      <c r="H1540" s="34" t="s">
        <v>925</v>
      </c>
    </row>
    <row r="1541" spans="1:8" ht="33">
      <c r="A1541" s="160" t="s">
        <v>1824</v>
      </c>
      <c r="B1541" s="160" t="s">
        <v>1630</v>
      </c>
      <c r="C1541" s="157" t="s">
        <v>17</v>
      </c>
      <c r="D1541" s="159">
        <v>9</v>
      </c>
      <c r="E1541" s="159">
        <v>335.19</v>
      </c>
      <c r="F1541" s="159"/>
      <c r="G1541" s="160" t="s">
        <v>1631</v>
      </c>
      <c r="H1541" s="34" t="s">
        <v>925</v>
      </c>
    </row>
    <row r="1542" spans="1:8" ht="28.5">
      <c r="A1542" s="160">
        <v>1</v>
      </c>
      <c r="B1542" s="160" t="s">
        <v>1608</v>
      </c>
      <c r="C1542" s="157" t="s">
        <v>17</v>
      </c>
      <c r="D1542" s="159">
        <v>9</v>
      </c>
      <c r="E1542" s="159">
        <v>199.24</v>
      </c>
      <c r="F1542" s="159">
        <v>1793.16</v>
      </c>
      <c r="G1542" s="160" t="s">
        <v>1609</v>
      </c>
    </row>
    <row r="1543" spans="1:8" ht="33">
      <c r="A1543" s="160">
        <v>2</v>
      </c>
      <c r="B1543" s="160" t="s">
        <v>1632</v>
      </c>
      <c r="C1543" s="157" t="s">
        <v>17</v>
      </c>
      <c r="D1543" s="159">
        <v>9</v>
      </c>
      <c r="E1543" s="159">
        <v>59.77</v>
      </c>
      <c r="F1543" s="159">
        <v>537.92999999999995</v>
      </c>
      <c r="G1543" s="160" t="s">
        <v>1633</v>
      </c>
      <c r="H1543" s="34" t="s">
        <v>925</v>
      </c>
    </row>
    <row r="1544" spans="1:8" ht="33">
      <c r="A1544" s="160">
        <v>3</v>
      </c>
      <c r="B1544" s="160" t="s">
        <v>1540</v>
      </c>
      <c r="C1544" s="157" t="s">
        <v>14</v>
      </c>
      <c r="D1544" s="159">
        <v>1</v>
      </c>
      <c r="E1544" s="159">
        <v>597.73</v>
      </c>
      <c r="F1544" s="159">
        <v>597.73</v>
      </c>
      <c r="G1544" s="160" t="s">
        <v>1541</v>
      </c>
      <c r="H1544" s="34" t="s">
        <v>925</v>
      </c>
    </row>
    <row r="1545" spans="1:8" ht="33">
      <c r="A1545" s="160">
        <v>4</v>
      </c>
      <c r="B1545" s="160" t="s">
        <v>931</v>
      </c>
      <c r="C1545" s="157" t="s">
        <v>14</v>
      </c>
      <c r="D1545" s="159">
        <v>1</v>
      </c>
      <c r="E1545" s="159">
        <v>87.86</v>
      </c>
      <c r="F1545" s="159">
        <v>87.86</v>
      </c>
      <c r="G1545" s="160" t="s">
        <v>932</v>
      </c>
      <c r="H1545" s="34" t="s">
        <v>925</v>
      </c>
    </row>
    <row r="1546" spans="1:8" ht="33">
      <c r="A1546" s="160"/>
      <c r="B1546" s="160" t="s">
        <v>933</v>
      </c>
      <c r="C1546" s="157" t="s">
        <v>17</v>
      </c>
      <c r="D1546" s="159">
        <v>9</v>
      </c>
      <c r="E1546" s="159"/>
      <c r="F1546" s="159">
        <v>3016.6800000000003</v>
      </c>
      <c r="G1546" s="160"/>
      <c r="H1546" s="34" t="s">
        <v>925</v>
      </c>
    </row>
    <row r="1547" spans="1:8" ht="33">
      <c r="A1547" s="160"/>
      <c r="B1547" s="160" t="s">
        <v>934</v>
      </c>
      <c r="C1547" s="157" t="s">
        <v>17</v>
      </c>
      <c r="D1547" s="159"/>
      <c r="E1547" s="159"/>
      <c r="F1547" s="159">
        <v>335.19</v>
      </c>
      <c r="G1547" s="160"/>
      <c r="H1547" s="34" t="s">
        <v>925</v>
      </c>
    </row>
    <row r="1548" spans="1:8" ht="33">
      <c r="A1548" s="160"/>
      <c r="B1548" s="160"/>
      <c r="C1548" s="157"/>
      <c r="D1548" s="159"/>
      <c r="E1548" s="159"/>
      <c r="F1548" s="159"/>
      <c r="G1548" s="160"/>
      <c r="H1548" s="34" t="s">
        <v>925</v>
      </c>
    </row>
    <row r="1549" spans="1:8" ht="28.5">
      <c r="A1549" s="160" t="s">
        <v>1831</v>
      </c>
      <c r="B1549" s="160" t="s">
        <v>1635</v>
      </c>
      <c r="C1549" s="157" t="s">
        <v>3</v>
      </c>
      <c r="D1549" s="159">
        <v>10</v>
      </c>
      <c r="E1549" s="159">
        <v>338.57</v>
      </c>
      <c r="F1549" s="159"/>
      <c r="G1549" s="160" t="s">
        <v>1636</v>
      </c>
    </row>
    <row r="1550" spans="1:8" ht="33">
      <c r="A1550" s="160">
        <v>1</v>
      </c>
      <c r="B1550" s="160" t="s">
        <v>1637</v>
      </c>
      <c r="C1550" s="157" t="s">
        <v>0</v>
      </c>
      <c r="D1550" s="159">
        <v>0.15</v>
      </c>
      <c r="E1550" s="159">
        <v>3556.7</v>
      </c>
      <c r="F1550" s="159">
        <v>533.51</v>
      </c>
      <c r="G1550" s="160" t="s">
        <v>4954</v>
      </c>
      <c r="H1550" s="34" t="s">
        <v>925</v>
      </c>
    </row>
    <row r="1551" spans="1:8" ht="33">
      <c r="A1551" s="160">
        <v>2</v>
      </c>
      <c r="B1551" s="160" t="s">
        <v>1638</v>
      </c>
      <c r="C1551" s="157" t="s">
        <v>927</v>
      </c>
      <c r="D1551" s="159">
        <v>4</v>
      </c>
      <c r="E1551" s="159">
        <v>408.45</v>
      </c>
      <c r="F1551" s="159">
        <v>1633.8</v>
      </c>
      <c r="G1551" s="160" t="s">
        <v>1639</v>
      </c>
      <c r="H1551" s="34" t="s">
        <v>925</v>
      </c>
    </row>
    <row r="1552" spans="1:8" ht="33">
      <c r="A1552" s="160">
        <v>3</v>
      </c>
      <c r="B1552" s="160" t="s">
        <v>4871</v>
      </c>
      <c r="C1552" s="157" t="s">
        <v>927</v>
      </c>
      <c r="D1552" s="159">
        <v>4</v>
      </c>
      <c r="E1552" s="159">
        <v>279.94</v>
      </c>
      <c r="F1552" s="159">
        <v>1119.76</v>
      </c>
      <c r="G1552" s="160" t="s">
        <v>4872</v>
      </c>
      <c r="H1552" s="34" t="s">
        <v>925</v>
      </c>
    </row>
    <row r="1553" spans="1:8" ht="33">
      <c r="A1553" s="160">
        <v>4</v>
      </c>
      <c r="B1553" s="160" t="s">
        <v>955</v>
      </c>
      <c r="C1553" s="157" t="s">
        <v>14</v>
      </c>
      <c r="D1553" s="159">
        <v>1</v>
      </c>
      <c r="E1553" s="159">
        <v>98.61</v>
      </c>
      <c r="F1553" s="159">
        <v>98.61</v>
      </c>
      <c r="G1553" s="160" t="s">
        <v>956</v>
      </c>
      <c r="H1553" s="34" t="s">
        <v>925</v>
      </c>
    </row>
    <row r="1554" spans="1:8" ht="33">
      <c r="A1554" s="160"/>
      <c r="B1554" s="160" t="s">
        <v>933</v>
      </c>
      <c r="C1554" s="157" t="s">
        <v>3</v>
      </c>
      <c r="D1554" s="159">
        <v>10</v>
      </c>
      <c r="E1554" s="159"/>
      <c r="F1554" s="159">
        <v>3385.68</v>
      </c>
      <c r="G1554" s="160"/>
      <c r="H1554" s="34" t="s">
        <v>925</v>
      </c>
    </row>
    <row r="1555" spans="1:8" ht="33">
      <c r="A1555" s="160"/>
      <c r="B1555" s="160" t="s">
        <v>934</v>
      </c>
      <c r="C1555" s="157" t="s">
        <v>3</v>
      </c>
      <c r="D1555" s="159"/>
      <c r="E1555" s="159"/>
      <c r="F1555" s="159">
        <v>338.57</v>
      </c>
      <c r="G1555" s="160"/>
      <c r="H1555" s="34" t="s">
        <v>925</v>
      </c>
    </row>
    <row r="1556" spans="1:8" ht="16.5">
      <c r="A1556" s="160"/>
      <c r="B1556" s="160"/>
      <c r="C1556" s="157"/>
      <c r="D1556" s="159"/>
      <c r="E1556" s="159"/>
      <c r="F1556" s="159"/>
      <c r="G1556" s="160"/>
    </row>
    <row r="1557" spans="1:8" ht="33">
      <c r="A1557" s="160" t="s">
        <v>1838</v>
      </c>
      <c r="B1557" s="160" t="s">
        <v>1641</v>
      </c>
      <c r="C1557" s="157" t="s">
        <v>3</v>
      </c>
      <c r="D1557" s="159">
        <v>1</v>
      </c>
      <c r="E1557" s="159">
        <v>510</v>
      </c>
      <c r="F1557" s="159"/>
      <c r="G1557" s="160" t="s">
        <v>1642</v>
      </c>
      <c r="H1557" s="34" t="s">
        <v>925</v>
      </c>
    </row>
    <row r="1558" spans="1:8" ht="33">
      <c r="A1558" s="160">
        <v>1</v>
      </c>
      <c r="B1558" s="160" t="s">
        <v>1643</v>
      </c>
      <c r="C1558" s="157" t="s">
        <v>0</v>
      </c>
      <c r="D1558" s="159">
        <v>0.02</v>
      </c>
      <c r="E1558" s="159">
        <v>5119.8900000000003</v>
      </c>
      <c r="F1558" s="159">
        <v>102.4</v>
      </c>
      <c r="G1558" s="160" t="s">
        <v>4955</v>
      </c>
      <c r="H1558" s="34" t="s">
        <v>925</v>
      </c>
    </row>
    <row r="1559" spans="1:8" ht="33">
      <c r="A1559" s="160">
        <v>2</v>
      </c>
      <c r="B1559" s="160" t="s">
        <v>1638</v>
      </c>
      <c r="C1559" s="157" t="s">
        <v>927</v>
      </c>
      <c r="D1559" s="159">
        <v>0.66</v>
      </c>
      <c r="E1559" s="159">
        <v>408.45</v>
      </c>
      <c r="F1559" s="159">
        <v>269.58</v>
      </c>
      <c r="G1559" s="160" t="s">
        <v>1639</v>
      </c>
      <c r="H1559" s="34" t="s">
        <v>925</v>
      </c>
    </row>
    <row r="1560" spans="1:8" ht="33">
      <c r="A1560" s="160">
        <v>3</v>
      </c>
      <c r="B1560" s="160" t="s">
        <v>1644</v>
      </c>
      <c r="C1560" s="157" t="s">
        <v>927</v>
      </c>
      <c r="D1560" s="159">
        <v>0.44</v>
      </c>
      <c r="E1560" s="159">
        <v>279.94</v>
      </c>
      <c r="F1560" s="159">
        <v>123.17</v>
      </c>
      <c r="G1560" s="160" t="s">
        <v>1645</v>
      </c>
      <c r="H1560" s="34" t="s">
        <v>925</v>
      </c>
    </row>
    <row r="1561" spans="1:8" ht="33">
      <c r="A1561" s="160">
        <v>4</v>
      </c>
      <c r="B1561" s="160" t="s">
        <v>955</v>
      </c>
      <c r="C1561" s="157" t="s">
        <v>14</v>
      </c>
      <c r="D1561" s="159">
        <v>1</v>
      </c>
      <c r="E1561" s="159">
        <v>14.85</v>
      </c>
      <c r="F1561" s="159">
        <v>14.85</v>
      </c>
      <c r="G1561" s="160" t="s">
        <v>956</v>
      </c>
      <c r="H1561" s="34" t="s">
        <v>925</v>
      </c>
    </row>
    <row r="1562" spans="1:8" ht="33">
      <c r="A1562" s="160"/>
      <c r="B1562" s="160" t="s">
        <v>933</v>
      </c>
      <c r="C1562" s="157" t="s">
        <v>3</v>
      </c>
      <c r="D1562" s="159">
        <v>1</v>
      </c>
      <c r="E1562" s="159"/>
      <c r="F1562" s="159">
        <v>510.00000000000006</v>
      </c>
      <c r="G1562" s="160"/>
      <c r="H1562" s="34" t="s">
        <v>925</v>
      </c>
    </row>
    <row r="1563" spans="1:8" ht="16.5">
      <c r="A1563" s="160"/>
      <c r="B1563" s="160" t="s">
        <v>934</v>
      </c>
      <c r="C1563" s="157" t="s">
        <v>3</v>
      </c>
      <c r="D1563" s="159"/>
      <c r="E1563" s="159"/>
      <c r="F1563" s="159">
        <v>510</v>
      </c>
      <c r="G1563" s="160"/>
    </row>
    <row r="1564" spans="1:8" ht="33">
      <c r="A1564" s="160"/>
      <c r="B1564" s="160"/>
      <c r="C1564" s="157"/>
      <c r="D1564" s="159"/>
      <c r="E1564" s="159"/>
      <c r="F1564" s="159"/>
      <c r="G1564" s="160"/>
      <c r="H1564" s="34" t="s">
        <v>925</v>
      </c>
    </row>
    <row r="1565" spans="1:8" ht="33">
      <c r="A1565" s="160" t="s">
        <v>1845</v>
      </c>
      <c r="B1565" s="160" t="s">
        <v>1647</v>
      </c>
      <c r="C1565" s="157" t="s">
        <v>3</v>
      </c>
      <c r="D1565" s="159">
        <v>1</v>
      </c>
      <c r="E1565" s="159">
        <v>481.74</v>
      </c>
      <c r="F1565" s="159"/>
      <c r="G1565" s="160" t="s">
        <v>1648</v>
      </c>
      <c r="H1565" s="34" t="s">
        <v>925</v>
      </c>
    </row>
    <row r="1566" spans="1:8" ht="33">
      <c r="A1566" s="160">
        <v>1</v>
      </c>
      <c r="B1566" s="160" t="s">
        <v>1649</v>
      </c>
      <c r="C1566" s="157" t="s">
        <v>0</v>
      </c>
      <c r="D1566" s="159">
        <v>0.02</v>
      </c>
      <c r="E1566" s="159">
        <v>3747.98</v>
      </c>
      <c r="F1566" s="159">
        <v>74.959999999999994</v>
      </c>
      <c r="G1566" s="160" t="s">
        <v>4956</v>
      </c>
      <c r="H1566" s="34" t="s">
        <v>925</v>
      </c>
    </row>
    <row r="1567" spans="1:8" ht="33">
      <c r="A1567" s="160">
        <v>2</v>
      </c>
      <c r="B1567" s="160" t="s">
        <v>1638</v>
      </c>
      <c r="C1567" s="157" t="s">
        <v>927</v>
      </c>
      <c r="D1567" s="159">
        <v>0.66</v>
      </c>
      <c r="E1567" s="159">
        <v>408.45</v>
      </c>
      <c r="F1567" s="159">
        <v>269.58</v>
      </c>
      <c r="G1567" s="160" t="s">
        <v>1639</v>
      </c>
      <c r="H1567" s="34" t="s">
        <v>925</v>
      </c>
    </row>
    <row r="1568" spans="1:8" ht="33">
      <c r="A1568" s="160">
        <v>3</v>
      </c>
      <c r="B1568" s="160" t="s">
        <v>1644</v>
      </c>
      <c r="C1568" s="157" t="s">
        <v>927</v>
      </c>
      <c r="D1568" s="159">
        <v>0.44</v>
      </c>
      <c r="E1568" s="159">
        <v>279.94</v>
      </c>
      <c r="F1568" s="159">
        <v>123.17</v>
      </c>
      <c r="G1568" s="160" t="s">
        <v>1645</v>
      </c>
      <c r="H1568" s="34" t="s">
        <v>925</v>
      </c>
    </row>
    <row r="1569" spans="1:8" ht="33">
      <c r="A1569" s="160">
        <v>4</v>
      </c>
      <c r="B1569" s="160" t="s">
        <v>955</v>
      </c>
      <c r="C1569" s="157" t="s">
        <v>14</v>
      </c>
      <c r="D1569" s="159">
        <v>1</v>
      </c>
      <c r="E1569" s="159">
        <v>14.03</v>
      </c>
      <c r="F1569" s="159">
        <v>14.03</v>
      </c>
      <c r="G1569" s="160" t="s">
        <v>956</v>
      </c>
      <c r="H1569" s="34" t="s">
        <v>925</v>
      </c>
    </row>
    <row r="1570" spans="1:8" ht="16.5">
      <c r="A1570" s="160"/>
      <c r="B1570" s="160" t="s">
        <v>933</v>
      </c>
      <c r="C1570" s="157" t="s">
        <v>3</v>
      </c>
      <c r="D1570" s="159">
        <v>1</v>
      </c>
      <c r="E1570" s="159"/>
      <c r="F1570" s="159">
        <v>481.73999999999995</v>
      </c>
      <c r="G1570" s="160"/>
    </row>
    <row r="1571" spans="1:8" ht="33">
      <c r="A1571" s="160"/>
      <c r="B1571" s="160" t="s">
        <v>934</v>
      </c>
      <c r="C1571" s="157" t="s">
        <v>3</v>
      </c>
      <c r="D1571" s="159"/>
      <c r="E1571" s="159"/>
      <c r="F1571" s="159">
        <v>481.74</v>
      </c>
      <c r="G1571" s="160"/>
      <c r="H1571" s="34" t="s">
        <v>925</v>
      </c>
    </row>
    <row r="1572" spans="1:8" ht="33">
      <c r="A1572" s="160"/>
      <c r="B1572" s="160"/>
      <c r="C1572" s="157"/>
      <c r="D1572" s="159"/>
      <c r="E1572" s="159"/>
      <c r="F1572" s="159"/>
      <c r="G1572" s="160"/>
      <c r="H1572" s="34" t="s">
        <v>925</v>
      </c>
    </row>
    <row r="1573" spans="1:8" ht="42.75">
      <c r="A1573" s="160" t="s">
        <v>1852</v>
      </c>
      <c r="B1573" s="160" t="s">
        <v>1651</v>
      </c>
      <c r="C1573" s="157" t="s">
        <v>3</v>
      </c>
      <c r="D1573" s="159">
        <v>200</v>
      </c>
      <c r="E1573" s="159">
        <v>105.62</v>
      </c>
      <c r="F1573" s="159"/>
      <c r="G1573" s="160" t="s">
        <v>1652</v>
      </c>
      <c r="H1573" s="34" t="s">
        <v>925</v>
      </c>
    </row>
    <row r="1574" spans="1:8" ht="33">
      <c r="A1574" s="160">
        <v>1</v>
      </c>
      <c r="B1574" s="160" t="s">
        <v>1637</v>
      </c>
      <c r="C1574" s="157" t="s">
        <v>0</v>
      </c>
      <c r="D1574" s="159">
        <v>1</v>
      </c>
      <c r="E1574" s="159">
        <v>3556.7</v>
      </c>
      <c r="F1574" s="159">
        <v>3556.7</v>
      </c>
      <c r="G1574" s="160" t="s">
        <v>4954</v>
      </c>
      <c r="H1574" s="34" t="s">
        <v>925</v>
      </c>
    </row>
    <row r="1575" spans="1:8" ht="33">
      <c r="A1575" s="160">
        <v>2</v>
      </c>
      <c r="B1575" s="160" t="s">
        <v>1653</v>
      </c>
      <c r="C1575" s="157" t="s">
        <v>14</v>
      </c>
      <c r="D1575" s="159">
        <v>1</v>
      </c>
      <c r="E1575" s="159">
        <v>5977.31</v>
      </c>
      <c r="F1575" s="159">
        <v>5977.31</v>
      </c>
      <c r="G1575" s="160" t="s">
        <v>1654</v>
      </c>
      <c r="H1575" s="34" t="s">
        <v>925</v>
      </c>
    </row>
    <row r="1576" spans="1:8" ht="33">
      <c r="A1576" s="160">
        <v>3</v>
      </c>
      <c r="B1576" s="160" t="s">
        <v>1638</v>
      </c>
      <c r="C1576" s="157" t="s">
        <v>927</v>
      </c>
      <c r="D1576" s="159">
        <v>12</v>
      </c>
      <c r="E1576" s="159">
        <v>408.45</v>
      </c>
      <c r="F1576" s="159">
        <v>4901.3999999999996</v>
      </c>
      <c r="G1576" s="160" t="s">
        <v>1639</v>
      </c>
      <c r="H1576" s="34" t="s">
        <v>925</v>
      </c>
    </row>
    <row r="1577" spans="1:8" ht="28.5">
      <c r="A1577" s="160">
        <v>4</v>
      </c>
      <c r="B1577" s="160" t="s">
        <v>1644</v>
      </c>
      <c r="C1577" s="157" t="s">
        <v>927</v>
      </c>
      <c r="D1577" s="159">
        <v>16</v>
      </c>
      <c r="E1577" s="159">
        <v>279.94</v>
      </c>
      <c r="F1577" s="159">
        <v>4479.04</v>
      </c>
      <c r="G1577" s="160" t="s">
        <v>1645</v>
      </c>
    </row>
    <row r="1578" spans="1:8" ht="33">
      <c r="A1578" s="160">
        <v>5</v>
      </c>
      <c r="B1578" s="160" t="s">
        <v>1655</v>
      </c>
      <c r="C1578" s="157" t="s">
        <v>3</v>
      </c>
      <c r="D1578" s="159">
        <v>200</v>
      </c>
      <c r="E1578" s="159">
        <v>7.97</v>
      </c>
      <c r="F1578" s="159">
        <v>1594</v>
      </c>
      <c r="G1578" s="160" t="s">
        <v>1656</v>
      </c>
      <c r="H1578" s="34" t="s">
        <v>925</v>
      </c>
    </row>
    <row r="1579" spans="1:8" ht="33">
      <c r="A1579" s="160">
        <v>6</v>
      </c>
      <c r="B1579" s="160" t="s">
        <v>931</v>
      </c>
      <c r="C1579" s="157" t="s">
        <v>14</v>
      </c>
      <c r="D1579" s="159">
        <v>1</v>
      </c>
      <c r="E1579" s="159">
        <v>615.25</v>
      </c>
      <c r="F1579" s="159">
        <v>615.25</v>
      </c>
      <c r="G1579" s="160" t="s">
        <v>932</v>
      </c>
      <c r="H1579" s="34" t="s">
        <v>925</v>
      </c>
    </row>
    <row r="1580" spans="1:8" ht="33">
      <c r="A1580" s="160"/>
      <c r="B1580" s="160" t="s">
        <v>933</v>
      </c>
      <c r="C1580" s="157" t="s">
        <v>3</v>
      </c>
      <c r="D1580" s="159">
        <v>200</v>
      </c>
      <c r="E1580" s="159"/>
      <c r="F1580" s="159">
        <v>21123.7</v>
      </c>
      <c r="G1580" s="160"/>
      <c r="H1580" s="34" t="s">
        <v>925</v>
      </c>
    </row>
    <row r="1581" spans="1:8" ht="33">
      <c r="A1581" s="160"/>
      <c r="B1581" s="160" t="s">
        <v>934</v>
      </c>
      <c r="C1581" s="157" t="s">
        <v>3</v>
      </c>
      <c r="D1581" s="159"/>
      <c r="E1581" s="159"/>
      <c r="F1581" s="159">
        <v>105.62</v>
      </c>
      <c r="G1581" s="160"/>
      <c r="H1581" s="34" t="s">
        <v>925</v>
      </c>
    </row>
    <row r="1582" spans="1:8" ht="33">
      <c r="A1582" s="160"/>
      <c r="B1582" s="160"/>
      <c r="C1582" s="157"/>
      <c r="D1582" s="159"/>
      <c r="E1582" s="159"/>
      <c r="F1582" s="159"/>
      <c r="G1582" s="160"/>
      <c r="H1582" s="34" t="s">
        <v>925</v>
      </c>
    </row>
    <row r="1583" spans="1:8" ht="33">
      <c r="A1583" s="160" t="s">
        <v>1859</v>
      </c>
      <c r="B1583" s="160" t="s">
        <v>1643</v>
      </c>
      <c r="C1583" s="157" t="s">
        <v>0</v>
      </c>
      <c r="D1583" s="159">
        <v>1</v>
      </c>
      <c r="E1583" s="159">
        <v>5119.8900000000003</v>
      </c>
      <c r="F1583" s="159"/>
      <c r="G1583" s="160" t="s">
        <v>1658</v>
      </c>
      <c r="H1583" s="34" t="s">
        <v>925</v>
      </c>
    </row>
    <row r="1584" spans="1:8" ht="28.5">
      <c r="A1584" s="160">
        <v>1</v>
      </c>
      <c r="B1584" s="160" t="s">
        <v>1294</v>
      </c>
      <c r="C1584" s="157" t="s">
        <v>1295</v>
      </c>
      <c r="D1584" s="159">
        <v>20</v>
      </c>
      <c r="E1584" s="159">
        <v>166.37</v>
      </c>
      <c r="F1584" s="159">
        <v>3327.4</v>
      </c>
      <c r="G1584" s="160" t="s">
        <v>1296</v>
      </c>
    </row>
    <row r="1585" spans="1:8" ht="33">
      <c r="A1585" s="160">
        <v>2</v>
      </c>
      <c r="B1585" s="160" t="s">
        <v>1659</v>
      </c>
      <c r="C1585" s="157" t="s">
        <v>1121</v>
      </c>
      <c r="D1585" s="159">
        <v>0.67</v>
      </c>
      <c r="E1585" s="159">
        <v>1115.76</v>
      </c>
      <c r="F1585" s="159">
        <v>747.56</v>
      </c>
      <c r="G1585" s="160" t="s">
        <v>1660</v>
      </c>
      <c r="H1585" s="34" t="s">
        <v>925</v>
      </c>
    </row>
    <row r="1586" spans="1:8" ht="33">
      <c r="A1586" s="160">
        <v>3</v>
      </c>
      <c r="B1586" s="160" t="s">
        <v>4871</v>
      </c>
      <c r="C1586" s="157" t="s">
        <v>927</v>
      </c>
      <c r="D1586" s="159">
        <v>3.2</v>
      </c>
      <c r="E1586" s="159">
        <v>279.94</v>
      </c>
      <c r="F1586" s="159">
        <v>895.81</v>
      </c>
      <c r="G1586" s="160" t="s">
        <v>4876</v>
      </c>
      <c r="H1586" s="34" t="s">
        <v>925</v>
      </c>
    </row>
    <row r="1587" spans="1:8" ht="33">
      <c r="A1587" s="160">
        <v>4</v>
      </c>
      <c r="B1587" s="160" t="s">
        <v>955</v>
      </c>
      <c r="C1587" s="157" t="s">
        <v>14</v>
      </c>
      <c r="D1587" s="159">
        <v>1</v>
      </c>
      <c r="E1587" s="159">
        <v>149.12</v>
      </c>
      <c r="F1587" s="159">
        <v>149.12</v>
      </c>
      <c r="G1587" s="160" t="s">
        <v>956</v>
      </c>
      <c r="H1587" s="34" t="s">
        <v>925</v>
      </c>
    </row>
    <row r="1588" spans="1:8" ht="33">
      <c r="A1588" s="160"/>
      <c r="B1588" s="160" t="s">
        <v>933</v>
      </c>
      <c r="C1588" s="157" t="s">
        <v>0</v>
      </c>
      <c r="D1588" s="159">
        <v>1</v>
      </c>
      <c r="E1588" s="159"/>
      <c r="F1588" s="159">
        <v>5119.8900000000003</v>
      </c>
      <c r="G1588" s="160"/>
      <c r="H1588" s="34" t="s">
        <v>925</v>
      </c>
    </row>
    <row r="1589" spans="1:8" ht="33">
      <c r="A1589" s="160"/>
      <c r="B1589" s="160" t="s">
        <v>934</v>
      </c>
      <c r="C1589" s="157" t="s">
        <v>0</v>
      </c>
      <c r="D1589" s="159"/>
      <c r="E1589" s="159"/>
      <c r="F1589" s="159">
        <v>5119.8900000000003</v>
      </c>
      <c r="G1589" s="160"/>
      <c r="H1589" s="34" t="s">
        <v>925</v>
      </c>
    </row>
    <row r="1590" spans="1:8" ht="33">
      <c r="A1590" s="160"/>
      <c r="B1590" s="160"/>
      <c r="C1590" s="157"/>
      <c r="D1590" s="159"/>
      <c r="E1590" s="159"/>
      <c r="F1590" s="159"/>
      <c r="G1590" s="160"/>
      <c r="H1590" s="34" t="s">
        <v>925</v>
      </c>
    </row>
    <row r="1591" spans="1:8" ht="28.5">
      <c r="A1591" s="160" t="s">
        <v>1866</v>
      </c>
      <c r="B1591" s="160" t="s">
        <v>1649</v>
      </c>
      <c r="C1591" s="157" t="s">
        <v>0</v>
      </c>
      <c r="D1591" s="159">
        <v>1</v>
      </c>
      <c r="E1591" s="159">
        <v>3747.98</v>
      </c>
      <c r="F1591" s="159"/>
      <c r="G1591" s="160" t="s">
        <v>1662</v>
      </c>
    </row>
    <row r="1592" spans="1:8" ht="33">
      <c r="A1592" s="160">
        <v>1</v>
      </c>
      <c r="B1592" s="160" t="s">
        <v>1294</v>
      </c>
      <c r="C1592" s="157" t="s">
        <v>1295</v>
      </c>
      <c r="D1592" s="159">
        <v>13</v>
      </c>
      <c r="E1592" s="159">
        <v>166.37</v>
      </c>
      <c r="F1592" s="159">
        <v>2162.81</v>
      </c>
      <c r="G1592" s="160" t="s">
        <v>1296</v>
      </c>
      <c r="H1592" s="34" t="s">
        <v>925</v>
      </c>
    </row>
    <row r="1593" spans="1:8" ht="33">
      <c r="A1593" s="160">
        <v>2</v>
      </c>
      <c r="B1593" s="160" t="s">
        <v>1299</v>
      </c>
      <c r="C1593" s="157" t="s">
        <v>1121</v>
      </c>
      <c r="D1593" s="159">
        <v>0.8</v>
      </c>
      <c r="E1593" s="159">
        <v>725.25</v>
      </c>
      <c r="F1593" s="159">
        <v>580.20000000000005</v>
      </c>
      <c r="G1593" s="160" t="s">
        <v>1300</v>
      </c>
      <c r="H1593" s="34" t="s">
        <v>925</v>
      </c>
    </row>
    <row r="1594" spans="1:8" ht="33">
      <c r="A1594" s="160">
        <v>3</v>
      </c>
      <c r="B1594" s="160" t="s">
        <v>4871</v>
      </c>
      <c r="C1594" s="157" t="s">
        <v>927</v>
      </c>
      <c r="D1594" s="159">
        <v>3.2</v>
      </c>
      <c r="E1594" s="159">
        <v>279.94</v>
      </c>
      <c r="F1594" s="159">
        <v>895.81</v>
      </c>
      <c r="G1594" s="160" t="s">
        <v>4872</v>
      </c>
      <c r="H1594" s="34" t="s">
        <v>925</v>
      </c>
    </row>
    <row r="1595" spans="1:8" ht="33">
      <c r="A1595" s="160">
        <v>4</v>
      </c>
      <c r="B1595" s="160" t="s">
        <v>955</v>
      </c>
      <c r="C1595" s="157" t="s">
        <v>14</v>
      </c>
      <c r="D1595" s="159">
        <v>1</v>
      </c>
      <c r="E1595" s="159">
        <v>109.16</v>
      </c>
      <c r="F1595" s="159">
        <v>109.16</v>
      </c>
      <c r="G1595" s="160" t="s">
        <v>956</v>
      </c>
      <c r="H1595" s="34" t="s">
        <v>925</v>
      </c>
    </row>
    <row r="1596" spans="1:8" ht="33">
      <c r="A1596" s="160"/>
      <c r="B1596" s="160" t="s">
        <v>933</v>
      </c>
      <c r="C1596" s="157" t="s">
        <v>0</v>
      </c>
      <c r="D1596" s="159">
        <v>1</v>
      </c>
      <c r="E1596" s="159"/>
      <c r="F1596" s="159">
        <v>3747.98</v>
      </c>
      <c r="G1596" s="160"/>
      <c r="H1596" s="34" t="s">
        <v>925</v>
      </c>
    </row>
    <row r="1597" spans="1:8" ht="33">
      <c r="A1597" s="160"/>
      <c r="B1597" s="160" t="s">
        <v>934</v>
      </c>
      <c r="C1597" s="157" t="s">
        <v>0</v>
      </c>
      <c r="D1597" s="159"/>
      <c r="E1597" s="159"/>
      <c r="F1597" s="159">
        <v>3747.98</v>
      </c>
      <c r="G1597" s="160"/>
      <c r="H1597" s="34" t="s">
        <v>925</v>
      </c>
    </row>
    <row r="1598" spans="1:8" ht="16.5">
      <c r="A1598" s="160"/>
      <c r="B1598" s="160"/>
      <c r="C1598" s="157"/>
      <c r="D1598" s="159"/>
      <c r="E1598" s="159"/>
      <c r="F1598" s="159"/>
      <c r="G1598" s="160"/>
    </row>
    <row r="1599" spans="1:8" ht="33">
      <c r="A1599" s="160" t="s">
        <v>1873</v>
      </c>
      <c r="B1599" s="160" t="s">
        <v>1637</v>
      </c>
      <c r="C1599" s="157" t="s">
        <v>0</v>
      </c>
      <c r="D1599" s="159">
        <v>1</v>
      </c>
      <c r="E1599" s="159">
        <v>3556.7</v>
      </c>
      <c r="F1599" s="159"/>
      <c r="G1599" s="160" t="s">
        <v>1664</v>
      </c>
      <c r="H1599" s="34" t="s">
        <v>925</v>
      </c>
    </row>
    <row r="1600" spans="1:8" ht="33">
      <c r="A1600" s="160">
        <v>1</v>
      </c>
      <c r="B1600" s="160" t="s">
        <v>1294</v>
      </c>
      <c r="C1600" s="157" t="s">
        <v>1295</v>
      </c>
      <c r="D1600" s="159">
        <v>9</v>
      </c>
      <c r="E1600" s="159">
        <v>166.37</v>
      </c>
      <c r="F1600" s="159">
        <v>1497.33</v>
      </c>
      <c r="G1600" s="160" t="s">
        <v>1296</v>
      </c>
      <c r="H1600" s="34" t="s">
        <v>925</v>
      </c>
    </row>
    <row r="1601" spans="1:8" ht="33">
      <c r="A1601" s="160">
        <v>2</v>
      </c>
      <c r="B1601" s="160" t="s">
        <v>1659</v>
      </c>
      <c r="C1601" s="157" t="s">
        <v>1121</v>
      </c>
      <c r="D1601" s="159">
        <v>0.95</v>
      </c>
      <c r="E1601" s="159">
        <v>1115.76</v>
      </c>
      <c r="F1601" s="159">
        <v>1059.97</v>
      </c>
      <c r="G1601" s="160" t="s">
        <v>1660</v>
      </c>
      <c r="H1601" s="34" t="s">
        <v>925</v>
      </c>
    </row>
    <row r="1602" spans="1:8" ht="33">
      <c r="A1602" s="160">
        <v>3</v>
      </c>
      <c r="B1602" s="160" t="s">
        <v>4871</v>
      </c>
      <c r="C1602" s="157" t="s">
        <v>927</v>
      </c>
      <c r="D1602" s="159">
        <v>3.2</v>
      </c>
      <c r="E1602" s="159">
        <v>279.94</v>
      </c>
      <c r="F1602" s="159">
        <v>895.81</v>
      </c>
      <c r="G1602" s="160" t="s">
        <v>4876</v>
      </c>
      <c r="H1602" s="34" t="s">
        <v>925</v>
      </c>
    </row>
    <row r="1603" spans="1:8" ht="33">
      <c r="A1603" s="160">
        <v>4</v>
      </c>
      <c r="B1603" s="160" t="s">
        <v>955</v>
      </c>
      <c r="C1603" s="157" t="s">
        <v>14</v>
      </c>
      <c r="D1603" s="159">
        <v>1</v>
      </c>
      <c r="E1603" s="159">
        <v>103.59</v>
      </c>
      <c r="F1603" s="159">
        <v>103.59</v>
      </c>
      <c r="G1603" s="160" t="s">
        <v>956</v>
      </c>
      <c r="H1603" s="34" t="s">
        <v>925</v>
      </c>
    </row>
    <row r="1604" spans="1:8" ht="33">
      <c r="A1604" s="160"/>
      <c r="B1604" s="160" t="s">
        <v>933</v>
      </c>
      <c r="C1604" s="157" t="s">
        <v>0</v>
      </c>
      <c r="D1604" s="159">
        <v>1</v>
      </c>
      <c r="E1604" s="159"/>
      <c r="F1604" s="159">
        <v>3556.7000000000003</v>
      </c>
      <c r="G1604" s="160"/>
      <c r="H1604" s="34" t="s">
        <v>925</v>
      </c>
    </row>
    <row r="1605" spans="1:8" ht="16.5">
      <c r="A1605" s="160"/>
      <c r="B1605" s="160" t="s">
        <v>934</v>
      </c>
      <c r="C1605" s="157" t="s">
        <v>0</v>
      </c>
      <c r="D1605" s="159"/>
      <c r="E1605" s="159"/>
      <c r="F1605" s="159">
        <v>3556.7</v>
      </c>
      <c r="G1605" s="160"/>
    </row>
    <row r="1606" spans="1:8" ht="33">
      <c r="A1606" s="160"/>
      <c r="B1606" s="160"/>
      <c r="C1606" s="157"/>
      <c r="D1606" s="159"/>
      <c r="E1606" s="159"/>
      <c r="F1606" s="159"/>
      <c r="G1606" s="160"/>
      <c r="H1606" s="34" t="s">
        <v>925</v>
      </c>
    </row>
    <row r="1607" spans="1:8" ht="33">
      <c r="A1607" s="160" t="s">
        <v>1881</v>
      </c>
      <c r="B1607" s="160" t="s">
        <v>1666</v>
      </c>
      <c r="C1607" s="157" t="s">
        <v>3</v>
      </c>
      <c r="D1607" s="159">
        <v>1</v>
      </c>
      <c r="E1607" s="159">
        <v>1219.1500000000001</v>
      </c>
      <c r="F1607" s="159"/>
      <c r="G1607" s="160" t="s">
        <v>1667</v>
      </c>
      <c r="H1607" s="34" t="s">
        <v>925</v>
      </c>
    </row>
    <row r="1608" spans="1:8" ht="33">
      <c r="A1608" s="160">
        <v>1</v>
      </c>
      <c r="B1608" s="160" t="s">
        <v>464</v>
      </c>
      <c r="C1608" s="157" t="s">
        <v>0</v>
      </c>
      <c r="D1608" s="159">
        <v>0.04</v>
      </c>
      <c r="E1608" s="159">
        <v>3327.95</v>
      </c>
      <c r="F1608" s="159">
        <v>133.12</v>
      </c>
      <c r="G1608" s="160" t="s">
        <v>4957</v>
      </c>
      <c r="H1608" s="34" t="s">
        <v>925</v>
      </c>
    </row>
    <row r="1609" spans="1:8" ht="33">
      <c r="A1609" s="160">
        <v>2</v>
      </c>
      <c r="B1609" s="160" t="s">
        <v>1668</v>
      </c>
      <c r="C1609" s="157" t="s">
        <v>1121</v>
      </c>
      <c r="D1609" s="159">
        <v>0.2</v>
      </c>
      <c r="E1609" s="159">
        <v>647.54</v>
      </c>
      <c r="F1609" s="159">
        <v>129.51</v>
      </c>
      <c r="G1609" s="160" t="s">
        <v>1669</v>
      </c>
      <c r="H1609" s="34" t="s">
        <v>925</v>
      </c>
    </row>
    <row r="1610" spans="1:8" ht="33">
      <c r="A1610" s="160">
        <v>3</v>
      </c>
      <c r="B1610" s="160" t="s">
        <v>1670</v>
      </c>
      <c r="C1610" s="157" t="s">
        <v>927</v>
      </c>
      <c r="D1610" s="159">
        <v>0.64</v>
      </c>
      <c r="E1610" s="159">
        <v>408.45</v>
      </c>
      <c r="F1610" s="159">
        <v>261.41000000000003</v>
      </c>
      <c r="G1610" s="160" t="s">
        <v>1671</v>
      </c>
      <c r="H1610" s="34" t="s">
        <v>925</v>
      </c>
    </row>
    <row r="1611" spans="1:8" ht="33">
      <c r="A1611" s="160">
        <v>4</v>
      </c>
      <c r="B1611" s="160" t="s">
        <v>4871</v>
      </c>
      <c r="C1611" s="157" t="s">
        <v>927</v>
      </c>
      <c r="D1611" s="159">
        <v>1.04</v>
      </c>
      <c r="E1611" s="159">
        <v>279.94</v>
      </c>
      <c r="F1611" s="159">
        <v>291.14</v>
      </c>
      <c r="G1611" s="160" t="s">
        <v>4872</v>
      </c>
      <c r="H1611" s="34" t="s">
        <v>925</v>
      </c>
    </row>
    <row r="1612" spans="1:8" ht="28.5">
      <c r="A1612" s="160">
        <v>5</v>
      </c>
      <c r="B1612" s="160" t="s">
        <v>1635</v>
      </c>
      <c r="C1612" s="157" t="s">
        <v>3</v>
      </c>
      <c r="D1612" s="159">
        <v>1</v>
      </c>
      <c r="E1612" s="159">
        <v>338.57</v>
      </c>
      <c r="F1612" s="159">
        <v>338.57</v>
      </c>
      <c r="G1612" s="160" t="s">
        <v>4958</v>
      </c>
    </row>
    <row r="1613" spans="1:8" ht="33">
      <c r="A1613" s="160">
        <v>6</v>
      </c>
      <c r="B1613" s="160" t="s">
        <v>1672</v>
      </c>
      <c r="C1613" s="157" t="s">
        <v>14</v>
      </c>
      <c r="D1613" s="159">
        <v>1</v>
      </c>
      <c r="E1613" s="159">
        <v>29.89</v>
      </c>
      <c r="F1613" s="159">
        <v>29.89</v>
      </c>
      <c r="G1613" s="160" t="s">
        <v>1673</v>
      </c>
      <c r="H1613" s="34" t="s">
        <v>925</v>
      </c>
    </row>
    <row r="1614" spans="1:8" ht="33">
      <c r="A1614" s="160">
        <v>7</v>
      </c>
      <c r="B1614" s="160" t="s">
        <v>931</v>
      </c>
      <c r="C1614" s="157" t="s">
        <v>14</v>
      </c>
      <c r="D1614" s="159">
        <v>1</v>
      </c>
      <c r="E1614" s="159">
        <v>35.51</v>
      </c>
      <c r="F1614" s="159">
        <v>35.51</v>
      </c>
      <c r="G1614" s="160" t="s">
        <v>932</v>
      </c>
      <c r="H1614" s="34" t="s">
        <v>925</v>
      </c>
    </row>
    <row r="1615" spans="1:8" ht="33">
      <c r="A1615" s="160"/>
      <c r="B1615" s="160" t="s">
        <v>933</v>
      </c>
      <c r="C1615" s="157" t="s">
        <v>3</v>
      </c>
      <c r="D1615" s="159">
        <v>1</v>
      </c>
      <c r="E1615" s="159"/>
      <c r="F1615" s="159">
        <v>1219.1500000000001</v>
      </c>
      <c r="G1615" s="160"/>
      <c r="H1615" s="34" t="s">
        <v>925</v>
      </c>
    </row>
    <row r="1616" spans="1:8" ht="33">
      <c r="A1616" s="160"/>
      <c r="B1616" s="160" t="s">
        <v>934</v>
      </c>
      <c r="C1616" s="157" t="s">
        <v>3</v>
      </c>
      <c r="D1616" s="159"/>
      <c r="E1616" s="159"/>
      <c r="F1616" s="159">
        <v>1219.1500000000001</v>
      </c>
      <c r="G1616" s="160"/>
      <c r="H1616" s="34" t="s">
        <v>925</v>
      </c>
    </row>
    <row r="1617" spans="1:8" ht="33">
      <c r="A1617" s="160"/>
      <c r="B1617" s="160"/>
      <c r="C1617" s="157"/>
      <c r="D1617" s="159"/>
      <c r="E1617" s="159"/>
      <c r="F1617" s="159"/>
      <c r="G1617" s="160"/>
      <c r="H1617" s="34" t="s">
        <v>925</v>
      </c>
    </row>
    <row r="1618" spans="1:8" ht="33">
      <c r="A1618" s="160" t="s">
        <v>1888</v>
      </c>
      <c r="B1618" s="160" t="s">
        <v>1675</v>
      </c>
      <c r="C1618" s="157" t="s">
        <v>3</v>
      </c>
      <c r="D1618" s="159">
        <v>1</v>
      </c>
      <c r="E1618" s="159">
        <v>1402.45</v>
      </c>
      <c r="F1618" s="159"/>
      <c r="G1618" s="160" t="s">
        <v>1676</v>
      </c>
      <c r="H1618" s="34" t="s">
        <v>925</v>
      </c>
    </row>
    <row r="1619" spans="1:8" ht="28.5">
      <c r="A1619" s="160">
        <v>1</v>
      </c>
      <c r="B1619" s="160" t="s">
        <v>464</v>
      </c>
      <c r="C1619" s="157" t="s">
        <v>0</v>
      </c>
      <c r="D1619" s="159">
        <v>0.05</v>
      </c>
      <c r="E1619" s="159">
        <v>3327.95</v>
      </c>
      <c r="F1619" s="159">
        <v>166.4</v>
      </c>
      <c r="G1619" s="160" t="s">
        <v>4957</v>
      </c>
    </row>
    <row r="1620" spans="1:8" ht="33">
      <c r="A1620" s="160">
        <v>2</v>
      </c>
      <c r="B1620" s="160" t="s">
        <v>1677</v>
      </c>
      <c r="C1620" s="157" t="s">
        <v>1121</v>
      </c>
      <c r="D1620" s="159">
        <v>0.25</v>
      </c>
      <c r="E1620" s="159">
        <v>697.35</v>
      </c>
      <c r="F1620" s="159">
        <v>174.34</v>
      </c>
      <c r="G1620" s="160" t="s">
        <v>1678</v>
      </c>
      <c r="H1620" s="34" t="s">
        <v>925</v>
      </c>
    </row>
    <row r="1621" spans="1:8" ht="33">
      <c r="A1621" s="160">
        <v>3</v>
      </c>
      <c r="B1621" s="160" t="s">
        <v>1670</v>
      </c>
      <c r="C1621" s="157" t="s">
        <v>927</v>
      </c>
      <c r="D1621" s="159">
        <v>0.72</v>
      </c>
      <c r="E1621" s="159">
        <v>408.45</v>
      </c>
      <c r="F1621" s="159">
        <v>294.08</v>
      </c>
      <c r="G1621" s="160" t="s">
        <v>1671</v>
      </c>
      <c r="H1621" s="34" t="s">
        <v>925</v>
      </c>
    </row>
    <row r="1622" spans="1:8" ht="33">
      <c r="A1622" s="160">
        <v>4</v>
      </c>
      <c r="B1622" s="160" t="s">
        <v>4871</v>
      </c>
      <c r="C1622" s="157" t="s">
        <v>927</v>
      </c>
      <c r="D1622" s="159">
        <v>1.28</v>
      </c>
      <c r="E1622" s="159">
        <v>279.94</v>
      </c>
      <c r="F1622" s="159">
        <v>358.32</v>
      </c>
      <c r="G1622" s="160" t="s">
        <v>4872</v>
      </c>
      <c r="H1622" s="34" t="s">
        <v>925</v>
      </c>
    </row>
    <row r="1623" spans="1:8" ht="33">
      <c r="A1623" s="160">
        <v>5</v>
      </c>
      <c r="B1623" s="160" t="s">
        <v>1672</v>
      </c>
      <c r="C1623" s="157" t="s">
        <v>14</v>
      </c>
      <c r="D1623" s="159">
        <v>1</v>
      </c>
      <c r="E1623" s="159">
        <v>29.89</v>
      </c>
      <c r="F1623" s="159">
        <v>29.89</v>
      </c>
      <c r="G1623" s="160" t="s">
        <v>1673</v>
      </c>
      <c r="H1623" s="34" t="s">
        <v>925</v>
      </c>
    </row>
    <row r="1624" spans="1:8" ht="33">
      <c r="A1624" s="160">
        <v>6</v>
      </c>
      <c r="B1624" s="160" t="s">
        <v>1635</v>
      </c>
      <c r="C1624" s="157" t="s">
        <v>3</v>
      </c>
      <c r="D1624" s="159">
        <v>1</v>
      </c>
      <c r="E1624" s="159">
        <v>338.57</v>
      </c>
      <c r="F1624" s="159">
        <v>338.57</v>
      </c>
      <c r="G1624" s="160" t="s">
        <v>4958</v>
      </c>
      <c r="H1624" s="34" t="s">
        <v>925</v>
      </c>
    </row>
    <row r="1625" spans="1:8" ht="33">
      <c r="A1625" s="160">
        <v>7</v>
      </c>
      <c r="B1625" s="160" t="s">
        <v>931</v>
      </c>
      <c r="C1625" s="157" t="s">
        <v>14</v>
      </c>
      <c r="D1625" s="159">
        <v>1</v>
      </c>
      <c r="E1625" s="159">
        <v>40.85</v>
      </c>
      <c r="F1625" s="159">
        <v>40.85</v>
      </c>
      <c r="G1625" s="160" t="s">
        <v>932</v>
      </c>
      <c r="H1625" s="34" t="s">
        <v>925</v>
      </c>
    </row>
    <row r="1626" spans="1:8" ht="16.5">
      <c r="A1626" s="160"/>
      <c r="B1626" s="160" t="s">
        <v>933</v>
      </c>
      <c r="C1626" s="157" t="s">
        <v>3</v>
      </c>
      <c r="D1626" s="159">
        <v>1</v>
      </c>
      <c r="E1626" s="159"/>
      <c r="F1626" s="159">
        <v>1402.4499999999998</v>
      </c>
      <c r="G1626" s="160"/>
    </row>
    <row r="1627" spans="1:8" ht="33">
      <c r="A1627" s="160"/>
      <c r="B1627" s="160" t="s">
        <v>934</v>
      </c>
      <c r="C1627" s="157" t="s">
        <v>3</v>
      </c>
      <c r="D1627" s="159"/>
      <c r="E1627" s="159"/>
      <c r="F1627" s="159">
        <v>1402.45</v>
      </c>
      <c r="G1627" s="160"/>
      <c r="H1627" s="34" t="s">
        <v>925</v>
      </c>
    </row>
    <row r="1628" spans="1:8" ht="33">
      <c r="A1628" s="160"/>
      <c r="B1628" s="160"/>
      <c r="C1628" s="157"/>
      <c r="D1628" s="159"/>
      <c r="E1628" s="159"/>
      <c r="F1628" s="159"/>
      <c r="G1628" s="160"/>
      <c r="H1628" s="34" t="s">
        <v>925</v>
      </c>
    </row>
    <row r="1629" spans="1:8" ht="33">
      <c r="A1629" s="160" t="s">
        <v>1895</v>
      </c>
      <c r="B1629" s="160" t="s">
        <v>1680</v>
      </c>
      <c r="C1629" s="157" t="s">
        <v>3</v>
      </c>
      <c r="D1629" s="159">
        <v>1</v>
      </c>
      <c r="E1629" s="159">
        <v>1567.82</v>
      </c>
      <c r="F1629" s="159"/>
      <c r="G1629" s="160" t="s">
        <v>1681</v>
      </c>
      <c r="H1629" s="34" t="s">
        <v>925</v>
      </c>
    </row>
    <row r="1630" spans="1:8" ht="33">
      <c r="A1630" s="160">
        <v>1</v>
      </c>
      <c r="B1630" s="160" t="s">
        <v>464</v>
      </c>
      <c r="C1630" s="157" t="s">
        <v>0</v>
      </c>
      <c r="D1630" s="159">
        <v>0.06</v>
      </c>
      <c r="E1630" s="159">
        <v>3327.95</v>
      </c>
      <c r="F1630" s="159">
        <v>199.68</v>
      </c>
      <c r="G1630" s="160" t="s">
        <v>4957</v>
      </c>
      <c r="H1630" s="34" t="s">
        <v>925</v>
      </c>
    </row>
    <row r="1631" spans="1:8" ht="33">
      <c r="A1631" s="160">
        <v>2</v>
      </c>
      <c r="B1631" s="160" t="s">
        <v>1682</v>
      </c>
      <c r="C1631" s="157" t="s">
        <v>1121</v>
      </c>
      <c r="D1631" s="159">
        <v>0.3</v>
      </c>
      <c r="E1631" s="159">
        <v>747.16</v>
      </c>
      <c r="F1631" s="159">
        <v>224.15</v>
      </c>
      <c r="G1631" s="160" t="s">
        <v>1683</v>
      </c>
      <c r="H1631" s="34" t="s">
        <v>925</v>
      </c>
    </row>
    <row r="1632" spans="1:8" ht="33">
      <c r="A1632" s="160">
        <v>3</v>
      </c>
      <c r="B1632" s="160" t="s">
        <v>1670</v>
      </c>
      <c r="C1632" s="157" t="s">
        <v>927</v>
      </c>
      <c r="D1632" s="159">
        <v>0.8</v>
      </c>
      <c r="E1632" s="159">
        <v>408.45</v>
      </c>
      <c r="F1632" s="159">
        <v>326.76</v>
      </c>
      <c r="G1632" s="160" t="s">
        <v>1671</v>
      </c>
      <c r="H1632" s="34" t="s">
        <v>925</v>
      </c>
    </row>
    <row r="1633" spans="1:8" ht="28.5">
      <c r="A1633" s="160">
        <v>4</v>
      </c>
      <c r="B1633" s="160" t="s">
        <v>4871</v>
      </c>
      <c r="C1633" s="157" t="s">
        <v>927</v>
      </c>
      <c r="D1633" s="159">
        <v>1.44</v>
      </c>
      <c r="E1633" s="159">
        <v>279.94</v>
      </c>
      <c r="F1633" s="159">
        <v>403.11</v>
      </c>
      <c r="G1633" s="160" t="s">
        <v>4872</v>
      </c>
    </row>
    <row r="1634" spans="1:8" ht="33">
      <c r="A1634" s="160">
        <v>5</v>
      </c>
      <c r="B1634" s="160" t="s">
        <v>1635</v>
      </c>
      <c r="C1634" s="157" t="s">
        <v>3</v>
      </c>
      <c r="D1634" s="159">
        <v>1</v>
      </c>
      <c r="E1634" s="159">
        <v>338.57</v>
      </c>
      <c r="F1634" s="159">
        <v>338.57</v>
      </c>
      <c r="G1634" s="160" t="s">
        <v>4958</v>
      </c>
      <c r="H1634" s="34" t="s">
        <v>925</v>
      </c>
    </row>
    <row r="1635" spans="1:8" ht="33">
      <c r="A1635" s="160">
        <v>6</v>
      </c>
      <c r="B1635" s="160" t="s">
        <v>1672</v>
      </c>
      <c r="C1635" s="157" t="s">
        <v>14</v>
      </c>
      <c r="D1635" s="159">
        <v>1</v>
      </c>
      <c r="E1635" s="159">
        <v>29.89</v>
      </c>
      <c r="F1635" s="159">
        <v>29.89</v>
      </c>
      <c r="G1635" s="160" t="s">
        <v>1673</v>
      </c>
      <c r="H1635" s="34" t="s">
        <v>925</v>
      </c>
    </row>
    <row r="1636" spans="1:8" ht="33">
      <c r="A1636" s="160">
        <v>7</v>
      </c>
      <c r="B1636" s="160" t="s">
        <v>931</v>
      </c>
      <c r="C1636" s="157" t="s">
        <v>14</v>
      </c>
      <c r="D1636" s="159">
        <v>1</v>
      </c>
      <c r="E1636" s="159">
        <v>45.66</v>
      </c>
      <c r="F1636" s="159">
        <v>45.66</v>
      </c>
      <c r="G1636" s="160" t="s">
        <v>932</v>
      </c>
      <c r="H1636" s="34" t="s">
        <v>925</v>
      </c>
    </row>
    <row r="1637" spans="1:8" ht="33">
      <c r="A1637" s="160"/>
      <c r="B1637" s="160" t="s">
        <v>933</v>
      </c>
      <c r="C1637" s="157" t="s">
        <v>3</v>
      </c>
      <c r="D1637" s="159">
        <v>1</v>
      </c>
      <c r="E1637" s="159"/>
      <c r="F1637" s="159">
        <v>1567.8200000000002</v>
      </c>
      <c r="G1637" s="160"/>
      <c r="H1637" s="34" t="s">
        <v>925</v>
      </c>
    </row>
    <row r="1638" spans="1:8" ht="33">
      <c r="A1638" s="160"/>
      <c r="B1638" s="160" t="s">
        <v>934</v>
      </c>
      <c r="C1638" s="157" t="s">
        <v>3</v>
      </c>
      <c r="D1638" s="159"/>
      <c r="E1638" s="159"/>
      <c r="F1638" s="159">
        <v>1567.82</v>
      </c>
      <c r="G1638" s="160"/>
      <c r="H1638" s="34" t="s">
        <v>925</v>
      </c>
    </row>
    <row r="1639" spans="1:8" ht="33">
      <c r="A1639" s="160"/>
      <c r="B1639" s="160"/>
      <c r="C1639" s="157"/>
      <c r="D1639" s="159"/>
      <c r="E1639" s="159"/>
      <c r="F1639" s="159"/>
      <c r="G1639" s="160"/>
      <c r="H1639" s="34" t="s">
        <v>925</v>
      </c>
    </row>
    <row r="1640" spans="1:8" ht="28.5">
      <c r="A1640" s="160" t="s">
        <v>1902</v>
      </c>
      <c r="B1640" s="160" t="s">
        <v>1685</v>
      </c>
      <c r="C1640" s="157" t="s">
        <v>3</v>
      </c>
      <c r="D1640" s="159">
        <v>1</v>
      </c>
      <c r="E1640" s="159">
        <v>477.8</v>
      </c>
      <c r="F1640" s="159"/>
      <c r="G1640" s="160" t="s">
        <v>1686</v>
      </c>
    </row>
    <row r="1641" spans="1:8" ht="33">
      <c r="A1641" s="160">
        <v>1</v>
      </c>
      <c r="B1641" s="160" t="s">
        <v>1637</v>
      </c>
      <c r="C1641" s="157" t="s">
        <v>0</v>
      </c>
      <c r="D1641" s="159">
        <v>0.02</v>
      </c>
      <c r="E1641" s="159">
        <v>3556.7</v>
      </c>
      <c r="F1641" s="159">
        <v>71.13</v>
      </c>
      <c r="G1641" s="160" t="s">
        <v>4954</v>
      </c>
      <c r="H1641" s="34" t="s">
        <v>925</v>
      </c>
    </row>
    <row r="1642" spans="1:8" ht="33">
      <c r="A1642" s="160">
        <v>2</v>
      </c>
      <c r="B1642" s="160" t="s">
        <v>1638</v>
      </c>
      <c r="C1642" s="157" t="s">
        <v>927</v>
      </c>
      <c r="D1642" s="159">
        <v>0.66</v>
      </c>
      <c r="E1642" s="159">
        <v>408.45</v>
      </c>
      <c r="F1642" s="159">
        <v>269.58</v>
      </c>
      <c r="G1642" s="160" t="s">
        <v>1639</v>
      </c>
      <c r="H1642" s="34" t="s">
        <v>925</v>
      </c>
    </row>
    <row r="1643" spans="1:8" ht="33">
      <c r="A1643" s="160">
        <v>3</v>
      </c>
      <c r="B1643" s="160" t="s">
        <v>1644</v>
      </c>
      <c r="C1643" s="157" t="s">
        <v>927</v>
      </c>
      <c r="D1643" s="159">
        <v>0.44</v>
      </c>
      <c r="E1643" s="159">
        <v>279.94</v>
      </c>
      <c r="F1643" s="159">
        <v>123.17</v>
      </c>
      <c r="G1643" s="160" t="s">
        <v>1645</v>
      </c>
      <c r="H1643" s="34" t="s">
        <v>925</v>
      </c>
    </row>
    <row r="1644" spans="1:8" ht="33">
      <c r="A1644" s="160">
        <v>4</v>
      </c>
      <c r="B1644" s="160" t="s">
        <v>955</v>
      </c>
      <c r="C1644" s="157" t="s">
        <v>14</v>
      </c>
      <c r="D1644" s="159">
        <v>1</v>
      </c>
      <c r="E1644" s="159">
        <v>13.92</v>
      </c>
      <c r="F1644" s="159">
        <v>13.92</v>
      </c>
      <c r="G1644" s="160" t="s">
        <v>956</v>
      </c>
      <c r="H1644" s="34" t="s">
        <v>925</v>
      </c>
    </row>
    <row r="1645" spans="1:8" ht="33">
      <c r="A1645" s="160"/>
      <c r="B1645" s="160" t="s">
        <v>933</v>
      </c>
      <c r="C1645" s="157" t="s">
        <v>3</v>
      </c>
      <c r="D1645" s="159">
        <v>1</v>
      </c>
      <c r="E1645" s="159"/>
      <c r="F1645" s="159">
        <v>477.8</v>
      </c>
      <c r="G1645" s="160"/>
      <c r="H1645" s="34" t="s">
        <v>925</v>
      </c>
    </row>
    <row r="1646" spans="1:8" ht="33">
      <c r="A1646" s="160"/>
      <c r="B1646" s="160" t="s">
        <v>934</v>
      </c>
      <c r="C1646" s="157" t="s">
        <v>3</v>
      </c>
      <c r="D1646" s="159"/>
      <c r="E1646" s="159"/>
      <c r="F1646" s="159">
        <v>477.8</v>
      </c>
      <c r="G1646" s="160"/>
      <c r="H1646" s="34" t="s">
        <v>925</v>
      </c>
    </row>
    <row r="1647" spans="1:8" ht="16.5">
      <c r="A1647" s="160"/>
      <c r="B1647" s="160"/>
      <c r="C1647" s="157"/>
      <c r="D1647" s="159"/>
      <c r="E1647" s="159"/>
      <c r="F1647" s="159"/>
      <c r="G1647" s="160"/>
    </row>
    <row r="1648" spans="1:8" ht="33">
      <c r="A1648" s="160" t="s">
        <v>1909</v>
      </c>
      <c r="B1648" s="160" t="s">
        <v>1688</v>
      </c>
      <c r="C1648" s="157" t="s">
        <v>1689</v>
      </c>
      <c r="D1648" s="159">
        <v>1</v>
      </c>
      <c r="E1648" s="159">
        <v>8062.18</v>
      </c>
      <c r="F1648" s="159"/>
      <c r="G1648" s="160" t="s">
        <v>1690</v>
      </c>
      <c r="H1648" s="34" t="s">
        <v>925</v>
      </c>
    </row>
    <row r="1649" spans="1:8" ht="42.75">
      <c r="A1649" s="160">
        <v>1</v>
      </c>
      <c r="B1649" s="160" t="s">
        <v>1691</v>
      </c>
      <c r="C1649" s="157" t="s">
        <v>3</v>
      </c>
      <c r="D1649" s="159">
        <v>15</v>
      </c>
      <c r="E1649" s="159">
        <v>298.87</v>
      </c>
      <c r="F1649" s="159">
        <v>4483.05</v>
      </c>
      <c r="G1649" s="160" t="s">
        <v>1692</v>
      </c>
      <c r="H1649" s="34" t="s">
        <v>925</v>
      </c>
    </row>
    <row r="1650" spans="1:8" ht="33">
      <c r="A1650" s="160">
        <v>2</v>
      </c>
      <c r="B1650" s="160" t="s">
        <v>1693</v>
      </c>
      <c r="C1650" s="157" t="s">
        <v>0</v>
      </c>
      <c r="D1650" s="159">
        <v>2.25</v>
      </c>
      <c r="E1650" s="159">
        <v>697.35</v>
      </c>
      <c r="F1650" s="159">
        <v>1569.04</v>
      </c>
      <c r="G1650" s="160" t="s">
        <v>1694</v>
      </c>
      <c r="H1650" s="34" t="s">
        <v>925</v>
      </c>
    </row>
    <row r="1651" spans="1:8" ht="42.75">
      <c r="A1651" s="160">
        <v>3</v>
      </c>
      <c r="B1651" s="160" t="s">
        <v>4942</v>
      </c>
      <c r="C1651" s="157" t="s">
        <v>927</v>
      </c>
      <c r="D1651" s="159">
        <v>2</v>
      </c>
      <c r="E1651" s="159">
        <v>408.45</v>
      </c>
      <c r="F1651" s="159">
        <v>816.9</v>
      </c>
      <c r="G1651" s="160" t="s">
        <v>4943</v>
      </c>
      <c r="H1651" s="34" t="s">
        <v>925</v>
      </c>
    </row>
    <row r="1652" spans="1:8" ht="33">
      <c r="A1652" s="160">
        <v>4</v>
      </c>
      <c r="B1652" s="160" t="s">
        <v>1695</v>
      </c>
      <c r="C1652" s="157" t="s">
        <v>927</v>
      </c>
      <c r="D1652" s="159">
        <v>2</v>
      </c>
      <c r="E1652" s="159">
        <v>279.94</v>
      </c>
      <c r="F1652" s="159">
        <v>559.88</v>
      </c>
      <c r="G1652" s="160" t="s">
        <v>1696</v>
      </c>
      <c r="H1652" s="34" t="s">
        <v>925</v>
      </c>
    </row>
    <row r="1653" spans="1:8" ht="33">
      <c r="A1653" s="160">
        <v>5</v>
      </c>
      <c r="B1653" s="160" t="s">
        <v>1697</v>
      </c>
      <c r="C1653" s="157" t="s">
        <v>14</v>
      </c>
      <c r="D1653" s="159">
        <v>1</v>
      </c>
      <c r="E1653" s="159">
        <v>398.49</v>
      </c>
      <c r="F1653" s="159">
        <v>398.49</v>
      </c>
      <c r="G1653" s="160" t="s">
        <v>1698</v>
      </c>
      <c r="H1653" s="34" t="s">
        <v>925</v>
      </c>
    </row>
    <row r="1654" spans="1:8" ht="28.5">
      <c r="A1654" s="160">
        <v>6</v>
      </c>
      <c r="B1654" s="160" t="s">
        <v>931</v>
      </c>
      <c r="C1654" s="157" t="s">
        <v>14</v>
      </c>
      <c r="D1654" s="159">
        <v>1</v>
      </c>
      <c r="E1654" s="159">
        <v>234.82</v>
      </c>
      <c r="F1654" s="159">
        <v>234.82</v>
      </c>
      <c r="G1654" s="160" t="s">
        <v>932</v>
      </c>
    </row>
    <row r="1655" spans="1:8" ht="33">
      <c r="A1655" s="160"/>
      <c r="B1655" s="160" t="s">
        <v>933</v>
      </c>
      <c r="C1655" s="157" t="s">
        <v>1689</v>
      </c>
      <c r="D1655" s="159">
        <v>1</v>
      </c>
      <c r="E1655" s="159"/>
      <c r="F1655" s="159">
        <v>8062.1799999999994</v>
      </c>
      <c r="G1655" s="160"/>
      <c r="H1655" s="34" t="s">
        <v>925</v>
      </c>
    </row>
    <row r="1656" spans="1:8" ht="33">
      <c r="A1656" s="160"/>
      <c r="B1656" s="160" t="s">
        <v>934</v>
      </c>
      <c r="C1656" s="157" t="s">
        <v>1689</v>
      </c>
      <c r="D1656" s="159"/>
      <c r="E1656" s="159"/>
      <c r="F1656" s="159">
        <v>8062.18</v>
      </c>
      <c r="G1656" s="160"/>
      <c r="H1656" s="34" t="s">
        <v>925</v>
      </c>
    </row>
    <row r="1657" spans="1:8" ht="33">
      <c r="A1657" s="160"/>
      <c r="B1657" s="160"/>
      <c r="C1657" s="157"/>
      <c r="D1657" s="159"/>
      <c r="E1657" s="159"/>
      <c r="F1657" s="159"/>
      <c r="G1657" s="160"/>
      <c r="H1657" s="34" t="s">
        <v>925</v>
      </c>
    </row>
    <row r="1658" spans="1:8" ht="33">
      <c r="A1658" s="160" t="s">
        <v>1916</v>
      </c>
      <c r="B1658" s="160" t="s">
        <v>1700</v>
      </c>
      <c r="C1658" s="157" t="s">
        <v>17</v>
      </c>
      <c r="D1658" s="159">
        <v>1</v>
      </c>
      <c r="E1658" s="159">
        <v>1616.37</v>
      </c>
      <c r="F1658" s="159"/>
      <c r="G1658" s="160" t="s">
        <v>1701</v>
      </c>
      <c r="H1658" s="34" t="s">
        <v>925</v>
      </c>
    </row>
    <row r="1659" spans="1:8" ht="33">
      <c r="A1659" s="160">
        <v>1</v>
      </c>
      <c r="B1659" s="160" t="s">
        <v>1702</v>
      </c>
      <c r="C1659" s="157" t="s">
        <v>17</v>
      </c>
      <c r="D1659" s="159">
        <v>1</v>
      </c>
      <c r="E1659" s="159">
        <v>1394.71</v>
      </c>
      <c r="F1659" s="159">
        <v>1394.71</v>
      </c>
      <c r="G1659" s="160" t="s">
        <v>1703</v>
      </c>
      <c r="H1659" s="34" t="s">
        <v>925</v>
      </c>
    </row>
    <row r="1660" spans="1:8" ht="33">
      <c r="A1660" s="160">
        <v>2</v>
      </c>
      <c r="B1660" s="160" t="s">
        <v>1649</v>
      </c>
      <c r="C1660" s="157" t="s">
        <v>0</v>
      </c>
      <c r="D1660" s="159">
        <v>0.02</v>
      </c>
      <c r="E1660" s="159">
        <v>3747.98</v>
      </c>
      <c r="F1660" s="159">
        <v>74.959999999999994</v>
      </c>
      <c r="G1660" s="160" t="s">
        <v>4956</v>
      </c>
      <c r="H1660" s="34" t="s">
        <v>925</v>
      </c>
    </row>
    <row r="1661" spans="1:8" ht="28.5">
      <c r="A1661" s="160">
        <v>3</v>
      </c>
      <c r="B1661" s="160" t="s">
        <v>1704</v>
      </c>
      <c r="C1661" s="157" t="s">
        <v>14</v>
      </c>
      <c r="D1661" s="159">
        <v>1</v>
      </c>
      <c r="E1661" s="159">
        <v>99.62</v>
      </c>
      <c r="F1661" s="159">
        <v>99.62</v>
      </c>
      <c r="G1661" s="160" t="s">
        <v>1705</v>
      </c>
    </row>
    <row r="1662" spans="1:8" ht="33">
      <c r="A1662" s="160">
        <v>4</v>
      </c>
      <c r="B1662" s="160" t="s">
        <v>931</v>
      </c>
      <c r="C1662" s="157" t="s">
        <v>14</v>
      </c>
      <c r="D1662" s="159">
        <v>1</v>
      </c>
      <c r="E1662" s="159">
        <v>47.08</v>
      </c>
      <c r="F1662" s="159">
        <v>47.08</v>
      </c>
      <c r="G1662" s="160" t="s">
        <v>932</v>
      </c>
      <c r="H1662" s="34" t="s">
        <v>925</v>
      </c>
    </row>
    <row r="1663" spans="1:8" ht="33">
      <c r="A1663" s="160"/>
      <c r="B1663" s="160" t="s">
        <v>933</v>
      </c>
      <c r="C1663" s="157" t="s">
        <v>17</v>
      </c>
      <c r="D1663" s="159">
        <v>1</v>
      </c>
      <c r="E1663" s="159"/>
      <c r="F1663" s="159">
        <v>1616.37</v>
      </c>
      <c r="G1663" s="160"/>
      <c r="H1663" s="34" t="s">
        <v>925</v>
      </c>
    </row>
    <row r="1664" spans="1:8" ht="33">
      <c r="A1664" s="160"/>
      <c r="B1664" s="160" t="s">
        <v>934</v>
      </c>
      <c r="C1664" s="157" t="s">
        <v>17</v>
      </c>
      <c r="D1664" s="159"/>
      <c r="E1664" s="159"/>
      <c r="F1664" s="159">
        <v>1616.37</v>
      </c>
      <c r="G1664" s="160"/>
      <c r="H1664" s="34" t="s">
        <v>925</v>
      </c>
    </row>
    <row r="1665" spans="1:8" ht="33">
      <c r="A1665" s="160"/>
      <c r="B1665" s="160"/>
      <c r="C1665" s="157"/>
      <c r="D1665" s="159"/>
      <c r="E1665" s="159"/>
      <c r="F1665" s="159"/>
      <c r="G1665" s="160"/>
      <c r="H1665" s="34" t="s">
        <v>925</v>
      </c>
    </row>
    <row r="1666" spans="1:8" ht="33">
      <c r="A1666" s="160" t="s">
        <v>1923</v>
      </c>
      <c r="B1666" s="160" t="s">
        <v>1697</v>
      </c>
      <c r="C1666" s="157" t="s">
        <v>15</v>
      </c>
      <c r="D1666" s="159">
        <v>1</v>
      </c>
      <c r="E1666" s="159">
        <v>1425.67</v>
      </c>
      <c r="F1666" s="159"/>
      <c r="G1666" s="160" t="s">
        <v>1707</v>
      </c>
      <c r="H1666" s="34" t="s">
        <v>925</v>
      </c>
    </row>
    <row r="1667" spans="1:8" ht="33">
      <c r="A1667" s="160">
        <v>1</v>
      </c>
      <c r="B1667" s="160" t="s">
        <v>1708</v>
      </c>
      <c r="C1667" s="157" t="s">
        <v>1121</v>
      </c>
      <c r="D1667" s="159">
        <v>1.1000000000000001</v>
      </c>
      <c r="E1667" s="159">
        <v>647.54</v>
      </c>
      <c r="F1667" s="159">
        <v>712.29</v>
      </c>
      <c r="G1667" s="160" t="s">
        <v>1709</v>
      </c>
      <c r="H1667" s="34" t="s">
        <v>925</v>
      </c>
    </row>
    <row r="1668" spans="1:8" ht="28.5">
      <c r="A1668" s="160">
        <v>2</v>
      </c>
      <c r="B1668" s="160" t="s">
        <v>4871</v>
      </c>
      <c r="C1668" s="157" t="s">
        <v>927</v>
      </c>
      <c r="D1668" s="159">
        <v>2.4</v>
      </c>
      <c r="E1668" s="159">
        <v>279.94</v>
      </c>
      <c r="F1668" s="159">
        <v>671.86</v>
      </c>
      <c r="G1668" s="160" t="s">
        <v>4872</v>
      </c>
    </row>
    <row r="1669" spans="1:8" ht="33">
      <c r="A1669" s="160">
        <v>3</v>
      </c>
      <c r="B1669" s="160" t="s">
        <v>931</v>
      </c>
      <c r="C1669" s="157" t="s">
        <v>14</v>
      </c>
      <c r="D1669" s="159">
        <v>1</v>
      </c>
      <c r="E1669" s="159">
        <v>41.52</v>
      </c>
      <c r="F1669" s="159">
        <v>41.52</v>
      </c>
      <c r="G1669" s="160" t="s">
        <v>932</v>
      </c>
      <c r="H1669" s="34" t="s">
        <v>925</v>
      </c>
    </row>
    <row r="1670" spans="1:8" ht="33">
      <c r="A1670" s="160"/>
      <c r="B1670" s="160" t="s">
        <v>933</v>
      </c>
      <c r="C1670" s="157" t="s">
        <v>15</v>
      </c>
      <c r="D1670" s="159">
        <v>1</v>
      </c>
      <c r="E1670" s="159"/>
      <c r="F1670" s="159">
        <v>1425.67</v>
      </c>
      <c r="G1670" s="160"/>
      <c r="H1670" s="34" t="s">
        <v>925</v>
      </c>
    </row>
    <row r="1671" spans="1:8" ht="33">
      <c r="A1671" s="160"/>
      <c r="B1671" s="160" t="s">
        <v>934</v>
      </c>
      <c r="C1671" s="157" t="s">
        <v>15</v>
      </c>
      <c r="D1671" s="159"/>
      <c r="E1671" s="159"/>
      <c r="F1671" s="159">
        <v>1425.67</v>
      </c>
      <c r="G1671" s="160"/>
      <c r="H1671" s="34" t="s">
        <v>925</v>
      </c>
    </row>
    <row r="1672" spans="1:8" ht="33">
      <c r="A1672" s="160"/>
      <c r="B1672" s="160"/>
      <c r="C1672" s="157"/>
      <c r="D1672" s="159"/>
      <c r="E1672" s="159"/>
      <c r="F1672" s="159"/>
      <c r="G1672" s="160"/>
      <c r="H1672" s="34" t="s">
        <v>925</v>
      </c>
    </row>
    <row r="1673" spans="1:8" ht="33">
      <c r="A1673" s="160" t="s">
        <v>1930</v>
      </c>
      <c r="B1673" s="160" t="s">
        <v>1711</v>
      </c>
      <c r="C1673" s="157" t="s">
        <v>3</v>
      </c>
      <c r="D1673" s="159">
        <v>1</v>
      </c>
      <c r="E1673" s="159">
        <v>1648.41</v>
      </c>
      <c r="F1673" s="159"/>
      <c r="G1673" s="160" t="s">
        <v>1712</v>
      </c>
      <c r="H1673" s="34" t="s">
        <v>925</v>
      </c>
    </row>
    <row r="1674" spans="1:8" ht="33">
      <c r="A1674" s="160">
        <v>1</v>
      </c>
      <c r="B1674" s="160" t="s">
        <v>1713</v>
      </c>
      <c r="C1674" s="157" t="s">
        <v>0</v>
      </c>
      <c r="D1674" s="159">
        <v>0.06</v>
      </c>
      <c r="E1674" s="159">
        <v>2458.0500000000002</v>
      </c>
      <c r="F1674" s="159">
        <v>147.47999999999999</v>
      </c>
      <c r="G1674" s="160" t="s">
        <v>4959</v>
      </c>
      <c r="H1674" s="34" t="s">
        <v>925</v>
      </c>
    </row>
    <row r="1675" spans="1:8" ht="28.5">
      <c r="A1675" s="160">
        <v>2</v>
      </c>
      <c r="B1675" s="160" t="s">
        <v>1714</v>
      </c>
      <c r="C1675" s="157" t="s">
        <v>3</v>
      </c>
      <c r="D1675" s="159">
        <v>2</v>
      </c>
      <c r="E1675" s="159">
        <v>417.34</v>
      </c>
      <c r="F1675" s="159">
        <v>834.68</v>
      </c>
      <c r="G1675" s="160" t="s">
        <v>4960</v>
      </c>
    </row>
    <row r="1676" spans="1:8" ht="33">
      <c r="A1676" s="160">
        <v>3</v>
      </c>
      <c r="B1676" s="160" t="s">
        <v>4871</v>
      </c>
      <c r="C1676" s="157" t="s">
        <v>927</v>
      </c>
      <c r="D1676" s="159">
        <v>0.48</v>
      </c>
      <c r="E1676" s="159">
        <v>279.94</v>
      </c>
      <c r="F1676" s="159">
        <v>134.37</v>
      </c>
      <c r="G1676" s="160" t="s">
        <v>4872</v>
      </c>
      <c r="H1676" s="34" t="s">
        <v>925</v>
      </c>
    </row>
    <row r="1677" spans="1:8" ht="33">
      <c r="A1677" s="160">
        <v>4</v>
      </c>
      <c r="B1677" s="160" t="s">
        <v>1715</v>
      </c>
      <c r="C1677" s="157" t="s">
        <v>14</v>
      </c>
      <c r="D1677" s="159">
        <v>1</v>
      </c>
      <c r="E1677" s="159">
        <v>119.55</v>
      </c>
      <c r="F1677" s="159">
        <v>119.55</v>
      </c>
      <c r="G1677" s="160" t="s">
        <v>1716</v>
      </c>
      <c r="H1677" s="34" t="s">
        <v>925</v>
      </c>
    </row>
    <row r="1678" spans="1:8" ht="33">
      <c r="A1678" s="160">
        <v>5</v>
      </c>
      <c r="B1678" s="160" t="s">
        <v>1717</v>
      </c>
      <c r="C1678" s="157" t="s">
        <v>14</v>
      </c>
      <c r="D1678" s="159">
        <v>1</v>
      </c>
      <c r="E1678" s="159">
        <v>29.89</v>
      </c>
      <c r="F1678" s="159">
        <v>29.89</v>
      </c>
      <c r="G1678" s="160" t="s">
        <v>1718</v>
      </c>
      <c r="H1678" s="34" t="s">
        <v>925</v>
      </c>
    </row>
    <row r="1679" spans="1:8" ht="33">
      <c r="A1679" s="160">
        <v>6</v>
      </c>
      <c r="B1679" s="160" t="s">
        <v>1719</v>
      </c>
      <c r="C1679" s="157" t="s">
        <v>1497</v>
      </c>
      <c r="D1679" s="159">
        <v>1</v>
      </c>
      <c r="E1679" s="159">
        <v>55.49</v>
      </c>
      <c r="F1679" s="159">
        <v>55.49</v>
      </c>
      <c r="G1679" s="160" t="s">
        <v>4961</v>
      </c>
      <c r="H1679" s="34" t="s">
        <v>925</v>
      </c>
    </row>
    <row r="1680" spans="1:8" ht="33">
      <c r="A1680" s="160">
        <v>7</v>
      </c>
      <c r="B1680" s="160" t="s">
        <v>1720</v>
      </c>
      <c r="C1680" s="157" t="s">
        <v>3</v>
      </c>
      <c r="D1680" s="159">
        <v>1</v>
      </c>
      <c r="E1680" s="159">
        <v>249.05</v>
      </c>
      <c r="F1680" s="159">
        <v>249.05</v>
      </c>
      <c r="G1680" s="160" t="s">
        <v>1721</v>
      </c>
      <c r="H1680" s="34" t="s">
        <v>925</v>
      </c>
    </row>
    <row r="1681" spans="1:8" ht="33">
      <c r="A1681" s="160">
        <v>8</v>
      </c>
      <c r="B1681" s="160" t="s">
        <v>1672</v>
      </c>
      <c r="C1681" s="157" t="s">
        <v>14</v>
      </c>
      <c r="D1681" s="159">
        <v>1</v>
      </c>
      <c r="E1681" s="159">
        <v>29.89</v>
      </c>
      <c r="F1681" s="159">
        <v>29.89</v>
      </c>
      <c r="G1681" s="160" t="s">
        <v>1673</v>
      </c>
      <c r="H1681" s="34" t="s">
        <v>925</v>
      </c>
    </row>
    <row r="1682" spans="1:8" ht="28.5">
      <c r="A1682" s="160">
        <v>9</v>
      </c>
      <c r="B1682" s="160" t="s">
        <v>931</v>
      </c>
      <c r="C1682" s="157" t="s">
        <v>14</v>
      </c>
      <c r="D1682" s="159">
        <v>1</v>
      </c>
      <c r="E1682" s="159">
        <v>48.01</v>
      </c>
      <c r="F1682" s="159">
        <v>48.01</v>
      </c>
      <c r="G1682" s="160" t="s">
        <v>932</v>
      </c>
    </row>
    <row r="1683" spans="1:8" ht="33">
      <c r="A1683" s="160"/>
      <c r="B1683" s="160" t="s">
        <v>933</v>
      </c>
      <c r="C1683" s="157" t="s">
        <v>3</v>
      </c>
      <c r="D1683" s="159">
        <v>1</v>
      </c>
      <c r="E1683" s="159"/>
      <c r="F1683" s="159">
        <v>1648.41</v>
      </c>
      <c r="G1683" s="160"/>
      <c r="H1683" s="34" t="s">
        <v>925</v>
      </c>
    </row>
    <row r="1684" spans="1:8" ht="33">
      <c r="A1684" s="160"/>
      <c r="B1684" s="160" t="s">
        <v>934</v>
      </c>
      <c r="C1684" s="157" t="s">
        <v>3</v>
      </c>
      <c r="D1684" s="159"/>
      <c r="E1684" s="159"/>
      <c r="F1684" s="159">
        <v>1648.41</v>
      </c>
      <c r="G1684" s="160"/>
      <c r="H1684" s="34" t="s">
        <v>925</v>
      </c>
    </row>
    <row r="1685" spans="1:8" ht="33">
      <c r="A1685" s="160"/>
      <c r="B1685" s="160"/>
      <c r="C1685" s="157"/>
      <c r="D1685" s="159"/>
      <c r="E1685" s="159"/>
      <c r="F1685" s="159"/>
      <c r="G1685" s="160"/>
      <c r="H1685" s="34" t="s">
        <v>925</v>
      </c>
    </row>
    <row r="1686" spans="1:8" ht="33">
      <c r="A1686" s="160" t="s">
        <v>1937</v>
      </c>
      <c r="B1686" s="160" t="s">
        <v>1713</v>
      </c>
      <c r="C1686" s="157" t="s">
        <v>0</v>
      </c>
      <c r="D1686" s="159">
        <v>1</v>
      </c>
      <c r="E1686" s="159">
        <v>2458.0500000000002</v>
      </c>
      <c r="F1686" s="159"/>
      <c r="G1686" s="160" t="s">
        <v>1723</v>
      </c>
      <c r="H1686" s="34" t="s">
        <v>925</v>
      </c>
    </row>
    <row r="1687" spans="1:8" ht="33">
      <c r="A1687" s="160">
        <v>1</v>
      </c>
      <c r="B1687" s="160" t="s">
        <v>1294</v>
      </c>
      <c r="C1687" s="157" t="s">
        <v>1295</v>
      </c>
      <c r="D1687" s="159">
        <v>8.5</v>
      </c>
      <c r="E1687" s="159">
        <v>166.37</v>
      </c>
      <c r="F1687" s="159">
        <v>1414.15</v>
      </c>
      <c r="G1687" s="160" t="s">
        <v>1296</v>
      </c>
      <c r="H1687" s="34" t="s">
        <v>925</v>
      </c>
    </row>
    <row r="1688" spans="1:8" ht="33">
      <c r="A1688" s="160">
        <v>2</v>
      </c>
      <c r="B1688" s="160" t="s">
        <v>1297</v>
      </c>
      <c r="C1688" s="157" t="s">
        <v>1121</v>
      </c>
      <c r="D1688" s="159">
        <v>0.2</v>
      </c>
      <c r="E1688" s="159">
        <v>712.3</v>
      </c>
      <c r="F1688" s="159">
        <v>142.46</v>
      </c>
      <c r="G1688" s="160" t="s">
        <v>1298</v>
      </c>
      <c r="H1688" s="34" t="s">
        <v>925</v>
      </c>
    </row>
    <row r="1689" spans="1:8" ht="28.5">
      <c r="A1689" s="160">
        <v>3</v>
      </c>
      <c r="B1689" s="160" t="s">
        <v>1299</v>
      </c>
      <c r="C1689" s="157" t="s">
        <v>1121</v>
      </c>
      <c r="D1689" s="159">
        <v>1</v>
      </c>
      <c r="E1689" s="159">
        <v>725.25</v>
      </c>
      <c r="F1689" s="159">
        <v>725.25</v>
      </c>
      <c r="G1689" s="160" t="s">
        <v>1300</v>
      </c>
    </row>
    <row r="1690" spans="1:8" ht="33">
      <c r="A1690" s="160">
        <v>4</v>
      </c>
      <c r="B1690" s="160" t="s">
        <v>1724</v>
      </c>
      <c r="C1690" s="157" t="s">
        <v>14</v>
      </c>
      <c r="D1690" s="159">
        <v>1</v>
      </c>
      <c r="E1690" s="159">
        <v>89.66</v>
      </c>
      <c r="F1690" s="159">
        <v>89.66</v>
      </c>
      <c r="G1690" s="160" t="s">
        <v>1725</v>
      </c>
      <c r="H1690" s="34" t="s">
        <v>925</v>
      </c>
    </row>
    <row r="1691" spans="1:8" ht="33">
      <c r="A1691" s="160">
        <v>5</v>
      </c>
      <c r="B1691" s="160" t="s">
        <v>1726</v>
      </c>
      <c r="C1691" s="157" t="s">
        <v>0</v>
      </c>
      <c r="D1691" s="159">
        <v>1</v>
      </c>
      <c r="E1691" s="159">
        <v>14.94</v>
      </c>
      <c r="F1691" s="159">
        <v>14.94</v>
      </c>
      <c r="G1691" s="160" t="s">
        <v>1727</v>
      </c>
      <c r="H1691" s="34" t="s">
        <v>925</v>
      </c>
    </row>
    <row r="1692" spans="1:8" ht="33">
      <c r="A1692" s="160">
        <v>6</v>
      </c>
      <c r="B1692" s="160" t="s">
        <v>931</v>
      </c>
      <c r="C1692" s="157" t="s">
        <v>14</v>
      </c>
      <c r="D1692" s="159">
        <v>1</v>
      </c>
      <c r="E1692" s="159">
        <v>71.59</v>
      </c>
      <c r="F1692" s="159">
        <v>71.59</v>
      </c>
      <c r="G1692" s="160" t="s">
        <v>932</v>
      </c>
      <c r="H1692" s="34" t="s">
        <v>925</v>
      </c>
    </row>
    <row r="1693" spans="1:8" ht="33">
      <c r="A1693" s="160"/>
      <c r="B1693" s="160" t="s">
        <v>933</v>
      </c>
      <c r="C1693" s="157" t="s">
        <v>0</v>
      </c>
      <c r="D1693" s="159">
        <v>1</v>
      </c>
      <c r="E1693" s="159"/>
      <c r="F1693" s="159">
        <v>2458.0500000000002</v>
      </c>
      <c r="G1693" s="160"/>
      <c r="H1693" s="34" t="s">
        <v>925</v>
      </c>
    </row>
    <row r="1694" spans="1:8" ht="33">
      <c r="A1694" s="160"/>
      <c r="B1694" s="160" t="s">
        <v>934</v>
      </c>
      <c r="C1694" s="157" t="s">
        <v>0</v>
      </c>
      <c r="D1694" s="159"/>
      <c r="E1694" s="159"/>
      <c r="F1694" s="159">
        <v>2458.0500000000002</v>
      </c>
      <c r="G1694" s="160"/>
      <c r="H1694" s="34" t="s">
        <v>925</v>
      </c>
    </row>
    <row r="1695" spans="1:8" ht="33">
      <c r="A1695" s="160"/>
      <c r="B1695" s="160"/>
      <c r="C1695" s="157"/>
      <c r="D1695" s="159"/>
      <c r="E1695" s="159"/>
      <c r="F1695" s="159"/>
      <c r="G1695" s="160"/>
      <c r="H1695" s="34" t="s">
        <v>925</v>
      </c>
    </row>
    <row r="1696" spans="1:8" ht="28.5">
      <c r="A1696" s="160" t="s">
        <v>1944</v>
      </c>
      <c r="B1696" s="160" t="s">
        <v>1714</v>
      </c>
      <c r="C1696" s="157" t="s">
        <v>3</v>
      </c>
      <c r="D1696" s="159">
        <v>100</v>
      </c>
      <c r="E1696" s="159">
        <v>417.34</v>
      </c>
      <c r="F1696" s="159"/>
      <c r="G1696" s="160" t="s">
        <v>1729</v>
      </c>
    </row>
    <row r="1697" spans="1:8" ht="33">
      <c r="A1697" s="160">
        <v>1</v>
      </c>
      <c r="B1697" s="160" t="s">
        <v>1730</v>
      </c>
      <c r="C1697" s="157" t="s">
        <v>927</v>
      </c>
      <c r="D1697" s="159">
        <v>8</v>
      </c>
      <c r="E1697" s="159">
        <v>448.3</v>
      </c>
      <c r="F1697" s="159">
        <v>3586.4</v>
      </c>
      <c r="G1697" s="160" t="s">
        <v>1731</v>
      </c>
      <c r="H1697" s="34" t="s">
        <v>925</v>
      </c>
    </row>
    <row r="1698" spans="1:8" ht="33">
      <c r="A1698" s="160">
        <v>2</v>
      </c>
      <c r="B1698" s="160" t="s">
        <v>1732</v>
      </c>
      <c r="C1698" s="157" t="s">
        <v>927</v>
      </c>
      <c r="D1698" s="159">
        <v>8</v>
      </c>
      <c r="E1698" s="159">
        <v>996.22</v>
      </c>
      <c r="F1698" s="159">
        <v>7969.76</v>
      </c>
      <c r="G1698" s="160" t="s">
        <v>1733</v>
      </c>
      <c r="H1698" s="34" t="s">
        <v>925</v>
      </c>
    </row>
    <row r="1699" spans="1:8" ht="33">
      <c r="A1699" s="160">
        <v>3</v>
      </c>
      <c r="B1699" s="160" t="s">
        <v>1734</v>
      </c>
      <c r="C1699" s="157" t="s">
        <v>927</v>
      </c>
      <c r="D1699" s="159">
        <v>8</v>
      </c>
      <c r="E1699" s="159">
        <v>298.87</v>
      </c>
      <c r="F1699" s="159">
        <v>2390.96</v>
      </c>
      <c r="G1699" s="160" t="s">
        <v>1735</v>
      </c>
      <c r="H1699" s="34" t="s">
        <v>925</v>
      </c>
    </row>
    <row r="1700" spans="1:8" ht="33">
      <c r="A1700" s="160">
        <v>4</v>
      </c>
      <c r="B1700" s="160" t="s">
        <v>1736</v>
      </c>
      <c r="C1700" s="157" t="s">
        <v>927</v>
      </c>
      <c r="D1700" s="159">
        <v>8</v>
      </c>
      <c r="E1700" s="159">
        <v>498.11</v>
      </c>
      <c r="F1700" s="159">
        <v>3984.88</v>
      </c>
      <c r="G1700" s="160" t="s">
        <v>1737</v>
      </c>
      <c r="H1700" s="34" t="s">
        <v>925</v>
      </c>
    </row>
    <row r="1701" spans="1:8" ht="33">
      <c r="A1701" s="160">
        <v>5</v>
      </c>
      <c r="B1701" s="160" t="s">
        <v>1127</v>
      </c>
      <c r="C1701" s="157" t="s">
        <v>927</v>
      </c>
      <c r="D1701" s="159">
        <v>8</v>
      </c>
      <c r="E1701" s="159">
        <v>455.27</v>
      </c>
      <c r="F1701" s="159">
        <v>3642.16</v>
      </c>
      <c r="G1701" s="160" t="s">
        <v>1128</v>
      </c>
      <c r="H1701" s="34" t="s">
        <v>925</v>
      </c>
    </row>
    <row r="1702" spans="1:8" ht="33">
      <c r="A1702" s="160">
        <v>6</v>
      </c>
      <c r="B1702" s="160" t="s">
        <v>1738</v>
      </c>
      <c r="C1702" s="157" t="s">
        <v>927</v>
      </c>
      <c r="D1702" s="159">
        <v>8</v>
      </c>
      <c r="E1702" s="159">
        <v>408.45</v>
      </c>
      <c r="F1702" s="159">
        <v>3267.6</v>
      </c>
      <c r="G1702" s="160" t="s">
        <v>1739</v>
      </c>
      <c r="H1702" s="34" t="s">
        <v>925</v>
      </c>
    </row>
    <row r="1703" spans="1:8" ht="28.5">
      <c r="A1703" s="160">
        <v>7</v>
      </c>
      <c r="B1703" s="160" t="s">
        <v>4871</v>
      </c>
      <c r="C1703" s="157" t="s">
        <v>927</v>
      </c>
      <c r="D1703" s="159">
        <v>56</v>
      </c>
      <c r="E1703" s="159">
        <v>279.94</v>
      </c>
      <c r="F1703" s="159">
        <v>15676.64</v>
      </c>
      <c r="G1703" s="160" t="s">
        <v>4872</v>
      </c>
    </row>
    <row r="1704" spans="1:8" ht="33">
      <c r="A1704" s="160">
        <v>8</v>
      </c>
      <c r="B1704" s="160" t="s">
        <v>931</v>
      </c>
      <c r="C1704" s="157" t="s">
        <v>14</v>
      </c>
      <c r="D1704" s="159">
        <v>1</v>
      </c>
      <c r="E1704" s="159">
        <v>1215.55</v>
      </c>
      <c r="F1704" s="159">
        <v>1215.55</v>
      </c>
      <c r="G1704" s="160" t="s">
        <v>932</v>
      </c>
      <c r="H1704" s="34" t="s">
        <v>925</v>
      </c>
    </row>
    <row r="1705" spans="1:8" ht="33">
      <c r="A1705" s="160"/>
      <c r="B1705" s="160" t="s">
        <v>933</v>
      </c>
      <c r="C1705" s="157" t="s">
        <v>3</v>
      </c>
      <c r="D1705" s="159">
        <v>100</v>
      </c>
      <c r="E1705" s="159"/>
      <c r="F1705" s="159">
        <v>41733.949999999997</v>
      </c>
      <c r="G1705" s="160"/>
      <c r="H1705" s="34" t="s">
        <v>925</v>
      </c>
    </row>
    <row r="1706" spans="1:8" ht="33">
      <c r="A1706" s="160"/>
      <c r="B1706" s="160" t="s">
        <v>934</v>
      </c>
      <c r="C1706" s="157" t="s">
        <v>3</v>
      </c>
      <c r="D1706" s="159"/>
      <c r="E1706" s="159"/>
      <c r="F1706" s="159">
        <v>417.34</v>
      </c>
      <c r="G1706" s="160"/>
      <c r="H1706" s="34" t="s">
        <v>925</v>
      </c>
    </row>
    <row r="1707" spans="1:8" ht="33">
      <c r="A1707" s="160"/>
      <c r="B1707" s="160"/>
      <c r="C1707" s="157"/>
      <c r="D1707" s="159"/>
      <c r="E1707" s="159"/>
      <c r="F1707" s="159"/>
      <c r="G1707" s="160"/>
      <c r="H1707" s="34" t="s">
        <v>925</v>
      </c>
    </row>
    <row r="1708" spans="1:8" ht="33">
      <c r="A1708" s="160" t="s">
        <v>1951</v>
      </c>
      <c r="B1708" s="160" t="s">
        <v>1719</v>
      </c>
      <c r="C1708" s="157" t="s">
        <v>1497</v>
      </c>
      <c r="D1708" s="159">
        <v>10</v>
      </c>
      <c r="E1708" s="159">
        <v>55.49</v>
      </c>
      <c r="F1708" s="159"/>
      <c r="G1708" s="160" t="s">
        <v>1741</v>
      </c>
      <c r="H1708" s="34" t="s">
        <v>925</v>
      </c>
    </row>
    <row r="1709" spans="1:8" ht="33">
      <c r="A1709" s="160">
        <v>1</v>
      </c>
      <c r="B1709" s="160" t="s">
        <v>1742</v>
      </c>
      <c r="C1709" s="157" t="s">
        <v>1497</v>
      </c>
      <c r="D1709" s="159">
        <v>10</v>
      </c>
      <c r="E1709" s="159">
        <v>29.89</v>
      </c>
      <c r="F1709" s="159">
        <v>298.89999999999998</v>
      </c>
      <c r="G1709" s="160" t="s">
        <v>1743</v>
      </c>
      <c r="H1709" s="34" t="s">
        <v>925</v>
      </c>
    </row>
    <row r="1710" spans="1:8" ht="28.5">
      <c r="A1710" s="160">
        <v>2</v>
      </c>
      <c r="B1710" s="160" t="s">
        <v>1744</v>
      </c>
      <c r="C1710" s="157" t="s">
        <v>18</v>
      </c>
      <c r="D1710" s="159">
        <v>11</v>
      </c>
      <c r="E1710" s="159">
        <v>21.01</v>
      </c>
      <c r="F1710" s="159">
        <v>231.11</v>
      </c>
      <c r="G1710" s="160" t="s">
        <v>1745</v>
      </c>
    </row>
    <row r="1711" spans="1:8" ht="33">
      <c r="A1711" s="160">
        <v>3</v>
      </c>
      <c r="B1711" s="160" t="s">
        <v>1746</v>
      </c>
      <c r="C1711" s="157" t="s">
        <v>0</v>
      </c>
      <c r="D1711" s="159">
        <v>0.03</v>
      </c>
      <c r="E1711" s="159">
        <v>9.9600000000000009</v>
      </c>
      <c r="F1711" s="159">
        <v>0.3</v>
      </c>
      <c r="G1711" s="160" t="s">
        <v>1747</v>
      </c>
      <c r="H1711" s="34" t="s">
        <v>925</v>
      </c>
    </row>
    <row r="1712" spans="1:8" ht="33">
      <c r="A1712" s="160">
        <v>4</v>
      </c>
      <c r="B1712" s="160" t="s">
        <v>1748</v>
      </c>
      <c r="C1712" s="157" t="s">
        <v>1497</v>
      </c>
      <c r="D1712" s="159">
        <v>1</v>
      </c>
      <c r="E1712" s="159">
        <v>8.4700000000000006</v>
      </c>
      <c r="F1712" s="159">
        <v>8.4700000000000006</v>
      </c>
      <c r="G1712" s="160" t="s">
        <v>1749</v>
      </c>
      <c r="H1712" s="34" t="s">
        <v>925</v>
      </c>
    </row>
    <row r="1713" spans="1:8" ht="33">
      <c r="A1713" s="160">
        <v>5</v>
      </c>
      <c r="B1713" s="160" t="s">
        <v>931</v>
      </c>
      <c r="C1713" s="157" t="s">
        <v>14</v>
      </c>
      <c r="D1713" s="159">
        <v>1</v>
      </c>
      <c r="E1713" s="159">
        <v>16.16</v>
      </c>
      <c r="F1713" s="159">
        <v>16.16</v>
      </c>
      <c r="G1713" s="160" t="s">
        <v>932</v>
      </c>
      <c r="H1713" s="34" t="s">
        <v>925</v>
      </c>
    </row>
    <row r="1714" spans="1:8" ht="33">
      <c r="A1714" s="160"/>
      <c r="B1714" s="160" t="s">
        <v>933</v>
      </c>
      <c r="C1714" s="157" t="s">
        <v>1497</v>
      </c>
      <c r="D1714" s="159">
        <v>10</v>
      </c>
      <c r="E1714" s="159"/>
      <c r="F1714" s="159">
        <v>554.93999999999994</v>
      </c>
      <c r="G1714" s="160"/>
      <c r="H1714" s="34" t="s">
        <v>925</v>
      </c>
    </row>
    <row r="1715" spans="1:8" ht="33">
      <c r="A1715" s="160"/>
      <c r="B1715" s="160" t="s">
        <v>934</v>
      </c>
      <c r="C1715" s="157" t="s">
        <v>1497</v>
      </c>
      <c r="D1715" s="159"/>
      <c r="E1715" s="159"/>
      <c r="F1715" s="159">
        <v>55.49</v>
      </c>
      <c r="G1715" s="160"/>
      <c r="H1715" s="34" t="s">
        <v>925</v>
      </c>
    </row>
    <row r="1716" spans="1:8" ht="33">
      <c r="A1716" s="160"/>
      <c r="B1716" s="160"/>
      <c r="C1716" s="157"/>
      <c r="D1716" s="159"/>
      <c r="E1716" s="159"/>
      <c r="F1716" s="159"/>
      <c r="G1716" s="160"/>
      <c r="H1716" s="34" t="s">
        <v>925</v>
      </c>
    </row>
    <row r="1717" spans="1:8" ht="28.5">
      <c r="A1717" s="160" t="s">
        <v>1958</v>
      </c>
      <c r="B1717" s="160" t="s">
        <v>1751</v>
      </c>
      <c r="C1717" s="157" t="s">
        <v>3</v>
      </c>
      <c r="D1717" s="159">
        <v>1</v>
      </c>
      <c r="E1717" s="159">
        <v>5595.14</v>
      </c>
      <c r="F1717" s="159"/>
      <c r="G1717" s="160" t="s">
        <v>1752</v>
      </c>
    </row>
    <row r="1718" spans="1:8" ht="42.75">
      <c r="A1718" s="160">
        <v>1</v>
      </c>
      <c r="B1718" s="160" t="s">
        <v>1753</v>
      </c>
      <c r="C1718" s="157" t="s">
        <v>0</v>
      </c>
      <c r="D1718" s="159">
        <v>0.1</v>
      </c>
      <c r="E1718" s="159">
        <v>6582.2</v>
      </c>
      <c r="F1718" s="159">
        <v>658.22</v>
      </c>
      <c r="G1718" s="160" t="s">
        <v>1754</v>
      </c>
      <c r="H1718" s="34" t="s">
        <v>925</v>
      </c>
    </row>
    <row r="1719" spans="1:8" ht="33">
      <c r="A1719" s="160">
        <v>2</v>
      </c>
      <c r="B1719" s="160" t="s">
        <v>1755</v>
      </c>
      <c r="C1719" s="157" t="s">
        <v>3</v>
      </c>
      <c r="D1719" s="159">
        <v>1</v>
      </c>
      <c r="E1719" s="159">
        <v>89.66</v>
      </c>
      <c r="F1719" s="159">
        <v>89.66</v>
      </c>
      <c r="G1719" s="160" t="s">
        <v>1756</v>
      </c>
      <c r="H1719" s="34" t="s">
        <v>925</v>
      </c>
    </row>
    <row r="1720" spans="1:8" ht="33">
      <c r="A1720" s="160">
        <v>3</v>
      </c>
      <c r="B1720" s="160" t="s">
        <v>1757</v>
      </c>
      <c r="C1720" s="157" t="s">
        <v>14</v>
      </c>
      <c r="D1720" s="159">
        <v>1</v>
      </c>
      <c r="E1720" s="159">
        <v>47.82</v>
      </c>
      <c r="F1720" s="159">
        <v>47.82</v>
      </c>
      <c r="G1720" s="160" t="s">
        <v>1758</v>
      </c>
      <c r="H1720" s="34" t="s">
        <v>925</v>
      </c>
    </row>
    <row r="1721" spans="1:8" ht="33">
      <c r="A1721" s="160">
        <v>4</v>
      </c>
      <c r="B1721" s="160" t="s">
        <v>1759</v>
      </c>
      <c r="C1721" s="157" t="s">
        <v>14</v>
      </c>
      <c r="D1721" s="159">
        <v>1</v>
      </c>
      <c r="E1721" s="159">
        <v>222.95</v>
      </c>
      <c r="F1721" s="159">
        <v>222.95</v>
      </c>
      <c r="G1721" s="160" t="s">
        <v>1760</v>
      </c>
      <c r="H1721" s="34" t="s">
        <v>925</v>
      </c>
    </row>
    <row r="1722" spans="1:8" ht="33">
      <c r="A1722" s="160">
        <v>5</v>
      </c>
      <c r="B1722" s="160" t="s">
        <v>1761</v>
      </c>
      <c r="C1722" s="157" t="s">
        <v>0</v>
      </c>
      <c r="D1722" s="159">
        <v>0.15</v>
      </c>
      <c r="E1722" s="159">
        <v>26966.04</v>
      </c>
      <c r="F1722" s="159">
        <v>4044.91</v>
      </c>
      <c r="G1722" s="160" t="s">
        <v>1762</v>
      </c>
      <c r="H1722" s="34" t="s">
        <v>925</v>
      </c>
    </row>
    <row r="1723" spans="1:8" ht="33">
      <c r="A1723" s="160">
        <v>6</v>
      </c>
      <c r="B1723" s="160" t="s">
        <v>1763</v>
      </c>
      <c r="C1723" s="157" t="s">
        <v>3</v>
      </c>
      <c r="D1723" s="159">
        <v>1</v>
      </c>
      <c r="E1723" s="159">
        <v>49.81</v>
      </c>
      <c r="F1723" s="159">
        <v>49.81</v>
      </c>
      <c r="G1723" s="160" t="s">
        <v>1764</v>
      </c>
      <c r="H1723" s="34" t="s">
        <v>925</v>
      </c>
    </row>
    <row r="1724" spans="1:8" ht="28.5">
      <c r="A1724" s="160">
        <v>7</v>
      </c>
      <c r="B1724" s="160" t="s">
        <v>1765</v>
      </c>
      <c r="C1724" s="157" t="s">
        <v>0</v>
      </c>
      <c r="D1724" s="159">
        <v>0.1</v>
      </c>
      <c r="E1724" s="159">
        <v>697.48</v>
      </c>
      <c r="F1724" s="159">
        <v>69.75</v>
      </c>
      <c r="G1724" s="160" t="s">
        <v>1766</v>
      </c>
    </row>
    <row r="1725" spans="1:8" ht="33">
      <c r="A1725" s="160">
        <v>8</v>
      </c>
      <c r="B1725" s="160" t="s">
        <v>1767</v>
      </c>
      <c r="C1725" s="157" t="s">
        <v>14</v>
      </c>
      <c r="D1725" s="159">
        <v>1</v>
      </c>
      <c r="E1725" s="159">
        <v>249.05</v>
      </c>
      <c r="F1725" s="159">
        <v>249.05</v>
      </c>
      <c r="G1725" s="160" t="s">
        <v>1768</v>
      </c>
      <c r="H1725" s="34" t="s">
        <v>925</v>
      </c>
    </row>
    <row r="1726" spans="1:8" ht="33">
      <c r="A1726" s="160">
        <v>9</v>
      </c>
      <c r="B1726" s="160" t="s">
        <v>931</v>
      </c>
      <c r="C1726" s="157" t="s">
        <v>14</v>
      </c>
      <c r="D1726" s="159">
        <v>1</v>
      </c>
      <c r="E1726" s="159">
        <v>162.97</v>
      </c>
      <c r="F1726" s="159">
        <v>162.97</v>
      </c>
      <c r="G1726" s="160" t="s">
        <v>932</v>
      </c>
      <c r="H1726" s="34" t="s">
        <v>925</v>
      </c>
    </row>
    <row r="1727" spans="1:8" ht="33">
      <c r="A1727" s="160"/>
      <c r="B1727" s="160" t="s">
        <v>933</v>
      </c>
      <c r="C1727" s="157" t="s">
        <v>3</v>
      </c>
      <c r="D1727" s="159">
        <v>1</v>
      </c>
      <c r="E1727" s="159"/>
      <c r="F1727" s="159">
        <v>5595.14</v>
      </c>
      <c r="G1727" s="160"/>
      <c r="H1727" s="34" t="s">
        <v>925</v>
      </c>
    </row>
    <row r="1728" spans="1:8" ht="33">
      <c r="A1728" s="160"/>
      <c r="B1728" s="160" t="s">
        <v>934</v>
      </c>
      <c r="C1728" s="157" t="s">
        <v>3</v>
      </c>
      <c r="D1728" s="159"/>
      <c r="E1728" s="159"/>
      <c r="F1728" s="159">
        <v>5595.14</v>
      </c>
      <c r="G1728" s="160"/>
      <c r="H1728" s="34" t="s">
        <v>925</v>
      </c>
    </row>
    <row r="1729" spans="1:8" ht="33">
      <c r="A1729" s="160"/>
      <c r="B1729" s="160"/>
      <c r="C1729" s="157"/>
      <c r="D1729" s="159"/>
      <c r="E1729" s="159"/>
      <c r="F1729" s="159"/>
      <c r="G1729" s="160"/>
      <c r="H1729" s="34" t="s">
        <v>925</v>
      </c>
    </row>
    <row r="1730" spans="1:8" ht="33">
      <c r="A1730" s="160" t="s">
        <v>1965</v>
      </c>
      <c r="B1730" s="160" t="s">
        <v>1770</v>
      </c>
      <c r="C1730" s="157" t="s">
        <v>17</v>
      </c>
      <c r="D1730" s="159">
        <v>2.4</v>
      </c>
      <c r="E1730" s="159">
        <v>3686.73</v>
      </c>
      <c r="F1730" s="159"/>
      <c r="G1730" s="160" t="s">
        <v>1771</v>
      </c>
      <c r="H1730" s="34" t="s">
        <v>925</v>
      </c>
    </row>
    <row r="1731" spans="1:8" ht="28.5">
      <c r="A1731" s="160">
        <v>1</v>
      </c>
      <c r="B1731" s="160" t="s">
        <v>1772</v>
      </c>
      <c r="C1731" s="157" t="s">
        <v>1497</v>
      </c>
      <c r="D1731" s="159">
        <v>1</v>
      </c>
      <c r="E1731" s="159">
        <v>6224.37</v>
      </c>
      <c r="F1731" s="159">
        <v>6224.37</v>
      </c>
      <c r="G1731" s="160" t="s">
        <v>1773</v>
      </c>
    </row>
    <row r="1732" spans="1:8" ht="42.75">
      <c r="A1732" s="160">
        <v>2</v>
      </c>
      <c r="B1732" s="160" t="s">
        <v>4962</v>
      </c>
      <c r="C1732" s="157" t="s">
        <v>927</v>
      </c>
      <c r="D1732" s="159">
        <v>0.56999999999999995</v>
      </c>
      <c r="E1732" s="159">
        <v>408.45</v>
      </c>
      <c r="F1732" s="159">
        <v>232.82</v>
      </c>
      <c r="G1732" s="160" t="s">
        <v>4963</v>
      </c>
      <c r="H1732" s="34" t="s">
        <v>925</v>
      </c>
    </row>
    <row r="1733" spans="1:8" ht="33">
      <c r="A1733" s="160">
        <v>3</v>
      </c>
      <c r="B1733" s="160" t="s">
        <v>4871</v>
      </c>
      <c r="C1733" s="157" t="s">
        <v>927</v>
      </c>
      <c r="D1733" s="159">
        <v>1.1399999999999999</v>
      </c>
      <c r="E1733" s="159">
        <v>279.94</v>
      </c>
      <c r="F1733" s="159">
        <v>319.13</v>
      </c>
      <c r="G1733" s="160" t="s">
        <v>4872</v>
      </c>
      <c r="H1733" s="34" t="s">
        <v>925</v>
      </c>
    </row>
    <row r="1734" spans="1:8" ht="33">
      <c r="A1734" s="160">
        <v>4</v>
      </c>
      <c r="B1734" s="160" t="s">
        <v>1774</v>
      </c>
      <c r="C1734" s="157" t="s">
        <v>927</v>
      </c>
      <c r="D1734" s="159">
        <v>1</v>
      </c>
      <c r="E1734" s="159">
        <v>1414.63</v>
      </c>
      <c r="F1734" s="159">
        <v>1414.63</v>
      </c>
      <c r="G1734" s="160" t="s">
        <v>1775</v>
      </c>
      <c r="H1734" s="34" t="s">
        <v>925</v>
      </c>
    </row>
    <row r="1735" spans="1:8" ht="42.75">
      <c r="A1735" s="160">
        <v>5</v>
      </c>
      <c r="B1735" s="160" t="s">
        <v>4964</v>
      </c>
      <c r="C1735" s="157" t="s">
        <v>927</v>
      </c>
      <c r="D1735" s="159">
        <v>1</v>
      </c>
      <c r="E1735" s="159">
        <v>399.48</v>
      </c>
      <c r="F1735" s="159">
        <v>399.48</v>
      </c>
      <c r="G1735" s="160" t="s">
        <v>4965</v>
      </c>
      <c r="H1735" s="34" t="s">
        <v>925</v>
      </c>
    </row>
    <row r="1736" spans="1:8" ht="33">
      <c r="A1736" s="160">
        <v>6</v>
      </c>
      <c r="B1736" s="160" t="s">
        <v>931</v>
      </c>
      <c r="C1736" s="157" t="s">
        <v>14</v>
      </c>
      <c r="D1736" s="159">
        <v>1</v>
      </c>
      <c r="E1736" s="159">
        <v>257.70999999999998</v>
      </c>
      <c r="F1736" s="159">
        <v>257.70999999999998</v>
      </c>
      <c r="G1736" s="160" t="s">
        <v>932</v>
      </c>
      <c r="H1736" s="34" t="s">
        <v>925</v>
      </c>
    </row>
    <row r="1737" spans="1:8" ht="33">
      <c r="A1737" s="160"/>
      <c r="B1737" s="160" t="s">
        <v>933</v>
      </c>
      <c r="C1737" s="157" t="s">
        <v>17</v>
      </c>
      <c r="D1737" s="159">
        <v>2.4</v>
      </c>
      <c r="E1737" s="159"/>
      <c r="F1737" s="159">
        <v>8848.14</v>
      </c>
      <c r="G1737" s="160"/>
      <c r="H1737" s="34" t="s">
        <v>925</v>
      </c>
    </row>
    <row r="1738" spans="1:8" ht="16.5">
      <c r="A1738" s="160"/>
      <c r="B1738" s="160" t="s">
        <v>934</v>
      </c>
      <c r="C1738" s="157" t="s">
        <v>17</v>
      </c>
      <c r="D1738" s="159"/>
      <c r="E1738" s="159"/>
      <c r="F1738" s="159">
        <v>3686.73</v>
      </c>
      <c r="G1738" s="160"/>
    </row>
    <row r="1739" spans="1:8" ht="33">
      <c r="A1739" s="160"/>
      <c r="B1739" s="160"/>
      <c r="C1739" s="157"/>
      <c r="D1739" s="159"/>
      <c r="E1739" s="159"/>
      <c r="F1739" s="159"/>
      <c r="G1739" s="160"/>
      <c r="H1739" s="34" t="s">
        <v>925</v>
      </c>
    </row>
    <row r="1740" spans="1:8" ht="33">
      <c r="A1740" s="160" t="s">
        <v>1972</v>
      </c>
      <c r="B1740" s="160" t="s">
        <v>1777</v>
      </c>
      <c r="C1740" s="157" t="s">
        <v>17</v>
      </c>
      <c r="D1740" s="159">
        <v>2.4</v>
      </c>
      <c r="E1740" s="159">
        <v>4799.2700000000004</v>
      </c>
      <c r="F1740" s="159"/>
      <c r="G1740" s="160" t="s">
        <v>1778</v>
      </c>
      <c r="H1740" s="34" t="s">
        <v>925</v>
      </c>
    </row>
    <row r="1741" spans="1:8" ht="33">
      <c r="A1741" s="160">
        <v>1</v>
      </c>
      <c r="B1741" s="160" t="s">
        <v>1779</v>
      </c>
      <c r="C1741" s="157" t="s">
        <v>1497</v>
      </c>
      <c r="D1741" s="159">
        <v>1</v>
      </c>
      <c r="E1741" s="159">
        <v>8657.14</v>
      </c>
      <c r="F1741" s="159">
        <v>8657.14</v>
      </c>
      <c r="G1741" s="160" t="s">
        <v>1780</v>
      </c>
      <c r="H1741" s="34" t="s">
        <v>925</v>
      </c>
    </row>
    <row r="1742" spans="1:8" ht="42.75">
      <c r="A1742" s="160">
        <v>2</v>
      </c>
      <c r="B1742" s="160" t="s">
        <v>4962</v>
      </c>
      <c r="C1742" s="157" t="s">
        <v>927</v>
      </c>
      <c r="D1742" s="159">
        <v>0.56999999999999995</v>
      </c>
      <c r="E1742" s="159">
        <v>408.45</v>
      </c>
      <c r="F1742" s="159">
        <v>232.82</v>
      </c>
      <c r="G1742" s="160" t="s">
        <v>4963</v>
      </c>
      <c r="H1742" s="34" t="s">
        <v>925</v>
      </c>
    </row>
    <row r="1743" spans="1:8" ht="33">
      <c r="A1743" s="160">
        <v>3</v>
      </c>
      <c r="B1743" s="160" t="s">
        <v>4871</v>
      </c>
      <c r="C1743" s="157" t="s">
        <v>927</v>
      </c>
      <c r="D1743" s="159">
        <v>1.71</v>
      </c>
      <c r="E1743" s="159">
        <v>279.94</v>
      </c>
      <c r="F1743" s="159">
        <v>478.7</v>
      </c>
      <c r="G1743" s="160" t="s">
        <v>4872</v>
      </c>
      <c r="H1743" s="34" t="s">
        <v>925</v>
      </c>
    </row>
    <row r="1744" spans="1:8" ht="33">
      <c r="A1744" s="160">
        <v>4</v>
      </c>
      <c r="B1744" s="160" t="s">
        <v>1774</v>
      </c>
      <c r="C1744" s="157" t="s">
        <v>927</v>
      </c>
      <c r="D1744" s="159">
        <v>1</v>
      </c>
      <c r="E1744" s="159">
        <v>1414.63</v>
      </c>
      <c r="F1744" s="159">
        <v>1414.63</v>
      </c>
      <c r="G1744" s="160" t="s">
        <v>1775</v>
      </c>
      <c r="H1744" s="34" t="s">
        <v>925</v>
      </c>
    </row>
    <row r="1745" spans="1:8" ht="42.75">
      <c r="A1745" s="160">
        <v>5</v>
      </c>
      <c r="B1745" s="160" t="s">
        <v>4964</v>
      </c>
      <c r="C1745" s="157" t="s">
        <v>927</v>
      </c>
      <c r="D1745" s="159">
        <v>1</v>
      </c>
      <c r="E1745" s="159">
        <v>399.48</v>
      </c>
      <c r="F1745" s="159">
        <v>399.48</v>
      </c>
      <c r="G1745" s="160" t="s">
        <v>4965</v>
      </c>
    </row>
    <row r="1746" spans="1:8" ht="33">
      <c r="A1746" s="160">
        <v>6</v>
      </c>
      <c r="B1746" s="160" t="s">
        <v>931</v>
      </c>
      <c r="C1746" s="157" t="s">
        <v>14</v>
      </c>
      <c r="D1746" s="159">
        <v>1</v>
      </c>
      <c r="E1746" s="159">
        <v>335.48</v>
      </c>
      <c r="F1746" s="159">
        <v>335.48</v>
      </c>
      <c r="G1746" s="160" t="s">
        <v>932</v>
      </c>
      <c r="H1746" s="34" t="s">
        <v>925</v>
      </c>
    </row>
    <row r="1747" spans="1:8" ht="33">
      <c r="A1747" s="160"/>
      <c r="B1747" s="160" t="s">
        <v>933</v>
      </c>
      <c r="C1747" s="157" t="s">
        <v>17</v>
      </c>
      <c r="D1747" s="159">
        <v>2.4</v>
      </c>
      <c r="E1747" s="159"/>
      <c r="F1747" s="159">
        <v>11518.25</v>
      </c>
      <c r="G1747" s="160"/>
      <c r="H1747" s="34" t="s">
        <v>925</v>
      </c>
    </row>
    <row r="1748" spans="1:8" ht="33">
      <c r="A1748" s="160"/>
      <c r="B1748" s="160" t="s">
        <v>934</v>
      </c>
      <c r="C1748" s="157" t="s">
        <v>17</v>
      </c>
      <c r="D1748" s="159"/>
      <c r="E1748" s="159"/>
      <c r="F1748" s="159">
        <v>4799.2700000000004</v>
      </c>
      <c r="G1748" s="160"/>
      <c r="H1748" s="34" t="s">
        <v>925</v>
      </c>
    </row>
    <row r="1749" spans="1:8" ht="33">
      <c r="A1749" s="160"/>
      <c r="B1749" s="160"/>
      <c r="C1749" s="157"/>
      <c r="D1749" s="159"/>
      <c r="E1749" s="159"/>
      <c r="F1749" s="159"/>
      <c r="G1749" s="160"/>
      <c r="H1749" s="34" t="s">
        <v>925</v>
      </c>
    </row>
    <row r="1750" spans="1:8" ht="33">
      <c r="A1750" s="160" t="s">
        <v>1979</v>
      </c>
      <c r="B1750" s="160" t="s">
        <v>1782</v>
      </c>
      <c r="C1750" s="157" t="s">
        <v>17</v>
      </c>
      <c r="D1750" s="159">
        <v>2.4</v>
      </c>
      <c r="E1750" s="159">
        <v>6649.76</v>
      </c>
      <c r="F1750" s="159"/>
      <c r="G1750" s="160" t="s">
        <v>1783</v>
      </c>
      <c r="H1750" s="34" t="s">
        <v>925</v>
      </c>
    </row>
    <row r="1751" spans="1:8" ht="33">
      <c r="A1751" s="160">
        <v>1</v>
      </c>
      <c r="B1751" s="160" t="s">
        <v>1784</v>
      </c>
      <c r="C1751" s="157" t="s">
        <v>1497</v>
      </c>
      <c r="D1751" s="159">
        <v>1</v>
      </c>
      <c r="E1751" s="159">
        <v>12681.86</v>
      </c>
      <c r="F1751" s="159">
        <v>12681.86</v>
      </c>
      <c r="G1751" s="160" t="s">
        <v>1785</v>
      </c>
      <c r="H1751" s="34" t="s">
        <v>925</v>
      </c>
    </row>
    <row r="1752" spans="1:8" ht="42.75">
      <c r="A1752" s="160">
        <v>2</v>
      </c>
      <c r="B1752" s="160" t="s">
        <v>4962</v>
      </c>
      <c r="C1752" s="157" t="s">
        <v>927</v>
      </c>
      <c r="D1752" s="159">
        <v>0.8</v>
      </c>
      <c r="E1752" s="159">
        <v>408.45</v>
      </c>
      <c r="F1752" s="159">
        <v>326.76</v>
      </c>
      <c r="G1752" s="160" t="s">
        <v>4963</v>
      </c>
    </row>
    <row r="1753" spans="1:8" ht="33">
      <c r="A1753" s="160">
        <v>3</v>
      </c>
      <c r="B1753" s="160" t="s">
        <v>4871</v>
      </c>
      <c r="C1753" s="157" t="s">
        <v>927</v>
      </c>
      <c r="D1753" s="159">
        <v>2.4</v>
      </c>
      <c r="E1753" s="159">
        <v>279.94</v>
      </c>
      <c r="F1753" s="159">
        <v>671.86</v>
      </c>
      <c r="G1753" s="160" t="s">
        <v>4872</v>
      </c>
      <c r="H1753" s="34" t="s">
        <v>925</v>
      </c>
    </row>
    <row r="1754" spans="1:8" ht="33">
      <c r="A1754" s="160">
        <v>4</v>
      </c>
      <c r="B1754" s="160" t="s">
        <v>1774</v>
      </c>
      <c r="C1754" s="157" t="s">
        <v>927</v>
      </c>
      <c r="D1754" s="159">
        <v>1</v>
      </c>
      <c r="E1754" s="159">
        <v>1414.63</v>
      </c>
      <c r="F1754" s="159">
        <v>1414.63</v>
      </c>
      <c r="G1754" s="160" t="s">
        <v>1775</v>
      </c>
      <c r="H1754" s="34" t="s">
        <v>925</v>
      </c>
    </row>
    <row r="1755" spans="1:8" ht="42.75">
      <c r="A1755" s="160">
        <v>5</v>
      </c>
      <c r="B1755" s="160" t="s">
        <v>4964</v>
      </c>
      <c r="C1755" s="157" t="s">
        <v>927</v>
      </c>
      <c r="D1755" s="159">
        <v>1</v>
      </c>
      <c r="E1755" s="159">
        <v>399.48</v>
      </c>
      <c r="F1755" s="159">
        <v>399.48</v>
      </c>
      <c r="G1755" s="160" t="s">
        <v>4965</v>
      </c>
      <c r="H1755" s="34" t="s">
        <v>925</v>
      </c>
    </row>
    <row r="1756" spans="1:8" ht="33">
      <c r="A1756" s="160">
        <v>6</v>
      </c>
      <c r="B1756" s="160" t="s">
        <v>931</v>
      </c>
      <c r="C1756" s="157" t="s">
        <v>14</v>
      </c>
      <c r="D1756" s="159">
        <v>1</v>
      </c>
      <c r="E1756" s="159">
        <v>464.84</v>
      </c>
      <c r="F1756" s="159">
        <v>464.84</v>
      </c>
      <c r="G1756" s="160" t="s">
        <v>932</v>
      </c>
      <c r="H1756" s="34" t="s">
        <v>925</v>
      </c>
    </row>
    <row r="1757" spans="1:8" ht="33">
      <c r="A1757" s="160"/>
      <c r="B1757" s="160" t="s">
        <v>933</v>
      </c>
      <c r="C1757" s="157" t="s">
        <v>17</v>
      </c>
      <c r="D1757" s="159">
        <v>2.4</v>
      </c>
      <c r="E1757" s="159"/>
      <c r="F1757" s="159">
        <v>15959.43</v>
      </c>
      <c r="G1757" s="160"/>
      <c r="H1757" s="34" t="s">
        <v>925</v>
      </c>
    </row>
    <row r="1758" spans="1:8" ht="33">
      <c r="A1758" s="160"/>
      <c r="B1758" s="160" t="s">
        <v>934</v>
      </c>
      <c r="C1758" s="157" t="s">
        <v>17</v>
      </c>
      <c r="D1758" s="159"/>
      <c r="E1758" s="159"/>
      <c r="F1758" s="159">
        <v>6649.76</v>
      </c>
      <c r="G1758" s="160"/>
      <c r="H1758" s="34" t="s">
        <v>925</v>
      </c>
    </row>
    <row r="1759" spans="1:8" ht="16.5">
      <c r="A1759" s="160"/>
      <c r="B1759" s="160"/>
      <c r="C1759" s="157"/>
      <c r="D1759" s="159"/>
      <c r="E1759" s="159"/>
      <c r="F1759" s="159"/>
      <c r="G1759" s="160"/>
    </row>
    <row r="1760" spans="1:8" ht="33">
      <c r="A1760" s="160" t="s">
        <v>1986</v>
      </c>
      <c r="B1760" s="160" t="s">
        <v>1787</v>
      </c>
      <c r="C1760" s="157" t="s">
        <v>17</v>
      </c>
      <c r="D1760" s="159">
        <v>2.4</v>
      </c>
      <c r="E1760" s="159">
        <v>8665.89</v>
      </c>
      <c r="F1760" s="159"/>
      <c r="G1760" s="160" t="s">
        <v>1788</v>
      </c>
      <c r="H1760" s="34" t="s">
        <v>925</v>
      </c>
    </row>
    <row r="1761" spans="1:8" ht="33">
      <c r="A1761" s="160">
        <v>1</v>
      </c>
      <c r="B1761" s="160" t="s">
        <v>1789</v>
      </c>
      <c r="C1761" s="157" t="s">
        <v>1497</v>
      </c>
      <c r="D1761" s="159">
        <v>1</v>
      </c>
      <c r="E1761" s="159">
        <v>18449.97</v>
      </c>
      <c r="F1761" s="159">
        <v>18449.97</v>
      </c>
      <c r="G1761" s="160" t="s">
        <v>1790</v>
      </c>
      <c r="H1761" s="34" t="s">
        <v>925</v>
      </c>
    </row>
    <row r="1762" spans="1:8" ht="42.75">
      <c r="A1762" s="160">
        <v>2</v>
      </c>
      <c r="B1762" s="160" t="s">
        <v>4962</v>
      </c>
      <c r="C1762" s="157" t="s">
        <v>927</v>
      </c>
      <c r="D1762" s="159">
        <v>0.53</v>
      </c>
      <c r="E1762" s="159">
        <v>408.45</v>
      </c>
      <c r="F1762" s="159">
        <v>216.48</v>
      </c>
      <c r="G1762" s="160" t="s">
        <v>4963</v>
      </c>
      <c r="H1762" s="34" t="s">
        <v>925</v>
      </c>
    </row>
    <row r="1763" spans="1:8" ht="33">
      <c r="A1763" s="160">
        <v>3</v>
      </c>
      <c r="B1763" s="160" t="s">
        <v>4871</v>
      </c>
      <c r="C1763" s="157" t="s">
        <v>927</v>
      </c>
      <c r="D1763" s="159">
        <v>2.12</v>
      </c>
      <c r="E1763" s="159">
        <v>279.94</v>
      </c>
      <c r="F1763" s="159">
        <v>593.47</v>
      </c>
      <c r="G1763" s="160" t="s">
        <v>4872</v>
      </c>
      <c r="H1763" s="34" t="s">
        <v>925</v>
      </c>
    </row>
    <row r="1764" spans="1:8" ht="33">
      <c r="A1764" s="160">
        <v>4</v>
      </c>
      <c r="B1764" s="160" t="s">
        <v>1441</v>
      </c>
      <c r="C1764" s="157" t="s">
        <v>927</v>
      </c>
      <c r="D1764" s="159">
        <v>0.53</v>
      </c>
      <c r="E1764" s="159">
        <v>1359.84</v>
      </c>
      <c r="F1764" s="159">
        <v>720.72</v>
      </c>
      <c r="G1764" s="160" t="s">
        <v>1442</v>
      </c>
      <c r="H1764" s="34" t="s">
        <v>925</v>
      </c>
    </row>
    <row r="1765" spans="1:8" ht="33">
      <c r="A1765" s="160">
        <v>5</v>
      </c>
      <c r="B1765" s="160" t="s">
        <v>1443</v>
      </c>
      <c r="C1765" s="157" t="s">
        <v>927</v>
      </c>
      <c r="D1765" s="159">
        <v>0.53</v>
      </c>
      <c r="E1765" s="159">
        <v>399.48</v>
      </c>
      <c r="F1765" s="159">
        <v>211.72</v>
      </c>
      <c r="G1765" s="160" t="s">
        <v>1444</v>
      </c>
      <c r="H1765" s="34" t="s">
        <v>925</v>
      </c>
    </row>
    <row r="1766" spans="1:8" ht="28.5">
      <c r="A1766" s="160">
        <v>6</v>
      </c>
      <c r="B1766" s="160" t="s">
        <v>931</v>
      </c>
      <c r="C1766" s="157" t="s">
        <v>14</v>
      </c>
      <c r="D1766" s="159">
        <v>1</v>
      </c>
      <c r="E1766" s="159">
        <v>605.77</v>
      </c>
      <c r="F1766" s="159">
        <v>605.77</v>
      </c>
      <c r="G1766" s="160" t="s">
        <v>932</v>
      </c>
    </row>
    <row r="1767" spans="1:8" ht="33">
      <c r="A1767" s="160"/>
      <c r="B1767" s="160" t="s">
        <v>933</v>
      </c>
      <c r="C1767" s="157" t="s">
        <v>17</v>
      </c>
      <c r="D1767" s="159">
        <v>2.4</v>
      </c>
      <c r="E1767" s="159"/>
      <c r="F1767" s="159">
        <v>20798.130000000005</v>
      </c>
      <c r="G1767" s="160"/>
      <c r="H1767" s="34" t="s">
        <v>925</v>
      </c>
    </row>
    <row r="1768" spans="1:8" ht="33">
      <c r="A1768" s="160"/>
      <c r="B1768" s="160" t="s">
        <v>934</v>
      </c>
      <c r="C1768" s="157" t="s">
        <v>17</v>
      </c>
      <c r="D1768" s="159"/>
      <c r="E1768" s="159"/>
      <c r="F1768" s="159">
        <v>8665.89</v>
      </c>
      <c r="G1768" s="160"/>
      <c r="H1768" s="34" t="s">
        <v>925</v>
      </c>
    </row>
    <row r="1769" spans="1:8" ht="33">
      <c r="A1769" s="160"/>
      <c r="B1769" s="160"/>
      <c r="C1769" s="157"/>
      <c r="D1769" s="159"/>
      <c r="E1769" s="159"/>
      <c r="F1769" s="159"/>
      <c r="G1769" s="160"/>
      <c r="H1769" s="34" t="s">
        <v>925</v>
      </c>
    </row>
    <row r="1770" spans="1:8" ht="33">
      <c r="A1770" s="160" t="s">
        <v>1993</v>
      </c>
      <c r="B1770" s="160" t="s">
        <v>1792</v>
      </c>
      <c r="C1770" s="157" t="s">
        <v>17</v>
      </c>
      <c r="D1770" s="159">
        <v>2.4</v>
      </c>
      <c r="E1770" s="159">
        <v>10736.05</v>
      </c>
      <c r="F1770" s="159"/>
      <c r="G1770" s="160" t="s">
        <v>1793</v>
      </c>
      <c r="H1770" s="34" t="s">
        <v>925</v>
      </c>
    </row>
    <row r="1771" spans="1:8" ht="33">
      <c r="A1771" s="160">
        <v>1</v>
      </c>
      <c r="B1771" s="160" t="s">
        <v>1794</v>
      </c>
      <c r="C1771" s="157" t="s">
        <v>1497</v>
      </c>
      <c r="D1771" s="159">
        <v>1</v>
      </c>
      <c r="E1771" s="159">
        <v>22813.4</v>
      </c>
      <c r="F1771" s="159">
        <v>22813.4</v>
      </c>
      <c r="G1771" s="160" t="s">
        <v>1795</v>
      </c>
      <c r="H1771" s="34" t="s">
        <v>925</v>
      </c>
    </row>
    <row r="1772" spans="1:8" ht="42.75">
      <c r="A1772" s="160">
        <v>2</v>
      </c>
      <c r="B1772" s="160" t="s">
        <v>4962</v>
      </c>
      <c r="C1772" s="157" t="s">
        <v>927</v>
      </c>
      <c r="D1772" s="159">
        <v>0.67</v>
      </c>
      <c r="E1772" s="159">
        <v>408.45</v>
      </c>
      <c r="F1772" s="159">
        <v>273.66000000000003</v>
      </c>
      <c r="G1772" s="160" t="s">
        <v>4963</v>
      </c>
      <c r="H1772" s="34" t="s">
        <v>925</v>
      </c>
    </row>
    <row r="1773" spans="1:8" ht="28.5">
      <c r="A1773" s="160">
        <v>3</v>
      </c>
      <c r="B1773" s="160" t="s">
        <v>4871</v>
      </c>
      <c r="C1773" s="157" t="s">
        <v>927</v>
      </c>
      <c r="D1773" s="159">
        <v>2.68</v>
      </c>
      <c r="E1773" s="159">
        <v>279.94</v>
      </c>
      <c r="F1773" s="159">
        <v>750.24</v>
      </c>
      <c r="G1773" s="160" t="s">
        <v>4872</v>
      </c>
    </row>
    <row r="1774" spans="1:8" ht="33">
      <c r="A1774" s="160">
        <v>4</v>
      </c>
      <c r="B1774" s="160" t="s">
        <v>1441</v>
      </c>
      <c r="C1774" s="157" t="s">
        <v>927</v>
      </c>
      <c r="D1774" s="159">
        <v>0.67</v>
      </c>
      <c r="E1774" s="159">
        <v>1359.84</v>
      </c>
      <c r="F1774" s="159">
        <v>911.09</v>
      </c>
      <c r="G1774" s="160" t="s">
        <v>1442</v>
      </c>
      <c r="H1774" s="34" t="s">
        <v>925</v>
      </c>
    </row>
    <row r="1775" spans="1:8" ht="33">
      <c r="A1775" s="160">
        <v>5</v>
      </c>
      <c r="B1775" s="160" t="s">
        <v>1443</v>
      </c>
      <c r="C1775" s="157" t="s">
        <v>927</v>
      </c>
      <c r="D1775" s="159">
        <v>0.67</v>
      </c>
      <c r="E1775" s="159">
        <v>399.48</v>
      </c>
      <c r="F1775" s="159">
        <v>267.64999999999998</v>
      </c>
      <c r="G1775" s="160" t="s">
        <v>1444</v>
      </c>
      <c r="H1775" s="34" t="s">
        <v>925</v>
      </c>
    </row>
    <row r="1776" spans="1:8" ht="33">
      <c r="A1776" s="160">
        <v>6</v>
      </c>
      <c r="B1776" s="160" t="s">
        <v>931</v>
      </c>
      <c r="C1776" s="157" t="s">
        <v>14</v>
      </c>
      <c r="D1776" s="159">
        <v>1</v>
      </c>
      <c r="E1776" s="159">
        <v>750.48</v>
      </c>
      <c r="F1776" s="159">
        <v>750.48</v>
      </c>
      <c r="G1776" s="160" t="s">
        <v>932</v>
      </c>
      <c r="H1776" s="34" t="s">
        <v>925</v>
      </c>
    </row>
    <row r="1777" spans="1:8" ht="33">
      <c r="A1777" s="160"/>
      <c r="B1777" s="160" t="s">
        <v>933</v>
      </c>
      <c r="C1777" s="157" t="s">
        <v>17</v>
      </c>
      <c r="D1777" s="159">
        <v>2.4</v>
      </c>
      <c r="E1777" s="159"/>
      <c r="F1777" s="159">
        <v>25766.520000000004</v>
      </c>
      <c r="G1777" s="160"/>
      <c r="H1777" s="34" t="s">
        <v>925</v>
      </c>
    </row>
    <row r="1778" spans="1:8" ht="33">
      <c r="A1778" s="160"/>
      <c r="B1778" s="160" t="s">
        <v>934</v>
      </c>
      <c r="C1778" s="157" t="s">
        <v>17</v>
      </c>
      <c r="D1778" s="159"/>
      <c r="E1778" s="159"/>
      <c r="F1778" s="159">
        <v>10736.05</v>
      </c>
      <c r="G1778" s="160"/>
      <c r="H1778" s="34" t="s">
        <v>925</v>
      </c>
    </row>
    <row r="1779" spans="1:8" ht="33">
      <c r="A1779" s="160"/>
      <c r="B1779" s="160"/>
      <c r="C1779" s="157"/>
      <c r="D1779" s="159"/>
      <c r="E1779" s="159"/>
      <c r="F1779" s="159"/>
      <c r="G1779" s="160"/>
      <c r="H1779" s="34" t="s">
        <v>925</v>
      </c>
    </row>
    <row r="1780" spans="1:8" ht="28.5">
      <c r="A1780" s="160" t="s">
        <v>2000</v>
      </c>
      <c r="B1780" s="160" t="s">
        <v>1797</v>
      </c>
      <c r="C1780" s="157" t="s">
        <v>17</v>
      </c>
      <c r="D1780" s="159">
        <v>2.4</v>
      </c>
      <c r="E1780" s="159">
        <v>12928.93</v>
      </c>
      <c r="F1780" s="159"/>
      <c r="G1780" s="160" t="s">
        <v>1798</v>
      </c>
    </row>
    <row r="1781" spans="1:8" ht="33">
      <c r="A1781" s="160">
        <v>1</v>
      </c>
      <c r="B1781" s="160" t="s">
        <v>1799</v>
      </c>
      <c r="C1781" s="157" t="s">
        <v>1497</v>
      </c>
      <c r="D1781" s="159">
        <v>1</v>
      </c>
      <c r="E1781" s="159">
        <v>27495.63</v>
      </c>
      <c r="F1781" s="159">
        <v>27495.63</v>
      </c>
      <c r="G1781" s="160" t="s">
        <v>1800</v>
      </c>
      <c r="H1781" s="34" t="s">
        <v>925</v>
      </c>
    </row>
    <row r="1782" spans="1:8" ht="42.75">
      <c r="A1782" s="160">
        <v>2</v>
      </c>
      <c r="B1782" s="160" t="s">
        <v>4962</v>
      </c>
      <c r="C1782" s="157" t="s">
        <v>927</v>
      </c>
      <c r="D1782" s="159">
        <v>0.8</v>
      </c>
      <c r="E1782" s="159">
        <v>408.45</v>
      </c>
      <c r="F1782" s="159">
        <v>326.76</v>
      </c>
      <c r="G1782" s="160" t="s">
        <v>4963</v>
      </c>
      <c r="H1782" s="34" t="s">
        <v>925</v>
      </c>
    </row>
    <row r="1783" spans="1:8" ht="33">
      <c r="A1783" s="160">
        <v>3</v>
      </c>
      <c r="B1783" s="160" t="s">
        <v>4871</v>
      </c>
      <c r="C1783" s="157" t="s">
        <v>927</v>
      </c>
      <c r="D1783" s="159">
        <v>3.2</v>
      </c>
      <c r="E1783" s="159">
        <v>279.94</v>
      </c>
      <c r="F1783" s="159">
        <v>895.81</v>
      </c>
      <c r="G1783" s="160" t="s">
        <v>4872</v>
      </c>
      <c r="H1783" s="34" t="s">
        <v>925</v>
      </c>
    </row>
    <row r="1784" spans="1:8" ht="33">
      <c r="A1784" s="160">
        <v>4</v>
      </c>
      <c r="B1784" s="160" t="s">
        <v>1441</v>
      </c>
      <c r="C1784" s="157" t="s">
        <v>927</v>
      </c>
      <c r="D1784" s="159">
        <v>0.8</v>
      </c>
      <c r="E1784" s="159">
        <v>1359.84</v>
      </c>
      <c r="F1784" s="159">
        <v>1087.8699999999999</v>
      </c>
      <c r="G1784" s="160" t="s">
        <v>1442</v>
      </c>
      <c r="H1784" s="34" t="s">
        <v>925</v>
      </c>
    </row>
    <row r="1785" spans="1:8" ht="33">
      <c r="A1785" s="160">
        <v>5</v>
      </c>
      <c r="B1785" s="160" t="s">
        <v>1443</v>
      </c>
      <c r="C1785" s="157" t="s">
        <v>927</v>
      </c>
      <c r="D1785" s="159">
        <v>0.8</v>
      </c>
      <c r="E1785" s="159">
        <v>399.48</v>
      </c>
      <c r="F1785" s="159">
        <v>319.58</v>
      </c>
      <c r="G1785" s="160" t="s">
        <v>1444</v>
      </c>
      <c r="H1785" s="34" t="s">
        <v>925</v>
      </c>
    </row>
    <row r="1786" spans="1:8" ht="33">
      <c r="A1786" s="160">
        <v>6</v>
      </c>
      <c r="B1786" s="160" t="s">
        <v>931</v>
      </c>
      <c r="C1786" s="157" t="s">
        <v>14</v>
      </c>
      <c r="D1786" s="159">
        <v>1</v>
      </c>
      <c r="E1786" s="159">
        <v>903.77</v>
      </c>
      <c r="F1786" s="159">
        <v>903.77</v>
      </c>
      <c r="G1786" s="160" t="s">
        <v>932</v>
      </c>
      <c r="H1786" s="34" t="s">
        <v>925</v>
      </c>
    </row>
    <row r="1787" spans="1:8" ht="33">
      <c r="A1787" s="160"/>
      <c r="B1787" s="160" t="s">
        <v>933</v>
      </c>
      <c r="C1787" s="157" t="s">
        <v>17</v>
      </c>
      <c r="D1787" s="159">
        <v>2.4</v>
      </c>
      <c r="E1787" s="159"/>
      <c r="F1787" s="159">
        <v>31029.420000000002</v>
      </c>
      <c r="G1787" s="160"/>
      <c r="H1787" s="34" t="s">
        <v>925</v>
      </c>
    </row>
    <row r="1788" spans="1:8" ht="33">
      <c r="A1788" s="160"/>
      <c r="B1788" s="160" t="s">
        <v>934</v>
      </c>
      <c r="C1788" s="157" t="s">
        <v>17</v>
      </c>
      <c r="D1788" s="159"/>
      <c r="E1788" s="159"/>
      <c r="F1788" s="159">
        <v>12928.93</v>
      </c>
      <c r="G1788" s="160"/>
      <c r="H1788" s="34" t="s">
        <v>925</v>
      </c>
    </row>
    <row r="1789" spans="1:8" ht="16.5">
      <c r="A1789" s="160"/>
      <c r="B1789" s="160"/>
      <c r="C1789" s="157"/>
      <c r="D1789" s="159"/>
      <c r="E1789" s="159"/>
      <c r="F1789" s="159"/>
      <c r="G1789" s="160"/>
    </row>
    <row r="1790" spans="1:8" ht="33">
      <c r="A1790" s="160" t="s">
        <v>2007</v>
      </c>
      <c r="B1790" s="160" t="s">
        <v>1802</v>
      </c>
      <c r="C1790" s="157" t="s">
        <v>17</v>
      </c>
      <c r="D1790" s="159">
        <v>2.4</v>
      </c>
      <c r="E1790" s="159">
        <v>16327.9</v>
      </c>
      <c r="F1790" s="159"/>
      <c r="G1790" s="160" t="s">
        <v>1803</v>
      </c>
      <c r="H1790" s="34" t="s">
        <v>925</v>
      </c>
    </row>
    <row r="1791" spans="1:8" ht="33">
      <c r="A1791" s="160">
        <v>1</v>
      </c>
      <c r="B1791" s="160" t="s">
        <v>1804</v>
      </c>
      <c r="C1791" s="157" t="s">
        <v>1497</v>
      </c>
      <c r="D1791" s="159">
        <v>1</v>
      </c>
      <c r="E1791" s="159">
        <v>35086.81</v>
      </c>
      <c r="F1791" s="159">
        <v>35086.81</v>
      </c>
      <c r="G1791" s="160" t="s">
        <v>1805</v>
      </c>
      <c r="H1791" s="34" t="s">
        <v>925</v>
      </c>
    </row>
    <row r="1792" spans="1:8" ht="42.75">
      <c r="A1792" s="160">
        <v>2</v>
      </c>
      <c r="B1792" s="160" t="s">
        <v>4962</v>
      </c>
      <c r="C1792" s="157" t="s">
        <v>927</v>
      </c>
      <c r="D1792" s="159">
        <v>0.9</v>
      </c>
      <c r="E1792" s="159">
        <v>408.45</v>
      </c>
      <c r="F1792" s="159">
        <v>367.61</v>
      </c>
      <c r="G1792" s="160" t="s">
        <v>4963</v>
      </c>
      <c r="H1792" s="34" t="s">
        <v>925</v>
      </c>
    </row>
    <row r="1793" spans="1:8" ht="33">
      <c r="A1793" s="160">
        <v>3</v>
      </c>
      <c r="B1793" s="160" t="s">
        <v>4871</v>
      </c>
      <c r="C1793" s="157" t="s">
        <v>927</v>
      </c>
      <c r="D1793" s="159">
        <v>3.6</v>
      </c>
      <c r="E1793" s="159">
        <v>279.94</v>
      </c>
      <c r="F1793" s="159">
        <v>1007.78</v>
      </c>
      <c r="G1793" s="160" t="s">
        <v>4872</v>
      </c>
      <c r="H1793" s="34" t="s">
        <v>925</v>
      </c>
    </row>
    <row r="1794" spans="1:8" ht="33">
      <c r="A1794" s="160">
        <v>4</v>
      </c>
      <c r="B1794" s="160" t="s">
        <v>1441</v>
      </c>
      <c r="C1794" s="157" t="s">
        <v>927</v>
      </c>
      <c r="D1794" s="159">
        <v>0.9</v>
      </c>
      <c r="E1794" s="159">
        <v>1359.84</v>
      </c>
      <c r="F1794" s="159">
        <v>1223.8599999999999</v>
      </c>
      <c r="G1794" s="160" t="s">
        <v>1442</v>
      </c>
      <c r="H1794" s="34" t="s">
        <v>925</v>
      </c>
    </row>
    <row r="1795" spans="1:8" ht="33">
      <c r="A1795" s="160">
        <v>5</v>
      </c>
      <c r="B1795" s="160" t="s">
        <v>1443</v>
      </c>
      <c r="C1795" s="157" t="s">
        <v>927</v>
      </c>
      <c r="D1795" s="159">
        <v>0.9</v>
      </c>
      <c r="E1795" s="159">
        <v>399.48</v>
      </c>
      <c r="F1795" s="159">
        <v>359.53</v>
      </c>
      <c r="G1795" s="160" t="s">
        <v>1444</v>
      </c>
      <c r="H1795" s="34" t="s">
        <v>925</v>
      </c>
    </row>
    <row r="1796" spans="1:8" ht="28.5">
      <c r="A1796" s="160">
        <v>6</v>
      </c>
      <c r="B1796" s="160" t="s">
        <v>931</v>
      </c>
      <c r="C1796" s="157" t="s">
        <v>14</v>
      </c>
      <c r="D1796" s="159">
        <v>1</v>
      </c>
      <c r="E1796" s="159">
        <v>1141.3699999999999</v>
      </c>
      <c r="F1796" s="159">
        <v>1141.3699999999999</v>
      </c>
      <c r="G1796" s="160" t="s">
        <v>932</v>
      </c>
    </row>
    <row r="1797" spans="1:8" ht="33">
      <c r="A1797" s="160"/>
      <c r="B1797" s="160" t="s">
        <v>933</v>
      </c>
      <c r="C1797" s="157" t="s">
        <v>17</v>
      </c>
      <c r="D1797" s="159">
        <v>2.4</v>
      </c>
      <c r="E1797" s="159"/>
      <c r="F1797" s="159">
        <v>39186.959999999999</v>
      </c>
      <c r="G1797" s="160"/>
      <c r="H1797" s="34" t="s">
        <v>925</v>
      </c>
    </row>
    <row r="1798" spans="1:8" ht="33">
      <c r="A1798" s="160"/>
      <c r="B1798" s="160" t="s">
        <v>934</v>
      </c>
      <c r="C1798" s="157" t="s">
        <v>17</v>
      </c>
      <c r="D1798" s="159"/>
      <c r="E1798" s="159"/>
      <c r="F1798" s="159">
        <v>16327.9</v>
      </c>
      <c r="G1798" s="160"/>
      <c r="H1798" s="34" t="s">
        <v>925</v>
      </c>
    </row>
    <row r="1799" spans="1:8" ht="33">
      <c r="A1799" s="160"/>
      <c r="B1799" s="160"/>
      <c r="C1799" s="157"/>
      <c r="D1799" s="159"/>
      <c r="E1799" s="159"/>
      <c r="F1799" s="159"/>
      <c r="G1799" s="160"/>
      <c r="H1799" s="34" t="s">
        <v>925</v>
      </c>
    </row>
    <row r="1800" spans="1:8" ht="33">
      <c r="A1800" s="160" t="s">
        <v>2014</v>
      </c>
      <c r="B1800" s="160" t="s">
        <v>1807</v>
      </c>
      <c r="C1800" s="157" t="s">
        <v>17</v>
      </c>
      <c r="D1800" s="159">
        <v>2.4</v>
      </c>
      <c r="E1800" s="159">
        <v>20227.099999999999</v>
      </c>
      <c r="F1800" s="159"/>
      <c r="G1800" s="160" t="s">
        <v>1808</v>
      </c>
      <c r="H1800" s="34" t="s">
        <v>925</v>
      </c>
    </row>
    <row r="1801" spans="1:8" ht="33">
      <c r="A1801" s="160">
        <v>1</v>
      </c>
      <c r="B1801" s="160" t="s">
        <v>1809</v>
      </c>
      <c r="C1801" s="157" t="s">
        <v>1497</v>
      </c>
      <c r="D1801" s="159">
        <v>1</v>
      </c>
      <c r="E1801" s="159">
        <v>43843.58</v>
      </c>
      <c r="F1801" s="159">
        <v>43843.58</v>
      </c>
      <c r="G1801" s="160" t="s">
        <v>1810</v>
      </c>
      <c r="H1801" s="34" t="s">
        <v>925</v>
      </c>
    </row>
    <row r="1802" spans="1:8" ht="42.75">
      <c r="A1802" s="160">
        <v>2</v>
      </c>
      <c r="B1802" s="160" t="s">
        <v>4962</v>
      </c>
      <c r="C1802" s="157" t="s">
        <v>927</v>
      </c>
      <c r="D1802" s="159">
        <v>1</v>
      </c>
      <c r="E1802" s="159">
        <v>408.45</v>
      </c>
      <c r="F1802" s="159">
        <v>408.45</v>
      </c>
      <c r="G1802" s="160" t="s">
        <v>4963</v>
      </c>
      <c r="H1802" s="34" t="s">
        <v>925</v>
      </c>
    </row>
    <row r="1803" spans="1:8" ht="28.5">
      <c r="A1803" s="160">
        <v>3</v>
      </c>
      <c r="B1803" s="160" t="s">
        <v>4871</v>
      </c>
      <c r="C1803" s="157" t="s">
        <v>927</v>
      </c>
      <c r="D1803" s="159">
        <v>4</v>
      </c>
      <c r="E1803" s="159">
        <v>279.94</v>
      </c>
      <c r="F1803" s="159">
        <v>1119.76</v>
      </c>
      <c r="G1803" s="160" t="s">
        <v>4872</v>
      </c>
    </row>
    <row r="1804" spans="1:8" ht="33">
      <c r="A1804" s="160">
        <v>4</v>
      </c>
      <c r="B1804" s="160" t="s">
        <v>1441</v>
      </c>
      <c r="C1804" s="157" t="s">
        <v>927</v>
      </c>
      <c r="D1804" s="159">
        <v>1</v>
      </c>
      <c r="E1804" s="159">
        <v>1359.84</v>
      </c>
      <c r="F1804" s="159">
        <v>1359.84</v>
      </c>
      <c r="G1804" s="160" t="s">
        <v>1442</v>
      </c>
      <c r="H1804" s="34" t="s">
        <v>925</v>
      </c>
    </row>
    <row r="1805" spans="1:8" ht="33">
      <c r="A1805" s="160">
        <v>5</v>
      </c>
      <c r="B1805" s="160" t="s">
        <v>1443</v>
      </c>
      <c r="C1805" s="157" t="s">
        <v>927</v>
      </c>
      <c r="D1805" s="159">
        <v>1</v>
      </c>
      <c r="E1805" s="159">
        <v>399.48</v>
      </c>
      <c r="F1805" s="159">
        <v>399.48</v>
      </c>
      <c r="G1805" s="160" t="s">
        <v>1444</v>
      </c>
      <c r="H1805" s="34" t="s">
        <v>925</v>
      </c>
    </row>
    <row r="1806" spans="1:8" ht="33">
      <c r="A1806" s="160">
        <v>6</v>
      </c>
      <c r="B1806" s="160" t="s">
        <v>931</v>
      </c>
      <c r="C1806" s="157" t="s">
        <v>14</v>
      </c>
      <c r="D1806" s="159">
        <v>1</v>
      </c>
      <c r="E1806" s="159">
        <v>1413.93</v>
      </c>
      <c r="F1806" s="159">
        <v>1413.93</v>
      </c>
      <c r="G1806" s="160" t="s">
        <v>932</v>
      </c>
      <c r="H1806" s="34" t="s">
        <v>925</v>
      </c>
    </row>
    <row r="1807" spans="1:8" ht="33">
      <c r="A1807" s="160"/>
      <c r="B1807" s="160" t="s">
        <v>933</v>
      </c>
      <c r="C1807" s="157" t="s">
        <v>17</v>
      </c>
      <c r="D1807" s="159">
        <v>2.4</v>
      </c>
      <c r="E1807" s="159"/>
      <c r="F1807" s="159">
        <v>48545.04</v>
      </c>
      <c r="G1807" s="160"/>
      <c r="H1807" s="34" t="s">
        <v>925</v>
      </c>
    </row>
    <row r="1808" spans="1:8" ht="33">
      <c r="A1808" s="160"/>
      <c r="B1808" s="160" t="s">
        <v>934</v>
      </c>
      <c r="C1808" s="157" t="s">
        <v>17</v>
      </c>
      <c r="D1808" s="159"/>
      <c r="E1808" s="159"/>
      <c r="F1808" s="159">
        <v>20227.099999999999</v>
      </c>
      <c r="G1808" s="160"/>
      <c r="H1808" s="34" t="s">
        <v>925</v>
      </c>
    </row>
    <row r="1809" spans="1:8" ht="33">
      <c r="A1809" s="160"/>
      <c r="B1809" s="160"/>
      <c r="C1809" s="157"/>
      <c r="D1809" s="159"/>
      <c r="E1809" s="159"/>
      <c r="F1809" s="159"/>
      <c r="G1809" s="160"/>
      <c r="H1809" s="34" t="s">
        <v>925</v>
      </c>
    </row>
    <row r="1810" spans="1:8" ht="28.5">
      <c r="A1810" s="160" t="s">
        <v>2021</v>
      </c>
      <c r="B1810" s="160" t="s">
        <v>1812</v>
      </c>
      <c r="C1810" s="157" t="s">
        <v>17</v>
      </c>
      <c r="D1810" s="159">
        <v>2.4</v>
      </c>
      <c r="E1810" s="159">
        <v>24271.279999999999</v>
      </c>
      <c r="F1810" s="159"/>
      <c r="G1810" s="160" t="s">
        <v>1813</v>
      </c>
    </row>
    <row r="1811" spans="1:8" ht="33">
      <c r="A1811" s="160">
        <v>1</v>
      </c>
      <c r="B1811" s="160" t="s">
        <v>1814</v>
      </c>
      <c r="C1811" s="157" t="s">
        <v>1497</v>
      </c>
      <c r="D1811" s="159">
        <v>1</v>
      </c>
      <c r="E1811" s="159">
        <v>52630.22</v>
      </c>
      <c r="F1811" s="159">
        <v>52630.22</v>
      </c>
      <c r="G1811" s="160" t="s">
        <v>1815</v>
      </c>
      <c r="H1811" s="34" t="s">
        <v>925</v>
      </c>
    </row>
    <row r="1812" spans="1:8" ht="42.75">
      <c r="A1812" s="160">
        <v>2</v>
      </c>
      <c r="B1812" s="160" t="s">
        <v>4962</v>
      </c>
      <c r="C1812" s="157" t="s">
        <v>927</v>
      </c>
      <c r="D1812" s="159">
        <v>1.1000000000000001</v>
      </c>
      <c r="E1812" s="159">
        <v>408.45</v>
      </c>
      <c r="F1812" s="159">
        <v>449.3</v>
      </c>
      <c r="G1812" s="160" t="s">
        <v>4963</v>
      </c>
      <c r="H1812" s="34" t="s">
        <v>925</v>
      </c>
    </row>
    <row r="1813" spans="1:8" ht="33">
      <c r="A1813" s="160">
        <v>3</v>
      </c>
      <c r="B1813" s="160" t="s">
        <v>4871</v>
      </c>
      <c r="C1813" s="157" t="s">
        <v>927</v>
      </c>
      <c r="D1813" s="159">
        <v>5.5</v>
      </c>
      <c r="E1813" s="159">
        <v>279.94</v>
      </c>
      <c r="F1813" s="159">
        <v>1539.67</v>
      </c>
      <c r="G1813" s="160" t="s">
        <v>4872</v>
      </c>
      <c r="H1813" s="34" t="s">
        <v>925</v>
      </c>
    </row>
    <row r="1814" spans="1:8" ht="33">
      <c r="A1814" s="160">
        <v>4</v>
      </c>
      <c r="B1814" s="160" t="s">
        <v>1441</v>
      </c>
      <c r="C1814" s="157" t="s">
        <v>927</v>
      </c>
      <c r="D1814" s="159">
        <v>1.1000000000000001</v>
      </c>
      <c r="E1814" s="159">
        <v>1359.84</v>
      </c>
      <c r="F1814" s="159">
        <v>1495.82</v>
      </c>
      <c r="G1814" s="160" t="s">
        <v>1442</v>
      </c>
      <c r="H1814" s="34" t="s">
        <v>925</v>
      </c>
    </row>
    <row r="1815" spans="1:8" ht="33">
      <c r="A1815" s="160">
        <v>5</v>
      </c>
      <c r="B1815" s="160" t="s">
        <v>1443</v>
      </c>
      <c r="C1815" s="157" t="s">
        <v>927</v>
      </c>
      <c r="D1815" s="159">
        <v>1.1000000000000001</v>
      </c>
      <c r="E1815" s="159">
        <v>399.48</v>
      </c>
      <c r="F1815" s="159">
        <v>439.43</v>
      </c>
      <c r="G1815" s="160" t="s">
        <v>1444</v>
      </c>
      <c r="H1815" s="34" t="s">
        <v>925</v>
      </c>
    </row>
    <row r="1816" spans="1:8" ht="33">
      <c r="A1816" s="160">
        <v>6</v>
      </c>
      <c r="B1816" s="160" t="s">
        <v>931</v>
      </c>
      <c r="C1816" s="157" t="s">
        <v>14</v>
      </c>
      <c r="D1816" s="159">
        <v>1</v>
      </c>
      <c r="E1816" s="159">
        <v>1696.63</v>
      </c>
      <c r="F1816" s="159">
        <v>1696.63</v>
      </c>
      <c r="G1816" s="160" t="s">
        <v>932</v>
      </c>
      <c r="H1816" s="34" t="s">
        <v>925</v>
      </c>
    </row>
    <row r="1817" spans="1:8" ht="16.5">
      <c r="A1817" s="160"/>
      <c r="B1817" s="160" t="s">
        <v>933</v>
      </c>
      <c r="C1817" s="157" t="s">
        <v>17</v>
      </c>
      <c r="D1817" s="159">
        <v>2.4</v>
      </c>
      <c r="E1817" s="159"/>
      <c r="F1817" s="159">
        <v>58251.07</v>
      </c>
      <c r="G1817" s="160"/>
    </row>
    <row r="1818" spans="1:8" ht="33">
      <c r="A1818" s="160"/>
      <c r="B1818" s="160" t="s">
        <v>934</v>
      </c>
      <c r="C1818" s="157" t="s">
        <v>17</v>
      </c>
      <c r="D1818" s="159"/>
      <c r="E1818" s="159"/>
      <c r="F1818" s="159">
        <v>24271.279999999999</v>
      </c>
      <c r="G1818" s="160"/>
      <c r="H1818" s="34" t="s">
        <v>925</v>
      </c>
    </row>
    <row r="1819" spans="1:8" ht="33">
      <c r="A1819" s="160"/>
      <c r="B1819" s="160"/>
      <c r="C1819" s="157"/>
      <c r="D1819" s="159"/>
      <c r="E1819" s="159"/>
      <c r="F1819" s="159"/>
      <c r="G1819" s="160"/>
      <c r="H1819" s="34" t="s">
        <v>925</v>
      </c>
    </row>
    <row r="1820" spans="1:8" ht="33">
      <c r="A1820" s="160" t="s">
        <v>2028</v>
      </c>
      <c r="B1820" s="160" t="s">
        <v>1817</v>
      </c>
      <c r="C1820" s="157" t="s">
        <v>1818</v>
      </c>
      <c r="D1820" s="159">
        <v>1</v>
      </c>
      <c r="E1820" s="159">
        <v>1170.79</v>
      </c>
      <c r="F1820" s="159"/>
      <c r="G1820" s="160" t="s">
        <v>1819</v>
      </c>
      <c r="H1820" s="34" t="s">
        <v>925</v>
      </c>
    </row>
    <row r="1821" spans="1:8" ht="33">
      <c r="A1821" s="160">
        <v>1</v>
      </c>
      <c r="B1821" s="160" t="s">
        <v>1820</v>
      </c>
      <c r="C1821" s="157" t="s">
        <v>1818</v>
      </c>
      <c r="D1821" s="159">
        <v>1</v>
      </c>
      <c r="E1821" s="159">
        <v>1091.8599999999999</v>
      </c>
      <c r="F1821" s="159">
        <v>1091.8599999999999</v>
      </c>
      <c r="G1821" s="160" t="s">
        <v>1821</v>
      </c>
      <c r="H1821" s="34" t="s">
        <v>925</v>
      </c>
    </row>
    <row r="1822" spans="1:8" ht="33">
      <c r="A1822" s="160">
        <v>2</v>
      </c>
      <c r="B1822" s="160" t="s">
        <v>1822</v>
      </c>
      <c r="C1822" s="157" t="s">
        <v>1818</v>
      </c>
      <c r="D1822" s="159">
        <v>1</v>
      </c>
      <c r="E1822" s="159">
        <v>44.83</v>
      </c>
      <c r="F1822" s="159">
        <v>44.83</v>
      </c>
      <c r="G1822" s="160" t="s">
        <v>1823</v>
      </c>
      <c r="H1822" s="34" t="s">
        <v>925</v>
      </c>
    </row>
    <row r="1823" spans="1:8" ht="33">
      <c r="A1823" s="160">
        <v>3</v>
      </c>
      <c r="B1823" s="160" t="s">
        <v>931</v>
      </c>
      <c r="C1823" s="157" t="s">
        <v>14</v>
      </c>
      <c r="D1823" s="159">
        <v>1</v>
      </c>
      <c r="E1823" s="159">
        <v>34.1</v>
      </c>
      <c r="F1823" s="159">
        <v>34.1</v>
      </c>
      <c r="G1823" s="160" t="s">
        <v>932</v>
      </c>
      <c r="H1823" s="34" t="s">
        <v>925</v>
      </c>
    </row>
    <row r="1824" spans="1:8" ht="16.5">
      <c r="A1824" s="160"/>
      <c r="B1824" s="160" t="s">
        <v>933</v>
      </c>
      <c r="C1824" s="157" t="s">
        <v>1818</v>
      </c>
      <c r="D1824" s="159">
        <v>1</v>
      </c>
      <c r="E1824" s="159"/>
      <c r="F1824" s="159">
        <v>1170.7899999999997</v>
      </c>
      <c r="G1824" s="160"/>
    </row>
    <row r="1825" spans="1:8" ht="33">
      <c r="A1825" s="160"/>
      <c r="B1825" s="160" t="s">
        <v>934</v>
      </c>
      <c r="C1825" s="157" t="s">
        <v>1818</v>
      </c>
      <c r="D1825" s="159"/>
      <c r="E1825" s="159"/>
      <c r="F1825" s="159">
        <v>1170.79</v>
      </c>
      <c r="G1825" s="160"/>
      <c r="H1825" s="34" t="s">
        <v>925</v>
      </c>
    </row>
    <row r="1826" spans="1:8" ht="33">
      <c r="A1826" s="160"/>
      <c r="B1826" s="160"/>
      <c r="C1826" s="157"/>
      <c r="D1826" s="159"/>
      <c r="E1826" s="159"/>
      <c r="F1826" s="159"/>
      <c r="G1826" s="160"/>
      <c r="H1826" s="34" t="s">
        <v>925</v>
      </c>
    </row>
    <row r="1827" spans="1:8" ht="33">
      <c r="A1827" s="160" t="s">
        <v>2031</v>
      </c>
      <c r="B1827" s="160" t="s">
        <v>1825</v>
      </c>
      <c r="C1827" s="157" t="s">
        <v>1818</v>
      </c>
      <c r="D1827" s="159">
        <v>1</v>
      </c>
      <c r="E1827" s="159">
        <v>1307.26</v>
      </c>
      <c r="F1827" s="159"/>
      <c r="G1827" s="160" t="s">
        <v>1826</v>
      </c>
      <c r="H1827" s="34" t="s">
        <v>925</v>
      </c>
    </row>
    <row r="1828" spans="1:8" ht="33">
      <c r="A1828" s="160">
        <v>1</v>
      </c>
      <c r="B1828" s="160" t="s">
        <v>1827</v>
      </c>
      <c r="C1828" s="157" t="s">
        <v>1818</v>
      </c>
      <c r="D1828" s="159">
        <v>1</v>
      </c>
      <c r="E1828" s="159">
        <v>1219.3699999999999</v>
      </c>
      <c r="F1828" s="159">
        <v>1219.3699999999999</v>
      </c>
      <c r="G1828" s="160" t="s">
        <v>1828</v>
      </c>
      <c r="H1828" s="34" t="s">
        <v>925</v>
      </c>
    </row>
    <row r="1829" spans="1:8" ht="33">
      <c r="A1829" s="160">
        <v>2</v>
      </c>
      <c r="B1829" s="160" t="s">
        <v>1829</v>
      </c>
      <c r="C1829" s="157" t="s">
        <v>1818</v>
      </c>
      <c r="D1829" s="159">
        <v>1</v>
      </c>
      <c r="E1829" s="159">
        <v>49.81</v>
      </c>
      <c r="F1829" s="159">
        <v>49.81</v>
      </c>
      <c r="G1829" s="160" t="s">
        <v>1830</v>
      </c>
      <c r="H1829" s="34" t="s">
        <v>925</v>
      </c>
    </row>
    <row r="1830" spans="1:8" ht="33">
      <c r="A1830" s="160">
        <v>3</v>
      </c>
      <c r="B1830" s="160" t="s">
        <v>931</v>
      </c>
      <c r="C1830" s="157" t="s">
        <v>14</v>
      </c>
      <c r="D1830" s="159">
        <v>1</v>
      </c>
      <c r="E1830" s="159">
        <v>38.08</v>
      </c>
      <c r="F1830" s="159">
        <v>38.08</v>
      </c>
      <c r="G1830" s="160" t="s">
        <v>932</v>
      </c>
      <c r="H1830" s="34" t="s">
        <v>925</v>
      </c>
    </row>
    <row r="1831" spans="1:8" ht="16.5">
      <c r="A1831" s="160"/>
      <c r="B1831" s="160" t="s">
        <v>933</v>
      </c>
      <c r="C1831" s="157" t="s">
        <v>1818</v>
      </c>
      <c r="D1831" s="159">
        <v>1</v>
      </c>
      <c r="E1831" s="159"/>
      <c r="F1831" s="159">
        <v>1307.2599999999998</v>
      </c>
      <c r="G1831" s="160"/>
    </row>
    <row r="1832" spans="1:8" ht="33">
      <c r="A1832" s="160"/>
      <c r="B1832" s="160" t="s">
        <v>934</v>
      </c>
      <c r="C1832" s="157" t="s">
        <v>1818</v>
      </c>
      <c r="D1832" s="159"/>
      <c r="E1832" s="159"/>
      <c r="F1832" s="159">
        <v>1307.26</v>
      </c>
      <c r="G1832" s="160"/>
      <c r="H1832" s="34" t="s">
        <v>925</v>
      </c>
    </row>
    <row r="1833" spans="1:8" ht="33">
      <c r="A1833" s="160"/>
      <c r="B1833" s="160"/>
      <c r="C1833" s="157"/>
      <c r="D1833" s="159"/>
      <c r="E1833" s="159"/>
      <c r="F1833" s="159"/>
      <c r="G1833" s="160"/>
      <c r="H1833" s="34" t="s">
        <v>925</v>
      </c>
    </row>
    <row r="1834" spans="1:8" ht="33">
      <c r="A1834" s="160" t="s">
        <v>2036</v>
      </c>
      <c r="B1834" s="160" t="s">
        <v>1832</v>
      </c>
      <c r="C1834" s="157" t="s">
        <v>1818</v>
      </c>
      <c r="D1834" s="159">
        <v>1</v>
      </c>
      <c r="E1834" s="159">
        <v>1591.48</v>
      </c>
      <c r="F1834" s="159"/>
      <c r="G1834" s="160" t="s">
        <v>1833</v>
      </c>
      <c r="H1834" s="34" t="s">
        <v>925</v>
      </c>
    </row>
    <row r="1835" spans="1:8" ht="33">
      <c r="A1835" s="160">
        <v>1</v>
      </c>
      <c r="B1835" s="160" t="s">
        <v>1834</v>
      </c>
      <c r="C1835" s="157" t="s">
        <v>1818</v>
      </c>
      <c r="D1835" s="159">
        <v>1</v>
      </c>
      <c r="E1835" s="159">
        <v>1490.34</v>
      </c>
      <c r="F1835" s="159">
        <v>1490.34</v>
      </c>
      <c r="G1835" s="160" t="s">
        <v>1835</v>
      </c>
      <c r="H1835" s="34" t="s">
        <v>925</v>
      </c>
    </row>
    <row r="1836" spans="1:8" ht="33">
      <c r="A1836" s="160">
        <v>2</v>
      </c>
      <c r="B1836" s="160" t="s">
        <v>1836</v>
      </c>
      <c r="C1836" s="157" t="s">
        <v>1818</v>
      </c>
      <c r="D1836" s="159">
        <v>1</v>
      </c>
      <c r="E1836" s="159">
        <v>54.79</v>
      </c>
      <c r="F1836" s="159">
        <v>54.79</v>
      </c>
      <c r="G1836" s="160" t="s">
        <v>1837</v>
      </c>
      <c r="H1836" s="34" t="s">
        <v>925</v>
      </c>
    </row>
    <row r="1837" spans="1:8" ht="33">
      <c r="A1837" s="160">
        <v>3</v>
      </c>
      <c r="B1837" s="160" t="s">
        <v>931</v>
      </c>
      <c r="C1837" s="157" t="s">
        <v>14</v>
      </c>
      <c r="D1837" s="159">
        <v>1</v>
      </c>
      <c r="E1837" s="159">
        <v>46.35</v>
      </c>
      <c r="F1837" s="159">
        <v>46.35</v>
      </c>
      <c r="G1837" s="160" t="s">
        <v>932</v>
      </c>
      <c r="H1837" s="34" t="s">
        <v>925</v>
      </c>
    </row>
    <row r="1838" spans="1:8" ht="16.5">
      <c r="A1838" s="160"/>
      <c r="B1838" s="160" t="s">
        <v>933</v>
      </c>
      <c r="C1838" s="157" t="s">
        <v>1818</v>
      </c>
      <c r="D1838" s="159">
        <v>1</v>
      </c>
      <c r="E1838" s="159"/>
      <c r="F1838" s="159">
        <v>1591.4799999999998</v>
      </c>
      <c r="G1838" s="160"/>
    </row>
    <row r="1839" spans="1:8" ht="33">
      <c r="A1839" s="160"/>
      <c r="B1839" s="160" t="s">
        <v>934</v>
      </c>
      <c r="C1839" s="157" t="s">
        <v>1818</v>
      </c>
      <c r="D1839" s="159"/>
      <c r="E1839" s="159"/>
      <c r="F1839" s="159">
        <v>1591.48</v>
      </c>
      <c r="G1839" s="160"/>
      <c r="H1839" s="34" t="s">
        <v>925</v>
      </c>
    </row>
    <row r="1840" spans="1:8" ht="33">
      <c r="A1840" s="160"/>
      <c r="B1840" s="160"/>
      <c r="C1840" s="157"/>
      <c r="D1840" s="159"/>
      <c r="E1840" s="159"/>
      <c r="F1840" s="159"/>
      <c r="G1840" s="160"/>
      <c r="H1840" s="34" t="s">
        <v>925</v>
      </c>
    </row>
    <row r="1841" spans="1:8" ht="33">
      <c r="A1841" s="160" t="s">
        <v>2041</v>
      </c>
      <c r="B1841" s="160" t="s">
        <v>1839</v>
      </c>
      <c r="C1841" s="157" t="s">
        <v>1818</v>
      </c>
      <c r="D1841" s="159">
        <v>1</v>
      </c>
      <c r="E1841" s="159">
        <v>1632.53</v>
      </c>
      <c r="F1841" s="159"/>
      <c r="G1841" s="160" t="s">
        <v>1840</v>
      </c>
      <c r="H1841" s="34" t="s">
        <v>925</v>
      </c>
    </row>
    <row r="1842" spans="1:8" ht="33">
      <c r="A1842" s="160">
        <v>1</v>
      </c>
      <c r="B1842" s="160" t="s">
        <v>1841</v>
      </c>
      <c r="C1842" s="157" t="s">
        <v>1818</v>
      </c>
      <c r="D1842" s="159">
        <v>1</v>
      </c>
      <c r="E1842" s="159">
        <v>1525.21</v>
      </c>
      <c r="F1842" s="159">
        <v>1525.21</v>
      </c>
      <c r="G1842" s="160" t="s">
        <v>1842</v>
      </c>
      <c r="H1842" s="34" t="s">
        <v>925</v>
      </c>
    </row>
    <row r="1843" spans="1:8" ht="33">
      <c r="A1843" s="160">
        <v>2</v>
      </c>
      <c r="B1843" s="160" t="s">
        <v>1843</v>
      </c>
      <c r="C1843" s="157" t="s">
        <v>1818</v>
      </c>
      <c r="D1843" s="159">
        <v>1</v>
      </c>
      <c r="E1843" s="159">
        <v>59.77</v>
      </c>
      <c r="F1843" s="159">
        <v>59.77</v>
      </c>
      <c r="G1843" s="160" t="s">
        <v>1844</v>
      </c>
      <c r="H1843" s="34" t="s">
        <v>925</v>
      </c>
    </row>
    <row r="1844" spans="1:8" ht="33">
      <c r="A1844" s="160">
        <v>3</v>
      </c>
      <c r="B1844" s="160" t="s">
        <v>931</v>
      </c>
      <c r="C1844" s="157" t="s">
        <v>14</v>
      </c>
      <c r="D1844" s="159">
        <v>1</v>
      </c>
      <c r="E1844" s="159">
        <v>47.55</v>
      </c>
      <c r="F1844" s="159">
        <v>47.55</v>
      </c>
      <c r="G1844" s="160" t="s">
        <v>932</v>
      </c>
      <c r="H1844" s="34" t="s">
        <v>925</v>
      </c>
    </row>
    <row r="1845" spans="1:8" ht="16.5">
      <c r="A1845" s="160"/>
      <c r="B1845" s="160" t="s">
        <v>933</v>
      </c>
      <c r="C1845" s="157" t="s">
        <v>1818</v>
      </c>
      <c r="D1845" s="159">
        <v>1</v>
      </c>
      <c r="E1845" s="159"/>
      <c r="F1845" s="159">
        <v>1632.53</v>
      </c>
      <c r="G1845" s="160"/>
    </row>
    <row r="1846" spans="1:8" ht="33">
      <c r="A1846" s="160"/>
      <c r="B1846" s="160" t="s">
        <v>934</v>
      </c>
      <c r="C1846" s="157" t="s">
        <v>1818</v>
      </c>
      <c r="D1846" s="159"/>
      <c r="E1846" s="159"/>
      <c r="F1846" s="159">
        <v>1632.53</v>
      </c>
      <c r="G1846" s="160"/>
      <c r="H1846" s="34" t="s">
        <v>925</v>
      </c>
    </row>
    <row r="1847" spans="1:8" ht="33">
      <c r="A1847" s="160"/>
      <c r="B1847" s="160"/>
      <c r="C1847" s="157"/>
      <c r="D1847" s="159"/>
      <c r="E1847" s="159"/>
      <c r="F1847" s="159"/>
      <c r="G1847" s="160"/>
      <c r="H1847" s="34" t="s">
        <v>925</v>
      </c>
    </row>
    <row r="1848" spans="1:8" ht="33">
      <c r="A1848" s="160" t="s">
        <v>2046</v>
      </c>
      <c r="B1848" s="160" t="s">
        <v>1846</v>
      </c>
      <c r="C1848" s="157" t="s">
        <v>1818</v>
      </c>
      <c r="D1848" s="159">
        <v>1</v>
      </c>
      <c r="E1848" s="159">
        <v>1836.73</v>
      </c>
      <c r="F1848" s="159"/>
      <c r="G1848" s="160" t="s">
        <v>1847</v>
      </c>
      <c r="H1848" s="34" t="s">
        <v>925</v>
      </c>
    </row>
    <row r="1849" spans="1:8" ht="33">
      <c r="A1849" s="160">
        <v>1</v>
      </c>
      <c r="B1849" s="160" t="s">
        <v>1848</v>
      </c>
      <c r="C1849" s="157" t="s">
        <v>1818</v>
      </c>
      <c r="D1849" s="159">
        <v>1</v>
      </c>
      <c r="E1849" s="159">
        <v>1718.48</v>
      </c>
      <c r="F1849" s="159">
        <v>1718.48</v>
      </c>
      <c r="G1849" s="160" t="s">
        <v>1849</v>
      </c>
      <c r="H1849" s="34" t="s">
        <v>925</v>
      </c>
    </row>
    <row r="1850" spans="1:8" ht="33">
      <c r="A1850" s="160">
        <v>2</v>
      </c>
      <c r="B1850" s="160" t="s">
        <v>1850</v>
      </c>
      <c r="C1850" s="157" t="s">
        <v>1818</v>
      </c>
      <c r="D1850" s="159">
        <v>1</v>
      </c>
      <c r="E1850" s="159">
        <v>64.75</v>
      </c>
      <c r="F1850" s="159">
        <v>64.75</v>
      </c>
      <c r="G1850" s="160" t="s">
        <v>1851</v>
      </c>
      <c r="H1850" s="34" t="s">
        <v>925</v>
      </c>
    </row>
    <row r="1851" spans="1:8" ht="33">
      <c r="A1851" s="160">
        <v>3</v>
      </c>
      <c r="B1851" s="160" t="s">
        <v>931</v>
      </c>
      <c r="C1851" s="157" t="s">
        <v>14</v>
      </c>
      <c r="D1851" s="159">
        <v>1</v>
      </c>
      <c r="E1851" s="159">
        <v>53.5</v>
      </c>
      <c r="F1851" s="159">
        <v>53.5</v>
      </c>
      <c r="G1851" s="160" t="s">
        <v>932</v>
      </c>
      <c r="H1851" s="34" t="s">
        <v>925</v>
      </c>
    </row>
    <row r="1852" spans="1:8" ht="33">
      <c r="A1852" s="160"/>
      <c r="B1852" s="160" t="s">
        <v>933</v>
      </c>
      <c r="C1852" s="157" t="s">
        <v>1818</v>
      </c>
      <c r="D1852" s="159">
        <v>1</v>
      </c>
      <c r="E1852" s="159"/>
      <c r="F1852" s="159">
        <v>1836.73</v>
      </c>
      <c r="G1852" s="160"/>
      <c r="H1852" s="34" t="s">
        <v>925</v>
      </c>
    </row>
    <row r="1853" spans="1:8" ht="33">
      <c r="A1853" s="160"/>
      <c r="B1853" s="160" t="s">
        <v>934</v>
      </c>
      <c r="C1853" s="157" t="s">
        <v>1818</v>
      </c>
      <c r="D1853" s="159"/>
      <c r="E1853" s="159"/>
      <c r="F1853" s="159">
        <v>1836.73</v>
      </c>
      <c r="G1853" s="160"/>
      <c r="H1853" s="34" t="s">
        <v>925</v>
      </c>
    </row>
    <row r="1854" spans="1:8" ht="16.5">
      <c r="A1854" s="160"/>
      <c r="B1854" s="160"/>
      <c r="C1854" s="157"/>
      <c r="D1854" s="159"/>
      <c r="E1854" s="159"/>
      <c r="F1854" s="159"/>
      <c r="G1854" s="160"/>
    </row>
    <row r="1855" spans="1:8" ht="33">
      <c r="A1855" s="160" t="s">
        <v>2053</v>
      </c>
      <c r="B1855" s="160" t="s">
        <v>1853</v>
      </c>
      <c r="C1855" s="157" t="s">
        <v>1818</v>
      </c>
      <c r="D1855" s="159">
        <v>1</v>
      </c>
      <c r="E1855" s="159">
        <v>2124.0500000000002</v>
      </c>
      <c r="F1855" s="159"/>
      <c r="G1855" s="160" t="s">
        <v>1854</v>
      </c>
      <c r="H1855" s="34" t="s">
        <v>925</v>
      </c>
    </row>
    <row r="1856" spans="1:8" ht="33">
      <c r="A1856" s="160">
        <v>1</v>
      </c>
      <c r="B1856" s="160" t="s">
        <v>1855</v>
      </c>
      <c r="C1856" s="157" t="s">
        <v>1818</v>
      </c>
      <c r="D1856" s="159">
        <v>1</v>
      </c>
      <c r="E1856" s="159">
        <v>1992.44</v>
      </c>
      <c r="F1856" s="159">
        <v>1992.44</v>
      </c>
      <c r="G1856" s="160" t="s">
        <v>1856</v>
      </c>
      <c r="H1856" s="34" t="s">
        <v>925</v>
      </c>
    </row>
    <row r="1857" spans="1:8" ht="33">
      <c r="A1857" s="160">
        <v>2</v>
      </c>
      <c r="B1857" s="160" t="s">
        <v>1857</v>
      </c>
      <c r="C1857" s="157" t="s">
        <v>1818</v>
      </c>
      <c r="D1857" s="159">
        <v>1</v>
      </c>
      <c r="E1857" s="159">
        <v>69.739999999999995</v>
      </c>
      <c r="F1857" s="159">
        <v>69.739999999999995</v>
      </c>
      <c r="G1857" s="160" t="s">
        <v>1858</v>
      </c>
      <c r="H1857" s="34" t="s">
        <v>925</v>
      </c>
    </row>
    <row r="1858" spans="1:8" ht="33">
      <c r="A1858" s="160">
        <v>3</v>
      </c>
      <c r="B1858" s="160" t="s">
        <v>931</v>
      </c>
      <c r="C1858" s="157" t="s">
        <v>14</v>
      </c>
      <c r="D1858" s="159">
        <v>1</v>
      </c>
      <c r="E1858" s="159">
        <v>61.87</v>
      </c>
      <c r="F1858" s="159">
        <v>61.87</v>
      </c>
      <c r="G1858" s="160" t="s">
        <v>932</v>
      </c>
      <c r="H1858" s="34" t="s">
        <v>925</v>
      </c>
    </row>
    <row r="1859" spans="1:8" ht="33">
      <c r="A1859" s="160"/>
      <c r="B1859" s="160" t="s">
        <v>933</v>
      </c>
      <c r="C1859" s="157" t="s">
        <v>1818</v>
      </c>
      <c r="D1859" s="159">
        <v>1</v>
      </c>
      <c r="E1859" s="159"/>
      <c r="F1859" s="159">
        <v>2124.0499999999997</v>
      </c>
      <c r="G1859" s="160"/>
      <c r="H1859" s="34" t="s">
        <v>925</v>
      </c>
    </row>
    <row r="1860" spans="1:8" ht="33">
      <c r="A1860" s="160"/>
      <c r="B1860" s="160" t="s">
        <v>934</v>
      </c>
      <c r="C1860" s="157" t="s">
        <v>1818</v>
      </c>
      <c r="D1860" s="159"/>
      <c r="E1860" s="159"/>
      <c r="F1860" s="159">
        <v>2124.0500000000002</v>
      </c>
      <c r="G1860" s="160"/>
      <c r="H1860" s="34" t="s">
        <v>925</v>
      </c>
    </row>
    <row r="1861" spans="1:8" ht="33">
      <c r="A1861" s="160"/>
      <c r="B1861" s="160"/>
      <c r="C1861" s="157"/>
      <c r="D1861" s="159"/>
      <c r="E1861" s="159"/>
      <c r="F1861" s="159"/>
      <c r="G1861" s="160"/>
      <c r="H1861" s="34" t="s">
        <v>925</v>
      </c>
    </row>
    <row r="1862" spans="1:8" ht="33">
      <c r="A1862" s="160" t="s">
        <v>2058</v>
      </c>
      <c r="B1862" s="160" t="s">
        <v>1860</v>
      </c>
      <c r="C1862" s="157" t="s">
        <v>1818</v>
      </c>
      <c r="D1862" s="159">
        <v>1</v>
      </c>
      <c r="E1862" s="159">
        <v>2280.0100000000002</v>
      </c>
      <c r="F1862" s="159"/>
      <c r="G1862" s="160" t="s">
        <v>1861</v>
      </c>
      <c r="H1862" s="34" t="s">
        <v>925</v>
      </c>
    </row>
    <row r="1863" spans="1:8" ht="33">
      <c r="A1863" s="160">
        <v>1</v>
      </c>
      <c r="B1863" s="160" t="s">
        <v>1862</v>
      </c>
      <c r="C1863" s="157" t="s">
        <v>1818</v>
      </c>
      <c r="D1863" s="159">
        <v>1</v>
      </c>
      <c r="E1863" s="159">
        <v>2138.88</v>
      </c>
      <c r="F1863" s="159">
        <v>2138.88</v>
      </c>
      <c r="G1863" s="160" t="s">
        <v>1863</v>
      </c>
      <c r="H1863" s="34" t="s">
        <v>925</v>
      </c>
    </row>
    <row r="1864" spans="1:8" ht="33">
      <c r="A1864" s="160">
        <v>2</v>
      </c>
      <c r="B1864" s="160" t="s">
        <v>1864</v>
      </c>
      <c r="C1864" s="157" t="s">
        <v>1818</v>
      </c>
      <c r="D1864" s="159">
        <v>1</v>
      </c>
      <c r="E1864" s="159">
        <v>74.72</v>
      </c>
      <c r="F1864" s="159">
        <v>74.72</v>
      </c>
      <c r="G1864" s="160" t="s">
        <v>1865</v>
      </c>
      <c r="H1864" s="34" t="s">
        <v>925</v>
      </c>
    </row>
    <row r="1865" spans="1:8" ht="28.5">
      <c r="A1865" s="160">
        <v>3</v>
      </c>
      <c r="B1865" s="160" t="s">
        <v>931</v>
      </c>
      <c r="C1865" s="157" t="s">
        <v>14</v>
      </c>
      <c r="D1865" s="159">
        <v>1</v>
      </c>
      <c r="E1865" s="159">
        <v>66.41</v>
      </c>
      <c r="F1865" s="159">
        <v>66.41</v>
      </c>
      <c r="G1865" s="160" t="s">
        <v>932</v>
      </c>
    </row>
    <row r="1866" spans="1:8" ht="33">
      <c r="A1866" s="160"/>
      <c r="B1866" s="160" t="s">
        <v>933</v>
      </c>
      <c r="C1866" s="157" t="s">
        <v>1818</v>
      </c>
      <c r="D1866" s="159">
        <v>1</v>
      </c>
      <c r="E1866" s="159"/>
      <c r="F1866" s="159">
        <v>2280.0099999999998</v>
      </c>
      <c r="G1866" s="160"/>
      <c r="H1866" s="34" t="s">
        <v>925</v>
      </c>
    </row>
    <row r="1867" spans="1:8" ht="33">
      <c r="A1867" s="160"/>
      <c r="B1867" s="160" t="s">
        <v>934</v>
      </c>
      <c r="C1867" s="157" t="s">
        <v>1818</v>
      </c>
      <c r="D1867" s="159"/>
      <c r="E1867" s="159"/>
      <c r="F1867" s="159">
        <v>2280.0100000000002</v>
      </c>
      <c r="G1867" s="160"/>
      <c r="H1867" s="34" t="s">
        <v>925</v>
      </c>
    </row>
    <row r="1868" spans="1:8" ht="33">
      <c r="A1868" s="160"/>
      <c r="B1868" s="160"/>
      <c r="C1868" s="157"/>
      <c r="D1868" s="159"/>
      <c r="E1868" s="159"/>
      <c r="F1868" s="159"/>
      <c r="G1868" s="160"/>
      <c r="H1868" s="34" t="s">
        <v>925</v>
      </c>
    </row>
    <row r="1869" spans="1:8" ht="33">
      <c r="A1869" s="160" t="s">
        <v>2063</v>
      </c>
      <c r="B1869" s="160" t="s">
        <v>1867</v>
      </c>
      <c r="C1869" s="157" t="s">
        <v>1818</v>
      </c>
      <c r="D1869" s="159">
        <v>1</v>
      </c>
      <c r="E1869" s="159">
        <v>2416.48</v>
      </c>
      <c r="F1869" s="159"/>
      <c r="G1869" s="160" t="s">
        <v>1868</v>
      </c>
      <c r="H1869" s="34" t="s">
        <v>925</v>
      </c>
    </row>
    <row r="1870" spans="1:8" ht="33">
      <c r="A1870" s="160">
        <v>1</v>
      </c>
      <c r="B1870" s="160" t="s">
        <v>1869</v>
      </c>
      <c r="C1870" s="157" t="s">
        <v>1818</v>
      </c>
      <c r="D1870" s="159">
        <v>1</v>
      </c>
      <c r="E1870" s="159">
        <v>2266.4</v>
      </c>
      <c r="F1870" s="159">
        <v>2266.4</v>
      </c>
      <c r="G1870" s="160" t="s">
        <v>1870</v>
      </c>
      <c r="H1870" s="34" t="s">
        <v>925</v>
      </c>
    </row>
    <row r="1871" spans="1:8" ht="33">
      <c r="A1871" s="160">
        <v>2</v>
      </c>
      <c r="B1871" s="160" t="s">
        <v>1871</v>
      </c>
      <c r="C1871" s="157" t="s">
        <v>1818</v>
      </c>
      <c r="D1871" s="159">
        <v>1</v>
      </c>
      <c r="E1871" s="159">
        <v>79.7</v>
      </c>
      <c r="F1871" s="159">
        <v>79.7</v>
      </c>
      <c r="G1871" s="160" t="s">
        <v>1872</v>
      </c>
      <c r="H1871" s="34" t="s">
        <v>925</v>
      </c>
    </row>
    <row r="1872" spans="1:8" ht="33">
      <c r="A1872" s="160">
        <v>3</v>
      </c>
      <c r="B1872" s="160" t="s">
        <v>931</v>
      </c>
      <c r="C1872" s="157" t="s">
        <v>14</v>
      </c>
      <c r="D1872" s="159">
        <v>1</v>
      </c>
      <c r="E1872" s="159">
        <v>70.38</v>
      </c>
      <c r="F1872" s="159">
        <v>70.38</v>
      </c>
      <c r="G1872" s="160" t="s">
        <v>932</v>
      </c>
      <c r="H1872" s="34" t="s">
        <v>925</v>
      </c>
    </row>
    <row r="1873" spans="1:8" ht="16.5">
      <c r="A1873" s="160"/>
      <c r="B1873" s="160" t="s">
        <v>933</v>
      </c>
      <c r="C1873" s="157" t="s">
        <v>1818</v>
      </c>
      <c r="D1873" s="159">
        <v>1</v>
      </c>
      <c r="E1873" s="159"/>
      <c r="F1873" s="159">
        <v>2416.48</v>
      </c>
      <c r="G1873" s="160"/>
    </row>
    <row r="1874" spans="1:8" ht="33">
      <c r="A1874" s="160"/>
      <c r="B1874" s="160" t="s">
        <v>934</v>
      </c>
      <c r="C1874" s="157" t="s">
        <v>1818</v>
      </c>
      <c r="D1874" s="159"/>
      <c r="E1874" s="159"/>
      <c r="F1874" s="159">
        <v>2416.48</v>
      </c>
      <c r="G1874" s="160"/>
      <c r="H1874" s="34" t="s">
        <v>925</v>
      </c>
    </row>
    <row r="1875" spans="1:8" ht="33">
      <c r="A1875" s="160"/>
      <c r="B1875" s="160"/>
      <c r="C1875" s="157"/>
      <c r="D1875" s="159"/>
      <c r="E1875" s="159"/>
      <c r="F1875" s="159"/>
      <c r="G1875" s="160"/>
      <c r="H1875" s="34" t="s">
        <v>925</v>
      </c>
    </row>
    <row r="1876" spans="1:8" ht="33">
      <c r="A1876" s="160" t="s">
        <v>2068</v>
      </c>
      <c r="B1876" s="160" t="s">
        <v>1874</v>
      </c>
      <c r="C1876" s="157" t="s">
        <v>1875</v>
      </c>
      <c r="D1876" s="159">
        <v>1</v>
      </c>
      <c r="E1876" s="159">
        <v>859.87</v>
      </c>
      <c r="F1876" s="159"/>
      <c r="G1876" s="160" t="s">
        <v>1876</v>
      </c>
      <c r="H1876" s="34" t="s">
        <v>925</v>
      </c>
    </row>
    <row r="1877" spans="1:8" ht="33">
      <c r="A1877" s="160">
        <v>1</v>
      </c>
      <c r="B1877" s="160" t="s">
        <v>1877</v>
      </c>
      <c r="C1877" s="157" t="s">
        <v>1875</v>
      </c>
      <c r="D1877" s="159">
        <v>1</v>
      </c>
      <c r="E1877" s="159">
        <v>760.11</v>
      </c>
      <c r="F1877" s="159">
        <v>760.11</v>
      </c>
      <c r="G1877" s="160" t="s">
        <v>1878</v>
      </c>
      <c r="H1877" s="34" t="s">
        <v>925</v>
      </c>
    </row>
    <row r="1878" spans="1:8" ht="33">
      <c r="A1878" s="160">
        <v>2</v>
      </c>
      <c r="B1878" s="160" t="s">
        <v>1879</v>
      </c>
      <c r="C1878" s="157" t="s">
        <v>1875</v>
      </c>
      <c r="D1878" s="159">
        <v>1</v>
      </c>
      <c r="E1878" s="159">
        <v>74.72</v>
      </c>
      <c r="F1878" s="159">
        <v>74.72</v>
      </c>
      <c r="G1878" s="160" t="s">
        <v>1880</v>
      </c>
      <c r="H1878" s="34" t="s">
        <v>925</v>
      </c>
    </row>
    <row r="1879" spans="1:8" ht="33">
      <c r="A1879" s="160">
        <v>3</v>
      </c>
      <c r="B1879" s="160" t="s">
        <v>931</v>
      </c>
      <c r="C1879" s="157" t="s">
        <v>14</v>
      </c>
      <c r="D1879" s="159">
        <v>1</v>
      </c>
      <c r="E1879" s="159">
        <v>25.04</v>
      </c>
      <c r="F1879" s="159">
        <v>25.04</v>
      </c>
      <c r="G1879" s="160" t="s">
        <v>932</v>
      </c>
      <c r="H1879" s="34" t="s">
        <v>925</v>
      </c>
    </row>
    <row r="1880" spans="1:8" ht="33">
      <c r="A1880" s="160"/>
      <c r="B1880" s="160" t="s">
        <v>933</v>
      </c>
      <c r="C1880" s="157" t="s">
        <v>1875</v>
      </c>
      <c r="D1880" s="159">
        <v>1</v>
      </c>
      <c r="E1880" s="159"/>
      <c r="F1880" s="159">
        <v>859.87</v>
      </c>
      <c r="G1880" s="160"/>
      <c r="H1880" s="34" t="s">
        <v>925</v>
      </c>
    </row>
    <row r="1881" spans="1:8" ht="16.5">
      <c r="A1881" s="160"/>
      <c r="B1881" s="160" t="s">
        <v>934</v>
      </c>
      <c r="C1881" s="157" t="s">
        <v>1875</v>
      </c>
      <c r="D1881" s="159"/>
      <c r="E1881" s="159"/>
      <c r="F1881" s="159">
        <v>859.87</v>
      </c>
      <c r="G1881" s="160"/>
    </row>
    <row r="1882" spans="1:8" ht="33">
      <c r="A1882" s="160"/>
      <c r="B1882" s="160"/>
      <c r="C1882" s="157"/>
      <c r="D1882" s="159"/>
      <c r="E1882" s="159"/>
      <c r="F1882" s="159"/>
      <c r="G1882" s="160"/>
      <c r="H1882" s="34" t="s">
        <v>925</v>
      </c>
    </row>
    <row r="1883" spans="1:8" ht="33">
      <c r="A1883" s="160" t="s">
        <v>2075</v>
      </c>
      <c r="B1883" s="160" t="s">
        <v>1882</v>
      </c>
      <c r="C1883" s="157" t="s">
        <v>1875</v>
      </c>
      <c r="D1883" s="159">
        <v>1</v>
      </c>
      <c r="E1883" s="159">
        <v>944.02</v>
      </c>
      <c r="F1883" s="159"/>
      <c r="G1883" s="160" t="s">
        <v>1883</v>
      </c>
      <c r="H1883" s="34" t="s">
        <v>925</v>
      </c>
    </row>
    <row r="1884" spans="1:8" ht="33">
      <c r="A1884" s="160">
        <v>1</v>
      </c>
      <c r="B1884" s="160" t="s">
        <v>1884</v>
      </c>
      <c r="C1884" s="157" t="s">
        <v>1875</v>
      </c>
      <c r="D1884" s="159">
        <v>1</v>
      </c>
      <c r="E1884" s="159">
        <v>831.84</v>
      </c>
      <c r="F1884" s="159">
        <v>831.84</v>
      </c>
      <c r="G1884" s="160" t="s">
        <v>1885</v>
      </c>
      <c r="H1884" s="34" t="s">
        <v>925</v>
      </c>
    </row>
    <row r="1885" spans="1:8" ht="33">
      <c r="A1885" s="160">
        <v>2</v>
      </c>
      <c r="B1885" s="160" t="s">
        <v>1886</v>
      </c>
      <c r="C1885" s="157" t="s">
        <v>1875</v>
      </c>
      <c r="D1885" s="159">
        <v>1</v>
      </c>
      <c r="E1885" s="159">
        <v>84.68</v>
      </c>
      <c r="F1885" s="159">
        <v>84.68</v>
      </c>
      <c r="G1885" s="160" t="s">
        <v>1887</v>
      </c>
      <c r="H1885" s="34" t="s">
        <v>925</v>
      </c>
    </row>
    <row r="1886" spans="1:8" ht="33">
      <c r="A1886" s="160">
        <v>3</v>
      </c>
      <c r="B1886" s="160" t="s">
        <v>931</v>
      </c>
      <c r="C1886" s="157" t="s">
        <v>14</v>
      </c>
      <c r="D1886" s="159">
        <v>1</v>
      </c>
      <c r="E1886" s="159">
        <v>27.5</v>
      </c>
      <c r="F1886" s="159">
        <v>27.5</v>
      </c>
      <c r="G1886" s="160" t="s">
        <v>932</v>
      </c>
      <c r="H1886" s="34" t="s">
        <v>925</v>
      </c>
    </row>
    <row r="1887" spans="1:8" ht="33">
      <c r="A1887" s="160"/>
      <c r="B1887" s="160" t="s">
        <v>933</v>
      </c>
      <c r="C1887" s="157" t="s">
        <v>1875</v>
      </c>
      <c r="D1887" s="159">
        <v>1</v>
      </c>
      <c r="E1887" s="159"/>
      <c r="F1887" s="159">
        <v>944.02</v>
      </c>
      <c r="G1887" s="160"/>
      <c r="H1887" s="34" t="s">
        <v>925</v>
      </c>
    </row>
    <row r="1888" spans="1:8" ht="33">
      <c r="A1888" s="160"/>
      <c r="B1888" s="160" t="s">
        <v>934</v>
      </c>
      <c r="C1888" s="157" t="s">
        <v>1875</v>
      </c>
      <c r="D1888" s="159"/>
      <c r="E1888" s="159"/>
      <c r="F1888" s="159">
        <v>944.02</v>
      </c>
      <c r="G1888" s="160"/>
      <c r="H1888" s="34" t="s">
        <v>925</v>
      </c>
    </row>
    <row r="1889" spans="1:8" ht="16.5">
      <c r="A1889" s="160"/>
      <c r="B1889" s="160"/>
      <c r="C1889" s="157"/>
      <c r="D1889" s="159"/>
      <c r="E1889" s="159"/>
      <c r="F1889" s="159"/>
      <c r="G1889" s="160"/>
    </row>
    <row r="1890" spans="1:8" ht="33">
      <c r="A1890" s="160" t="s">
        <v>2082</v>
      </c>
      <c r="B1890" s="160" t="s">
        <v>1889</v>
      </c>
      <c r="C1890" s="157" t="s">
        <v>1875</v>
      </c>
      <c r="D1890" s="159">
        <v>1</v>
      </c>
      <c r="E1890" s="159">
        <v>1059.96</v>
      </c>
      <c r="F1890" s="159"/>
      <c r="G1890" s="160" t="s">
        <v>1890</v>
      </c>
      <c r="H1890" s="34" t="s">
        <v>925</v>
      </c>
    </row>
    <row r="1891" spans="1:8" ht="33">
      <c r="A1891" s="160">
        <v>1</v>
      </c>
      <c r="B1891" s="160" t="s">
        <v>1891</v>
      </c>
      <c r="C1891" s="157" t="s">
        <v>1875</v>
      </c>
      <c r="D1891" s="159">
        <v>1</v>
      </c>
      <c r="E1891" s="159">
        <v>934.45</v>
      </c>
      <c r="F1891" s="159">
        <v>934.45</v>
      </c>
      <c r="G1891" s="160" t="s">
        <v>1892</v>
      </c>
      <c r="H1891" s="34" t="s">
        <v>925</v>
      </c>
    </row>
    <row r="1892" spans="1:8" ht="33">
      <c r="A1892" s="160">
        <v>2</v>
      </c>
      <c r="B1892" s="160" t="s">
        <v>1893</v>
      </c>
      <c r="C1892" s="157" t="s">
        <v>1875</v>
      </c>
      <c r="D1892" s="159">
        <v>1</v>
      </c>
      <c r="E1892" s="159">
        <v>94.64</v>
      </c>
      <c r="F1892" s="159">
        <v>94.64</v>
      </c>
      <c r="G1892" s="160" t="s">
        <v>1894</v>
      </c>
      <c r="H1892" s="34" t="s">
        <v>925</v>
      </c>
    </row>
    <row r="1893" spans="1:8" ht="33">
      <c r="A1893" s="160">
        <v>3</v>
      </c>
      <c r="B1893" s="160" t="s">
        <v>931</v>
      </c>
      <c r="C1893" s="157" t="s">
        <v>14</v>
      </c>
      <c r="D1893" s="159">
        <v>1</v>
      </c>
      <c r="E1893" s="159">
        <v>30.87</v>
      </c>
      <c r="F1893" s="159">
        <v>30.87</v>
      </c>
      <c r="G1893" s="160" t="s">
        <v>932</v>
      </c>
      <c r="H1893" s="34" t="s">
        <v>925</v>
      </c>
    </row>
    <row r="1894" spans="1:8" ht="33">
      <c r="A1894" s="160"/>
      <c r="B1894" s="160" t="s">
        <v>933</v>
      </c>
      <c r="C1894" s="157" t="s">
        <v>1875</v>
      </c>
      <c r="D1894" s="159">
        <v>1</v>
      </c>
      <c r="E1894" s="159"/>
      <c r="F1894" s="159">
        <v>1059.96</v>
      </c>
      <c r="G1894" s="160"/>
      <c r="H1894" s="34" t="s">
        <v>925</v>
      </c>
    </row>
    <row r="1895" spans="1:8" ht="33">
      <c r="A1895" s="160"/>
      <c r="B1895" s="160" t="s">
        <v>934</v>
      </c>
      <c r="C1895" s="157" t="s">
        <v>1875</v>
      </c>
      <c r="D1895" s="159"/>
      <c r="E1895" s="159"/>
      <c r="F1895" s="159">
        <v>1059.96</v>
      </c>
      <c r="G1895" s="160"/>
      <c r="H1895" s="34" t="s">
        <v>925</v>
      </c>
    </row>
    <row r="1896" spans="1:8" ht="33">
      <c r="A1896" s="160"/>
      <c r="B1896" s="160"/>
      <c r="C1896" s="157"/>
      <c r="D1896" s="159"/>
      <c r="E1896" s="159"/>
      <c r="F1896" s="159"/>
      <c r="G1896" s="160"/>
      <c r="H1896" s="34" t="s">
        <v>925</v>
      </c>
    </row>
    <row r="1897" spans="1:8" ht="28.5">
      <c r="A1897" s="160" t="s">
        <v>2089</v>
      </c>
      <c r="B1897" s="160" t="s">
        <v>1896</v>
      </c>
      <c r="C1897" s="157" t="s">
        <v>1875</v>
      </c>
      <c r="D1897" s="159">
        <v>1</v>
      </c>
      <c r="E1897" s="159">
        <v>1144.0999999999999</v>
      </c>
      <c r="F1897" s="159"/>
      <c r="G1897" s="160" t="s">
        <v>1897</v>
      </c>
    </row>
    <row r="1898" spans="1:8" ht="33">
      <c r="A1898" s="160">
        <v>1</v>
      </c>
      <c r="B1898" s="160" t="s">
        <v>1898</v>
      </c>
      <c r="C1898" s="157" t="s">
        <v>1875</v>
      </c>
      <c r="D1898" s="159">
        <v>1</v>
      </c>
      <c r="E1898" s="159">
        <v>1006.18</v>
      </c>
      <c r="F1898" s="159">
        <v>1006.18</v>
      </c>
      <c r="G1898" s="160" t="s">
        <v>1899</v>
      </c>
      <c r="H1898" s="34" t="s">
        <v>925</v>
      </c>
    </row>
    <row r="1899" spans="1:8" ht="33">
      <c r="A1899" s="160">
        <v>2</v>
      </c>
      <c r="B1899" s="160" t="s">
        <v>1900</v>
      </c>
      <c r="C1899" s="157" t="s">
        <v>1875</v>
      </c>
      <c r="D1899" s="159">
        <v>1</v>
      </c>
      <c r="E1899" s="159">
        <v>104.6</v>
      </c>
      <c r="F1899" s="159">
        <v>104.6</v>
      </c>
      <c r="G1899" s="160" t="s">
        <v>1901</v>
      </c>
      <c r="H1899" s="34" t="s">
        <v>925</v>
      </c>
    </row>
    <row r="1900" spans="1:8" ht="33">
      <c r="A1900" s="160">
        <v>3</v>
      </c>
      <c r="B1900" s="160" t="s">
        <v>931</v>
      </c>
      <c r="C1900" s="157" t="s">
        <v>14</v>
      </c>
      <c r="D1900" s="159">
        <v>1</v>
      </c>
      <c r="E1900" s="159">
        <v>33.32</v>
      </c>
      <c r="F1900" s="159">
        <v>33.32</v>
      </c>
      <c r="G1900" s="160" t="s">
        <v>932</v>
      </c>
      <c r="H1900" s="34" t="s">
        <v>925</v>
      </c>
    </row>
    <row r="1901" spans="1:8" ht="33">
      <c r="A1901" s="160"/>
      <c r="B1901" s="160" t="s">
        <v>933</v>
      </c>
      <c r="C1901" s="157" t="s">
        <v>1875</v>
      </c>
      <c r="D1901" s="159">
        <v>1</v>
      </c>
      <c r="E1901" s="159"/>
      <c r="F1901" s="159">
        <v>1144.0999999999999</v>
      </c>
      <c r="G1901" s="160"/>
      <c r="H1901" s="34" t="s">
        <v>925</v>
      </c>
    </row>
    <row r="1902" spans="1:8" ht="33">
      <c r="A1902" s="160"/>
      <c r="B1902" s="160" t="s">
        <v>934</v>
      </c>
      <c r="C1902" s="157" t="s">
        <v>1875</v>
      </c>
      <c r="D1902" s="159"/>
      <c r="E1902" s="159"/>
      <c r="F1902" s="159">
        <v>1144.0999999999999</v>
      </c>
      <c r="G1902" s="160"/>
      <c r="H1902" s="34" t="s">
        <v>925</v>
      </c>
    </row>
    <row r="1903" spans="1:8" ht="33">
      <c r="A1903" s="160"/>
      <c r="B1903" s="160"/>
      <c r="C1903" s="157"/>
      <c r="D1903" s="159"/>
      <c r="E1903" s="159"/>
      <c r="F1903" s="159"/>
      <c r="G1903" s="160"/>
      <c r="H1903" s="34" t="s">
        <v>925</v>
      </c>
    </row>
    <row r="1904" spans="1:8" ht="33">
      <c r="A1904" s="160" t="s">
        <v>2096</v>
      </c>
      <c r="B1904" s="160" t="s">
        <v>1903</v>
      </c>
      <c r="C1904" s="157" t="s">
        <v>1875</v>
      </c>
      <c r="D1904" s="159">
        <v>1</v>
      </c>
      <c r="E1904" s="159">
        <v>2062.4699999999998</v>
      </c>
      <c r="F1904" s="159"/>
      <c r="G1904" s="160" t="s">
        <v>1904</v>
      </c>
      <c r="H1904" s="34" t="s">
        <v>925</v>
      </c>
    </row>
    <row r="1905" spans="1:8" ht="33">
      <c r="A1905" s="160">
        <v>1</v>
      </c>
      <c r="B1905" s="160" t="s">
        <v>1905</v>
      </c>
      <c r="C1905" s="157" t="s">
        <v>1875</v>
      </c>
      <c r="D1905" s="159">
        <v>1</v>
      </c>
      <c r="E1905" s="159">
        <v>1803.16</v>
      </c>
      <c r="F1905" s="159">
        <v>1803.16</v>
      </c>
      <c r="G1905" s="160" t="s">
        <v>1906</v>
      </c>
      <c r="H1905" s="34" t="s">
        <v>925</v>
      </c>
    </row>
    <row r="1906" spans="1:8" ht="28.5">
      <c r="A1906" s="160">
        <v>2</v>
      </c>
      <c r="B1906" s="160" t="s">
        <v>1907</v>
      </c>
      <c r="C1906" s="157" t="s">
        <v>1875</v>
      </c>
      <c r="D1906" s="159">
        <v>1</v>
      </c>
      <c r="E1906" s="159">
        <v>199.24</v>
      </c>
      <c r="F1906" s="159">
        <v>199.24</v>
      </c>
      <c r="G1906" s="160" t="s">
        <v>1908</v>
      </c>
    </row>
    <row r="1907" spans="1:8" ht="33">
      <c r="A1907" s="160">
        <v>3</v>
      </c>
      <c r="B1907" s="160" t="s">
        <v>931</v>
      </c>
      <c r="C1907" s="157" t="s">
        <v>14</v>
      </c>
      <c r="D1907" s="159">
        <v>1</v>
      </c>
      <c r="E1907" s="159">
        <v>60.07</v>
      </c>
      <c r="F1907" s="159">
        <v>60.07</v>
      </c>
      <c r="G1907" s="160" t="s">
        <v>932</v>
      </c>
      <c r="H1907" s="34" t="s">
        <v>925</v>
      </c>
    </row>
    <row r="1908" spans="1:8" ht="33">
      <c r="A1908" s="160"/>
      <c r="B1908" s="160" t="s">
        <v>933</v>
      </c>
      <c r="C1908" s="157" t="s">
        <v>1875</v>
      </c>
      <c r="D1908" s="159">
        <v>1</v>
      </c>
      <c r="E1908" s="159"/>
      <c r="F1908" s="159">
        <v>2062.4700000000003</v>
      </c>
      <c r="G1908" s="160"/>
      <c r="H1908" s="34" t="s">
        <v>925</v>
      </c>
    </row>
    <row r="1909" spans="1:8" ht="33">
      <c r="A1909" s="160"/>
      <c r="B1909" s="160" t="s">
        <v>934</v>
      </c>
      <c r="C1909" s="157" t="s">
        <v>1875</v>
      </c>
      <c r="D1909" s="159"/>
      <c r="E1909" s="159"/>
      <c r="F1909" s="159">
        <v>2062.4699999999998</v>
      </c>
      <c r="G1909" s="160"/>
      <c r="H1909" s="34" t="s">
        <v>925</v>
      </c>
    </row>
    <row r="1910" spans="1:8" ht="33">
      <c r="A1910" s="160"/>
      <c r="B1910" s="160"/>
      <c r="C1910" s="157"/>
      <c r="D1910" s="159"/>
      <c r="E1910" s="159"/>
      <c r="F1910" s="159"/>
      <c r="G1910" s="160"/>
      <c r="H1910" s="34" t="s">
        <v>925</v>
      </c>
    </row>
    <row r="1911" spans="1:8" ht="33">
      <c r="A1911" s="160" t="s">
        <v>2101</v>
      </c>
      <c r="B1911" s="160" t="s">
        <v>1910</v>
      </c>
      <c r="C1911" s="157" t="s">
        <v>1875</v>
      </c>
      <c r="D1911" s="159">
        <v>1</v>
      </c>
      <c r="E1911" s="159">
        <v>3873.55</v>
      </c>
      <c r="F1911" s="159"/>
      <c r="G1911" s="160" t="s">
        <v>1911</v>
      </c>
      <c r="H1911" s="34" t="s">
        <v>925</v>
      </c>
    </row>
    <row r="1912" spans="1:8" ht="33">
      <c r="A1912" s="160">
        <v>1</v>
      </c>
      <c r="B1912" s="160" t="s">
        <v>1912</v>
      </c>
      <c r="C1912" s="157" t="s">
        <v>1875</v>
      </c>
      <c r="D1912" s="159">
        <v>1</v>
      </c>
      <c r="E1912" s="159">
        <v>3626.24</v>
      </c>
      <c r="F1912" s="159">
        <v>3626.24</v>
      </c>
      <c r="G1912" s="160" t="s">
        <v>1913</v>
      </c>
      <c r="H1912" s="34" t="s">
        <v>925</v>
      </c>
    </row>
    <row r="1913" spans="1:8" ht="33">
      <c r="A1913" s="160">
        <v>2</v>
      </c>
      <c r="B1913" s="160" t="s">
        <v>1914</v>
      </c>
      <c r="C1913" s="157" t="s">
        <v>1875</v>
      </c>
      <c r="D1913" s="159">
        <v>1</v>
      </c>
      <c r="E1913" s="159">
        <v>134.49</v>
      </c>
      <c r="F1913" s="159">
        <v>134.49</v>
      </c>
      <c r="G1913" s="160" t="s">
        <v>1915</v>
      </c>
      <c r="H1913" s="34" t="s">
        <v>925</v>
      </c>
    </row>
    <row r="1914" spans="1:8" ht="33">
      <c r="A1914" s="160">
        <v>3</v>
      </c>
      <c r="B1914" s="160" t="s">
        <v>931</v>
      </c>
      <c r="C1914" s="157" t="s">
        <v>14</v>
      </c>
      <c r="D1914" s="159">
        <v>1</v>
      </c>
      <c r="E1914" s="159">
        <v>112.82</v>
      </c>
      <c r="F1914" s="159">
        <v>112.82</v>
      </c>
      <c r="G1914" s="160" t="s">
        <v>932</v>
      </c>
      <c r="H1914" s="34" t="s">
        <v>925</v>
      </c>
    </row>
    <row r="1915" spans="1:8" ht="16.5">
      <c r="A1915" s="160"/>
      <c r="B1915" s="160" t="s">
        <v>933</v>
      </c>
      <c r="C1915" s="157" t="s">
        <v>1875</v>
      </c>
      <c r="D1915" s="159">
        <v>1</v>
      </c>
      <c r="E1915" s="159"/>
      <c r="F1915" s="159">
        <v>3873.5499999999997</v>
      </c>
      <c r="G1915" s="160"/>
    </row>
    <row r="1916" spans="1:8" ht="33">
      <c r="A1916" s="160"/>
      <c r="B1916" s="160" t="s">
        <v>934</v>
      </c>
      <c r="C1916" s="157" t="s">
        <v>1875</v>
      </c>
      <c r="D1916" s="159"/>
      <c r="E1916" s="159"/>
      <c r="F1916" s="159">
        <v>3873.55</v>
      </c>
      <c r="G1916" s="160"/>
      <c r="H1916" s="34" t="s">
        <v>925</v>
      </c>
    </row>
    <row r="1917" spans="1:8" ht="33">
      <c r="A1917" s="160"/>
      <c r="B1917" s="160"/>
      <c r="C1917" s="157"/>
      <c r="D1917" s="159"/>
      <c r="E1917" s="159"/>
      <c r="F1917" s="159"/>
      <c r="G1917" s="160"/>
      <c r="H1917" s="34" t="s">
        <v>925</v>
      </c>
    </row>
    <row r="1918" spans="1:8" ht="33">
      <c r="A1918" s="160" t="s">
        <v>2111</v>
      </c>
      <c r="B1918" s="160" t="s">
        <v>1917</v>
      </c>
      <c r="C1918" s="157" t="s">
        <v>1875</v>
      </c>
      <c r="D1918" s="159">
        <v>1</v>
      </c>
      <c r="E1918" s="159">
        <v>4499.47</v>
      </c>
      <c r="F1918" s="159"/>
      <c r="G1918" s="160" t="s">
        <v>1918</v>
      </c>
      <c r="H1918" s="34" t="s">
        <v>925</v>
      </c>
    </row>
    <row r="1919" spans="1:8" ht="33">
      <c r="A1919" s="160">
        <v>1</v>
      </c>
      <c r="B1919" s="160" t="s">
        <v>1919</v>
      </c>
      <c r="C1919" s="157" t="s">
        <v>1875</v>
      </c>
      <c r="D1919" s="159">
        <v>1</v>
      </c>
      <c r="E1919" s="159">
        <v>4223.97</v>
      </c>
      <c r="F1919" s="159">
        <v>4223.97</v>
      </c>
      <c r="G1919" s="160" t="s">
        <v>1920</v>
      </c>
      <c r="H1919" s="34" t="s">
        <v>925</v>
      </c>
    </row>
    <row r="1920" spans="1:8" ht="33">
      <c r="A1920" s="160">
        <v>2</v>
      </c>
      <c r="B1920" s="160" t="s">
        <v>1921</v>
      </c>
      <c r="C1920" s="157" t="s">
        <v>1875</v>
      </c>
      <c r="D1920" s="159">
        <v>1</v>
      </c>
      <c r="E1920" s="159">
        <v>144.44999999999999</v>
      </c>
      <c r="F1920" s="159">
        <v>144.44999999999999</v>
      </c>
      <c r="G1920" s="160" t="s">
        <v>1922</v>
      </c>
      <c r="H1920" s="34" t="s">
        <v>925</v>
      </c>
    </row>
    <row r="1921" spans="1:8" ht="33">
      <c r="A1921" s="160">
        <v>3</v>
      </c>
      <c r="B1921" s="160" t="s">
        <v>931</v>
      </c>
      <c r="C1921" s="157" t="s">
        <v>14</v>
      </c>
      <c r="D1921" s="159">
        <v>1</v>
      </c>
      <c r="E1921" s="159">
        <v>131.05000000000001</v>
      </c>
      <c r="F1921" s="159">
        <v>131.05000000000001</v>
      </c>
      <c r="G1921" s="160" t="s">
        <v>932</v>
      </c>
      <c r="H1921" s="34" t="s">
        <v>925</v>
      </c>
    </row>
    <row r="1922" spans="1:8" ht="33">
      <c r="A1922" s="160"/>
      <c r="B1922" s="160" t="s">
        <v>933</v>
      </c>
      <c r="C1922" s="157" t="s">
        <v>1875</v>
      </c>
      <c r="D1922" s="159">
        <v>1</v>
      </c>
      <c r="E1922" s="159"/>
      <c r="F1922" s="159">
        <v>4499.47</v>
      </c>
      <c r="G1922" s="160"/>
      <c r="H1922" s="34" t="s">
        <v>925</v>
      </c>
    </row>
    <row r="1923" spans="1:8" ht="33">
      <c r="A1923" s="160"/>
      <c r="B1923" s="160" t="s">
        <v>934</v>
      </c>
      <c r="C1923" s="157" t="s">
        <v>1875</v>
      </c>
      <c r="D1923" s="159"/>
      <c r="E1923" s="159"/>
      <c r="F1923" s="159">
        <v>4499.47</v>
      </c>
      <c r="G1923" s="160"/>
      <c r="H1923" s="34" t="s">
        <v>925</v>
      </c>
    </row>
    <row r="1924" spans="1:8" ht="16.5">
      <c r="A1924" s="160"/>
      <c r="B1924" s="160"/>
      <c r="C1924" s="157"/>
      <c r="D1924" s="159"/>
      <c r="E1924" s="159"/>
      <c r="F1924" s="159"/>
      <c r="G1924" s="160"/>
    </row>
    <row r="1925" spans="1:8" ht="33">
      <c r="A1925" s="160" t="s">
        <v>2114</v>
      </c>
      <c r="B1925" s="160" t="s">
        <v>1924</v>
      </c>
      <c r="C1925" s="157" t="s">
        <v>1875</v>
      </c>
      <c r="D1925" s="159">
        <v>1</v>
      </c>
      <c r="E1925" s="159">
        <v>5720.54</v>
      </c>
      <c r="F1925" s="159"/>
      <c r="G1925" s="160" t="s">
        <v>1925</v>
      </c>
      <c r="H1925" s="34" t="s">
        <v>925</v>
      </c>
    </row>
    <row r="1926" spans="1:8" ht="33">
      <c r="A1926" s="160">
        <v>1</v>
      </c>
      <c r="B1926" s="160" t="s">
        <v>1926</v>
      </c>
      <c r="C1926" s="157" t="s">
        <v>1875</v>
      </c>
      <c r="D1926" s="159">
        <v>1</v>
      </c>
      <c r="E1926" s="159">
        <v>5389.54</v>
      </c>
      <c r="F1926" s="159">
        <v>5389.54</v>
      </c>
      <c r="G1926" s="160" t="s">
        <v>1927</v>
      </c>
      <c r="H1926" s="34" t="s">
        <v>925</v>
      </c>
    </row>
    <row r="1927" spans="1:8" ht="33">
      <c r="A1927" s="160">
        <v>2</v>
      </c>
      <c r="B1927" s="160" t="s">
        <v>1928</v>
      </c>
      <c r="C1927" s="157" t="s">
        <v>1875</v>
      </c>
      <c r="D1927" s="159">
        <v>1</v>
      </c>
      <c r="E1927" s="159">
        <v>164.38</v>
      </c>
      <c r="F1927" s="159">
        <v>164.38</v>
      </c>
      <c r="G1927" s="160" t="s">
        <v>1929</v>
      </c>
      <c r="H1927" s="34" t="s">
        <v>925</v>
      </c>
    </row>
    <row r="1928" spans="1:8" ht="33">
      <c r="A1928" s="160">
        <v>3</v>
      </c>
      <c r="B1928" s="160" t="s">
        <v>931</v>
      </c>
      <c r="C1928" s="157" t="s">
        <v>14</v>
      </c>
      <c r="D1928" s="159">
        <v>1</v>
      </c>
      <c r="E1928" s="159">
        <v>166.62</v>
      </c>
      <c r="F1928" s="159">
        <v>166.62</v>
      </c>
      <c r="G1928" s="160" t="s">
        <v>932</v>
      </c>
      <c r="H1928" s="34" t="s">
        <v>925</v>
      </c>
    </row>
    <row r="1929" spans="1:8" ht="33">
      <c r="A1929" s="160"/>
      <c r="B1929" s="160" t="s">
        <v>933</v>
      </c>
      <c r="C1929" s="157" t="s">
        <v>1875</v>
      </c>
      <c r="D1929" s="159">
        <v>1</v>
      </c>
      <c r="E1929" s="159"/>
      <c r="F1929" s="159">
        <v>5720.54</v>
      </c>
      <c r="G1929" s="160"/>
      <c r="H1929" s="34" t="s">
        <v>925</v>
      </c>
    </row>
    <row r="1930" spans="1:8" ht="33">
      <c r="A1930" s="160"/>
      <c r="B1930" s="160" t="s">
        <v>934</v>
      </c>
      <c r="C1930" s="157" t="s">
        <v>1875</v>
      </c>
      <c r="D1930" s="159"/>
      <c r="E1930" s="159"/>
      <c r="F1930" s="159">
        <v>5720.54</v>
      </c>
      <c r="G1930" s="160"/>
      <c r="H1930" s="34" t="s">
        <v>925</v>
      </c>
    </row>
    <row r="1931" spans="1:8" ht="33">
      <c r="A1931" s="160"/>
      <c r="B1931" s="160"/>
      <c r="C1931" s="157"/>
      <c r="D1931" s="159"/>
      <c r="E1931" s="159"/>
      <c r="F1931" s="159"/>
      <c r="G1931" s="160"/>
      <c r="H1931" s="34" t="s">
        <v>925</v>
      </c>
    </row>
    <row r="1932" spans="1:8" ht="33">
      <c r="A1932" s="160" t="s">
        <v>2123</v>
      </c>
      <c r="B1932" s="160" t="s">
        <v>1931</v>
      </c>
      <c r="C1932" s="157" t="s">
        <v>1875</v>
      </c>
      <c r="D1932" s="159">
        <v>1</v>
      </c>
      <c r="E1932" s="159">
        <v>5104.87</v>
      </c>
      <c r="F1932" s="159"/>
      <c r="G1932" s="160" t="s">
        <v>1932</v>
      </c>
      <c r="H1932" s="34" t="s">
        <v>925</v>
      </c>
    </row>
    <row r="1933" spans="1:8" ht="28.5">
      <c r="A1933" s="160">
        <v>1</v>
      </c>
      <c r="B1933" s="160" t="s">
        <v>1933</v>
      </c>
      <c r="C1933" s="157" t="s">
        <v>1875</v>
      </c>
      <c r="D1933" s="159">
        <v>1</v>
      </c>
      <c r="E1933" s="159">
        <v>4801.7700000000004</v>
      </c>
      <c r="F1933" s="159">
        <v>4801.7700000000004</v>
      </c>
      <c r="G1933" s="160" t="s">
        <v>1934</v>
      </c>
    </row>
    <row r="1934" spans="1:8" ht="33">
      <c r="A1934" s="160">
        <v>2</v>
      </c>
      <c r="B1934" s="160" t="s">
        <v>1935</v>
      </c>
      <c r="C1934" s="157" t="s">
        <v>1875</v>
      </c>
      <c r="D1934" s="159">
        <v>1</v>
      </c>
      <c r="E1934" s="159">
        <v>154.41</v>
      </c>
      <c r="F1934" s="159">
        <v>154.41</v>
      </c>
      <c r="G1934" s="160" t="s">
        <v>1936</v>
      </c>
      <c r="H1934" s="34" t="s">
        <v>925</v>
      </c>
    </row>
    <row r="1935" spans="1:8" ht="33">
      <c r="A1935" s="160">
        <v>3</v>
      </c>
      <c r="B1935" s="160" t="s">
        <v>931</v>
      </c>
      <c r="C1935" s="157" t="s">
        <v>14</v>
      </c>
      <c r="D1935" s="159">
        <v>1</v>
      </c>
      <c r="E1935" s="159">
        <v>148.69</v>
      </c>
      <c r="F1935" s="159">
        <v>148.69</v>
      </c>
      <c r="G1935" s="160" t="s">
        <v>932</v>
      </c>
      <c r="H1935" s="34" t="s">
        <v>925</v>
      </c>
    </row>
    <row r="1936" spans="1:8" ht="33">
      <c r="A1936" s="160"/>
      <c r="B1936" s="160" t="s">
        <v>933</v>
      </c>
      <c r="C1936" s="157" t="s">
        <v>1875</v>
      </c>
      <c r="D1936" s="159">
        <v>1</v>
      </c>
      <c r="E1936" s="159"/>
      <c r="F1936" s="159">
        <v>5104.87</v>
      </c>
      <c r="G1936" s="160"/>
      <c r="H1936" s="34" t="s">
        <v>925</v>
      </c>
    </row>
    <row r="1937" spans="1:8" ht="33">
      <c r="A1937" s="160"/>
      <c r="B1937" s="160" t="s">
        <v>934</v>
      </c>
      <c r="C1937" s="157" t="s">
        <v>1875</v>
      </c>
      <c r="D1937" s="159"/>
      <c r="E1937" s="159"/>
      <c r="F1937" s="159">
        <v>5104.87</v>
      </c>
      <c r="G1937" s="160"/>
      <c r="H1937" s="34" t="s">
        <v>925</v>
      </c>
    </row>
    <row r="1938" spans="1:8" ht="33">
      <c r="A1938" s="160"/>
      <c r="B1938" s="160"/>
      <c r="C1938" s="157"/>
      <c r="D1938" s="159"/>
      <c r="E1938" s="159"/>
      <c r="F1938" s="159"/>
      <c r="G1938" s="160"/>
      <c r="H1938" s="34" t="s">
        <v>925</v>
      </c>
    </row>
    <row r="1939" spans="1:8" ht="42.75">
      <c r="A1939" s="160" t="s">
        <v>2128</v>
      </c>
      <c r="B1939" s="160" t="s">
        <v>1938</v>
      </c>
      <c r="C1939" s="157" t="s">
        <v>1875</v>
      </c>
      <c r="D1939" s="159">
        <v>1</v>
      </c>
      <c r="E1939" s="159">
        <v>2242.0300000000002</v>
      </c>
      <c r="F1939" s="159"/>
      <c r="G1939" s="160" t="s">
        <v>1939</v>
      </c>
      <c r="H1939" s="34" t="s">
        <v>925</v>
      </c>
    </row>
    <row r="1940" spans="1:8" ht="33">
      <c r="A1940" s="160">
        <v>1</v>
      </c>
      <c r="B1940" s="160" t="s">
        <v>1940</v>
      </c>
      <c r="C1940" s="157" t="s">
        <v>1875</v>
      </c>
      <c r="D1940" s="159">
        <v>1</v>
      </c>
      <c r="E1940" s="159">
        <v>1982.47</v>
      </c>
      <c r="F1940" s="159">
        <v>1982.47</v>
      </c>
      <c r="G1940" s="160" t="s">
        <v>1941</v>
      </c>
      <c r="H1940" s="34" t="s">
        <v>925</v>
      </c>
    </row>
    <row r="1941" spans="1:8" ht="28.5">
      <c r="A1941" s="160">
        <v>2</v>
      </c>
      <c r="B1941" s="160" t="s">
        <v>1942</v>
      </c>
      <c r="C1941" s="157" t="s">
        <v>1875</v>
      </c>
      <c r="D1941" s="159">
        <v>1</v>
      </c>
      <c r="E1941" s="159">
        <v>194.26</v>
      </c>
      <c r="F1941" s="159">
        <v>194.26</v>
      </c>
      <c r="G1941" s="160" t="s">
        <v>1943</v>
      </c>
    </row>
    <row r="1942" spans="1:8" ht="33">
      <c r="A1942" s="160">
        <v>3</v>
      </c>
      <c r="B1942" s="160" t="s">
        <v>931</v>
      </c>
      <c r="C1942" s="157" t="s">
        <v>14</v>
      </c>
      <c r="D1942" s="159">
        <v>1</v>
      </c>
      <c r="E1942" s="159">
        <v>65.3</v>
      </c>
      <c r="F1942" s="159">
        <v>65.3</v>
      </c>
      <c r="G1942" s="160" t="s">
        <v>932</v>
      </c>
      <c r="H1942" s="34" t="s">
        <v>925</v>
      </c>
    </row>
    <row r="1943" spans="1:8" ht="33">
      <c r="A1943" s="160"/>
      <c r="B1943" s="160" t="s">
        <v>933</v>
      </c>
      <c r="C1943" s="157" t="s">
        <v>1875</v>
      </c>
      <c r="D1943" s="159">
        <v>1</v>
      </c>
      <c r="E1943" s="159"/>
      <c r="F1943" s="159">
        <v>2242.0300000000002</v>
      </c>
      <c r="G1943" s="160"/>
      <c r="H1943" s="34" t="s">
        <v>925</v>
      </c>
    </row>
    <row r="1944" spans="1:8" ht="33">
      <c r="A1944" s="160"/>
      <c r="B1944" s="160" t="s">
        <v>934</v>
      </c>
      <c r="C1944" s="157" t="s">
        <v>1875</v>
      </c>
      <c r="D1944" s="159"/>
      <c r="E1944" s="159"/>
      <c r="F1944" s="159">
        <v>2242.0300000000002</v>
      </c>
      <c r="G1944" s="160"/>
      <c r="H1944" s="34" t="s">
        <v>925</v>
      </c>
    </row>
    <row r="1945" spans="1:8" ht="33">
      <c r="A1945" s="160"/>
      <c r="B1945" s="160"/>
      <c r="C1945" s="157"/>
      <c r="D1945" s="159"/>
      <c r="E1945" s="159"/>
      <c r="F1945" s="159"/>
      <c r="G1945" s="160"/>
      <c r="H1945" s="34" t="s">
        <v>925</v>
      </c>
    </row>
    <row r="1946" spans="1:8" ht="42.75">
      <c r="A1946" s="160" t="s">
        <v>2133</v>
      </c>
      <c r="B1946" s="160" t="s">
        <v>1945</v>
      </c>
      <c r="C1946" s="157" t="s">
        <v>1875</v>
      </c>
      <c r="D1946" s="159">
        <v>1</v>
      </c>
      <c r="E1946" s="159">
        <v>2467.7800000000002</v>
      </c>
      <c r="F1946" s="159"/>
      <c r="G1946" s="160" t="s">
        <v>1946</v>
      </c>
      <c r="H1946" s="34" t="s">
        <v>925</v>
      </c>
    </row>
    <row r="1947" spans="1:8" ht="33">
      <c r="A1947" s="160">
        <v>1</v>
      </c>
      <c r="B1947" s="160" t="s">
        <v>1947</v>
      </c>
      <c r="C1947" s="157" t="s">
        <v>1875</v>
      </c>
      <c r="D1947" s="159">
        <v>1</v>
      </c>
      <c r="E1947" s="159">
        <v>2191.6799999999998</v>
      </c>
      <c r="F1947" s="159">
        <v>2191.6799999999998</v>
      </c>
      <c r="G1947" s="160" t="s">
        <v>1948</v>
      </c>
      <c r="H1947" s="34" t="s">
        <v>925</v>
      </c>
    </row>
    <row r="1948" spans="1:8" ht="33">
      <c r="A1948" s="160">
        <v>2</v>
      </c>
      <c r="B1948" s="160" t="s">
        <v>1949</v>
      </c>
      <c r="C1948" s="157" t="s">
        <v>1875</v>
      </c>
      <c r="D1948" s="159">
        <v>1</v>
      </c>
      <c r="E1948" s="159">
        <v>204.22</v>
      </c>
      <c r="F1948" s="159">
        <v>204.22</v>
      </c>
      <c r="G1948" s="160" t="s">
        <v>1950</v>
      </c>
      <c r="H1948" s="34" t="s">
        <v>925</v>
      </c>
    </row>
    <row r="1949" spans="1:8" ht="33">
      <c r="A1949" s="160">
        <v>3</v>
      </c>
      <c r="B1949" s="160" t="s">
        <v>931</v>
      </c>
      <c r="C1949" s="157" t="s">
        <v>14</v>
      </c>
      <c r="D1949" s="159">
        <v>1</v>
      </c>
      <c r="E1949" s="159">
        <v>71.88</v>
      </c>
      <c r="F1949" s="159">
        <v>71.88</v>
      </c>
      <c r="G1949" s="160" t="s">
        <v>932</v>
      </c>
      <c r="H1949" s="34" t="s">
        <v>925</v>
      </c>
    </row>
    <row r="1950" spans="1:8" ht="33">
      <c r="A1950" s="160"/>
      <c r="B1950" s="160" t="s">
        <v>933</v>
      </c>
      <c r="C1950" s="157" t="s">
        <v>1875</v>
      </c>
      <c r="D1950" s="159">
        <v>1</v>
      </c>
      <c r="E1950" s="159"/>
      <c r="F1950" s="159">
        <v>2467.7799999999997</v>
      </c>
      <c r="G1950" s="160"/>
      <c r="H1950" s="34" t="s">
        <v>925</v>
      </c>
    </row>
    <row r="1951" spans="1:8" ht="16.5">
      <c r="A1951" s="160"/>
      <c r="B1951" s="160" t="s">
        <v>934</v>
      </c>
      <c r="C1951" s="157" t="s">
        <v>1875</v>
      </c>
      <c r="D1951" s="159"/>
      <c r="E1951" s="159"/>
      <c r="F1951" s="159">
        <v>2467.7800000000002</v>
      </c>
      <c r="G1951" s="160"/>
    </row>
    <row r="1952" spans="1:8" ht="33">
      <c r="A1952" s="160"/>
      <c r="B1952" s="160"/>
      <c r="C1952" s="157"/>
      <c r="D1952" s="159"/>
      <c r="E1952" s="159"/>
      <c r="F1952" s="159"/>
      <c r="G1952" s="160"/>
      <c r="H1952" s="34" t="s">
        <v>925</v>
      </c>
    </row>
    <row r="1953" spans="1:8" ht="42.75">
      <c r="A1953" s="160" t="s">
        <v>2140</v>
      </c>
      <c r="B1953" s="160" t="s">
        <v>1952</v>
      </c>
      <c r="C1953" s="157" t="s">
        <v>1875</v>
      </c>
      <c r="D1953" s="159">
        <v>1</v>
      </c>
      <c r="E1953" s="159">
        <v>2488.3000000000002</v>
      </c>
      <c r="F1953" s="159"/>
      <c r="G1953" s="160" t="s">
        <v>1953</v>
      </c>
      <c r="H1953" s="34" t="s">
        <v>925</v>
      </c>
    </row>
    <row r="1954" spans="1:8" ht="42.75">
      <c r="A1954" s="160">
        <v>1</v>
      </c>
      <c r="B1954" s="160" t="s">
        <v>1954</v>
      </c>
      <c r="C1954" s="157" t="s">
        <v>1875</v>
      </c>
      <c r="D1954" s="159">
        <v>1</v>
      </c>
      <c r="E1954" s="159">
        <v>2201.64</v>
      </c>
      <c r="F1954" s="159">
        <v>2201.64</v>
      </c>
      <c r="G1954" s="160" t="s">
        <v>1955</v>
      </c>
      <c r="H1954" s="34" t="s">
        <v>925</v>
      </c>
    </row>
    <row r="1955" spans="1:8" ht="42.75">
      <c r="A1955" s="160">
        <v>2</v>
      </c>
      <c r="B1955" s="160" t="s">
        <v>1956</v>
      </c>
      <c r="C1955" s="157" t="s">
        <v>1875</v>
      </c>
      <c r="D1955" s="159">
        <v>1</v>
      </c>
      <c r="E1955" s="159">
        <v>214.19</v>
      </c>
      <c r="F1955" s="159">
        <v>214.19</v>
      </c>
      <c r="G1955" s="160" t="s">
        <v>1957</v>
      </c>
      <c r="H1955" s="34" t="s">
        <v>925</v>
      </c>
    </row>
    <row r="1956" spans="1:8" ht="33">
      <c r="A1956" s="160">
        <v>3</v>
      </c>
      <c r="B1956" s="160" t="s">
        <v>931</v>
      </c>
      <c r="C1956" s="157" t="s">
        <v>14</v>
      </c>
      <c r="D1956" s="159">
        <v>1</v>
      </c>
      <c r="E1956" s="159">
        <v>72.47</v>
      </c>
      <c r="F1956" s="159">
        <v>72.47</v>
      </c>
      <c r="G1956" s="160" t="s">
        <v>932</v>
      </c>
      <c r="H1956" s="34" t="s">
        <v>925</v>
      </c>
    </row>
    <row r="1957" spans="1:8" ht="33">
      <c r="A1957" s="160"/>
      <c r="B1957" s="160" t="s">
        <v>933</v>
      </c>
      <c r="C1957" s="157" t="s">
        <v>1875</v>
      </c>
      <c r="D1957" s="159">
        <v>1</v>
      </c>
      <c r="E1957" s="159"/>
      <c r="F1957" s="159">
        <v>2488.2999999999997</v>
      </c>
      <c r="G1957" s="160"/>
      <c r="H1957" s="34" t="s">
        <v>925</v>
      </c>
    </row>
    <row r="1958" spans="1:8" ht="33">
      <c r="A1958" s="160"/>
      <c r="B1958" s="160" t="s">
        <v>934</v>
      </c>
      <c r="C1958" s="157" t="s">
        <v>1875</v>
      </c>
      <c r="D1958" s="159"/>
      <c r="E1958" s="159"/>
      <c r="F1958" s="159">
        <v>2488.3000000000002</v>
      </c>
      <c r="G1958" s="160"/>
      <c r="H1958" s="34" t="s">
        <v>925</v>
      </c>
    </row>
    <row r="1959" spans="1:8" ht="33">
      <c r="A1959" s="160"/>
      <c r="B1959" s="160"/>
      <c r="C1959" s="157"/>
      <c r="D1959" s="159"/>
      <c r="E1959" s="159"/>
      <c r="F1959" s="159"/>
      <c r="G1959" s="160"/>
      <c r="H1959" s="34" t="s">
        <v>925</v>
      </c>
    </row>
    <row r="1960" spans="1:8" ht="42.75">
      <c r="A1960" s="160" t="s">
        <v>2145</v>
      </c>
      <c r="B1960" s="160" t="s">
        <v>1959</v>
      </c>
      <c r="C1960" s="157" t="s">
        <v>1875</v>
      </c>
      <c r="D1960" s="159">
        <v>1</v>
      </c>
      <c r="E1960" s="159">
        <v>2365.17</v>
      </c>
      <c r="F1960" s="159"/>
      <c r="G1960" s="160" t="s">
        <v>1960</v>
      </c>
    </row>
    <row r="1961" spans="1:8" ht="33">
      <c r="A1961" s="160">
        <v>1</v>
      </c>
      <c r="B1961" s="160" t="s">
        <v>1961</v>
      </c>
      <c r="C1961" s="157" t="s">
        <v>1875</v>
      </c>
      <c r="D1961" s="159">
        <v>1</v>
      </c>
      <c r="E1961" s="159">
        <v>2102.02</v>
      </c>
      <c r="F1961" s="159">
        <v>2102.02</v>
      </c>
      <c r="G1961" s="160" t="s">
        <v>1962</v>
      </c>
      <c r="H1961" s="34" t="s">
        <v>925</v>
      </c>
    </row>
    <row r="1962" spans="1:8" ht="33">
      <c r="A1962" s="160">
        <v>2</v>
      </c>
      <c r="B1962" s="160" t="s">
        <v>1963</v>
      </c>
      <c r="C1962" s="157" t="s">
        <v>1875</v>
      </c>
      <c r="D1962" s="159">
        <v>1</v>
      </c>
      <c r="E1962" s="159">
        <v>194.26</v>
      </c>
      <c r="F1962" s="159">
        <v>194.26</v>
      </c>
      <c r="G1962" s="160" t="s">
        <v>1964</v>
      </c>
      <c r="H1962" s="34" t="s">
        <v>925</v>
      </c>
    </row>
    <row r="1963" spans="1:8" ht="33">
      <c r="A1963" s="160">
        <v>3</v>
      </c>
      <c r="B1963" s="160" t="s">
        <v>931</v>
      </c>
      <c r="C1963" s="157" t="s">
        <v>14</v>
      </c>
      <c r="D1963" s="159">
        <v>1</v>
      </c>
      <c r="E1963" s="159">
        <v>68.89</v>
      </c>
      <c r="F1963" s="159">
        <v>68.89</v>
      </c>
      <c r="G1963" s="160" t="s">
        <v>932</v>
      </c>
      <c r="H1963" s="34" t="s">
        <v>925</v>
      </c>
    </row>
    <row r="1964" spans="1:8" ht="33">
      <c r="A1964" s="160"/>
      <c r="B1964" s="160" t="s">
        <v>933</v>
      </c>
      <c r="C1964" s="157" t="s">
        <v>1875</v>
      </c>
      <c r="D1964" s="159">
        <v>1</v>
      </c>
      <c r="E1964" s="159"/>
      <c r="F1964" s="159">
        <v>2365.1699999999996</v>
      </c>
      <c r="G1964" s="160"/>
      <c r="H1964" s="34" t="s">
        <v>925</v>
      </c>
    </row>
    <row r="1965" spans="1:8" ht="33">
      <c r="A1965" s="160"/>
      <c r="B1965" s="160" t="s">
        <v>934</v>
      </c>
      <c r="C1965" s="157" t="s">
        <v>1875</v>
      </c>
      <c r="D1965" s="159"/>
      <c r="E1965" s="159"/>
      <c r="F1965" s="159">
        <v>2365.17</v>
      </c>
      <c r="G1965" s="160"/>
      <c r="H1965" s="34" t="s">
        <v>925</v>
      </c>
    </row>
    <row r="1966" spans="1:8" ht="33">
      <c r="A1966" s="160"/>
      <c r="B1966" s="160"/>
      <c r="C1966" s="157"/>
      <c r="D1966" s="159"/>
      <c r="E1966" s="159"/>
      <c r="F1966" s="159"/>
      <c r="G1966" s="160"/>
      <c r="H1966" s="34" t="s">
        <v>925</v>
      </c>
    </row>
    <row r="1967" spans="1:8" ht="42.75">
      <c r="A1967" s="160" t="s">
        <v>2157</v>
      </c>
      <c r="B1967" s="160" t="s">
        <v>1966</v>
      </c>
      <c r="C1967" s="157" t="s">
        <v>1875</v>
      </c>
      <c r="D1967" s="159">
        <v>1</v>
      </c>
      <c r="E1967" s="159">
        <v>2529.34</v>
      </c>
      <c r="F1967" s="159"/>
      <c r="G1967" s="160" t="s">
        <v>1967</v>
      </c>
      <c r="H1967" s="34" t="s">
        <v>925</v>
      </c>
    </row>
    <row r="1968" spans="1:8" ht="33">
      <c r="A1968" s="160">
        <v>1</v>
      </c>
      <c r="B1968" s="160" t="s">
        <v>1968</v>
      </c>
      <c r="C1968" s="157" t="s">
        <v>1875</v>
      </c>
      <c r="D1968" s="159">
        <v>1</v>
      </c>
      <c r="E1968" s="159">
        <v>2251.4499999999998</v>
      </c>
      <c r="F1968" s="159">
        <v>2251.4499999999998</v>
      </c>
      <c r="G1968" s="160" t="s">
        <v>1969</v>
      </c>
      <c r="H1968" s="34" t="s">
        <v>925</v>
      </c>
    </row>
    <row r="1969" spans="1:8" ht="33">
      <c r="A1969" s="160">
        <v>2</v>
      </c>
      <c r="B1969" s="160" t="s">
        <v>1970</v>
      </c>
      <c r="C1969" s="157" t="s">
        <v>1875</v>
      </c>
      <c r="D1969" s="159">
        <v>1</v>
      </c>
      <c r="E1969" s="159">
        <v>204.22</v>
      </c>
      <c r="F1969" s="159">
        <v>204.22</v>
      </c>
      <c r="G1969" s="160" t="s">
        <v>1971</v>
      </c>
      <c r="H1969" s="34" t="s">
        <v>925</v>
      </c>
    </row>
    <row r="1970" spans="1:8" ht="33">
      <c r="A1970" s="160">
        <v>3</v>
      </c>
      <c r="B1970" s="160" t="s">
        <v>931</v>
      </c>
      <c r="C1970" s="157" t="s">
        <v>14</v>
      </c>
      <c r="D1970" s="159">
        <v>1</v>
      </c>
      <c r="E1970" s="159">
        <v>73.67</v>
      </c>
      <c r="F1970" s="159">
        <v>73.67</v>
      </c>
      <c r="G1970" s="160" t="s">
        <v>932</v>
      </c>
      <c r="H1970" s="34" t="s">
        <v>925</v>
      </c>
    </row>
    <row r="1971" spans="1:8" ht="33">
      <c r="A1971" s="160"/>
      <c r="B1971" s="160" t="s">
        <v>933</v>
      </c>
      <c r="C1971" s="157" t="s">
        <v>1875</v>
      </c>
      <c r="D1971" s="159">
        <v>1</v>
      </c>
      <c r="E1971" s="159"/>
      <c r="F1971" s="159">
        <v>2529.3399999999997</v>
      </c>
      <c r="G1971" s="160"/>
      <c r="H1971" s="34" t="s">
        <v>925</v>
      </c>
    </row>
    <row r="1972" spans="1:8" ht="16.5">
      <c r="A1972" s="160"/>
      <c r="B1972" s="160" t="s">
        <v>934</v>
      </c>
      <c r="C1972" s="157" t="s">
        <v>1875</v>
      </c>
      <c r="D1972" s="159"/>
      <c r="E1972" s="159"/>
      <c r="F1972" s="159">
        <v>2529.34</v>
      </c>
      <c r="G1972" s="160"/>
    </row>
    <row r="1973" spans="1:8" ht="33">
      <c r="A1973" s="160"/>
      <c r="B1973" s="160"/>
      <c r="C1973" s="157"/>
      <c r="D1973" s="159"/>
      <c r="E1973" s="159"/>
      <c r="F1973" s="159"/>
      <c r="G1973" s="160"/>
      <c r="H1973" s="34" t="s">
        <v>925</v>
      </c>
    </row>
    <row r="1974" spans="1:8" ht="42.75">
      <c r="A1974" s="160" t="s">
        <v>2160</v>
      </c>
      <c r="B1974" s="160" t="s">
        <v>1973</v>
      </c>
      <c r="C1974" s="157" t="s">
        <v>1875</v>
      </c>
      <c r="D1974" s="159">
        <v>1</v>
      </c>
      <c r="E1974" s="159">
        <v>2652.49</v>
      </c>
      <c r="F1974" s="159"/>
      <c r="G1974" s="160" t="s">
        <v>1974</v>
      </c>
      <c r="H1974" s="34" t="s">
        <v>925</v>
      </c>
    </row>
    <row r="1975" spans="1:8" ht="42.75">
      <c r="A1975" s="160">
        <v>1</v>
      </c>
      <c r="B1975" s="160" t="s">
        <v>1975</v>
      </c>
      <c r="C1975" s="157" t="s">
        <v>1875</v>
      </c>
      <c r="D1975" s="159">
        <v>1</v>
      </c>
      <c r="E1975" s="159">
        <v>2361.04</v>
      </c>
      <c r="F1975" s="159">
        <v>2361.04</v>
      </c>
      <c r="G1975" s="160" t="s">
        <v>1976</v>
      </c>
      <c r="H1975" s="34" t="s">
        <v>925</v>
      </c>
    </row>
    <row r="1976" spans="1:8" ht="42.75">
      <c r="A1976" s="160">
        <v>2</v>
      </c>
      <c r="B1976" s="160" t="s">
        <v>1977</v>
      </c>
      <c r="C1976" s="157" t="s">
        <v>1875</v>
      </c>
      <c r="D1976" s="159">
        <v>1</v>
      </c>
      <c r="E1976" s="159">
        <v>214.19</v>
      </c>
      <c r="F1976" s="159">
        <v>214.19</v>
      </c>
      <c r="G1976" s="160" t="s">
        <v>1978</v>
      </c>
      <c r="H1976" s="34" t="s">
        <v>925</v>
      </c>
    </row>
    <row r="1977" spans="1:8" ht="33">
      <c r="A1977" s="160">
        <v>3</v>
      </c>
      <c r="B1977" s="160" t="s">
        <v>931</v>
      </c>
      <c r="C1977" s="157" t="s">
        <v>14</v>
      </c>
      <c r="D1977" s="159">
        <v>1</v>
      </c>
      <c r="E1977" s="159">
        <v>77.260000000000005</v>
      </c>
      <c r="F1977" s="159">
        <v>77.260000000000005</v>
      </c>
      <c r="G1977" s="160" t="s">
        <v>932</v>
      </c>
      <c r="H1977" s="34" t="s">
        <v>925</v>
      </c>
    </row>
    <row r="1978" spans="1:8" ht="33">
      <c r="A1978" s="160"/>
      <c r="B1978" s="160" t="s">
        <v>933</v>
      </c>
      <c r="C1978" s="157" t="s">
        <v>1875</v>
      </c>
      <c r="D1978" s="159">
        <v>1</v>
      </c>
      <c r="E1978" s="159"/>
      <c r="F1978" s="159">
        <v>2652.4900000000002</v>
      </c>
      <c r="G1978" s="160"/>
      <c r="H1978" s="34" t="s">
        <v>925</v>
      </c>
    </row>
    <row r="1979" spans="1:8" ht="33">
      <c r="A1979" s="160"/>
      <c r="B1979" s="160" t="s">
        <v>934</v>
      </c>
      <c r="C1979" s="157" t="s">
        <v>1875</v>
      </c>
      <c r="D1979" s="159"/>
      <c r="E1979" s="159"/>
      <c r="F1979" s="159">
        <v>2652.49</v>
      </c>
      <c r="G1979" s="160"/>
      <c r="H1979" s="34" t="s">
        <v>925</v>
      </c>
    </row>
    <row r="1980" spans="1:8" ht="33">
      <c r="A1980" s="160"/>
      <c r="B1980" s="160"/>
      <c r="C1980" s="157"/>
      <c r="D1980" s="159"/>
      <c r="E1980" s="159"/>
      <c r="F1980" s="159"/>
      <c r="G1980" s="160"/>
      <c r="H1980" s="34" t="s">
        <v>925</v>
      </c>
    </row>
    <row r="1981" spans="1:8" ht="42.75">
      <c r="A1981" s="160" t="s">
        <v>2168</v>
      </c>
      <c r="B1981" s="160" t="s">
        <v>1980</v>
      </c>
      <c r="C1981" s="157" t="s">
        <v>1875</v>
      </c>
      <c r="D1981" s="159">
        <v>1</v>
      </c>
      <c r="E1981" s="159">
        <v>4612.34</v>
      </c>
      <c r="F1981" s="159"/>
      <c r="G1981" s="160" t="s">
        <v>1981</v>
      </c>
      <c r="H1981" s="34" t="s">
        <v>925</v>
      </c>
    </row>
    <row r="1982" spans="1:8" ht="33">
      <c r="A1982" s="160">
        <v>1</v>
      </c>
      <c r="B1982" s="160" t="s">
        <v>1982</v>
      </c>
      <c r="C1982" s="157" t="s">
        <v>1875</v>
      </c>
      <c r="D1982" s="159">
        <v>1</v>
      </c>
      <c r="E1982" s="159">
        <v>4303.66</v>
      </c>
      <c r="F1982" s="159">
        <v>4303.66</v>
      </c>
      <c r="G1982" s="160" t="s">
        <v>1983</v>
      </c>
      <c r="H1982" s="34" t="s">
        <v>925</v>
      </c>
    </row>
    <row r="1983" spans="1:8" ht="33">
      <c r="A1983" s="160">
        <v>2</v>
      </c>
      <c r="B1983" s="160" t="s">
        <v>1984</v>
      </c>
      <c r="C1983" s="157" t="s">
        <v>1875</v>
      </c>
      <c r="D1983" s="159">
        <v>1</v>
      </c>
      <c r="E1983" s="159">
        <v>174.34</v>
      </c>
      <c r="F1983" s="159">
        <v>174.34</v>
      </c>
      <c r="G1983" s="160" t="s">
        <v>1985</v>
      </c>
      <c r="H1983" s="34" t="s">
        <v>925</v>
      </c>
    </row>
    <row r="1984" spans="1:8" ht="33">
      <c r="A1984" s="160">
        <v>3</v>
      </c>
      <c r="B1984" s="160" t="s">
        <v>931</v>
      </c>
      <c r="C1984" s="157" t="s">
        <v>14</v>
      </c>
      <c r="D1984" s="159">
        <v>1</v>
      </c>
      <c r="E1984" s="159">
        <v>134.34</v>
      </c>
      <c r="F1984" s="159">
        <v>134.34</v>
      </c>
      <c r="G1984" s="160" t="s">
        <v>932</v>
      </c>
      <c r="H1984" s="34" t="s">
        <v>925</v>
      </c>
    </row>
    <row r="1985" spans="1:8" ht="16.5">
      <c r="A1985" s="160"/>
      <c r="B1985" s="160" t="s">
        <v>933</v>
      </c>
      <c r="C1985" s="157" t="s">
        <v>1875</v>
      </c>
      <c r="D1985" s="159">
        <v>1</v>
      </c>
      <c r="E1985" s="159"/>
      <c r="F1985" s="159">
        <v>4612.34</v>
      </c>
      <c r="G1985" s="160"/>
    </row>
    <row r="1986" spans="1:8" ht="33">
      <c r="A1986" s="160"/>
      <c r="B1986" s="160" t="s">
        <v>934</v>
      </c>
      <c r="C1986" s="157" t="s">
        <v>1875</v>
      </c>
      <c r="D1986" s="159"/>
      <c r="E1986" s="159"/>
      <c r="F1986" s="159">
        <v>4612.34</v>
      </c>
      <c r="G1986" s="160"/>
      <c r="H1986" s="34" t="s">
        <v>925</v>
      </c>
    </row>
    <row r="1987" spans="1:8" ht="33">
      <c r="A1987" s="160"/>
      <c r="B1987" s="160"/>
      <c r="C1987" s="157"/>
      <c r="D1987" s="159"/>
      <c r="E1987" s="159"/>
      <c r="F1987" s="159"/>
      <c r="G1987" s="160"/>
      <c r="H1987" s="34" t="s">
        <v>925</v>
      </c>
    </row>
    <row r="1988" spans="1:8" ht="42.75">
      <c r="A1988" s="160" t="s">
        <v>2179</v>
      </c>
      <c r="B1988" s="160" t="s">
        <v>1987</v>
      </c>
      <c r="C1988" s="157" t="s">
        <v>1875</v>
      </c>
      <c r="D1988" s="159">
        <v>1</v>
      </c>
      <c r="E1988" s="159">
        <v>5115.13</v>
      </c>
      <c r="F1988" s="159"/>
      <c r="G1988" s="160" t="s">
        <v>1988</v>
      </c>
      <c r="H1988" s="34" t="s">
        <v>925</v>
      </c>
    </row>
    <row r="1989" spans="1:8" ht="33">
      <c r="A1989" s="160">
        <v>1</v>
      </c>
      <c r="B1989" s="160" t="s">
        <v>1989</v>
      </c>
      <c r="C1989" s="157" t="s">
        <v>1875</v>
      </c>
      <c r="D1989" s="159">
        <v>1</v>
      </c>
      <c r="E1989" s="159">
        <v>4781.8500000000004</v>
      </c>
      <c r="F1989" s="159">
        <v>4781.8500000000004</v>
      </c>
      <c r="G1989" s="160" t="s">
        <v>1990</v>
      </c>
      <c r="H1989" s="34" t="s">
        <v>925</v>
      </c>
    </row>
    <row r="1990" spans="1:8" ht="33">
      <c r="A1990" s="160">
        <v>2</v>
      </c>
      <c r="B1990" s="160" t="s">
        <v>1991</v>
      </c>
      <c r="C1990" s="157" t="s">
        <v>1875</v>
      </c>
      <c r="D1990" s="159">
        <v>1</v>
      </c>
      <c r="E1990" s="159">
        <v>184.3</v>
      </c>
      <c r="F1990" s="159">
        <v>184.3</v>
      </c>
      <c r="G1990" s="160" t="s">
        <v>1992</v>
      </c>
      <c r="H1990" s="34" t="s">
        <v>925</v>
      </c>
    </row>
    <row r="1991" spans="1:8" ht="33">
      <c r="A1991" s="160">
        <v>3</v>
      </c>
      <c r="B1991" s="160" t="s">
        <v>931</v>
      </c>
      <c r="C1991" s="157" t="s">
        <v>14</v>
      </c>
      <c r="D1991" s="159">
        <v>1</v>
      </c>
      <c r="E1991" s="159">
        <v>148.97999999999999</v>
      </c>
      <c r="F1991" s="159">
        <v>148.97999999999999</v>
      </c>
      <c r="G1991" s="160" t="s">
        <v>932</v>
      </c>
      <c r="H1991" s="34" t="s">
        <v>925</v>
      </c>
    </row>
    <row r="1992" spans="1:8" ht="33">
      <c r="A1992" s="160"/>
      <c r="B1992" s="160" t="s">
        <v>933</v>
      </c>
      <c r="C1992" s="157" t="s">
        <v>1875</v>
      </c>
      <c r="D1992" s="159">
        <v>1</v>
      </c>
      <c r="E1992" s="159"/>
      <c r="F1992" s="159">
        <v>5115.13</v>
      </c>
      <c r="G1992" s="160"/>
      <c r="H1992" s="34" t="s">
        <v>925</v>
      </c>
    </row>
    <row r="1993" spans="1:8" ht="33">
      <c r="A1993" s="160"/>
      <c r="B1993" s="160" t="s">
        <v>934</v>
      </c>
      <c r="C1993" s="157" t="s">
        <v>1875</v>
      </c>
      <c r="D1993" s="159"/>
      <c r="E1993" s="159"/>
      <c r="F1993" s="159">
        <v>5115.13</v>
      </c>
      <c r="G1993" s="160"/>
      <c r="H1993" s="34" t="s">
        <v>925</v>
      </c>
    </row>
    <row r="1994" spans="1:8" ht="33">
      <c r="A1994" s="160"/>
      <c r="B1994" s="160"/>
      <c r="C1994" s="157"/>
      <c r="D1994" s="159"/>
      <c r="E1994" s="159"/>
      <c r="F1994" s="159"/>
      <c r="G1994" s="160"/>
      <c r="H1994" s="34" t="s">
        <v>925</v>
      </c>
    </row>
    <row r="1995" spans="1:8" ht="42.75">
      <c r="A1995" s="160" t="s">
        <v>2190</v>
      </c>
      <c r="B1995" s="160" t="s">
        <v>1994</v>
      </c>
      <c r="C1995" s="157" t="s">
        <v>1875</v>
      </c>
      <c r="D1995" s="159">
        <v>1</v>
      </c>
      <c r="E1995" s="159">
        <v>5720.54</v>
      </c>
      <c r="F1995" s="159"/>
      <c r="G1995" s="160" t="s">
        <v>1995</v>
      </c>
      <c r="H1995" s="34" t="s">
        <v>925</v>
      </c>
    </row>
    <row r="1996" spans="1:8" ht="42.75">
      <c r="A1996" s="160">
        <v>1</v>
      </c>
      <c r="B1996" s="160" t="s">
        <v>1996</v>
      </c>
      <c r="C1996" s="157" t="s">
        <v>1875</v>
      </c>
      <c r="D1996" s="159">
        <v>1</v>
      </c>
      <c r="E1996" s="159">
        <v>5359.66</v>
      </c>
      <c r="F1996" s="159">
        <v>5359.66</v>
      </c>
      <c r="G1996" s="160" t="s">
        <v>1997</v>
      </c>
      <c r="H1996" s="34" t="s">
        <v>925</v>
      </c>
    </row>
    <row r="1997" spans="1:8" ht="42.75">
      <c r="A1997" s="160">
        <v>2</v>
      </c>
      <c r="B1997" s="160" t="s">
        <v>1998</v>
      </c>
      <c r="C1997" s="157" t="s">
        <v>1875</v>
      </c>
      <c r="D1997" s="159">
        <v>1</v>
      </c>
      <c r="E1997" s="159">
        <v>194.26</v>
      </c>
      <c r="F1997" s="159">
        <v>194.26</v>
      </c>
      <c r="G1997" s="160" t="s">
        <v>1999</v>
      </c>
      <c r="H1997" s="34" t="s">
        <v>925</v>
      </c>
    </row>
    <row r="1998" spans="1:8" ht="28.5">
      <c r="A1998" s="160">
        <v>3</v>
      </c>
      <c r="B1998" s="160" t="s">
        <v>931</v>
      </c>
      <c r="C1998" s="157" t="s">
        <v>14</v>
      </c>
      <c r="D1998" s="159">
        <v>1</v>
      </c>
      <c r="E1998" s="159">
        <v>166.62</v>
      </c>
      <c r="F1998" s="159">
        <v>166.62</v>
      </c>
      <c r="G1998" s="160" t="s">
        <v>932</v>
      </c>
    </row>
    <row r="1999" spans="1:8" ht="33">
      <c r="A1999" s="160"/>
      <c r="B1999" s="160" t="s">
        <v>933</v>
      </c>
      <c r="C1999" s="157" t="s">
        <v>1875</v>
      </c>
      <c r="D1999" s="159">
        <v>1</v>
      </c>
      <c r="E1999" s="159"/>
      <c r="F1999" s="159">
        <v>5720.54</v>
      </c>
      <c r="G1999" s="160"/>
      <c r="H1999" s="34" t="s">
        <v>925</v>
      </c>
    </row>
    <row r="2000" spans="1:8" ht="33">
      <c r="A2000" s="160"/>
      <c r="B2000" s="160" t="s">
        <v>934</v>
      </c>
      <c r="C2000" s="157" t="s">
        <v>1875</v>
      </c>
      <c r="D2000" s="159"/>
      <c r="E2000" s="159"/>
      <c r="F2000" s="159">
        <v>5720.54</v>
      </c>
      <c r="G2000" s="160"/>
      <c r="H2000" s="34" t="s">
        <v>925</v>
      </c>
    </row>
    <row r="2001" spans="1:8" ht="33">
      <c r="A2001" s="160"/>
      <c r="B2001" s="160"/>
      <c r="C2001" s="157"/>
      <c r="D2001" s="159"/>
      <c r="E2001" s="159"/>
      <c r="F2001" s="159"/>
      <c r="G2001" s="160"/>
      <c r="H2001" s="34" t="s">
        <v>925</v>
      </c>
    </row>
    <row r="2002" spans="1:8" ht="42.75">
      <c r="A2002" s="160" t="s">
        <v>2194</v>
      </c>
      <c r="B2002" s="160" t="s">
        <v>2001</v>
      </c>
      <c r="C2002" s="157" t="s">
        <v>1875</v>
      </c>
      <c r="D2002" s="159">
        <v>1</v>
      </c>
      <c r="E2002" s="159">
        <v>4663.6400000000003</v>
      </c>
      <c r="F2002" s="159"/>
      <c r="G2002" s="160" t="s">
        <v>2002</v>
      </c>
      <c r="H2002" s="34" t="s">
        <v>925</v>
      </c>
    </row>
    <row r="2003" spans="1:8" ht="33">
      <c r="A2003" s="160">
        <v>1</v>
      </c>
      <c r="B2003" s="160" t="s">
        <v>2003</v>
      </c>
      <c r="C2003" s="157" t="s">
        <v>1875</v>
      </c>
      <c r="D2003" s="159">
        <v>1</v>
      </c>
      <c r="E2003" s="159">
        <v>4353.47</v>
      </c>
      <c r="F2003" s="159">
        <v>4353.47</v>
      </c>
      <c r="G2003" s="160" t="s">
        <v>2004</v>
      </c>
      <c r="H2003" s="34" t="s">
        <v>925</v>
      </c>
    </row>
    <row r="2004" spans="1:8" ht="33">
      <c r="A2004" s="160">
        <v>2</v>
      </c>
      <c r="B2004" s="160" t="s">
        <v>2005</v>
      </c>
      <c r="C2004" s="157" t="s">
        <v>1875</v>
      </c>
      <c r="D2004" s="159">
        <v>1</v>
      </c>
      <c r="E2004" s="159">
        <v>174.34</v>
      </c>
      <c r="F2004" s="159">
        <v>174.34</v>
      </c>
      <c r="G2004" s="160" t="s">
        <v>2006</v>
      </c>
      <c r="H2004" s="34" t="s">
        <v>925</v>
      </c>
    </row>
    <row r="2005" spans="1:8" ht="33">
      <c r="A2005" s="160">
        <v>3</v>
      </c>
      <c r="B2005" s="160" t="s">
        <v>931</v>
      </c>
      <c r="C2005" s="157" t="s">
        <v>14</v>
      </c>
      <c r="D2005" s="159">
        <v>1</v>
      </c>
      <c r="E2005" s="159">
        <v>135.83000000000001</v>
      </c>
      <c r="F2005" s="159">
        <v>135.83000000000001</v>
      </c>
      <c r="G2005" s="160" t="s">
        <v>932</v>
      </c>
      <c r="H2005" s="34" t="s">
        <v>925</v>
      </c>
    </row>
    <row r="2006" spans="1:8" ht="33">
      <c r="A2006" s="160"/>
      <c r="B2006" s="160" t="s">
        <v>933</v>
      </c>
      <c r="C2006" s="157" t="s">
        <v>1875</v>
      </c>
      <c r="D2006" s="159">
        <v>1</v>
      </c>
      <c r="E2006" s="159"/>
      <c r="F2006" s="159">
        <v>4663.6400000000003</v>
      </c>
      <c r="G2006" s="160"/>
      <c r="H2006" s="34" t="s">
        <v>925</v>
      </c>
    </row>
    <row r="2007" spans="1:8" ht="33">
      <c r="A2007" s="160"/>
      <c r="B2007" s="160" t="s">
        <v>934</v>
      </c>
      <c r="C2007" s="157" t="s">
        <v>1875</v>
      </c>
      <c r="D2007" s="159"/>
      <c r="E2007" s="159"/>
      <c r="F2007" s="159">
        <v>4663.6400000000003</v>
      </c>
      <c r="G2007" s="160"/>
      <c r="H2007" s="34" t="s">
        <v>925</v>
      </c>
    </row>
    <row r="2008" spans="1:8" ht="33">
      <c r="A2008" s="160"/>
      <c r="B2008" s="160"/>
      <c r="C2008" s="157"/>
      <c r="D2008" s="159"/>
      <c r="E2008" s="159"/>
      <c r="F2008" s="159"/>
      <c r="G2008" s="160"/>
      <c r="H2008" s="34" t="s">
        <v>925</v>
      </c>
    </row>
    <row r="2009" spans="1:8" ht="42.75">
      <c r="A2009" s="160" t="s">
        <v>2203</v>
      </c>
      <c r="B2009" s="160" t="s">
        <v>2008</v>
      </c>
      <c r="C2009" s="157" t="s">
        <v>1875</v>
      </c>
      <c r="D2009" s="159">
        <v>1</v>
      </c>
      <c r="E2009" s="159">
        <v>5238.26</v>
      </c>
      <c r="F2009" s="159"/>
      <c r="G2009" s="160" t="s">
        <v>2009</v>
      </c>
      <c r="H2009" s="34" t="s">
        <v>925</v>
      </c>
    </row>
    <row r="2010" spans="1:8" ht="28.5">
      <c r="A2010" s="160">
        <v>1</v>
      </c>
      <c r="B2010" s="160" t="s">
        <v>2012</v>
      </c>
      <c r="C2010" s="157" t="s">
        <v>1875</v>
      </c>
      <c r="D2010" s="159">
        <v>1</v>
      </c>
      <c r="E2010" s="159">
        <v>184.3</v>
      </c>
      <c r="F2010" s="159">
        <v>184.3</v>
      </c>
      <c r="G2010" s="160" t="s">
        <v>2013</v>
      </c>
    </row>
    <row r="2011" spans="1:8" ht="33">
      <c r="A2011" s="160">
        <v>2</v>
      </c>
      <c r="B2011" s="160" t="s">
        <v>2010</v>
      </c>
      <c r="C2011" s="157" t="s">
        <v>1875</v>
      </c>
      <c r="D2011" s="159">
        <v>1</v>
      </c>
      <c r="E2011" s="159">
        <v>4901.3900000000003</v>
      </c>
      <c r="F2011" s="159">
        <v>4901.3900000000003</v>
      </c>
      <c r="G2011" s="160" t="s">
        <v>2011</v>
      </c>
      <c r="H2011" s="34" t="s">
        <v>925</v>
      </c>
    </row>
    <row r="2012" spans="1:8" ht="33">
      <c r="A2012" s="160">
        <v>3</v>
      </c>
      <c r="B2012" s="160" t="s">
        <v>931</v>
      </c>
      <c r="C2012" s="157" t="s">
        <v>14</v>
      </c>
      <c r="D2012" s="159">
        <v>1</v>
      </c>
      <c r="E2012" s="159">
        <v>152.57</v>
      </c>
      <c r="F2012" s="159">
        <v>152.57</v>
      </c>
      <c r="G2012" s="160" t="s">
        <v>932</v>
      </c>
      <c r="H2012" s="34" t="s">
        <v>925</v>
      </c>
    </row>
    <row r="2013" spans="1:8" ht="33">
      <c r="A2013" s="160"/>
      <c r="B2013" s="160" t="s">
        <v>933</v>
      </c>
      <c r="C2013" s="157" t="s">
        <v>1875</v>
      </c>
      <c r="D2013" s="159">
        <v>1</v>
      </c>
      <c r="E2013" s="159"/>
      <c r="F2013" s="159">
        <v>5238.26</v>
      </c>
      <c r="G2013" s="160"/>
      <c r="H2013" s="34" t="s">
        <v>925</v>
      </c>
    </row>
    <row r="2014" spans="1:8" ht="33">
      <c r="A2014" s="160"/>
      <c r="B2014" s="160" t="s">
        <v>934</v>
      </c>
      <c r="C2014" s="157" t="s">
        <v>1875</v>
      </c>
      <c r="D2014" s="159"/>
      <c r="E2014" s="159"/>
      <c r="F2014" s="159">
        <v>5238.26</v>
      </c>
      <c r="G2014" s="160"/>
      <c r="H2014" s="34" t="s">
        <v>925</v>
      </c>
    </row>
    <row r="2015" spans="1:8" ht="33">
      <c r="A2015" s="160"/>
      <c r="B2015" s="160"/>
      <c r="C2015" s="157"/>
      <c r="D2015" s="159"/>
      <c r="E2015" s="159"/>
      <c r="F2015" s="159"/>
      <c r="G2015" s="160"/>
      <c r="H2015" s="34" t="s">
        <v>925</v>
      </c>
    </row>
    <row r="2016" spans="1:8" ht="42.75">
      <c r="A2016" s="160" t="s">
        <v>2211</v>
      </c>
      <c r="B2016" s="160" t="s">
        <v>2015</v>
      </c>
      <c r="C2016" s="157" t="s">
        <v>1875</v>
      </c>
      <c r="D2016" s="159">
        <v>1</v>
      </c>
      <c r="E2016" s="159">
        <v>6059.15</v>
      </c>
      <c r="F2016" s="159"/>
      <c r="G2016" s="160" t="s">
        <v>2016</v>
      </c>
      <c r="H2016" s="34" t="s">
        <v>925</v>
      </c>
    </row>
    <row r="2017" spans="1:8" ht="42.75">
      <c r="A2017" s="160">
        <v>1</v>
      </c>
      <c r="B2017" s="160" t="s">
        <v>2017</v>
      </c>
      <c r="C2017" s="157" t="s">
        <v>1875</v>
      </c>
      <c r="D2017" s="159">
        <v>1</v>
      </c>
      <c r="E2017" s="159">
        <v>5688.41</v>
      </c>
      <c r="F2017" s="159">
        <v>5688.41</v>
      </c>
      <c r="G2017" s="160" t="s">
        <v>2018</v>
      </c>
      <c r="H2017" s="34" t="s">
        <v>925</v>
      </c>
    </row>
    <row r="2018" spans="1:8" ht="42.75">
      <c r="A2018" s="160">
        <v>2</v>
      </c>
      <c r="B2018" s="160" t="s">
        <v>2019</v>
      </c>
      <c r="C2018" s="157" t="s">
        <v>1875</v>
      </c>
      <c r="D2018" s="159">
        <v>1</v>
      </c>
      <c r="E2018" s="159">
        <v>194.26</v>
      </c>
      <c r="F2018" s="159">
        <v>194.26</v>
      </c>
      <c r="G2018" s="160" t="s">
        <v>2020</v>
      </c>
      <c r="H2018" s="34" t="s">
        <v>925</v>
      </c>
    </row>
    <row r="2019" spans="1:8" ht="33">
      <c r="A2019" s="160">
        <v>3</v>
      </c>
      <c r="B2019" s="160" t="s">
        <v>931</v>
      </c>
      <c r="C2019" s="157" t="s">
        <v>14</v>
      </c>
      <c r="D2019" s="159">
        <v>1</v>
      </c>
      <c r="E2019" s="159">
        <v>176.48</v>
      </c>
      <c r="F2019" s="159">
        <v>176.48</v>
      </c>
      <c r="G2019" s="160" t="s">
        <v>932</v>
      </c>
      <c r="H2019" s="34" t="s">
        <v>925</v>
      </c>
    </row>
    <row r="2020" spans="1:8" ht="33">
      <c r="A2020" s="160"/>
      <c r="B2020" s="160" t="s">
        <v>933</v>
      </c>
      <c r="C2020" s="157" t="s">
        <v>1875</v>
      </c>
      <c r="D2020" s="159">
        <v>1</v>
      </c>
      <c r="E2020" s="159"/>
      <c r="F2020" s="159">
        <v>6059.15</v>
      </c>
      <c r="G2020" s="160"/>
      <c r="H2020" s="34" t="s">
        <v>925</v>
      </c>
    </row>
    <row r="2021" spans="1:8" ht="33">
      <c r="A2021" s="160"/>
      <c r="B2021" s="160" t="s">
        <v>934</v>
      </c>
      <c r="C2021" s="157" t="s">
        <v>1875</v>
      </c>
      <c r="D2021" s="159"/>
      <c r="E2021" s="159"/>
      <c r="F2021" s="159">
        <v>6059.15</v>
      </c>
      <c r="G2021" s="160"/>
      <c r="H2021" s="34" t="s">
        <v>925</v>
      </c>
    </row>
    <row r="2022" spans="1:8" ht="16.5">
      <c r="A2022" s="160"/>
      <c r="B2022" s="160"/>
      <c r="C2022" s="157"/>
      <c r="D2022" s="159"/>
      <c r="E2022" s="159"/>
      <c r="F2022" s="159"/>
      <c r="G2022" s="160"/>
    </row>
    <row r="2023" spans="1:8" ht="42.75">
      <c r="A2023" s="160" t="s">
        <v>2218</v>
      </c>
      <c r="B2023" s="160" t="s">
        <v>4664</v>
      </c>
      <c r="C2023" s="157" t="s">
        <v>1689</v>
      </c>
      <c r="D2023" s="159">
        <v>1</v>
      </c>
      <c r="E2023" s="159">
        <v>6624.53</v>
      </c>
      <c r="F2023" s="159"/>
      <c r="G2023" s="160" t="s">
        <v>4966</v>
      </c>
      <c r="H2023" s="34" t="s">
        <v>925</v>
      </c>
    </row>
    <row r="2024" spans="1:8" ht="42.75">
      <c r="A2024" s="160">
        <v>1</v>
      </c>
      <c r="B2024" s="160" t="s">
        <v>4967</v>
      </c>
      <c r="C2024" s="157" t="s">
        <v>1875</v>
      </c>
      <c r="D2024" s="159">
        <v>1</v>
      </c>
      <c r="E2024" s="159">
        <v>6272.19</v>
      </c>
      <c r="F2024" s="159">
        <v>6272.19</v>
      </c>
      <c r="G2024" s="160" t="s">
        <v>4968</v>
      </c>
      <c r="H2024" s="34" t="s">
        <v>925</v>
      </c>
    </row>
    <row r="2025" spans="1:8" ht="33">
      <c r="A2025" s="160">
        <v>2</v>
      </c>
      <c r="B2025" s="160" t="s">
        <v>2026</v>
      </c>
      <c r="C2025" s="157" t="s">
        <v>14</v>
      </c>
      <c r="D2025" s="159">
        <v>1</v>
      </c>
      <c r="E2025" s="159">
        <v>159.38999999999999</v>
      </c>
      <c r="F2025" s="159">
        <v>159.38999999999999</v>
      </c>
      <c r="G2025" s="160" t="s">
        <v>2027</v>
      </c>
      <c r="H2025" s="34" t="s">
        <v>925</v>
      </c>
    </row>
    <row r="2026" spans="1:8" ht="33">
      <c r="A2026" s="160">
        <v>3</v>
      </c>
      <c r="B2026" s="160" t="s">
        <v>931</v>
      </c>
      <c r="C2026" s="157" t="s">
        <v>14</v>
      </c>
      <c r="D2026" s="159">
        <v>1</v>
      </c>
      <c r="E2026" s="159">
        <v>192.95</v>
      </c>
      <c r="F2026" s="159">
        <v>192.95</v>
      </c>
      <c r="G2026" s="160" t="s">
        <v>932</v>
      </c>
      <c r="H2026" s="34" t="s">
        <v>925</v>
      </c>
    </row>
    <row r="2027" spans="1:8" ht="33">
      <c r="A2027" s="160"/>
      <c r="B2027" s="160" t="s">
        <v>933</v>
      </c>
      <c r="C2027" s="157" t="s">
        <v>1689</v>
      </c>
      <c r="D2027" s="159">
        <v>1</v>
      </c>
      <c r="E2027" s="159"/>
      <c r="F2027" s="159">
        <v>6624.53</v>
      </c>
      <c r="G2027" s="160"/>
      <c r="H2027" s="34" t="s">
        <v>925</v>
      </c>
    </row>
    <row r="2028" spans="1:8" ht="33">
      <c r="A2028" s="160"/>
      <c r="B2028" s="160" t="s">
        <v>934</v>
      </c>
      <c r="C2028" s="157" t="s">
        <v>1689</v>
      </c>
      <c r="D2028" s="159"/>
      <c r="E2028" s="159"/>
      <c r="F2028" s="159">
        <v>6624.53</v>
      </c>
      <c r="G2028" s="160"/>
      <c r="H2028" s="34" t="s">
        <v>925</v>
      </c>
    </row>
    <row r="2029" spans="1:8" ht="33">
      <c r="A2029" s="160"/>
      <c r="B2029" s="160"/>
      <c r="C2029" s="157"/>
      <c r="D2029" s="159"/>
      <c r="E2029" s="159"/>
      <c r="F2029" s="159"/>
      <c r="G2029" s="160"/>
      <c r="H2029" s="34" t="s">
        <v>925</v>
      </c>
    </row>
    <row r="2030" spans="1:8" ht="42.75">
      <c r="A2030" s="160" t="s">
        <v>2225</v>
      </c>
      <c r="B2030" s="160" t="s">
        <v>4666</v>
      </c>
      <c r="C2030" s="157" t="s">
        <v>1689</v>
      </c>
      <c r="D2030" s="159">
        <v>1</v>
      </c>
      <c r="E2030" s="159">
        <v>7806.61</v>
      </c>
      <c r="F2030" s="159"/>
      <c r="G2030" s="160" t="s">
        <v>4969</v>
      </c>
      <c r="H2030" s="34" t="s">
        <v>925</v>
      </c>
    </row>
    <row r="2031" spans="1:8" ht="42.75">
      <c r="A2031" s="160">
        <v>1</v>
      </c>
      <c r="B2031" s="160" t="s">
        <v>4970</v>
      </c>
      <c r="C2031" s="157" t="s">
        <v>1875</v>
      </c>
      <c r="D2031" s="159">
        <v>1</v>
      </c>
      <c r="E2031" s="159">
        <v>7419.84</v>
      </c>
      <c r="F2031" s="159">
        <v>7419.84</v>
      </c>
      <c r="G2031" s="160" t="s">
        <v>4971</v>
      </c>
      <c r="H2031" s="34" t="s">
        <v>925</v>
      </c>
    </row>
    <row r="2032" spans="1:8" ht="33">
      <c r="A2032" s="160">
        <v>2</v>
      </c>
      <c r="B2032" s="160" t="s">
        <v>2026</v>
      </c>
      <c r="C2032" s="157" t="s">
        <v>14</v>
      </c>
      <c r="D2032" s="159">
        <v>1</v>
      </c>
      <c r="E2032" s="159">
        <v>159.38999999999999</v>
      </c>
      <c r="F2032" s="159">
        <v>159.38999999999999</v>
      </c>
      <c r="G2032" s="160" t="s">
        <v>2027</v>
      </c>
      <c r="H2032" s="34" t="s">
        <v>925</v>
      </c>
    </row>
    <row r="2033" spans="1:8" ht="33">
      <c r="A2033" s="160">
        <v>3</v>
      </c>
      <c r="B2033" s="160" t="s">
        <v>931</v>
      </c>
      <c r="C2033" s="157" t="s">
        <v>14</v>
      </c>
      <c r="D2033" s="159">
        <v>1</v>
      </c>
      <c r="E2033" s="159">
        <v>227.38</v>
      </c>
      <c r="F2033" s="159">
        <v>227.38</v>
      </c>
      <c r="G2033" s="160" t="s">
        <v>932</v>
      </c>
      <c r="H2033" s="34" t="s">
        <v>925</v>
      </c>
    </row>
    <row r="2034" spans="1:8" ht="33">
      <c r="A2034" s="160"/>
      <c r="B2034" s="160" t="s">
        <v>933</v>
      </c>
      <c r="C2034" s="157" t="s">
        <v>1689</v>
      </c>
      <c r="D2034" s="159">
        <v>1</v>
      </c>
      <c r="E2034" s="159"/>
      <c r="F2034" s="159">
        <v>7806.6100000000006</v>
      </c>
      <c r="G2034" s="160"/>
      <c r="H2034" s="34" t="s">
        <v>925</v>
      </c>
    </row>
    <row r="2035" spans="1:8" ht="16.5">
      <c r="A2035" s="160"/>
      <c r="B2035" s="160" t="s">
        <v>934</v>
      </c>
      <c r="C2035" s="157" t="s">
        <v>1689</v>
      </c>
      <c r="D2035" s="159"/>
      <c r="E2035" s="159"/>
      <c r="F2035" s="159">
        <v>7806.61</v>
      </c>
      <c r="G2035" s="160"/>
    </row>
    <row r="2036" spans="1:8" ht="33">
      <c r="A2036" s="160"/>
      <c r="B2036" s="160"/>
      <c r="C2036" s="157"/>
      <c r="D2036" s="159"/>
      <c r="E2036" s="159"/>
      <c r="F2036" s="159"/>
      <c r="G2036" s="160"/>
      <c r="H2036" s="34" t="s">
        <v>925</v>
      </c>
    </row>
    <row r="2037" spans="1:8" ht="42.75">
      <c r="A2037" s="160" t="s">
        <v>2228</v>
      </c>
      <c r="B2037" s="160" t="s">
        <v>4668</v>
      </c>
      <c r="C2037" s="157" t="s">
        <v>1689</v>
      </c>
      <c r="D2037" s="159">
        <v>1</v>
      </c>
      <c r="E2037" s="159">
        <v>8988.68</v>
      </c>
      <c r="F2037" s="159"/>
      <c r="G2037" s="160" t="s">
        <v>4972</v>
      </c>
      <c r="H2037" s="34" t="s">
        <v>925</v>
      </c>
    </row>
    <row r="2038" spans="1:8" ht="42.75">
      <c r="A2038" s="160">
        <v>1</v>
      </c>
      <c r="B2038" s="160" t="s">
        <v>4973</v>
      </c>
      <c r="C2038" s="157" t="s">
        <v>1875</v>
      </c>
      <c r="D2038" s="159">
        <v>1</v>
      </c>
      <c r="E2038" s="159">
        <v>8567.48</v>
      </c>
      <c r="F2038" s="159">
        <v>8567.48</v>
      </c>
      <c r="G2038" s="160" t="s">
        <v>4974</v>
      </c>
      <c r="H2038" s="34" t="s">
        <v>925</v>
      </c>
    </row>
    <row r="2039" spans="1:8" ht="33">
      <c r="A2039" s="160">
        <v>2</v>
      </c>
      <c r="B2039" s="160" t="s">
        <v>2026</v>
      </c>
      <c r="C2039" s="157" t="s">
        <v>14</v>
      </c>
      <c r="D2039" s="159">
        <v>1</v>
      </c>
      <c r="E2039" s="159">
        <v>159.38999999999999</v>
      </c>
      <c r="F2039" s="159">
        <v>159.38999999999999</v>
      </c>
      <c r="G2039" s="160" t="s">
        <v>2027</v>
      </c>
      <c r="H2039" s="34" t="s">
        <v>925</v>
      </c>
    </row>
    <row r="2040" spans="1:8" ht="33">
      <c r="A2040" s="160">
        <v>3</v>
      </c>
      <c r="B2040" s="160" t="s">
        <v>931</v>
      </c>
      <c r="C2040" s="157" t="s">
        <v>14</v>
      </c>
      <c r="D2040" s="159">
        <v>1</v>
      </c>
      <c r="E2040" s="159">
        <v>261.81</v>
      </c>
      <c r="F2040" s="159">
        <v>261.81</v>
      </c>
      <c r="G2040" s="160" t="s">
        <v>932</v>
      </c>
      <c r="H2040" s="34" t="s">
        <v>925</v>
      </c>
    </row>
    <row r="2041" spans="1:8" ht="33">
      <c r="A2041" s="160"/>
      <c r="B2041" s="160" t="s">
        <v>933</v>
      </c>
      <c r="C2041" s="157" t="s">
        <v>1689</v>
      </c>
      <c r="D2041" s="159">
        <v>1</v>
      </c>
      <c r="E2041" s="159"/>
      <c r="F2041" s="159">
        <v>8988.6799999999985</v>
      </c>
      <c r="G2041" s="160"/>
      <c r="H2041" s="34" t="s">
        <v>925</v>
      </c>
    </row>
    <row r="2042" spans="1:8" ht="33">
      <c r="A2042" s="160"/>
      <c r="B2042" s="160" t="s">
        <v>934</v>
      </c>
      <c r="C2042" s="157" t="s">
        <v>1689</v>
      </c>
      <c r="D2042" s="159"/>
      <c r="E2042" s="159"/>
      <c r="F2042" s="159">
        <v>8988.68</v>
      </c>
      <c r="G2042" s="160"/>
      <c r="H2042" s="34" t="s">
        <v>925</v>
      </c>
    </row>
    <row r="2043" spans="1:8" ht="33">
      <c r="A2043" s="160"/>
      <c r="B2043" s="160"/>
      <c r="C2043" s="157"/>
      <c r="D2043" s="159"/>
      <c r="E2043" s="159"/>
      <c r="F2043" s="159"/>
      <c r="G2043" s="160"/>
      <c r="H2043" s="34" t="s">
        <v>925</v>
      </c>
    </row>
    <row r="2044" spans="1:8" ht="33">
      <c r="A2044" s="160" t="s">
        <v>2231</v>
      </c>
      <c r="B2044" s="160" t="s">
        <v>2022</v>
      </c>
      <c r="C2044" s="157" t="s">
        <v>1689</v>
      </c>
      <c r="D2044" s="159">
        <v>1</v>
      </c>
      <c r="E2044" s="159">
        <v>2262.02</v>
      </c>
      <c r="F2044" s="159"/>
      <c r="G2044" s="160" t="s">
        <v>2023</v>
      </c>
      <c r="H2044" s="34" t="s">
        <v>925</v>
      </c>
    </row>
    <row r="2045" spans="1:8" ht="33">
      <c r="A2045" s="160">
        <v>1</v>
      </c>
      <c r="B2045" s="160" t="s">
        <v>2024</v>
      </c>
      <c r="C2045" s="157" t="s">
        <v>18</v>
      </c>
      <c r="D2045" s="159">
        <v>23.5</v>
      </c>
      <c r="E2045" s="159">
        <v>86.67</v>
      </c>
      <c r="F2045" s="159">
        <v>2036.75</v>
      </c>
      <c r="G2045" s="160" t="s">
        <v>2025</v>
      </c>
      <c r="H2045" s="34" t="s">
        <v>925</v>
      </c>
    </row>
    <row r="2046" spans="1:8" ht="33">
      <c r="A2046" s="160">
        <v>2</v>
      </c>
      <c r="B2046" s="160" t="s">
        <v>2026</v>
      </c>
      <c r="C2046" s="157" t="s">
        <v>14</v>
      </c>
      <c r="D2046" s="159">
        <v>1</v>
      </c>
      <c r="E2046" s="159">
        <v>159.38999999999999</v>
      </c>
      <c r="F2046" s="159">
        <v>159.38999999999999</v>
      </c>
      <c r="G2046" s="160" t="s">
        <v>2027</v>
      </c>
      <c r="H2046" s="34" t="s">
        <v>925</v>
      </c>
    </row>
    <row r="2047" spans="1:8" ht="33">
      <c r="A2047" s="160">
        <v>3</v>
      </c>
      <c r="B2047" s="160" t="s">
        <v>931</v>
      </c>
      <c r="C2047" s="157" t="s">
        <v>14</v>
      </c>
      <c r="D2047" s="159">
        <v>1</v>
      </c>
      <c r="E2047" s="159">
        <v>65.88</v>
      </c>
      <c r="F2047" s="159">
        <v>65.88</v>
      </c>
      <c r="G2047" s="160" t="s">
        <v>932</v>
      </c>
      <c r="H2047" s="34" t="s">
        <v>925</v>
      </c>
    </row>
    <row r="2048" spans="1:8" ht="16.5">
      <c r="A2048" s="160"/>
      <c r="B2048" s="160" t="s">
        <v>933</v>
      </c>
      <c r="C2048" s="157" t="s">
        <v>1689</v>
      </c>
      <c r="D2048" s="159">
        <v>1</v>
      </c>
      <c r="E2048" s="159"/>
      <c r="F2048" s="159">
        <v>2262.02</v>
      </c>
      <c r="G2048" s="160"/>
    </row>
    <row r="2049" spans="1:8" ht="33">
      <c r="A2049" s="160"/>
      <c r="B2049" s="160" t="s">
        <v>934</v>
      </c>
      <c r="C2049" s="157" t="s">
        <v>1689</v>
      </c>
      <c r="D2049" s="159"/>
      <c r="E2049" s="159"/>
      <c r="F2049" s="159">
        <v>2262.02</v>
      </c>
      <c r="G2049" s="160"/>
      <c r="H2049" s="34" t="s">
        <v>925</v>
      </c>
    </row>
    <row r="2050" spans="1:8" ht="33">
      <c r="A2050" s="160"/>
      <c r="B2050" s="160"/>
      <c r="C2050" s="157"/>
      <c r="D2050" s="159"/>
      <c r="E2050" s="159"/>
      <c r="F2050" s="159"/>
      <c r="G2050" s="160"/>
      <c r="H2050" s="34" t="s">
        <v>925</v>
      </c>
    </row>
    <row r="2051" spans="1:8" ht="33">
      <c r="A2051" s="160" t="s">
        <v>2236</v>
      </c>
      <c r="B2051" s="160" t="s">
        <v>2029</v>
      </c>
      <c r="C2051" s="157" t="s">
        <v>1689</v>
      </c>
      <c r="D2051" s="159">
        <v>1</v>
      </c>
      <c r="E2051" s="159">
        <v>2851.2</v>
      </c>
      <c r="F2051" s="159"/>
      <c r="G2051" s="160" t="s">
        <v>2030</v>
      </c>
      <c r="H2051" s="34" t="s">
        <v>925</v>
      </c>
    </row>
    <row r="2052" spans="1:8" ht="33">
      <c r="A2052" s="160">
        <v>1</v>
      </c>
      <c r="B2052" s="160" t="s">
        <v>2024</v>
      </c>
      <c r="C2052" s="157" t="s">
        <v>18</v>
      </c>
      <c r="D2052" s="159">
        <v>30.1</v>
      </c>
      <c r="E2052" s="159">
        <v>86.67</v>
      </c>
      <c r="F2052" s="159">
        <v>2608.77</v>
      </c>
      <c r="G2052" s="160" t="s">
        <v>2025</v>
      </c>
      <c r="H2052" s="34" t="s">
        <v>925</v>
      </c>
    </row>
    <row r="2053" spans="1:8" ht="33">
      <c r="A2053" s="160">
        <v>2</v>
      </c>
      <c r="B2053" s="160" t="s">
        <v>2026</v>
      </c>
      <c r="C2053" s="157" t="s">
        <v>14</v>
      </c>
      <c r="D2053" s="159">
        <v>1</v>
      </c>
      <c r="E2053" s="159">
        <v>159.38999999999999</v>
      </c>
      <c r="F2053" s="159">
        <v>159.38999999999999</v>
      </c>
      <c r="G2053" s="160" t="s">
        <v>2027</v>
      </c>
      <c r="H2053" s="34" t="s">
        <v>925</v>
      </c>
    </row>
    <row r="2054" spans="1:8" ht="33">
      <c r="A2054" s="160">
        <v>3</v>
      </c>
      <c r="B2054" s="160" t="s">
        <v>931</v>
      </c>
      <c r="C2054" s="157" t="s">
        <v>14</v>
      </c>
      <c r="D2054" s="159">
        <v>1</v>
      </c>
      <c r="E2054" s="159">
        <v>83.04</v>
      </c>
      <c r="F2054" s="159">
        <v>83.04</v>
      </c>
      <c r="G2054" s="160" t="s">
        <v>932</v>
      </c>
      <c r="H2054" s="34" t="s">
        <v>925</v>
      </c>
    </row>
    <row r="2055" spans="1:8" ht="33">
      <c r="A2055" s="160"/>
      <c r="B2055" s="160" t="s">
        <v>933</v>
      </c>
      <c r="C2055" s="157" t="s">
        <v>1689</v>
      </c>
      <c r="D2055" s="159">
        <v>1</v>
      </c>
      <c r="E2055" s="159"/>
      <c r="F2055" s="159">
        <v>2851.2</v>
      </c>
      <c r="G2055" s="160"/>
      <c r="H2055" s="34" t="s">
        <v>925</v>
      </c>
    </row>
    <row r="2056" spans="1:8" ht="33">
      <c r="A2056" s="160"/>
      <c r="B2056" s="160" t="s">
        <v>934</v>
      </c>
      <c r="C2056" s="157" t="s">
        <v>1689</v>
      </c>
      <c r="D2056" s="159"/>
      <c r="E2056" s="159"/>
      <c r="F2056" s="159">
        <v>2851.2</v>
      </c>
      <c r="G2056" s="160"/>
      <c r="H2056" s="34" t="s">
        <v>925</v>
      </c>
    </row>
    <row r="2057" spans="1:8" ht="33">
      <c r="A2057" s="160"/>
      <c r="B2057" s="160"/>
      <c r="C2057" s="157"/>
      <c r="D2057" s="159"/>
      <c r="E2057" s="159"/>
      <c r="F2057" s="159"/>
      <c r="G2057" s="160"/>
      <c r="H2057" s="34" t="s">
        <v>925</v>
      </c>
    </row>
    <row r="2058" spans="1:8" ht="33">
      <c r="A2058" s="160" t="s">
        <v>2244</v>
      </c>
      <c r="B2058" s="160" t="s">
        <v>2032</v>
      </c>
      <c r="C2058" s="157" t="s">
        <v>1689</v>
      </c>
      <c r="D2058" s="159">
        <v>1</v>
      </c>
      <c r="E2058" s="159">
        <v>3119.36</v>
      </c>
      <c r="F2058" s="159"/>
      <c r="G2058" s="160" t="s">
        <v>2033</v>
      </c>
      <c r="H2058" s="34" t="s">
        <v>925</v>
      </c>
    </row>
    <row r="2059" spans="1:8" ht="42.75">
      <c r="A2059" s="160">
        <v>1</v>
      </c>
      <c r="B2059" s="160" t="s">
        <v>2034</v>
      </c>
      <c r="C2059" s="157" t="s">
        <v>1875</v>
      </c>
      <c r="D2059" s="159">
        <v>1</v>
      </c>
      <c r="E2059" s="159">
        <v>2869.11</v>
      </c>
      <c r="F2059" s="159">
        <v>2869.11</v>
      </c>
      <c r="G2059" s="160" t="s">
        <v>2035</v>
      </c>
      <c r="H2059" s="34" t="s">
        <v>925</v>
      </c>
    </row>
    <row r="2060" spans="1:8" ht="33">
      <c r="A2060" s="160">
        <v>2</v>
      </c>
      <c r="B2060" s="160" t="s">
        <v>2026</v>
      </c>
      <c r="C2060" s="157" t="s">
        <v>14</v>
      </c>
      <c r="D2060" s="159">
        <v>1</v>
      </c>
      <c r="E2060" s="159">
        <v>159.38999999999999</v>
      </c>
      <c r="F2060" s="159">
        <v>159.38999999999999</v>
      </c>
      <c r="G2060" s="160" t="s">
        <v>2027</v>
      </c>
      <c r="H2060" s="34" t="s">
        <v>925</v>
      </c>
    </row>
    <row r="2061" spans="1:8" ht="28.5">
      <c r="A2061" s="160">
        <v>3</v>
      </c>
      <c r="B2061" s="160" t="s">
        <v>931</v>
      </c>
      <c r="C2061" s="157" t="s">
        <v>14</v>
      </c>
      <c r="D2061" s="159">
        <v>1</v>
      </c>
      <c r="E2061" s="159">
        <v>90.86</v>
      </c>
      <c r="F2061" s="159">
        <v>90.86</v>
      </c>
      <c r="G2061" s="160" t="s">
        <v>932</v>
      </c>
    </row>
    <row r="2062" spans="1:8" ht="33">
      <c r="A2062" s="160"/>
      <c r="B2062" s="160" t="s">
        <v>933</v>
      </c>
      <c r="C2062" s="157" t="s">
        <v>1689</v>
      </c>
      <c r="D2062" s="159">
        <v>1</v>
      </c>
      <c r="E2062" s="159"/>
      <c r="F2062" s="159">
        <v>3119.36</v>
      </c>
      <c r="G2062" s="160"/>
      <c r="H2062" s="34" t="s">
        <v>925</v>
      </c>
    </row>
    <row r="2063" spans="1:8" ht="33">
      <c r="A2063" s="160"/>
      <c r="B2063" s="160" t="s">
        <v>934</v>
      </c>
      <c r="C2063" s="157" t="s">
        <v>1689</v>
      </c>
      <c r="D2063" s="159"/>
      <c r="E2063" s="159"/>
      <c r="F2063" s="159">
        <v>3119.36</v>
      </c>
      <c r="G2063" s="160"/>
      <c r="H2063" s="34" t="s">
        <v>925</v>
      </c>
    </row>
    <row r="2064" spans="1:8" ht="33">
      <c r="A2064" s="160"/>
      <c r="B2064" s="160"/>
      <c r="C2064" s="157"/>
      <c r="D2064" s="159"/>
      <c r="E2064" s="159"/>
      <c r="F2064" s="159"/>
      <c r="G2064" s="160"/>
      <c r="H2064" s="34" t="s">
        <v>925</v>
      </c>
    </row>
    <row r="2065" spans="1:8" ht="33">
      <c r="A2065" s="160" t="s">
        <v>2255</v>
      </c>
      <c r="B2065" s="160" t="s">
        <v>2037</v>
      </c>
      <c r="C2065" s="157" t="s">
        <v>1689</v>
      </c>
      <c r="D2065" s="159">
        <v>1</v>
      </c>
      <c r="E2065" s="159">
        <v>3591.36</v>
      </c>
      <c r="F2065" s="159"/>
      <c r="G2065" s="160" t="s">
        <v>2038</v>
      </c>
      <c r="H2065" s="34" t="s">
        <v>925</v>
      </c>
    </row>
    <row r="2066" spans="1:8" ht="42.75">
      <c r="A2066" s="160">
        <v>1</v>
      </c>
      <c r="B2066" s="160" t="s">
        <v>2039</v>
      </c>
      <c r="C2066" s="157" t="s">
        <v>1875</v>
      </c>
      <c r="D2066" s="159">
        <v>1</v>
      </c>
      <c r="E2066" s="159">
        <v>3327.37</v>
      </c>
      <c r="F2066" s="159">
        <v>3327.37</v>
      </c>
      <c r="G2066" s="160" t="s">
        <v>2040</v>
      </c>
      <c r="H2066" s="34" t="s">
        <v>925</v>
      </c>
    </row>
    <row r="2067" spans="1:8" ht="33">
      <c r="A2067" s="160">
        <v>2</v>
      </c>
      <c r="B2067" s="160" t="s">
        <v>2026</v>
      </c>
      <c r="C2067" s="157" t="s">
        <v>14</v>
      </c>
      <c r="D2067" s="159">
        <v>1</v>
      </c>
      <c r="E2067" s="159">
        <v>159.38999999999999</v>
      </c>
      <c r="F2067" s="159">
        <v>159.38999999999999</v>
      </c>
      <c r="G2067" s="160" t="s">
        <v>2027</v>
      </c>
      <c r="H2067" s="34" t="s">
        <v>925</v>
      </c>
    </row>
    <row r="2068" spans="1:8" ht="33">
      <c r="A2068" s="160">
        <v>3</v>
      </c>
      <c r="B2068" s="160" t="s">
        <v>931</v>
      </c>
      <c r="C2068" s="157" t="s">
        <v>14</v>
      </c>
      <c r="D2068" s="159">
        <v>1</v>
      </c>
      <c r="E2068" s="159">
        <v>104.6</v>
      </c>
      <c r="F2068" s="159">
        <v>104.6</v>
      </c>
      <c r="G2068" s="160" t="s">
        <v>932</v>
      </c>
      <c r="H2068" s="34" t="s">
        <v>925</v>
      </c>
    </row>
    <row r="2069" spans="1:8" ht="33">
      <c r="A2069" s="160"/>
      <c r="B2069" s="160" t="s">
        <v>933</v>
      </c>
      <c r="C2069" s="157" t="s">
        <v>1689</v>
      </c>
      <c r="D2069" s="159">
        <v>1</v>
      </c>
      <c r="E2069" s="159"/>
      <c r="F2069" s="159">
        <v>3591.3599999999997</v>
      </c>
      <c r="G2069" s="160"/>
      <c r="H2069" s="34" t="s">
        <v>925</v>
      </c>
    </row>
    <row r="2070" spans="1:8" ht="33">
      <c r="A2070" s="160"/>
      <c r="B2070" s="160" t="s">
        <v>934</v>
      </c>
      <c r="C2070" s="157" t="s">
        <v>1689</v>
      </c>
      <c r="D2070" s="159"/>
      <c r="E2070" s="159"/>
      <c r="F2070" s="159">
        <v>3591.36</v>
      </c>
      <c r="G2070" s="160"/>
      <c r="H2070" s="34" t="s">
        <v>925</v>
      </c>
    </row>
    <row r="2071" spans="1:8" ht="33">
      <c r="A2071" s="160"/>
      <c r="B2071" s="160"/>
      <c r="C2071" s="157"/>
      <c r="D2071" s="159"/>
      <c r="E2071" s="159"/>
      <c r="F2071" s="159"/>
      <c r="G2071" s="160"/>
      <c r="H2071" s="34" t="s">
        <v>925</v>
      </c>
    </row>
    <row r="2072" spans="1:8" ht="33">
      <c r="A2072" s="160" t="s">
        <v>2258</v>
      </c>
      <c r="B2072" s="160" t="s">
        <v>2042</v>
      </c>
      <c r="C2072" s="157" t="s">
        <v>1689</v>
      </c>
      <c r="D2072" s="159">
        <v>1</v>
      </c>
      <c r="E2072" s="159">
        <v>3929.98</v>
      </c>
      <c r="F2072" s="159"/>
      <c r="G2072" s="160" t="s">
        <v>2043</v>
      </c>
      <c r="H2072" s="34" t="s">
        <v>925</v>
      </c>
    </row>
    <row r="2073" spans="1:8" ht="33">
      <c r="A2073" s="160">
        <v>1</v>
      </c>
      <c r="B2073" s="160" t="s">
        <v>2026</v>
      </c>
      <c r="C2073" s="157" t="s">
        <v>14</v>
      </c>
      <c r="D2073" s="159">
        <v>1</v>
      </c>
      <c r="E2073" s="159">
        <v>159.38999999999999</v>
      </c>
      <c r="F2073" s="159">
        <v>159.38999999999999</v>
      </c>
      <c r="G2073" s="160" t="s">
        <v>2027</v>
      </c>
      <c r="H2073" s="34" t="s">
        <v>925</v>
      </c>
    </row>
    <row r="2074" spans="1:8" ht="42.75">
      <c r="A2074" s="160">
        <v>2</v>
      </c>
      <c r="B2074" s="160" t="s">
        <v>2044</v>
      </c>
      <c r="C2074" s="157" t="s">
        <v>1875</v>
      </c>
      <c r="D2074" s="159">
        <v>1</v>
      </c>
      <c r="E2074" s="159">
        <v>3656.12</v>
      </c>
      <c r="F2074" s="159">
        <v>3656.12</v>
      </c>
      <c r="G2074" s="160" t="s">
        <v>2045</v>
      </c>
    </row>
    <row r="2075" spans="1:8" ht="33">
      <c r="A2075" s="160">
        <v>3</v>
      </c>
      <c r="B2075" s="160" t="s">
        <v>931</v>
      </c>
      <c r="C2075" s="157" t="s">
        <v>14</v>
      </c>
      <c r="D2075" s="159">
        <v>1</v>
      </c>
      <c r="E2075" s="159">
        <v>114.47</v>
      </c>
      <c r="F2075" s="159">
        <v>114.47</v>
      </c>
      <c r="G2075" s="160" t="s">
        <v>932</v>
      </c>
      <c r="H2075" s="34" t="s">
        <v>925</v>
      </c>
    </row>
    <row r="2076" spans="1:8" ht="33">
      <c r="A2076" s="160"/>
      <c r="B2076" s="160" t="s">
        <v>933</v>
      </c>
      <c r="C2076" s="157" t="s">
        <v>1689</v>
      </c>
      <c r="D2076" s="159">
        <v>1</v>
      </c>
      <c r="E2076" s="159"/>
      <c r="F2076" s="159">
        <v>3929.9799999999996</v>
      </c>
      <c r="G2076" s="160"/>
      <c r="H2076" s="34" t="s">
        <v>925</v>
      </c>
    </row>
    <row r="2077" spans="1:8" ht="33">
      <c r="A2077" s="160"/>
      <c r="B2077" s="160" t="s">
        <v>934</v>
      </c>
      <c r="C2077" s="157" t="s">
        <v>1689</v>
      </c>
      <c r="D2077" s="159"/>
      <c r="E2077" s="159"/>
      <c r="F2077" s="159">
        <v>3929.98</v>
      </c>
      <c r="G2077" s="160"/>
      <c r="H2077" s="34" t="s">
        <v>925</v>
      </c>
    </row>
    <row r="2078" spans="1:8" ht="33">
      <c r="A2078" s="160"/>
      <c r="B2078" s="160"/>
      <c r="C2078" s="157"/>
      <c r="D2078" s="159"/>
      <c r="E2078" s="159"/>
      <c r="F2078" s="159"/>
      <c r="G2078" s="160"/>
      <c r="H2078" s="34" t="s">
        <v>925</v>
      </c>
    </row>
    <row r="2079" spans="1:8" ht="33">
      <c r="A2079" s="160" t="s">
        <v>2261</v>
      </c>
      <c r="B2079" s="160" t="s">
        <v>2047</v>
      </c>
      <c r="C2079" s="157" t="s">
        <v>18</v>
      </c>
      <c r="D2079" s="159">
        <v>1000</v>
      </c>
      <c r="E2079" s="159">
        <v>88.49</v>
      </c>
      <c r="F2079" s="159"/>
      <c r="G2079" s="160" t="s">
        <v>2048</v>
      </c>
      <c r="H2079" s="34" t="s">
        <v>925</v>
      </c>
    </row>
    <row r="2080" spans="1:8" ht="33">
      <c r="A2080" s="160">
        <v>1</v>
      </c>
      <c r="B2080" s="160" t="s">
        <v>2049</v>
      </c>
      <c r="C2080" s="157" t="s">
        <v>18</v>
      </c>
      <c r="D2080" s="159">
        <v>1000</v>
      </c>
      <c r="E2080" s="159">
        <v>31.88</v>
      </c>
      <c r="F2080" s="159">
        <v>31880</v>
      </c>
      <c r="G2080" s="160" t="s">
        <v>2050</v>
      </c>
      <c r="H2080" s="34" t="s">
        <v>925</v>
      </c>
    </row>
    <row r="2081" spans="1:8" ht="33">
      <c r="A2081" s="160">
        <v>2</v>
      </c>
      <c r="B2081" s="160" t="s">
        <v>1437</v>
      </c>
      <c r="C2081" s="157" t="s">
        <v>18</v>
      </c>
      <c r="D2081" s="159">
        <v>1000</v>
      </c>
      <c r="E2081" s="159">
        <v>35.44</v>
      </c>
      <c r="F2081" s="159">
        <v>35440</v>
      </c>
      <c r="G2081" s="160" t="s">
        <v>4975</v>
      </c>
      <c r="H2081" s="34" t="s">
        <v>925</v>
      </c>
    </row>
    <row r="2082" spans="1:8" ht="42.75">
      <c r="A2082" s="160">
        <v>3</v>
      </c>
      <c r="B2082" s="160" t="s">
        <v>2051</v>
      </c>
      <c r="C2082" s="157" t="s">
        <v>18</v>
      </c>
      <c r="D2082" s="159">
        <v>1000</v>
      </c>
      <c r="E2082" s="159">
        <v>18.43</v>
      </c>
      <c r="F2082" s="159">
        <v>18430</v>
      </c>
      <c r="G2082" s="160" t="s">
        <v>2052</v>
      </c>
    </row>
    <row r="2083" spans="1:8" ht="33">
      <c r="A2083" s="160">
        <v>4</v>
      </c>
      <c r="B2083" s="160" t="s">
        <v>2026</v>
      </c>
      <c r="C2083" s="157" t="s">
        <v>14</v>
      </c>
      <c r="D2083" s="159">
        <v>1</v>
      </c>
      <c r="E2083" s="159">
        <v>159.38999999999999</v>
      </c>
      <c r="F2083" s="159">
        <v>159.38999999999999</v>
      </c>
      <c r="G2083" s="160" t="s">
        <v>2027</v>
      </c>
      <c r="H2083" s="34" t="s">
        <v>925</v>
      </c>
    </row>
    <row r="2084" spans="1:8" ht="33">
      <c r="A2084" s="160">
        <v>5</v>
      </c>
      <c r="B2084" s="160" t="s">
        <v>931</v>
      </c>
      <c r="C2084" s="157" t="s">
        <v>14</v>
      </c>
      <c r="D2084" s="159">
        <v>1</v>
      </c>
      <c r="E2084" s="159">
        <v>2577.2800000000002</v>
      </c>
      <c r="F2084" s="159">
        <v>2577.2800000000002</v>
      </c>
      <c r="G2084" s="160" t="s">
        <v>932</v>
      </c>
      <c r="H2084" s="34" t="s">
        <v>925</v>
      </c>
    </row>
    <row r="2085" spans="1:8" ht="33">
      <c r="A2085" s="160"/>
      <c r="B2085" s="160" t="s">
        <v>933</v>
      </c>
      <c r="C2085" s="157" t="s">
        <v>18</v>
      </c>
      <c r="D2085" s="159">
        <v>1000</v>
      </c>
      <c r="E2085" s="159"/>
      <c r="F2085" s="159">
        <v>88486.67</v>
      </c>
      <c r="G2085" s="160"/>
      <c r="H2085" s="34" t="s">
        <v>925</v>
      </c>
    </row>
    <row r="2086" spans="1:8" ht="33">
      <c r="A2086" s="160"/>
      <c r="B2086" s="160" t="s">
        <v>934</v>
      </c>
      <c r="C2086" s="157" t="s">
        <v>18</v>
      </c>
      <c r="D2086" s="159"/>
      <c r="E2086" s="159"/>
      <c r="F2086" s="159">
        <v>88.49</v>
      </c>
      <c r="G2086" s="160"/>
      <c r="H2086" s="34" t="s">
        <v>925</v>
      </c>
    </row>
    <row r="2087" spans="1:8" ht="33">
      <c r="A2087" s="160"/>
      <c r="B2087" s="160"/>
      <c r="C2087" s="157"/>
      <c r="D2087" s="159"/>
      <c r="E2087" s="159"/>
      <c r="F2087" s="159"/>
      <c r="G2087" s="160"/>
      <c r="H2087" s="34" t="s">
        <v>925</v>
      </c>
    </row>
    <row r="2088" spans="1:8" ht="33">
      <c r="A2088" s="160" t="s">
        <v>2264</v>
      </c>
      <c r="B2088" s="160" t="s">
        <v>2054</v>
      </c>
      <c r="C2088" s="157" t="s">
        <v>1689</v>
      </c>
      <c r="D2088" s="159">
        <v>1</v>
      </c>
      <c r="E2088" s="159">
        <v>3601.62</v>
      </c>
      <c r="F2088" s="159"/>
      <c r="G2088" s="160" t="s">
        <v>2055</v>
      </c>
      <c r="H2088" s="34" t="s">
        <v>925</v>
      </c>
    </row>
    <row r="2089" spans="1:8" ht="42.75">
      <c r="A2089" s="160">
        <v>1</v>
      </c>
      <c r="B2089" s="160" t="s">
        <v>2056</v>
      </c>
      <c r="C2089" s="157" t="s">
        <v>1689</v>
      </c>
      <c r="D2089" s="159">
        <v>1</v>
      </c>
      <c r="E2089" s="159">
        <v>3337.33</v>
      </c>
      <c r="F2089" s="159">
        <v>3337.33</v>
      </c>
      <c r="G2089" s="160" t="s">
        <v>2057</v>
      </c>
      <c r="H2089" s="34" t="s">
        <v>925</v>
      </c>
    </row>
    <row r="2090" spans="1:8" ht="33">
      <c r="A2090" s="160">
        <v>2</v>
      </c>
      <c r="B2090" s="160" t="s">
        <v>2026</v>
      </c>
      <c r="C2090" s="157" t="s">
        <v>14</v>
      </c>
      <c r="D2090" s="159">
        <v>1</v>
      </c>
      <c r="E2090" s="159">
        <v>159.38999999999999</v>
      </c>
      <c r="F2090" s="159">
        <v>159.38999999999999</v>
      </c>
      <c r="G2090" s="160" t="s">
        <v>2027</v>
      </c>
      <c r="H2090" s="34" t="s">
        <v>925</v>
      </c>
    </row>
    <row r="2091" spans="1:8" ht="33">
      <c r="A2091" s="160">
        <v>3</v>
      </c>
      <c r="B2091" s="160" t="s">
        <v>931</v>
      </c>
      <c r="C2091" s="157" t="s">
        <v>14</v>
      </c>
      <c r="D2091" s="159">
        <v>1</v>
      </c>
      <c r="E2091" s="159">
        <v>104.9</v>
      </c>
      <c r="F2091" s="159">
        <v>104.9</v>
      </c>
      <c r="G2091" s="160" t="s">
        <v>932</v>
      </c>
      <c r="H2091" s="34" t="s">
        <v>925</v>
      </c>
    </row>
    <row r="2092" spans="1:8" ht="33">
      <c r="A2092" s="160"/>
      <c r="B2092" s="160" t="s">
        <v>933</v>
      </c>
      <c r="C2092" s="157" t="s">
        <v>1689</v>
      </c>
      <c r="D2092" s="159">
        <v>1</v>
      </c>
      <c r="E2092" s="159"/>
      <c r="F2092" s="159">
        <v>3601.62</v>
      </c>
      <c r="G2092" s="160"/>
      <c r="H2092" s="34" t="s">
        <v>925</v>
      </c>
    </row>
    <row r="2093" spans="1:8" ht="33">
      <c r="A2093" s="160"/>
      <c r="B2093" s="160" t="s">
        <v>934</v>
      </c>
      <c r="C2093" s="157" t="s">
        <v>1689</v>
      </c>
      <c r="D2093" s="159"/>
      <c r="E2093" s="159"/>
      <c r="F2093" s="159">
        <v>3601.62</v>
      </c>
      <c r="G2093" s="160"/>
      <c r="H2093" s="34" t="s">
        <v>925</v>
      </c>
    </row>
    <row r="2094" spans="1:8" ht="16.5">
      <c r="A2094" s="160"/>
      <c r="B2094" s="160"/>
      <c r="C2094" s="157"/>
      <c r="D2094" s="159"/>
      <c r="E2094" s="159"/>
      <c r="F2094" s="159"/>
      <c r="G2094" s="160"/>
    </row>
    <row r="2095" spans="1:8" ht="33">
      <c r="A2095" s="160" t="s">
        <v>2273</v>
      </c>
      <c r="B2095" s="160" t="s">
        <v>2059</v>
      </c>
      <c r="C2095" s="157" t="s">
        <v>1689</v>
      </c>
      <c r="D2095" s="159">
        <v>1</v>
      </c>
      <c r="E2095" s="159">
        <v>4114.67</v>
      </c>
      <c r="F2095" s="159"/>
      <c r="G2095" s="160" t="s">
        <v>2060</v>
      </c>
      <c r="H2095" s="34" t="s">
        <v>925</v>
      </c>
    </row>
    <row r="2096" spans="1:8" ht="42.75">
      <c r="A2096" s="160">
        <v>1</v>
      </c>
      <c r="B2096" s="160" t="s">
        <v>2061</v>
      </c>
      <c r="C2096" s="157" t="s">
        <v>1875</v>
      </c>
      <c r="D2096" s="159">
        <v>1</v>
      </c>
      <c r="E2096" s="159">
        <v>3835.44</v>
      </c>
      <c r="F2096" s="159">
        <v>3835.44</v>
      </c>
      <c r="G2096" s="160" t="s">
        <v>2062</v>
      </c>
      <c r="H2096" s="34" t="s">
        <v>925</v>
      </c>
    </row>
    <row r="2097" spans="1:8" ht="33">
      <c r="A2097" s="160">
        <v>2</v>
      </c>
      <c r="B2097" s="160" t="s">
        <v>2026</v>
      </c>
      <c r="C2097" s="157" t="s">
        <v>14</v>
      </c>
      <c r="D2097" s="159">
        <v>1</v>
      </c>
      <c r="E2097" s="159">
        <v>159.38999999999999</v>
      </c>
      <c r="F2097" s="159">
        <v>159.38999999999999</v>
      </c>
      <c r="G2097" s="160" t="s">
        <v>2027</v>
      </c>
      <c r="H2097" s="34" t="s">
        <v>925</v>
      </c>
    </row>
    <row r="2098" spans="1:8" ht="33">
      <c r="A2098" s="160">
        <v>3</v>
      </c>
      <c r="B2098" s="160" t="s">
        <v>931</v>
      </c>
      <c r="C2098" s="157" t="s">
        <v>14</v>
      </c>
      <c r="D2098" s="159">
        <v>1</v>
      </c>
      <c r="E2098" s="159">
        <v>119.84</v>
      </c>
      <c r="F2098" s="159">
        <v>119.84</v>
      </c>
      <c r="G2098" s="160" t="s">
        <v>932</v>
      </c>
      <c r="H2098" s="34" t="s">
        <v>925</v>
      </c>
    </row>
    <row r="2099" spans="1:8" ht="33">
      <c r="A2099" s="160"/>
      <c r="B2099" s="160" t="s">
        <v>933</v>
      </c>
      <c r="C2099" s="157" t="s">
        <v>1689</v>
      </c>
      <c r="D2099" s="159">
        <v>1</v>
      </c>
      <c r="E2099" s="159"/>
      <c r="F2099" s="159">
        <v>4114.67</v>
      </c>
      <c r="G2099" s="160"/>
      <c r="H2099" s="34" t="s">
        <v>925</v>
      </c>
    </row>
    <row r="2100" spans="1:8" ht="33">
      <c r="A2100" s="160"/>
      <c r="B2100" s="160" t="s">
        <v>934</v>
      </c>
      <c r="C2100" s="157" t="s">
        <v>1689</v>
      </c>
      <c r="D2100" s="159"/>
      <c r="E2100" s="159"/>
      <c r="F2100" s="159">
        <v>4114.67</v>
      </c>
      <c r="G2100" s="160"/>
      <c r="H2100" s="34" t="s">
        <v>925</v>
      </c>
    </row>
    <row r="2101" spans="1:8" ht="33">
      <c r="A2101" s="160"/>
      <c r="B2101" s="160"/>
      <c r="C2101" s="157"/>
      <c r="D2101" s="159"/>
      <c r="E2101" s="159"/>
      <c r="F2101" s="159"/>
      <c r="G2101" s="160"/>
      <c r="H2101" s="34" t="s">
        <v>925</v>
      </c>
    </row>
    <row r="2102" spans="1:8" ht="33">
      <c r="A2102" s="160" t="s">
        <v>2280</v>
      </c>
      <c r="B2102" s="160" t="s">
        <v>2064</v>
      </c>
      <c r="C2102" s="157" t="s">
        <v>1689</v>
      </c>
      <c r="D2102" s="159">
        <v>1</v>
      </c>
      <c r="E2102" s="159">
        <v>4730.34</v>
      </c>
      <c r="F2102" s="159"/>
      <c r="G2102" s="160" t="s">
        <v>2065</v>
      </c>
      <c r="H2102" s="34" t="s">
        <v>925</v>
      </c>
    </row>
    <row r="2103" spans="1:8" ht="42.75">
      <c r="A2103" s="160">
        <v>1</v>
      </c>
      <c r="B2103" s="160" t="s">
        <v>2066</v>
      </c>
      <c r="C2103" s="157" t="s">
        <v>1875</v>
      </c>
      <c r="D2103" s="159">
        <v>1</v>
      </c>
      <c r="E2103" s="159">
        <v>4433.17</v>
      </c>
      <c r="F2103" s="159">
        <v>4433.17</v>
      </c>
      <c r="G2103" s="160" t="s">
        <v>2067</v>
      </c>
      <c r="H2103" s="34" t="s">
        <v>925</v>
      </c>
    </row>
    <row r="2104" spans="1:8" ht="33">
      <c r="A2104" s="160">
        <v>2</v>
      </c>
      <c r="B2104" s="160" t="s">
        <v>2026</v>
      </c>
      <c r="C2104" s="157" t="s">
        <v>14</v>
      </c>
      <c r="D2104" s="159">
        <v>1</v>
      </c>
      <c r="E2104" s="159">
        <v>159.38999999999999</v>
      </c>
      <c r="F2104" s="159">
        <v>159.38999999999999</v>
      </c>
      <c r="G2104" s="160" t="s">
        <v>2027</v>
      </c>
      <c r="H2104" s="34" t="s">
        <v>925</v>
      </c>
    </row>
    <row r="2105" spans="1:8" ht="33">
      <c r="A2105" s="160">
        <v>3</v>
      </c>
      <c r="B2105" s="160" t="s">
        <v>931</v>
      </c>
      <c r="C2105" s="157" t="s">
        <v>14</v>
      </c>
      <c r="D2105" s="159">
        <v>1</v>
      </c>
      <c r="E2105" s="159">
        <v>137.78</v>
      </c>
      <c r="F2105" s="159">
        <v>137.78</v>
      </c>
      <c r="G2105" s="160" t="s">
        <v>932</v>
      </c>
      <c r="H2105" s="34" t="s">
        <v>925</v>
      </c>
    </row>
    <row r="2106" spans="1:8" ht="16.5">
      <c r="A2106" s="160"/>
      <c r="B2106" s="160" t="s">
        <v>933</v>
      </c>
      <c r="C2106" s="157" t="s">
        <v>1689</v>
      </c>
      <c r="D2106" s="159">
        <v>1</v>
      </c>
      <c r="E2106" s="159"/>
      <c r="F2106" s="159">
        <v>4730.34</v>
      </c>
      <c r="G2106" s="160"/>
    </row>
    <row r="2107" spans="1:8" ht="33">
      <c r="A2107" s="160"/>
      <c r="B2107" s="160" t="s">
        <v>934</v>
      </c>
      <c r="C2107" s="157" t="s">
        <v>1689</v>
      </c>
      <c r="D2107" s="159"/>
      <c r="E2107" s="159"/>
      <c r="F2107" s="159">
        <v>4730.34</v>
      </c>
      <c r="G2107" s="160"/>
      <c r="H2107" s="34" t="s">
        <v>925</v>
      </c>
    </row>
    <row r="2108" spans="1:8" ht="33">
      <c r="A2108" s="160"/>
      <c r="B2108" s="160"/>
      <c r="C2108" s="157"/>
      <c r="D2108" s="159"/>
      <c r="E2108" s="159"/>
      <c r="F2108" s="159"/>
      <c r="G2108" s="160"/>
      <c r="H2108" s="34" t="s">
        <v>925</v>
      </c>
    </row>
    <row r="2109" spans="1:8" ht="42.75">
      <c r="A2109" s="160" t="s">
        <v>2291</v>
      </c>
      <c r="B2109" s="160" t="s">
        <v>2069</v>
      </c>
      <c r="C2109" s="157" t="s">
        <v>1875</v>
      </c>
      <c r="D2109" s="159">
        <v>1</v>
      </c>
      <c r="E2109" s="159">
        <v>6731.26</v>
      </c>
      <c r="F2109" s="159"/>
      <c r="G2109" s="160" t="s">
        <v>2070</v>
      </c>
      <c r="H2109" s="34" t="s">
        <v>925</v>
      </c>
    </row>
    <row r="2110" spans="1:8" ht="33">
      <c r="A2110" s="160">
        <v>1</v>
      </c>
      <c r="B2110" s="160" t="s">
        <v>2071</v>
      </c>
      <c r="C2110" s="157" t="s">
        <v>1875</v>
      </c>
      <c r="D2110" s="159">
        <v>1</v>
      </c>
      <c r="E2110" s="159">
        <v>6186.52</v>
      </c>
      <c r="F2110" s="159">
        <v>6186.52</v>
      </c>
      <c r="G2110" s="160" t="s">
        <v>2072</v>
      </c>
      <c r="H2110" s="34" t="s">
        <v>925</v>
      </c>
    </row>
    <row r="2111" spans="1:8" ht="33">
      <c r="A2111" s="160">
        <v>2</v>
      </c>
      <c r="B2111" s="160" t="s">
        <v>2073</v>
      </c>
      <c r="C2111" s="157" t="s">
        <v>14</v>
      </c>
      <c r="D2111" s="159">
        <v>1</v>
      </c>
      <c r="E2111" s="159">
        <v>348.68</v>
      </c>
      <c r="F2111" s="159">
        <v>348.68</v>
      </c>
      <c r="G2111" s="160" t="s">
        <v>2074</v>
      </c>
      <c r="H2111" s="34" t="s">
        <v>925</v>
      </c>
    </row>
    <row r="2112" spans="1:8" ht="33">
      <c r="A2112" s="160">
        <v>3</v>
      </c>
      <c r="B2112" s="160" t="s">
        <v>931</v>
      </c>
      <c r="C2112" s="157" t="s">
        <v>14</v>
      </c>
      <c r="D2112" s="159">
        <v>1</v>
      </c>
      <c r="E2112" s="159">
        <v>196.06</v>
      </c>
      <c r="F2112" s="159">
        <v>196.06</v>
      </c>
      <c r="G2112" s="160" t="s">
        <v>932</v>
      </c>
      <c r="H2112" s="34" t="s">
        <v>925</v>
      </c>
    </row>
    <row r="2113" spans="1:8" ht="33">
      <c r="A2113" s="160"/>
      <c r="B2113" s="160" t="s">
        <v>933</v>
      </c>
      <c r="C2113" s="157" t="s">
        <v>1875</v>
      </c>
      <c r="D2113" s="159">
        <v>1</v>
      </c>
      <c r="E2113" s="159"/>
      <c r="F2113" s="159">
        <v>6731.2600000000011</v>
      </c>
      <c r="G2113" s="160"/>
      <c r="H2113" s="34" t="s">
        <v>925</v>
      </c>
    </row>
    <row r="2114" spans="1:8" ht="33">
      <c r="A2114" s="160"/>
      <c r="B2114" s="160" t="s">
        <v>934</v>
      </c>
      <c r="C2114" s="157" t="s">
        <v>1875</v>
      </c>
      <c r="D2114" s="159"/>
      <c r="E2114" s="159"/>
      <c r="F2114" s="159">
        <v>6731.26</v>
      </c>
      <c r="G2114" s="160"/>
      <c r="H2114" s="34" t="s">
        <v>925</v>
      </c>
    </row>
    <row r="2115" spans="1:8" ht="33">
      <c r="A2115" s="160"/>
      <c r="B2115" s="160"/>
      <c r="C2115" s="157"/>
      <c r="D2115" s="159"/>
      <c r="E2115" s="159"/>
      <c r="F2115" s="159"/>
      <c r="G2115" s="160"/>
      <c r="H2115" s="34" t="s">
        <v>925</v>
      </c>
    </row>
    <row r="2116" spans="1:8" ht="42.75">
      <c r="A2116" s="160" t="s">
        <v>2296</v>
      </c>
      <c r="B2116" s="160" t="s">
        <v>2076</v>
      </c>
      <c r="C2116" s="157" t="s">
        <v>1875</v>
      </c>
      <c r="D2116" s="159">
        <v>1</v>
      </c>
      <c r="E2116" s="159">
        <v>4176.24</v>
      </c>
      <c r="F2116" s="159"/>
      <c r="G2116" s="160" t="s">
        <v>2077</v>
      </c>
      <c r="H2116" s="34" t="s">
        <v>925</v>
      </c>
    </row>
    <row r="2117" spans="1:8" ht="33">
      <c r="A2117" s="160">
        <v>1</v>
      </c>
      <c r="B2117" s="160" t="s">
        <v>2078</v>
      </c>
      <c r="C2117" s="157" t="s">
        <v>1875</v>
      </c>
      <c r="D2117" s="159">
        <v>1</v>
      </c>
      <c r="E2117" s="159">
        <v>3805.55</v>
      </c>
      <c r="F2117" s="159">
        <v>3805.55</v>
      </c>
      <c r="G2117" s="160" t="s">
        <v>2079</v>
      </c>
      <c r="H2117" s="34" t="s">
        <v>925</v>
      </c>
    </row>
    <row r="2118" spans="1:8" ht="28.5">
      <c r="A2118" s="160">
        <v>2</v>
      </c>
      <c r="B2118" s="160" t="s">
        <v>2080</v>
      </c>
      <c r="C2118" s="157" t="s">
        <v>14</v>
      </c>
      <c r="D2118" s="159">
        <v>1</v>
      </c>
      <c r="E2118" s="159">
        <v>249.05</v>
      </c>
      <c r="F2118" s="159">
        <v>249.05</v>
      </c>
      <c r="G2118" s="160" t="s">
        <v>2081</v>
      </c>
    </row>
    <row r="2119" spans="1:8" ht="33">
      <c r="A2119" s="160">
        <v>3</v>
      </c>
      <c r="B2119" s="160" t="s">
        <v>931</v>
      </c>
      <c r="C2119" s="157" t="s">
        <v>14</v>
      </c>
      <c r="D2119" s="159">
        <v>1</v>
      </c>
      <c r="E2119" s="159">
        <v>121.64</v>
      </c>
      <c r="F2119" s="159">
        <v>121.64</v>
      </c>
      <c r="G2119" s="160" t="s">
        <v>932</v>
      </c>
      <c r="H2119" s="34" t="s">
        <v>925</v>
      </c>
    </row>
    <row r="2120" spans="1:8" ht="33">
      <c r="A2120" s="160"/>
      <c r="B2120" s="160" t="s">
        <v>933</v>
      </c>
      <c r="C2120" s="157" t="s">
        <v>1875</v>
      </c>
      <c r="D2120" s="159">
        <v>1</v>
      </c>
      <c r="E2120" s="159"/>
      <c r="F2120" s="159">
        <v>4176.2400000000007</v>
      </c>
      <c r="G2120" s="160"/>
      <c r="H2120" s="34" t="s">
        <v>925</v>
      </c>
    </row>
    <row r="2121" spans="1:8" ht="33">
      <c r="A2121" s="160"/>
      <c r="B2121" s="160" t="s">
        <v>934</v>
      </c>
      <c r="C2121" s="157" t="s">
        <v>1875</v>
      </c>
      <c r="D2121" s="159"/>
      <c r="E2121" s="159"/>
      <c r="F2121" s="159">
        <v>4176.24</v>
      </c>
      <c r="G2121" s="160"/>
      <c r="H2121" s="34" t="s">
        <v>925</v>
      </c>
    </row>
    <row r="2122" spans="1:8" ht="33">
      <c r="A2122" s="160"/>
      <c r="B2122" s="160"/>
      <c r="C2122" s="157"/>
      <c r="D2122" s="159"/>
      <c r="E2122" s="159"/>
      <c r="F2122" s="159"/>
      <c r="G2122" s="160"/>
      <c r="H2122" s="34" t="s">
        <v>925</v>
      </c>
    </row>
    <row r="2123" spans="1:8" ht="33">
      <c r="A2123" s="160" t="s">
        <v>2298</v>
      </c>
      <c r="B2123" s="160" t="s">
        <v>2083</v>
      </c>
      <c r="C2123" s="157" t="s">
        <v>1875</v>
      </c>
      <c r="D2123" s="159">
        <v>1</v>
      </c>
      <c r="E2123" s="159">
        <v>16038.02</v>
      </c>
      <c r="F2123" s="159"/>
      <c r="G2123" s="160" t="s">
        <v>2084</v>
      </c>
      <c r="H2123" s="34" t="s">
        <v>925</v>
      </c>
    </row>
    <row r="2124" spans="1:8" ht="33">
      <c r="A2124" s="160">
        <v>1</v>
      </c>
      <c r="B2124" s="160" t="s">
        <v>2085</v>
      </c>
      <c r="C2124" s="157" t="s">
        <v>1875</v>
      </c>
      <c r="D2124" s="159">
        <v>1</v>
      </c>
      <c r="E2124" s="159">
        <v>15242.14</v>
      </c>
      <c r="F2124" s="159">
        <v>15242.14</v>
      </c>
      <c r="G2124" s="160" t="s">
        <v>2086</v>
      </c>
      <c r="H2124" s="34" t="s">
        <v>925</v>
      </c>
    </row>
    <row r="2125" spans="1:8" ht="33">
      <c r="A2125" s="160">
        <v>2</v>
      </c>
      <c r="B2125" s="160" t="s">
        <v>2087</v>
      </c>
      <c r="C2125" s="157" t="s">
        <v>14</v>
      </c>
      <c r="D2125" s="159">
        <v>1</v>
      </c>
      <c r="E2125" s="159">
        <v>328.75</v>
      </c>
      <c r="F2125" s="159">
        <v>328.75</v>
      </c>
      <c r="G2125" s="160" t="s">
        <v>2088</v>
      </c>
      <c r="H2125" s="34" t="s">
        <v>925</v>
      </c>
    </row>
    <row r="2126" spans="1:8" ht="33">
      <c r="A2126" s="160">
        <v>3</v>
      </c>
      <c r="B2126" s="160" t="s">
        <v>931</v>
      </c>
      <c r="C2126" s="157" t="s">
        <v>14</v>
      </c>
      <c r="D2126" s="159">
        <v>1</v>
      </c>
      <c r="E2126" s="159">
        <v>467.13</v>
      </c>
      <c r="F2126" s="159">
        <v>467.13</v>
      </c>
      <c r="G2126" s="160" t="s">
        <v>932</v>
      </c>
      <c r="H2126" s="34" t="s">
        <v>925</v>
      </c>
    </row>
    <row r="2127" spans="1:8" ht="33">
      <c r="A2127" s="160"/>
      <c r="B2127" s="160" t="s">
        <v>933</v>
      </c>
      <c r="C2127" s="157" t="s">
        <v>1875</v>
      </c>
      <c r="D2127" s="159">
        <v>1</v>
      </c>
      <c r="E2127" s="159"/>
      <c r="F2127" s="159">
        <v>16038.019999999999</v>
      </c>
      <c r="G2127" s="160"/>
      <c r="H2127" s="34" t="s">
        <v>925</v>
      </c>
    </row>
    <row r="2128" spans="1:8" ht="33">
      <c r="A2128" s="160"/>
      <c r="B2128" s="160" t="s">
        <v>934</v>
      </c>
      <c r="C2128" s="157" t="s">
        <v>1875</v>
      </c>
      <c r="D2128" s="159"/>
      <c r="E2128" s="159"/>
      <c r="F2128" s="159">
        <v>16038.02</v>
      </c>
      <c r="G2128" s="160"/>
      <c r="H2128" s="34" t="s">
        <v>925</v>
      </c>
    </row>
    <row r="2129" spans="1:8" ht="16.5">
      <c r="A2129" s="160"/>
      <c r="B2129" s="160"/>
      <c r="C2129" s="157"/>
      <c r="D2129" s="159"/>
      <c r="E2129" s="159"/>
      <c r="F2129" s="159"/>
      <c r="G2129" s="160"/>
    </row>
    <row r="2130" spans="1:8" ht="33">
      <c r="A2130" s="160" t="s">
        <v>2305</v>
      </c>
      <c r="B2130" s="160" t="s">
        <v>2090</v>
      </c>
      <c r="C2130" s="157" t="s">
        <v>1875</v>
      </c>
      <c r="D2130" s="159">
        <v>1</v>
      </c>
      <c r="E2130" s="159">
        <v>10763.84</v>
      </c>
      <c r="F2130" s="159"/>
      <c r="G2130" s="160" t="s">
        <v>2091</v>
      </c>
      <c r="H2130" s="34" t="s">
        <v>925</v>
      </c>
    </row>
    <row r="2131" spans="1:8" ht="33">
      <c r="A2131" s="160">
        <v>1</v>
      </c>
      <c r="B2131" s="160" t="s">
        <v>2092</v>
      </c>
      <c r="C2131" s="157" t="s">
        <v>1875</v>
      </c>
      <c r="D2131" s="159">
        <v>1</v>
      </c>
      <c r="E2131" s="159">
        <v>10171.39</v>
      </c>
      <c r="F2131" s="159">
        <v>10171.39</v>
      </c>
      <c r="G2131" s="160" t="s">
        <v>2093</v>
      </c>
      <c r="H2131" s="34" t="s">
        <v>925</v>
      </c>
    </row>
    <row r="2132" spans="1:8" ht="33">
      <c r="A2132" s="160">
        <v>2</v>
      </c>
      <c r="B2132" s="160" t="s">
        <v>2094</v>
      </c>
      <c r="C2132" s="157" t="s">
        <v>14</v>
      </c>
      <c r="D2132" s="159">
        <v>1</v>
      </c>
      <c r="E2132" s="159">
        <v>278.94</v>
      </c>
      <c r="F2132" s="159">
        <v>278.94</v>
      </c>
      <c r="G2132" s="160" t="s">
        <v>2095</v>
      </c>
      <c r="H2132" s="34" t="s">
        <v>925</v>
      </c>
    </row>
    <row r="2133" spans="1:8" ht="33">
      <c r="A2133" s="160">
        <v>3</v>
      </c>
      <c r="B2133" s="160" t="s">
        <v>931</v>
      </c>
      <c r="C2133" s="157" t="s">
        <v>14</v>
      </c>
      <c r="D2133" s="159">
        <v>1</v>
      </c>
      <c r="E2133" s="159">
        <v>313.51</v>
      </c>
      <c r="F2133" s="159">
        <v>313.51</v>
      </c>
      <c r="G2133" s="160" t="s">
        <v>932</v>
      </c>
      <c r="H2133" s="34" t="s">
        <v>925</v>
      </c>
    </row>
    <row r="2134" spans="1:8" ht="33">
      <c r="A2134" s="160"/>
      <c r="B2134" s="160" t="s">
        <v>933</v>
      </c>
      <c r="C2134" s="157" t="s">
        <v>1875</v>
      </c>
      <c r="D2134" s="159">
        <v>1</v>
      </c>
      <c r="E2134" s="159"/>
      <c r="F2134" s="159">
        <v>10763.84</v>
      </c>
      <c r="G2134" s="160"/>
      <c r="H2134" s="34" t="s">
        <v>925</v>
      </c>
    </row>
    <row r="2135" spans="1:8" ht="33">
      <c r="A2135" s="160"/>
      <c r="B2135" s="160" t="s">
        <v>934</v>
      </c>
      <c r="C2135" s="157" t="s">
        <v>1875</v>
      </c>
      <c r="D2135" s="159"/>
      <c r="E2135" s="159"/>
      <c r="F2135" s="159">
        <v>10763.84</v>
      </c>
      <c r="G2135" s="160"/>
      <c r="H2135" s="34" t="s">
        <v>925</v>
      </c>
    </row>
    <row r="2136" spans="1:8" ht="33">
      <c r="A2136" s="160"/>
      <c r="B2136" s="160"/>
      <c r="C2136" s="157"/>
      <c r="D2136" s="159"/>
      <c r="E2136" s="159"/>
      <c r="F2136" s="159"/>
      <c r="G2136" s="160"/>
      <c r="H2136" s="34" t="s">
        <v>925</v>
      </c>
    </row>
    <row r="2137" spans="1:8" ht="28.5">
      <c r="A2137" s="160" t="s">
        <v>2312</v>
      </c>
      <c r="B2137" s="160" t="s">
        <v>2097</v>
      </c>
      <c r="C2137" s="157" t="s">
        <v>1875</v>
      </c>
      <c r="D2137" s="159">
        <v>1</v>
      </c>
      <c r="E2137" s="159">
        <v>10086.61</v>
      </c>
      <c r="F2137" s="159"/>
      <c r="G2137" s="160" t="s">
        <v>2098</v>
      </c>
    </row>
    <row r="2138" spans="1:8" ht="33">
      <c r="A2138" s="160">
        <v>1</v>
      </c>
      <c r="B2138" s="160" t="s">
        <v>2099</v>
      </c>
      <c r="C2138" s="157" t="s">
        <v>1875</v>
      </c>
      <c r="D2138" s="159">
        <v>1</v>
      </c>
      <c r="E2138" s="159">
        <v>9513.89</v>
      </c>
      <c r="F2138" s="159">
        <v>9513.89</v>
      </c>
      <c r="G2138" s="160" t="s">
        <v>2100</v>
      </c>
      <c r="H2138" s="34" t="s">
        <v>925</v>
      </c>
    </row>
    <row r="2139" spans="1:8" ht="33">
      <c r="A2139" s="160">
        <v>2</v>
      </c>
      <c r="B2139" s="160" t="s">
        <v>2094</v>
      </c>
      <c r="C2139" s="157" t="s">
        <v>14</v>
      </c>
      <c r="D2139" s="159">
        <v>1</v>
      </c>
      <c r="E2139" s="159">
        <v>278.94</v>
      </c>
      <c r="F2139" s="159">
        <v>278.94</v>
      </c>
      <c r="G2139" s="160" t="s">
        <v>2095</v>
      </c>
      <c r="H2139" s="34" t="s">
        <v>925</v>
      </c>
    </row>
    <row r="2140" spans="1:8" ht="33">
      <c r="A2140" s="160">
        <v>3</v>
      </c>
      <c r="B2140" s="160" t="s">
        <v>931</v>
      </c>
      <c r="C2140" s="157" t="s">
        <v>14</v>
      </c>
      <c r="D2140" s="159">
        <v>1</v>
      </c>
      <c r="E2140" s="159">
        <v>293.77999999999997</v>
      </c>
      <c r="F2140" s="159">
        <v>293.77999999999997</v>
      </c>
      <c r="G2140" s="160" t="s">
        <v>932</v>
      </c>
      <c r="H2140" s="34" t="s">
        <v>925</v>
      </c>
    </row>
    <row r="2141" spans="1:8" ht="33">
      <c r="A2141" s="160"/>
      <c r="B2141" s="160" t="s">
        <v>933</v>
      </c>
      <c r="C2141" s="157" t="s">
        <v>1875</v>
      </c>
      <c r="D2141" s="159">
        <v>1</v>
      </c>
      <c r="E2141" s="159"/>
      <c r="F2141" s="159">
        <v>10086.61</v>
      </c>
      <c r="G2141" s="160"/>
      <c r="H2141" s="34" t="s">
        <v>925</v>
      </c>
    </row>
    <row r="2142" spans="1:8" ht="33">
      <c r="A2142" s="160"/>
      <c r="B2142" s="160" t="s">
        <v>934</v>
      </c>
      <c r="C2142" s="157" t="s">
        <v>1875</v>
      </c>
      <c r="D2142" s="159"/>
      <c r="E2142" s="159"/>
      <c r="F2142" s="159">
        <v>10086.61</v>
      </c>
      <c r="G2142" s="160"/>
      <c r="H2142" s="34" t="s">
        <v>925</v>
      </c>
    </row>
    <row r="2143" spans="1:8" ht="33">
      <c r="A2143" s="160"/>
      <c r="B2143" s="160"/>
      <c r="C2143" s="157"/>
      <c r="D2143" s="159"/>
      <c r="E2143" s="159"/>
      <c r="F2143" s="159"/>
      <c r="G2143" s="160"/>
      <c r="H2143" s="34" t="s">
        <v>925</v>
      </c>
    </row>
    <row r="2144" spans="1:8" ht="42.75">
      <c r="A2144" s="160" t="s">
        <v>2317</v>
      </c>
      <c r="B2144" s="160" t="s">
        <v>2102</v>
      </c>
      <c r="C2144" s="157" t="s">
        <v>1818</v>
      </c>
      <c r="D2144" s="159">
        <v>1</v>
      </c>
      <c r="E2144" s="159">
        <v>24247.96</v>
      </c>
      <c r="F2144" s="159"/>
      <c r="G2144" s="160" t="s">
        <v>2103</v>
      </c>
      <c r="H2144" s="34" t="s">
        <v>925</v>
      </c>
    </row>
    <row r="2145" spans="1:8" ht="42.75">
      <c r="A2145" s="160">
        <v>1</v>
      </c>
      <c r="B2145" s="160" t="s">
        <v>2104</v>
      </c>
      <c r="C2145" s="157" t="s">
        <v>1818</v>
      </c>
      <c r="D2145" s="159">
        <v>1</v>
      </c>
      <c r="E2145" s="159">
        <v>22913.03</v>
      </c>
      <c r="F2145" s="159">
        <v>22913.03</v>
      </c>
      <c r="G2145" s="160" t="s">
        <v>2105</v>
      </c>
    </row>
    <row r="2146" spans="1:8" ht="33">
      <c r="A2146" s="160">
        <v>2</v>
      </c>
      <c r="B2146" s="160" t="s">
        <v>2106</v>
      </c>
      <c r="C2146" s="157" t="s">
        <v>14</v>
      </c>
      <c r="D2146" s="159">
        <v>1</v>
      </c>
      <c r="E2146" s="159">
        <v>199.24</v>
      </c>
      <c r="F2146" s="159">
        <v>199.24</v>
      </c>
      <c r="G2146" s="160" t="s">
        <v>2107</v>
      </c>
      <c r="H2146" s="34" t="s">
        <v>925</v>
      </c>
    </row>
    <row r="2147" spans="1:8" ht="33">
      <c r="A2147" s="160">
        <v>3</v>
      </c>
      <c r="B2147" s="160" t="s">
        <v>2108</v>
      </c>
      <c r="C2147" s="157" t="s">
        <v>14</v>
      </c>
      <c r="D2147" s="159">
        <v>1</v>
      </c>
      <c r="E2147" s="159">
        <v>498.11</v>
      </c>
      <c r="F2147" s="159">
        <v>498.11</v>
      </c>
      <c r="G2147" s="160" t="s">
        <v>2109</v>
      </c>
      <c r="H2147" s="34" t="s">
        <v>925</v>
      </c>
    </row>
    <row r="2148" spans="1:8" ht="33">
      <c r="A2148" s="160">
        <v>4</v>
      </c>
      <c r="B2148" s="160" t="s">
        <v>4871</v>
      </c>
      <c r="C2148" s="157" t="s">
        <v>927</v>
      </c>
      <c r="D2148" s="159">
        <v>1</v>
      </c>
      <c r="E2148" s="159">
        <v>279.94</v>
      </c>
      <c r="F2148" s="159">
        <v>279.94</v>
      </c>
      <c r="G2148" s="160" t="s">
        <v>4872</v>
      </c>
      <c r="H2148" s="34" t="s">
        <v>925</v>
      </c>
    </row>
    <row r="2149" spans="1:8" ht="33">
      <c r="A2149" s="160">
        <v>5</v>
      </c>
      <c r="B2149" s="160" t="s">
        <v>931</v>
      </c>
      <c r="C2149" s="157" t="s">
        <v>14</v>
      </c>
      <c r="D2149" s="159">
        <v>1</v>
      </c>
      <c r="E2149" s="159">
        <v>357.64</v>
      </c>
      <c r="F2149" s="159">
        <v>357.64</v>
      </c>
      <c r="G2149" s="160" t="s">
        <v>2110</v>
      </c>
      <c r="H2149" s="34" t="s">
        <v>925</v>
      </c>
    </row>
    <row r="2150" spans="1:8" ht="33">
      <c r="A2150" s="160"/>
      <c r="B2150" s="160" t="s">
        <v>933</v>
      </c>
      <c r="C2150" s="157" t="s">
        <v>1818</v>
      </c>
      <c r="D2150" s="159">
        <v>1</v>
      </c>
      <c r="E2150" s="159"/>
      <c r="F2150" s="159">
        <v>24247.96</v>
      </c>
      <c r="G2150" s="160"/>
      <c r="H2150" s="34" t="s">
        <v>925</v>
      </c>
    </row>
    <row r="2151" spans="1:8" ht="33">
      <c r="A2151" s="160"/>
      <c r="B2151" s="160" t="s">
        <v>934</v>
      </c>
      <c r="C2151" s="157" t="s">
        <v>1818</v>
      </c>
      <c r="D2151" s="159"/>
      <c r="E2151" s="159"/>
      <c r="F2151" s="159">
        <v>24247.96</v>
      </c>
      <c r="G2151" s="160"/>
      <c r="H2151" s="34" t="s">
        <v>925</v>
      </c>
    </row>
    <row r="2152" spans="1:8" ht="33">
      <c r="A2152" s="160"/>
      <c r="B2152" s="160"/>
      <c r="C2152" s="157"/>
      <c r="D2152" s="159"/>
      <c r="E2152" s="159"/>
      <c r="F2152" s="159"/>
      <c r="G2152" s="160"/>
      <c r="H2152" s="34" t="s">
        <v>925</v>
      </c>
    </row>
    <row r="2153" spans="1:8" ht="33">
      <c r="A2153" s="160" t="s">
        <v>2326</v>
      </c>
      <c r="B2153" s="160" t="s">
        <v>2112</v>
      </c>
      <c r="C2153" s="157" t="s">
        <v>1818</v>
      </c>
      <c r="D2153" s="159">
        <v>1</v>
      </c>
      <c r="E2153" s="159">
        <v>23458.95</v>
      </c>
      <c r="F2153" s="159"/>
      <c r="G2153" s="160" t="s">
        <v>2113</v>
      </c>
      <c r="H2153" s="34" t="s">
        <v>925</v>
      </c>
    </row>
    <row r="2154" spans="1:8" ht="42.75">
      <c r="A2154" s="160">
        <v>1</v>
      </c>
      <c r="B2154" s="160" t="s">
        <v>2104</v>
      </c>
      <c r="C2154" s="157" t="s">
        <v>1818</v>
      </c>
      <c r="D2154" s="159">
        <v>1</v>
      </c>
      <c r="E2154" s="159">
        <v>22913.03</v>
      </c>
      <c r="F2154" s="159">
        <v>22913.03</v>
      </c>
      <c r="G2154" s="160" t="s">
        <v>2105</v>
      </c>
    </row>
    <row r="2155" spans="1:8" ht="33">
      <c r="A2155" s="160">
        <v>2</v>
      </c>
      <c r="B2155" s="160" t="s">
        <v>2106</v>
      </c>
      <c r="C2155" s="157" t="s">
        <v>14</v>
      </c>
      <c r="D2155" s="159">
        <v>1</v>
      </c>
      <c r="E2155" s="159">
        <v>199.24</v>
      </c>
      <c r="F2155" s="159">
        <v>199.24</v>
      </c>
      <c r="G2155" s="160" t="s">
        <v>2107</v>
      </c>
      <c r="H2155" s="34" t="s">
        <v>925</v>
      </c>
    </row>
    <row r="2156" spans="1:8" ht="33">
      <c r="A2156" s="160">
        <v>3</v>
      </c>
      <c r="B2156" s="160" t="s">
        <v>931</v>
      </c>
      <c r="C2156" s="157" t="s">
        <v>14</v>
      </c>
      <c r="D2156" s="159">
        <v>1</v>
      </c>
      <c r="E2156" s="159">
        <v>346.68</v>
      </c>
      <c r="F2156" s="159">
        <v>346.68</v>
      </c>
      <c r="G2156" s="160" t="s">
        <v>2110</v>
      </c>
      <c r="H2156" s="34" t="s">
        <v>925</v>
      </c>
    </row>
    <row r="2157" spans="1:8" ht="33">
      <c r="A2157" s="160"/>
      <c r="B2157" s="160" t="s">
        <v>933</v>
      </c>
      <c r="C2157" s="157" t="s">
        <v>1818</v>
      </c>
      <c r="D2157" s="159">
        <v>1</v>
      </c>
      <c r="E2157" s="159"/>
      <c r="F2157" s="159">
        <v>23458.95</v>
      </c>
      <c r="G2157" s="160"/>
      <c r="H2157" s="34" t="s">
        <v>925</v>
      </c>
    </row>
    <row r="2158" spans="1:8" ht="33">
      <c r="A2158" s="160"/>
      <c r="B2158" s="160" t="s">
        <v>934</v>
      </c>
      <c r="C2158" s="157" t="s">
        <v>1818</v>
      </c>
      <c r="D2158" s="159"/>
      <c r="E2158" s="159"/>
      <c r="F2158" s="159">
        <v>23458.95</v>
      </c>
      <c r="G2158" s="160"/>
      <c r="H2158" s="34" t="s">
        <v>925</v>
      </c>
    </row>
    <row r="2159" spans="1:8" ht="33">
      <c r="A2159" s="160"/>
      <c r="B2159" s="160"/>
      <c r="C2159" s="157"/>
      <c r="D2159" s="159"/>
      <c r="E2159" s="159"/>
      <c r="F2159" s="159"/>
      <c r="G2159" s="160"/>
      <c r="H2159" s="34" t="s">
        <v>925</v>
      </c>
    </row>
    <row r="2160" spans="1:8" ht="33">
      <c r="A2160" s="160" t="s">
        <v>2337</v>
      </c>
      <c r="B2160" s="160" t="s">
        <v>2115</v>
      </c>
      <c r="C2160" s="157" t="s">
        <v>1875</v>
      </c>
      <c r="D2160" s="159">
        <v>1</v>
      </c>
      <c r="E2160" s="159">
        <v>4642.1000000000004</v>
      </c>
      <c r="F2160" s="159"/>
      <c r="G2160" s="160" t="s">
        <v>2116</v>
      </c>
      <c r="H2160" s="34" t="s">
        <v>925</v>
      </c>
    </row>
    <row r="2161" spans="1:8" ht="28.5">
      <c r="A2161" s="160">
        <v>1</v>
      </c>
      <c r="B2161" s="160" t="s">
        <v>2117</v>
      </c>
      <c r="C2161" s="157" t="s">
        <v>1875</v>
      </c>
      <c r="D2161" s="159">
        <v>1</v>
      </c>
      <c r="E2161" s="159">
        <v>3257.63</v>
      </c>
      <c r="F2161" s="159">
        <v>3257.63</v>
      </c>
      <c r="G2161" s="160" t="s">
        <v>2118</v>
      </c>
    </row>
    <row r="2162" spans="1:8" ht="33">
      <c r="A2162" s="160">
        <v>2</v>
      </c>
      <c r="B2162" s="160" t="s">
        <v>2119</v>
      </c>
      <c r="C2162" s="157" t="s">
        <v>1497</v>
      </c>
      <c r="D2162" s="159">
        <v>1</v>
      </c>
      <c r="E2162" s="159">
        <v>462.25</v>
      </c>
      <c r="F2162" s="159">
        <v>462.25</v>
      </c>
      <c r="G2162" s="160" t="s">
        <v>2120</v>
      </c>
      <c r="H2162" s="34" t="s">
        <v>925</v>
      </c>
    </row>
    <row r="2163" spans="1:8" ht="33">
      <c r="A2163" s="160">
        <v>3</v>
      </c>
      <c r="B2163" s="160" t="s">
        <v>2121</v>
      </c>
      <c r="C2163" s="157" t="s">
        <v>14</v>
      </c>
      <c r="D2163" s="159">
        <v>1</v>
      </c>
      <c r="E2163" s="159">
        <v>787.01</v>
      </c>
      <c r="F2163" s="159">
        <v>787.01</v>
      </c>
      <c r="G2163" s="160" t="s">
        <v>2122</v>
      </c>
      <c r="H2163" s="34" t="s">
        <v>925</v>
      </c>
    </row>
    <row r="2164" spans="1:8" ht="33">
      <c r="A2164" s="160">
        <v>4</v>
      </c>
      <c r="B2164" s="160" t="s">
        <v>931</v>
      </c>
      <c r="C2164" s="157" t="s">
        <v>14</v>
      </c>
      <c r="D2164" s="159">
        <v>1</v>
      </c>
      <c r="E2164" s="159">
        <v>135.21</v>
      </c>
      <c r="F2164" s="159">
        <v>135.21</v>
      </c>
      <c r="G2164" s="160" t="s">
        <v>932</v>
      </c>
      <c r="H2164" s="34" t="s">
        <v>925</v>
      </c>
    </row>
    <row r="2165" spans="1:8" ht="33">
      <c r="A2165" s="160"/>
      <c r="B2165" s="160" t="s">
        <v>933</v>
      </c>
      <c r="C2165" s="157" t="s">
        <v>1875</v>
      </c>
      <c r="D2165" s="159">
        <v>1</v>
      </c>
      <c r="E2165" s="159"/>
      <c r="F2165" s="159">
        <v>4642.1000000000004</v>
      </c>
      <c r="G2165" s="160"/>
      <c r="H2165" s="34" t="s">
        <v>925</v>
      </c>
    </row>
    <row r="2166" spans="1:8" ht="33">
      <c r="A2166" s="160"/>
      <c r="B2166" s="160" t="s">
        <v>934</v>
      </c>
      <c r="C2166" s="157" t="s">
        <v>1875</v>
      </c>
      <c r="D2166" s="159"/>
      <c r="E2166" s="159"/>
      <c r="F2166" s="159">
        <v>4642.1000000000004</v>
      </c>
      <c r="G2166" s="160"/>
      <c r="H2166" s="34" t="s">
        <v>925</v>
      </c>
    </row>
    <row r="2167" spans="1:8" ht="33">
      <c r="A2167" s="160"/>
      <c r="B2167" s="160"/>
      <c r="C2167" s="157"/>
      <c r="D2167" s="159"/>
      <c r="E2167" s="159"/>
      <c r="F2167" s="159"/>
      <c r="G2167" s="160"/>
      <c r="H2167" s="34" t="s">
        <v>925</v>
      </c>
    </row>
    <row r="2168" spans="1:8" ht="33">
      <c r="A2168" s="160" t="s">
        <v>2340</v>
      </c>
      <c r="B2168" s="160" t="s">
        <v>2124</v>
      </c>
      <c r="C2168" s="157" t="s">
        <v>1875</v>
      </c>
      <c r="D2168" s="159">
        <v>1</v>
      </c>
      <c r="E2168" s="159">
        <v>7580.87</v>
      </c>
      <c r="F2168" s="159"/>
      <c r="G2168" s="160" t="s">
        <v>2125</v>
      </c>
      <c r="H2168" s="34" t="s">
        <v>925</v>
      </c>
    </row>
    <row r="2169" spans="1:8" ht="33">
      <c r="A2169" s="160">
        <v>1</v>
      </c>
      <c r="B2169" s="160" t="s">
        <v>2126</v>
      </c>
      <c r="C2169" s="157" t="s">
        <v>1875</v>
      </c>
      <c r="D2169" s="159">
        <v>1</v>
      </c>
      <c r="E2169" s="159">
        <v>5648.56</v>
      </c>
      <c r="F2169" s="159">
        <v>5648.56</v>
      </c>
      <c r="G2169" s="160" t="s">
        <v>2127</v>
      </c>
      <c r="H2169" s="34" t="s">
        <v>925</v>
      </c>
    </row>
    <row r="2170" spans="1:8" ht="28.5">
      <c r="A2170" s="160">
        <v>2</v>
      </c>
      <c r="B2170" s="160" t="s">
        <v>2119</v>
      </c>
      <c r="C2170" s="157" t="s">
        <v>1497</v>
      </c>
      <c r="D2170" s="159">
        <v>2</v>
      </c>
      <c r="E2170" s="159">
        <v>462.25</v>
      </c>
      <c r="F2170" s="159">
        <v>924.5</v>
      </c>
      <c r="G2170" s="160" t="s">
        <v>2120</v>
      </c>
    </row>
    <row r="2171" spans="1:8" ht="33">
      <c r="A2171" s="160">
        <v>3</v>
      </c>
      <c r="B2171" s="160" t="s">
        <v>2121</v>
      </c>
      <c r="C2171" s="157" t="s">
        <v>14</v>
      </c>
      <c r="D2171" s="159">
        <v>1</v>
      </c>
      <c r="E2171" s="159">
        <v>787.01</v>
      </c>
      <c r="F2171" s="159">
        <v>787.01</v>
      </c>
      <c r="G2171" s="160" t="s">
        <v>2122</v>
      </c>
      <c r="H2171" s="34" t="s">
        <v>925</v>
      </c>
    </row>
    <row r="2172" spans="1:8" ht="33">
      <c r="A2172" s="160">
        <v>4</v>
      </c>
      <c r="B2172" s="160" t="s">
        <v>931</v>
      </c>
      <c r="C2172" s="157" t="s">
        <v>14</v>
      </c>
      <c r="D2172" s="159">
        <v>1</v>
      </c>
      <c r="E2172" s="159">
        <v>220.8</v>
      </c>
      <c r="F2172" s="159">
        <v>220.8</v>
      </c>
      <c r="G2172" s="160" t="s">
        <v>932</v>
      </c>
      <c r="H2172" s="34" t="s">
        <v>925</v>
      </c>
    </row>
    <row r="2173" spans="1:8" ht="33">
      <c r="A2173" s="160"/>
      <c r="B2173" s="160" t="s">
        <v>933</v>
      </c>
      <c r="C2173" s="157" t="s">
        <v>1875</v>
      </c>
      <c r="D2173" s="159">
        <v>1</v>
      </c>
      <c r="E2173" s="159"/>
      <c r="F2173" s="159">
        <v>7580.8700000000008</v>
      </c>
      <c r="G2173" s="160"/>
      <c r="H2173" s="34" t="s">
        <v>925</v>
      </c>
    </row>
    <row r="2174" spans="1:8" ht="33">
      <c r="A2174" s="160"/>
      <c r="B2174" s="160" t="s">
        <v>934</v>
      </c>
      <c r="C2174" s="157" t="s">
        <v>1875</v>
      </c>
      <c r="D2174" s="159"/>
      <c r="E2174" s="159"/>
      <c r="F2174" s="159">
        <v>7580.87</v>
      </c>
      <c r="G2174" s="160"/>
      <c r="H2174" s="34" t="s">
        <v>925</v>
      </c>
    </row>
    <row r="2175" spans="1:8" ht="33">
      <c r="A2175" s="160"/>
      <c r="B2175" s="160"/>
      <c r="C2175" s="157"/>
      <c r="D2175" s="159"/>
      <c r="E2175" s="159"/>
      <c r="F2175" s="159"/>
      <c r="G2175" s="160"/>
      <c r="H2175" s="34" t="s">
        <v>925</v>
      </c>
    </row>
    <row r="2176" spans="1:8" ht="33">
      <c r="A2176" s="160" t="s">
        <v>2345</v>
      </c>
      <c r="B2176" s="160" t="s">
        <v>2129</v>
      </c>
      <c r="C2176" s="157" t="s">
        <v>1875</v>
      </c>
      <c r="D2176" s="159">
        <v>1</v>
      </c>
      <c r="E2176" s="159">
        <v>3821.22</v>
      </c>
      <c r="F2176" s="159"/>
      <c r="G2176" s="160" t="s">
        <v>2130</v>
      </c>
      <c r="H2176" s="34" t="s">
        <v>925</v>
      </c>
    </row>
    <row r="2177" spans="1:8" ht="33">
      <c r="A2177" s="160">
        <v>1</v>
      </c>
      <c r="B2177" s="160" t="s">
        <v>2131</v>
      </c>
      <c r="C2177" s="157" t="s">
        <v>1875</v>
      </c>
      <c r="D2177" s="159">
        <v>1</v>
      </c>
      <c r="E2177" s="159">
        <v>2460.66</v>
      </c>
      <c r="F2177" s="159">
        <v>2460.66</v>
      </c>
      <c r="G2177" s="160" t="s">
        <v>2132</v>
      </c>
      <c r="H2177" s="34" t="s">
        <v>925</v>
      </c>
    </row>
    <row r="2178" spans="1:8" ht="33">
      <c r="A2178" s="160">
        <v>2</v>
      </c>
      <c r="B2178" s="160" t="s">
        <v>2119</v>
      </c>
      <c r="C2178" s="157" t="s">
        <v>1497</v>
      </c>
      <c r="D2178" s="159">
        <v>1</v>
      </c>
      <c r="E2178" s="159">
        <v>462.25</v>
      </c>
      <c r="F2178" s="159">
        <v>462.25</v>
      </c>
      <c r="G2178" s="160" t="s">
        <v>2120</v>
      </c>
      <c r="H2178" s="34" t="s">
        <v>925</v>
      </c>
    </row>
    <row r="2179" spans="1:8" ht="28.5">
      <c r="A2179" s="160">
        <v>3</v>
      </c>
      <c r="B2179" s="160" t="s">
        <v>2121</v>
      </c>
      <c r="C2179" s="157" t="s">
        <v>14</v>
      </c>
      <c r="D2179" s="159">
        <v>1</v>
      </c>
      <c r="E2179" s="159">
        <v>787.01</v>
      </c>
      <c r="F2179" s="159">
        <v>787.01</v>
      </c>
      <c r="G2179" s="160" t="s">
        <v>2122</v>
      </c>
    </row>
    <row r="2180" spans="1:8" ht="33">
      <c r="A2180" s="160">
        <v>4</v>
      </c>
      <c r="B2180" s="160" t="s">
        <v>931</v>
      </c>
      <c r="C2180" s="157" t="s">
        <v>14</v>
      </c>
      <c r="D2180" s="159">
        <v>1</v>
      </c>
      <c r="E2180" s="159">
        <v>111.3</v>
      </c>
      <c r="F2180" s="159">
        <v>111.3</v>
      </c>
      <c r="G2180" s="160" t="s">
        <v>932</v>
      </c>
      <c r="H2180" s="34" t="s">
        <v>925</v>
      </c>
    </row>
    <row r="2181" spans="1:8" ht="33">
      <c r="A2181" s="160"/>
      <c r="B2181" s="160" t="s">
        <v>933</v>
      </c>
      <c r="C2181" s="157" t="s">
        <v>1875</v>
      </c>
      <c r="D2181" s="159">
        <v>1</v>
      </c>
      <c r="E2181" s="159"/>
      <c r="F2181" s="159">
        <v>3821.2200000000003</v>
      </c>
      <c r="G2181" s="160"/>
      <c r="H2181" s="34" t="s">
        <v>925</v>
      </c>
    </row>
    <row r="2182" spans="1:8" ht="33">
      <c r="A2182" s="160"/>
      <c r="B2182" s="160" t="s">
        <v>934</v>
      </c>
      <c r="C2182" s="157" t="s">
        <v>1875</v>
      </c>
      <c r="D2182" s="159"/>
      <c r="E2182" s="159"/>
      <c r="F2182" s="159">
        <v>3821.22</v>
      </c>
      <c r="G2182" s="160"/>
      <c r="H2182" s="34" t="s">
        <v>925</v>
      </c>
    </row>
    <row r="2183" spans="1:8" ht="33">
      <c r="A2183" s="160"/>
      <c r="B2183" s="160"/>
      <c r="C2183" s="157"/>
      <c r="D2183" s="159"/>
      <c r="E2183" s="159"/>
      <c r="F2183" s="159"/>
      <c r="G2183" s="160"/>
      <c r="H2183" s="34" t="s">
        <v>925</v>
      </c>
    </row>
    <row r="2184" spans="1:8" ht="33">
      <c r="A2184" s="160" t="s">
        <v>2359</v>
      </c>
      <c r="B2184" s="160" t="s">
        <v>2134</v>
      </c>
      <c r="C2184" s="157" t="s">
        <v>1875</v>
      </c>
      <c r="D2184" s="159">
        <v>1</v>
      </c>
      <c r="E2184" s="159">
        <v>4652.37</v>
      </c>
      <c r="F2184" s="159"/>
      <c r="G2184" s="160" t="s">
        <v>2135</v>
      </c>
      <c r="H2184" s="34" t="s">
        <v>925</v>
      </c>
    </row>
    <row r="2185" spans="1:8" ht="33">
      <c r="A2185" s="160">
        <v>1</v>
      </c>
      <c r="B2185" s="160" t="s">
        <v>2136</v>
      </c>
      <c r="C2185" s="157" t="s">
        <v>1875</v>
      </c>
      <c r="D2185" s="159">
        <v>1</v>
      </c>
      <c r="E2185" s="159">
        <v>3476.8</v>
      </c>
      <c r="F2185" s="159">
        <v>3476.8</v>
      </c>
      <c r="G2185" s="160" t="s">
        <v>2137</v>
      </c>
      <c r="H2185" s="34" t="s">
        <v>925</v>
      </c>
    </row>
    <row r="2186" spans="1:8" ht="33">
      <c r="A2186" s="160">
        <v>2</v>
      </c>
      <c r="B2186" s="160" t="s">
        <v>2119</v>
      </c>
      <c r="C2186" s="157" t="s">
        <v>1497</v>
      </c>
      <c r="D2186" s="159">
        <v>1</v>
      </c>
      <c r="E2186" s="159">
        <v>462.25</v>
      </c>
      <c r="F2186" s="159">
        <v>462.25</v>
      </c>
      <c r="G2186" s="160" t="s">
        <v>2120</v>
      </c>
      <c r="H2186" s="34" t="s">
        <v>925</v>
      </c>
    </row>
    <row r="2187" spans="1:8" ht="33">
      <c r="A2187" s="160">
        <v>3</v>
      </c>
      <c r="B2187" s="160" t="s">
        <v>2138</v>
      </c>
      <c r="C2187" s="157" t="s">
        <v>14</v>
      </c>
      <c r="D2187" s="159">
        <v>1</v>
      </c>
      <c r="E2187" s="159">
        <v>577.80999999999995</v>
      </c>
      <c r="F2187" s="159">
        <v>577.80999999999995</v>
      </c>
      <c r="G2187" s="160" t="s">
        <v>2139</v>
      </c>
      <c r="H2187" s="34" t="s">
        <v>925</v>
      </c>
    </row>
    <row r="2188" spans="1:8" ht="28.5">
      <c r="A2188" s="160">
        <v>4</v>
      </c>
      <c r="B2188" s="160" t="s">
        <v>931</v>
      </c>
      <c r="C2188" s="157" t="s">
        <v>14</v>
      </c>
      <c r="D2188" s="159">
        <v>1</v>
      </c>
      <c r="E2188" s="159">
        <v>135.51</v>
      </c>
      <c r="F2188" s="159">
        <v>135.51</v>
      </c>
      <c r="G2188" s="160" t="s">
        <v>932</v>
      </c>
    </row>
    <row r="2189" spans="1:8" ht="33">
      <c r="A2189" s="160"/>
      <c r="B2189" s="160" t="s">
        <v>933</v>
      </c>
      <c r="C2189" s="157" t="s">
        <v>1875</v>
      </c>
      <c r="D2189" s="159">
        <v>1</v>
      </c>
      <c r="E2189" s="159"/>
      <c r="F2189" s="159">
        <v>4652.3700000000008</v>
      </c>
      <c r="G2189" s="160"/>
      <c r="H2189" s="34" t="s">
        <v>925</v>
      </c>
    </row>
    <row r="2190" spans="1:8" ht="33">
      <c r="A2190" s="160"/>
      <c r="B2190" s="160" t="s">
        <v>934</v>
      </c>
      <c r="C2190" s="157" t="s">
        <v>1875</v>
      </c>
      <c r="D2190" s="159"/>
      <c r="E2190" s="159"/>
      <c r="F2190" s="159">
        <v>4652.37</v>
      </c>
      <c r="G2190" s="160"/>
      <c r="H2190" s="34" t="s">
        <v>925</v>
      </c>
    </row>
    <row r="2191" spans="1:8" ht="33">
      <c r="A2191" s="160"/>
      <c r="B2191" s="160"/>
      <c r="C2191" s="157"/>
      <c r="D2191" s="159"/>
      <c r="E2191" s="159"/>
      <c r="F2191" s="159"/>
      <c r="G2191" s="160"/>
      <c r="H2191" s="34" t="s">
        <v>925</v>
      </c>
    </row>
    <row r="2192" spans="1:8" ht="33">
      <c r="A2192" s="160" t="s">
        <v>2371</v>
      </c>
      <c r="B2192" s="160" t="s">
        <v>2141</v>
      </c>
      <c r="C2192" s="157" t="s">
        <v>3</v>
      </c>
      <c r="D2192" s="159">
        <v>10</v>
      </c>
      <c r="E2192" s="159">
        <v>1631.2</v>
      </c>
      <c r="F2192" s="159"/>
      <c r="G2192" s="160" t="s">
        <v>2142</v>
      </c>
      <c r="H2192" s="34" t="s">
        <v>925</v>
      </c>
    </row>
    <row r="2193" spans="1:8" ht="33">
      <c r="A2193" s="160">
        <v>1</v>
      </c>
      <c r="B2193" s="160" t="s">
        <v>2143</v>
      </c>
      <c r="C2193" s="157" t="s">
        <v>3</v>
      </c>
      <c r="D2193" s="159">
        <v>10.5</v>
      </c>
      <c r="E2193" s="159">
        <v>747.16</v>
      </c>
      <c r="F2193" s="159">
        <v>7845.18</v>
      </c>
      <c r="G2193" s="160" t="s">
        <v>2144</v>
      </c>
      <c r="H2193" s="34" t="s">
        <v>925</v>
      </c>
    </row>
    <row r="2194" spans="1:8" ht="33">
      <c r="A2194" s="160">
        <v>2</v>
      </c>
      <c r="B2194" s="160" t="s">
        <v>1637</v>
      </c>
      <c r="C2194" s="157" t="s">
        <v>0</v>
      </c>
      <c r="D2194" s="159">
        <v>0.2</v>
      </c>
      <c r="E2194" s="159">
        <v>3556.7</v>
      </c>
      <c r="F2194" s="159">
        <v>711.34</v>
      </c>
      <c r="G2194" s="160" t="s">
        <v>4954</v>
      </c>
      <c r="H2194" s="34" t="s">
        <v>925</v>
      </c>
    </row>
    <row r="2195" spans="1:8" ht="33">
      <c r="A2195" s="160">
        <v>3</v>
      </c>
      <c r="B2195" s="160" t="s">
        <v>1210</v>
      </c>
      <c r="C2195" s="157" t="s">
        <v>927</v>
      </c>
      <c r="D2195" s="159">
        <v>9.6</v>
      </c>
      <c r="E2195" s="159">
        <v>408.45</v>
      </c>
      <c r="F2195" s="159">
        <v>3921.12</v>
      </c>
      <c r="G2195" s="160" t="s">
        <v>1211</v>
      </c>
      <c r="H2195" s="34" t="s">
        <v>925</v>
      </c>
    </row>
    <row r="2196" spans="1:8" ht="28.5">
      <c r="A2196" s="160">
        <v>4</v>
      </c>
      <c r="B2196" s="160" t="s">
        <v>4871</v>
      </c>
      <c r="C2196" s="157" t="s">
        <v>927</v>
      </c>
      <c r="D2196" s="159">
        <v>12</v>
      </c>
      <c r="E2196" s="159">
        <v>279.94</v>
      </c>
      <c r="F2196" s="159">
        <v>3359.28</v>
      </c>
      <c r="G2196" s="160" t="s">
        <v>4872</v>
      </c>
    </row>
    <row r="2197" spans="1:8" ht="33">
      <c r="A2197" s="160">
        <v>5</v>
      </c>
      <c r="B2197" s="160" t="s">
        <v>931</v>
      </c>
      <c r="C2197" s="157" t="s">
        <v>14</v>
      </c>
      <c r="D2197" s="159">
        <v>1</v>
      </c>
      <c r="E2197" s="159">
        <v>475.11</v>
      </c>
      <c r="F2197" s="159">
        <v>475.11</v>
      </c>
      <c r="G2197" s="160" t="s">
        <v>932</v>
      </c>
      <c r="H2197" s="34" t="s">
        <v>925</v>
      </c>
    </row>
    <row r="2198" spans="1:8" ht="33">
      <c r="A2198" s="160"/>
      <c r="B2198" s="160" t="s">
        <v>933</v>
      </c>
      <c r="C2198" s="157" t="s">
        <v>3</v>
      </c>
      <c r="D2198" s="159">
        <v>10</v>
      </c>
      <c r="E2198" s="159"/>
      <c r="F2198" s="159">
        <v>16312.03</v>
      </c>
      <c r="G2198" s="160"/>
      <c r="H2198" s="34" t="s">
        <v>925</v>
      </c>
    </row>
    <row r="2199" spans="1:8" ht="33">
      <c r="A2199" s="160"/>
      <c r="B2199" s="160" t="s">
        <v>934</v>
      </c>
      <c r="C2199" s="157" t="s">
        <v>3</v>
      </c>
      <c r="D2199" s="159"/>
      <c r="E2199" s="159"/>
      <c r="F2199" s="159">
        <v>1631.2</v>
      </c>
      <c r="G2199" s="160"/>
      <c r="H2199" s="34" t="s">
        <v>925</v>
      </c>
    </row>
    <row r="2200" spans="1:8" ht="33">
      <c r="A2200" s="160"/>
      <c r="B2200" s="160"/>
      <c r="C2200" s="157"/>
      <c r="D2200" s="159"/>
      <c r="E2200" s="159"/>
      <c r="F2200" s="159"/>
      <c r="G2200" s="160"/>
      <c r="H2200" s="34" t="s">
        <v>925</v>
      </c>
    </row>
    <row r="2201" spans="1:8" ht="33">
      <c r="A2201" s="160" t="s">
        <v>2378</v>
      </c>
      <c r="B2201" s="160" t="s">
        <v>3641</v>
      </c>
      <c r="C2201" s="157" t="s">
        <v>1875</v>
      </c>
      <c r="D2201" s="159">
        <v>1</v>
      </c>
      <c r="E2201" s="159">
        <v>3427.19</v>
      </c>
      <c r="F2201" s="159"/>
      <c r="G2201" s="160" t="s">
        <v>4976</v>
      </c>
      <c r="H2201" s="34" t="s">
        <v>925</v>
      </c>
    </row>
    <row r="2202" spans="1:8" ht="33">
      <c r="A2202" s="160">
        <v>1</v>
      </c>
      <c r="B2202" s="160" t="s">
        <v>4025</v>
      </c>
      <c r="C2202" s="157" t="s">
        <v>1875</v>
      </c>
      <c r="D2202" s="159">
        <v>1</v>
      </c>
      <c r="E2202" s="159">
        <v>2988.66</v>
      </c>
      <c r="F2202" s="159">
        <v>2988.66</v>
      </c>
      <c r="G2202" s="160" t="s">
        <v>4026</v>
      </c>
      <c r="H2202" s="34" t="s">
        <v>925</v>
      </c>
    </row>
    <row r="2203" spans="1:8" ht="28.5">
      <c r="A2203" s="160">
        <v>2</v>
      </c>
      <c r="B2203" s="160" t="s">
        <v>4027</v>
      </c>
      <c r="C2203" s="157" t="s">
        <v>3</v>
      </c>
      <c r="D2203" s="159">
        <v>0.3</v>
      </c>
      <c r="E2203" s="159">
        <v>498.11</v>
      </c>
      <c r="F2203" s="159">
        <v>149.43</v>
      </c>
      <c r="G2203" s="160" t="s">
        <v>4028</v>
      </c>
    </row>
    <row r="2204" spans="1:8" ht="33">
      <c r="A2204" s="160">
        <v>3</v>
      </c>
      <c r="B2204" s="160" t="s">
        <v>4029</v>
      </c>
      <c r="C2204" s="157" t="s">
        <v>14</v>
      </c>
      <c r="D2204" s="159">
        <v>1</v>
      </c>
      <c r="E2204" s="159">
        <v>89.66</v>
      </c>
      <c r="F2204" s="159">
        <v>89.66</v>
      </c>
      <c r="G2204" s="160" t="s">
        <v>4030</v>
      </c>
      <c r="H2204" s="34" t="s">
        <v>925</v>
      </c>
    </row>
    <row r="2205" spans="1:8" ht="33">
      <c r="A2205" s="160">
        <v>4</v>
      </c>
      <c r="B2205" s="160" t="s">
        <v>4031</v>
      </c>
      <c r="C2205" s="157" t="s">
        <v>14</v>
      </c>
      <c r="D2205" s="159">
        <v>1</v>
      </c>
      <c r="E2205" s="159">
        <v>99.62</v>
      </c>
      <c r="F2205" s="159">
        <v>99.62</v>
      </c>
      <c r="G2205" s="160" t="s">
        <v>4977</v>
      </c>
      <c r="H2205" s="34" t="s">
        <v>925</v>
      </c>
    </row>
    <row r="2206" spans="1:8" ht="33">
      <c r="A2206" s="160">
        <v>5</v>
      </c>
      <c r="B2206" s="160" t="s">
        <v>931</v>
      </c>
      <c r="C2206" s="157" t="s">
        <v>14</v>
      </c>
      <c r="D2206" s="159">
        <v>1</v>
      </c>
      <c r="E2206" s="159">
        <v>99.82</v>
      </c>
      <c r="F2206" s="159">
        <v>99.82</v>
      </c>
      <c r="G2206" s="160" t="s">
        <v>932</v>
      </c>
      <c r="H2206" s="34" t="s">
        <v>925</v>
      </c>
    </row>
    <row r="2207" spans="1:8" ht="33">
      <c r="A2207" s="160"/>
      <c r="B2207" s="160" t="s">
        <v>933</v>
      </c>
      <c r="C2207" s="157" t="s">
        <v>1875</v>
      </c>
      <c r="D2207" s="159">
        <v>1</v>
      </c>
      <c r="E2207" s="159"/>
      <c r="F2207" s="159">
        <v>3427.1899999999996</v>
      </c>
      <c r="G2207" s="160"/>
      <c r="H2207" s="34" t="s">
        <v>925</v>
      </c>
    </row>
    <row r="2208" spans="1:8" ht="33">
      <c r="A2208" s="160"/>
      <c r="B2208" s="160" t="s">
        <v>934</v>
      </c>
      <c r="C2208" s="157" t="s">
        <v>1875</v>
      </c>
      <c r="D2208" s="159"/>
      <c r="E2208" s="159"/>
      <c r="F2208" s="159">
        <v>3427.19</v>
      </c>
      <c r="G2208" s="160"/>
      <c r="H2208" s="34" t="s">
        <v>925</v>
      </c>
    </row>
    <row r="2209" spans="1:8" ht="33">
      <c r="A2209" s="160"/>
      <c r="B2209" s="160"/>
      <c r="C2209" s="157"/>
      <c r="D2209" s="159"/>
      <c r="E2209" s="159"/>
      <c r="F2209" s="159"/>
      <c r="G2209" s="160"/>
      <c r="H2209" s="34" t="s">
        <v>925</v>
      </c>
    </row>
    <row r="2210" spans="1:8" ht="28.5">
      <c r="A2210" s="160" t="s">
        <v>2382</v>
      </c>
      <c r="B2210" s="160" t="s">
        <v>2146</v>
      </c>
      <c r="C2210" s="157" t="s">
        <v>3</v>
      </c>
      <c r="D2210" s="159">
        <v>1</v>
      </c>
      <c r="E2210" s="159">
        <v>2486.2800000000002</v>
      </c>
      <c r="F2210" s="159"/>
      <c r="G2210" s="160" t="s">
        <v>2147</v>
      </c>
    </row>
    <row r="2211" spans="1:8" ht="33">
      <c r="A2211" s="160">
        <v>1</v>
      </c>
      <c r="B2211" s="160" t="s">
        <v>2148</v>
      </c>
      <c r="C2211" s="157" t="s">
        <v>2149</v>
      </c>
      <c r="D2211" s="159">
        <v>15</v>
      </c>
      <c r="E2211" s="159">
        <v>129.51</v>
      </c>
      <c r="F2211" s="159">
        <v>1942.65</v>
      </c>
      <c r="G2211" s="160" t="s">
        <v>2150</v>
      </c>
      <c r="H2211" s="34" t="s">
        <v>925</v>
      </c>
    </row>
    <row r="2212" spans="1:8" ht="33">
      <c r="A2212" s="160">
        <v>2</v>
      </c>
      <c r="B2212" s="160" t="s">
        <v>2151</v>
      </c>
      <c r="C2212" s="157" t="s">
        <v>14</v>
      </c>
      <c r="D2212" s="159">
        <v>1</v>
      </c>
      <c r="E2212" s="159">
        <v>209.21</v>
      </c>
      <c r="F2212" s="159">
        <v>209.21</v>
      </c>
      <c r="G2212" s="160" t="s">
        <v>2152</v>
      </c>
      <c r="H2212" s="34" t="s">
        <v>925</v>
      </c>
    </row>
    <row r="2213" spans="1:8" ht="33">
      <c r="A2213" s="160">
        <v>3</v>
      </c>
      <c r="B2213" s="160" t="s">
        <v>2153</v>
      </c>
      <c r="C2213" s="157" t="s">
        <v>14</v>
      </c>
      <c r="D2213" s="159">
        <v>1</v>
      </c>
      <c r="E2213" s="159">
        <v>239.09</v>
      </c>
      <c r="F2213" s="159">
        <v>239.09</v>
      </c>
      <c r="G2213" s="160" t="s">
        <v>2154</v>
      </c>
      <c r="H2213" s="34" t="s">
        <v>925</v>
      </c>
    </row>
    <row r="2214" spans="1:8" ht="33">
      <c r="A2214" s="160">
        <v>4</v>
      </c>
      <c r="B2214" s="160" t="s">
        <v>2155</v>
      </c>
      <c r="C2214" s="157" t="s">
        <v>14</v>
      </c>
      <c r="D2214" s="159">
        <v>1</v>
      </c>
      <c r="E2214" s="159">
        <v>22.91</v>
      </c>
      <c r="F2214" s="159">
        <v>22.91</v>
      </c>
      <c r="G2214" s="160" t="s">
        <v>2156</v>
      </c>
      <c r="H2214" s="34" t="s">
        <v>925</v>
      </c>
    </row>
    <row r="2215" spans="1:8" ht="33">
      <c r="A2215" s="160">
        <v>5</v>
      </c>
      <c r="B2215" s="160" t="s">
        <v>931</v>
      </c>
      <c r="C2215" s="157" t="s">
        <v>14</v>
      </c>
      <c r="D2215" s="159">
        <v>1</v>
      </c>
      <c r="E2215" s="159">
        <v>72.42</v>
      </c>
      <c r="F2215" s="159">
        <v>72.42</v>
      </c>
      <c r="G2215" s="160" t="s">
        <v>932</v>
      </c>
      <c r="H2215" s="34" t="s">
        <v>925</v>
      </c>
    </row>
    <row r="2216" spans="1:8" ht="33">
      <c r="A2216" s="160"/>
      <c r="B2216" s="160" t="s">
        <v>933</v>
      </c>
      <c r="C2216" s="157" t="s">
        <v>3</v>
      </c>
      <c r="D2216" s="159">
        <v>1</v>
      </c>
      <c r="E2216" s="159"/>
      <c r="F2216" s="159">
        <v>2486.2800000000002</v>
      </c>
      <c r="G2216" s="160"/>
      <c r="H2216" s="34" t="s">
        <v>925</v>
      </c>
    </row>
    <row r="2217" spans="1:8" ht="16.5">
      <c r="A2217" s="160"/>
      <c r="B2217" s="160" t="s">
        <v>934</v>
      </c>
      <c r="C2217" s="157" t="s">
        <v>3</v>
      </c>
      <c r="D2217" s="159"/>
      <c r="E2217" s="159"/>
      <c r="F2217" s="159">
        <v>2486.2800000000002</v>
      </c>
      <c r="G2217" s="160"/>
    </row>
    <row r="2218" spans="1:8" ht="33">
      <c r="A2218" s="160"/>
      <c r="B2218" s="160"/>
      <c r="C2218" s="157"/>
      <c r="D2218" s="159"/>
      <c r="E2218" s="159"/>
      <c r="F2218" s="159"/>
      <c r="G2218" s="160"/>
      <c r="H2218" s="34" t="s">
        <v>925</v>
      </c>
    </row>
    <row r="2219" spans="1:8" ht="33">
      <c r="A2219" s="160" t="s">
        <v>2389</v>
      </c>
      <c r="B2219" s="160" t="s">
        <v>2158</v>
      </c>
      <c r="C2219" s="157" t="s">
        <v>1497</v>
      </c>
      <c r="D2219" s="159">
        <v>1</v>
      </c>
      <c r="E2219" s="159">
        <v>270.89</v>
      </c>
      <c r="F2219" s="159"/>
      <c r="G2219" s="160" t="s">
        <v>2159</v>
      </c>
      <c r="H2219" s="34" t="s">
        <v>925</v>
      </c>
    </row>
    <row r="2220" spans="1:8" ht="33">
      <c r="A2220" s="160">
        <v>1</v>
      </c>
      <c r="B2220" s="160" t="s">
        <v>2148</v>
      </c>
      <c r="C2220" s="157" t="s">
        <v>2149</v>
      </c>
      <c r="D2220" s="159">
        <v>0.1</v>
      </c>
      <c r="E2220" s="159">
        <v>129.51</v>
      </c>
      <c r="F2220" s="159">
        <v>12.95</v>
      </c>
      <c r="G2220" s="160" t="s">
        <v>2150</v>
      </c>
      <c r="H2220" s="34" t="s">
        <v>925</v>
      </c>
    </row>
    <row r="2221" spans="1:8" ht="33">
      <c r="A2221" s="160">
        <v>2</v>
      </c>
      <c r="B2221" s="160" t="s">
        <v>2151</v>
      </c>
      <c r="C2221" s="157" t="s">
        <v>14</v>
      </c>
      <c r="D2221" s="159">
        <v>1</v>
      </c>
      <c r="E2221" s="159">
        <v>209.21</v>
      </c>
      <c r="F2221" s="159">
        <v>209.21</v>
      </c>
      <c r="G2221" s="160" t="s">
        <v>2152</v>
      </c>
      <c r="H2221" s="34" t="s">
        <v>925</v>
      </c>
    </row>
    <row r="2222" spans="1:8" ht="33">
      <c r="A2222" s="160">
        <v>3</v>
      </c>
      <c r="B2222" s="160" t="s">
        <v>2153</v>
      </c>
      <c r="C2222" s="157" t="s">
        <v>14</v>
      </c>
      <c r="D2222" s="159">
        <v>1</v>
      </c>
      <c r="E2222" s="159">
        <v>17.93</v>
      </c>
      <c r="F2222" s="159">
        <v>17.93</v>
      </c>
      <c r="G2222" s="160" t="s">
        <v>2154</v>
      </c>
      <c r="H2222" s="34" t="s">
        <v>925</v>
      </c>
    </row>
    <row r="2223" spans="1:8" ht="33">
      <c r="A2223" s="160">
        <v>4</v>
      </c>
      <c r="B2223" s="160" t="s">
        <v>2155</v>
      </c>
      <c r="C2223" s="157" t="s">
        <v>14</v>
      </c>
      <c r="D2223" s="159">
        <v>1</v>
      </c>
      <c r="E2223" s="159">
        <v>22.91</v>
      </c>
      <c r="F2223" s="159">
        <v>22.91</v>
      </c>
      <c r="G2223" s="160" t="s">
        <v>2156</v>
      </c>
      <c r="H2223" s="34" t="s">
        <v>925</v>
      </c>
    </row>
    <row r="2224" spans="1:8" ht="33">
      <c r="A2224" s="160">
        <v>5</v>
      </c>
      <c r="B2224" s="160" t="s">
        <v>931</v>
      </c>
      <c r="C2224" s="157" t="s">
        <v>14</v>
      </c>
      <c r="D2224" s="159">
        <v>1</v>
      </c>
      <c r="E2224" s="159">
        <v>7.89</v>
      </c>
      <c r="F2224" s="159">
        <v>7.89</v>
      </c>
      <c r="G2224" s="160" t="s">
        <v>932</v>
      </c>
      <c r="H2224" s="34" t="s">
        <v>925</v>
      </c>
    </row>
    <row r="2225" spans="1:8" ht="33">
      <c r="A2225" s="160"/>
      <c r="B2225" s="160" t="s">
        <v>933</v>
      </c>
      <c r="C2225" s="157" t="s">
        <v>1497</v>
      </c>
      <c r="D2225" s="159">
        <v>1</v>
      </c>
      <c r="E2225" s="159"/>
      <c r="F2225" s="159">
        <v>270.89</v>
      </c>
      <c r="G2225" s="160"/>
      <c r="H2225" s="34" t="s">
        <v>925</v>
      </c>
    </row>
    <row r="2226" spans="1:8" ht="16.5">
      <c r="A2226" s="160"/>
      <c r="B2226" s="160" t="s">
        <v>934</v>
      </c>
      <c r="C2226" s="157" t="s">
        <v>1497</v>
      </c>
      <c r="D2226" s="159"/>
      <c r="E2226" s="159"/>
      <c r="F2226" s="159">
        <v>270.89</v>
      </c>
      <c r="G2226" s="160"/>
    </row>
    <row r="2227" spans="1:8" ht="33">
      <c r="A2227" s="160"/>
      <c r="B2227" s="160"/>
      <c r="C2227" s="157"/>
      <c r="D2227" s="159"/>
      <c r="E2227" s="159"/>
      <c r="F2227" s="159"/>
      <c r="G2227" s="160"/>
      <c r="H2227" s="34" t="s">
        <v>925</v>
      </c>
    </row>
    <row r="2228" spans="1:8" ht="33">
      <c r="A2228" s="160" t="s">
        <v>2392</v>
      </c>
      <c r="B2228" s="160" t="s">
        <v>912</v>
      </c>
      <c r="C2228" s="157" t="s">
        <v>3</v>
      </c>
      <c r="D2228" s="159">
        <v>1</v>
      </c>
      <c r="E2228" s="159">
        <v>700.83</v>
      </c>
      <c r="F2228" s="159"/>
      <c r="G2228" s="160" t="s">
        <v>2161</v>
      </c>
      <c r="H2228" s="34" t="s">
        <v>925</v>
      </c>
    </row>
    <row r="2229" spans="1:8" ht="33">
      <c r="A2229" s="160">
        <v>1</v>
      </c>
      <c r="B2229" s="160" t="s">
        <v>2162</v>
      </c>
      <c r="C2229" s="157" t="s">
        <v>3</v>
      </c>
      <c r="D2229" s="159">
        <v>1</v>
      </c>
      <c r="E2229" s="159">
        <v>82.69</v>
      </c>
      <c r="F2229" s="159">
        <v>82.69</v>
      </c>
      <c r="G2229" s="160" t="s">
        <v>2163</v>
      </c>
      <c r="H2229" s="34" t="s">
        <v>925</v>
      </c>
    </row>
    <row r="2230" spans="1:8" ht="33">
      <c r="A2230" s="160">
        <v>2</v>
      </c>
      <c r="B2230" s="160" t="s">
        <v>2164</v>
      </c>
      <c r="C2230" s="157" t="s">
        <v>3</v>
      </c>
      <c r="D2230" s="159">
        <v>1</v>
      </c>
      <c r="E2230" s="159">
        <v>99.62</v>
      </c>
      <c r="F2230" s="159">
        <v>99.62</v>
      </c>
      <c r="G2230" s="160" t="s">
        <v>2165</v>
      </c>
      <c r="H2230" s="34" t="s">
        <v>925</v>
      </c>
    </row>
    <row r="2231" spans="1:8" ht="33">
      <c r="A2231" s="160">
        <v>3</v>
      </c>
      <c r="B2231" s="160" t="s">
        <v>2166</v>
      </c>
      <c r="C2231" s="157" t="s">
        <v>3</v>
      </c>
      <c r="D2231" s="159">
        <v>1</v>
      </c>
      <c r="E2231" s="159">
        <v>498.11</v>
      </c>
      <c r="F2231" s="159">
        <v>498.11</v>
      </c>
      <c r="G2231" s="160" t="s">
        <v>2167</v>
      </c>
      <c r="H2231" s="34" t="s">
        <v>925</v>
      </c>
    </row>
    <row r="2232" spans="1:8" ht="33">
      <c r="A2232" s="160">
        <v>4</v>
      </c>
      <c r="B2232" s="160" t="s">
        <v>931</v>
      </c>
      <c r="C2232" s="157" t="s">
        <v>14</v>
      </c>
      <c r="D2232" s="159">
        <v>1</v>
      </c>
      <c r="E2232" s="159">
        <v>20.41</v>
      </c>
      <c r="F2232" s="159">
        <v>20.41</v>
      </c>
      <c r="G2232" s="160" t="s">
        <v>932</v>
      </c>
      <c r="H2232" s="34" t="s">
        <v>925</v>
      </c>
    </row>
    <row r="2233" spans="1:8" ht="33">
      <c r="A2233" s="160"/>
      <c r="B2233" s="160" t="s">
        <v>933</v>
      </c>
      <c r="C2233" s="157" t="s">
        <v>3</v>
      </c>
      <c r="D2233" s="159">
        <v>1</v>
      </c>
      <c r="E2233" s="159"/>
      <c r="F2233" s="159">
        <v>700.83</v>
      </c>
      <c r="G2233" s="160"/>
      <c r="H2233" s="34" t="s">
        <v>925</v>
      </c>
    </row>
    <row r="2234" spans="1:8" ht="33">
      <c r="A2234" s="160"/>
      <c r="B2234" s="160" t="s">
        <v>934</v>
      </c>
      <c r="C2234" s="157" t="s">
        <v>3</v>
      </c>
      <c r="D2234" s="159"/>
      <c r="E2234" s="159"/>
      <c r="F2234" s="159">
        <v>700.83</v>
      </c>
      <c r="G2234" s="160"/>
      <c r="H2234" s="34" t="s">
        <v>925</v>
      </c>
    </row>
    <row r="2235" spans="1:8" ht="33">
      <c r="A2235" s="160"/>
      <c r="B2235" s="160"/>
      <c r="C2235" s="157"/>
      <c r="D2235" s="159"/>
      <c r="E2235" s="159"/>
      <c r="F2235" s="159"/>
      <c r="G2235" s="160"/>
      <c r="H2235" s="34" t="s">
        <v>925</v>
      </c>
    </row>
    <row r="2236" spans="1:8" ht="28.5">
      <c r="A2236" s="160" t="s">
        <v>2398</v>
      </c>
      <c r="B2236" s="160" t="s">
        <v>2169</v>
      </c>
      <c r="C2236" s="157" t="s">
        <v>17</v>
      </c>
      <c r="D2236" s="159">
        <v>10</v>
      </c>
      <c r="E2236" s="159">
        <v>138.47999999999999</v>
      </c>
      <c r="F2236" s="159"/>
      <c r="G2236" s="160" t="s">
        <v>2170</v>
      </c>
    </row>
    <row r="2237" spans="1:8" ht="33">
      <c r="A2237" s="160">
        <v>1</v>
      </c>
      <c r="B2237" s="160" t="s">
        <v>2171</v>
      </c>
      <c r="C2237" s="157" t="s">
        <v>14</v>
      </c>
      <c r="D2237" s="159">
        <v>1</v>
      </c>
      <c r="E2237" s="159">
        <v>249.05</v>
      </c>
      <c r="F2237" s="159">
        <v>249.05</v>
      </c>
      <c r="G2237" s="160" t="s">
        <v>2172</v>
      </c>
      <c r="H2237" s="34" t="s">
        <v>925</v>
      </c>
    </row>
    <row r="2238" spans="1:8" ht="33">
      <c r="A2238" s="160">
        <v>2</v>
      </c>
      <c r="B2238" s="160" t="s">
        <v>2173</v>
      </c>
      <c r="C2238" s="157" t="s">
        <v>14</v>
      </c>
      <c r="D2238" s="159">
        <v>1</v>
      </c>
      <c r="E2238" s="159">
        <v>199.24</v>
      </c>
      <c r="F2238" s="159">
        <v>199.24</v>
      </c>
      <c r="G2238" s="160" t="s">
        <v>2174</v>
      </c>
      <c r="H2238" s="34" t="s">
        <v>925</v>
      </c>
    </row>
    <row r="2239" spans="1:8" ht="33">
      <c r="A2239" s="160">
        <v>3</v>
      </c>
      <c r="B2239" s="160" t="s">
        <v>2175</v>
      </c>
      <c r="C2239" s="157" t="s">
        <v>14</v>
      </c>
      <c r="D2239" s="159">
        <v>1</v>
      </c>
      <c r="E2239" s="159">
        <v>99.62</v>
      </c>
      <c r="F2239" s="159">
        <v>99.62</v>
      </c>
      <c r="G2239" s="160" t="s">
        <v>2176</v>
      </c>
      <c r="H2239" s="34" t="s">
        <v>925</v>
      </c>
    </row>
    <row r="2240" spans="1:8" ht="33">
      <c r="A2240" s="160">
        <v>4</v>
      </c>
      <c r="B2240" s="160" t="s">
        <v>2177</v>
      </c>
      <c r="C2240" s="157" t="s">
        <v>14</v>
      </c>
      <c r="D2240" s="159">
        <v>1</v>
      </c>
      <c r="E2240" s="159">
        <v>348.68</v>
      </c>
      <c r="F2240" s="159">
        <v>348.68</v>
      </c>
      <c r="G2240" s="160" t="s">
        <v>2178</v>
      </c>
      <c r="H2240" s="34" t="s">
        <v>925</v>
      </c>
    </row>
    <row r="2241" spans="1:8" ht="33">
      <c r="A2241" s="160">
        <v>5</v>
      </c>
      <c r="B2241" s="160" t="s">
        <v>4871</v>
      </c>
      <c r="C2241" s="157" t="s">
        <v>927</v>
      </c>
      <c r="D2241" s="159">
        <v>1.6</v>
      </c>
      <c r="E2241" s="159">
        <v>279.94</v>
      </c>
      <c r="F2241" s="159">
        <v>447.9</v>
      </c>
      <c r="G2241" s="160" t="s">
        <v>4872</v>
      </c>
      <c r="H2241" s="34" t="s">
        <v>925</v>
      </c>
    </row>
    <row r="2242" spans="1:8" ht="33">
      <c r="A2242" s="160">
        <v>6</v>
      </c>
      <c r="B2242" s="160" t="s">
        <v>931</v>
      </c>
      <c r="C2242" s="157" t="s">
        <v>14</v>
      </c>
      <c r="D2242" s="159">
        <v>1</v>
      </c>
      <c r="E2242" s="159">
        <v>40.33</v>
      </c>
      <c r="F2242" s="159">
        <v>40.33</v>
      </c>
      <c r="G2242" s="160" t="s">
        <v>932</v>
      </c>
      <c r="H2242" s="34" t="s">
        <v>925</v>
      </c>
    </row>
    <row r="2243" spans="1:8" ht="33">
      <c r="A2243" s="160"/>
      <c r="B2243" s="160" t="s">
        <v>933</v>
      </c>
      <c r="C2243" s="157" t="s">
        <v>17</v>
      </c>
      <c r="D2243" s="159">
        <v>10</v>
      </c>
      <c r="E2243" s="159"/>
      <c r="F2243" s="159">
        <v>1384.8200000000002</v>
      </c>
      <c r="G2243" s="160"/>
      <c r="H2243" s="34" t="s">
        <v>925</v>
      </c>
    </row>
    <row r="2244" spans="1:8" ht="33">
      <c r="A2244" s="160"/>
      <c r="B2244" s="160" t="s">
        <v>934</v>
      </c>
      <c r="C2244" s="157" t="s">
        <v>17</v>
      </c>
      <c r="D2244" s="159"/>
      <c r="E2244" s="159"/>
      <c r="F2244" s="159">
        <v>138.47999999999999</v>
      </c>
      <c r="G2244" s="160"/>
      <c r="H2244" s="34" t="s">
        <v>925</v>
      </c>
    </row>
    <row r="2245" spans="1:8" ht="33">
      <c r="A2245" s="160"/>
      <c r="B2245" s="160"/>
      <c r="C2245" s="157"/>
      <c r="D2245" s="159"/>
      <c r="E2245" s="159"/>
      <c r="F2245" s="159"/>
      <c r="G2245" s="160"/>
      <c r="H2245" s="34" t="s">
        <v>925</v>
      </c>
    </row>
    <row r="2246" spans="1:8" ht="28.5">
      <c r="A2246" s="160" t="s">
        <v>2404</v>
      </c>
      <c r="B2246" s="160" t="s">
        <v>3642</v>
      </c>
      <c r="C2246" s="157" t="s">
        <v>17</v>
      </c>
      <c r="D2246" s="159">
        <v>10</v>
      </c>
      <c r="E2246" s="159">
        <v>117.96</v>
      </c>
      <c r="F2246" s="159"/>
      <c r="G2246" s="160" t="s">
        <v>4032</v>
      </c>
    </row>
    <row r="2247" spans="1:8" ht="33">
      <c r="A2247" s="160">
        <v>1</v>
      </c>
      <c r="B2247" s="160" t="s">
        <v>2171</v>
      </c>
      <c r="C2247" s="157" t="s">
        <v>14</v>
      </c>
      <c r="D2247" s="159">
        <v>1</v>
      </c>
      <c r="E2247" s="159">
        <v>249.05</v>
      </c>
      <c r="F2247" s="159">
        <v>249.05</v>
      </c>
      <c r="G2247" s="160" t="s">
        <v>2172</v>
      </c>
      <c r="H2247" s="34" t="s">
        <v>925</v>
      </c>
    </row>
    <row r="2248" spans="1:8" ht="33">
      <c r="A2248" s="160">
        <v>2</v>
      </c>
      <c r="B2248" s="160" t="s">
        <v>2175</v>
      </c>
      <c r="C2248" s="157" t="s">
        <v>14</v>
      </c>
      <c r="D2248" s="159">
        <v>1</v>
      </c>
      <c r="E2248" s="159">
        <v>99.62</v>
      </c>
      <c r="F2248" s="159">
        <v>99.62</v>
      </c>
      <c r="G2248" s="160" t="s">
        <v>2176</v>
      </c>
      <c r="H2248" s="34" t="s">
        <v>925</v>
      </c>
    </row>
    <row r="2249" spans="1:8" ht="33">
      <c r="A2249" s="160">
        <v>3</v>
      </c>
      <c r="B2249" s="160" t="s">
        <v>2177</v>
      </c>
      <c r="C2249" s="157" t="s">
        <v>14</v>
      </c>
      <c r="D2249" s="159">
        <v>1</v>
      </c>
      <c r="E2249" s="159">
        <v>348.68</v>
      </c>
      <c r="F2249" s="159">
        <v>348.68</v>
      </c>
      <c r="G2249" s="160" t="s">
        <v>2178</v>
      </c>
      <c r="H2249" s="34" t="s">
        <v>925</v>
      </c>
    </row>
    <row r="2250" spans="1:8" ht="33">
      <c r="A2250" s="160">
        <v>4</v>
      </c>
      <c r="B2250" s="160" t="s">
        <v>4871</v>
      </c>
      <c r="C2250" s="157" t="s">
        <v>927</v>
      </c>
      <c r="D2250" s="159">
        <v>1.6</v>
      </c>
      <c r="E2250" s="159">
        <v>279.94</v>
      </c>
      <c r="F2250" s="159">
        <v>447.9</v>
      </c>
      <c r="G2250" s="160" t="s">
        <v>4872</v>
      </c>
      <c r="H2250" s="34" t="s">
        <v>925</v>
      </c>
    </row>
    <row r="2251" spans="1:8" ht="33">
      <c r="A2251" s="160">
        <v>5</v>
      </c>
      <c r="B2251" s="160" t="s">
        <v>931</v>
      </c>
      <c r="C2251" s="157" t="s">
        <v>14</v>
      </c>
      <c r="D2251" s="159">
        <v>1</v>
      </c>
      <c r="E2251" s="159">
        <v>34.36</v>
      </c>
      <c r="F2251" s="159">
        <v>34.36</v>
      </c>
      <c r="G2251" s="160" t="s">
        <v>932</v>
      </c>
      <c r="H2251" s="34" t="s">
        <v>925</v>
      </c>
    </row>
    <row r="2252" spans="1:8" ht="33">
      <c r="A2252" s="160"/>
      <c r="B2252" s="160" t="s">
        <v>933</v>
      </c>
      <c r="C2252" s="157" t="s">
        <v>17</v>
      </c>
      <c r="D2252" s="159">
        <v>10</v>
      </c>
      <c r="E2252" s="159"/>
      <c r="F2252" s="159">
        <v>1179.6099999999999</v>
      </c>
      <c r="G2252" s="160"/>
      <c r="H2252" s="34" t="s">
        <v>925</v>
      </c>
    </row>
    <row r="2253" spans="1:8" ht="16.5">
      <c r="A2253" s="160"/>
      <c r="B2253" s="160" t="s">
        <v>934</v>
      </c>
      <c r="C2253" s="157" t="s">
        <v>17</v>
      </c>
      <c r="D2253" s="159"/>
      <c r="E2253" s="159"/>
      <c r="F2253" s="159">
        <v>117.96</v>
      </c>
      <c r="G2253" s="160"/>
    </row>
    <row r="2254" spans="1:8" ht="33">
      <c r="A2254" s="160"/>
      <c r="B2254" s="160"/>
      <c r="C2254" s="157"/>
      <c r="D2254" s="159"/>
      <c r="E2254" s="159"/>
      <c r="F2254" s="159"/>
      <c r="G2254" s="160"/>
      <c r="H2254" s="34" t="s">
        <v>925</v>
      </c>
    </row>
    <row r="2255" spans="1:8" ht="33">
      <c r="A2255" s="160" t="s">
        <v>2409</v>
      </c>
      <c r="B2255" s="160" t="s">
        <v>4697</v>
      </c>
      <c r="C2255" s="157" t="s">
        <v>17</v>
      </c>
      <c r="D2255" s="159">
        <v>10</v>
      </c>
      <c r="E2255" s="159">
        <v>177.93</v>
      </c>
      <c r="F2255" s="159"/>
      <c r="G2255" s="160" t="s">
        <v>4978</v>
      </c>
      <c r="H2255" s="34" t="s">
        <v>925</v>
      </c>
    </row>
    <row r="2256" spans="1:8" ht="33">
      <c r="A2256" s="160">
        <v>1</v>
      </c>
      <c r="B2256" s="160" t="s">
        <v>2171</v>
      </c>
      <c r="C2256" s="157" t="s">
        <v>14</v>
      </c>
      <c r="D2256" s="159">
        <v>1</v>
      </c>
      <c r="E2256" s="159">
        <v>249.05</v>
      </c>
      <c r="F2256" s="159">
        <v>249.05</v>
      </c>
      <c r="G2256" s="160" t="s">
        <v>2172</v>
      </c>
      <c r="H2256" s="34" t="s">
        <v>925</v>
      </c>
    </row>
    <row r="2257" spans="1:8" ht="33">
      <c r="A2257" s="160">
        <v>2</v>
      </c>
      <c r="B2257" s="160" t="s">
        <v>2175</v>
      </c>
      <c r="C2257" s="157" t="s">
        <v>14</v>
      </c>
      <c r="D2257" s="159">
        <v>1</v>
      </c>
      <c r="E2257" s="159">
        <v>99.62</v>
      </c>
      <c r="F2257" s="159">
        <v>99.62</v>
      </c>
      <c r="G2257" s="160" t="s">
        <v>2176</v>
      </c>
      <c r="H2257" s="34" t="s">
        <v>925</v>
      </c>
    </row>
    <row r="2258" spans="1:8" ht="33">
      <c r="A2258" s="160">
        <v>3</v>
      </c>
      <c r="B2258" s="160" t="s">
        <v>2177</v>
      </c>
      <c r="C2258" s="157" t="s">
        <v>14</v>
      </c>
      <c r="D2258" s="159">
        <v>1</v>
      </c>
      <c r="E2258" s="159">
        <v>348.68</v>
      </c>
      <c r="F2258" s="159">
        <v>348.68</v>
      </c>
      <c r="G2258" s="160" t="s">
        <v>2178</v>
      </c>
      <c r="H2258" s="34" t="s">
        <v>925</v>
      </c>
    </row>
    <row r="2259" spans="1:8" ht="42.75">
      <c r="A2259" s="160">
        <v>4</v>
      </c>
      <c r="B2259" s="160" t="s">
        <v>4874</v>
      </c>
      <c r="C2259" s="157" t="s">
        <v>927</v>
      </c>
      <c r="D2259" s="159">
        <v>1.84</v>
      </c>
      <c r="E2259" s="159">
        <v>559.87</v>
      </c>
      <c r="F2259" s="159">
        <v>1030.1600000000001</v>
      </c>
      <c r="G2259" s="160" t="s">
        <v>4875</v>
      </c>
      <c r="H2259" s="34" t="s">
        <v>925</v>
      </c>
    </row>
    <row r="2260" spans="1:8" ht="33">
      <c r="A2260" s="160">
        <v>5</v>
      </c>
      <c r="B2260" s="160" t="s">
        <v>931</v>
      </c>
      <c r="C2260" s="157" t="s">
        <v>14</v>
      </c>
      <c r="D2260" s="159">
        <v>1</v>
      </c>
      <c r="E2260" s="159">
        <v>51.83</v>
      </c>
      <c r="F2260" s="159">
        <v>51.83</v>
      </c>
      <c r="G2260" s="160" t="s">
        <v>932</v>
      </c>
      <c r="H2260" s="34" t="s">
        <v>925</v>
      </c>
    </row>
    <row r="2261" spans="1:8" ht="33">
      <c r="A2261" s="160"/>
      <c r="B2261" s="160" t="s">
        <v>933</v>
      </c>
      <c r="C2261" s="157" t="s">
        <v>17</v>
      </c>
      <c r="D2261" s="159">
        <v>10</v>
      </c>
      <c r="E2261" s="159"/>
      <c r="F2261" s="159">
        <v>1779.3400000000001</v>
      </c>
      <c r="G2261" s="160"/>
      <c r="H2261" s="34" t="s">
        <v>925</v>
      </c>
    </row>
    <row r="2262" spans="1:8" ht="33">
      <c r="A2262" s="160"/>
      <c r="B2262" s="160" t="s">
        <v>934</v>
      </c>
      <c r="C2262" s="157" t="s">
        <v>17</v>
      </c>
      <c r="D2262" s="159"/>
      <c r="E2262" s="159"/>
      <c r="F2262" s="159">
        <v>177.93</v>
      </c>
      <c r="G2262" s="160"/>
      <c r="H2262" s="34" t="s">
        <v>925</v>
      </c>
    </row>
    <row r="2263" spans="1:8" ht="33">
      <c r="A2263" s="160"/>
      <c r="B2263" s="160"/>
      <c r="C2263" s="157"/>
      <c r="D2263" s="159"/>
      <c r="E2263" s="159"/>
      <c r="F2263" s="159"/>
      <c r="G2263" s="160"/>
      <c r="H2263" s="34" t="s">
        <v>925</v>
      </c>
    </row>
    <row r="2264" spans="1:8" ht="28.5">
      <c r="A2264" s="160" t="s">
        <v>2413</v>
      </c>
      <c r="B2264" s="160" t="s">
        <v>2180</v>
      </c>
      <c r="C2264" s="157" t="s">
        <v>3</v>
      </c>
      <c r="D2264" s="159">
        <v>1</v>
      </c>
      <c r="E2264" s="159">
        <v>1263.33</v>
      </c>
      <c r="F2264" s="159"/>
      <c r="G2264" s="160" t="s">
        <v>2181</v>
      </c>
    </row>
    <row r="2265" spans="1:8" ht="33">
      <c r="A2265" s="160">
        <v>1</v>
      </c>
      <c r="B2265" s="160" t="s">
        <v>2182</v>
      </c>
      <c r="C2265" s="157" t="s">
        <v>3</v>
      </c>
      <c r="D2265" s="159">
        <v>1</v>
      </c>
      <c r="E2265" s="159">
        <v>332.74</v>
      </c>
      <c r="F2265" s="159">
        <v>332.74</v>
      </c>
      <c r="G2265" s="160" t="s">
        <v>2183</v>
      </c>
      <c r="H2265" s="34" t="s">
        <v>925</v>
      </c>
    </row>
    <row r="2266" spans="1:8" ht="33">
      <c r="A2266" s="160">
        <v>2</v>
      </c>
      <c r="B2266" s="160" t="s">
        <v>1294</v>
      </c>
      <c r="C2266" s="157" t="s">
        <v>1295</v>
      </c>
      <c r="D2266" s="159">
        <v>0.12</v>
      </c>
      <c r="E2266" s="159">
        <v>166.37</v>
      </c>
      <c r="F2266" s="159">
        <v>19.96</v>
      </c>
      <c r="G2266" s="160" t="s">
        <v>1296</v>
      </c>
      <c r="H2266" s="34" t="s">
        <v>925</v>
      </c>
    </row>
    <row r="2267" spans="1:8" ht="33">
      <c r="A2267" s="160">
        <v>3</v>
      </c>
      <c r="B2267" s="160" t="s">
        <v>2184</v>
      </c>
      <c r="C2267" s="157" t="s">
        <v>18</v>
      </c>
      <c r="D2267" s="159">
        <v>12</v>
      </c>
      <c r="E2267" s="159">
        <v>14.94</v>
      </c>
      <c r="F2267" s="159">
        <v>179.28</v>
      </c>
      <c r="G2267" s="160" t="s">
        <v>2185</v>
      </c>
      <c r="H2267" s="34" t="s">
        <v>925</v>
      </c>
    </row>
    <row r="2268" spans="1:8" ht="33">
      <c r="A2268" s="160">
        <v>4</v>
      </c>
      <c r="B2268" s="160" t="s">
        <v>2186</v>
      </c>
      <c r="C2268" s="157" t="s">
        <v>18</v>
      </c>
      <c r="D2268" s="159">
        <v>3</v>
      </c>
      <c r="E2268" s="159">
        <v>11.95</v>
      </c>
      <c r="F2268" s="159">
        <v>35.85</v>
      </c>
      <c r="G2268" s="160" t="s">
        <v>2187</v>
      </c>
      <c r="H2268" s="34" t="s">
        <v>925</v>
      </c>
    </row>
    <row r="2269" spans="1:8" ht="33">
      <c r="A2269" s="160">
        <v>5</v>
      </c>
      <c r="B2269" s="160" t="s">
        <v>2188</v>
      </c>
      <c r="C2269" s="157" t="s">
        <v>14</v>
      </c>
      <c r="D2269" s="159">
        <v>1</v>
      </c>
      <c r="E2269" s="159">
        <v>9.9600000000000009</v>
      </c>
      <c r="F2269" s="159">
        <v>9.9600000000000009</v>
      </c>
      <c r="G2269" s="160" t="s">
        <v>2189</v>
      </c>
      <c r="H2269" s="34" t="s">
        <v>925</v>
      </c>
    </row>
    <row r="2270" spans="1:8" ht="33">
      <c r="A2270" s="160">
        <v>6</v>
      </c>
      <c r="B2270" s="160" t="s">
        <v>1210</v>
      </c>
      <c r="C2270" s="157" t="s">
        <v>927</v>
      </c>
      <c r="D2270" s="159">
        <v>1.04</v>
      </c>
      <c r="E2270" s="159">
        <v>408.45</v>
      </c>
      <c r="F2270" s="159">
        <v>424.79</v>
      </c>
      <c r="G2270" s="160" t="s">
        <v>1211</v>
      </c>
      <c r="H2270" s="34" t="s">
        <v>925</v>
      </c>
    </row>
    <row r="2271" spans="1:8" ht="33">
      <c r="A2271" s="160">
        <v>7</v>
      </c>
      <c r="B2271" s="160" t="s">
        <v>1644</v>
      </c>
      <c r="C2271" s="157" t="s">
        <v>927</v>
      </c>
      <c r="D2271" s="159">
        <v>0.8</v>
      </c>
      <c r="E2271" s="159">
        <v>279.94</v>
      </c>
      <c r="F2271" s="159">
        <v>223.95</v>
      </c>
      <c r="G2271" s="160" t="s">
        <v>1645</v>
      </c>
      <c r="H2271" s="34" t="s">
        <v>925</v>
      </c>
    </row>
    <row r="2272" spans="1:8" ht="33">
      <c r="A2272" s="160">
        <v>8</v>
      </c>
      <c r="B2272" s="160" t="s">
        <v>955</v>
      </c>
      <c r="C2272" s="157" t="s">
        <v>14</v>
      </c>
      <c r="D2272" s="159">
        <v>1</v>
      </c>
      <c r="E2272" s="159">
        <v>36.799999999999997</v>
      </c>
      <c r="F2272" s="159">
        <v>36.799999999999997</v>
      </c>
      <c r="G2272" s="160" t="s">
        <v>956</v>
      </c>
      <c r="H2272" s="34" t="s">
        <v>925</v>
      </c>
    </row>
    <row r="2273" spans="1:8" ht="33">
      <c r="A2273" s="160"/>
      <c r="B2273" s="160" t="s">
        <v>933</v>
      </c>
      <c r="C2273" s="157" t="s">
        <v>3</v>
      </c>
      <c r="D2273" s="159">
        <v>1</v>
      </c>
      <c r="E2273" s="159"/>
      <c r="F2273" s="159">
        <v>1263.3300000000002</v>
      </c>
      <c r="G2273" s="160"/>
      <c r="H2273" s="34" t="s">
        <v>925</v>
      </c>
    </row>
    <row r="2274" spans="1:8" ht="33">
      <c r="A2274" s="160"/>
      <c r="B2274" s="160" t="s">
        <v>934</v>
      </c>
      <c r="C2274" s="157" t="s">
        <v>3</v>
      </c>
      <c r="D2274" s="159"/>
      <c r="E2274" s="159"/>
      <c r="F2274" s="159">
        <v>1263.33</v>
      </c>
      <c r="G2274" s="160"/>
      <c r="H2274" s="34" t="s">
        <v>925</v>
      </c>
    </row>
    <row r="2275" spans="1:8" ht="16.5">
      <c r="A2275" s="160"/>
      <c r="B2275" s="160"/>
      <c r="C2275" s="157"/>
      <c r="D2275" s="159"/>
      <c r="E2275" s="159"/>
      <c r="F2275" s="159"/>
      <c r="G2275" s="160"/>
    </row>
    <row r="2276" spans="1:8" ht="33">
      <c r="A2276" s="160" t="s">
        <v>2415</v>
      </c>
      <c r="B2276" s="160" t="s">
        <v>2191</v>
      </c>
      <c r="C2276" s="157" t="s">
        <v>3</v>
      </c>
      <c r="D2276" s="159">
        <v>1</v>
      </c>
      <c r="E2276" s="159">
        <v>1821.12</v>
      </c>
      <c r="F2276" s="159"/>
      <c r="G2276" s="160" t="s">
        <v>2192</v>
      </c>
      <c r="H2276" s="34" t="s">
        <v>925</v>
      </c>
    </row>
    <row r="2277" spans="1:8" ht="33">
      <c r="A2277" s="160">
        <v>1</v>
      </c>
      <c r="B2277" s="160" t="s">
        <v>2182</v>
      </c>
      <c r="C2277" s="157" t="s">
        <v>3</v>
      </c>
      <c r="D2277" s="159">
        <v>1</v>
      </c>
      <c r="E2277" s="159">
        <v>332.74</v>
      </c>
      <c r="F2277" s="159">
        <v>332.74</v>
      </c>
      <c r="G2277" s="160" t="s">
        <v>2183</v>
      </c>
      <c r="H2277" s="34" t="s">
        <v>925</v>
      </c>
    </row>
    <row r="2278" spans="1:8" ht="33">
      <c r="A2278" s="160">
        <v>2</v>
      </c>
      <c r="B2278" s="160" t="s">
        <v>1294</v>
      </c>
      <c r="C2278" s="157" t="s">
        <v>1295</v>
      </c>
      <c r="D2278" s="159">
        <v>0.12</v>
      </c>
      <c r="E2278" s="159">
        <v>166.37</v>
      </c>
      <c r="F2278" s="159">
        <v>19.96</v>
      </c>
      <c r="G2278" s="160" t="s">
        <v>1296</v>
      </c>
      <c r="H2278" s="34" t="s">
        <v>925</v>
      </c>
    </row>
    <row r="2279" spans="1:8" ht="33">
      <c r="A2279" s="160">
        <v>3</v>
      </c>
      <c r="B2279" s="160" t="s">
        <v>2184</v>
      </c>
      <c r="C2279" s="157" t="s">
        <v>18</v>
      </c>
      <c r="D2279" s="159">
        <v>12</v>
      </c>
      <c r="E2279" s="159">
        <v>14.94</v>
      </c>
      <c r="F2279" s="159">
        <v>179.28</v>
      </c>
      <c r="G2279" s="160" t="s">
        <v>2185</v>
      </c>
      <c r="H2279" s="34" t="s">
        <v>925</v>
      </c>
    </row>
    <row r="2280" spans="1:8" ht="33">
      <c r="A2280" s="160">
        <v>4</v>
      </c>
      <c r="B2280" s="160" t="s">
        <v>2186</v>
      </c>
      <c r="C2280" s="157" t="s">
        <v>18</v>
      </c>
      <c r="D2280" s="159">
        <v>3</v>
      </c>
      <c r="E2280" s="159">
        <v>11.95</v>
      </c>
      <c r="F2280" s="159">
        <v>35.85</v>
      </c>
      <c r="G2280" s="160" t="s">
        <v>2187</v>
      </c>
      <c r="H2280" s="34" t="s">
        <v>925</v>
      </c>
    </row>
    <row r="2281" spans="1:8" ht="33">
      <c r="A2281" s="160">
        <v>5</v>
      </c>
      <c r="B2281" s="160" t="s">
        <v>2188</v>
      </c>
      <c r="C2281" s="157" t="s">
        <v>14</v>
      </c>
      <c r="D2281" s="159">
        <v>1</v>
      </c>
      <c r="E2281" s="159">
        <v>9.9600000000000009</v>
      </c>
      <c r="F2281" s="159">
        <v>9.9600000000000009</v>
      </c>
      <c r="G2281" s="160" t="s">
        <v>2189</v>
      </c>
      <c r="H2281" s="34" t="s">
        <v>925</v>
      </c>
    </row>
    <row r="2282" spans="1:8" ht="33">
      <c r="A2282" s="160">
        <v>6</v>
      </c>
      <c r="B2282" s="160" t="s">
        <v>1210</v>
      </c>
      <c r="C2282" s="157" t="s">
        <v>927</v>
      </c>
      <c r="D2282" s="159">
        <v>0.24</v>
      </c>
      <c r="E2282" s="159">
        <v>408.45</v>
      </c>
      <c r="F2282" s="159">
        <v>98.03</v>
      </c>
      <c r="G2282" s="160" t="s">
        <v>1211</v>
      </c>
      <c r="H2282" s="34" t="s">
        <v>925</v>
      </c>
    </row>
    <row r="2283" spans="1:8" ht="33">
      <c r="A2283" s="160">
        <v>7</v>
      </c>
      <c r="B2283" s="160" t="s">
        <v>2193</v>
      </c>
      <c r="C2283" s="157" t="s">
        <v>927</v>
      </c>
      <c r="D2283" s="159">
        <v>2.4</v>
      </c>
      <c r="E2283" s="159">
        <v>408.45</v>
      </c>
      <c r="F2283" s="159">
        <v>980.28</v>
      </c>
      <c r="G2283" s="160" t="s">
        <v>4015</v>
      </c>
      <c r="H2283" s="34" t="s">
        <v>925</v>
      </c>
    </row>
    <row r="2284" spans="1:8" ht="28.5">
      <c r="A2284" s="160">
        <v>8</v>
      </c>
      <c r="B2284" s="160" t="s">
        <v>1644</v>
      </c>
      <c r="C2284" s="157" t="s">
        <v>927</v>
      </c>
      <c r="D2284" s="159">
        <v>0.4</v>
      </c>
      <c r="E2284" s="159">
        <v>279.94</v>
      </c>
      <c r="F2284" s="159">
        <v>111.98</v>
      </c>
      <c r="G2284" s="160" t="s">
        <v>1645</v>
      </c>
    </row>
    <row r="2285" spans="1:8" ht="33">
      <c r="A2285" s="160">
        <v>9</v>
      </c>
      <c r="B2285" s="160" t="s">
        <v>955</v>
      </c>
      <c r="C2285" s="157" t="s">
        <v>14</v>
      </c>
      <c r="D2285" s="159">
        <v>1</v>
      </c>
      <c r="E2285" s="159">
        <v>53.04</v>
      </c>
      <c r="F2285" s="159">
        <v>53.04</v>
      </c>
      <c r="G2285" s="160" t="s">
        <v>956</v>
      </c>
      <c r="H2285" s="34" t="s">
        <v>925</v>
      </c>
    </row>
    <row r="2286" spans="1:8" ht="33">
      <c r="A2286" s="160"/>
      <c r="B2286" s="160" t="s">
        <v>933</v>
      </c>
      <c r="C2286" s="157" t="s">
        <v>3</v>
      </c>
      <c r="D2286" s="159">
        <v>1</v>
      </c>
      <c r="E2286" s="159"/>
      <c r="F2286" s="159">
        <v>1821.12</v>
      </c>
      <c r="G2286" s="160"/>
      <c r="H2286" s="34" t="s">
        <v>925</v>
      </c>
    </row>
    <row r="2287" spans="1:8" ht="33">
      <c r="A2287" s="160"/>
      <c r="B2287" s="160" t="s">
        <v>934</v>
      </c>
      <c r="C2287" s="157" t="s">
        <v>3</v>
      </c>
      <c r="D2287" s="159"/>
      <c r="E2287" s="159"/>
      <c r="F2287" s="159">
        <v>1821.12</v>
      </c>
      <c r="G2287" s="160"/>
      <c r="H2287" s="34" t="s">
        <v>925</v>
      </c>
    </row>
    <row r="2288" spans="1:8" ht="33">
      <c r="A2288" s="160"/>
      <c r="B2288" s="160"/>
      <c r="C2288" s="157"/>
      <c r="D2288" s="159"/>
      <c r="E2288" s="159"/>
      <c r="F2288" s="159"/>
      <c r="G2288" s="160"/>
      <c r="H2288" s="34" t="s">
        <v>925</v>
      </c>
    </row>
    <row r="2289" spans="1:8" ht="33">
      <c r="A2289" s="160" t="s">
        <v>2417</v>
      </c>
      <c r="B2289" s="160" t="s">
        <v>2195</v>
      </c>
      <c r="C2289" s="157" t="s">
        <v>3</v>
      </c>
      <c r="D2289" s="159">
        <v>1</v>
      </c>
      <c r="E2289" s="159">
        <v>1498.1</v>
      </c>
      <c r="F2289" s="159"/>
      <c r="G2289" s="160" t="s">
        <v>2196</v>
      </c>
      <c r="H2289" s="34" t="s">
        <v>925</v>
      </c>
    </row>
    <row r="2290" spans="1:8" ht="33">
      <c r="A2290" s="160">
        <v>1</v>
      </c>
      <c r="B2290" s="160" t="s">
        <v>2182</v>
      </c>
      <c r="C2290" s="157" t="s">
        <v>3</v>
      </c>
      <c r="D2290" s="159">
        <v>1</v>
      </c>
      <c r="E2290" s="159">
        <v>332.74</v>
      </c>
      <c r="F2290" s="159">
        <v>332.74</v>
      </c>
      <c r="G2290" s="160" t="s">
        <v>2183</v>
      </c>
      <c r="H2290" s="34" t="s">
        <v>925</v>
      </c>
    </row>
    <row r="2291" spans="1:8" ht="33">
      <c r="A2291" s="160">
        <v>2</v>
      </c>
      <c r="B2291" s="160" t="s">
        <v>1294</v>
      </c>
      <c r="C2291" s="157" t="s">
        <v>1295</v>
      </c>
      <c r="D2291" s="159">
        <v>0.12</v>
      </c>
      <c r="E2291" s="159">
        <v>166.37</v>
      </c>
      <c r="F2291" s="159">
        <v>19.96</v>
      </c>
      <c r="G2291" s="160" t="s">
        <v>1296</v>
      </c>
      <c r="H2291" s="34" t="s">
        <v>925</v>
      </c>
    </row>
    <row r="2292" spans="1:8" ht="33">
      <c r="A2292" s="160">
        <v>3</v>
      </c>
      <c r="B2292" s="160" t="s">
        <v>2184</v>
      </c>
      <c r="C2292" s="157" t="s">
        <v>18</v>
      </c>
      <c r="D2292" s="159">
        <v>12</v>
      </c>
      <c r="E2292" s="159">
        <v>14.94</v>
      </c>
      <c r="F2292" s="159">
        <v>179.28</v>
      </c>
      <c r="G2292" s="160" t="s">
        <v>2185</v>
      </c>
      <c r="H2292" s="34" t="s">
        <v>925</v>
      </c>
    </row>
    <row r="2293" spans="1:8" ht="28.5">
      <c r="A2293" s="160">
        <v>4</v>
      </c>
      <c r="B2293" s="160" t="s">
        <v>2186</v>
      </c>
      <c r="C2293" s="157" t="s">
        <v>18</v>
      </c>
      <c r="D2293" s="159">
        <v>3</v>
      </c>
      <c r="E2293" s="159">
        <v>11.95</v>
      </c>
      <c r="F2293" s="159">
        <v>35.85</v>
      </c>
      <c r="G2293" s="160" t="s">
        <v>2187</v>
      </c>
    </row>
    <row r="2294" spans="1:8" ht="33">
      <c r="A2294" s="160">
        <v>5</v>
      </c>
      <c r="B2294" s="160" t="s">
        <v>2197</v>
      </c>
      <c r="C2294" s="157" t="s">
        <v>14</v>
      </c>
      <c r="D2294" s="159">
        <v>1</v>
      </c>
      <c r="E2294" s="159">
        <v>4.9800000000000004</v>
      </c>
      <c r="F2294" s="159">
        <v>4.9800000000000004</v>
      </c>
      <c r="G2294" s="160" t="s">
        <v>2198</v>
      </c>
      <c r="H2294" s="34" t="s">
        <v>925</v>
      </c>
    </row>
    <row r="2295" spans="1:8" ht="33">
      <c r="A2295" s="160">
        <v>6</v>
      </c>
      <c r="B2295" s="160" t="s">
        <v>1644</v>
      </c>
      <c r="C2295" s="157" t="s">
        <v>927</v>
      </c>
      <c r="D2295" s="159">
        <v>1</v>
      </c>
      <c r="E2295" s="159">
        <v>279.94</v>
      </c>
      <c r="F2295" s="159">
        <v>279.94</v>
      </c>
      <c r="G2295" s="160" t="s">
        <v>1645</v>
      </c>
      <c r="H2295" s="34" t="s">
        <v>925</v>
      </c>
    </row>
    <row r="2296" spans="1:8" ht="33">
      <c r="A2296" s="160">
        <v>7</v>
      </c>
      <c r="B2296" s="160" t="s">
        <v>2199</v>
      </c>
      <c r="C2296" s="157" t="s">
        <v>927</v>
      </c>
      <c r="D2296" s="159">
        <v>1.4</v>
      </c>
      <c r="E2296" s="159">
        <v>408.45</v>
      </c>
      <c r="F2296" s="159">
        <v>571.83000000000004</v>
      </c>
      <c r="G2296" s="160" t="s">
        <v>2200</v>
      </c>
      <c r="H2296" s="34" t="s">
        <v>925</v>
      </c>
    </row>
    <row r="2297" spans="1:8" ht="33">
      <c r="A2297" s="160">
        <v>8</v>
      </c>
      <c r="B2297" s="160" t="s">
        <v>2201</v>
      </c>
      <c r="C2297" s="157" t="s">
        <v>3</v>
      </c>
      <c r="D2297" s="159">
        <v>1</v>
      </c>
      <c r="E2297" s="159">
        <v>29.89</v>
      </c>
      <c r="F2297" s="159">
        <v>29.89</v>
      </c>
      <c r="G2297" s="160" t="s">
        <v>2202</v>
      </c>
      <c r="H2297" s="34" t="s">
        <v>925</v>
      </c>
    </row>
    <row r="2298" spans="1:8" ht="33">
      <c r="A2298" s="160">
        <v>9</v>
      </c>
      <c r="B2298" s="160" t="s">
        <v>955</v>
      </c>
      <c r="C2298" s="157" t="s">
        <v>14</v>
      </c>
      <c r="D2298" s="159">
        <v>1</v>
      </c>
      <c r="E2298" s="159">
        <v>43.63</v>
      </c>
      <c r="F2298" s="159">
        <v>43.63</v>
      </c>
      <c r="G2298" s="160" t="s">
        <v>956</v>
      </c>
      <c r="H2298" s="34" t="s">
        <v>925</v>
      </c>
    </row>
    <row r="2299" spans="1:8" ht="33">
      <c r="A2299" s="160"/>
      <c r="B2299" s="160" t="s">
        <v>933</v>
      </c>
      <c r="C2299" s="157" t="s">
        <v>3</v>
      </c>
      <c r="D2299" s="159">
        <v>1</v>
      </c>
      <c r="E2299" s="159"/>
      <c r="F2299" s="159">
        <v>1498.1000000000001</v>
      </c>
      <c r="G2299" s="160"/>
      <c r="H2299" s="34" t="s">
        <v>925</v>
      </c>
    </row>
    <row r="2300" spans="1:8" ht="16.5">
      <c r="A2300" s="160"/>
      <c r="B2300" s="160" t="s">
        <v>934</v>
      </c>
      <c r="C2300" s="157" t="s">
        <v>3</v>
      </c>
      <c r="D2300" s="159"/>
      <c r="E2300" s="159"/>
      <c r="F2300" s="159">
        <v>1498.1</v>
      </c>
      <c r="G2300" s="160"/>
    </row>
    <row r="2301" spans="1:8" ht="33">
      <c r="A2301" s="160"/>
      <c r="B2301" s="160"/>
      <c r="C2301" s="157"/>
      <c r="D2301" s="159"/>
      <c r="E2301" s="159"/>
      <c r="F2301" s="159"/>
      <c r="G2301" s="160"/>
      <c r="H2301" s="34" t="s">
        <v>925</v>
      </c>
    </row>
    <row r="2302" spans="1:8" ht="33">
      <c r="A2302" s="160" t="s">
        <v>2421</v>
      </c>
      <c r="B2302" s="160" t="s">
        <v>2204</v>
      </c>
      <c r="C2302" s="157" t="s">
        <v>1818</v>
      </c>
      <c r="D2302" s="159">
        <v>1</v>
      </c>
      <c r="E2302" s="159">
        <v>2740.63</v>
      </c>
      <c r="F2302" s="159"/>
      <c r="G2302" s="160" t="s">
        <v>2205</v>
      </c>
      <c r="H2302" s="34" t="s">
        <v>925</v>
      </c>
    </row>
    <row r="2303" spans="1:8" ht="33">
      <c r="A2303" s="160">
        <v>1</v>
      </c>
      <c r="B2303" s="160" t="s">
        <v>1250</v>
      </c>
      <c r="C2303" s="157" t="s">
        <v>17</v>
      </c>
      <c r="D2303" s="159">
        <v>4.4000000000000004</v>
      </c>
      <c r="E2303" s="159">
        <v>76.930000000000007</v>
      </c>
      <c r="F2303" s="159">
        <v>338.49</v>
      </c>
      <c r="G2303" s="160" t="s">
        <v>4979</v>
      </c>
      <c r="H2303" s="34" t="s">
        <v>925</v>
      </c>
    </row>
    <row r="2304" spans="1:8" ht="33">
      <c r="A2304" s="160">
        <v>2</v>
      </c>
      <c r="B2304" s="160" t="s">
        <v>985</v>
      </c>
      <c r="C2304" s="157" t="s">
        <v>1</v>
      </c>
      <c r="D2304" s="159">
        <v>0.19</v>
      </c>
      <c r="E2304" s="159">
        <v>645.88</v>
      </c>
      <c r="F2304" s="159">
        <v>122.72</v>
      </c>
      <c r="G2304" s="160" t="s">
        <v>4980</v>
      </c>
      <c r="H2304" s="34" t="s">
        <v>925</v>
      </c>
    </row>
    <row r="2305" spans="1:8" ht="33">
      <c r="A2305" s="160">
        <v>3</v>
      </c>
      <c r="B2305" s="160" t="s">
        <v>26</v>
      </c>
      <c r="C2305" s="157" t="s">
        <v>1</v>
      </c>
      <c r="D2305" s="159">
        <v>0.19</v>
      </c>
      <c r="E2305" s="159">
        <v>713.77</v>
      </c>
      <c r="F2305" s="159">
        <v>135.62</v>
      </c>
      <c r="G2305" s="160" t="s">
        <v>4981</v>
      </c>
      <c r="H2305" s="34" t="s">
        <v>925</v>
      </c>
    </row>
    <row r="2306" spans="1:8" ht="28.5">
      <c r="A2306" s="160">
        <v>4</v>
      </c>
      <c r="B2306" s="160" t="s">
        <v>1317</v>
      </c>
      <c r="C2306" s="157" t="s">
        <v>0</v>
      </c>
      <c r="D2306" s="159">
        <v>0.19</v>
      </c>
      <c r="E2306" s="159">
        <v>3964.95</v>
      </c>
      <c r="F2306" s="159">
        <v>753.34</v>
      </c>
      <c r="G2306" s="160" t="s">
        <v>1318</v>
      </c>
    </row>
    <row r="2307" spans="1:8" ht="33">
      <c r="A2307" s="160">
        <v>5</v>
      </c>
      <c r="B2307" s="160" t="s">
        <v>2207</v>
      </c>
      <c r="C2307" s="157" t="s">
        <v>1689</v>
      </c>
      <c r="D2307" s="159">
        <v>1</v>
      </c>
      <c r="E2307" s="159">
        <v>448.3</v>
      </c>
      <c r="F2307" s="159">
        <v>448.3</v>
      </c>
      <c r="G2307" s="160" t="s">
        <v>2208</v>
      </c>
      <c r="H2307" s="34" t="s">
        <v>925</v>
      </c>
    </row>
    <row r="2308" spans="1:8" ht="33">
      <c r="A2308" s="160">
        <v>6</v>
      </c>
      <c r="B2308" s="160" t="s">
        <v>2209</v>
      </c>
      <c r="C2308" s="157" t="s">
        <v>14</v>
      </c>
      <c r="D2308" s="159">
        <v>1</v>
      </c>
      <c r="E2308" s="159">
        <v>99.62</v>
      </c>
      <c r="F2308" s="159">
        <v>99.62</v>
      </c>
      <c r="G2308" s="160" t="s">
        <v>2210</v>
      </c>
      <c r="H2308" s="34" t="s">
        <v>925</v>
      </c>
    </row>
    <row r="2309" spans="1:8" ht="57">
      <c r="A2309" s="160">
        <v>7</v>
      </c>
      <c r="B2309" s="160" t="s">
        <v>513</v>
      </c>
      <c r="C2309" s="157" t="s">
        <v>18</v>
      </c>
      <c r="D2309" s="159">
        <v>23.82</v>
      </c>
      <c r="E2309" s="159">
        <v>32.020000000000003</v>
      </c>
      <c r="F2309" s="159">
        <v>762.72</v>
      </c>
      <c r="G2309" s="160" t="s">
        <v>4952</v>
      </c>
      <c r="H2309" s="34" t="s">
        <v>925</v>
      </c>
    </row>
    <row r="2310" spans="1:8" ht="33">
      <c r="A2310" s="160">
        <v>8</v>
      </c>
      <c r="B2310" s="160" t="s">
        <v>931</v>
      </c>
      <c r="C2310" s="157" t="s">
        <v>14</v>
      </c>
      <c r="D2310" s="159">
        <v>1</v>
      </c>
      <c r="E2310" s="159">
        <v>79.819999999999993</v>
      </c>
      <c r="F2310" s="159">
        <v>79.819999999999993</v>
      </c>
      <c r="G2310" s="160" t="s">
        <v>932</v>
      </c>
      <c r="H2310" s="34" t="s">
        <v>925</v>
      </c>
    </row>
    <row r="2311" spans="1:8" ht="33">
      <c r="A2311" s="160"/>
      <c r="B2311" s="160" t="s">
        <v>933</v>
      </c>
      <c r="C2311" s="157" t="s">
        <v>1818</v>
      </c>
      <c r="D2311" s="159">
        <v>1</v>
      </c>
      <c r="E2311" s="159"/>
      <c r="F2311" s="159">
        <v>2740.6300000000006</v>
      </c>
      <c r="G2311" s="160"/>
      <c r="H2311" s="34" t="s">
        <v>925</v>
      </c>
    </row>
    <row r="2312" spans="1:8" ht="33">
      <c r="A2312" s="160"/>
      <c r="B2312" s="160" t="s">
        <v>934</v>
      </c>
      <c r="C2312" s="157" t="s">
        <v>1818</v>
      </c>
      <c r="D2312" s="159"/>
      <c r="E2312" s="159"/>
      <c r="F2312" s="159">
        <v>2740.63</v>
      </c>
      <c r="G2312" s="160"/>
      <c r="H2312" s="34" t="s">
        <v>925</v>
      </c>
    </row>
    <row r="2313" spans="1:8" ht="33">
      <c r="A2313" s="160"/>
      <c r="B2313" s="160"/>
      <c r="C2313" s="157"/>
      <c r="D2313" s="159"/>
      <c r="E2313" s="159"/>
      <c r="F2313" s="159"/>
      <c r="G2313" s="160"/>
      <c r="H2313" s="34" t="s">
        <v>925</v>
      </c>
    </row>
    <row r="2314" spans="1:8" ht="33">
      <c r="A2314" s="160" t="s">
        <v>2426</v>
      </c>
      <c r="B2314" s="160" t="s">
        <v>2212</v>
      </c>
      <c r="C2314" s="157" t="s">
        <v>1818</v>
      </c>
      <c r="D2314" s="159">
        <v>1</v>
      </c>
      <c r="E2314" s="159">
        <v>2930.96</v>
      </c>
      <c r="F2314" s="159"/>
      <c r="G2314" s="160" t="s">
        <v>2213</v>
      </c>
      <c r="H2314" s="34" t="s">
        <v>925</v>
      </c>
    </row>
    <row r="2315" spans="1:8" ht="28.5">
      <c r="A2315" s="160">
        <v>1</v>
      </c>
      <c r="B2315" s="160" t="s">
        <v>1250</v>
      </c>
      <c r="C2315" s="157" t="s">
        <v>17</v>
      </c>
      <c r="D2315" s="159">
        <v>4.4000000000000004</v>
      </c>
      <c r="E2315" s="159">
        <v>76.930000000000007</v>
      </c>
      <c r="F2315" s="159">
        <v>338.49</v>
      </c>
      <c r="G2315" s="160" t="s">
        <v>4979</v>
      </c>
    </row>
    <row r="2316" spans="1:8" ht="33">
      <c r="A2316" s="160">
        <v>2</v>
      </c>
      <c r="B2316" s="160" t="s">
        <v>2214</v>
      </c>
      <c r="C2316" s="157" t="s">
        <v>1</v>
      </c>
      <c r="D2316" s="159">
        <v>0.19</v>
      </c>
      <c r="E2316" s="159">
        <v>1487.79</v>
      </c>
      <c r="F2316" s="159">
        <v>282.68</v>
      </c>
      <c r="G2316" s="160" t="s">
        <v>4982</v>
      </c>
      <c r="H2316" s="34" t="s">
        <v>925</v>
      </c>
    </row>
    <row r="2317" spans="1:8" ht="33">
      <c r="A2317" s="160">
        <v>3</v>
      </c>
      <c r="B2317" s="160" t="s">
        <v>2216</v>
      </c>
      <c r="C2317" s="157" t="s">
        <v>1</v>
      </c>
      <c r="D2317" s="159">
        <v>0.19</v>
      </c>
      <c r="E2317" s="159">
        <v>844.41</v>
      </c>
      <c r="F2317" s="159">
        <v>160.44</v>
      </c>
      <c r="G2317" s="160" t="s">
        <v>2217</v>
      </c>
      <c r="H2317" s="34" t="s">
        <v>925</v>
      </c>
    </row>
    <row r="2318" spans="1:8" ht="33">
      <c r="A2318" s="160">
        <v>4</v>
      </c>
      <c r="B2318" s="160" t="s">
        <v>1317</v>
      </c>
      <c r="C2318" s="157" t="s">
        <v>0</v>
      </c>
      <c r="D2318" s="159">
        <v>0.19</v>
      </c>
      <c r="E2318" s="159">
        <v>3964.95</v>
      </c>
      <c r="F2318" s="159">
        <v>753.34</v>
      </c>
      <c r="G2318" s="160" t="s">
        <v>1318</v>
      </c>
      <c r="H2318" s="34" t="s">
        <v>925</v>
      </c>
    </row>
    <row r="2319" spans="1:8" ht="33">
      <c r="A2319" s="160">
        <v>5</v>
      </c>
      <c r="B2319" s="160" t="s">
        <v>2207</v>
      </c>
      <c r="C2319" s="157" t="s">
        <v>1689</v>
      </c>
      <c r="D2319" s="159">
        <v>1</v>
      </c>
      <c r="E2319" s="159">
        <v>448.3</v>
      </c>
      <c r="F2319" s="159">
        <v>448.3</v>
      </c>
      <c r="G2319" s="160" t="s">
        <v>2208</v>
      </c>
      <c r="H2319" s="34" t="s">
        <v>925</v>
      </c>
    </row>
    <row r="2320" spans="1:8" ht="33">
      <c r="A2320" s="160">
        <v>6</v>
      </c>
      <c r="B2320" s="160" t="s">
        <v>2209</v>
      </c>
      <c r="C2320" s="157" t="s">
        <v>14</v>
      </c>
      <c r="D2320" s="159">
        <v>1</v>
      </c>
      <c r="E2320" s="159">
        <v>99.62</v>
      </c>
      <c r="F2320" s="159">
        <v>99.62</v>
      </c>
      <c r="G2320" s="160" t="s">
        <v>2210</v>
      </c>
      <c r="H2320" s="34" t="s">
        <v>925</v>
      </c>
    </row>
    <row r="2321" spans="1:8" ht="57">
      <c r="A2321" s="160">
        <v>7</v>
      </c>
      <c r="B2321" s="160" t="s">
        <v>513</v>
      </c>
      <c r="C2321" s="157" t="s">
        <v>18</v>
      </c>
      <c r="D2321" s="159">
        <v>23.82</v>
      </c>
      <c r="E2321" s="159">
        <v>32.020000000000003</v>
      </c>
      <c r="F2321" s="159">
        <v>762.72</v>
      </c>
      <c r="G2321" s="160" t="s">
        <v>4952</v>
      </c>
      <c r="H2321" s="34" t="s">
        <v>925</v>
      </c>
    </row>
    <row r="2322" spans="1:8" ht="33">
      <c r="A2322" s="160">
        <v>8</v>
      </c>
      <c r="B2322" s="160" t="s">
        <v>931</v>
      </c>
      <c r="C2322" s="157" t="s">
        <v>14</v>
      </c>
      <c r="D2322" s="159">
        <v>1</v>
      </c>
      <c r="E2322" s="159">
        <v>85.37</v>
      </c>
      <c r="F2322" s="159">
        <v>85.37</v>
      </c>
      <c r="G2322" s="160" t="s">
        <v>932</v>
      </c>
      <c r="H2322" s="34" t="s">
        <v>925</v>
      </c>
    </row>
    <row r="2323" spans="1:8" ht="33">
      <c r="A2323" s="160"/>
      <c r="B2323" s="160" t="s">
        <v>933</v>
      </c>
      <c r="C2323" s="157" t="s">
        <v>1818</v>
      </c>
      <c r="D2323" s="159">
        <v>1</v>
      </c>
      <c r="E2323" s="159"/>
      <c r="F2323" s="159">
        <v>2930.96</v>
      </c>
      <c r="G2323" s="160"/>
      <c r="H2323" s="34" t="s">
        <v>925</v>
      </c>
    </row>
    <row r="2324" spans="1:8" ht="33">
      <c r="A2324" s="160"/>
      <c r="B2324" s="160" t="s">
        <v>934</v>
      </c>
      <c r="C2324" s="157" t="s">
        <v>1818</v>
      </c>
      <c r="D2324" s="159"/>
      <c r="E2324" s="159"/>
      <c r="F2324" s="159">
        <v>2930.96</v>
      </c>
      <c r="G2324" s="160"/>
      <c r="H2324" s="34" t="s">
        <v>925</v>
      </c>
    </row>
    <row r="2325" spans="1:8" ht="33">
      <c r="A2325" s="160"/>
      <c r="B2325" s="160"/>
      <c r="C2325" s="157"/>
      <c r="D2325" s="159"/>
      <c r="E2325" s="159"/>
      <c r="F2325" s="159"/>
      <c r="G2325" s="160"/>
      <c r="H2325" s="34" t="s">
        <v>925</v>
      </c>
    </row>
    <row r="2326" spans="1:8" ht="28.5">
      <c r="A2326" s="160" t="s">
        <v>2432</v>
      </c>
      <c r="B2326" s="160" t="s">
        <v>2219</v>
      </c>
      <c r="C2326" s="157" t="s">
        <v>1818</v>
      </c>
      <c r="D2326" s="159">
        <v>1</v>
      </c>
      <c r="E2326" s="159">
        <v>15053.89</v>
      </c>
      <c r="F2326" s="159"/>
      <c r="G2326" s="160" t="s">
        <v>2220</v>
      </c>
    </row>
    <row r="2327" spans="1:8" ht="33">
      <c r="A2327" s="160">
        <v>1</v>
      </c>
      <c r="B2327" s="160" t="s">
        <v>1250</v>
      </c>
      <c r="C2327" s="157" t="s">
        <v>17</v>
      </c>
      <c r="D2327" s="159">
        <v>4.4000000000000004</v>
      </c>
      <c r="E2327" s="159">
        <v>76.930000000000007</v>
      </c>
      <c r="F2327" s="159">
        <v>338.49</v>
      </c>
      <c r="G2327" s="160" t="s">
        <v>4979</v>
      </c>
      <c r="H2327" s="34" t="s">
        <v>925</v>
      </c>
    </row>
    <row r="2328" spans="1:8" ht="33">
      <c r="A2328" s="160">
        <v>2</v>
      </c>
      <c r="B2328" s="160" t="s">
        <v>985</v>
      </c>
      <c r="C2328" s="157" t="s">
        <v>1</v>
      </c>
      <c r="D2328" s="159">
        <v>0.19</v>
      </c>
      <c r="E2328" s="159">
        <v>645.88</v>
      </c>
      <c r="F2328" s="159">
        <v>122.72</v>
      </c>
      <c r="G2328" s="160" t="s">
        <v>4980</v>
      </c>
      <c r="H2328" s="34" t="s">
        <v>925</v>
      </c>
    </row>
    <row r="2329" spans="1:8" ht="33">
      <c r="A2329" s="160">
        <v>3</v>
      </c>
      <c r="B2329" s="160" t="s">
        <v>26</v>
      </c>
      <c r="C2329" s="157" t="s">
        <v>1</v>
      </c>
      <c r="D2329" s="159">
        <v>0.19</v>
      </c>
      <c r="E2329" s="159">
        <v>713.77</v>
      </c>
      <c r="F2329" s="159">
        <v>135.62</v>
      </c>
      <c r="G2329" s="160" t="s">
        <v>4981</v>
      </c>
      <c r="H2329" s="34" t="s">
        <v>925</v>
      </c>
    </row>
    <row r="2330" spans="1:8" ht="33">
      <c r="A2330" s="160">
        <v>4</v>
      </c>
      <c r="B2330" s="160" t="s">
        <v>1317</v>
      </c>
      <c r="C2330" s="157" t="s">
        <v>0</v>
      </c>
      <c r="D2330" s="159">
        <v>0.19</v>
      </c>
      <c r="E2330" s="159">
        <v>3964.95</v>
      </c>
      <c r="F2330" s="159">
        <v>753.34</v>
      </c>
      <c r="G2330" s="160" t="s">
        <v>1318</v>
      </c>
      <c r="H2330" s="34" t="s">
        <v>925</v>
      </c>
    </row>
    <row r="2331" spans="1:8" ht="33">
      <c r="A2331" s="160">
        <v>5</v>
      </c>
      <c r="B2331" s="160" t="s">
        <v>2207</v>
      </c>
      <c r="C2331" s="157" t="s">
        <v>1689</v>
      </c>
      <c r="D2331" s="159">
        <v>1</v>
      </c>
      <c r="E2331" s="159">
        <v>448.3</v>
      </c>
      <c r="F2331" s="159">
        <v>448.3</v>
      </c>
      <c r="G2331" s="160" t="s">
        <v>2208</v>
      </c>
      <c r="H2331" s="34" t="s">
        <v>925</v>
      </c>
    </row>
    <row r="2332" spans="1:8" ht="57">
      <c r="A2332" s="160">
        <v>6</v>
      </c>
      <c r="B2332" s="160" t="s">
        <v>513</v>
      </c>
      <c r="C2332" s="157" t="s">
        <v>18</v>
      </c>
      <c r="D2332" s="159">
        <v>23.82</v>
      </c>
      <c r="E2332" s="159">
        <v>32.020000000000003</v>
      </c>
      <c r="F2332" s="159">
        <v>762.72</v>
      </c>
      <c r="G2332" s="160" t="s">
        <v>4952</v>
      </c>
      <c r="H2332" s="34" t="s">
        <v>925</v>
      </c>
    </row>
    <row r="2333" spans="1:8" ht="33">
      <c r="A2333" s="160">
        <v>7</v>
      </c>
      <c r="B2333" s="160" t="s">
        <v>2221</v>
      </c>
      <c r="C2333" s="157" t="s">
        <v>14</v>
      </c>
      <c r="D2333" s="159">
        <v>1</v>
      </c>
      <c r="E2333" s="159">
        <v>99.62</v>
      </c>
      <c r="F2333" s="159">
        <v>99.62</v>
      </c>
      <c r="G2333" s="160" t="s">
        <v>2222</v>
      </c>
      <c r="H2333" s="34" t="s">
        <v>925</v>
      </c>
    </row>
    <row r="2334" spans="1:8" ht="33">
      <c r="A2334" s="160">
        <v>8</v>
      </c>
      <c r="B2334" s="160" t="s">
        <v>2223</v>
      </c>
      <c r="C2334" s="157" t="s">
        <v>1689</v>
      </c>
      <c r="D2334" s="159">
        <v>1</v>
      </c>
      <c r="E2334" s="159">
        <v>11954.62</v>
      </c>
      <c r="F2334" s="159">
        <v>11954.62</v>
      </c>
      <c r="G2334" s="160" t="s">
        <v>2224</v>
      </c>
      <c r="H2334" s="34" t="s">
        <v>925</v>
      </c>
    </row>
    <row r="2335" spans="1:8" ht="33">
      <c r="A2335" s="160">
        <v>9</v>
      </c>
      <c r="B2335" s="160" t="s">
        <v>931</v>
      </c>
      <c r="C2335" s="157" t="s">
        <v>14</v>
      </c>
      <c r="D2335" s="159">
        <v>1</v>
      </c>
      <c r="E2335" s="159">
        <v>438.46</v>
      </c>
      <c r="F2335" s="159">
        <v>438.46</v>
      </c>
      <c r="G2335" s="160" t="s">
        <v>932</v>
      </c>
      <c r="H2335" s="34" t="s">
        <v>925</v>
      </c>
    </row>
    <row r="2336" spans="1:8" ht="16.5">
      <c r="A2336" s="160"/>
      <c r="B2336" s="160" t="s">
        <v>933</v>
      </c>
      <c r="C2336" s="157" t="s">
        <v>1818</v>
      </c>
      <c r="D2336" s="159">
        <v>1</v>
      </c>
      <c r="E2336" s="159"/>
      <c r="F2336" s="159">
        <v>15053.89</v>
      </c>
      <c r="G2336" s="160"/>
    </row>
    <row r="2337" spans="1:8" ht="33">
      <c r="A2337" s="160"/>
      <c r="B2337" s="160" t="s">
        <v>934</v>
      </c>
      <c r="C2337" s="157" t="s">
        <v>1818</v>
      </c>
      <c r="D2337" s="159"/>
      <c r="E2337" s="159"/>
      <c r="F2337" s="159">
        <v>15053.89</v>
      </c>
      <c r="G2337" s="160"/>
      <c r="H2337" s="34" t="s">
        <v>925</v>
      </c>
    </row>
    <row r="2338" spans="1:8" ht="33">
      <c r="A2338" s="160"/>
      <c r="B2338" s="160"/>
      <c r="C2338" s="157"/>
      <c r="D2338" s="159"/>
      <c r="E2338" s="159"/>
      <c r="F2338" s="159"/>
      <c r="G2338" s="160"/>
      <c r="H2338" s="34" t="s">
        <v>925</v>
      </c>
    </row>
    <row r="2339" spans="1:8" ht="33">
      <c r="A2339" s="160" t="s">
        <v>2437</v>
      </c>
      <c r="B2339" s="160" t="s">
        <v>2226</v>
      </c>
      <c r="C2339" s="157" t="s">
        <v>1818</v>
      </c>
      <c r="D2339" s="159">
        <v>1</v>
      </c>
      <c r="E2339" s="159">
        <v>15244.22</v>
      </c>
      <c r="F2339" s="159"/>
      <c r="G2339" s="160" t="s">
        <v>2227</v>
      </c>
      <c r="H2339" s="34" t="s">
        <v>925</v>
      </c>
    </row>
    <row r="2340" spans="1:8" ht="33">
      <c r="A2340" s="160">
        <v>1</v>
      </c>
      <c r="B2340" s="160" t="s">
        <v>1250</v>
      </c>
      <c r="C2340" s="157" t="s">
        <v>17</v>
      </c>
      <c r="D2340" s="159">
        <v>4.4000000000000004</v>
      </c>
      <c r="E2340" s="159">
        <v>76.930000000000007</v>
      </c>
      <c r="F2340" s="159">
        <v>338.49</v>
      </c>
      <c r="G2340" s="160" t="s">
        <v>4979</v>
      </c>
      <c r="H2340" s="34" t="s">
        <v>925</v>
      </c>
    </row>
    <row r="2341" spans="1:8" ht="33">
      <c r="A2341" s="160">
        <v>2</v>
      </c>
      <c r="B2341" s="160" t="s">
        <v>2214</v>
      </c>
      <c r="C2341" s="157" t="s">
        <v>1</v>
      </c>
      <c r="D2341" s="159">
        <v>0.19</v>
      </c>
      <c r="E2341" s="159">
        <v>1487.79</v>
      </c>
      <c r="F2341" s="159">
        <v>282.68</v>
      </c>
      <c r="G2341" s="160" t="s">
        <v>4982</v>
      </c>
      <c r="H2341" s="34" t="s">
        <v>925</v>
      </c>
    </row>
    <row r="2342" spans="1:8" ht="33">
      <c r="A2342" s="160">
        <v>3</v>
      </c>
      <c r="B2342" s="160" t="s">
        <v>2216</v>
      </c>
      <c r="C2342" s="157" t="s">
        <v>1</v>
      </c>
      <c r="D2342" s="159">
        <v>0.19</v>
      </c>
      <c r="E2342" s="159">
        <v>844.41</v>
      </c>
      <c r="F2342" s="159">
        <v>160.44</v>
      </c>
      <c r="G2342" s="160" t="s">
        <v>2217</v>
      </c>
      <c r="H2342" s="34" t="s">
        <v>925</v>
      </c>
    </row>
    <row r="2343" spans="1:8" ht="33">
      <c r="A2343" s="160">
        <v>4</v>
      </c>
      <c r="B2343" s="160" t="s">
        <v>1317</v>
      </c>
      <c r="C2343" s="157" t="s">
        <v>0</v>
      </c>
      <c r="D2343" s="159">
        <v>0.19</v>
      </c>
      <c r="E2343" s="159">
        <v>3964.95</v>
      </c>
      <c r="F2343" s="159">
        <v>753.34</v>
      </c>
      <c r="G2343" s="160" t="s">
        <v>1318</v>
      </c>
      <c r="H2343" s="34" t="s">
        <v>925</v>
      </c>
    </row>
    <row r="2344" spans="1:8" ht="33">
      <c r="A2344" s="160">
        <v>5</v>
      </c>
      <c r="B2344" s="160" t="s">
        <v>2207</v>
      </c>
      <c r="C2344" s="157" t="s">
        <v>1689</v>
      </c>
      <c r="D2344" s="159">
        <v>1</v>
      </c>
      <c r="E2344" s="159">
        <v>448.3</v>
      </c>
      <c r="F2344" s="159">
        <v>448.3</v>
      </c>
      <c r="G2344" s="160" t="s">
        <v>2208</v>
      </c>
      <c r="H2344" s="34" t="s">
        <v>925</v>
      </c>
    </row>
    <row r="2345" spans="1:8" ht="57">
      <c r="A2345" s="160">
        <v>6</v>
      </c>
      <c r="B2345" s="160" t="s">
        <v>513</v>
      </c>
      <c r="C2345" s="157" t="s">
        <v>18</v>
      </c>
      <c r="D2345" s="159">
        <v>23.82</v>
      </c>
      <c r="E2345" s="159">
        <v>32.020000000000003</v>
      </c>
      <c r="F2345" s="159">
        <v>762.72</v>
      </c>
      <c r="G2345" s="160" t="s">
        <v>4952</v>
      </c>
      <c r="H2345" s="34" t="s">
        <v>925</v>
      </c>
    </row>
    <row r="2346" spans="1:8" ht="28.5">
      <c r="A2346" s="160">
        <v>7</v>
      </c>
      <c r="B2346" s="160" t="s">
        <v>2221</v>
      </c>
      <c r="C2346" s="157" t="s">
        <v>14</v>
      </c>
      <c r="D2346" s="159">
        <v>1</v>
      </c>
      <c r="E2346" s="159">
        <v>99.62</v>
      </c>
      <c r="F2346" s="159">
        <v>99.62</v>
      </c>
      <c r="G2346" s="160" t="s">
        <v>2222</v>
      </c>
    </row>
    <row r="2347" spans="1:8" ht="33">
      <c r="A2347" s="160">
        <v>8</v>
      </c>
      <c r="B2347" s="160" t="s">
        <v>2223</v>
      </c>
      <c r="C2347" s="157" t="s">
        <v>1689</v>
      </c>
      <c r="D2347" s="159">
        <v>1</v>
      </c>
      <c r="E2347" s="159">
        <v>11954.62</v>
      </c>
      <c r="F2347" s="159">
        <v>11954.62</v>
      </c>
      <c r="G2347" s="160" t="s">
        <v>2224</v>
      </c>
      <c r="H2347" s="34" t="s">
        <v>925</v>
      </c>
    </row>
    <row r="2348" spans="1:8" ht="33">
      <c r="A2348" s="160">
        <v>9</v>
      </c>
      <c r="B2348" s="160" t="s">
        <v>931</v>
      </c>
      <c r="C2348" s="157" t="s">
        <v>14</v>
      </c>
      <c r="D2348" s="159">
        <v>1</v>
      </c>
      <c r="E2348" s="159">
        <v>444.01</v>
      </c>
      <c r="F2348" s="159">
        <v>444.01</v>
      </c>
      <c r="G2348" s="160" t="s">
        <v>932</v>
      </c>
      <c r="H2348" s="34" t="s">
        <v>925</v>
      </c>
    </row>
    <row r="2349" spans="1:8" ht="33">
      <c r="A2349" s="160"/>
      <c r="B2349" s="160" t="s">
        <v>933</v>
      </c>
      <c r="C2349" s="157" t="s">
        <v>1818</v>
      </c>
      <c r="D2349" s="159">
        <v>1</v>
      </c>
      <c r="E2349" s="159"/>
      <c r="F2349" s="159">
        <v>15244.220000000001</v>
      </c>
      <c r="G2349" s="160"/>
      <c r="H2349" s="34" t="s">
        <v>925</v>
      </c>
    </row>
    <row r="2350" spans="1:8" ht="33">
      <c r="A2350" s="160"/>
      <c r="B2350" s="160" t="s">
        <v>934</v>
      </c>
      <c r="C2350" s="157" t="s">
        <v>1818</v>
      </c>
      <c r="D2350" s="159"/>
      <c r="E2350" s="159"/>
      <c r="F2350" s="159">
        <v>15244.22</v>
      </c>
      <c r="G2350" s="160"/>
      <c r="H2350" s="34" t="s">
        <v>925</v>
      </c>
    </row>
    <row r="2351" spans="1:8" ht="33">
      <c r="A2351" s="160"/>
      <c r="B2351" s="160"/>
      <c r="C2351" s="157"/>
      <c r="D2351" s="159"/>
      <c r="E2351" s="159"/>
      <c r="F2351" s="159"/>
      <c r="G2351" s="160"/>
      <c r="H2351" s="34" t="s">
        <v>925</v>
      </c>
    </row>
    <row r="2352" spans="1:8" ht="42.75">
      <c r="A2352" s="160" t="s">
        <v>2442</v>
      </c>
      <c r="B2352" s="160" t="s">
        <v>2229</v>
      </c>
      <c r="C2352" s="157" t="s">
        <v>1818</v>
      </c>
      <c r="D2352" s="159">
        <v>1</v>
      </c>
      <c r="E2352" s="159">
        <v>16033.47</v>
      </c>
      <c r="F2352" s="159"/>
      <c r="G2352" s="160" t="s">
        <v>2230</v>
      </c>
      <c r="H2352" s="34" t="s">
        <v>925</v>
      </c>
    </row>
    <row r="2353" spans="1:8" ht="33">
      <c r="A2353" s="160">
        <v>1</v>
      </c>
      <c r="B2353" s="160" t="s">
        <v>1250</v>
      </c>
      <c r="C2353" s="157" t="s">
        <v>17</v>
      </c>
      <c r="D2353" s="159">
        <v>4.4000000000000004</v>
      </c>
      <c r="E2353" s="159">
        <v>76.930000000000007</v>
      </c>
      <c r="F2353" s="159">
        <v>338.49</v>
      </c>
      <c r="G2353" s="160" t="s">
        <v>4979</v>
      </c>
      <c r="H2353" s="34" t="s">
        <v>925</v>
      </c>
    </row>
    <row r="2354" spans="1:8" ht="28.5">
      <c r="A2354" s="160">
        <v>2</v>
      </c>
      <c r="B2354" s="160" t="s">
        <v>453</v>
      </c>
      <c r="C2354" s="157" t="s">
        <v>0</v>
      </c>
      <c r="D2354" s="159">
        <v>0.19</v>
      </c>
      <c r="E2354" s="159">
        <v>5651.42</v>
      </c>
      <c r="F2354" s="159">
        <v>1073.77</v>
      </c>
      <c r="G2354" s="160" t="s">
        <v>4983</v>
      </c>
    </row>
    <row r="2355" spans="1:8" ht="33">
      <c r="A2355" s="160">
        <v>3</v>
      </c>
      <c r="B2355" s="160" t="s">
        <v>26</v>
      </c>
      <c r="C2355" s="157" t="s">
        <v>1</v>
      </c>
      <c r="D2355" s="159">
        <v>0.19</v>
      </c>
      <c r="E2355" s="159">
        <v>713.77</v>
      </c>
      <c r="F2355" s="159">
        <v>135.62</v>
      </c>
      <c r="G2355" s="160" t="s">
        <v>4981</v>
      </c>
      <c r="H2355" s="34" t="s">
        <v>925</v>
      </c>
    </row>
    <row r="2356" spans="1:8" ht="33">
      <c r="A2356" s="160">
        <v>4</v>
      </c>
      <c r="B2356" s="160" t="s">
        <v>1317</v>
      </c>
      <c r="C2356" s="157" t="s">
        <v>0</v>
      </c>
      <c r="D2356" s="159">
        <v>0.19</v>
      </c>
      <c r="E2356" s="159">
        <v>3964.95</v>
      </c>
      <c r="F2356" s="159">
        <v>753.34</v>
      </c>
      <c r="G2356" s="160" t="s">
        <v>1318</v>
      </c>
      <c r="H2356" s="34" t="s">
        <v>925</v>
      </c>
    </row>
    <row r="2357" spans="1:8" ht="33">
      <c r="A2357" s="160">
        <v>5</v>
      </c>
      <c r="B2357" s="160" t="s">
        <v>2207</v>
      </c>
      <c r="C2357" s="157" t="s">
        <v>1689</v>
      </c>
      <c r="D2357" s="159">
        <v>1</v>
      </c>
      <c r="E2357" s="159">
        <v>448.3</v>
      </c>
      <c r="F2357" s="159">
        <v>448.3</v>
      </c>
      <c r="G2357" s="160" t="s">
        <v>2208</v>
      </c>
      <c r="H2357" s="34" t="s">
        <v>925</v>
      </c>
    </row>
    <row r="2358" spans="1:8" ht="57">
      <c r="A2358" s="160">
        <v>6</v>
      </c>
      <c r="B2358" s="160" t="s">
        <v>513</v>
      </c>
      <c r="C2358" s="157" t="s">
        <v>18</v>
      </c>
      <c r="D2358" s="159">
        <v>23.82</v>
      </c>
      <c r="E2358" s="159">
        <v>32.020000000000003</v>
      </c>
      <c r="F2358" s="159">
        <v>762.72</v>
      </c>
      <c r="G2358" s="160" t="s">
        <v>4952</v>
      </c>
      <c r="H2358" s="34" t="s">
        <v>925</v>
      </c>
    </row>
    <row r="2359" spans="1:8" ht="33">
      <c r="A2359" s="160">
        <v>7</v>
      </c>
      <c r="B2359" s="160" t="s">
        <v>2221</v>
      </c>
      <c r="C2359" s="157" t="s">
        <v>14</v>
      </c>
      <c r="D2359" s="159">
        <v>1</v>
      </c>
      <c r="E2359" s="159">
        <v>99.62</v>
      </c>
      <c r="F2359" s="159">
        <v>99.62</v>
      </c>
      <c r="G2359" s="160" t="s">
        <v>2222</v>
      </c>
      <c r="H2359" s="34" t="s">
        <v>925</v>
      </c>
    </row>
    <row r="2360" spans="1:8" ht="33">
      <c r="A2360" s="160">
        <v>8</v>
      </c>
      <c r="B2360" s="160" t="s">
        <v>2223</v>
      </c>
      <c r="C2360" s="157" t="s">
        <v>1689</v>
      </c>
      <c r="D2360" s="159">
        <v>1</v>
      </c>
      <c r="E2360" s="159">
        <v>11954.62</v>
      </c>
      <c r="F2360" s="159">
        <v>11954.62</v>
      </c>
      <c r="G2360" s="160" t="s">
        <v>2224</v>
      </c>
      <c r="H2360" s="34" t="s">
        <v>925</v>
      </c>
    </row>
    <row r="2361" spans="1:8" ht="33">
      <c r="A2361" s="160">
        <v>9</v>
      </c>
      <c r="B2361" s="160" t="s">
        <v>931</v>
      </c>
      <c r="C2361" s="157" t="s">
        <v>14</v>
      </c>
      <c r="D2361" s="159">
        <v>1</v>
      </c>
      <c r="E2361" s="159">
        <v>466.99</v>
      </c>
      <c r="F2361" s="159">
        <v>466.99</v>
      </c>
      <c r="G2361" s="160" t="s">
        <v>932</v>
      </c>
      <c r="H2361" s="34" t="s">
        <v>925</v>
      </c>
    </row>
    <row r="2362" spans="1:8" ht="16.5">
      <c r="A2362" s="160"/>
      <c r="B2362" s="160" t="s">
        <v>933</v>
      </c>
      <c r="C2362" s="157" t="s">
        <v>1818</v>
      </c>
      <c r="D2362" s="159">
        <v>1</v>
      </c>
      <c r="E2362" s="159"/>
      <c r="F2362" s="159">
        <v>16033.470000000001</v>
      </c>
      <c r="G2362" s="160"/>
    </row>
    <row r="2363" spans="1:8" ht="33">
      <c r="A2363" s="160"/>
      <c r="B2363" s="160" t="s">
        <v>934</v>
      </c>
      <c r="C2363" s="157" t="s">
        <v>1818</v>
      </c>
      <c r="D2363" s="159"/>
      <c r="E2363" s="159"/>
      <c r="F2363" s="159">
        <v>16033.47</v>
      </c>
      <c r="G2363" s="160"/>
      <c r="H2363" s="34" t="s">
        <v>925</v>
      </c>
    </row>
    <row r="2364" spans="1:8" ht="33">
      <c r="A2364" s="160"/>
      <c r="B2364" s="160"/>
      <c r="C2364" s="157"/>
      <c r="D2364" s="159"/>
      <c r="E2364" s="159"/>
      <c r="F2364" s="159"/>
      <c r="G2364" s="160"/>
      <c r="H2364" s="34" t="s">
        <v>925</v>
      </c>
    </row>
    <row r="2365" spans="1:8" ht="42.75">
      <c r="A2365" s="160" t="s">
        <v>2451</v>
      </c>
      <c r="B2365" s="160" t="s">
        <v>2232</v>
      </c>
      <c r="C2365" s="157" t="s">
        <v>1818</v>
      </c>
      <c r="D2365" s="159">
        <v>1</v>
      </c>
      <c r="E2365" s="159">
        <v>17496.77</v>
      </c>
      <c r="F2365" s="159"/>
      <c r="G2365" s="160" t="s">
        <v>2233</v>
      </c>
      <c r="H2365" s="34" t="s">
        <v>925</v>
      </c>
    </row>
    <row r="2366" spans="1:8" ht="33">
      <c r="A2366" s="160">
        <v>1</v>
      </c>
      <c r="B2366" s="160" t="s">
        <v>1250</v>
      </c>
      <c r="C2366" s="157" t="s">
        <v>17</v>
      </c>
      <c r="D2366" s="159">
        <v>4.4000000000000004</v>
      </c>
      <c r="E2366" s="159">
        <v>76.930000000000007</v>
      </c>
      <c r="F2366" s="159">
        <v>338.49</v>
      </c>
      <c r="G2366" s="160" t="s">
        <v>4979</v>
      </c>
      <c r="H2366" s="34" t="s">
        <v>925</v>
      </c>
    </row>
    <row r="2367" spans="1:8" ht="33">
      <c r="A2367" s="160">
        <v>2</v>
      </c>
      <c r="B2367" s="160" t="s">
        <v>2234</v>
      </c>
      <c r="C2367" s="157" t="s">
        <v>0</v>
      </c>
      <c r="D2367" s="159">
        <v>0.19</v>
      </c>
      <c r="E2367" s="159">
        <v>12998.05</v>
      </c>
      <c r="F2367" s="159">
        <v>2469.63</v>
      </c>
      <c r="G2367" s="160" t="s">
        <v>4984</v>
      </c>
      <c r="H2367" s="34" t="s">
        <v>925</v>
      </c>
    </row>
    <row r="2368" spans="1:8" ht="33">
      <c r="A2368" s="160">
        <v>3</v>
      </c>
      <c r="B2368" s="160" t="s">
        <v>2216</v>
      </c>
      <c r="C2368" s="157" t="s">
        <v>1</v>
      </c>
      <c r="D2368" s="159">
        <v>0.19</v>
      </c>
      <c r="E2368" s="159">
        <v>844.41</v>
      </c>
      <c r="F2368" s="159">
        <v>160.44</v>
      </c>
      <c r="G2368" s="160" t="s">
        <v>2217</v>
      </c>
      <c r="H2368" s="34" t="s">
        <v>925</v>
      </c>
    </row>
    <row r="2369" spans="1:8" ht="33">
      <c r="A2369" s="160">
        <v>4</v>
      </c>
      <c r="B2369" s="160" t="s">
        <v>1317</v>
      </c>
      <c r="C2369" s="157" t="s">
        <v>0</v>
      </c>
      <c r="D2369" s="159">
        <v>0.19</v>
      </c>
      <c r="E2369" s="159">
        <v>3964.95</v>
      </c>
      <c r="F2369" s="159">
        <v>753.34</v>
      </c>
      <c r="G2369" s="160" t="s">
        <v>1318</v>
      </c>
      <c r="H2369" s="34" t="s">
        <v>925</v>
      </c>
    </row>
    <row r="2370" spans="1:8" ht="28.5">
      <c r="A2370" s="160">
        <v>5</v>
      </c>
      <c r="B2370" s="160" t="s">
        <v>2207</v>
      </c>
      <c r="C2370" s="157" t="s">
        <v>1689</v>
      </c>
      <c r="D2370" s="159">
        <v>1</v>
      </c>
      <c r="E2370" s="159">
        <v>448.3</v>
      </c>
      <c r="F2370" s="159">
        <v>448.3</v>
      </c>
      <c r="G2370" s="160" t="s">
        <v>2208</v>
      </c>
    </row>
    <row r="2371" spans="1:8" ht="57">
      <c r="A2371" s="160">
        <v>6</v>
      </c>
      <c r="B2371" s="160" t="s">
        <v>513</v>
      </c>
      <c r="C2371" s="157" t="s">
        <v>18</v>
      </c>
      <c r="D2371" s="159">
        <v>23.82</v>
      </c>
      <c r="E2371" s="159">
        <v>32.020000000000003</v>
      </c>
      <c r="F2371" s="159">
        <v>762.72</v>
      </c>
      <c r="G2371" s="160" t="s">
        <v>4952</v>
      </c>
      <c r="H2371" s="34" t="s">
        <v>925</v>
      </c>
    </row>
    <row r="2372" spans="1:8" ht="33">
      <c r="A2372" s="160">
        <v>7</v>
      </c>
      <c r="B2372" s="160" t="s">
        <v>2221</v>
      </c>
      <c r="C2372" s="157" t="s">
        <v>14</v>
      </c>
      <c r="D2372" s="159">
        <v>1</v>
      </c>
      <c r="E2372" s="159">
        <v>99.62</v>
      </c>
      <c r="F2372" s="159">
        <v>99.62</v>
      </c>
      <c r="G2372" s="160" t="s">
        <v>2222</v>
      </c>
      <c r="H2372" s="34" t="s">
        <v>925</v>
      </c>
    </row>
    <row r="2373" spans="1:8" ht="33">
      <c r="A2373" s="160">
        <v>8</v>
      </c>
      <c r="B2373" s="160" t="s">
        <v>2223</v>
      </c>
      <c r="C2373" s="157" t="s">
        <v>1689</v>
      </c>
      <c r="D2373" s="159">
        <v>1</v>
      </c>
      <c r="E2373" s="159">
        <v>11954.62</v>
      </c>
      <c r="F2373" s="159">
        <v>11954.62</v>
      </c>
      <c r="G2373" s="160" t="s">
        <v>2224</v>
      </c>
      <c r="H2373" s="34" t="s">
        <v>925</v>
      </c>
    </row>
    <row r="2374" spans="1:8" ht="33">
      <c r="A2374" s="160">
        <v>9</v>
      </c>
      <c r="B2374" s="160" t="s">
        <v>931</v>
      </c>
      <c r="C2374" s="157" t="s">
        <v>14</v>
      </c>
      <c r="D2374" s="159">
        <v>1</v>
      </c>
      <c r="E2374" s="159">
        <v>509.61</v>
      </c>
      <c r="F2374" s="159">
        <v>509.61</v>
      </c>
      <c r="G2374" s="160" t="s">
        <v>932</v>
      </c>
      <c r="H2374" s="34" t="s">
        <v>925</v>
      </c>
    </row>
    <row r="2375" spans="1:8" ht="33">
      <c r="A2375" s="160"/>
      <c r="B2375" s="160" t="s">
        <v>933</v>
      </c>
      <c r="C2375" s="157" t="s">
        <v>1818</v>
      </c>
      <c r="D2375" s="159">
        <v>1</v>
      </c>
      <c r="E2375" s="159"/>
      <c r="F2375" s="159">
        <v>17496.77</v>
      </c>
      <c r="G2375" s="160"/>
      <c r="H2375" s="34" t="s">
        <v>925</v>
      </c>
    </row>
    <row r="2376" spans="1:8" ht="33">
      <c r="A2376" s="160"/>
      <c r="B2376" s="160" t="s">
        <v>934</v>
      </c>
      <c r="C2376" s="157" t="s">
        <v>1818</v>
      </c>
      <c r="D2376" s="159"/>
      <c r="E2376" s="159"/>
      <c r="F2376" s="159">
        <v>17496.77</v>
      </c>
      <c r="G2376" s="160"/>
      <c r="H2376" s="34" t="s">
        <v>925</v>
      </c>
    </row>
    <row r="2377" spans="1:8" ht="33">
      <c r="A2377" s="160"/>
      <c r="B2377" s="160"/>
      <c r="C2377" s="157"/>
      <c r="D2377" s="159"/>
      <c r="E2377" s="159"/>
      <c r="F2377" s="159"/>
      <c r="G2377" s="160"/>
      <c r="H2377" s="34" t="s">
        <v>925</v>
      </c>
    </row>
    <row r="2378" spans="1:8" ht="28.5">
      <c r="A2378" s="160" t="s">
        <v>2457</v>
      </c>
      <c r="B2378" s="160" t="s">
        <v>2237</v>
      </c>
      <c r="C2378" s="157" t="s">
        <v>2238</v>
      </c>
      <c r="D2378" s="159">
        <v>1</v>
      </c>
      <c r="E2378" s="159">
        <v>1160.52</v>
      </c>
      <c r="F2378" s="159"/>
      <c r="G2378" s="160" t="s">
        <v>2239</v>
      </c>
    </row>
    <row r="2379" spans="1:8" ht="33">
      <c r="A2379" s="160">
        <v>1</v>
      </c>
      <c r="B2379" s="160" t="s">
        <v>2240</v>
      </c>
      <c r="C2379" s="157" t="s">
        <v>14</v>
      </c>
      <c r="D2379" s="159">
        <v>1</v>
      </c>
      <c r="E2379" s="159">
        <v>697.35</v>
      </c>
      <c r="F2379" s="159">
        <v>697.35</v>
      </c>
      <c r="G2379" s="160" t="s">
        <v>2241</v>
      </c>
      <c r="H2379" s="34" t="s">
        <v>925</v>
      </c>
    </row>
    <row r="2380" spans="1:8" ht="33">
      <c r="A2380" s="160">
        <v>2</v>
      </c>
      <c r="B2380" s="160" t="s">
        <v>2242</v>
      </c>
      <c r="C2380" s="157" t="s">
        <v>14</v>
      </c>
      <c r="D2380" s="159">
        <v>1</v>
      </c>
      <c r="E2380" s="159">
        <v>149.43</v>
      </c>
      <c r="F2380" s="159">
        <v>149.43</v>
      </c>
      <c r="G2380" s="160" t="s">
        <v>2243</v>
      </c>
      <c r="H2380" s="34" t="s">
        <v>925</v>
      </c>
    </row>
    <row r="2381" spans="1:8" ht="33">
      <c r="A2381" s="160">
        <v>3</v>
      </c>
      <c r="B2381" s="160" t="s">
        <v>4871</v>
      </c>
      <c r="C2381" s="157" t="s">
        <v>927</v>
      </c>
      <c r="D2381" s="159">
        <v>1</v>
      </c>
      <c r="E2381" s="159">
        <v>279.94</v>
      </c>
      <c r="F2381" s="159">
        <v>279.94</v>
      </c>
      <c r="G2381" s="160" t="s">
        <v>4872</v>
      </c>
      <c r="H2381" s="34" t="s">
        <v>925</v>
      </c>
    </row>
    <row r="2382" spans="1:8" ht="33">
      <c r="A2382" s="160">
        <v>4</v>
      </c>
      <c r="B2382" s="160" t="s">
        <v>931</v>
      </c>
      <c r="C2382" s="157" t="s">
        <v>14</v>
      </c>
      <c r="D2382" s="159">
        <v>1</v>
      </c>
      <c r="E2382" s="159">
        <v>33.799999999999997</v>
      </c>
      <c r="F2382" s="159">
        <v>33.799999999999997</v>
      </c>
      <c r="G2382" s="160" t="s">
        <v>932</v>
      </c>
      <c r="H2382" s="34" t="s">
        <v>925</v>
      </c>
    </row>
    <row r="2383" spans="1:8" ht="33">
      <c r="A2383" s="160"/>
      <c r="B2383" s="160" t="s">
        <v>933</v>
      </c>
      <c r="C2383" s="157" t="s">
        <v>2238</v>
      </c>
      <c r="D2383" s="159">
        <v>1</v>
      </c>
      <c r="E2383" s="159"/>
      <c r="F2383" s="159">
        <v>1160.52</v>
      </c>
      <c r="G2383" s="160"/>
      <c r="H2383" s="34" t="s">
        <v>925</v>
      </c>
    </row>
    <row r="2384" spans="1:8" ht="33">
      <c r="A2384" s="160"/>
      <c r="B2384" s="160" t="s">
        <v>934</v>
      </c>
      <c r="C2384" s="157" t="s">
        <v>2238</v>
      </c>
      <c r="D2384" s="159"/>
      <c r="E2384" s="159"/>
      <c r="F2384" s="159">
        <v>1160.52</v>
      </c>
      <c r="G2384" s="160"/>
      <c r="H2384" s="34" t="s">
        <v>925</v>
      </c>
    </row>
    <row r="2385" spans="1:8" ht="33">
      <c r="A2385" s="160"/>
      <c r="B2385" s="160"/>
      <c r="C2385" s="157"/>
      <c r="D2385" s="159"/>
      <c r="E2385" s="159"/>
      <c r="F2385" s="159"/>
      <c r="G2385" s="160"/>
      <c r="H2385" s="34" t="s">
        <v>925</v>
      </c>
    </row>
    <row r="2386" spans="1:8" ht="33">
      <c r="A2386" s="160" t="s">
        <v>2467</v>
      </c>
      <c r="B2386" s="160" t="s">
        <v>2245</v>
      </c>
      <c r="C2386" s="157" t="s">
        <v>17</v>
      </c>
      <c r="D2386" s="159">
        <v>45.5</v>
      </c>
      <c r="E2386" s="159">
        <v>2934.61</v>
      </c>
      <c r="F2386" s="159"/>
      <c r="G2386" s="160" t="s">
        <v>2246</v>
      </c>
      <c r="H2386" s="34" t="s">
        <v>925</v>
      </c>
    </row>
    <row r="2387" spans="1:8" ht="57">
      <c r="A2387" s="160">
        <v>1</v>
      </c>
      <c r="B2387" s="160" t="s">
        <v>513</v>
      </c>
      <c r="C2387" s="157" t="s">
        <v>18</v>
      </c>
      <c r="D2387" s="159">
        <v>1089.2</v>
      </c>
      <c r="E2387" s="159">
        <v>32.020000000000003</v>
      </c>
      <c r="F2387" s="159">
        <v>34876.18</v>
      </c>
      <c r="G2387" s="160" t="s">
        <v>4952</v>
      </c>
    </row>
    <row r="2388" spans="1:8" ht="71.25">
      <c r="A2388" s="160">
        <v>2</v>
      </c>
      <c r="B2388" s="160" t="s">
        <v>1275</v>
      </c>
      <c r="C2388" s="157" t="s">
        <v>0</v>
      </c>
      <c r="D2388" s="159">
        <v>3.2</v>
      </c>
      <c r="E2388" s="159">
        <v>3522.91</v>
      </c>
      <c r="F2388" s="159">
        <v>11273.31</v>
      </c>
      <c r="G2388" s="160" t="s">
        <v>4985</v>
      </c>
      <c r="H2388" s="34" t="s">
        <v>925</v>
      </c>
    </row>
    <row r="2389" spans="1:8" ht="33">
      <c r="A2389" s="160">
        <v>3</v>
      </c>
      <c r="B2389" s="160" t="s">
        <v>2247</v>
      </c>
      <c r="C2389" s="157" t="s">
        <v>3</v>
      </c>
      <c r="D2389" s="159">
        <v>13.7</v>
      </c>
      <c r="E2389" s="159">
        <v>344.46</v>
      </c>
      <c r="F2389" s="159">
        <v>4719.1000000000004</v>
      </c>
      <c r="G2389" s="160" t="s">
        <v>2248</v>
      </c>
      <c r="H2389" s="34" t="s">
        <v>925</v>
      </c>
    </row>
    <row r="2390" spans="1:8" ht="33">
      <c r="A2390" s="160">
        <v>4</v>
      </c>
      <c r="B2390" s="160" t="s">
        <v>2249</v>
      </c>
      <c r="C2390" s="157" t="s">
        <v>3</v>
      </c>
      <c r="D2390" s="159">
        <v>48.1</v>
      </c>
      <c r="E2390" s="159">
        <v>268.98</v>
      </c>
      <c r="F2390" s="159">
        <v>12937.94</v>
      </c>
      <c r="G2390" s="160" t="s">
        <v>2250</v>
      </c>
      <c r="H2390" s="34" t="s">
        <v>925</v>
      </c>
    </row>
    <row r="2391" spans="1:8" ht="33">
      <c r="A2391" s="160">
        <v>5</v>
      </c>
      <c r="B2391" s="160" t="s">
        <v>2251</v>
      </c>
      <c r="C2391" s="157" t="s">
        <v>14</v>
      </c>
      <c r="D2391" s="159">
        <v>1</v>
      </c>
      <c r="E2391" s="159">
        <v>9314.64</v>
      </c>
      <c r="F2391" s="159">
        <v>9314.64</v>
      </c>
      <c r="G2391" s="160" t="s">
        <v>2252</v>
      </c>
      <c r="H2391" s="34" t="s">
        <v>925</v>
      </c>
    </row>
    <row r="2392" spans="1:8" ht="33">
      <c r="A2392" s="160">
        <v>6</v>
      </c>
      <c r="B2392" s="160" t="s">
        <v>1685</v>
      </c>
      <c r="C2392" s="157" t="s">
        <v>3</v>
      </c>
      <c r="D2392" s="159">
        <v>69.7</v>
      </c>
      <c r="E2392" s="159">
        <v>477.8</v>
      </c>
      <c r="F2392" s="159">
        <v>33302.660000000003</v>
      </c>
      <c r="G2392" s="160" t="s">
        <v>4986</v>
      </c>
      <c r="H2392" s="34" t="s">
        <v>925</v>
      </c>
    </row>
    <row r="2393" spans="1:8" ht="33">
      <c r="A2393" s="160">
        <v>7</v>
      </c>
      <c r="B2393" s="160" t="s">
        <v>2253</v>
      </c>
      <c r="C2393" s="157" t="s">
        <v>3</v>
      </c>
      <c r="D2393" s="159">
        <v>46.6</v>
      </c>
      <c r="E2393" s="159">
        <v>498.11</v>
      </c>
      <c r="F2393" s="159">
        <v>23211.93</v>
      </c>
      <c r="G2393" s="160" t="s">
        <v>2254</v>
      </c>
      <c r="H2393" s="34" t="s">
        <v>925</v>
      </c>
    </row>
    <row r="2394" spans="1:8" ht="33">
      <c r="A2394" s="160">
        <v>8</v>
      </c>
      <c r="B2394" s="160" t="s">
        <v>931</v>
      </c>
      <c r="C2394" s="157" t="s">
        <v>14</v>
      </c>
      <c r="D2394" s="159">
        <v>1</v>
      </c>
      <c r="E2394" s="159">
        <v>3889.07</v>
      </c>
      <c r="F2394" s="159">
        <v>3889.07</v>
      </c>
      <c r="G2394" s="160" t="s">
        <v>932</v>
      </c>
      <c r="H2394" s="34" t="s">
        <v>925</v>
      </c>
    </row>
    <row r="2395" spans="1:8" ht="33">
      <c r="A2395" s="160"/>
      <c r="B2395" s="160" t="s">
        <v>933</v>
      </c>
      <c r="C2395" s="157" t="s">
        <v>17</v>
      </c>
      <c r="D2395" s="159">
        <v>45.5</v>
      </c>
      <c r="E2395" s="159"/>
      <c r="F2395" s="159">
        <v>133524.83000000002</v>
      </c>
      <c r="G2395" s="160"/>
      <c r="H2395" s="34" t="s">
        <v>925</v>
      </c>
    </row>
    <row r="2396" spans="1:8" ht="16.5">
      <c r="A2396" s="160"/>
      <c r="B2396" s="160" t="s">
        <v>934</v>
      </c>
      <c r="C2396" s="157" t="s">
        <v>17</v>
      </c>
      <c r="D2396" s="159"/>
      <c r="E2396" s="159"/>
      <c r="F2396" s="159">
        <v>2934.61</v>
      </c>
      <c r="G2396" s="160"/>
    </row>
    <row r="2397" spans="1:8" ht="33">
      <c r="A2397" s="160"/>
      <c r="B2397" s="160"/>
      <c r="C2397" s="157"/>
      <c r="D2397" s="159"/>
      <c r="E2397" s="159"/>
      <c r="F2397" s="159"/>
      <c r="G2397" s="160"/>
      <c r="H2397" s="34" t="s">
        <v>925</v>
      </c>
    </row>
    <row r="2398" spans="1:8" ht="33">
      <c r="A2398" s="160" t="s">
        <v>2474</v>
      </c>
      <c r="B2398" s="160" t="s">
        <v>2256</v>
      </c>
      <c r="C2398" s="157" t="s">
        <v>17</v>
      </c>
      <c r="D2398" s="159">
        <v>17.899999999999999</v>
      </c>
      <c r="E2398" s="159">
        <v>3776.99</v>
      </c>
      <c r="F2398" s="159"/>
      <c r="G2398" s="160" t="s">
        <v>2257</v>
      </c>
      <c r="H2398" s="34" t="s">
        <v>925</v>
      </c>
    </row>
    <row r="2399" spans="1:8" ht="57">
      <c r="A2399" s="160">
        <v>1</v>
      </c>
      <c r="B2399" s="160" t="s">
        <v>513</v>
      </c>
      <c r="C2399" s="157" t="s">
        <v>18</v>
      </c>
      <c r="D2399" s="159">
        <v>337.2</v>
      </c>
      <c r="E2399" s="159">
        <v>32.020000000000003</v>
      </c>
      <c r="F2399" s="159">
        <v>10797.14</v>
      </c>
      <c r="G2399" s="160" t="s">
        <v>4952</v>
      </c>
      <c r="H2399" s="34" t="s">
        <v>925</v>
      </c>
    </row>
    <row r="2400" spans="1:8" ht="71.25">
      <c r="A2400" s="160">
        <v>2</v>
      </c>
      <c r="B2400" s="160" t="s">
        <v>1275</v>
      </c>
      <c r="C2400" s="157" t="s">
        <v>0</v>
      </c>
      <c r="D2400" s="159">
        <v>1.3</v>
      </c>
      <c r="E2400" s="159">
        <v>3522.91</v>
      </c>
      <c r="F2400" s="159">
        <v>4579.78</v>
      </c>
      <c r="G2400" s="160" t="s">
        <v>4985</v>
      </c>
      <c r="H2400" s="34" t="s">
        <v>925</v>
      </c>
    </row>
    <row r="2401" spans="1:8" ht="33">
      <c r="A2401" s="160">
        <v>3</v>
      </c>
      <c r="B2401" s="160" t="s">
        <v>2247</v>
      </c>
      <c r="C2401" s="157" t="s">
        <v>3</v>
      </c>
      <c r="D2401" s="159">
        <v>5.7</v>
      </c>
      <c r="E2401" s="159">
        <v>344.46</v>
      </c>
      <c r="F2401" s="159">
        <v>1963.42</v>
      </c>
      <c r="G2401" s="160" t="s">
        <v>2248</v>
      </c>
      <c r="H2401" s="34" t="s">
        <v>925</v>
      </c>
    </row>
    <row r="2402" spans="1:8" ht="33">
      <c r="A2402" s="160">
        <v>4</v>
      </c>
      <c r="B2402" s="160" t="s">
        <v>2249</v>
      </c>
      <c r="C2402" s="157" t="s">
        <v>3</v>
      </c>
      <c r="D2402" s="159">
        <v>28.8</v>
      </c>
      <c r="E2402" s="159">
        <v>268.98</v>
      </c>
      <c r="F2402" s="159">
        <v>7746.62</v>
      </c>
      <c r="G2402" s="160" t="s">
        <v>2250</v>
      </c>
      <c r="H2402" s="34" t="s">
        <v>925</v>
      </c>
    </row>
    <row r="2403" spans="1:8" ht="33">
      <c r="A2403" s="160">
        <v>5</v>
      </c>
      <c r="B2403" s="160" t="s">
        <v>2251</v>
      </c>
      <c r="C2403" s="157" t="s">
        <v>14</v>
      </c>
      <c r="D2403" s="159">
        <v>1</v>
      </c>
      <c r="E2403" s="159">
        <v>9314.64</v>
      </c>
      <c r="F2403" s="159">
        <v>9314.64</v>
      </c>
      <c r="G2403" s="160" t="s">
        <v>2252</v>
      </c>
      <c r="H2403" s="34" t="s">
        <v>925</v>
      </c>
    </row>
    <row r="2404" spans="1:8" ht="33">
      <c r="A2404" s="160">
        <v>6</v>
      </c>
      <c r="B2404" s="160" t="s">
        <v>1685</v>
      </c>
      <c r="C2404" s="157" t="s">
        <v>3</v>
      </c>
      <c r="D2404" s="159">
        <v>36.5</v>
      </c>
      <c r="E2404" s="159">
        <v>477.8</v>
      </c>
      <c r="F2404" s="159">
        <v>17439.7</v>
      </c>
      <c r="G2404" s="160" t="s">
        <v>4986</v>
      </c>
      <c r="H2404" s="34" t="s">
        <v>925</v>
      </c>
    </row>
    <row r="2405" spans="1:8" ht="28.5">
      <c r="A2405" s="160">
        <v>7</v>
      </c>
      <c r="B2405" s="160" t="s">
        <v>2253</v>
      </c>
      <c r="C2405" s="157" t="s">
        <v>3</v>
      </c>
      <c r="D2405" s="159">
        <v>27.7</v>
      </c>
      <c r="E2405" s="159">
        <v>498.11</v>
      </c>
      <c r="F2405" s="159">
        <v>13797.65</v>
      </c>
      <c r="G2405" s="160" t="s">
        <v>2254</v>
      </c>
    </row>
    <row r="2406" spans="1:8" ht="33">
      <c r="A2406" s="160">
        <v>8</v>
      </c>
      <c r="B2406" s="160" t="s">
        <v>931</v>
      </c>
      <c r="C2406" s="157" t="s">
        <v>14</v>
      </c>
      <c r="D2406" s="159">
        <v>1</v>
      </c>
      <c r="E2406" s="159">
        <v>1969.17</v>
      </c>
      <c r="F2406" s="159">
        <v>1969.17</v>
      </c>
      <c r="G2406" s="160" t="s">
        <v>932</v>
      </c>
      <c r="H2406" s="34" t="s">
        <v>925</v>
      </c>
    </row>
    <row r="2407" spans="1:8" ht="33">
      <c r="A2407" s="160"/>
      <c r="B2407" s="160" t="s">
        <v>933</v>
      </c>
      <c r="C2407" s="157" t="s">
        <v>17</v>
      </c>
      <c r="D2407" s="159">
        <v>17.899999999999999</v>
      </c>
      <c r="E2407" s="159"/>
      <c r="F2407" s="159">
        <v>67608.119999999981</v>
      </c>
      <c r="G2407" s="160"/>
      <c r="H2407" s="34" t="s">
        <v>925</v>
      </c>
    </row>
    <row r="2408" spans="1:8" ht="33">
      <c r="A2408" s="160"/>
      <c r="B2408" s="160" t="s">
        <v>934</v>
      </c>
      <c r="C2408" s="157" t="s">
        <v>17</v>
      </c>
      <c r="D2408" s="159"/>
      <c r="E2408" s="159"/>
      <c r="F2408" s="159">
        <v>3776.99</v>
      </c>
      <c r="G2408" s="160"/>
      <c r="H2408" s="34" t="s">
        <v>925</v>
      </c>
    </row>
    <row r="2409" spans="1:8" ht="33">
      <c r="A2409" s="160"/>
      <c r="B2409" s="160"/>
      <c r="C2409" s="157"/>
      <c r="D2409" s="159"/>
      <c r="E2409" s="159"/>
      <c r="F2409" s="159"/>
      <c r="G2409" s="160"/>
      <c r="H2409" s="34" t="s">
        <v>925</v>
      </c>
    </row>
    <row r="2410" spans="1:8" ht="33">
      <c r="A2410" s="160" t="s">
        <v>2479</v>
      </c>
      <c r="B2410" s="160" t="s">
        <v>2259</v>
      </c>
      <c r="C2410" s="157" t="s">
        <v>17</v>
      </c>
      <c r="D2410" s="159">
        <v>45.5</v>
      </c>
      <c r="E2410" s="159">
        <v>2934.61</v>
      </c>
      <c r="F2410" s="159"/>
      <c r="G2410" s="160" t="s">
        <v>2260</v>
      </c>
      <c r="H2410" s="34" t="s">
        <v>925</v>
      </c>
    </row>
    <row r="2411" spans="1:8" ht="57">
      <c r="A2411" s="160">
        <v>1</v>
      </c>
      <c r="B2411" s="160" t="s">
        <v>513</v>
      </c>
      <c r="C2411" s="157" t="s">
        <v>18</v>
      </c>
      <c r="D2411" s="159">
        <v>1089.2</v>
      </c>
      <c r="E2411" s="159">
        <v>32.020000000000003</v>
      </c>
      <c r="F2411" s="159">
        <v>34876.18</v>
      </c>
      <c r="G2411" s="160" t="s">
        <v>4952</v>
      </c>
      <c r="H2411" s="34" t="s">
        <v>925</v>
      </c>
    </row>
    <row r="2412" spans="1:8" ht="71.25">
      <c r="A2412" s="160">
        <v>2</v>
      </c>
      <c r="B2412" s="160" t="s">
        <v>1275</v>
      </c>
      <c r="C2412" s="157" t="s">
        <v>0</v>
      </c>
      <c r="D2412" s="159">
        <v>3.2</v>
      </c>
      <c r="E2412" s="159">
        <v>3522.91</v>
      </c>
      <c r="F2412" s="159">
        <v>11273.31</v>
      </c>
      <c r="G2412" s="160" t="s">
        <v>4985</v>
      </c>
      <c r="H2412" s="34" t="s">
        <v>925</v>
      </c>
    </row>
    <row r="2413" spans="1:8" ht="28.5">
      <c r="A2413" s="160">
        <v>3</v>
      </c>
      <c r="B2413" s="160" t="s">
        <v>2247</v>
      </c>
      <c r="C2413" s="157" t="s">
        <v>3</v>
      </c>
      <c r="D2413" s="159">
        <v>13.7</v>
      </c>
      <c r="E2413" s="159">
        <v>344.46</v>
      </c>
      <c r="F2413" s="159">
        <v>4719.1000000000004</v>
      </c>
      <c r="G2413" s="160" t="s">
        <v>2248</v>
      </c>
    </row>
    <row r="2414" spans="1:8" ht="33">
      <c r="A2414" s="160">
        <v>4</v>
      </c>
      <c r="B2414" s="160" t="s">
        <v>2249</v>
      </c>
      <c r="C2414" s="157" t="s">
        <v>3</v>
      </c>
      <c r="D2414" s="159">
        <v>48.1</v>
      </c>
      <c r="E2414" s="159">
        <v>268.98</v>
      </c>
      <c r="F2414" s="159">
        <v>12937.94</v>
      </c>
      <c r="G2414" s="160" t="s">
        <v>2250</v>
      </c>
      <c r="H2414" s="34" t="s">
        <v>925</v>
      </c>
    </row>
    <row r="2415" spans="1:8" ht="33">
      <c r="A2415" s="160">
        <v>5</v>
      </c>
      <c r="B2415" s="160" t="s">
        <v>2251</v>
      </c>
      <c r="C2415" s="157" t="s">
        <v>14</v>
      </c>
      <c r="D2415" s="159">
        <v>1</v>
      </c>
      <c r="E2415" s="159">
        <v>9314.64</v>
      </c>
      <c r="F2415" s="159">
        <v>9314.64</v>
      </c>
      <c r="G2415" s="160" t="s">
        <v>2252</v>
      </c>
      <c r="H2415" s="34" t="s">
        <v>925</v>
      </c>
    </row>
    <row r="2416" spans="1:8" ht="33">
      <c r="A2416" s="160">
        <v>6</v>
      </c>
      <c r="B2416" s="160" t="s">
        <v>1685</v>
      </c>
      <c r="C2416" s="157" t="s">
        <v>3</v>
      </c>
      <c r="D2416" s="159">
        <v>69.7</v>
      </c>
      <c r="E2416" s="159">
        <v>477.8</v>
      </c>
      <c r="F2416" s="159">
        <v>33302.660000000003</v>
      </c>
      <c r="G2416" s="160" t="s">
        <v>4986</v>
      </c>
      <c r="H2416" s="34" t="s">
        <v>925</v>
      </c>
    </row>
    <row r="2417" spans="1:8" ht="33">
      <c r="A2417" s="160">
        <v>7</v>
      </c>
      <c r="B2417" s="160" t="s">
        <v>2253</v>
      </c>
      <c r="C2417" s="157" t="s">
        <v>3</v>
      </c>
      <c r="D2417" s="159">
        <v>46.6</v>
      </c>
      <c r="E2417" s="159">
        <v>498.11</v>
      </c>
      <c r="F2417" s="159">
        <v>23211.93</v>
      </c>
      <c r="G2417" s="160" t="s">
        <v>2254</v>
      </c>
      <c r="H2417" s="34" t="s">
        <v>925</v>
      </c>
    </row>
    <row r="2418" spans="1:8" ht="33">
      <c r="A2418" s="160">
        <v>8</v>
      </c>
      <c r="B2418" s="160" t="s">
        <v>931</v>
      </c>
      <c r="C2418" s="157" t="s">
        <v>14</v>
      </c>
      <c r="D2418" s="159">
        <v>1</v>
      </c>
      <c r="E2418" s="159">
        <v>3889.07</v>
      </c>
      <c r="F2418" s="159">
        <v>3889.07</v>
      </c>
      <c r="G2418" s="160" t="s">
        <v>932</v>
      </c>
      <c r="H2418" s="34" t="s">
        <v>925</v>
      </c>
    </row>
    <row r="2419" spans="1:8" ht="33">
      <c r="A2419" s="160"/>
      <c r="B2419" s="160" t="s">
        <v>933</v>
      </c>
      <c r="C2419" s="157" t="s">
        <v>17</v>
      </c>
      <c r="D2419" s="159">
        <v>45.5</v>
      </c>
      <c r="E2419" s="159"/>
      <c r="F2419" s="159">
        <v>133524.83000000002</v>
      </c>
      <c r="G2419" s="160"/>
      <c r="H2419" s="34" t="s">
        <v>925</v>
      </c>
    </row>
    <row r="2420" spans="1:8" ht="33">
      <c r="A2420" s="160"/>
      <c r="B2420" s="160" t="s">
        <v>934</v>
      </c>
      <c r="C2420" s="157" t="s">
        <v>17</v>
      </c>
      <c r="D2420" s="159"/>
      <c r="E2420" s="159"/>
      <c r="F2420" s="159">
        <v>2934.61</v>
      </c>
      <c r="G2420" s="160"/>
      <c r="H2420" s="34" t="s">
        <v>925</v>
      </c>
    </row>
    <row r="2421" spans="1:8" ht="33">
      <c r="A2421" s="160"/>
      <c r="B2421" s="160"/>
      <c r="C2421" s="157"/>
      <c r="D2421" s="159"/>
      <c r="E2421" s="159"/>
      <c r="F2421" s="159"/>
      <c r="G2421" s="160"/>
      <c r="H2421" s="34" t="s">
        <v>925</v>
      </c>
    </row>
    <row r="2422" spans="1:8" ht="28.5">
      <c r="A2422" s="160" t="s">
        <v>2482</v>
      </c>
      <c r="B2422" s="160" t="s">
        <v>2262</v>
      </c>
      <c r="C2422" s="157" t="s">
        <v>17</v>
      </c>
      <c r="D2422" s="159">
        <v>32</v>
      </c>
      <c r="E2422" s="159">
        <v>3280.23</v>
      </c>
      <c r="F2422" s="159"/>
      <c r="G2422" s="160" t="s">
        <v>2263</v>
      </c>
    </row>
    <row r="2423" spans="1:8" ht="57">
      <c r="A2423" s="160">
        <v>1</v>
      </c>
      <c r="B2423" s="160" t="s">
        <v>513</v>
      </c>
      <c r="C2423" s="157" t="s">
        <v>18</v>
      </c>
      <c r="D2423" s="159">
        <v>536</v>
      </c>
      <c r="E2423" s="159">
        <v>32.020000000000003</v>
      </c>
      <c r="F2423" s="159">
        <v>17162.72</v>
      </c>
      <c r="G2423" s="160" t="s">
        <v>4952</v>
      </c>
      <c r="H2423" s="34" t="s">
        <v>925</v>
      </c>
    </row>
    <row r="2424" spans="1:8" ht="71.25">
      <c r="A2424" s="160">
        <v>2</v>
      </c>
      <c r="B2424" s="160" t="s">
        <v>1275</v>
      </c>
      <c r="C2424" s="157" t="s">
        <v>0</v>
      </c>
      <c r="D2424" s="159">
        <v>1.9</v>
      </c>
      <c r="E2424" s="159">
        <v>3522.91</v>
      </c>
      <c r="F2424" s="159">
        <v>6693.53</v>
      </c>
      <c r="G2424" s="160" t="s">
        <v>4985</v>
      </c>
      <c r="H2424" s="34" t="s">
        <v>925</v>
      </c>
    </row>
    <row r="2425" spans="1:8" ht="33">
      <c r="A2425" s="160">
        <v>3</v>
      </c>
      <c r="B2425" s="160" t="s">
        <v>2249</v>
      </c>
      <c r="C2425" s="157" t="s">
        <v>3</v>
      </c>
      <c r="D2425" s="159">
        <v>52.3</v>
      </c>
      <c r="E2425" s="159">
        <v>268.98</v>
      </c>
      <c r="F2425" s="159">
        <v>14067.65</v>
      </c>
      <c r="G2425" s="160" t="s">
        <v>2250</v>
      </c>
      <c r="H2425" s="34" t="s">
        <v>925</v>
      </c>
    </row>
    <row r="2426" spans="1:8" ht="33">
      <c r="A2426" s="160">
        <v>4</v>
      </c>
      <c r="B2426" s="160" t="s">
        <v>2251</v>
      </c>
      <c r="C2426" s="157" t="s">
        <v>14</v>
      </c>
      <c r="D2426" s="159">
        <v>1</v>
      </c>
      <c r="E2426" s="159">
        <v>9314.64</v>
      </c>
      <c r="F2426" s="159">
        <v>9314.64</v>
      </c>
      <c r="G2426" s="160" t="s">
        <v>2252</v>
      </c>
      <c r="H2426" s="34" t="s">
        <v>925</v>
      </c>
    </row>
    <row r="2427" spans="1:8" ht="33">
      <c r="A2427" s="160">
        <v>5</v>
      </c>
      <c r="B2427" s="160" t="s">
        <v>1685</v>
      </c>
      <c r="C2427" s="157" t="s">
        <v>3</v>
      </c>
      <c r="D2427" s="159">
        <v>59.9</v>
      </c>
      <c r="E2427" s="159">
        <v>477.8</v>
      </c>
      <c r="F2427" s="159">
        <v>28620.22</v>
      </c>
      <c r="G2427" s="160" t="s">
        <v>4986</v>
      </c>
      <c r="H2427" s="34" t="s">
        <v>925</v>
      </c>
    </row>
    <row r="2428" spans="1:8" ht="33">
      <c r="A2428" s="160">
        <v>6</v>
      </c>
      <c r="B2428" s="160" t="s">
        <v>2253</v>
      </c>
      <c r="C2428" s="157" t="s">
        <v>3</v>
      </c>
      <c r="D2428" s="159">
        <v>52.3</v>
      </c>
      <c r="E2428" s="159">
        <v>498.11</v>
      </c>
      <c r="F2428" s="159">
        <v>26051.15</v>
      </c>
      <c r="G2428" s="160" t="s">
        <v>2254</v>
      </c>
      <c r="H2428" s="34" t="s">
        <v>925</v>
      </c>
    </row>
    <row r="2429" spans="1:8" ht="33">
      <c r="A2429" s="160">
        <v>7</v>
      </c>
      <c r="B2429" s="160" t="s">
        <v>931</v>
      </c>
      <c r="C2429" s="157" t="s">
        <v>14</v>
      </c>
      <c r="D2429" s="159">
        <v>1</v>
      </c>
      <c r="E2429" s="159">
        <v>3057.3</v>
      </c>
      <c r="F2429" s="159">
        <v>3057.3</v>
      </c>
      <c r="G2429" s="160" t="s">
        <v>932</v>
      </c>
      <c r="H2429" s="34" t="s">
        <v>925</v>
      </c>
    </row>
    <row r="2430" spans="1:8" ht="16.5">
      <c r="A2430" s="160"/>
      <c r="B2430" s="160" t="s">
        <v>933</v>
      </c>
      <c r="C2430" s="157" t="s">
        <v>17</v>
      </c>
      <c r="D2430" s="159">
        <v>32</v>
      </c>
      <c r="E2430" s="159"/>
      <c r="F2430" s="159">
        <v>104967.21</v>
      </c>
      <c r="G2430" s="160"/>
    </row>
    <row r="2431" spans="1:8" ht="33">
      <c r="A2431" s="160"/>
      <c r="B2431" s="160" t="s">
        <v>934</v>
      </c>
      <c r="C2431" s="157" t="s">
        <v>17</v>
      </c>
      <c r="D2431" s="159"/>
      <c r="E2431" s="159"/>
      <c r="F2431" s="159">
        <v>3280.23</v>
      </c>
      <c r="G2431" s="160"/>
      <c r="H2431" s="34" t="s">
        <v>925</v>
      </c>
    </row>
    <row r="2432" spans="1:8" ht="33">
      <c r="A2432" s="160"/>
      <c r="B2432" s="160"/>
      <c r="C2432" s="157"/>
      <c r="D2432" s="159"/>
      <c r="E2432" s="159"/>
      <c r="F2432" s="159"/>
      <c r="G2432" s="160"/>
      <c r="H2432" s="34" t="s">
        <v>925</v>
      </c>
    </row>
    <row r="2433" spans="1:8" ht="33">
      <c r="A2433" s="160" t="s">
        <v>2485</v>
      </c>
      <c r="B2433" s="160" t="s">
        <v>2265</v>
      </c>
      <c r="C2433" s="157" t="s">
        <v>3</v>
      </c>
      <c r="D2433" s="159">
        <v>1</v>
      </c>
      <c r="E2433" s="159">
        <v>400.19</v>
      </c>
      <c r="F2433" s="159"/>
      <c r="G2433" s="160" t="s">
        <v>2266</v>
      </c>
      <c r="H2433" s="34" t="s">
        <v>925</v>
      </c>
    </row>
    <row r="2434" spans="1:8" ht="33">
      <c r="A2434" s="160">
        <v>1</v>
      </c>
      <c r="B2434" s="160" t="s">
        <v>2267</v>
      </c>
      <c r="C2434" s="157" t="s">
        <v>3</v>
      </c>
      <c r="D2434" s="159">
        <v>1</v>
      </c>
      <c r="E2434" s="159">
        <v>119.55</v>
      </c>
      <c r="F2434" s="159">
        <v>119.55</v>
      </c>
      <c r="G2434" s="160" t="s">
        <v>2268</v>
      </c>
      <c r="H2434" s="34" t="s">
        <v>925</v>
      </c>
    </row>
    <row r="2435" spans="1:8" ht="33">
      <c r="A2435" s="160">
        <v>2</v>
      </c>
      <c r="B2435" s="160" t="s">
        <v>2269</v>
      </c>
      <c r="C2435" s="157" t="s">
        <v>3</v>
      </c>
      <c r="D2435" s="159">
        <v>1</v>
      </c>
      <c r="E2435" s="159">
        <v>119.55</v>
      </c>
      <c r="F2435" s="159">
        <v>119.55</v>
      </c>
      <c r="G2435" s="160" t="s">
        <v>2270</v>
      </c>
      <c r="H2435" s="34" t="s">
        <v>925</v>
      </c>
    </row>
    <row r="2436" spans="1:8" ht="33">
      <c r="A2436" s="160">
        <v>3</v>
      </c>
      <c r="B2436" s="160" t="s">
        <v>2271</v>
      </c>
      <c r="C2436" s="157" t="s">
        <v>14</v>
      </c>
      <c r="D2436" s="159">
        <v>1</v>
      </c>
      <c r="E2436" s="159">
        <v>149.43</v>
      </c>
      <c r="F2436" s="159">
        <v>149.43</v>
      </c>
      <c r="G2436" s="160" t="s">
        <v>2272</v>
      </c>
      <c r="H2436" s="34" t="s">
        <v>925</v>
      </c>
    </row>
    <row r="2437" spans="1:8" ht="28.5">
      <c r="A2437" s="160">
        <v>4</v>
      </c>
      <c r="B2437" s="160" t="s">
        <v>955</v>
      </c>
      <c r="C2437" s="157" t="s">
        <v>14</v>
      </c>
      <c r="D2437" s="159">
        <v>1</v>
      </c>
      <c r="E2437" s="159">
        <v>11.66</v>
      </c>
      <c r="F2437" s="159">
        <v>11.66</v>
      </c>
      <c r="G2437" s="160" t="s">
        <v>956</v>
      </c>
    </row>
    <row r="2438" spans="1:8" ht="33">
      <c r="A2438" s="160"/>
      <c r="B2438" s="160" t="s">
        <v>933</v>
      </c>
      <c r="C2438" s="157" t="s">
        <v>3</v>
      </c>
      <c r="D2438" s="159">
        <v>1</v>
      </c>
      <c r="E2438" s="159"/>
      <c r="F2438" s="159">
        <v>400.19</v>
      </c>
      <c r="G2438" s="160"/>
      <c r="H2438" s="34" t="s">
        <v>925</v>
      </c>
    </row>
    <row r="2439" spans="1:8" ht="33">
      <c r="A2439" s="160"/>
      <c r="B2439" s="160" t="s">
        <v>934</v>
      </c>
      <c r="C2439" s="157" t="s">
        <v>3</v>
      </c>
      <c r="D2439" s="159"/>
      <c r="E2439" s="159"/>
      <c r="F2439" s="159">
        <v>400.19</v>
      </c>
      <c r="G2439" s="160"/>
      <c r="H2439" s="34" t="s">
        <v>925</v>
      </c>
    </row>
    <row r="2440" spans="1:8" ht="33">
      <c r="A2440" s="160"/>
      <c r="B2440" s="160"/>
      <c r="C2440" s="157"/>
      <c r="D2440" s="159"/>
      <c r="E2440" s="159"/>
      <c r="F2440" s="159"/>
      <c r="G2440" s="160"/>
      <c r="H2440" s="34" t="s">
        <v>925</v>
      </c>
    </row>
    <row r="2441" spans="1:8" ht="42.75">
      <c r="A2441" s="160" t="s">
        <v>2488</v>
      </c>
      <c r="B2441" s="160" t="s">
        <v>2274</v>
      </c>
      <c r="C2441" s="157" t="s">
        <v>3</v>
      </c>
      <c r="D2441" s="159">
        <v>1</v>
      </c>
      <c r="E2441" s="159">
        <v>689.53</v>
      </c>
      <c r="F2441" s="159"/>
      <c r="G2441" s="160" t="s">
        <v>2275</v>
      </c>
      <c r="H2441" s="34" t="s">
        <v>925</v>
      </c>
    </row>
    <row r="2442" spans="1:8" ht="33">
      <c r="A2442" s="160">
        <v>1</v>
      </c>
      <c r="B2442" s="160" t="s">
        <v>2276</v>
      </c>
      <c r="C2442" s="157" t="s">
        <v>3</v>
      </c>
      <c r="D2442" s="159">
        <v>1</v>
      </c>
      <c r="E2442" s="159">
        <v>420.4</v>
      </c>
      <c r="F2442" s="159">
        <v>420.4</v>
      </c>
      <c r="G2442" s="160" t="s">
        <v>2277</v>
      </c>
      <c r="H2442" s="34" t="s">
        <v>925</v>
      </c>
    </row>
    <row r="2443" spans="1:8" ht="33">
      <c r="A2443" s="160">
        <v>2</v>
      </c>
      <c r="B2443" s="160" t="s">
        <v>2278</v>
      </c>
      <c r="C2443" s="157" t="s">
        <v>3</v>
      </c>
      <c r="D2443" s="159">
        <v>1</v>
      </c>
      <c r="E2443" s="159">
        <v>99.62</v>
      </c>
      <c r="F2443" s="159">
        <v>99.62</v>
      </c>
      <c r="G2443" s="160" t="s">
        <v>2279</v>
      </c>
      <c r="H2443" s="34" t="s">
        <v>925</v>
      </c>
    </row>
    <row r="2444" spans="1:8" ht="33">
      <c r="A2444" s="160">
        <v>3</v>
      </c>
      <c r="B2444" s="160" t="s">
        <v>2271</v>
      </c>
      <c r="C2444" s="157" t="s">
        <v>14</v>
      </c>
      <c r="D2444" s="159">
        <v>1</v>
      </c>
      <c r="E2444" s="159">
        <v>149.43</v>
      </c>
      <c r="F2444" s="159">
        <v>149.43</v>
      </c>
      <c r="G2444" s="160" t="s">
        <v>2272</v>
      </c>
      <c r="H2444" s="34" t="s">
        <v>925</v>
      </c>
    </row>
    <row r="2445" spans="1:8" ht="33">
      <c r="A2445" s="160">
        <v>4</v>
      </c>
      <c r="B2445" s="160" t="s">
        <v>955</v>
      </c>
      <c r="C2445" s="157" t="s">
        <v>14</v>
      </c>
      <c r="D2445" s="159">
        <v>1</v>
      </c>
      <c r="E2445" s="159">
        <v>20.079999999999998</v>
      </c>
      <c r="F2445" s="159">
        <v>20.079999999999998</v>
      </c>
      <c r="G2445" s="160" t="s">
        <v>956</v>
      </c>
      <c r="H2445" s="34" t="s">
        <v>925</v>
      </c>
    </row>
    <row r="2446" spans="1:8" ht="33">
      <c r="A2446" s="160"/>
      <c r="B2446" s="160" t="s">
        <v>933</v>
      </c>
      <c r="C2446" s="157" t="s">
        <v>3</v>
      </c>
      <c r="D2446" s="159">
        <v>1</v>
      </c>
      <c r="E2446" s="159"/>
      <c r="F2446" s="159">
        <v>689.53000000000009</v>
      </c>
      <c r="G2446" s="160"/>
      <c r="H2446" s="34" t="s">
        <v>925</v>
      </c>
    </row>
    <row r="2447" spans="1:8" ht="16.5">
      <c r="A2447" s="160"/>
      <c r="B2447" s="160" t="s">
        <v>934</v>
      </c>
      <c r="C2447" s="157" t="s">
        <v>3</v>
      </c>
      <c r="D2447" s="159"/>
      <c r="E2447" s="159"/>
      <c r="F2447" s="159">
        <v>689.53</v>
      </c>
      <c r="G2447" s="160"/>
    </row>
    <row r="2448" spans="1:8" ht="33">
      <c r="A2448" s="160"/>
      <c r="B2448" s="160"/>
      <c r="C2448" s="157"/>
      <c r="D2448" s="159"/>
      <c r="E2448" s="159"/>
      <c r="F2448" s="159"/>
      <c r="G2448" s="160"/>
      <c r="H2448" s="34" t="s">
        <v>925</v>
      </c>
    </row>
    <row r="2449" spans="1:8" ht="42.75">
      <c r="A2449" s="160" t="s">
        <v>2496</v>
      </c>
      <c r="B2449" s="160" t="s">
        <v>2281</v>
      </c>
      <c r="C2449" s="157" t="s">
        <v>3</v>
      </c>
      <c r="D2449" s="159">
        <v>12</v>
      </c>
      <c r="E2449" s="159">
        <v>4078.77</v>
      </c>
      <c r="F2449" s="159"/>
      <c r="G2449" s="160" t="s">
        <v>2282</v>
      </c>
      <c r="H2449" s="34" t="s">
        <v>925</v>
      </c>
    </row>
    <row r="2450" spans="1:8" ht="33">
      <c r="A2450" s="160">
        <v>1</v>
      </c>
      <c r="B2450" s="160" t="s">
        <v>2283</v>
      </c>
      <c r="C2450" s="157" t="s">
        <v>1875</v>
      </c>
      <c r="D2450" s="159">
        <v>4</v>
      </c>
      <c r="E2450" s="159">
        <v>2490.5500000000002</v>
      </c>
      <c r="F2450" s="159">
        <v>9962.2000000000007</v>
      </c>
      <c r="G2450" s="160" t="s">
        <v>2284</v>
      </c>
      <c r="H2450" s="34" t="s">
        <v>925</v>
      </c>
    </row>
    <row r="2451" spans="1:8" ht="57">
      <c r="A2451" s="160">
        <v>2</v>
      </c>
      <c r="B2451" s="160" t="s">
        <v>2285</v>
      </c>
      <c r="C2451" s="157" t="s">
        <v>14</v>
      </c>
      <c r="D2451" s="159">
        <v>1</v>
      </c>
      <c r="E2451" s="159">
        <v>14544.79</v>
      </c>
      <c r="F2451" s="159">
        <v>14544.79</v>
      </c>
      <c r="G2451" s="160" t="s">
        <v>2286</v>
      </c>
      <c r="H2451" s="34" t="s">
        <v>925</v>
      </c>
    </row>
    <row r="2452" spans="1:8" ht="42.75">
      <c r="A2452" s="160">
        <v>3</v>
      </c>
      <c r="B2452" s="160" t="s">
        <v>2287</v>
      </c>
      <c r="C2452" s="157" t="s">
        <v>14</v>
      </c>
      <c r="D2452" s="159">
        <v>1</v>
      </c>
      <c r="E2452" s="159">
        <v>19426.259999999998</v>
      </c>
      <c r="F2452" s="159">
        <v>19426.259999999998</v>
      </c>
      <c r="G2452" s="160" t="s">
        <v>2288</v>
      </c>
      <c r="H2452" s="34" t="s">
        <v>925</v>
      </c>
    </row>
    <row r="2453" spans="1:8" ht="57">
      <c r="A2453" s="160">
        <v>4</v>
      </c>
      <c r="B2453" s="160" t="s">
        <v>2289</v>
      </c>
      <c r="C2453" s="157" t="s">
        <v>14</v>
      </c>
      <c r="D2453" s="159">
        <v>1</v>
      </c>
      <c r="E2453" s="159">
        <v>3586.39</v>
      </c>
      <c r="F2453" s="159">
        <v>3586.39</v>
      </c>
      <c r="G2453" s="160" t="s">
        <v>2290</v>
      </c>
      <c r="H2453" s="34" t="s">
        <v>925</v>
      </c>
    </row>
    <row r="2454" spans="1:8" ht="33">
      <c r="A2454" s="160">
        <v>5</v>
      </c>
      <c r="B2454" s="160" t="s">
        <v>931</v>
      </c>
      <c r="C2454" s="157" t="s">
        <v>14</v>
      </c>
      <c r="D2454" s="159">
        <v>1</v>
      </c>
      <c r="E2454" s="159">
        <v>1425.59</v>
      </c>
      <c r="F2454" s="159">
        <v>1425.59</v>
      </c>
      <c r="G2454" s="160" t="s">
        <v>932</v>
      </c>
      <c r="H2454" s="34" t="s">
        <v>925</v>
      </c>
    </row>
    <row r="2455" spans="1:8" ht="33">
      <c r="A2455" s="160"/>
      <c r="B2455" s="160" t="s">
        <v>933</v>
      </c>
      <c r="C2455" s="157" t="s">
        <v>3</v>
      </c>
      <c r="D2455" s="159">
        <v>12</v>
      </c>
      <c r="E2455" s="159"/>
      <c r="F2455" s="159">
        <v>48945.229999999996</v>
      </c>
      <c r="G2455" s="160"/>
      <c r="H2455" s="34" t="s">
        <v>925</v>
      </c>
    </row>
    <row r="2456" spans="1:8" ht="33">
      <c r="A2456" s="160"/>
      <c r="B2456" s="160" t="s">
        <v>934</v>
      </c>
      <c r="C2456" s="157" t="s">
        <v>3</v>
      </c>
      <c r="D2456" s="159"/>
      <c r="E2456" s="159"/>
      <c r="F2456" s="159">
        <v>4078.77</v>
      </c>
      <c r="G2456" s="160"/>
      <c r="H2456" s="34" t="s">
        <v>925</v>
      </c>
    </row>
    <row r="2457" spans="1:8" ht="16.5">
      <c r="A2457" s="160"/>
      <c r="B2457" s="160"/>
      <c r="C2457" s="157"/>
      <c r="D2457" s="159"/>
      <c r="E2457" s="159"/>
      <c r="F2457" s="159"/>
      <c r="G2457" s="160"/>
    </row>
    <row r="2458" spans="1:8" ht="42.75">
      <c r="A2458" s="160" t="s">
        <v>2505</v>
      </c>
      <c r="B2458" s="160" t="s">
        <v>2292</v>
      </c>
      <c r="C2458" s="157" t="s">
        <v>3</v>
      </c>
      <c r="D2458" s="159">
        <v>1</v>
      </c>
      <c r="E2458" s="159">
        <v>251.39</v>
      </c>
      <c r="F2458" s="159"/>
      <c r="G2458" s="160" t="s">
        <v>2293</v>
      </c>
      <c r="H2458" s="34" t="s">
        <v>925</v>
      </c>
    </row>
    <row r="2459" spans="1:8" ht="42.75">
      <c r="A2459" s="160">
        <v>1</v>
      </c>
      <c r="B2459" s="160" t="s">
        <v>2294</v>
      </c>
      <c r="C2459" s="157" t="s">
        <v>3</v>
      </c>
      <c r="D2459" s="159">
        <v>1</v>
      </c>
      <c r="E2459" s="159">
        <v>199.24</v>
      </c>
      <c r="F2459" s="159">
        <v>199.24</v>
      </c>
      <c r="G2459" s="160" t="s">
        <v>2295</v>
      </c>
      <c r="H2459" s="34" t="s">
        <v>925</v>
      </c>
    </row>
    <row r="2460" spans="1:8" ht="42.75">
      <c r="A2460" s="160">
        <v>2</v>
      </c>
      <c r="B2460" s="160" t="s">
        <v>2287</v>
      </c>
      <c r="C2460" s="157" t="s">
        <v>14</v>
      </c>
      <c r="D2460" s="159">
        <v>1</v>
      </c>
      <c r="E2460" s="159">
        <v>44.83</v>
      </c>
      <c r="F2460" s="159">
        <v>44.83</v>
      </c>
      <c r="G2460" s="160" t="s">
        <v>2288</v>
      </c>
      <c r="H2460" s="34" t="s">
        <v>925</v>
      </c>
    </row>
    <row r="2461" spans="1:8" ht="33">
      <c r="A2461" s="160">
        <v>3</v>
      </c>
      <c r="B2461" s="160" t="s">
        <v>931</v>
      </c>
      <c r="C2461" s="157" t="s">
        <v>14</v>
      </c>
      <c r="D2461" s="159">
        <v>1</v>
      </c>
      <c r="E2461" s="159">
        <v>7.32</v>
      </c>
      <c r="F2461" s="159">
        <v>7.32</v>
      </c>
      <c r="G2461" s="160" t="s">
        <v>932</v>
      </c>
      <c r="H2461" s="34" t="s">
        <v>925</v>
      </c>
    </row>
    <row r="2462" spans="1:8" ht="33">
      <c r="A2462" s="160"/>
      <c r="B2462" s="160" t="s">
        <v>933</v>
      </c>
      <c r="C2462" s="157" t="s">
        <v>3</v>
      </c>
      <c r="D2462" s="159">
        <v>1</v>
      </c>
      <c r="E2462" s="159"/>
      <c r="F2462" s="159">
        <v>251.39</v>
      </c>
      <c r="G2462" s="160"/>
      <c r="H2462" s="34" t="s">
        <v>925</v>
      </c>
    </row>
    <row r="2463" spans="1:8" ht="33">
      <c r="A2463" s="160"/>
      <c r="B2463" s="160" t="s">
        <v>934</v>
      </c>
      <c r="C2463" s="157" t="s">
        <v>3</v>
      </c>
      <c r="D2463" s="159"/>
      <c r="E2463" s="159"/>
      <c r="F2463" s="159">
        <v>251.39</v>
      </c>
      <c r="G2463" s="160"/>
      <c r="H2463" s="34" t="s">
        <v>925</v>
      </c>
    </row>
    <row r="2464" spans="1:8" ht="33">
      <c r="A2464" s="160"/>
      <c r="B2464" s="160"/>
      <c r="C2464" s="157"/>
      <c r="D2464" s="159"/>
      <c r="E2464" s="159"/>
      <c r="F2464" s="159"/>
      <c r="G2464" s="160"/>
      <c r="H2464" s="34" t="s">
        <v>925</v>
      </c>
    </row>
    <row r="2465" spans="1:8" ht="33">
      <c r="A2465" s="160" t="s">
        <v>2508</v>
      </c>
      <c r="B2465" s="160" t="s">
        <v>3654</v>
      </c>
      <c r="C2465" s="157" t="s">
        <v>1689</v>
      </c>
      <c r="D2465" s="159">
        <v>1</v>
      </c>
      <c r="E2465" s="159">
        <v>496.84</v>
      </c>
      <c r="F2465" s="159"/>
      <c r="G2465" s="160" t="s">
        <v>4044</v>
      </c>
      <c r="H2465" s="34" t="s">
        <v>925</v>
      </c>
    </row>
    <row r="2466" spans="1:8" ht="57">
      <c r="A2466" s="160">
        <v>1</v>
      </c>
      <c r="B2466" s="160" t="s">
        <v>4987</v>
      </c>
      <c r="C2466" s="157" t="s">
        <v>1689</v>
      </c>
      <c r="D2466" s="159">
        <v>1</v>
      </c>
      <c r="E2466" s="159">
        <v>174.34</v>
      </c>
      <c r="F2466" s="159">
        <v>174.34</v>
      </c>
      <c r="G2466" s="160" t="s">
        <v>4988</v>
      </c>
      <c r="H2466" s="34" t="s">
        <v>925</v>
      </c>
    </row>
    <row r="2467" spans="1:8" ht="28.5">
      <c r="A2467" s="160">
        <v>2</v>
      </c>
      <c r="B2467" s="160" t="s">
        <v>4036</v>
      </c>
      <c r="C2467" s="157" t="s">
        <v>14</v>
      </c>
      <c r="D2467" s="159">
        <v>1</v>
      </c>
      <c r="E2467" s="159">
        <v>103.81</v>
      </c>
      <c r="F2467" s="159">
        <v>103.81</v>
      </c>
      <c r="G2467" s="160" t="s">
        <v>4037</v>
      </c>
    </row>
    <row r="2468" spans="1:8" ht="33">
      <c r="A2468" s="160">
        <v>3</v>
      </c>
      <c r="B2468" s="160" t="s">
        <v>4989</v>
      </c>
      <c r="C2468" s="157" t="s">
        <v>14</v>
      </c>
      <c r="D2468" s="159">
        <v>1</v>
      </c>
      <c r="E2468" s="159">
        <v>204.22</v>
      </c>
      <c r="F2468" s="159">
        <v>204.22</v>
      </c>
      <c r="G2468" s="160" t="s">
        <v>4045</v>
      </c>
      <c r="H2468" s="34" t="s">
        <v>925</v>
      </c>
    </row>
    <row r="2469" spans="1:8" ht="33">
      <c r="A2469" s="160">
        <v>4</v>
      </c>
      <c r="B2469" s="160" t="s">
        <v>931</v>
      </c>
      <c r="C2469" s="157" t="s">
        <v>14</v>
      </c>
      <c r="D2469" s="159">
        <v>1</v>
      </c>
      <c r="E2469" s="159">
        <v>14.47</v>
      </c>
      <c r="F2469" s="159">
        <v>14.47</v>
      </c>
      <c r="G2469" s="160" t="s">
        <v>932</v>
      </c>
      <c r="H2469" s="34" t="s">
        <v>925</v>
      </c>
    </row>
    <row r="2470" spans="1:8" ht="33">
      <c r="A2470" s="160"/>
      <c r="B2470" s="160" t="s">
        <v>933</v>
      </c>
      <c r="C2470" s="157" t="s">
        <v>1689</v>
      </c>
      <c r="D2470" s="159">
        <v>1</v>
      </c>
      <c r="E2470" s="159"/>
      <c r="F2470" s="159">
        <v>496.84000000000003</v>
      </c>
      <c r="G2470" s="160"/>
      <c r="H2470" s="34" t="s">
        <v>925</v>
      </c>
    </row>
    <row r="2471" spans="1:8" ht="33">
      <c r="A2471" s="160"/>
      <c r="B2471" s="160" t="s">
        <v>934</v>
      </c>
      <c r="C2471" s="157" t="s">
        <v>1689</v>
      </c>
      <c r="D2471" s="159"/>
      <c r="E2471" s="159"/>
      <c r="F2471" s="159">
        <v>496.84</v>
      </c>
      <c r="G2471" s="160"/>
      <c r="H2471" s="34" t="s">
        <v>925</v>
      </c>
    </row>
    <row r="2472" spans="1:8" ht="33">
      <c r="A2472" s="160"/>
      <c r="B2472" s="160"/>
      <c r="C2472" s="157"/>
      <c r="D2472" s="159"/>
      <c r="E2472" s="159"/>
      <c r="F2472" s="159"/>
      <c r="G2472" s="160"/>
      <c r="H2472" s="34" t="s">
        <v>925</v>
      </c>
    </row>
    <row r="2473" spans="1:8" ht="33">
      <c r="A2473" s="160" t="s">
        <v>2511</v>
      </c>
      <c r="B2473" s="160" t="s">
        <v>3652</v>
      </c>
      <c r="C2473" s="157" t="s">
        <v>1689</v>
      </c>
      <c r="D2473" s="159">
        <v>1</v>
      </c>
      <c r="E2473" s="159">
        <v>638.14</v>
      </c>
      <c r="F2473" s="159"/>
      <c r="G2473" s="160" t="s">
        <v>3653</v>
      </c>
      <c r="H2473" s="34" t="s">
        <v>925</v>
      </c>
    </row>
    <row r="2474" spans="1:8" ht="57">
      <c r="A2474" s="160">
        <v>1</v>
      </c>
      <c r="B2474" s="160" t="s">
        <v>4987</v>
      </c>
      <c r="C2474" s="157" t="s">
        <v>1689</v>
      </c>
      <c r="D2474" s="159">
        <v>1</v>
      </c>
      <c r="E2474" s="159">
        <v>207.12</v>
      </c>
      <c r="F2474" s="159">
        <v>207.12</v>
      </c>
      <c r="G2474" s="160" t="s">
        <v>4988</v>
      </c>
      <c r="H2474" s="34" t="s">
        <v>925</v>
      </c>
    </row>
    <row r="2475" spans="1:8" ht="33">
      <c r="A2475" s="160">
        <v>2</v>
      </c>
      <c r="B2475" s="160" t="s">
        <v>4036</v>
      </c>
      <c r="C2475" s="157" t="s">
        <v>14</v>
      </c>
      <c r="D2475" s="159">
        <v>1</v>
      </c>
      <c r="E2475" s="159">
        <v>138.47</v>
      </c>
      <c r="F2475" s="159">
        <v>138.47</v>
      </c>
      <c r="G2475" s="160" t="s">
        <v>4037</v>
      </c>
      <c r="H2475" s="34" t="s">
        <v>925</v>
      </c>
    </row>
    <row r="2476" spans="1:8" ht="33">
      <c r="A2476" s="160">
        <v>3</v>
      </c>
      <c r="B2476" s="160" t="s">
        <v>4989</v>
      </c>
      <c r="C2476" s="157" t="s">
        <v>14</v>
      </c>
      <c r="D2476" s="159">
        <v>1</v>
      </c>
      <c r="E2476" s="159">
        <v>273.95999999999998</v>
      </c>
      <c r="F2476" s="159">
        <v>273.95999999999998</v>
      </c>
      <c r="G2476" s="160" t="s">
        <v>4045</v>
      </c>
      <c r="H2476" s="34" t="s">
        <v>925</v>
      </c>
    </row>
    <row r="2477" spans="1:8" ht="28.5">
      <c r="A2477" s="160">
        <v>4</v>
      </c>
      <c r="B2477" s="160" t="s">
        <v>931</v>
      </c>
      <c r="C2477" s="157" t="s">
        <v>14</v>
      </c>
      <c r="D2477" s="159">
        <v>1</v>
      </c>
      <c r="E2477" s="159">
        <v>18.59</v>
      </c>
      <c r="F2477" s="159">
        <v>18.59</v>
      </c>
      <c r="G2477" s="160" t="s">
        <v>932</v>
      </c>
    </row>
    <row r="2478" spans="1:8" ht="33">
      <c r="A2478" s="160"/>
      <c r="B2478" s="160" t="s">
        <v>933</v>
      </c>
      <c r="C2478" s="157" t="s">
        <v>1689</v>
      </c>
      <c r="D2478" s="159">
        <v>1</v>
      </c>
      <c r="E2478" s="159"/>
      <c r="F2478" s="159">
        <v>638.14</v>
      </c>
      <c r="G2478" s="160"/>
      <c r="H2478" s="34" t="s">
        <v>925</v>
      </c>
    </row>
    <row r="2479" spans="1:8" ht="33">
      <c r="A2479" s="160"/>
      <c r="B2479" s="160" t="s">
        <v>934</v>
      </c>
      <c r="C2479" s="157" t="s">
        <v>1689</v>
      </c>
      <c r="D2479" s="159"/>
      <c r="E2479" s="159"/>
      <c r="F2479" s="159">
        <v>638.14</v>
      </c>
      <c r="G2479" s="160"/>
      <c r="H2479" s="34" t="s">
        <v>925</v>
      </c>
    </row>
    <row r="2480" spans="1:8" ht="33">
      <c r="A2480" s="160"/>
      <c r="B2480" s="160"/>
      <c r="C2480" s="157"/>
      <c r="D2480" s="159"/>
      <c r="E2480" s="159"/>
      <c r="F2480" s="159"/>
      <c r="G2480" s="160"/>
      <c r="H2480" s="34" t="s">
        <v>925</v>
      </c>
    </row>
    <row r="2481" spans="1:8" ht="33">
      <c r="A2481" s="160" t="s">
        <v>2514</v>
      </c>
      <c r="B2481" s="160" t="s">
        <v>3649</v>
      </c>
      <c r="C2481" s="157" t="s">
        <v>3</v>
      </c>
      <c r="D2481" s="159">
        <v>1</v>
      </c>
      <c r="E2481" s="159">
        <v>783.73</v>
      </c>
      <c r="F2481" s="159"/>
      <c r="G2481" s="160" t="s">
        <v>4033</v>
      </c>
      <c r="H2481" s="34" t="s">
        <v>925</v>
      </c>
    </row>
    <row r="2482" spans="1:8" ht="42.75">
      <c r="A2482" s="160">
        <v>1</v>
      </c>
      <c r="B2482" s="160" t="s">
        <v>4034</v>
      </c>
      <c r="C2482" s="157" t="s">
        <v>3</v>
      </c>
      <c r="D2482" s="159">
        <v>1.1000000000000001</v>
      </c>
      <c r="E2482" s="159">
        <v>236</v>
      </c>
      <c r="F2482" s="159">
        <v>259.60000000000002</v>
      </c>
      <c r="G2482" s="160" t="s">
        <v>4035</v>
      </c>
      <c r="H2482" s="34" t="s">
        <v>925</v>
      </c>
    </row>
    <row r="2483" spans="1:8" ht="28.5">
      <c r="A2483" s="160">
        <v>2</v>
      </c>
      <c r="B2483" s="160" t="s">
        <v>4036</v>
      </c>
      <c r="C2483" s="157" t="s">
        <v>14</v>
      </c>
      <c r="D2483" s="159">
        <v>1</v>
      </c>
      <c r="E2483" s="159">
        <v>138.47</v>
      </c>
      <c r="F2483" s="159">
        <v>138.47</v>
      </c>
      <c r="G2483" s="160" t="s">
        <v>4037</v>
      </c>
    </row>
    <row r="2484" spans="1:8" ht="42.75">
      <c r="A2484" s="160">
        <v>3</v>
      </c>
      <c r="B2484" s="160" t="s">
        <v>4964</v>
      </c>
      <c r="C2484" s="157" t="s">
        <v>927</v>
      </c>
      <c r="D2484" s="159">
        <v>0.2</v>
      </c>
      <c r="E2484" s="159">
        <v>399.48</v>
      </c>
      <c r="F2484" s="159">
        <v>79.900000000000006</v>
      </c>
      <c r="G2484" s="160" t="s">
        <v>4965</v>
      </c>
      <c r="H2484" s="34" t="s">
        <v>925</v>
      </c>
    </row>
    <row r="2485" spans="1:8" ht="33">
      <c r="A2485" s="160">
        <v>4</v>
      </c>
      <c r="B2485" s="160" t="s">
        <v>1774</v>
      </c>
      <c r="C2485" s="157" t="s">
        <v>927</v>
      </c>
      <c r="D2485" s="159">
        <v>0.2</v>
      </c>
      <c r="E2485" s="159">
        <v>1414.63</v>
      </c>
      <c r="F2485" s="159">
        <v>282.93</v>
      </c>
      <c r="G2485" s="160" t="s">
        <v>1775</v>
      </c>
      <c r="H2485" s="34" t="s">
        <v>925</v>
      </c>
    </row>
    <row r="2486" spans="1:8" ht="33">
      <c r="A2486" s="160">
        <v>5</v>
      </c>
      <c r="B2486" s="160" t="s">
        <v>931</v>
      </c>
      <c r="C2486" s="157" t="s">
        <v>14</v>
      </c>
      <c r="D2486" s="159">
        <v>1</v>
      </c>
      <c r="E2486" s="159">
        <v>22.83</v>
      </c>
      <c r="F2486" s="159">
        <v>22.83</v>
      </c>
      <c r="G2486" s="160" t="s">
        <v>932</v>
      </c>
      <c r="H2486" s="34" t="s">
        <v>925</v>
      </c>
    </row>
    <row r="2487" spans="1:8" ht="33">
      <c r="A2487" s="160"/>
      <c r="B2487" s="160" t="s">
        <v>933</v>
      </c>
      <c r="C2487" s="157" t="s">
        <v>3</v>
      </c>
      <c r="D2487" s="159">
        <v>1</v>
      </c>
      <c r="E2487" s="159"/>
      <c r="F2487" s="159">
        <v>783.73000000000013</v>
      </c>
      <c r="G2487" s="160"/>
      <c r="H2487" s="34" t="s">
        <v>925</v>
      </c>
    </row>
    <row r="2488" spans="1:8" ht="33">
      <c r="A2488" s="160"/>
      <c r="B2488" s="160" t="s">
        <v>934</v>
      </c>
      <c r="C2488" s="157" t="s">
        <v>3</v>
      </c>
      <c r="D2488" s="159"/>
      <c r="E2488" s="159"/>
      <c r="F2488" s="159">
        <v>783.73</v>
      </c>
      <c r="G2488" s="160"/>
      <c r="H2488" s="34" t="s">
        <v>925</v>
      </c>
    </row>
    <row r="2489" spans="1:8" ht="33">
      <c r="A2489" s="160"/>
      <c r="B2489" s="160"/>
      <c r="C2489" s="157"/>
      <c r="D2489" s="159"/>
      <c r="E2489" s="159"/>
      <c r="F2489" s="159"/>
      <c r="G2489" s="160"/>
      <c r="H2489" s="34" t="s">
        <v>925</v>
      </c>
    </row>
    <row r="2490" spans="1:8" ht="28.5">
      <c r="A2490" s="160" t="s">
        <v>2517</v>
      </c>
      <c r="B2490" s="160" t="s">
        <v>3650</v>
      </c>
      <c r="C2490" s="157" t="s">
        <v>3</v>
      </c>
      <c r="D2490" s="159">
        <v>1</v>
      </c>
      <c r="E2490" s="159">
        <v>868.17</v>
      </c>
      <c r="F2490" s="159"/>
      <c r="G2490" s="160" t="s">
        <v>4038</v>
      </c>
    </row>
    <row r="2491" spans="1:8" ht="42.75">
      <c r="A2491" s="160">
        <v>1</v>
      </c>
      <c r="B2491" s="160" t="s">
        <v>4039</v>
      </c>
      <c r="C2491" s="157" t="s">
        <v>3</v>
      </c>
      <c r="D2491" s="159">
        <v>1.1000000000000001</v>
      </c>
      <c r="E2491" s="159">
        <v>310.52999999999997</v>
      </c>
      <c r="F2491" s="159">
        <v>341.58</v>
      </c>
      <c r="G2491" s="160" t="s">
        <v>4040</v>
      </c>
      <c r="H2491" s="34" t="s">
        <v>925</v>
      </c>
    </row>
    <row r="2492" spans="1:8" ht="33">
      <c r="A2492" s="160">
        <v>2</v>
      </c>
      <c r="B2492" s="160" t="s">
        <v>4036</v>
      </c>
      <c r="C2492" s="157" t="s">
        <v>14</v>
      </c>
      <c r="D2492" s="159">
        <v>1</v>
      </c>
      <c r="E2492" s="159">
        <v>138.47</v>
      </c>
      <c r="F2492" s="159">
        <v>138.47</v>
      </c>
      <c r="G2492" s="160" t="s">
        <v>4037</v>
      </c>
      <c r="H2492" s="34" t="s">
        <v>925</v>
      </c>
    </row>
    <row r="2493" spans="1:8" ht="42.75">
      <c r="A2493" s="160">
        <v>3</v>
      </c>
      <c r="B2493" s="160" t="s">
        <v>4964</v>
      </c>
      <c r="C2493" s="157" t="s">
        <v>927</v>
      </c>
      <c r="D2493" s="159">
        <v>0.2</v>
      </c>
      <c r="E2493" s="159">
        <v>399.48</v>
      </c>
      <c r="F2493" s="159">
        <v>79.900000000000006</v>
      </c>
      <c r="G2493" s="160" t="s">
        <v>4965</v>
      </c>
      <c r="H2493" s="34" t="s">
        <v>925</v>
      </c>
    </row>
    <row r="2494" spans="1:8" ht="33">
      <c r="A2494" s="160">
        <v>4</v>
      </c>
      <c r="B2494" s="160" t="s">
        <v>1774</v>
      </c>
      <c r="C2494" s="157" t="s">
        <v>927</v>
      </c>
      <c r="D2494" s="159">
        <v>0.2</v>
      </c>
      <c r="E2494" s="159">
        <v>1414.63</v>
      </c>
      <c r="F2494" s="159">
        <v>282.93</v>
      </c>
      <c r="G2494" s="160" t="s">
        <v>1775</v>
      </c>
      <c r="H2494" s="34" t="s">
        <v>925</v>
      </c>
    </row>
    <row r="2495" spans="1:8" ht="33">
      <c r="A2495" s="160">
        <v>5</v>
      </c>
      <c r="B2495" s="160" t="s">
        <v>931</v>
      </c>
      <c r="C2495" s="157" t="s">
        <v>14</v>
      </c>
      <c r="D2495" s="159">
        <v>1</v>
      </c>
      <c r="E2495" s="159">
        <v>25.29</v>
      </c>
      <c r="F2495" s="159">
        <v>25.29</v>
      </c>
      <c r="G2495" s="160" t="s">
        <v>932</v>
      </c>
      <c r="H2495" s="34" t="s">
        <v>925</v>
      </c>
    </row>
    <row r="2496" spans="1:8" ht="16.5">
      <c r="A2496" s="160"/>
      <c r="B2496" s="160" t="s">
        <v>933</v>
      </c>
      <c r="C2496" s="157" t="s">
        <v>3</v>
      </c>
      <c r="D2496" s="159">
        <v>1</v>
      </c>
      <c r="E2496" s="159"/>
      <c r="F2496" s="159">
        <v>868.16999999999985</v>
      </c>
      <c r="G2496" s="160"/>
    </row>
    <row r="2497" spans="1:8" ht="33">
      <c r="A2497" s="160"/>
      <c r="B2497" s="160" t="s">
        <v>934</v>
      </c>
      <c r="C2497" s="157" t="s">
        <v>3</v>
      </c>
      <c r="D2497" s="159"/>
      <c r="E2497" s="159"/>
      <c r="F2497" s="159">
        <v>868.17</v>
      </c>
      <c r="G2497" s="160"/>
      <c r="H2497" s="34" t="s">
        <v>925</v>
      </c>
    </row>
    <row r="2498" spans="1:8" ht="33">
      <c r="A2498" s="160"/>
      <c r="B2498" s="160"/>
      <c r="C2498" s="157"/>
      <c r="D2498" s="159"/>
      <c r="E2498" s="159"/>
      <c r="F2498" s="159"/>
      <c r="G2498" s="160"/>
      <c r="H2498" s="34" t="s">
        <v>925</v>
      </c>
    </row>
    <row r="2499" spans="1:8" ht="33">
      <c r="A2499" s="160" t="s">
        <v>2526</v>
      </c>
      <c r="B2499" s="160" t="s">
        <v>3651</v>
      </c>
      <c r="C2499" s="157" t="s">
        <v>3</v>
      </c>
      <c r="D2499" s="159">
        <v>1</v>
      </c>
      <c r="E2499" s="159">
        <v>966.69</v>
      </c>
      <c r="F2499" s="159"/>
      <c r="G2499" s="160" t="s">
        <v>4041</v>
      </c>
      <c r="H2499" s="34" t="s">
        <v>925</v>
      </c>
    </row>
    <row r="2500" spans="1:8" ht="42.75">
      <c r="A2500" s="160">
        <v>1</v>
      </c>
      <c r="B2500" s="160" t="s">
        <v>4042</v>
      </c>
      <c r="C2500" s="157" t="s">
        <v>3</v>
      </c>
      <c r="D2500" s="159">
        <v>1.1000000000000001</v>
      </c>
      <c r="E2500" s="159">
        <v>397.48</v>
      </c>
      <c r="F2500" s="159">
        <v>437.23</v>
      </c>
      <c r="G2500" s="160" t="s">
        <v>4043</v>
      </c>
      <c r="H2500" s="34" t="s">
        <v>925</v>
      </c>
    </row>
    <row r="2501" spans="1:8" ht="33">
      <c r="A2501" s="160">
        <v>2</v>
      </c>
      <c r="B2501" s="160" t="s">
        <v>4036</v>
      </c>
      <c r="C2501" s="157" t="s">
        <v>14</v>
      </c>
      <c r="D2501" s="159">
        <v>1</v>
      </c>
      <c r="E2501" s="159">
        <v>138.47</v>
      </c>
      <c r="F2501" s="159">
        <v>138.47</v>
      </c>
      <c r="G2501" s="160" t="s">
        <v>4037</v>
      </c>
      <c r="H2501" s="34" t="s">
        <v>925</v>
      </c>
    </row>
    <row r="2502" spans="1:8" ht="42.75">
      <c r="A2502" s="160">
        <v>3</v>
      </c>
      <c r="B2502" s="160" t="s">
        <v>4964</v>
      </c>
      <c r="C2502" s="157" t="s">
        <v>927</v>
      </c>
      <c r="D2502" s="159">
        <v>0.2</v>
      </c>
      <c r="E2502" s="159">
        <v>399.48</v>
      </c>
      <c r="F2502" s="159">
        <v>79.900000000000006</v>
      </c>
      <c r="G2502" s="160" t="s">
        <v>4965</v>
      </c>
      <c r="H2502" s="34" t="s">
        <v>925</v>
      </c>
    </row>
    <row r="2503" spans="1:8" ht="28.5">
      <c r="A2503" s="160">
        <v>4</v>
      </c>
      <c r="B2503" s="160" t="s">
        <v>1774</v>
      </c>
      <c r="C2503" s="157" t="s">
        <v>927</v>
      </c>
      <c r="D2503" s="159">
        <v>0.2</v>
      </c>
      <c r="E2503" s="159">
        <v>1414.63</v>
      </c>
      <c r="F2503" s="159">
        <v>282.93</v>
      </c>
      <c r="G2503" s="160" t="s">
        <v>1775</v>
      </c>
    </row>
    <row r="2504" spans="1:8" ht="33">
      <c r="A2504" s="160">
        <v>5</v>
      </c>
      <c r="B2504" s="160" t="s">
        <v>931</v>
      </c>
      <c r="C2504" s="157" t="s">
        <v>14</v>
      </c>
      <c r="D2504" s="159">
        <v>1</v>
      </c>
      <c r="E2504" s="159">
        <v>28.16</v>
      </c>
      <c r="F2504" s="159">
        <v>28.16</v>
      </c>
      <c r="G2504" s="160" t="s">
        <v>932</v>
      </c>
      <c r="H2504" s="34" t="s">
        <v>925</v>
      </c>
    </row>
    <row r="2505" spans="1:8" ht="33">
      <c r="A2505" s="160"/>
      <c r="B2505" s="160" t="s">
        <v>933</v>
      </c>
      <c r="C2505" s="157" t="s">
        <v>3</v>
      </c>
      <c r="D2505" s="159">
        <v>1</v>
      </c>
      <c r="E2505" s="159"/>
      <c r="F2505" s="159">
        <v>966.68999999999994</v>
      </c>
      <c r="G2505" s="160"/>
      <c r="H2505" s="34" t="s">
        <v>925</v>
      </c>
    </row>
    <row r="2506" spans="1:8" ht="33">
      <c r="A2506" s="160"/>
      <c r="B2506" s="160" t="s">
        <v>934</v>
      </c>
      <c r="C2506" s="157" t="s">
        <v>3</v>
      </c>
      <c r="D2506" s="159"/>
      <c r="E2506" s="159"/>
      <c r="F2506" s="159">
        <v>966.69</v>
      </c>
      <c r="G2506" s="160"/>
      <c r="H2506" s="34" t="s">
        <v>925</v>
      </c>
    </row>
    <row r="2507" spans="1:8" ht="33">
      <c r="A2507" s="160"/>
      <c r="B2507" s="160"/>
      <c r="C2507" s="157"/>
      <c r="D2507" s="159"/>
      <c r="E2507" s="159"/>
      <c r="F2507" s="159"/>
      <c r="G2507" s="160"/>
      <c r="H2507" s="34" t="s">
        <v>925</v>
      </c>
    </row>
    <row r="2508" spans="1:8" ht="33">
      <c r="A2508" s="160" t="s">
        <v>2529</v>
      </c>
      <c r="B2508" s="160" t="s">
        <v>2299</v>
      </c>
      <c r="C2508" s="157" t="s">
        <v>1689</v>
      </c>
      <c r="D2508" s="159">
        <v>1</v>
      </c>
      <c r="E2508" s="159">
        <v>73366.509999999995</v>
      </c>
      <c r="F2508" s="159"/>
      <c r="G2508" s="160" t="s">
        <v>2300</v>
      </c>
      <c r="H2508" s="34" t="s">
        <v>925</v>
      </c>
    </row>
    <row r="2509" spans="1:8" ht="33">
      <c r="A2509" s="160">
        <v>1</v>
      </c>
      <c r="B2509" s="160" t="s">
        <v>2301</v>
      </c>
      <c r="C2509" s="157" t="s">
        <v>1689</v>
      </c>
      <c r="D2509" s="159">
        <v>1</v>
      </c>
      <c r="E2509" s="159">
        <v>67244.75</v>
      </c>
      <c r="F2509" s="159">
        <v>67244.75</v>
      </c>
      <c r="G2509" s="160" t="s">
        <v>2302</v>
      </c>
      <c r="H2509" s="34" t="s">
        <v>925</v>
      </c>
    </row>
    <row r="2510" spans="1:8" ht="33">
      <c r="A2510" s="160">
        <v>2</v>
      </c>
      <c r="B2510" s="160" t="s">
        <v>2303</v>
      </c>
      <c r="C2510" s="157" t="s">
        <v>14</v>
      </c>
      <c r="D2510" s="159">
        <v>1</v>
      </c>
      <c r="E2510" s="159">
        <v>3984.87</v>
      </c>
      <c r="F2510" s="159">
        <v>3984.87</v>
      </c>
      <c r="G2510" s="160" t="s">
        <v>2304</v>
      </c>
      <c r="H2510" s="34" t="s">
        <v>925</v>
      </c>
    </row>
    <row r="2511" spans="1:8" ht="28.5">
      <c r="A2511" s="160">
        <v>3</v>
      </c>
      <c r="B2511" s="160" t="s">
        <v>931</v>
      </c>
      <c r="C2511" s="157" t="s">
        <v>14</v>
      </c>
      <c r="D2511" s="159">
        <v>1</v>
      </c>
      <c r="E2511" s="159">
        <v>2136.89</v>
      </c>
      <c r="F2511" s="159">
        <v>2136.89</v>
      </c>
      <c r="G2511" s="160" t="s">
        <v>932</v>
      </c>
    </row>
    <row r="2512" spans="1:8" ht="33">
      <c r="A2512" s="160"/>
      <c r="B2512" s="160" t="s">
        <v>933</v>
      </c>
      <c r="C2512" s="157" t="s">
        <v>1689</v>
      </c>
      <c r="D2512" s="159">
        <v>1</v>
      </c>
      <c r="E2512" s="159"/>
      <c r="F2512" s="159">
        <v>73366.509999999995</v>
      </c>
      <c r="G2512" s="160"/>
      <c r="H2512" s="34" t="s">
        <v>925</v>
      </c>
    </row>
    <row r="2513" spans="1:8" ht="33">
      <c r="A2513" s="160"/>
      <c r="B2513" s="160" t="s">
        <v>934</v>
      </c>
      <c r="C2513" s="157" t="s">
        <v>1689</v>
      </c>
      <c r="D2513" s="159"/>
      <c r="E2513" s="159"/>
      <c r="F2513" s="159">
        <v>73366.509999999995</v>
      </c>
      <c r="G2513" s="160"/>
      <c r="H2513" s="34" t="s">
        <v>925</v>
      </c>
    </row>
    <row r="2514" spans="1:8" ht="33">
      <c r="A2514" s="160"/>
      <c r="B2514" s="160"/>
      <c r="C2514" s="157"/>
      <c r="D2514" s="159"/>
      <c r="E2514" s="159"/>
      <c r="F2514" s="159"/>
      <c r="G2514" s="160"/>
      <c r="H2514" s="34" t="s">
        <v>925</v>
      </c>
    </row>
    <row r="2515" spans="1:8" ht="33">
      <c r="A2515" s="160" t="s">
        <v>2536</v>
      </c>
      <c r="B2515" s="160" t="s">
        <v>2306</v>
      </c>
      <c r="C2515" s="157" t="s">
        <v>1497</v>
      </c>
      <c r="D2515" s="159">
        <v>1</v>
      </c>
      <c r="E2515" s="159">
        <v>528.44000000000005</v>
      </c>
      <c r="F2515" s="159"/>
      <c r="G2515" s="160" t="s">
        <v>2307</v>
      </c>
      <c r="H2515" s="34" t="s">
        <v>925</v>
      </c>
    </row>
    <row r="2516" spans="1:8" ht="33">
      <c r="A2516" s="160">
        <v>1</v>
      </c>
      <c r="B2516" s="160" t="s">
        <v>2308</v>
      </c>
      <c r="C2516" s="157" t="s">
        <v>1497</v>
      </c>
      <c r="D2516" s="159">
        <v>1</v>
      </c>
      <c r="E2516" s="159">
        <v>493.13</v>
      </c>
      <c r="F2516" s="159">
        <v>493.13</v>
      </c>
      <c r="G2516" s="160" t="s">
        <v>2309</v>
      </c>
      <c r="H2516" s="34" t="s">
        <v>925</v>
      </c>
    </row>
    <row r="2517" spans="1:8" ht="33">
      <c r="A2517" s="160">
        <v>2</v>
      </c>
      <c r="B2517" s="160" t="s">
        <v>2310</v>
      </c>
      <c r="C2517" s="157" t="s">
        <v>14</v>
      </c>
      <c r="D2517" s="159">
        <v>1</v>
      </c>
      <c r="E2517" s="159">
        <v>19.920000000000002</v>
      </c>
      <c r="F2517" s="159">
        <v>19.920000000000002</v>
      </c>
      <c r="G2517" s="160" t="s">
        <v>2311</v>
      </c>
      <c r="H2517" s="34" t="s">
        <v>925</v>
      </c>
    </row>
    <row r="2518" spans="1:8" ht="33">
      <c r="A2518" s="160">
        <v>3</v>
      </c>
      <c r="B2518" s="160" t="s">
        <v>931</v>
      </c>
      <c r="C2518" s="157" t="s">
        <v>14</v>
      </c>
      <c r="D2518" s="159">
        <v>1</v>
      </c>
      <c r="E2518" s="159">
        <v>15.39</v>
      </c>
      <c r="F2518" s="159">
        <v>15.39</v>
      </c>
      <c r="G2518" s="160" t="s">
        <v>932</v>
      </c>
      <c r="H2518" s="34" t="s">
        <v>925</v>
      </c>
    </row>
    <row r="2519" spans="1:8" ht="16.5">
      <c r="A2519" s="160"/>
      <c r="B2519" s="160" t="s">
        <v>933</v>
      </c>
      <c r="C2519" s="157" t="s">
        <v>1497</v>
      </c>
      <c r="D2519" s="159">
        <v>1</v>
      </c>
      <c r="E2519" s="159"/>
      <c r="F2519" s="159">
        <v>528.43999999999994</v>
      </c>
      <c r="G2519" s="160"/>
    </row>
    <row r="2520" spans="1:8" ht="33">
      <c r="A2520" s="160"/>
      <c r="B2520" s="160" t="s">
        <v>934</v>
      </c>
      <c r="C2520" s="157" t="s">
        <v>1497</v>
      </c>
      <c r="D2520" s="159"/>
      <c r="E2520" s="159"/>
      <c r="F2520" s="159">
        <v>528.44000000000005</v>
      </c>
      <c r="G2520" s="160"/>
      <c r="H2520" s="34" t="s">
        <v>925</v>
      </c>
    </row>
    <row r="2521" spans="1:8" ht="33">
      <c r="A2521" s="160"/>
      <c r="B2521" s="160"/>
      <c r="C2521" s="157"/>
      <c r="D2521" s="159"/>
      <c r="E2521" s="159"/>
      <c r="F2521" s="159"/>
      <c r="G2521" s="160"/>
      <c r="H2521" s="34" t="s">
        <v>925</v>
      </c>
    </row>
    <row r="2522" spans="1:8" ht="33">
      <c r="A2522" s="160" t="s">
        <v>2539</v>
      </c>
      <c r="B2522" s="160" t="s">
        <v>2313</v>
      </c>
      <c r="C2522" s="157" t="s">
        <v>1497</v>
      </c>
      <c r="D2522" s="159">
        <v>1</v>
      </c>
      <c r="E2522" s="159">
        <v>701.86</v>
      </c>
      <c r="F2522" s="159"/>
      <c r="G2522" s="160" t="s">
        <v>2314</v>
      </c>
      <c r="H2522" s="34" t="s">
        <v>925</v>
      </c>
    </row>
    <row r="2523" spans="1:8" ht="33">
      <c r="A2523" s="160">
        <v>1</v>
      </c>
      <c r="B2523" s="160" t="s">
        <v>2119</v>
      </c>
      <c r="C2523" s="157" t="s">
        <v>1497</v>
      </c>
      <c r="D2523" s="159">
        <v>1</v>
      </c>
      <c r="E2523" s="159">
        <v>462.25</v>
      </c>
      <c r="F2523" s="159">
        <v>462.25</v>
      </c>
      <c r="G2523" s="160" t="s">
        <v>2120</v>
      </c>
      <c r="H2523" s="34" t="s">
        <v>925</v>
      </c>
    </row>
    <row r="2524" spans="1:8" ht="33">
      <c r="A2524" s="160">
        <v>2</v>
      </c>
      <c r="B2524" s="160" t="s">
        <v>2315</v>
      </c>
      <c r="C2524" s="157" t="s">
        <v>14</v>
      </c>
      <c r="D2524" s="159">
        <v>1</v>
      </c>
      <c r="E2524" s="159">
        <v>219.17</v>
      </c>
      <c r="F2524" s="159">
        <v>219.17</v>
      </c>
      <c r="G2524" s="160" t="s">
        <v>2316</v>
      </c>
      <c r="H2524" s="34" t="s">
        <v>925</v>
      </c>
    </row>
    <row r="2525" spans="1:8" ht="33">
      <c r="A2525" s="160">
        <v>3</v>
      </c>
      <c r="B2525" s="160" t="s">
        <v>931</v>
      </c>
      <c r="C2525" s="157" t="s">
        <v>14</v>
      </c>
      <c r="D2525" s="159">
        <v>1</v>
      </c>
      <c r="E2525" s="159">
        <v>20.440000000000001</v>
      </c>
      <c r="F2525" s="159">
        <v>20.440000000000001</v>
      </c>
      <c r="G2525" s="160" t="s">
        <v>932</v>
      </c>
      <c r="H2525" s="34" t="s">
        <v>925</v>
      </c>
    </row>
    <row r="2526" spans="1:8" ht="33">
      <c r="A2526" s="160"/>
      <c r="B2526" s="160" t="s">
        <v>933</v>
      </c>
      <c r="C2526" s="157" t="s">
        <v>1497</v>
      </c>
      <c r="D2526" s="159">
        <v>1</v>
      </c>
      <c r="E2526" s="159"/>
      <c r="F2526" s="159">
        <v>701.86</v>
      </c>
      <c r="G2526" s="160"/>
      <c r="H2526" s="34" t="s">
        <v>925</v>
      </c>
    </row>
    <row r="2527" spans="1:8" ht="33">
      <c r="A2527" s="160"/>
      <c r="B2527" s="160" t="s">
        <v>934</v>
      </c>
      <c r="C2527" s="157" t="s">
        <v>1497</v>
      </c>
      <c r="D2527" s="159"/>
      <c r="E2527" s="159"/>
      <c r="F2527" s="159">
        <v>701.86</v>
      </c>
      <c r="G2527" s="160"/>
      <c r="H2527" s="34" t="s">
        <v>925</v>
      </c>
    </row>
    <row r="2528" spans="1:8" ht="33">
      <c r="A2528" s="160"/>
      <c r="B2528" s="160"/>
      <c r="C2528" s="157"/>
      <c r="D2528" s="159"/>
      <c r="E2528" s="159"/>
      <c r="F2528" s="159"/>
      <c r="G2528" s="160"/>
      <c r="H2528" s="34" t="s">
        <v>925</v>
      </c>
    </row>
    <row r="2529" spans="1:8" ht="42.75">
      <c r="A2529" s="160" t="s">
        <v>2543</v>
      </c>
      <c r="B2529" s="160" t="s">
        <v>2318</v>
      </c>
      <c r="C2529" s="157" t="s">
        <v>1497</v>
      </c>
      <c r="D2529" s="159">
        <v>1</v>
      </c>
      <c r="E2529" s="159">
        <v>712.12</v>
      </c>
      <c r="F2529" s="159"/>
      <c r="G2529" s="160" t="s">
        <v>2319</v>
      </c>
    </row>
    <row r="2530" spans="1:8" ht="33">
      <c r="A2530" s="160">
        <v>1</v>
      </c>
      <c r="B2530" s="160" t="s">
        <v>2320</v>
      </c>
      <c r="C2530" s="157" t="s">
        <v>14</v>
      </c>
      <c r="D2530" s="159">
        <v>1</v>
      </c>
      <c r="E2530" s="159">
        <v>29.89</v>
      </c>
      <c r="F2530" s="159">
        <v>29.89</v>
      </c>
      <c r="G2530" s="160" t="s">
        <v>2321</v>
      </c>
      <c r="H2530" s="34" t="s">
        <v>925</v>
      </c>
    </row>
    <row r="2531" spans="1:8" ht="33">
      <c r="A2531" s="160">
        <v>2</v>
      </c>
      <c r="B2531" s="160" t="s">
        <v>2119</v>
      </c>
      <c r="C2531" s="157" t="s">
        <v>1497</v>
      </c>
      <c r="D2531" s="159">
        <v>1</v>
      </c>
      <c r="E2531" s="159">
        <v>462.25</v>
      </c>
      <c r="F2531" s="159">
        <v>462.25</v>
      </c>
      <c r="G2531" s="160" t="s">
        <v>2120</v>
      </c>
      <c r="H2531" s="34" t="s">
        <v>925</v>
      </c>
    </row>
    <row r="2532" spans="1:8" ht="33">
      <c r="A2532" s="160">
        <v>3</v>
      </c>
      <c r="B2532" s="160" t="s">
        <v>2322</v>
      </c>
      <c r="C2532" s="157" t="s">
        <v>14</v>
      </c>
      <c r="D2532" s="159">
        <v>1</v>
      </c>
      <c r="E2532" s="159">
        <v>149.43</v>
      </c>
      <c r="F2532" s="159">
        <v>149.43</v>
      </c>
      <c r="G2532" s="160" t="s">
        <v>2323</v>
      </c>
      <c r="H2532" s="34" t="s">
        <v>925</v>
      </c>
    </row>
    <row r="2533" spans="1:8" ht="33">
      <c r="A2533" s="160">
        <v>4</v>
      </c>
      <c r="B2533" s="160" t="s">
        <v>2324</v>
      </c>
      <c r="C2533" s="157" t="s">
        <v>14</v>
      </c>
      <c r="D2533" s="159">
        <v>1</v>
      </c>
      <c r="E2533" s="159">
        <v>49.81</v>
      </c>
      <c r="F2533" s="159">
        <v>49.81</v>
      </c>
      <c r="G2533" s="160" t="s">
        <v>2325</v>
      </c>
      <c r="H2533" s="34" t="s">
        <v>925</v>
      </c>
    </row>
    <row r="2534" spans="1:8" ht="33">
      <c r="A2534" s="160">
        <v>5</v>
      </c>
      <c r="B2534" s="160" t="s">
        <v>931</v>
      </c>
      <c r="C2534" s="157" t="s">
        <v>14</v>
      </c>
      <c r="D2534" s="159">
        <v>1</v>
      </c>
      <c r="E2534" s="159">
        <v>20.74</v>
      </c>
      <c r="F2534" s="159">
        <v>20.74</v>
      </c>
      <c r="G2534" s="160" t="s">
        <v>932</v>
      </c>
      <c r="H2534" s="34" t="s">
        <v>925</v>
      </c>
    </row>
    <row r="2535" spans="1:8" ht="33">
      <c r="A2535" s="160"/>
      <c r="B2535" s="160" t="s">
        <v>933</v>
      </c>
      <c r="C2535" s="157" t="s">
        <v>1497</v>
      </c>
      <c r="D2535" s="159">
        <v>1</v>
      </c>
      <c r="E2535" s="159"/>
      <c r="F2535" s="159">
        <v>712.11999999999989</v>
      </c>
      <c r="G2535" s="160"/>
      <c r="H2535" s="34" t="s">
        <v>925</v>
      </c>
    </row>
    <row r="2536" spans="1:8" ht="33">
      <c r="A2536" s="160"/>
      <c r="B2536" s="160" t="s">
        <v>934</v>
      </c>
      <c r="C2536" s="157" t="s">
        <v>1497</v>
      </c>
      <c r="D2536" s="159"/>
      <c r="E2536" s="159"/>
      <c r="F2536" s="159">
        <v>712.12</v>
      </c>
      <c r="G2536" s="160"/>
      <c r="H2536" s="34" t="s">
        <v>925</v>
      </c>
    </row>
    <row r="2537" spans="1:8" ht="33">
      <c r="A2537" s="160"/>
      <c r="B2537" s="160"/>
      <c r="C2537" s="157"/>
      <c r="D2537" s="159"/>
      <c r="E2537" s="159"/>
      <c r="F2537" s="159"/>
      <c r="G2537" s="160"/>
      <c r="H2537" s="34" t="s">
        <v>925</v>
      </c>
    </row>
    <row r="2538" spans="1:8" ht="42.75">
      <c r="A2538" s="160" t="s">
        <v>2546</v>
      </c>
      <c r="B2538" s="160" t="s">
        <v>2327</v>
      </c>
      <c r="C2538" s="157" t="s">
        <v>1497</v>
      </c>
      <c r="D2538" s="159">
        <v>3.3</v>
      </c>
      <c r="E2538" s="159">
        <v>489.42</v>
      </c>
      <c r="F2538" s="159"/>
      <c r="G2538" s="160" t="s">
        <v>2328</v>
      </c>
      <c r="H2538" s="34" t="s">
        <v>925</v>
      </c>
    </row>
    <row r="2539" spans="1:8" ht="28.5">
      <c r="A2539" s="160">
        <v>1</v>
      </c>
      <c r="B2539" s="160" t="s">
        <v>2320</v>
      </c>
      <c r="C2539" s="157" t="s">
        <v>14</v>
      </c>
      <c r="D2539" s="159">
        <v>1</v>
      </c>
      <c r="E2539" s="159">
        <v>29.89</v>
      </c>
      <c r="F2539" s="159">
        <v>29.89</v>
      </c>
      <c r="G2539" s="160" t="s">
        <v>2321</v>
      </c>
    </row>
    <row r="2540" spans="1:8" ht="33">
      <c r="A2540" s="160">
        <v>2</v>
      </c>
      <c r="B2540" s="160" t="s">
        <v>2329</v>
      </c>
      <c r="C2540" s="157" t="s">
        <v>14</v>
      </c>
      <c r="D2540" s="159">
        <v>1</v>
      </c>
      <c r="E2540" s="159">
        <v>488.15</v>
      </c>
      <c r="F2540" s="159">
        <v>488.15</v>
      </c>
      <c r="G2540" s="160" t="s">
        <v>2330</v>
      </c>
      <c r="H2540" s="34" t="s">
        <v>925</v>
      </c>
    </row>
    <row r="2541" spans="1:8" ht="33">
      <c r="A2541" s="160">
        <v>3</v>
      </c>
      <c r="B2541" s="160" t="s">
        <v>2331</v>
      </c>
      <c r="C2541" s="157" t="s">
        <v>14</v>
      </c>
      <c r="D2541" s="159">
        <v>1</v>
      </c>
      <c r="E2541" s="159">
        <v>458.26</v>
      </c>
      <c r="F2541" s="159">
        <v>458.26</v>
      </c>
      <c r="G2541" s="160" t="s">
        <v>2332</v>
      </c>
      <c r="H2541" s="34" t="s">
        <v>925</v>
      </c>
    </row>
    <row r="2542" spans="1:8" ht="33">
      <c r="A2542" s="160">
        <v>4</v>
      </c>
      <c r="B2542" s="160" t="s">
        <v>2333</v>
      </c>
      <c r="C2542" s="157" t="s">
        <v>1497</v>
      </c>
      <c r="D2542" s="159">
        <v>4.4000000000000004</v>
      </c>
      <c r="E2542" s="159">
        <v>69.739999999999995</v>
      </c>
      <c r="F2542" s="159">
        <v>306.86</v>
      </c>
      <c r="G2542" s="160" t="s">
        <v>2334</v>
      </c>
      <c r="H2542" s="34" t="s">
        <v>925</v>
      </c>
    </row>
    <row r="2543" spans="1:8" ht="33">
      <c r="A2543" s="160">
        <v>5</v>
      </c>
      <c r="B2543" s="160" t="s">
        <v>2322</v>
      </c>
      <c r="C2543" s="157" t="s">
        <v>2335</v>
      </c>
      <c r="D2543" s="159">
        <v>4.4000000000000004</v>
      </c>
      <c r="E2543" s="159">
        <v>64.75</v>
      </c>
      <c r="F2543" s="159">
        <v>284.89999999999998</v>
      </c>
      <c r="G2543" s="160" t="s">
        <v>2336</v>
      </c>
      <c r="H2543" s="34" t="s">
        <v>925</v>
      </c>
    </row>
    <row r="2544" spans="1:8" ht="33">
      <c r="A2544" s="160">
        <v>6</v>
      </c>
      <c r="B2544" s="160" t="s">
        <v>931</v>
      </c>
      <c r="C2544" s="157" t="s">
        <v>14</v>
      </c>
      <c r="D2544" s="159">
        <v>1</v>
      </c>
      <c r="E2544" s="159">
        <v>47.04</v>
      </c>
      <c r="F2544" s="159">
        <v>47.04</v>
      </c>
      <c r="G2544" s="160" t="s">
        <v>932</v>
      </c>
      <c r="H2544" s="34" t="s">
        <v>925</v>
      </c>
    </row>
    <row r="2545" spans="1:8" ht="33">
      <c r="A2545" s="160"/>
      <c r="B2545" s="160" t="s">
        <v>933</v>
      </c>
      <c r="C2545" s="157" t="s">
        <v>1497</v>
      </c>
      <c r="D2545" s="159">
        <v>3.3</v>
      </c>
      <c r="E2545" s="159"/>
      <c r="F2545" s="159">
        <v>1615.1</v>
      </c>
      <c r="G2545" s="160"/>
      <c r="H2545" s="34" t="s">
        <v>925</v>
      </c>
    </row>
    <row r="2546" spans="1:8" ht="33">
      <c r="A2546" s="160"/>
      <c r="B2546" s="160" t="s">
        <v>934</v>
      </c>
      <c r="C2546" s="157" t="s">
        <v>1497</v>
      </c>
      <c r="D2546" s="159"/>
      <c r="E2546" s="159"/>
      <c r="F2546" s="159">
        <v>489.42</v>
      </c>
      <c r="G2546" s="160"/>
      <c r="H2546" s="34" t="s">
        <v>925</v>
      </c>
    </row>
    <row r="2547" spans="1:8" ht="33">
      <c r="A2547" s="160"/>
      <c r="B2547" s="160"/>
      <c r="C2547" s="157"/>
      <c r="D2547" s="159"/>
      <c r="E2547" s="159"/>
      <c r="F2547" s="159"/>
      <c r="G2547" s="160"/>
      <c r="H2547" s="34" t="s">
        <v>925</v>
      </c>
    </row>
    <row r="2548" spans="1:8" ht="42.75">
      <c r="A2548" s="160" t="s">
        <v>2549</v>
      </c>
      <c r="B2548" s="160" t="s">
        <v>2338</v>
      </c>
      <c r="C2548" s="157" t="s">
        <v>2238</v>
      </c>
      <c r="D2548" s="159">
        <v>1</v>
      </c>
      <c r="E2548" s="159">
        <v>1303.17</v>
      </c>
      <c r="F2548" s="159"/>
      <c r="G2548" s="160" t="s">
        <v>2339</v>
      </c>
      <c r="H2548" s="34" t="s">
        <v>925</v>
      </c>
    </row>
    <row r="2549" spans="1:8" ht="28.5">
      <c r="A2549" s="160">
        <v>1</v>
      </c>
      <c r="B2549" s="160" t="s">
        <v>2320</v>
      </c>
      <c r="C2549" s="157" t="s">
        <v>14</v>
      </c>
      <c r="D2549" s="159">
        <v>1</v>
      </c>
      <c r="E2549" s="159">
        <v>29.89</v>
      </c>
      <c r="F2549" s="159">
        <v>29.89</v>
      </c>
      <c r="G2549" s="160" t="s">
        <v>2321</v>
      </c>
    </row>
    <row r="2550" spans="1:8" ht="33">
      <c r="A2550" s="160">
        <v>2</v>
      </c>
      <c r="B2550" s="160" t="s">
        <v>2329</v>
      </c>
      <c r="C2550" s="157" t="s">
        <v>14</v>
      </c>
      <c r="D2550" s="159">
        <v>1</v>
      </c>
      <c r="E2550" s="159">
        <v>488.15</v>
      </c>
      <c r="F2550" s="159">
        <v>488.15</v>
      </c>
      <c r="G2550" s="160" t="s">
        <v>2330</v>
      </c>
      <c r="H2550" s="34" t="s">
        <v>925</v>
      </c>
    </row>
    <row r="2551" spans="1:8" ht="33">
      <c r="A2551" s="160">
        <v>3</v>
      </c>
      <c r="B2551" s="160" t="s">
        <v>2331</v>
      </c>
      <c r="C2551" s="157" t="s">
        <v>14</v>
      </c>
      <c r="D2551" s="159">
        <v>1</v>
      </c>
      <c r="E2551" s="159">
        <v>458.26</v>
      </c>
      <c r="F2551" s="159">
        <v>458.26</v>
      </c>
      <c r="G2551" s="160" t="s">
        <v>2332</v>
      </c>
      <c r="H2551" s="34" t="s">
        <v>925</v>
      </c>
    </row>
    <row r="2552" spans="1:8" ht="33">
      <c r="A2552" s="160">
        <v>4</v>
      </c>
      <c r="B2552" s="160" t="s">
        <v>2333</v>
      </c>
      <c r="C2552" s="157" t="s">
        <v>1497</v>
      </c>
      <c r="D2552" s="159">
        <v>2</v>
      </c>
      <c r="E2552" s="159">
        <v>69.739999999999995</v>
      </c>
      <c r="F2552" s="159">
        <v>139.47999999999999</v>
      </c>
      <c r="G2552" s="160" t="s">
        <v>2334</v>
      </c>
      <c r="H2552" s="34" t="s">
        <v>925</v>
      </c>
    </row>
    <row r="2553" spans="1:8" ht="33">
      <c r="A2553" s="160">
        <v>5</v>
      </c>
      <c r="B2553" s="160" t="s">
        <v>2322</v>
      </c>
      <c r="C2553" s="157" t="s">
        <v>14</v>
      </c>
      <c r="D2553" s="159">
        <v>1</v>
      </c>
      <c r="E2553" s="159">
        <v>149.43</v>
      </c>
      <c r="F2553" s="159">
        <v>149.43</v>
      </c>
      <c r="G2553" s="160" t="s">
        <v>2323</v>
      </c>
      <c r="H2553" s="34" t="s">
        <v>925</v>
      </c>
    </row>
    <row r="2554" spans="1:8" ht="33">
      <c r="A2554" s="160">
        <v>6</v>
      </c>
      <c r="B2554" s="160" t="s">
        <v>931</v>
      </c>
      <c r="C2554" s="157" t="s">
        <v>14</v>
      </c>
      <c r="D2554" s="159">
        <v>1</v>
      </c>
      <c r="E2554" s="159">
        <v>37.96</v>
      </c>
      <c r="F2554" s="159">
        <v>37.96</v>
      </c>
      <c r="G2554" s="160" t="s">
        <v>932</v>
      </c>
      <c r="H2554" s="34" t="s">
        <v>925</v>
      </c>
    </row>
    <row r="2555" spans="1:8" ht="33">
      <c r="A2555" s="160"/>
      <c r="B2555" s="160" t="s">
        <v>933</v>
      </c>
      <c r="C2555" s="157" t="s">
        <v>2238</v>
      </c>
      <c r="D2555" s="159">
        <v>1</v>
      </c>
      <c r="E2555" s="159"/>
      <c r="F2555" s="159">
        <v>1303.17</v>
      </c>
      <c r="G2555" s="160"/>
      <c r="H2555" s="34" t="s">
        <v>925</v>
      </c>
    </row>
    <row r="2556" spans="1:8" ht="33">
      <c r="A2556" s="160"/>
      <c r="B2556" s="160" t="s">
        <v>934</v>
      </c>
      <c r="C2556" s="157" t="s">
        <v>2238</v>
      </c>
      <c r="D2556" s="159"/>
      <c r="E2556" s="159"/>
      <c r="F2556" s="159">
        <v>1303.17</v>
      </c>
      <c r="G2556" s="160"/>
      <c r="H2556" s="34" t="s">
        <v>925</v>
      </c>
    </row>
    <row r="2557" spans="1:8" ht="33">
      <c r="A2557" s="160"/>
      <c r="B2557" s="160"/>
      <c r="C2557" s="157"/>
      <c r="D2557" s="159"/>
      <c r="E2557" s="159"/>
      <c r="F2557" s="159"/>
      <c r="G2557" s="160"/>
      <c r="H2557" s="34" t="s">
        <v>925</v>
      </c>
    </row>
    <row r="2558" spans="1:8" ht="42.75">
      <c r="A2558" s="160" t="s">
        <v>2552</v>
      </c>
      <c r="B2558" s="160" t="s">
        <v>2341</v>
      </c>
      <c r="C2558" s="157" t="s">
        <v>15</v>
      </c>
      <c r="D2558" s="159">
        <v>1</v>
      </c>
      <c r="E2558" s="159">
        <v>702.57</v>
      </c>
      <c r="F2558" s="159"/>
      <c r="G2558" s="160" t="s">
        <v>2342</v>
      </c>
      <c r="H2558" s="34" t="s">
        <v>925</v>
      </c>
    </row>
    <row r="2559" spans="1:8" ht="28.5">
      <c r="A2559" s="160">
        <v>1</v>
      </c>
      <c r="B2559" s="160" t="s">
        <v>2343</v>
      </c>
      <c r="C2559" s="157" t="s">
        <v>1</v>
      </c>
      <c r="D2559" s="159">
        <v>1</v>
      </c>
      <c r="E2559" s="159">
        <v>486.15</v>
      </c>
      <c r="F2559" s="159">
        <v>486.15</v>
      </c>
      <c r="G2559" s="160" t="s">
        <v>2344</v>
      </c>
    </row>
    <row r="2560" spans="1:8" ht="33">
      <c r="A2560" s="160">
        <v>2</v>
      </c>
      <c r="B2560" s="160" t="s">
        <v>4871</v>
      </c>
      <c r="C2560" s="157" t="s">
        <v>927</v>
      </c>
      <c r="D2560" s="159">
        <v>0.7</v>
      </c>
      <c r="E2560" s="159">
        <v>279.94</v>
      </c>
      <c r="F2560" s="159">
        <v>195.96</v>
      </c>
      <c r="G2560" s="160" t="s">
        <v>4872</v>
      </c>
      <c r="H2560" s="34" t="s">
        <v>925</v>
      </c>
    </row>
    <row r="2561" spans="1:8" ht="33">
      <c r="A2561" s="160">
        <v>3</v>
      </c>
      <c r="B2561" s="160" t="s">
        <v>931</v>
      </c>
      <c r="C2561" s="157" t="s">
        <v>14</v>
      </c>
      <c r="D2561" s="159">
        <v>1</v>
      </c>
      <c r="E2561" s="159">
        <v>20.46</v>
      </c>
      <c r="F2561" s="159">
        <v>20.46</v>
      </c>
      <c r="G2561" s="160" t="s">
        <v>932</v>
      </c>
      <c r="H2561" s="34" t="s">
        <v>925</v>
      </c>
    </row>
    <row r="2562" spans="1:8" ht="33">
      <c r="A2562" s="160"/>
      <c r="B2562" s="160" t="s">
        <v>933</v>
      </c>
      <c r="C2562" s="157" t="s">
        <v>15</v>
      </c>
      <c r="D2562" s="159">
        <v>1</v>
      </c>
      <c r="E2562" s="159"/>
      <c r="F2562" s="159">
        <v>702.57</v>
      </c>
      <c r="G2562" s="160"/>
      <c r="H2562" s="34" t="s">
        <v>925</v>
      </c>
    </row>
    <row r="2563" spans="1:8" ht="33">
      <c r="A2563" s="160"/>
      <c r="B2563" s="160" t="s">
        <v>934</v>
      </c>
      <c r="C2563" s="157" t="s">
        <v>15</v>
      </c>
      <c r="D2563" s="159"/>
      <c r="E2563" s="159"/>
      <c r="F2563" s="159">
        <v>702.57</v>
      </c>
      <c r="G2563" s="160"/>
      <c r="H2563" s="34" t="s">
        <v>925</v>
      </c>
    </row>
    <row r="2564" spans="1:8" ht="33">
      <c r="A2564" s="160"/>
      <c r="B2564" s="160"/>
      <c r="C2564" s="157"/>
      <c r="D2564" s="159"/>
      <c r="E2564" s="159"/>
      <c r="F2564" s="159"/>
      <c r="G2564" s="160"/>
      <c r="H2564" s="34" t="s">
        <v>925</v>
      </c>
    </row>
    <row r="2565" spans="1:8" ht="33">
      <c r="A2565" s="160" t="s">
        <v>2555</v>
      </c>
      <c r="B2565" s="160" t="s">
        <v>2346</v>
      </c>
      <c r="C2565" s="157" t="s">
        <v>3</v>
      </c>
      <c r="D2565" s="159">
        <v>100</v>
      </c>
      <c r="E2565" s="159">
        <v>43.63</v>
      </c>
      <c r="F2565" s="159"/>
      <c r="G2565" s="160" t="s">
        <v>2347</v>
      </c>
      <c r="H2565" s="34" t="s">
        <v>925</v>
      </c>
    </row>
    <row r="2566" spans="1:8" ht="28.5">
      <c r="A2566" s="160">
        <v>1</v>
      </c>
      <c r="B2566" s="160" t="s">
        <v>2348</v>
      </c>
      <c r="C2566" s="157" t="s">
        <v>18</v>
      </c>
      <c r="D2566" s="159">
        <v>2</v>
      </c>
      <c r="E2566" s="159">
        <v>597.73</v>
      </c>
      <c r="F2566" s="159">
        <v>1195.46</v>
      </c>
      <c r="G2566" s="160" t="s">
        <v>2349</v>
      </c>
    </row>
    <row r="2567" spans="1:8" ht="33">
      <c r="A2567" s="160">
        <v>2</v>
      </c>
      <c r="B2567" s="160" t="s">
        <v>2350</v>
      </c>
      <c r="C2567" s="157" t="s">
        <v>14</v>
      </c>
      <c r="D2567" s="159">
        <v>1</v>
      </c>
      <c r="E2567" s="159">
        <v>49.81</v>
      </c>
      <c r="F2567" s="159">
        <v>49.81</v>
      </c>
      <c r="G2567" s="160" t="s">
        <v>2351</v>
      </c>
      <c r="H2567" s="34" t="s">
        <v>925</v>
      </c>
    </row>
    <row r="2568" spans="1:8" ht="33">
      <c r="A2568" s="160">
        <v>3</v>
      </c>
      <c r="B2568" s="160" t="s">
        <v>2352</v>
      </c>
      <c r="C2568" s="157" t="s">
        <v>3</v>
      </c>
      <c r="D2568" s="159">
        <v>100</v>
      </c>
      <c r="E2568" s="159">
        <v>4.9800000000000004</v>
      </c>
      <c r="F2568" s="159">
        <v>498</v>
      </c>
      <c r="G2568" s="160" t="s">
        <v>2353</v>
      </c>
      <c r="H2568" s="34" t="s">
        <v>925</v>
      </c>
    </row>
    <row r="2569" spans="1:8" ht="33">
      <c r="A2569" s="160">
        <v>4</v>
      </c>
      <c r="B2569" s="160" t="s">
        <v>2354</v>
      </c>
      <c r="C2569" s="157" t="s">
        <v>3</v>
      </c>
      <c r="D2569" s="159">
        <v>100</v>
      </c>
      <c r="E2569" s="159">
        <v>2.99</v>
      </c>
      <c r="F2569" s="159">
        <v>299</v>
      </c>
      <c r="G2569" s="160" t="s">
        <v>2355</v>
      </c>
      <c r="H2569" s="34" t="s">
        <v>925</v>
      </c>
    </row>
    <row r="2570" spans="1:8" ht="42.75">
      <c r="A2570" s="160">
        <v>5</v>
      </c>
      <c r="B2570" s="160" t="s">
        <v>2356</v>
      </c>
      <c r="C2570" s="157" t="s">
        <v>3</v>
      </c>
      <c r="D2570" s="159">
        <v>100</v>
      </c>
      <c r="E2570" s="159">
        <v>14.94</v>
      </c>
      <c r="F2570" s="159">
        <v>1494</v>
      </c>
      <c r="G2570" s="160" t="s">
        <v>2357</v>
      </c>
      <c r="H2570" s="34" t="s">
        <v>925</v>
      </c>
    </row>
    <row r="2571" spans="1:8" ht="33">
      <c r="A2571" s="160">
        <v>6</v>
      </c>
      <c r="B2571" s="160" t="s">
        <v>2358</v>
      </c>
      <c r="C2571" s="157" t="s">
        <v>927</v>
      </c>
      <c r="D2571" s="159">
        <v>2.5</v>
      </c>
      <c r="E2571" s="159">
        <v>279.94</v>
      </c>
      <c r="F2571" s="159">
        <v>699.85</v>
      </c>
      <c r="G2571" s="160" t="s">
        <v>2364</v>
      </c>
      <c r="H2571" s="34" t="s">
        <v>925</v>
      </c>
    </row>
    <row r="2572" spans="1:8" ht="33">
      <c r="A2572" s="160">
        <v>7</v>
      </c>
      <c r="B2572" s="160" t="s">
        <v>931</v>
      </c>
      <c r="C2572" s="157" t="s">
        <v>14</v>
      </c>
      <c r="D2572" s="159">
        <v>1</v>
      </c>
      <c r="E2572" s="159">
        <v>127.08</v>
      </c>
      <c r="F2572" s="159">
        <v>127.08</v>
      </c>
      <c r="G2572" s="160" t="s">
        <v>932</v>
      </c>
      <c r="H2572" s="34" t="s">
        <v>925</v>
      </c>
    </row>
    <row r="2573" spans="1:8" ht="16.5">
      <c r="A2573" s="160"/>
      <c r="B2573" s="160" t="s">
        <v>933</v>
      </c>
      <c r="C2573" s="157" t="s">
        <v>3</v>
      </c>
      <c r="D2573" s="159">
        <v>100</v>
      </c>
      <c r="E2573" s="159"/>
      <c r="F2573" s="159">
        <v>4363.2</v>
      </c>
      <c r="G2573" s="160"/>
    </row>
    <row r="2574" spans="1:8" ht="33">
      <c r="A2574" s="160"/>
      <c r="B2574" s="160" t="s">
        <v>934</v>
      </c>
      <c r="C2574" s="157" t="s">
        <v>3</v>
      </c>
      <c r="D2574" s="159"/>
      <c r="E2574" s="159"/>
      <c r="F2574" s="159">
        <v>43.63</v>
      </c>
      <c r="G2574" s="160"/>
      <c r="H2574" s="34" t="s">
        <v>925</v>
      </c>
    </row>
    <row r="2575" spans="1:8" ht="33">
      <c r="A2575" s="160"/>
      <c r="B2575" s="160"/>
      <c r="C2575" s="157"/>
      <c r="D2575" s="159"/>
      <c r="E2575" s="159"/>
      <c r="F2575" s="159"/>
      <c r="G2575" s="160"/>
      <c r="H2575" s="34" t="s">
        <v>925</v>
      </c>
    </row>
    <row r="2576" spans="1:8" ht="33">
      <c r="A2576" s="160" t="s">
        <v>2560</v>
      </c>
      <c r="B2576" s="160" t="s">
        <v>2360</v>
      </c>
      <c r="C2576" s="157" t="s">
        <v>3</v>
      </c>
      <c r="D2576" s="159">
        <v>1</v>
      </c>
      <c r="E2576" s="159">
        <v>249.2</v>
      </c>
      <c r="F2576" s="159"/>
      <c r="G2576" s="160" t="s">
        <v>2361</v>
      </c>
      <c r="H2576" s="34" t="s">
        <v>925</v>
      </c>
    </row>
    <row r="2577" spans="1:8" ht="42.75">
      <c r="A2577" s="160">
        <v>1</v>
      </c>
      <c r="B2577" s="160" t="s">
        <v>2362</v>
      </c>
      <c r="C2577" s="157" t="s">
        <v>3</v>
      </c>
      <c r="D2577" s="159">
        <v>1</v>
      </c>
      <c r="E2577" s="159">
        <v>94.64</v>
      </c>
      <c r="F2577" s="159">
        <v>94.64</v>
      </c>
      <c r="G2577" s="160" t="s">
        <v>2363</v>
      </c>
      <c r="H2577" s="34" t="s">
        <v>925</v>
      </c>
    </row>
    <row r="2578" spans="1:8" ht="33">
      <c r="A2578" s="160">
        <v>2</v>
      </c>
      <c r="B2578" s="160" t="s">
        <v>2358</v>
      </c>
      <c r="C2578" s="157" t="s">
        <v>927</v>
      </c>
      <c r="D2578" s="159">
        <v>0.04</v>
      </c>
      <c r="E2578" s="159">
        <v>279.94</v>
      </c>
      <c r="F2578" s="159">
        <v>11.2</v>
      </c>
      <c r="G2578" s="160" t="s">
        <v>2364</v>
      </c>
      <c r="H2578" s="34" t="s">
        <v>925</v>
      </c>
    </row>
    <row r="2579" spans="1:8" ht="33">
      <c r="A2579" s="160">
        <v>3</v>
      </c>
      <c r="B2579" s="160" t="s">
        <v>2365</v>
      </c>
      <c r="C2579" s="157" t="s">
        <v>15</v>
      </c>
      <c r="D2579" s="159">
        <v>0.05</v>
      </c>
      <c r="E2579" s="159">
        <v>1036.1099999999999</v>
      </c>
      <c r="F2579" s="159">
        <v>51.81</v>
      </c>
      <c r="G2579" s="160" t="s">
        <v>2366</v>
      </c>
      <c r="H2579" s="34" t="s">
        <v>925</v>
      </c>
    </row>
    <row r="2580" spans="1:8" ht="28.5">
      <c r="A2580" s="160">
        <v>4</v>
      </c>
      <c r="B2580" s="160" t="s">
        <v>2367</v>
      </c>
      <c r="C2580" s="157" t="s">
        <v>18</v>
      </c>
      <c r="D2580" s="159">
        <v>1</v>
      </c>
      <c r="E2580" s="159">
        <v>18.93</v>
      </c>
      <c r="F2580" s="159">
        <v>18.93</v>
      </c>
      <c r="G2580" s="160" t="s">
        <v>2368</v>
      </c>
    </row>
    <row r="2581" spans="1:8" ht="42.75">
      <c r="A2581" s="160">
        <v>5</v>
      </c>
      <c r="B2581" s="160" t="s">
        <v>4990</v>
      </c>
      <c r="C2581" s="157" t="s">
        <v>927</v>
      </c>
      <c r="D2581" s="159">
        <v>0.08</v>
      </c>
      <c r="E2581" s="159">
        <v>408.45</v>
      </c>
      <c r="F2581" s="159">
        <v>32.68</v>
      </c>
      <c r="G2581" s="160" t="s">
        <v>4991</v>
      </c>
      <c r="H2581" s="34" t="s">
        <v>925</v>
      </c>
    </row>
    <row r="2582" spans="1:8" ht="85.5">
      <c r="A2582" s="160">
        <v>6</v>
      </c>
      <c r="B2582" s="160" t="s">
        <v>4992</v>
      </c>
      <c r="C2582" s="157" t="s">
        <v>927</v>
      </c>
      <c r="D2582" s="159">
        <v>0.08</v>
      </c>
      <c r="E2582" s="159">
        <v>408.45</v>
      </c>
      <c r="F2582" s="159">
        <v>32.68</v>
      </c>
      <c r="G2582" s="160" t="s">
        <v>4993</v>
      </c>
      <c r="H2582" s="34" t="s">
        <v>925</v>
      </c>
    </row>
    <row r="2583" spans="1:8" ht="33">
      <c r="A2583" s="160">
        <v>7</v>
      </c>
      <c r="B2583" s="160" t="s">
        <v>931</v>
      </c>
      <c r="C2583" s="157" t="s">
        <v>14</v>
      </c>
      <c r="D2583" s="159">
        <v>1</v>
      </c>
      <c r="E2583" s="159">
        <v>7.26</v>
      </c>
      <c r="F2583" s="159">
        <v>7.26</v>
      </c>
      <c r="G2583" s="160" t="s">
        <v>932</v>
      </c>
      <c r="H2583" s="34" t="s">
        <v>925</v>
      </c>
    </row>
    <row r="2584" spans="1:8" ht="33">
      <c r="A2584" s="160"/>
      <c r="B2584" s="160" t="s">
        <v>933</v>
      </c>
      <c r="C2584" s="157" t="s">
        <v>3</v>
      </c>
      <c r="D2584" s="159">
        <v>1</v>
      </c>
      <c r="E2584" s="159"/>
      <c r="F2584" s="159">
        <v>249.20000000000002</v>
      </c>
      <c r="G2584" s="160"/>
      <c r="H2584" s="34" t="s">
        <v>925</v>
      </c>
    </row>
    <row r="2585" spans="1:8" ht="33">
      <c r="A2585" s="160"/>
      <c r="B2585" s="160" t="s">
        <v>934</v>
      </c>
      <c r="C2585" s="157" t="s">
        <v>3</v>
      </c>
      <c r="D2585" s="159"/>
      <c r="E2585" s="159"/>
      <c r="F2585" s="159">
        <v>249.2</v>
      </c>
      <c r="G2585" s="160"/>
      <c r="H2585" s="34" t="s">
        <v>925</v>
      </c>
    </row>
    <row r="2586" spans="1:8" ht="33">
      <c r="A2586" s="160"/>
      <c r="B2586" s="160"/>
      <c r="C2586" s="157"/>
      <c r="D2586" s="159"/>
      <c r="E2586" s="159"/>
      <c r="F2586" s="159"/>
      <c r="G2586" s="160"/>
      <c r="H2586" s="34" t="s">
        <v>925</v>
      </c>
    </row>
    <row r="2587" spans="1:8" ht="28.5">
      <c r="A2587" s="160" t="s">
        <v>2569</v>
      </c>
      <c r="B2587" s="160" t="s">
        <v>2372</v>
      </c>
      <c r="C2587" s="157" t="s">
        <v>3</v>
      </c>
      <c r="D2587" s="159">
        <v>1</v>
      </c>
      <c r="E2587" s="159">
        <v>684.33</v>
      </c>
      <c r="F2587" s="159"/>
      <c r="G2587" s="160" t="s">
        <v>2373</v>
      </c>
    </row>
    <row r="2588" spans="1:8" ht="33">
      <c r="A2588" s="160">
        <v>1</v>
      </c>
      <c r="B2588" s="160" t="s">
        <v>2374</v>
      </c>
      <c r="C2588" s="157" t="s">
        <v>3</v>
      </c>
      <c r="D2588" s="159">
        <v>1</v>
      </c>
      <c r="E2588" s="159">
        <v>438.34</v>
      </c>
      <c r="F2588" s="159">
        <v>438.34</v>
      </c>
      <c r="G2588" s="160" t="s">
        <v>2375</v>
      </c>
      <c r="H2588" s="34" t="s">
        <v>925</v>
      </c>
    </row>
    <row r="2589" spans="1:8" ht="33">
      <c r="A2589" s="160">
        <v>2</v>
      </c>
      <c r="B2589" s="160" t="s">
        <v>1637</v>
      </c>
      <c r="C2589" s="157" t="s">
        <v>0</v>
      </c>
      <c r="D2589" s="159">
        <v>0.05</v>
      </c>
      <c r="E2589" s="159">
        <v>3556.7</v>
      </c>
      <c r="F2589" s="159">
        <v>177.84</v>
      </c>
      <c r="G2589" s="160" t="s">
        <v>4954</v>
      </c>
      <c r="H2589" s="34" t="s">
        <v>925</v>
      </c>
    </row>
    <row r="2590" spans="1:8" ht="33">
      <c r="A2590" s="160">
        <v>3</v>
      </c>
      <c r="B2590" s="160" t="s">
        <v>2346</v>
      </c>
      <c r="C2590" s="157" t="s">
        <v>3</v>
      </c>
      <c r="D2590" s="159">
        <v>0.3</v>
      </c>
      <c r="E2590" s="159">
        <v>43.63</v>
      </c>
      <c r="F2590" s="159">
        <v>13.09</v>
      </c>
      <c r="G2590" s="160" t="s">
        <v>4994</v>
      </c>
      <c r="H2590" s="34" t="s">
        <v>925</v>
      </c>
    </row>
    <row r="2591" spans="1:8" ht="33">
      <c r="A2591" s="160">
        <v>4</v>
      </c>
      <c r="B2591" s="160" t="s">
        <v>2376</v>
      </c>
      <c r="C2591" s="157" t="s">
        <v>15</v>
      </c>
      <c r="D2591" s="159">
        <v>0.05</v>
      </c>
      <c r="E2591" s="159">
        <v>702.57</v>
      </c>
      <c r="F2591" s="159">
        <v>35.130000000000003</v>
      </c>
      <c r="G2591" s="160" t="s">
        <v>2377</v>
      </c>
      <c r="H2591" s="34" t="s">
        <v>925</v>
      </c>
    </row>
    <row r="2592" spans="1:8" ht="33">
      <c r="A2592" s="160">
        <v>5</v>
      </c>
      <c r="B2592" s="160" t="s">
        <v>931</v>
      </c>
      <c r="C2592" s="157" t="s">
        <v>14</v>
      </c>
      <c r="D2592" s="159">
        <v>1</v>
      </c>
      <c r="E2592" s="159">
        <v>19.93</v>
      </c>
      <c r="F2592" s="159">
        <v>19.93</v>
      </c>
      <c r="G2592" s="160" t="s">
        <v>932</v>
      </c>
      <c r="H2592" s="34" t="s">
        <v>925</v>
      </c>
    </row>
    <row r="2593" spans="1:8" ht="33">
      <c r="A2593" s="160"/>
      <c r="B2593" s="160" t="s">
        <v>933</v>
      </c>
      <c r="C2593" s="157" t="s">
        <v>3</v>
      </c>
      <c r="D2593" s="159">
        <v>1</v>
      </c>
      <c r="E2593" s="159"/>
      <c r="F2593" s="159">
        <v>684.32999999999993</v>
      </c>
      <c r="G2593" s="160"/>
      <c r="H2593" s="34" t="s">
        <v>925</v>
      </c>
    </row>
    <row r="2594" spans="1:8" ht="16.5">
      <c r="A2594" s="160"/>
      <c r="B2594" s="160" t="s">
        <v>934</v>
      </c>
      <c r="C2594" s="157" t="s">
        <v>3</v>
      </c>
      <c r="D2594" s="159"/>
      <c r="E2594" s="159"/>
      <c r="F2594" s="159">
        <v>684.33</v>
      </c>
      <c r="G2594" s="160"/>
    </row>
    <row r="2595" spans="1:8" ht="33">
      <c r="A2595" s="160"/>
      <c r="B2595" s="160"/>
      <c r="C2595" s="157"/>
      <c r="D2595" s="159"/>
      <c r="E2595" s="159"/>
      <c r="F2595" s="159"/>
      <c r="G2595" s="160"/>
      <c r="H2595" s="34" t="s">
        <v>925</v>
      </c>
    </row>
    <row r="2596" spans="1:8" ht="33">
      <c r="A2596" s="160" t="s">
        <v>2576</v>
      </c>
      <c r="B2596" s="160" t="s">
        <v>2379</v>
      </c>
      <c r="C2596" s="157" t="s">
        <v>3</v>
      </c>
      <c r="D2596" s="159">
        <v>100</v>
      </c>
      <c r="E2596" s="159">
        <v>22.43</v>
      </c>
      <c r="F2596" s="159"/>
      <c r="G2596" s="160" t="s">
        <v>2380</v>
      </c>
      <c r="H2596" s="34" t="s">
        <v>925</v>
      </c>
    </row>
    <row r="2597" spans="1:8" ht="33">
      <c r="A2597" s="160">
        <v>1</v>
      </c>
      <c r="B2597" s="160" t="s">
        <v>997</v>
      </c>
      <c r="C2597" s="157" t="s">
        <v>927</v>
      </c>
      <c r="D2597" s="159">
        <v>1</v>
      </c>
      <c r="E2597" s="159">
        <v>1155.6099999999999</v>
      </c>
      <c r="F2597" s="159">
        <v>1155.6099999999999</v>
      </c>
      <c r="G2597" s="160" t="s">
        <v>998</v>
      </c>
      <c r="H2597" s="34" t="s">
        <v>925</v>
      </c>
    </row>
    <row r="2598" spans="1:8" ht="33">
      <c r="A2598" s="160">
        <v>2</v>
      </c>
      <c r="B2598" s="160" t="s">
        <v>1086</v>
      </c>
      <c r="C2598" s="157" t="s">
        <v>927</v>
      </c>
      <c r="D2598" s="159">
        <v>1</v>
      </c>
      <c r="E2598" s="159">
        <v>399.48</v>
      </c>
      <c r="F2598" s="159">
        <v>399.48</v>
      </c>
      <c r="G2598" s="160" t="s">
        <v>1087</v>
      </c>
      <c r="H2598" s="34" t="s">
        <v>925</v>
      </c>
    </row>
    <row r="2599" spans="1:8" ht="33">
      <c r="A2599" s="160">
        <v>3</v>
      </c>
      <c r="B2599" s="160" t="s">
        <v>2407</v>
      </c>
      <c r="C2599" s="157" t="s">
        <v>0</v>
      </c>
      <c r="D2599" s="159">
        <v>0.15</v>
      </c>
      <c r="E2599" s="159">
        <v>1992.44</v>
      </c>
      <c r="F2599" s="159">
        <v>298.87</v>
      </c>
      <c r="G2599" s="160" t="s">
        <v>2412</v>
      </c>
      <c r="H2599" s="34" t="s">
        <v>925</v>
      </c>
    </row>
    <row r="2600" spans="1:8" ht="33">
      <c r="A2600" s="160">
        <v>4</v>
      </c>
      <c r="B2600" s="160" t="s">
        <v>2381</v>
      </c>
      <c r="C2600" s="157" t="s">
        <v>927</v>
      </c>
      <c r="D2600" s="159">
        <v>0.15</v>
      </c>
      <c r="E2600" s="159">
        <v>2158.11</v>
      </c>
      <c r="F2600" s="159">
        <v>323.72000000000003</v>
      </c>
      <c r="G2600" s="160" t="s">
        <v>4995</v>
      </c>
      <c r="H2600" s="34" t="s">
        <v>925</v>
      </c>
    </row>
    <row r="2601" spans="1:8" ht="33">
      <c r="A2601" s="160">
        <v>5</v>
      </c>
      <c r="B2601" s="160" t="s">
        <v>931</v>
      </c>
      <c r="C2601" s="157" t="s">
        <v>14</v>
      </c>
      <c r="D2601" s="159">
        <v>1</v>
      </c>
      <c r="E2601" s="159">
        <v>65.33</v>
      </c>
      <c r="F2601" s="159">
        <v>65.33</v>
      </c>
      <c r="G2601" s="160" t="s">
        <v>932</v>
      </c>
      <c r="H2601" s="34" t="s">
        <v>925</v>
      </c>
    </row>
    <row r="2602" spans="1:8" ht="33">
      <c r="A2602" s="160"/>
      <c r="B2602" s="160" t="s">
        <v>933</v>
      </c>
      <c r="C2602" s="157" t="s">
        <v>3</v>
      </c>
      <c r="D2602" s="159">
        <v>100</v>
      </c>
      <c r="E2602" s="159"/>
      <c r="F2602" s="159">
        <v>2243.0100000000002</v>
      </c>
      <c r="G2602" s="160"/>
      <c r="H2602" s="34" t="s">
        <v>925</v>
      </c>
    </row>
    <row r="2603" spans="1:8" ht="33">
      <c r="A2603" s="160"/>
      <c r="B2603" s="160" t="s">
        <v>934</v>
      </c>
      <c r="C2603" s="157" t="s">
        <v>3</v>
      </c>
      <c r="D2603" s="159"/>
      <c r="E2603" s="159"/>
      <c r="F2603" s="159">
        <v>22.43</v>
      </c>
      <c r="G2603" s="160"/>
      <c r="H2603" s="34" t="s">
        <v>925</v>
      </c>
    </row>
    <row r="2604" spans="1:8" ht="33">
      <c r="A2604" s="160"/>
      <c r="B2604" s="160"/>
      <c r="C2604" s="157"/>
      <c r="D2604" s="159"/>
      <c r="E2604" s="159"/>
      <c r="F2604" s="159"/>
      <c r="G2604" s="160"/>
      <c r="H2604" s="34" t="s">
        <v>925</v>
      </c>
    </row>
    <row r="2605" spans="1:8" ht="33">
      <c r="A2605" s="160" t="s">
        <v>2583</v>
      </c>
      <c r="B2605" s="160" t="s">
        <v>2383</v>
      </c>
      <c r="C2605" s="157" t="s">
        <v>3</v>
      </c>
      <c r="D2605" s="159">
        <v>100</v>
      </c>
      <c r="E2605" s="159">
        <v>11.58</v>
      </c>
      <c r="F2605" s="159"/>
      <c r="G2605" s="160" t="s">
        <v>2384</v>
      </c>
      <c r="H2605" s="34" t="s">
        <v>925</v>
      </c>
    </row>
    <row r="2606" spans="1:8" ht="33">
      <c r="A2606" s="160">
        <v>1</v>
      </c>
      <c r="B2606" s="160" t="s">
        <v>2385</v>
      </c>
      <c r="C2606" s="157" t="s">
        <v>927</v>
      </c>
      <c r="D2606" s="159">
        <v>1.1499999999999999</v>
      </c>
      <c r="E2606" s="159">
        <v>697.35</v>
      </c>
      <c r="F2606" s="159">
        <v>801.95</v>
      </c>
      <c r="G2606" s="160" t="s">
        <v>2386</v>
      </c>
      <c r="H2606" s="34" t="s">
        <v>925</v>
      </c>
    </row>
    <row r="2607" spans="1:8" ht="28.5">
      <c r="A2607" s="160">
        <v>2</v>
      </c>
      <c r="B2607" s="160" t="s">
        <v>2387</v>
      </c>
      <c r="C2607" s="157" t="s">
        <v>927</v>
      </c>
      <c r="D2607" s="159">
        <v>1.1499999999999999</v>
      </c>
      <c r="E2607" s="159">
        <v>279.94</v>
      </c>
      <c r="F2607" s="159">
        <v>321.93</v>
      </c>
      <c r="G2607" s="160" t="s">
        <v>2388</v>
      </c>
    </row>
    <row r="2608" spans="1:8" ht="33">
      <c r="A2608" s="160">
        <v>3</v>
      </c>
      <c r="B2608" s="160" t="s">
        <v>931</v>
      </c>
      <c r="C2608" s="157" t="s">
        <v>14</v>
      </c>
      <c r="D2608" s="159">
        <v>1</v>
      </c>
      <c r="E2608" s="159">
        <v>33.72</v>
      </c>
      <c r="F2608" s="159">
        <v>33.72</v>
      </c>
      <c r="G2608" s="160" t="s">
        <v>932</v>
      </c>
      <c r="H2608" s="34" t="s">
        <v>925</v>
      </c>
    </row>
    <row r="2609" spans="1:8" ht="33">
      <c r="A2609" s="160"/>
      <c r="B2609" s="160" t="s">
        <v>933</v>
      </c>
      <c r="C2609" s="157" t="s">
        <v>3</v>
      </c>
      <c r="D2609" s="159">
        <v>100</v>
      </c>
      <c r="E2609" s="159"/>
      <c r="F2609" s="159">
        <v>1157.6000000000001</v>
      </c>
      <c r="G2609" s="160"/>
      <c r="H2609" s="34" t="s">
        <v>925</v>
      </c>
    </row>
    <row r="2610" spans="1:8" ht="33">
      <c r="A2610" s="160"/>
      <c r="B2610" s="160" t="s">
        <v>934</v>
      </c>
      <c r="C2610" s="157" t="s">
        <v>3</v>
      </c>
      <c r="D2610" s="159"/>
      <c r="E2610" s="159"/>
      <c r="F2610" s="159">
        <v>11.58</v>
      </c>
      <c r="G2610" s="160"/>
      <c r="H2610" s="34" t="s">
        <v>925</v>
      </c>
    </row>
    <row r="2611" spans="1:8" ht="33">
      <c r="A2611" s="160"/>
      <c r="B2611" s="160"/>
      <c r="C2611" s="157"/>
      <c r="D2611" s="159"/>
      <c r="E2611" s="159"/>
      <c r="F2611" s="159"/>
      <c r="G2611" s="160"/>
      <c r="H2611" s="34" t="s">
        <v>925</v>
      </c>
    </row>
    <row r="2612" spans="1:8" ht="33">
      <c r="A2612" s="160" t="s">
        <v>2586</v>
      </c>
      <c r="B2612" s="160" t="s">
        <v>2390</v>
      </c>
      <c r="C2612" s="157" t="s">
        <v>3</v>
      </c>
      <c r="D2612" s="159">
        <v>10</v>
      </c>
      <c r="E2612" s="159">
        <v>20.18</v>
      </c>
      <c r="F2612" s="159"/>
      <c r="G2612" s="160" t="s">
        <v>2391</v>
      </c>
      <c r="H2612" s="34" t="s">
        <v>925</v>
      </c>
    </row>
    <row r="2613" spans="1:8" ht="33">
      <c r="A2613" s="160">
        <v>1</v>
      </c>
      <c r="B2613" s="160" t="s">
        <v>4871</v>
      </c>
      <c r="C2613" s="157" t="s">
        <v>927</v>
      </c>
      <c r="D2613" s="159">
        <v>0.7</v>
      </c>
      <c r="E2613" s="159">
        <v>279.94</v>
      </c>
      <c r="F2613" s="159">
        <v>195.96</v>
      </c>
      <c r="G2613" s="160" t="s">
        <v>1324</v>
      </c>
      <c r="H2613" s="34" t="s">
        <v>925</v>
      </c>
    </row>
    <row r="2614" spans="1:8" ht="33">
      <c r="A2614" s="160">
        <v>2</v>
      </c>
      <c r="B2614" s="160" t="s">
        <v>931</v>
      </c>
      <c r="C2614" s="157" t="s">
        <v>14</v>
      </c>
      <c r="D2614" s="159">
        <v>1</v>
      </c>
      <c r="E2614" s="159">
        <v>5.88</v>
      </c>
      <c r="F2614" s="159">
        <v>5.88</v>
      </c>
      <c r="G2614" s="160" t="s">
        <v>932</v>
      </c>
      <c r="H2614" s="34" t="s">
        <v>925</v>
      </c>
    </row>
    <row r="2615" spans="1:8" ht="33">
      <c r="A2615" s="160"/>
      <c r="B2615" s="160" t="s">
        <v>933</v>
      </c>
      <c r="C2615" s="157" t="s">
        <v>3</v>
      </c>
      <c r="D2615" s="159">
        <v>10</v>
      </c>
      <c r="E2615" s="159"/>
      <c r="F2615" s="159">
        <v>201.84</v>
      </c>
      <c r="G2615" s="160"/>
      <c r="H2615" s="34" t="s">
        <v>925</v>
      </c>
    </row>
    <row r="2616" spans="1:8" ht="33">
      <c r="A2616" s="160"/>
      <c r="B2616" s="160" t="s">
        <v>934</v>
      </c>
      <c r="C2616" s="157" t="s">
        <v>3</v>
      </c>
      <c r="D2616" s="159"/>
      <c r="E2616" s="159"/>
      <c r="F2616" s="159">
        <v>20.18</v>
      </c>
      <c r="G2616" s="160"/>
      <c r="H2616" s="34" t="s">
        <v>925</v>
      </c>
    </row>
    <row r="2617" spans="1:8" ht="33">
      <c r="A2617" s="160"/>
      <c r="B2617" s="160"/>
      <c r="C2617" s="157"/>
      <c r="D2617" s="159"/>
      <c r="E2617" s="159"/>
      <c r="F2617" s="159"/>
      <c r="G2617" s="160"/>
      <c r="H2617" s="34" t="s">
        <v>925</v>
      </c>
    </row>
    <row r="2618" spans="1:8" ht="33">
      <c r="A2618" s="160" t="s">
        <v>2589</v>
      </c>
      <c r="B2618" s="160" t="s">
        <v>2393</v>
      </c>
      <c r="C2618" s="157" t="s">
        <v>2394</v>
      </c>
      <c r="D2618" s="159">
        <v>1</v>
      </c>
      <c r="E2618" s="159">
        <v>2480.61</v>
      </c>
      <c r="F2618" s="159"/>
      <c r="G2618" s="160" t="s">
        <v>2395</v>
      </c>
      <c r="H2618" s="34" t="s">
        <v>925</v>
      </c>
    </row>
    <row r="2619" spans="1:8" ht="33">
      <c r="A2619" s="160">
        <v>1</v>
      </c>
      <c r="B2619" s="160" t="s">
        <v>1084</v>
      </c>
      <c r="C2619" s="157" t="s">
        <v>927</v>
      </c>
      <c r="D2619" s="159">
        <v>1.5</v>
      </c>
      <c r="E2619" s="159">
        <v>687.39</v>
      </c>
      <c r="F2619" s="159">
        <v>1031.0899999999999</v>
      </c>
      <c r="G2619" s="160" t="s">
        <v>1085</v>
      </c>
      <c r="H2619" s="34" t="s">
        <v>925</v>
      </c>
    </row>
    <row r="2620" spans="1:8" ht="28.5">
      <c r="A2620" s="160">
        <v>2</v>
      </c>
      <c r="B2620" s="160" t="s">
        <v>1086</v>
      </c>
      <c r="C2620" s="157" t="s">
        <v>927</v>
      </c>
      <c r="D2620" s="159">
        <v>1.5</v>
      </c>
      <c r="E2620" s="159">
        <v>399.48</v>
      </c>
      <c r="F2620" s="159">
        <v>599.22</v>
      </c>
      <c r="G2620" s="160" t="s">
        <v>1087</v>
      </c>
    </row>
    <row r="2621" spans="1:8" ht="33">
      <c r="A2621" s="160">
        <v>3</v>
      </c>
      <c r="B2621" s="160" t="s">
        <v>4871</v>
      </c>
      <c r="C2621" s="157" t="s">
        <v>927</v>
      </c>
      <c r="D2621" s="159">
        <v>1</v>
      </c>
      <c r="E2621" s="159">
        <v>279.94</v>
      </c>
      <c r="F2621" s="159">
        <v>279.94</v>
      </c>
      <c r="G2621" s="160" t="s">
        <v>4872</v>
      </c>
      <c r="H2621" s="34" t="s">
        <v>925</v>
      </c>
    </row>
    <row r="2622" spans="1:8" ht="33">
      <c r="A2622" s="160">
        <v>4</v>
      </c>
      <c r="B2622" s="160" t="s">
        <v>2396</v>
      </c>
      <c r="C2622" s="157" t="s">
        <v>14</v>
      </c>
      <c r="D2622" s="159">
        <v>1</v>
      </c>
      <c r="E2622" s="159">
        <v>498.11</v>
      </c>
      <c r="F2622" s="159">
        <v>498.11</v>
      </c>
      <c r="G2622" s="160" t="s">
        <v>2397</v>
      </c>
      <c r="H2622" s="34" t="s">
        <v>925</v>
      </c>
    </row>
    <row r="2623" spans="1:8" ht="33">
      <c r="A2623" s="160">
        <v>5</v>
      </c>
      <c r="B2623" s="160" t="s">
        <v>931</v>
      </c>
      <c r="C2623" s="157" t="s">
        <v>14</v>
      </c>
      <c r="D2623" s="159">
        <v>1</v>
      </c>
      <c r="E2623" s="159">
        <v>72.25</v>
      </c>
      <c r="F2623" s="159">
        <v>72.25</v>
      </c>
      <c r="G2623" s="160" t="s">
        <v>932</v>
      </c>
      <c r="H2623" s="34" t="s">
        <v>925</v>
      </c>
    </row>
    <row r="2624" spans="1:8" ht="33">
      <c r="A2624" s="160"/>
      <c r="B2624" s="160" t="s">
        <v>933</v>
      </c>
      <c r="C2624" s="157" t="s">
        <v>2394</v>
      </c>
      <c r="D2624" s="159">
        <v>1</v>
      </c>
      <c r="E2624" s="159"/>
      <c r="F2624" s="159">
        <v>2480.61</v>
      </c>
      <c r="G2624" s="160"/>
      <c r="H2624" s="34" t="s">
        <v>925</v>
      </c>
    </row>
    <row r="2625" spans="1:8" ht="33">
      <c r="A2625" s="160"/>
      <c r="B2625" s="160" t="s">
        <v>934</v>
      </c>
      <c r="C2625" s="157" t="s">
        <v>2394</v>
      </c>
      <c r="D2625" s="159"/>
      <c r="E2625" s="159"/>
      <c r="F2625" s="159">
        <v>2480.61</v>
      </c>
      <c r="G2625" s="160"/>
      <c r="H2625" s="34" t="s">
        <v>925</v>
      </c>
    </row>
    <row r="2626" spans="1:8" ht="33">
      <c r="A2626" s="160"/>
      <c r="B2626" s="160"/>
      <c r="C2626" s="157"/>
      <c r="D2626" s="159"/>
      <c r="E2626" s="159"/>
      <c r="F2626" s="159"/>
      <c r="G2626" s="160"/>
      <c r="H2626" s="34" t="s">
        <v>925</v>
      </c>
    </row>
    <row r="2627" spans="1:8" ht="42.75">
      <c r="A2627" s="160" t="s">
        <v>2592</v>
      </c>
      <c r="B2627" s="160" t="s">
        <v>2399</v>
      </c>
      <c r="C2627" s="157" t="s">
        <v>2400</v>
      </c>
      <c r="D2627" s="159">
        <v>1</v>
      </c>
      <c r="E2627" s="159">
        <v>4555</v>
      </c>
      <c r="F2627" s="159"/>
      <c r="G2627" s="160" t="s">
        <v>2401</v>
      </c>
      <c r="H2627" s="34" t="s">
        <v>925</v>
      </c>
    </row>
    <row r="2628" spans="1:8" ht="33">
      <c r="A2628" s="160">
        <v>1</v>
      </c>
      <c r="B2628" s="160" t="s">
        <v>2402</v>
      </c>
      <c r="C2628" s="157" t="s">
        <v>927</v>
      </c>
      <c r="D2628" s="159">
        <v>1</v>
      </c>
      <c r="E2628" s="159">
        <v>408.45</v>
      </c>
      <c r="F2628" s="159">
        <v>408.45</v>
      </c>
      <c r="G2628" s="160" t="s">
        <v>2403</v>
      </c>
      <c r="H2628" s="34" t="s">
        <v>925</v>
      </c>
    </row>
    <row r="2629" spans="1:8" ht="33">
      <c r="A2629" s="160">
        <v>2</v>
      </c>
      <c r="B2629" s="160" t="s">
        <v>1774</v>
      </c>
      <c r="C2629" s="157" t="s">
        <v>927</v>
      </c>
      <c r="D2629" s="159">
        <v>1.1000000000000001</v>
      </c>
      <c r="E2629" s="159">
        <v>1414.63</v>
      </c>
      <c r="F2629" s="159">
        <v>1556.09</v>
      </c>
      <c r="G2629" s="160" t="s">
        <v>1775</v>
      </c>
      <c r="H2629" s="34" t="s">
        <v>925</v>
      </c>
    </row>
    <row r="2630" spans="1:8" ht="42.75">
      <c r="A2630" s="160">
        <v>3</v>
      </c>
      <c r="B2630" s="160" t="s">
        <v>4964</v>
      </c>
      <c r="C2630" s="157" t="s">
        <v>927</v>
      </c>
      <c r="D2630" s="159">
        <v>1.1000000000000001</v>
      </c>
      <c r="E2630" s="159">
        <v>399.48</v>
      </c>
      <c r="F2630" s="159">
        <v>439.43</v>
      </c>
      <c r="G2630" s="160" t="s">
        <v>4965</v>
      </c>
      <c r="H2630" s="34" t="s">
        <v>925</v>
      </c>
    </row>
    <row r="2631" spans="1:8" ht="33">
      <c r="A2631" s="160">
        <v>4</v>
      </c>
      <c r="B2631" s="160" t="s">
        <v>997</v>
      </c>
      <c r="C2631" s="157" t="s">
        <v>927</v>
      </c>
      <c r="D2631" s="159">
        <v>1.03</v>
      </c>
      <c r="E2631" s="159">
        <v>1155.6099999999999</v>
      </c>
      <c r="F2631" s="159">
        <v>1190.28</v>
      </c>
      <c r="G2631" s="160" t="s">
        <v>998</v>
      </c>
      <c r="H2631" s="34" t="s">
        <v>925</v>
      </c>
    </row>
    <row r="2632" spans="1:8" ht="33">
      <c r="A2632" s="160">
        <v>5</v>
      </c>
      <c r="B2632" s="160" t="s">
        <v>1086</v>
      </c>
      <c r="C2632" s="157" t="s">
        <v>927</v>
      </c>
      <c r="D2632" s="159">
        <v>1.03</v>
      </c>
      <c r="E2632" s="159">
        <v>399.48</v>
      </c>
      <c r="F2632" s="159">
        <v>411.46</v>
      </c>
      <c r="G2632" s="160" t="s">
        <v>1087</v>
      </c>
      <c r="H2632" s="34" t="s">
        <v>925</v>
      </c>
    </row>
    <row r="2633" spans="1:8" ht="33">
      <c r="A2633" s="160">
        <v>6</v>
      </c>
      <c r="B2633" s="160" t="s">
        <v>2369</v>
      </c>
      <c r="C2633" s="157" t="s">
        <v>927</v>
      </c>
      <c r="D2633" s="159">
        <v>1.02</v>
      </c>
      <c r="E2633" s="159">
        <v>408.45</v>
      </c>
      <c r="F2633" s="159">
        <v>416.62</v>
      </c>
      <c r="G2633" s="160" t="s">
        <v>2370</v>
      </c>
      <c r="H2633" s="34" t="s">
        <v>925</v>
      </c>
    </row>
    <row r="2634" spans="1:8" ht="33">
      <c r="A2634" s="160">
        <v>7</v>
      </c>
      <c r="B2634" s="160" t="s">
        <v>931</v>
      </c>
      <c r="C2634" s="157" t="s">
        <v>14</v>
      </c>
      <c r="D2634" s="159">
        <v>1</v>
      </c>
      <c r="E2634" s="159">
        <v>132.66999999999999</v>
      </c>
      <c r="F2634" s="159">
        <v>132.66999999999999</v>
      </c>
      <c r="G2634" s="160" t="s">
        <v>932</v>
      </c>
      <c r="H2634" s="34" t="s">
        <v>925</v>
      </c>
    </row>
    <row r="2635" spans="1:8" ht="33">
      <c r="A2635" s="160"/>
      <c r="B2635" s="160" t="s">
        <v>933</v>
      </c>
      <c r="C2635" s="157" t="s">
        <v>2400</v>
      </c>
      <c r="D2635" s="159">
        <v>1</v>
      </c>
      <c r="E2635" s="159"/>
      <c r="F2635" s="159">
        <v>4555</v>
      </c>
      <c r="G2635" s="160"/>
      <c r="H2635" s="34" t="s">
        <v>925</v>
      </c>
    </row>
    <row r="2636" spans="1:8" ht="33">
      <c r="A2636" s="160"/>
      <c r="B2636" s="160" t="s">
        <v>934</v>
      </c>
      <c r="C2636" s="157" t="s">
        <v>2400</v>
      </c>
      <c r="D2636" s="159"/>
      <c r="E2636" s="159"/>
      <c r="F2636" s="159">
        <v>4555</v>
      </c>
      <c r="G2636" s="160"/>
      <c r="H2636" s="34" t="s">
        <v>925</v>
      </c>
    </row>
    <row r="2637" spans="1:8" ht="16.5">
      <c r="A2637" s="160"/>
      <c r="B2637" s="160"/>
      <c r="C2637" s="157"/>
      <c r="D2637" s="159"/>
      <c r="E2637" s="159"/>
      <c r="F2637" s="159"/>
      <c r="G2637" s="160"/>
    </row>
    <row r="2638" spans="1:8" ht="33">
      <c r="A2638" s="160" t="s">
        <v>2595</v>
      </c>
      <c r="B2638" s="160" t="s">
        <v>2405</v>
      </c>
      <c r="C2638" s="157" t="s">
        <v>3</v>
      </c>
      <c r="D2638" s="159">
        <v>100</v>
      </c>
      <c r="E2638" s="159">
        <v>34.6</v>
      </c>
      <c r="F2638" s="159"/>
      <c r="G2638" s="160" t="s">
        <v>2406</v>
      </c>
      <c r="H2638" s="34" t="s">
        <v>925</v>
      </c>
    </row>
    <row r="2639" spans="1:8" ht="33">
      <c r="A2639" s="160">
        <v>1</v>
      </c>
      <c r="B2639" s="160" t="s">
        <v>1084</v>
      </c>
      <c r="C2639" s="157" t="s">
        <v>927</v>
      </c>
      <c r="D2639" s="159">
        <v>1</v>
      </c>
      <c r="E2639" s="159">
        <v>687.39</v>
      </c>
      <c r="F2639" s="159">
        <v>687.39</v>
      </c>
      <c r="G2639" s="160" t="s">
        <v>1085</v>
      </c>
      <c r="H2639" s="34" t="s">
        <v>925</v>
      </c>
    </row>
    <row r="2640" spans="1:8" ht="33">
      <c r="A2640" s="160">
        <v>2</v>
      </c>
      <c r="B2640" s="160" t="s">
        <v>1086</v>
      </c>
      <c r="C2640" s="157" t="s">
        <v>927</v>
      </c>
      <c r="D2640" s="159">
        <v>1</v>
      </c>
      <c r="E2640" s="159">
        <v>399.48</v>
      </c>
      <c r="F2640" s="159">
        <v>399.48</v>
      </c>
      <c r="G2640" s="160" t="s">
        <v>1087</v>
      </c>
      <c r="H2640" s="34" t="s">
        <v>925</v>
      </c>
    </row>
    <row r="2641" spans="1:8" ht="33">
      <c r="A2641" s="160">
        <v>3</v>
      </c>
      <c r="B2641" s="160" t="s">
        <v>4871</v>
      </c>
      <c r="C2641" s="157" t="s">
        <v>927</v>
      </c>
      <c r="D2641" s="159">
        <v>1</v>
      </c>
      <c r="E2641" s="159">
        <v>279.94</v>
      </c>
      <c r="F2641" s="159">
        <v>279.94</v>
      </c>
      <c r="G2641" s="160" t="s">
        <v>4872</v>
      </c>
      <c r="H2641" s="34" t="s">
        <v>925</v>
      </c>
    </row>
    <row r="2642" spans="1:8" ht="33">
      <c r="A2642" s="160">
        <v>4</v>
      </c>
      <c r="B2642" s="160" t="s">
        <v>2396</v>
      </c>
      <c r="C2642" s="157" t="s">
        <v>14</v>
      </c>
      <c r="D2642" s="159">
        <v>1</v>
      </c>
      <c r="E2642" s="159">
        <v>498.11</v>
      </c>
      <c r="F2642" s="159">
        <v>498.11</v>
      </c>
      <c r="G2642" s="160" t="s">
        <v>2397</v>
      </c>
      <c r="H2642" s="34" t="s">
        <v>925</v>
      </c>
    </row>
    <row r="2643" spans="1:8" ht="33">
      <c r="A2643" s="160">
        <v>5</v>
      </c>
      <c r="B2643" s="160" t="s">
        <v>2407</v>
      </c>
      <c r="C2643" s="157" t="s">
        <v>14</v>
      </c>
      <c r="D2643" s="159">
        <v>1</v>
      </c>
      <c r="E2643" s="159">
        <v>1494.33</v>
      </c>
      <c r="F2643" s="159">
        <v>1494.33</v>
      </c>
      <c r="G2643" s="160" t="s">
        <v>2408</v>
      </c>
      <c r="H2643" s="34" t="s">
        <v>925</v>
      </c>
    </row>
    <row r="2644" spans="1:8" ht="33">
      <c r="A2644" s="160">
        <v>6</v>
      </c>
      <c r="B2644" s="160" t="s">
        <v>931</v>
      </c>
      <c r="C2644" s="157" t="s">
        <v>14</v>
      </c>
      <c r="D2644" s="159">
        <v>1</v>
      </c>
      <c r="E2644" s="159">
        <v>100.78</v>
      </c>
      <c r="F2644" s="159">
        <v>100.78</v>
      </c>
      <c r="G2644" s="160" t="s">
        <v>932</v>
      </c>
      <c r="H2644" s="34" t="s">
        <v>925</v>
      </c>
    </row>
    <row r="2645" spans="1:8" ht="33">
      <c r="A2645" s="160"/>
      <c r="B2645" s="160" t="s">
        <v>933</v>
      </c>
      <c r="C2645" s="157" t="s">
        <v>3</v>
      </c>
      <c r="D2645" s="159">
        <v>100</v>
      </c>
      <c r="E2645" s="159"/>
      <c r="F2645" s="159">
        <v>3460.03</v>
      </c>
      <c r="G2645" s="160"/>
      <c r="H2645" s="34" t="s">
        <v>925</v>
      </c>
    </row>
    <row r="2646" spans="1:8" ht="33">
      <c r="A2646" s="160"/>
      <c r="B2646" s="160" t="s">
        <v>934</v>
      </c>
      <c r="C2646" s="157" t="s">
        <v>3</v>
      </c>
      <c r="D2646" s="159"/>
      <c r="E2646" s="159"/>
      <c r="F2646" s="159">
        <v>34.6</v>
      </c>
      <c r="G2646" s="160"/>
      <c r="H2646" s="34" t="s">
        <v>925</v>
      </c>
    </row>
    <row r="2647" spans="1:8" ht="33">
      <c r="A2647" s="160"/>
      <c r="B2647" s="160"/>
      <c r="C2647" s="157"/>
      <c r="D2647" s="159"/>
      <c r="E2647" s="159"/>
      <c r="F2647" s="159"/>
      <c r="G2647" s="160"/>
      <c r="H2647" s="34" t="s">
        <v>925</v>
      </c>
    </row>
    <row r="2648" spans="1:8" ht="33">
      <c r="A2648" s="160" t="s">
        <v>2598</v>
      </c>
      <c r="B2648" s="160" t="s">
        <v>2410</v>
      </c>
      <c r="C2648" s="157" t="s">
        <v>0</v>
      </c>
      <c r="D2648" s="159">
        <v>100</v>
      </c>
      <c r="E2648" s="159">
        <v>2282.59</v>
      </c>
      <c r="F2648" s="159"/>
      <c r="G2648" s="160" t="s">
        <v>2411</v>
      </c>
      <c r="H2648" s="34" t="s">
        <v>925</v>
      </c>
    </row>
    <row r="2649" spans="1:8" ht="33">
      <c r="A2649" s="160">
        <v>1</v>
      </c>
      <c r="B2649" s="160" t="s">
        <v>1084</v>
      </c>
      <c r="C2649" s="157" t="s">
        <v>927</v>
      </c>
      <c r="D2649" s="159">
        <v>16</v>
      </c>
      <c r="E2649" s="159">
        <v>687.39</v>
      </c>
      <c r="F2649" s="159">
        <v>10998.24</v>
      </c>
      <c r="G2649" s="160" t="s">
        <v>1085</v>
      </c>
      <c r="H2649" s="34" t="s">
        <v>925</v>
      </c>
    </row>
    <row r="2650" spans="1:8" ht="33">
      <c r="A2650" s="160">
        <v>2</v>
      </c>
      <c r="B2650" s="160" t="s">
        <v>1086</v>
      </c>
      <c r="C2650" s="157" t="s">
        <v>927</v>
      </c>
      <c r="D2650" s="159">
        <v>16</v>
      </c>
      <c r="E2650" s="159">
        <v>399.48</v>
      </c>
      <c r="F2650" s="159">
        <v>6391.68</v>
      </c>
      <c r="G2650" s="160" t="s">
        <v>1087</v>
      </c>
      <c r="H2650" s="34" t="s">
        <v>925</v>
      </c>
    </row>
    <row r="2651" spans="1:8" ht="33">
      <c r="A2651" s="160">
        <v>3</v>
      </c>
      <c r="B2651" s="160" t="s">
        <v>4871</v>
      </c>
      <c r="C2651" s="157" t="s">
        <v>927</v>
      </c>
      <c r="D2651" s="159">
        <v>16</v>
      </c>
      <c r="E2651" s="159">
        <v>279.94</v>
      </c>
      <c r="F2651" s="159">
        <v>4479.04</v>
      </c>
      <c r="G2651" s="160" t="s">
        <v>4872</v>
      </c>
      <c r="H2651" s="34" t="s">
        <v>925</v>
      </c>
    </row>
    <row r="2652" spans="1:8" ht="33">
      <c r="A2652" s="160">
        <v>4</v>
      </c>
      <c r="B2652" s="160" t="s">
        <v>2396</v>
      </c>
      <c r="C2652" s="157" t="s">
        <v>14</v>
      </c>
      <c r="D2652" s="159">
        <v>1</v>
      </c>
      <c r="E2652" s="159">
        <v>498.11</v>
      </c>
      <c r="F2652" s="159">
        <v>498.11</v>
      </c>
      <c r="G2652" s="160" t="s">
        <v>2397</v>
      </c>
      <c r="H2652" s="34" t="s">
        <v>925</v>
      </c>
    </row>
    <row r="2653" spans="1:8" ht="33">
      <c r="A2653" s="160">
        <v>5</v>
      </c>
      <c r="B2653" s="160" t="s">
        <v>2407</v>
      </c>
      <c r="C2653" s="157" t="s">
        <v>0</v>
      </c>
      <c r="D2653" s="159">
        <v>100</v>
      </c>
      <c r="E2653" s="159">
        <v>1992.44</v>
      </c>
      <c r="F2653" s="159">
        <v>199244</v>
      </c>
      <c r="G2653" s="160" t="s">
        <v>2412</v>
      </c>
      <c r="H2653" s="34" t="s">
        <v>925</v>
      </c>
    </row>
    <row r="2654" spans="1:8" ht="28.5">
      <c r="A2654" s="160">
        <v>6</v>
      </c>
      <c r="B2654" s="160" t="s">
        <v>931</v>
      </c>
      <c r="C2654" s="157" t="s">
        <v>14</v>
      </c>
      <c r="D2654" s="159">
        <v>1</v>
      </c>
      <c r="E2654" s="159">
        <v>6648.33</v>
      </c>
      <c r="F2654" s="159">
        <v>6648.33</v>
      </c>
      <c r="G2654" s="160" t="s">
        <v>932</v>
      </c>
    </row>
    <row r="2655" spans="1:8" ht="33">
      <c r="A2655" s="160"/>
      <c r="B2655" s="160" t="s">
        <v>933</v>
      </c>
      <c r="C2655" s="157" t="s">
        <v>0</v>
      </c>
      <c r="D2655" s="159">
        <v>100</v>
      </c>
      <c r="E2655" s="159"/>
      <c r="F2655" s="159">
        <v>228259.4</v>
      </c>
      <c r="G2655" s="160"/>
      <c r="H2655" s="34" t="s">
        <v>925</v>
      </c>
    </row>
    <row r="2656" spans="1:8" ht="33">
      <c r="A2656" s="160"/>
      <c r="B2656" s="160" t="s">
        <v>934</v>
      </c>
      <c r="C2656" s="157" t="s">
        <v>0</v>
      </c>
      <c r="D2656" s="159"/>
      <c r="E2656" s="159"/>
      <c r="F2656" s="159">
        <v>2282.59</v>
      </c>
      <c r="G2656" s="160"/>
      <c r="H2656" s="34" t="s">
        <v>925</v>
      </c>
    </row>
    <row r="2657" spans="1:8" ht="33">
      <c r="A2657" s="160"/>
      <c r="B2657" s="160"/>
      <c r="C2657" s="157"/>
      <c r="D2657" s="159"/>
      <c r="E2657" s="159"/>
      <c r="F2657" s="159"/>
      <c r="G2657" s="160"/>
      <c r="H2657" s="34" t="s">
        <v>925</v>
      </c>
    </row>
    <row r="2658" spans="1:8" ht="42.75">
      <c r="A2658" s="160" t="s">
        <v>2601</v>
      </c>
      <c r="B2658" s="160" t="s">
        <v>4390</v>
      </c>
      <c r="C2658" s="157" t="s">
        <v>927</v>
      </c>
      <c r="D2658" s="159">
        <v>8</v>
      </c>
      <c r="E2658" s="159">
        <v>206.33</v>
      </c>
      <c r="F2658" s="159"/>
      <c r="G2658" s="160" t="s">
        <v>4996</v>
      </c>
      <c r="H2658" s="34" t="s">
        <v>925</v>
      </c>
    </row>
    <row r="2659" spans="1:8" ht="57">
      <c r="A2659" s="160">
        <v>1</v>
      </c>
      <c r="B2659" s="160" t="s">
        <v>4997</v>
      </c>
      <c r="C2659" s="157" t="s">
        <v>927</v>
      </c>
      <c r="D2659" s="159">
        <v>8</v>
      </c>
      <c r="E2659" s="159">
        <v>62.76</v>
      </c>
      <c r="F2659" s="159">
        <v>502.08</v>
      </c>
      <c r="G2659" s="160" t="s">
        <v>4998</v>
      </c>
      <c r="H2659" s="34" t="s">
        <v>925</v>
      </c>
    </row>
    <row r="2660" spans="1:8" ht="42.75">
      <c r="A2660" s="160">
        <v>2</v>
      </c>
      <c r="B2660" s="160" t="s">
        <v>4999</v>
      </c>
      <c r="C2660" s="157" t="s">
        <v>14</v>
      </c>
      <c r="D2660" s="159">
        <v>1</v>
      </c>
      <c r="E2660" s="159">
        <v>697.39</v>
      </c>
      <c r="F2660" s="159">
        <v>697.39</v>
      </c>
      <c r="G2660" s="160" t="s">
        <v>5000</v>
      </c>
      <c r="H2660" s="34" t="s">
        <v>925</v>
      </c>
    </row>
    <row r="2661" spans="1:8" ht="33">
      <c r="A2661" s="160">
        <v>3</v>
      </c>
      <c r="B2661" s="160" t="s">
        <v>4871</v>
      </c>
      <c r="C2661" s="157" t="s">
        <v>927</v>
      </c>
      <c r="D2661" s="159">
        <v>1.44</v>
      </c>
      <c r="E2661" s="159">
        <v>279.94</v>
      </c>
      <c r="F2661" s="159">
        <v>403.11</v>
      </c>
      <c r="G2661" s="160" t="s">
        <v>4876</v>
      </c>
      <c r="H2661" s="34" t="s">
        <v>925</v>
      </c>
    </row>
    <row r="2662" spans="1:8" ht="33">
      <c r="A2662" s="160">
        <v>4</v>
      </c>
      <c r="B2662" s="160" t="s">
        <v>931</v>
      </c>
      <c r="C2662" s="157" t="s">
        <v>14</v>
      </c>
      <c r="D2662" s="159">
        <v>1</v>
      </c>
      <c r="E2662" s="159">
        <v>48.08</v>
      </c>
      <c r="F2662" s="159">
        <v>48.08</v>
      </c>
      <c r="G2662" s="160" t="s">
        <v>932</v>
      </c>
      <c r="H2662" s="34" t="s">
        <v>925</v>
      </c>
    </row>
    <row r="2663" spans="1:8" ht="33">
      <c r="A2663" s="160"/>
      <c r="B2663" s="160" t="s">
        <v>933</v>
      </c>
      <c r="C2663" s="157" t="s">
        <v>927</v>
      </c>
      <c r="D2663" s="159">
        <v>8</v>
      </c>
      <c r="E2663" s="159"/>
      <c r="F2663" s="159">
        <v>1650.6599999999999</v>
      </c>
      <c r="G2663" s="160"/>
      <c r="H2663" s="34" t="s">
        <v>925</v>
      </c>
    </row>
    <row r="2664" spans="1:8" ht="33">
      <c r="A2664" s="160"/>
      <c r="B2664" s="160" t="s">
        <v>934</v>
      </c>
      <c r="C2664" s="157" t="s">
        <v>927</v>
      </c>
      <c r="D2664" s="159"/>
      <c r="E2664" s="159"/>
      <c r="F2664" s="159">
        <v>206.33</v>
      </c>
      <c r="G2664" s="160"/>
      <c r="H2664" s="34" t="s">
        <v>925</v>
      </c>
    </row>
    <row r="2665" spans="1:8" ht="33">
      <c r="A2665" s="160"/>
      <c r="B2665" s="160"/>
      <c r="C2665" s="157"/>
      <c r="D2665" s="159"/>
      <c r="E2665" s="159"/>
      <c r="F2665" s="159"/>
      <c r="G2665" s="160"/>
      <c r="H2665" s="34" t="s">
        <v>925</v>
      </c>
    </row>
    <row r="2666" spans="1:8" ht="42.75">
      <c r="A2666" s="160" t="s">
        <v>2604</v>
      </c>
      <c r="B2666" s="160" t="s">
        <v>4392</v>
      </c>
      <c r="C2666" s="157" t="s">
        <v>927</v>
      </c>
      <c r="D2666" s="159">
        <v>8</v>
      </c>
      <c r="E2666" s="159">
        <v>161.91</v>
      </c>
      <c r="F2666" s="159"/>
      <c r="G2666" s="160" t="s">
        <v>5001</v>
      </c>
      <c r="H2666" s="34" t="s">
        <v>925</v>
      </c>
    </row>
    <row r="2667" spans="1:8" ht="57">
      <c r="A2667" s="160">
        <v>1</v>
      </c>
      <c r="B2667" s="160" t="s">
        <v>5002</v>
      </c>
      <c r="C2667" s="157" t="s">
        <v>927</v>
      </c>
      <c r="D2667" s="159">
        <v>8</v>
      </c>
      <c r="E2667" s="159">
        <v>54.79</v>
      </c>
      <c r="F2667" s="159">
        <v>438.32</v>
      </c>
      <c r="G2667" s="160" t="s">
        <v>5003</v>
      </c>
      <c r="H2667" s="34" t="s">
        <v>925</v>
      </c>
    </row>
    <row r="2668" spans="1:8" ht="42.75">
      <c r="A2668" s="160">
        <v>2</v>
      </c>
      <c r="B2668" s="160" t="s">
        <v>4999</v>
      </c>
      <c r="C2668" s="157" t="s">
        <v>14</v>
      </c>
      <c r="D2668" s="159">
        <v>1</v>
      </c>
      <c r="E2668" s="159">
        <v>617.70000000000005</v>
      </c>
      <c r="F2668" s="159">
        <v>617.70000000000005</v>
      </c>
      <c r="G2668" s="160" t="s">
        <v>5000</v>
      </c>
      <c r="H2668" s="34" t="s">
        <v>925</v>
      </c>
    </row>
    <row r="2669" spans="1:8" ht="33">
      <c r="A2669" s="160">
        <v>3</v>
      </c>
      <c r="B2669" s="160" t="s">
        <v>4871</v>
      </c>
      <c r="C2669" s="157" t="s">
        <v>927</v>
      </c>
      <c r="D2669" s="159">
        <v>0.72</v>
      </c>
      <c r="E2669" s="159">
        <v>279.94</v>
      </c>
      <c r="F2669" s="159">
        <v>201.56</v>
      </c>
      <c r="G2669" s="160" t="s">
        <v>4876</v>
      </c>
      <c r="H2669" s="34" t="s">
        <v>925</v>
      </c>
    </row>
    <row r="2670" spans="1:8" ht="33">
      <c r="A2670" s="160">
        <v>4</v>
      </c>
      <c r="B2670" s="160" t="s">
        <v>931</v>
      </c>
      <c r="C2670" s="157" t="s">
        <v>14</v>
      </c>
      <c r="D2670" s="159">
        <v>1</v>
      </c>
      <c r="E2670" s="159">
        <v>37.729999999999997</v>
      </c>
      <c r="F2670" s="159">
        <v>37.729999999999997</v>
      </c>
      <c r="G2670" s="160" t="s">
        <v>932</v>
      </c>
      <c r="H2670" s="34" t="s">
        <v>925</v>
      </c>
    </row>
    <row r="2671" spans="1:8" ht="16.5">
      <c r="A2671" s="160"/>
      <c r="B2671" s="160" t="s">
        <v>933</v>
      </c>
      <c r="C2671" s="157" t="s">
        <v>927</v>
      </c>
      <c r="D2671" s="159">
        <v>8</v>
      </c>
      <c r="E2671" s="159"/>
      <c r="F2671" s="159">
        <v>1295.31</v>
      </c>
      <c r="G2671" s="160"/>
    </row>
    <row r="2672" spans="1:8" ht="33">
      <c r="A2672" s="160"/>
      <c r="B2672" s="160" t="s">
        <v>934</v>
      </c>
      <c r="C2672" s="157" t="s">
        <v>927</v>
      </c>
      <c r="D2672" s="159"/>
      <c r="E2672" s="159"/>
      <c r="F2672" s="159">
        <v>161.91</v>
      </c>
      <c r="G2672" s="160"/>
      <c r="H2672" s="34" t="s">
        <v>925</v>
      </c>
    </row>
    <row r="2673" spans="1:8" ht="33">
      <c r="A2673" s="160"/>
      <c r="B2673" s="160"/>
      <c r="C2673" s="157"/>
      <c r="D2673" s="159"/>
      <c r="E2673" s="159"/>
      <c r="F2673" s="159"/>
      <c r="G2673" s="160"/>
      <c r="H2673" s="34" t="s">
        <v>925</v>
      </c>
    </row>
    <row r="2674" spans="1:8" ht="33">
      <c r="A2674" s="160" t="s">
        <v>2607</v>
      </c>
      <c r="B2674" s="160" t="s">
        <v>2381</v>
      </c>
      <c r="C2674" s="157" t="s">
        <v>927</v>
      </c>
      <c r="D2674" s="159">
        <v>1</v>
      </c>
      <c r="E2674" s="159">
        <v>2158.11</v>
      </c>
      <c r="F2674" s="159"/>
      <c r="G2674" s="160" t="s">
        <v>2418</v>
      </c>
      <c r="H2674" s="34" t="s">
        <v>925</v>
      </c>
    </row>
    <row r="2675" spans="1:8" ht="33">
      <c r="A2675" s="160">
        <v>1</v>
      </c>
      <c r="B2675" s="160" t="s">
        <v>2419</v>
      </c>
      <c r="C2675" s="157" t="s">
        <v>927</v>
      </c>
      <c r="D2675" s="159">
        <v>1</v>
      </c>
      <c r="E2675" s="159">
        <v>1359.84</v>
      </c>
      <c r="F2675" s="159">
        <v>1359.84</v>
      </c>
      <c r="G2675" s="160" t="s">
        <v>2420</v>
      </c>
      <c r="H2675" s="34" t="s">
        <v>925</v>
      </c>
    </row>
    <row r="2676" spans="1:8" ht="42.75">
      <c r="A2676" s="160">
        <v>2</v>
      </c>
      <c r="B2676" s="160" t="s">
        <v>4964</v>
      </c>
      <c r="C2676" s="157" t="s">
        <v>927</v>
      </c>
      <c r="D2676" s="159">
        <v>1</v>
      </c>
      <c r="E2676" s="159">
        <v>399.48</v>
      </c>
      <c r="F2676" s="159">
        <v>399.48</v>
      </c>
      <c r="G2676" s="160" t="s">
        <v>4965</v>
      </c>
      <c r="H2676" s="34" t="s">
        <v>925</v>
      </c>
    </row>
    <row r="2677" spans="1:8" ht="33">
      <c r="A2677" s="160">
        <v>3</v>
      </c>
      <c r="B2677" s="160" t="s">
        <v>4871</v>
      </c>
      <c r="C2677" s="157" t="s">
        <v>927</v>
      </c>
      <c r="D2677" s="159">
        <v>1.2</v>
      </c>
      <c r="E2677" s="159">
        <v>279.94</v>
      </c>
      <c r="F2677" s="159">
        <v>335.93</v>
      </c>
      <c r="G2677" s="160" t="s">
        <v>4872</v>
      </c>
      <c r="H2677" s="34" t="s">
        <v>925</v>
      </c>
    </row>
    <row r="2678" spans="1:8" ht="33">
      <c r="A2678" s="160">
        <v>4</v>
      </c>
      <c r="B2678" s="160" t="s">
        <v>931</v>
      </c>
      <c r="C2678" s="157" t="s">
        <v>14</v>
      </c>
      <c r="D2678" s="159">
        <v>1</v>
      </c>
      <c r="E2678" s="159">
        <v>62.86</v>
      </c>
      <c r="F2678" s="159">
        <v>62.86</v>
      </c>
      <c r="G2678" s="160" t="s">
        <v>932</v>
      </c>
      <c r="H2678" s="34" t="s">
        <v>925</v>
      </c>
    </row>
    <row r="2679" spans="1:8" ht="33">
      <c r="A2679" s="160"/>
      <c r="B2679" s="160" t="s">
        <v>933</v>
      </c>
      <c r="C2679" s="157" t="s">
        <v>927</v>
      </c>
      <c r="D2679" s="159">
        <v>1</v>
      </c>
      <c r="E2679" s="159"/>
      <c r="F2679" s="159">
        <v>2158.11</v>
      </c>
      <c r="G2679" s="160"/>
      <c r="H2679" s="34" t="s">
        <v>925</v>
      </c>
    </row>
    <row r="2680" spans="1:8" ht="33">
      <c r="A2680" s="160"/>
      <c r="B2680" s="160" t="s">
        <v>934</v>
      </c>
      <c r="C2680" s="157" t="s">
        <v>927</v>
      </c>
      <c r="D2680" s="159"/>
      <c r="E2680" s="159"/>
      <c r="F2680" s="159">
        <v>2158.11</v>
      </c>
      <c r="G2680" s="160"/>
      <c r="H2680" s="34" t="s">
        <v>925</v>
      </c>
    </row>
    <row r="2681" spans="1:8" ht="33">
      <c r="A2681" s="160"/>
      <c r="B2681" s="160"/>
      <c r="C2681" s="157"/>
      <c r="D2681" s="159"/>
      <c r="E2681" s="159"/>
      <c r="F2681" s="159"/>
      <c r="G2681" s="160"/>
      <c r="H2681" s="34" t="s">
        <v>925</v>
      </c>
    </row>
    <row r="2682" spans="1:8" ht="33">
      <c r="A2682" s="160" t="s">
        <v>2616</v>
      </c>
      <c r="B2682" s="160" t="s">
        <v>2422</v>
      </c>
      <c r="C2682" s="157" t="s">
        <v>927</v>
      </c>
      <c r="D2682" s="159">
        <v>1</v>
      </c>
      <c r="E2682" s="159">
        <v>3922.29</v>
      </c>
      <c r="F2682" s="159"/>
      <c r="G2682" s="160" t="s">
        <v>2423</v>
      </c>
      <c r="H2682" s="34" t="s">
        <v>925</v>
      </c>
    </row>
    <row r="2683" spans="1:8" ht="33">
      <c r="A2683" s="160">
        <v>1</v>
      </c>
      <c r="B2683" s="160" t="s">
        <v>2424</v>
      </c>
      <c r="C2683" s="157" t="s">
        <v>927</v>
      </c>
      <c r="D2683" s="159">
        <v>1</v>
      </c>
      <c r="E2683" s="159">
        <v>2988.66</v>
      </c>
      <c r="F2683" s="159">
        <v>2988.66</v>
      </c>
      <c r="G2683" s="160" t="s">
        <v>2425</v>
      </c>
      <c r="H2683" s="34" t="s">
        <v>925</v>
      </c>
    </row>
    <row r="2684" spans="1:8" ht="42.75">
      <c r="A2684" s="160">
        <v>2</v>
      </c>
      <c r="B2684" s="160" t="s">
        <v>4964</v>
      </c>
      <c r="C2684" s="157" t="s">
        <v>927</v>
      </c>
      <c r="D2684" s="159">
        <v>1</v>
      </c>
      <c r="E2684" s="159">
        <v>399.48</v>
      </c>
      <c r="F2684" s="159">
        <v>399.48</v>
      </c>
      <c r="G2684" s="160" t="s">
        <v>4965</v>
      </c>
      <c r="H2684" s="34" t="s">
        <v>925</v>
      </c>
    </row>
    <row r="2685" spans="1:8" ht="33">
      <c r="A2685" s="160">
        <v>3</v>
      </c>
      <c r="B2685" s="160" t="s">
        <v>4871</v>
      </c>
      <c r="C2685" s="157" t="s">
        <v>927</v>
      </c>
      <c r="D2685" s="159">
        <v>1.5</v>
      </c>
      <c r="E2685" s="159">
        <v>279.94</v>
      </c>
      <c r="F2685" s="159">
        <v>419.91</v>
      </c>
      <c r="G2685" s="160" t="s">
        <v>4872</v>
      </c>
      <c r="H2685" s="34" t="s">
        <v>925</v>
      </c>
    </row>
    <row r="2686" spans="1:8" ht="33">
      <c r="A2686" s="160">
        <v>4</v>
      </c>
      <c r="B2686" s="160" t="s">
        <v>931</v>
      </c>
      <c r="C2686" s="157" t="s">
        <v>14</v>
      </c>
      <c r="D2686" s="159">
        <v>1</v>
      </c>
      <c r="E2686" s="159">
        <v>114.24</v>
      </c>
      <c r="F2686" s="159">
        <v>114.24</v>
      </c>
      <c r="G2686" s="160" t="s">
        <v>932</v>
      </c>
      <c r="H2686" s="34" t="s">
        <v>925</v>
      </c>
    </row>
    <row r="2687" spans="1:8" ht="33">
      <c r="A2687" s="160"/>
      <c r="B2687" s="160" t="s">
        <v>933</v>
      </c>
      <c r="C2687" s="157" t="s">
        <v>927</v>
      </c>
      <c r="D2687" s="159">
        <v>1</v>
      </c>
      <c r="E2687" s="159"/>
      <c r="F2687" s="159">
        <v>3922.2899999999995</v>
      </c>
      <c r="G2687" s="160"/>
      <c r="H2687" s="34" t="s">
        <v>925</v>
      </c>
    </row>
    <row r="2688" spans="1:8" ht="16.5">
      <c r="A2688" s="160"/>
      <c r="B2688" s="160" t="s">
        <v>934</v>
      </c>
      <c r="C2688" s="157" t="s">
        <v>927</v>
      </c>
      <c r="D2688" s="159"/>
      <c r="E2688" s="159"/>
      <c r="F2688" s="159">
        <v>3922.29</v>
      </c>
      <c r="G2688" s="160"/>
    </row>
    <row r="2689" spans="1:8" ht="33">
      <c r="A2689" s="160"/>
      <c r="B2689" s="160"/>
      <c r="C2689" s="157"/>
      <c r="D2689" s="159"/>
      <c r="E2689" s="159"/>
      <c r="F2689" s="159"/>
      <c r="G2689" s="160"/>
      <c r="H2689" s="34" t="s">
        <v>925</v>
      </c>
    </row>
    <row r="2690" spans="1:8" ht="33">
      <c r="A2690" s="160" t="s">
        <v>2625</v>
      </c>
      <c r="B2690" s="160" t="s">
        <v>514</v>
      </c>
      <c r="C2690" s="157" t="s">
        <v>927</v>
      </c>
      <c r="D2690" s="159">
        <v>1</v>
      </c>
      <c r="E2690" s="159">
        <v>927.9</v>
      </c>
      <c r="F2690" s="159"/>
      <c r="G2690" s="160" t="s">
        <v>2427</v>
      </c>
      <c r="H2690" s="34" t="s">
        <v>925</v>
      </c>
    </row>
    <row r="2691" spans="1:8" ht="42.75">
      <c r="A2691" s="160">
        <v>1</v>
      </c>
      <c r="B2691" s="160" t="s">
        <v>2428</v>
      </c>
      <c r="C2691" s="157" t="s">
        <v>927</v>
      </c>
      <c r="D2691" s="159">
        <v>1</v>
      </c>
      <c r="E2691" s="159">
        <v>249.05</v>
      </c>
      <c r="F2691" s="159">
        <v>249.05</v>
      </c>
      <c r="G2691" s="160" t="s">
        <v>2429</v>
      </c>
      <c r="H2691" s="34" t="s">
        <v>925</v>
      </c>
    </row>
    <row r="2692" spans="1:8" ht="33">
      <c r="A2692" s="160">
        <v>2</v>
      </c>
      <c r="B2692" s="160" t="s">
        <v>1767</v>
      </c>
      <c r="C2692" s="157" t="s">
        <v>14</v>
      </c>
      <c r="D2692" s="159">
        <v>1</v>
      </c>
      <c r="E2692" s="159">
        <v>249.05</v>
      </c>
      <c r="F2692" s="159">
        <v>249.05</v>
      </c>
      <c r="G2692" s="160" t="s">
        <v>1768</v>
      </c>
      <c r="H2692" s="34" t="s">
        <v>925</v>
      </c>
    </row>
    <row r="2693" spans="1:8" ht="33">
      <c r="A2693" s="160">
        <v>3</v>
      </c>
      <c r="B2693" s="160" t="s">
        <v>4871</v>
      </c>
      <c r="C2693" s="157" t="s">
        <v>927</v>
      </c>
      <c r="D2693" s="159">
        <v>0.3</v>
      </c>
      <c r="E2693" s="159">
        <v>279.94</v>
      </c>
      <c r="F2693" s="159">
        <v>83.98</v>
      </c>
      <c r="G2693" s="160" t="s">
        <v>4872</v>
      </c>
      <c r="H2693" s="34" t="s">
        <v>925</v>
      </c>
    </row>
    <row r="2694" spans="1:8" ht="33">
      <c r="A2694" s="160">
        <v>4</v>
      </c>
      <c r="B2694" s="160" t="s">
        <v>2430</v>
      </c>
      <c r="C2694" s="157" t="s">
        <v>14</v>
      </c>
      <c r="D2694" s="159">
        <v>1</v>
      </c>
      <c r="E2694" s="159">
        <v>318.79000000000002</v>
      </c>
      <c r="F2694" s="159">
        <v>318.79000000000002</v>
      </c>
      <c r="G2694" s="160" t="s">
        <v>2431</v>
      </c>
      <c r="H2694" s="34" t="s">
        <v>925</v>
      </c>
    </row>
    <row r="2695" spans="1:8" ht="33">
      <c r="A2695" s="160">
        <v>5</v>
      </c>
      <c r="B2695" s="160" t="s">
        <v>931</v>
      </c>
      <c r="C2695" s="157" t="s">
        <v>14</v>
      </c>
      <c r="D2695" s="159">
        <v>1</v>
      </c>
      <c r="E2695" s="159">
        <v>27.03</v>
      </c>
      <c r="F2695" s="159">
        <v>27.03</v>
      </c>
      <c r="G2695" s="160" t="s">
        <v>932</v>
      </c>
      <c r="H2695" s="34" t="s">
        <v>925</v>
      </c>
    </row>
    <row r="2696" spans="1:8" ht="33">
      <c r="A2696" s="160"/>
      <c r="B2696" s="160" t="s">
        <v>933</v>
      </c>
      <c r="C2696" s="157" t="s">
        <v>927</v>
      </c>
      <c r="D2696" s="159">
        <v>1</v>
      </c>
      <c r="E2696" s="159"/>
      <c r="F2696" s="159">
        <v>927.90000000000009</v>
      </c>
      <c r="G2696" s="160"/>
      <c r="H2696" s="34" t="s">
        <v>925</v>
      </c>
    </row>
    <row r="2697" spans="1:8" ht="33">
      <c r="A2697" s="160"/>
      <c r="B2697" s="160" t="s">
        <v>934</v>
      </c>
      <c r="C2697" s="157" t="s">
        <v>927</v>
      </c>
      <c r="D2697" s="159"/>
      <c r="E2697" s="159"/>
      <c r="F2697" s="159">
        <v>927.9</v>
      </c>
      <c r="G2697" s="160"/>
      <c r="H2697" s="34" t="s">
        <v>925</v>
      </c>
    </row>
    <row r="2698" spans="1:8" ht="33">
      <c r="A2698" s="160"/>
      <c r="B2698" s="160"/>
      <c r="C2698" s="157"/>
      <c r="D2698" s="159"/>
      <c r="E2698" s="159"/>
      <c r="F2698" s="159"/>
      <c r="G2698" s="160"/>
      <c r="H2698" s="34" t="s">
        <v>925</v>
      </c>
    </row>
    <row r="2699" spans="1:8" ht="33">
      <c r="A2699" s="160" t="s">
        <v>2630</v>
      </c>
      <c r="B2699" s="160" t="s">
        <v>2433</v>
      </c>
      <c r="C2699" s="157" t="s">
        <v>927</v>
      </c>
      <c r="D2699" s="159">
        <v>1</v>
      </c>
      <c r="E2699" s="159">
        <v>907.38</v>
      </c>
      <c r="F2699" s="159"/>
      <c r="G2699" s="160" t="s">
        <v>2434</v>
      </c>
      <c r="H2699" s="34" t="s">
        <v>925</v>
      </c>
    </row>
    <row r="2700" spans="1:8" ht="33">
      <c r="A2700" s="160">
        <v>1</v>
      </c>
      <c r="B2700" s="160" t="s">
        <v>2435</v>
      </c>
      <c r="C2700" s="157" t="s">
        <v>927</v>
      </c>
      <c r="D2700" s="159">
        <v>1</v>
      </c>
      <c r="E2700" s="159">
        <v>229.13</v>
      </c>
      <c r="F2700" s="159">
        <v>229.13</v>
      </c>
      <c r="G2700" s="160" t="s">
        <v>2436</v>
      </c>
      <c r="H2700" s="34" t="s">
        <v>925</v>
      </c>
    </row>
    <row r="2701" spans="1:8" ht="33">
      <c r="A2701" s="160">
        <v>2</v>
      </c>
      <c r="B2701" s="160" t="s">
        <v>4871</v>
      </c>
      <c r="C2701" s="157" t="s">
        <v>927</v>
      </c>
      <c r="D2701" s="159">
        <v>0.3</v>
      </c>
      <c r="E2701" s="159">
        <v>279.94</v>
      </c>
      <c r="F2701" s="159">
        <v>83.98</v>
      </c>
      <c r="G2701" s="160" t="s">
        <v>4872</v>
      </c>
      <c r="H2701" s="34" t="s">
        <v>925</v>
      </c>
    </row>
    <row r="2702" spans="1:8" ht="33">
      <c r="A2702" s="160">
        <v>3</v>
      </c>
      <c r="B2702" s="160" t="s">
        <v>2430</v>
      </c>
      <c r="C2702" s="157" t="s">
        <v>14</v>
      </c>
      <c r="D2702" s="159">
        <v>1</v>
      </c>
      <c r="E2702" s="159">
        <v>318.79000000000002</v>
      </c>
      <c r="F2702" s="159">
        <v>318.79000000000002</v>
      </c>
      <c r="G2702" s="160" t="s">
        <v>2431</v>
      </c>
      <c r="H2702" s="34" t="s">
        <v>925</v>
      </c>
    </row>
    <row r="2703" spans="1:8" ht="33">
      <c r="A2703" s="160">
        <v>4</v>
      </c>
      <c r="B2703" s="160" t="s">
        <v>1767</v>
      </c>
      <c r="C2703" s="157" t="s">
        <v>14</v>
      </c>
      <c r="D2703" s="159">
        <v>1</v>
      </c>
      <c r="E2703" s="159">
        <v>249.05</v>
      </c>
      <c r="F2703" s="159">
        <v>249.05</v>
      </c>
      <c r="G2703" s="160" t="s">
        <v>1768</v>
      </c>
      <c r="H2703" s="34" t="s">
        <v>925</v>
      </c>
    </row>
    <row r="2704" spans="1:8" ht="33">
      <c r="A2704" s="160">
        <v>5</v>
      </c>
      <c r="B2704" s="160" t="s">
        <v>931</v>
      </c>
      <c r="C2704" s="157" t="s">
        <v>14</v>
      </c>
      <c r="D2704" s="159">
        <v>1</v>
      </c>
      <c r="E2704" s="159">
        <v>26.43</v>
      </c>
      <c r="F2704" s="159">
        <v>26.43</v>
      </c>
      <c r="G2704" s="160" t="s">
        <v>932</v>
      </c>
      <c r="H2704" s="34" t="s">
        <v>925</v>
      </c>
    </row>
    <row r="2705" spans="1:8" ht="16.5">
      <c r="A2705" s="160"/>
      <c r="B2705" s="160" t="s">
        <v>933</v>
      </c>
      <c r="C2705" s="157" t="s">
        <v>927</v>
      </c>
      <c r="D2705" s="159">
        <v>1</v>
      </c>
      <c r="E2705" s="159"/>
      <c r="F2705" s="159">
        <v>907.38</v>
      </c>
      <c r="G2705" s="160"/>
    </row>
    <row r="2706" spans="1:8" ht="33">
      <c r="A2706" s="160"/>
      <c r="B2706" s="160" t="s">
        <v>934</v>
      </c>
      <c r="C2706" s="157" t="s">
        <v>927</v>
      </c>
      <c r="D2706" s="159"/>
      <c r="E2706" s="159"/>
      <c r="F2706" s="159">
        <v>907.38</v>
      </c>
      <c r="G2706" s="160"/>
      <c r="H2706" s="34" t="s">
        <v>925</v>
      </c>
    </row>
    <row r="2707" spans="1:8" ht="33">
      <c r="A2707" s="160"/>
      <c r="B2707" s="160"/>
      <c r="C2707" s="157"/>
      <c r="D2707" s="159"/>
      <c r="E2707" s="159"/>
      <c r="F2707" s="159"/>
      <c r="G2707" s="160"/>
      <c r="H2707" s="34" t="s">
        <v>925</v>
      </c>
    </row>
    <row r="2708" spans="1:8" ht="33">
      <c r="A2708" s="160" t="s">
        <v>2641</v>
      </c>
      <c r="B2708" s="160" t="s">
        <v>2438</v>
      </c>
      <c r="C2708" s="157" t="s">
        <v>927</v>
      </c>
      <c r="D2708" s="159">
        <v>1</v>
      </c>
      <c r="E2708" s="159">
        <v>804.77</v>
      </c>
      <c r="F2708" s="159"/>
      <c r="G2708" s="160" t="s">
        <v>2439</v>
      </c>
      <c r="H2708" s="34" t="s">
        <v>925</v>
      </c>
    </row>
    <row r="2709" spans="1:8" ht="33">
      <c r="A2709" s="160">
        <v>1</v>
      </c>
      <c r="B2709" s="160" t="s">
        <v>2440</v>
      </c>
      <c r="C2709" s="157" t="s">
        <v>927</v>
      </c>
      <c r="D2709" s="159">
        <v>1</v>
      </c>
      <c r="E2709" s="159">
        <v>129.51</v>
      </c>
      <c r="F2709" s="159">
        <v>129.51</v>
      </c>
      <c r="G2709" s="160" t="s">
        <v>2441</v>
      </c>
      <c r="H2709" s="34" t="s">
        <v>925</v>
      </c>
    </row>
    <row r="2710" spans="1:8" ht="33">
      <c r="A2710" s="160">
        <v>2</v>
      </c>
      <c r="B2710" s="160" t="s">
        <v>4871</v>
      </c>
      <c r="C2710" s="157" t="s">
        <v>927</v>
      </c>
      <c r="D2710" s="159">
        <v>0.3</v>
      </c>
      <c r="E2710" s="159">
        <v>279.94</v>
      </c>
      <c r="F2710" s="159">
        <v>83.98</v>
      </c>
      <c r="G2710" s="160" t="s">
        <v>4872</v>
      </c>
      <c r="H2710" s="34" t="s">
        <v>925</v>
      </c>
    </row>
    <row r="2711" spans="1:8" ht="33">
      <c r="A2711" s="160">
        <v>3</v>
      </c>
      <c r="B2711" s="160" t="s">
        <v>2430</v>
      </c>
      <c r="C2711" s="157" t="s">
        <v>14</v>
      </c>
      <c r="D2711" s="159">
        <v>1</v>
      </c>
      <c r="E2711" s="159">
        <v>318.79000000000002</v>
      </c>
      <c r="F2711" s="159">
        <v>318.79000000000002</v>
      </c>
      <c r="G2711" s="160" t="s">
        <v>2431</v>
      </c>
      <c r="H2711" s="34" t="s">
        <v>925</v>
      </c>
    </row>
    <row r="2712" spans="1:8" ht="33">
      <c r="A2712" s="160">
        <v>4</v>
      </c>
      <c r="B2712" s="160" t="s">
        <v>1767</v>
      </c>
      <c r="C2712" s="157" t="s">
        <v>14</v>
      </c>
      <c r="D2712" s="159">
        <v>1</v>
      </c>
      <c r="E2712" s="159">
        <v>249.05</v>
      </c>
      <c r="F2712" s="159">
        <v>249.05</v>
      </c>
      <c r="G2712" s="160" t="s">
        <v>1768</v>
      </c>
      <c r="H2712" s="34" t="s">
        <v>925</v>
      </c>
    </row>
    <row r="2713" spans="1:8" ht="33">
      <c r="A2713" s="160">
        <v>5</v>
      </c>
      <c r="B2713" s="160" t="s">
        <v>931</v>
      </c>
      <c r="C2713" s="157" t="s">
        <v>14</v>
      </c>
      <c r="D2713" s="159">
        <v>1</v>
      </c>
      <c r="E2713" s="159">
        <v>23.44</v>
      </c>
      <c r="F2713" s="159">
        <v>23.44</v>
      </c>
      <c r="G2713" s="160" t="s">
        <v>932</v>
      </c>
      <c r="H2713" s="34" t="s">
        <v>925</v>
      </c>
    </row>
    <row r="2714" spans="1:8" ht="33">
      <c r="A2714" s="160"/>
      <c r="B2714" s="160" t="s">
        <v>933</v>
      </c>
      <c r="C2714" s="157" t="s">
        <v>927</v>
      </c>
      <c r="D2714" s="159">
        <v>1</v>
      </c>
      <c r="E2714" s="159"/>
      <c r="F2714" s="159">
        <v>804.77</v>
      </c>
      <c r="G2714" s="160"/>
      <c r="H2714" s="34" t="s">
        <v>925</v>
      </c>
    </row>
    <row r="2715" spans="1:8" ht="33">
      <c r="A2715" s="160"/>
      <c r="B2715" s="160" t="s">
        <v>934</v>
      </c>
      <c r="C2715" s="157" t="s">
        <v>927</v>
      </c>
      <c r="D2715" s="159"/>
      <c r="E2715" s="159"/>
      <c r="F2715" s="159">
        <v>804.77</v>
      </c>
      <c r="G2715" s="160"/>
      <c r="H2715" s="34" t="s">
        <v>925</v>
      </c>
    </row>
    <row r="2716" spans="1:8" ht="33">
      <c r="A2716" s="160"/>
      <c r="B2716" s="160"/>
      <c r="C2716" s="157"/>
      <c r="D2716" s="159"/>
      <c r="E2716" s="159"/>
      <c r="F2716" s="159"/>
      <c r="G2716" s="160"/>
      <c r="H2716" s="34" t="s">
        <v>925</v>
      </c>
    </row>
    <row r="2717" spans="1:8" ht="33">
      <c r="A2717" s="160" t="s">
        <v>2652</v>
      </c>
      <c r="B2717" s="160" t="s">
        <v>2443</v>
      </c>
      <c r="C2717" s="157" t="s">
        <v>4395</v>
      </c>
      <c r="D2717" s="159">
        <v>1</v>
      </c>
      <c r="E2717" s="159">
        <v>31251.040000000001</v>
      </c>
      <c r="F2717" s="159"/>
      <c r="G2717" s="160" t="s">
        <v>2445</v>
      </c>
      <c r="H2717" s="34" t="s">
        <v>925</v>
      </c>
    </row>
    <row r="2718" spans="1:8" ht="33">
      <c r="A2718" s="160">
        <v>1</v>
      </c>
      <c r="B2718" s="160" t="s">
        <v>2446</v>
      </c>
      <c r="C2718" s="157" t="s">
        <v>2447</v>
      </c>
      <c r="D2718" s="159">
        <v>1</v>
      </c>
      <c r="E2718" s="159">
        <v>24905.46</v>
      </c>
      <c r="F2718" s="159">
        <v>24905.46</v>
      </c>
      <c r="G2718" s="160" t="s">
        <v>2448</v>
      </c>
      <c r="H2718" s="34" t="s">
        <v>925</v>
      </c>
    </row>
    <row r="2719" spans="1:8" ht="33">
      <c r="A2719" s="160">
        <v>2</v>
      </c>
      <c r="B2719" s="160" t="s">
        <v>2449</v>
      </c>
      <c r="C2719" s="157" t="s">
        <v>927</v>
      </c>
      <c r="D2719" s="159">
        <v>8</v>
      </c>
      <c r="E2719" s="159">
        <v>399.48</v>
      </c>
      <c r="F2719" s="159">
        <v>3195.84</v>
      </c>
      <c r="G2719" s="160" t="s">
        <v>2450</v>
      </c>
      <c r="H2719" s="34" t="s">
        <v>925</v>
      </c>
    </row>
    <row r="2720" spans="1:8" ht="33">
      <c r="A2720" s="160">
        <v>3</v>
      </c>
      <c r="B2720" s="160" t="s">
        <v>4871</v>
      </c>
      <c r="C2720" s="157" t="s">
        <v>927</v>
      </c>
      <c r="D2720" s="159">
        <v>8</v>
      </c>
      <c r="E2720" s="159">
        <v>279.94</v>
      </c>
      <c r="F2720" s="159">
        <v>2239.52</v>
      </c>
      <c r="G2720" s="160" t="s">
        <v>4872</v>
      </c>
      <c r="H2720" s="34" t="s">
        <v>925</v>
      </c>
    </row>
    <row r="2721" spans="1:8" ht="33">
      <c r="A2721" s="160">
        <v>4</v>
      </c>
      <c r="B2721" s="160" t="s">
        <v>931</v>
      </c>
      <c r="C2721" s="157" t="s">
        <v>14</v>
      </c>
      <c r="D2721" s="159">
        <v>1</v>
      </c>
      <c r="E2721" s="159">
        <v>910.22</v>
      </c>
      <c r="F2721" s="159">
        <v>910.22</v>
      </c>
      <c r="G2721" s="160" t="s">
        <v>932</v>
      </c>
      <c r="H2721" s="34" t="s">
        <v>925</v>
      </c>
    </row>
    <row r="2722" spans="1:8" ht="16.5">
      <c r="A2722" s="160"/>
      <c r="B2722" s="160" t="s">
        <v>933</v>
      </c>
      <c r="C2722" s="157" t="s">
        <v>4395</v>
      </c>
      <c r="D2722" s="159">
        <v>1</v>
      </c>
      <c r="E2722" s="159"/>
      <c r="F2722" s="159">
        <v>31251.040000000001</v>
      </c>
      <c r="G2722" s="160"/>
    </row>
    <row r="2723" spans="1:8" ht="33">
      <c r="A2723" s="160"/>
      <c r="B2723" s="160" t="s">
        <v>934</v>
      </c>
      <c r="C2723" s="157" t="s">
        <v>4395</v>
      </c>
      <c r="D2723" s="159"/>
      <c r="E2723" s="159"/>
      <c r="F2723" s="159">
        <v>31251.040000000001</v>
      </c>
      <c r="G2723" s="160"/>
      <c r="H2723" s="34" t="s">
        <v>925</v>
      </c>
    </row>
    <row r="2724" spans="1:8" ht="33">
      <c r="A2724" s="160"/>
      <c r="B2724" s="160"/>
      <c r="C2724" s="157"/>
      <c r="D2724" s="159"/>
      <c r="E2724" s="159"/>
      <c r="F2724" s="159"/>
      <c r="G2724" s="160"/>
      <c r="H2724" s="34" t="s">
        <v>925</v>
      </c>
    </row>
    <row r="2725" spans="1:8" ht="33">
      <c r="A2725" s="160" t="s">
        <v>2662</v>
      </c>
      <c r="B2725" s="160" t="s">
        <v>515</v>
      </c>
      <c r="C2725" s="157" t="s">
        <v>0</v>
      </c>
      <c r="D2725" s="159">
        <v>100</v>
      </c>
      <c r="E2725" s="159">
        <v>3350.11</v>
      </c>
      <c r="F2725" s="159"/>
      <c r="G2725" s="160" t="s">
        <v>2452</v>
      </c>
      <c r="H2725" s="34" t="s">
        <v>925</v>
      </c>
    </row>
    <row r="2726" spans="1:8" ht="33">
      <c r="A2726" s="160">
        <v>1</v>
      </c>
      <c r="B2726" s="160" t="s">
        <v>1297</v>
      </c>
      <c r="C2726" s="157" t="s">
        <v>1121</v>
      </c>
      <c r="D2726" s="159">
        <v>111</v>
      </c>
      <c r="E2726" s="159">
        <v>712.3</v>
      </c>
      <c r="F2726" s="159">
        <v>79065.3</v>
      </c>
      <c r="G2726" s="160" t="s">
        <v>1298</v>
      </c>
      <c r="H2726" s="34" t="s">
        <v>925</v>
      </c>
    </row>
    <row r="2727" spans="1:8" ht="33">
      <c r="A2727" s="160">
        <v>2</v>
      </c>
      <c r="B2727" s="160" t="s">
        <v>2453</v>
      </c>
      <c r="C2727" s="157" t="s">
        <v>1121</v>
      </c>
      <c r="D2727" s="159">
        <v>111</v>
      </c>
      <c r="E2727" s="159">
        <v>119.55</v>
      </c>
      <c r="F2727" s="159">
        <v>13270.05</v>
      </c>
      <c r="G2727" s="160" t="s">
        <v>2454</v>
      </c>
      <c r="H2727" s="34" t="s">
        <v>925</v>
      </c>
    </row>
    <row r="2728" spans="1:8" ht="33">
      <c r="A2728" s="160">
        <v>3</v>
      </c>
      <c r="B2728" s="160" t="s">
        <v>2455</v>
      </c>
      <c r="C2728" s="157" t="s">
        <v>14</v>
      </c>
      <c r="D2728" s="159">
        <v>1</v>
      </c>
      <c r="E2728" s="159">
        <v>8965.9699999999993</v>
      </c>
      <c r="F2728" s="159">
        <v>8965.9699999999993</v>
      </c>
      <c r="G2728" s="160" t="s">
        <v>2456</v>
      </c>
      <c r="H2728" s="34" t="s">
        <v>925</v>
      </c>
    </row>
    <row r="2729" spans="1:8" ht="33">
      <c r="A2729" s="160">
        <v>4</v>
      </c>
      <c r="B2729" s="160" t="s">
        <v>4871</v>
      </c>
      <c r="C2729" s="157" t="s">
        <v>927</v>
      </c>
      <c r="D2729" s="159">
        <v>800</v>
      </c>
      <c r="E2729" s="159">
        <v>279.94</v>
      </c>
      <c r="F2729" s="159">
        <v>223952</v>
      </c>
      <c r="G2729" s="160" t="s">
        <v>4872</v>
      </c>
      <c r="H2729" s="34" t="s">
        <v>925</v>
      </c>
    </row>
    <row r="2730" spans="1:8" ht="33">
      <c r="A2730" s="160">
        <v>5</v>
      </c>
      <c r="B2730" s="160" t="s">
        <v>931</v>
      </c>
      <c r="C2730" s="157" t="s">
        <v>14</v>
      </c>
      <c r="D2730" s="159">
        <v>1</v>
      </c>
      <c r="E2730" s="159">
        <v>9757.6</v>
      </c>
      <c r="F2730" s="159">
        <v>9757.6</v>
      </c>
      <c r="G2730" s="160" t="s">
        <v>932</v>
      </c>
      <c r="H2730" s="34" t="s">
        <v>925</v>
      </c>
    </row>
    <row r="2731" spans="1:8" ht="33">
      <c r="A2731" s="160"/>
      <c r="B2731" s="160" t="s">
        <v>933</v>
      </c>
      <c r="C2731" s="157" t="s">
        <v>0</v>
      </c>
      <c r="D2731" s="159">
        <v>100</v>
      </c>
      <c r="E2731" s="159"/>
      <c r="F2731" s="159">
        <v>335010.92</v>
      </c>
      <c r="G2731" s="160"/>
      <c r="H2731" s="34" t="s">
        <v>925</v>
      </c>
    </row>
    <row r="2732" spans="1:8" ht="33">
      <c r="A2732" s="160"/>
      <c r="B2732" s="160" t="s">
        <v>934</v>
      </c>
      <c r="C2732" s="157" t="s">
        <v>0</v>
      </c>
      <c r="D2732" s="159"/>
      <c r="E2732" s="159"/>
      <c r="F2732" s="159">
        <v>3350.11</v>
      </c>
      <c r="G2732" s="160"/>
      <c r="H2732" s="34" t="s">
        <v>925</v>
      </c>
    </row>
    <row r="2733" spans="1:8" ht="33">
      <c r="A2733" s="160"/>
      <c r="B2733" s="160"/>
      <c r="C2733" s="157"/>
      <c r="D2733" s="159"/>
      <c r="E2733" s="159"/>
      <c r="F2733" s="159"/>
      <c r="G2733" s="160"/>
      <c r="H2733" s="34" t="s">
        <v>925</v>
      </c>
    </row>
    <row r="2734" spans="1:8" ht="33">
      <c r="A2734" s="160" t="s">
        <v>2669</v>
      </c>
      <c r="B2734" s="160" t="s">
        <v>2458</v>
      </c>
      <c r="C2734" s="157" t="s">
        <v>2335</v>
      </c>
      <c r="D2734" s="159">
        <v>5</v>
      </c>
      <c r="E2734" s="159">
        <v>823.27</v>
      </c>
      <c r="F2734" s="159"/>
      <c r="G2734" s="160" t="s">
        <v>2459</v>
      </c>
      <c r="H2734" s="34" t="s">
        <v>925</v>
      </c>
    </row>
    <row r="2735" spans="1:8" ht="33">
      <c r="A2735" s="160">
        <v>1</v>
      </c>
      <c r="B2735" s="160" t="s">
        <v>2460</v>
      </c>
      <c r="C2735" s="157" t="s">
        <v>927</v>
      </c>
      <c r="D2735" s="159">
        <v>8</v>
      </c>
      <c r="E2735" s="159">
        <v>399.48</v>
      </c>
      <c r="F2735" s="159">
        <v>3195.84</v>
      </c>
      <c r="G2735" s="160" t="s">
        <v>2461</v>
      </c>
      <c r="H2735" s="34" t="s">
        <v>925</v>
      </c>
    </row>
    <row r="2736" spans="1:8" ht="33">
      <c r="A2736" s="160">
        <v>2</v>
      </c>
      <c r="B2736" s="160" t="s">
        <v>2462</v>
      </c>
      <c r="C2736" s="157" t="s">
        <v>927</v>
      </c>
      <c r="D2736" s="159">
        <v>4</v>
      </c>
      <c r="E2736" s="159">
        <v>179.32</v>
      </c>
      <c r="F2736" s="159">
        <v>717.28</v>
      </c>
      <c r="G2736" s="160" t="s">
        <v>2463</v>
      </c>
      <c r="H2736" s="34" t="s">
        <v>925</v>
      </c>
    </row>
    <row r="2737" spans="1:8" ht="33">
      <c r="A2737" s="160">
        <v>3</v>
      </c>
      <c r="B2737" s="160" t="s">
        <v>2464</v>
      </c>
      <c r="C2737" s="157" t="s">
        <v>14</v>
      </c>
      <c r="D2737" s="159">
        <v>1</v>
      </c>
      <c r="E2737" s="159">
        <v>99.62</v>
      </c>
      <c r="F2737" s="159">
        <v>99.62</v>
      </c>
      <c r="G2737" s="160" t="s">
        <v>2465</v>
      </c>
      <c r="H2737" s="34" t="s">
        <v>925</v>
      </c>
    </row>
    <row r="2738" spans="1:8" ht="33">
      <c r="A2738" s="160">
        <v>4</v>
      </c>
      <c r="B2738" s="160" t="s">
        <v>931</v>
      </c>
      <c r="C2738" s="157" t="s">
        <v>14</v>
      </c>
      <c r="D2738" s="159">
        <v>1</v>
      </c>
      <c r="E2738" s="159">
        <v>103.61</v>
      </c>
      <c r="F2738" s="159">
        <v>103.61</v>
      </c>
      <c r="G2738" s="160" t="s">
        <v>2466</v>
      </c>
      <c r="H2738" s="34" t="s">
        <v>925</v>
      </c>
    </row>
    <row r="2739" spans="1:8" ht="16.5">
      <c r="A2739" s="160"/>
      <c r="B2739" s="160" t="s">
        <v>933</v>
      </c>
      <c r="C2739" s="157" t="s">
        <v>2335</v>
      </c>
      <c r="D2739" s="159">
        <v>5</v>
      </c>
      <c r="E2739" s="159"/>
      <c r="F2739" s="159">
        <v>4116.3499999999995</v>
      </c>
      <c r="G2739" s="160"/>
    </row>
    <row r="2740" spans="1:8" ht="33">
      <c r="A2740" s="160"/>
      <c r="B2740" s="160" t="s">
        <v>934</v>
      </c>
      <c r="C2740" s="157" t="s">
        <v>2335</v>
      </c>
      <c r="D2740" s="159"/>
      <c r="E2740" s="159"/>
      <c r="F2740" s="159">
        <v>823.27</v>
      </c>
      <c r="G2740" s="160"/>
      <c r="H2740" s="34" t="s">
        <v>925</v>
      </c>
    </row>
    <row r="2741" spans="1:8" ht="33">
      <c r="A2741" s="160"/>
      <c r="B2741" s="160"/>
      <c r="C2741" s="157"/>
      <c r="D2741" s="159"/>
      <c r="E2741" s="159"/>
      <c r="F2741" s="159"/>
      <c r="G2741" s="160"/>
      <c r="H2741" s="34" t="s">
        <v>925</v>
      </c>
    </row>
    <row r="2742" spans="1:8" ht="33">
      <c r="A2742" s="160" t="s">
        <v>2677</v>
      </c>
      <c r="B2742" s="160" t="s">
        <v>2468</v>
      </c>
      <c r="C2742" s="157" t="s">
        <v>0</v>
      </c>
      <c r="D2742" s="159">
        <v>1</v>
      </c>
      <c r="E2742" s="159">
        <v>49598.63</v>
      </c>
      <c r="F2742" s="159"/>
      <c r="G2742" s="160" t="s">
        <v>2469</v>
      </c>
      <c r="H2742" s="34" t="s">
        <v>925</v>
      </c>
    </row>
    <row r="2743" spans="1:8" ht="33">
      <c r="A2743" s="160">
        <v>1</v>
      </c>
      <c r="B2743" s="160" t="s">
        <v>2470</v>
      </c>
      <c r="C2743" s="157" t="s">
        <v>18</v>
      </c>
      <c r="D2743" s="159">
        <v>2400</v>
      </c>
      <c r="E2743" s="159">
        <v>19.920000000000002</v>
      </c>
      <c r="F2743" s="159">
        <v>47808</v>
      </c>
      <c r="G2743" s="160" t="s">
        <v>2471</v>
      </c>
      <c r="H2743" s="34" t="s">
        <v>925</v>
      </c>
    </row>
    <row r="2744" spans="1:8" ht="33">
      <c r="A2744" s="160">
        <v>2</v>
      </c>
      <c r="B2744" s="160" t="s">
        <v>2472</v>
      </c>
      <c r="C2744" s="157" t="s">
        <v>15</v>
      </c>
      <c r="D2744" s="159">
        <v>1</v>
      </c>
      <c r="E2744" s="159">
        <v>346.01</v>
      </c>
      <c r="F2744" s="159">
        <v>346.01</v>
      </c>
      <c r="G2744" s="160" t="s">
        <v>2473</v>
      </c>
      <c r="H2744" s="34" t="s">
        <v>925</v>
      </c>
    </row>
    <row r="2745" spans="1:8" ht="33">
      <c r="A2745" s="160">
        <v>3</v>
      </c>
      <c r="B2745" s="160" t="s">
        <v>931</v>
      </c>
      <c r="C2745" s="157" t="s">
        <v>14</v>
      </c>
      <c r="D2745" s="159">
        <v>1</v>
      </c>
      <c r="E2745" s="159">
        <v>1444.62</v>
      </c>
      <c r="F2745" s="159">
        <v>1444.62</v>
      </c>
      <c r="G2745" s="160" t="s">
        <v>932</v>
      </c>
      <c r="H2745" s="34" t="s">
        <v>925</v>
      </c>
    </row>
    <row r="2746" spans="1:8" ht="33">
      <c r="A2746" s="160"/>
      <c r="B2746" s="160" t="s">
        <v>933</v>
      </c>
      <c r="C2746" s="157" t="s">
        <v>0</v>
      </c>
      <c r="D2746" s="159">
        <v>1</v>
      </c>
      <c r="E2746" s="159"/>
      <c r="F2746" s="159">
        <v>49598.630000000005</v>
      </c>
      <c r="G2746" s="160"/>
      <c r="H2746" s="34" t="s">
        <v>925</v>
      </c>
    </row>
    <row r="2747" spans="1:8" ht="33">
      <c r="A2747" s="160"/>
      <c r="B2747" s="160" t="s">
        <v>934</v>
      </c>
      <c r="C2747" s="157" t="s">
        <v>0</v>
      </c>
      <c r="D2747" s="159"/>
      <c r="E2747" s="159"/>
      <c r="F2747" s="159">
        <v>49598.63</v>
      </c>
      <c r="G2747" s="160"/>
      <c r="H2747" s="34" t="s">
        <v>925</v>
      </c>
    </row>
    <row r="2748" spans="1:8" ht="33">
      <c r="A2748" s="160"/>
      <c r="B2748" s="160"/>
      <c r="C2748" s="157"/>
      <c r="D2748" s="159"/>
      <c r="E2748" s="159"/>
      <c r="F2748" s="159"/>
      <c r="G2748" s="160"/>
      <c r="H2748" s="34" t="s">
        <v>925</v>
      </c>
    </row>
    <row r="2749" spans="1:8" ht="33">
      <c r="A2749" s="160" t="s">
        <v>2683</v>
      </c>
      <c r="B2749" s="160" t="s">
        <v>2475</v>
      </c>
      <c r="C2749" s="157" t="s">
        <v>2238</v>
      </c>
      <c r="D2749" s="159">
        <v>1</v>
      </c>
      <c r="E2749" s="159">
        <v>58149.69</v>
      </c>
      <c r="F2749" s="159"/>
      <c r="G2749" s="160" t="s">
        <v>2476</v>
      </c>
      <c r="H2749" s="34" t="s">
        <v>925</v>
      </c>
    </row>
    <row r="2750" spans="1:8" ht="42.75">
      <c r="A2750" s="160">
        <v>1</v>
      </c>
      <c r="B2750" s="160" t="s">
        <v>4874</v>
      </c>
      <c r="C2750" s="157" t="s">
        <v>927</v>
      </c>
      <c r="D2750" s="159">
        <v>28</v>
      </c>
      <c r="E2750" s="159">
        <v>559.87</v>
      </c>
      <c r="F2750" s="159">
        <v>15676.36</v>
      </c>
      <c r="G2750" s="160" t="s">
        <v>4875</v>
      </c>
      <c r="H2750" s="34" t="s">
        <v>925</v>
      </c>
    </row>
    <row r="2751" spans="1:8" ht="33">
      <c r="A2751" s="160">
        <v>2</v>
      </c>
      <c r="B2751" s="160" t="s">
        <v>929</v>
      </c>
      <c r="C2751" s="157" t="s">
        <v>927</v>
      </c>
      <c r="D2751" s="159">
        <v>9.6</v>
      </c>
      <c r="E2751" s="159">
        <v>1494.33</v>
      </c>
      <c r="F2751" s="159">
        <v>14345.57</v>
      </c>
      <c r="G2751" s="160" t="s">
        <v>930</v>
      </c>
      <c r="H2751" s="34" t="s">
        <v>925</v>
      </c>
    </row>
    <row r="2752" spans="1:8" ht="33">
      <c r="A2752" s="160">
        <v>3</v>
      </c>
      <c r="B2752" s="160" t="s">
        <v>4046</v>
      </c>
      <c r="C2752" s="157" t="s">
        <v>927</v>
      </c>
      <c r="D2752" s="159">
        <v>9.6</v>
      </c>
      <c r="E2752" s="159">
        <v>798.97</v>
      </c>
      <c r="F2752" s="159">
        <v>7670.11</v>
      </c>
      <c r="G2752" s="160" t="s">
        <v>2477</v>
      </c>
      <c r="H2752" s="34" t="s">
        <v>925</v>
      </c>
    </row>
    <row r="2753" spans="1:8" ht="33">
      <c r="A2753" s="160">
        <v>4</v>
      </c>
      <c r="B2753" s="160" t="s">
        <v>4047</v>
      </c>
      <c r="C2753" s="157" t="s">
        <v>927</v>
      </c>
      <c r="D2753" s="159">
        <v>9.6</v>
      </c>
      <c r="E2753" s="159">
        <v>798.97</v>
      </c>
      <c r="F2753" s="159">
        <v>7670.11</v>
      </c>
      <c r="G2753" s="160" t="s">
        <v>2478</v>
      </c>
      <c r="H2753" s="34" t="s">
        <v>925</v>
      </c>
    </row>
    <row r="2754" spans="1:8" ht="33">
      <c r="A2754" s="160">
        <v>5</v>
      </c>
      <c r="B2754" s="160" t="s">
        <v>997</v>
      </c>
      <c r="C2754" s="157" t="s">
        <v>927</v>
      </c>
      <c r="D2754" s="159">
        <v>9.6</v>
      </c>
      <c r="E2754" s="159">
        <v>1155.6099999999999</v>
      </c>
      <c r="F2754" s="159">
        <v>11093.86</v>
      </c>
      <c r="G2754" s="160" t="s">
        <v>998</v>
      </c>
      <c r="H2754" s="34" t="s">
        <v>925</v>
      </c>
    </row>
    <row r="2755" spans="1:8" ht="33">
      <c r="A2755" s="160">
        <v>6</v>
      </c>
      <c r="B2755" s="160" t="s">
        <v>931</v>
      </c>
      <c r="C2755" s="157" t="s">
        <v>14</v>
      </c>
      <c r="D2755" s="159">
        <v>1</v>
      </c>
      <c r="E2755" s="159">
        <v>1693.68</v>
      </c>
      <c r="F2755" s="159">
        <v>1693.68</v>
      </c>
      <c r="G2755" s="160" t="s">
        <v>932</v>
      </c>
      <c r="H2755" s="34" t="s">
        <v>925</v>
      </c>
    </row>
    <row r="2756" spans="1:8" ht="16.5">
      <c r="A2756" s="160"/>
      <c r="B2756" s="160" t="s">
        <v>933</v>
      </c>
      <c r="C2756" s="157" t="s">
        <v>2238</v>
      </c>
      <c r="D2756" s="159">
        <v>1</v>
      </c>
      <c r="E2756" s="159"/>
      <c r="F2756" s="159">
        <v>58149.69</v>
      </c>
      <c r="G2756" s="160"/>
    </row>
    <row r="2757" spans="1:8" ht="33">
      <c r="A2757" s="160"/>
      <c r="B2757" s="160" t="s">
        <v>934</v>
      </c>
      <c r="C2757" s="157" t="s">
        <v>2238</v>
      </c>
      <c r="D2757" s="159"/>
      <c r="E2757" s="159"/>
      <c r="F2757" s="159">
        <v>58149.69</v>
      </c>
      <c r="G2757" s="160"/>
      <c r="H2757" s="34" t="s">
        <v>925</v>
      </c>
    </row>
    <row r="2758" spans="1:8" ht="33">
      <c r="A2758" s="160"/>
      <c r="B2758" s="160"/>
      <c r="C2758" s="157"/>
      <c r="D2758" s="159"/>
      <c r="E2758" s="159"/>
      <c r="F2758" s="159"/>
      <c r="G2758" s="160"/>
      <c r="H2758" s="34" t="s">
        <v>925</v>
      </c>
    </row>
    <row r="2759" spans="1:8" ht="33">
      <c r="A2759" s="160" t="s">
        <v>2692</v>
      </c>
      <c r="B2759" s="160" t="s">
        <v>2480</v>
      </c>
      <c r="C2759" s="157" t="s">
        <v>2238</v>
      </c>
      <c r="D2759" s="159">
        <v>1</v>
      </c>
      <c r="E2759" s="159">
        <v>75570.44</v>
      </c>
      <c r="F2759" s="159"/>
      <c r="G2759" s="160" t="s">
        <v>2481</v>
      </c>
      <c r="H2759" s="34" t="s">
        <v>925</v>
      </c>
    </row>
    <row r="2760" spans="1:8" ht="42.75">
      <c r="A2760" s="160">
        <v>1</v>
      </c>
      <c r="B2760" s="160" t="s">
        <v>4874</v>
      </c>
      <c r="C2760" s="157" t="s">
        <v>927</v>
      </c>
      <c r="D2760" s="159">
        <v>40</v>
      </c>
      <c r="E2760" s="159">
        <v>559.87</v>
      </c>
      <c r="F2760" s="159">
        <v>22394.799999999999</v>
      </c>
      <c r="G2760" s="160" t="s">
        <v>4875</v>
      </c>
      <c r="H2760" s="34" t="s">
        <v>925</v>
      </c>
    </row>
    <row r="2761" spans="1:8" ht="33">
      <c r="A2761" s="160">
        <v>2</v>
      </c>
      <c r="B2761" s="160" t="s">
        <v>929</v>
      </c>
      <c r="C2761" s="157" t="s">
        <v>927</v>
      </c>
      <c r="D2761" s="159">
        <v>12</v>
      </c>
      <c r="E2761" s="159">
        <v>1494.33</v>
      </c>
      <c r="F2761" s="159">
        <v>17931.96</v>
      </c>
      <c r="G2761" s="160" t="s">
        <v>930</v>
      </c>
      <c r="H2761" s="34" t="s">
        <v>925</v>
      </c>
    </row>
    <row r="2762" spans="1:8" ht="33">
      <c r="A2762" s="160">
        <v>3</v>
      </c>
      <c r="B2762" s="160" t="s">
        <v>4046</v>
      </c>
      <c r="C2762" s="157" t="s">
        <v>927</v>
      </c>
      <c r="D2762" s="159">
        <v>12</v>
      </c>
      <c r="E2762" s="159">
        <v>798.97</v>
      </c>
      <c r="F2762" s="159">
        <v>9587.64</v>
      </c>
      <c r="G2762" s="160" t="s">
        <v>2477</v>
      </c>
      <c r="H2762" s="34" t="s">
        <v>925</v>
      </c>
    </row>
    <row r="2763" spans="1:8" ht="33">
      <c r="A2763" s="160">
        <v>4</v>
      </c>
      <c r="B2763" s="160" t="s">
        <v>4047</v>
      </c>
      <c r="C2763" s="157" t="s">
        <v>927</v>
      </c>
      <c r="D2763" s="159">
        <v>12</v>
      </c>
      <c r="E2763" s="159">
        <v>798.97</v>
      </c>
      <c r="F2763" s="159">
        <v>9587.64</v>
      </c>
      <c r="G2763" s="160" t="s">
        <v>2478</v>
      </c>
      <c r="H2763" s="34" t="s">
        <v>925</v>
      </c>
    </row>
    <row r="2764" spans="1:8" ht="33">
      <c r="A2764" s="160">
        <v>5</v>
      </c>
      <c r="B2764" s="160" t="s">
        <v>997</v>
      </c>
      <c r="C2764" s="157" t="s">
        <v>927</v>
      </c>
      <c r="D2764" s="159">
        <v>12</v>
      </c>
      <c r="E2764" s="159">
        <v>1155.6099999999999</v>
      </c>
      <c r="F2764" s="159">
        <v>13867.32</v>
      </c>
      <c r="G2764" s="160" t="s">
        <v>998</v>
      </c>
      <c r="H2764" s="34" t="s">
        <v>925</v>
      </c>
    </row>
    <row r="2765" spans="1:8" ht="33">
      <c r="A2765" s="160">
        <v>6</v>
      </c>
      <c r="B2765" s="160" t="s">
        <v>931</v>
      </c>
      <c r="C2765" s="157" t="s">
        <v>14</v>
      </c>
      <c r="D2765" s="159">
        <v>1</v>
      </c>
      <c r="E2765" s="159">
        <v>2201.08</v>
      </c>
      <c r="F2765" s="159">
        <v>2201.08</v>
      </c>
      <c r="G2765" s="160" t="s">
        <v>932</v>
      </c>
      <c r="H2765" s="34" t="s">
        <v>925</v>
      </c>
    </row>
    <row r="2766" spans="1:8" ht="33">
      <c r="A2766" s="160"/>
      <c r="B2766" s="160" t="s">
        <v>933</v>
      </c>
      <c r="C2766" s="157" t="s">
        <v>2238</v>
      </c>
      <c r="D2766" s="159">
        <v>1</v>
      </c>
      <c r="E2766" s="159"/>
      <c r="F2766" s="159">
        <v>75570.439999999988</v>
      </c>
      <c r="G2766" s="160"/>
      <c r="H2766" s="34" t="s">
        <v>925</v>
      </c>
    </row>
    <row r="2767" spans="1:8" ht="33">
      <c r="A2767" s="160"/>
      <c r="B2767" s="160" t="s">
        <v>934</v>
      </c>
      <c r="C2767" s="157" t="s">
        <v>2238</v>
      </c>
      <c r="D2767" s="159"/>
      <c r="E2767" s="159"/>
      <c r="F2767" s="159">
        <v>75570.44</v>
      </c>
      <c r="G2767" s="160"/>
      <c r="H2767" s="34" t="s">
        <v>925</v>
      </c>
    </row>
    <row r="2768" spans="1:8" ht="33">
      <c r="A2768" s="160"/>
      <c r="B2768" s="160"/>
      <c r="C2768" s="157"/>
      <c r="D2768" s="159"/>
      <c r="E2768" s="159"/>
      <c r="F2768" s="159"/>
      <c r="G2768" s="160"/>
      <c r="H2768" s="34" t="s">
        <v>925</v>
      </c>
    </row>
    <row r="2769" spans="1:8" ht="33">
      <c r="A2769" s="160" t="s">
        <v>2701</v>
      </c>
      <c r="B2769" s="160" t="s">
        <v>2483</v>
      </c>
      <c r="C2769" s="157" t="s">
        <v>2238</v>
      </c>
      <c r="D2769" s="159">
        <v>1</v>
      </c>
      <c r="E2769" s="159">
        <v>42176.2</v>
      </c>
      <c r="F2769" s="159"/>
      <c r="G2769" s="160" t="s">
        <v>2484</v>
      </c>
      <c r="H2769" s="34" t="s">
        <v>925</v>
      </c>
    </row>
    <row r="2770" spans="1:8" ht="33">
      <c r="A2770" s="160">
        <v>1</v>
      </c>
      <c r="B2770" s="160" t="s">
        <v>4871</v>
      </c>
      <c r="C2770" s="157" t="s">
        <v>927</v>
      </c>
      <c r="D2770" s="159">
        <v>28</v>
      </c>
      <c r="E2770" s="159">
        <v>279.94</v>
      </c>
      <c r="F2770" s="159">
        <v>7838.32</v>
      </c>
      <c r="G2770" s="160" t="s">
        <v>4872</v>
      </c>
      <c r="H2770" s="34" t="s">
        <v>925</v>
      </c>
    </row>
    <row r="2771" spans="1:8" ht="42.75">
      <c r="A2771" s="160">
        <v>2</v>
      </c>
      <c r="B2771" s="160" t="s">
        <v>4869</v>
      </c>
      <c r="C2771" s="157" t="s">
        <v>927</v>
      </c>
      <c r="D2771" s="159">
        <v>9.6</v>
      </c>
      <c r="E2771" s="159">
        <v>399.48</v>
      </c>
      <c r="F2771" s="159">
        <v>3835.01</v>
      </c>
      <c r="G2771" s="160" t="s">
        <v>4870</v>
      </c>
      <c r="H2771" s="34" t="s">
        <v>925</v>
      </c>
    </row>
    <row r="2772" spans="1:8" ht="33">
      <c r="A2772" s="160">
        <v>3</v>
      </c>
      <c r="B2772" s="160" t="s">
        <v>1086</v>
      </c>
      <c r="C2772" s="157" t="s">
        <v>927</v>
      </c>
      <c r="D2772" s="159">
        <v>9.6</v>
      </c>
      <c r="E2772" s="159">
        <v>399.48</v>
      </c>
      <c r="F2772" s="159">
        <v>3835.01</v>
      </c>
      <c r="G2772" s="160" t="s">
        <v>1087</v>
      </c>
      <c r="H2772" s="34" t="s">
        <v>925</v>
      </c>
    </row>
    <row r="2773" spans="1:8" ht="28.5">
      <c r="A2773" s="160">
        <v>4</v>
      </c>
      <c r="B2773" s="160" t="s">
        <v>929</v>
      </c>
      <c r="C2773" s="157" t="s">
        <v>927</v>
      </c>
      <c r="D2773" s="159">
        <v>9.6</v>
      </c>
      <c r="E2773" s="159">
        <v>1494.33</v>
      </c>
      <c r="F2773" s="159">
        <v>14345.57</v>
      </c>
      <c r="G2773" s="160" t="s">
        <v>930</v>
      </c>
    </row>
    <row r="2774" spans="1:8" ht="33">
      <c r="A2774" s="160">
        <v>5</v>
      </c>
      <c r="B2774" s="160" t="s">
        <v>997</v>
      </c>
      <c r="C2774" s="157" t="s">
        <v>927</v>
      </c>
      <c r="D2774" s="159">
        <v>9.6</v>
      </c>
      <c r="E2774" s="159">
        <v>1155.6099999999999</v>
      </c>
      <c r="F2774" s="159">
        <v>11093.86</v>
      </c>
      <c r="G2774" s="160" t="s">
        <v>998</v>
      </c>
      <c r="H2774" s="34" t="s">
        <v>925</v>
      </c>
    </row>
    <row r="2775" spans="1:8" ht="33">
      <c r="A2775" s="160">
        <v>6</v>
      </c>
      <c r="B2775" s="160" t="s">
        <v>931</v>
      </c>
      <c r="C2775" s="157" t="s">
        <v>14</v>
      </c>
      <c r="D2775" s="159">
        <v>1</v>
      </c>
      <c r="E2775" s="159">
        <v>1228.43</v>
      </c>
      <c r="F2775" s="159">
        <v>1228.43</v>
      </c>
      <c r="G2775" s="160" t="s">
        <v>932</v>
      </c>
      <c r="H2775" s="34" t="s">
        <v>925</v>
      </c>
    </row>
    <row r="2776" spans="1:8" ht="33">
      <c r="A2776" s="160"/>
      <c r="B2776" s="160" t="s">
        <v>933</v>
      </c>
      <c r="C2776" s="157" t="s">
        <v>2238</v>
      </c>
      <c r="D2776" s="159">
        <v>1</v>
      </c>
      <c r="E2776" s="159"/>
      <c r="F2776" s="159">
        <v>42176.200000000004</v>
      </c>
      <c r="G2776" s="160"/>
      <c r="H2776" s="34" t="s">
        <v>925</v>
      </c>
    </row>
    <row r="2777" spans="1:8" ht="33">
      <c r="A2777" s="160"/>
      <c r="B2777" s="160" t="s">
        <v>934</v>
      </c>
      <c r="C2777" s="157" t="s">
        <v>2238</v>
      </c>
      <c r="D2777" s="159"/>
      <c r="E2777" s="159"/>
      <c r="F2777" s="159">
        <v>42176.2</v>
      </c>
      <c r="G2777" s="160"/>
      <c r="H2777" s="34" t="s">
        <v>925</v>
      </c>
    </row>
    <row r="2778" spans="1:8" ht="33">
      <c r="A2778" s="160"/>
      <c r="B2778" s="160"/>
      <c r="C2778" s="157"/>
      <c r="D2778" s="159"/>
      <c r="E2778" s="159"/>
      <c r="F2778" s="159"/>
      <c r="G2778" s="160"/>
      <c r="H2778" s="34" t="s">
        <v>925</v>
      </c>
    </row>
    <row r="2779" spans="1:8" ht="33">
      <c r="A2779" s="160" t="s">
        <v>2706</v>
      </c>
      <c r="B2779" s="160" t="s">
        <v>2486</v>
      </c>
      <c r="C2779" s="157" t="s">
        <v>2238</v>
      </c>
      <c r="D2779" s="159">
        <v>1</v>
      </c>
      <c r="E2779" s="159">
        <v>54161.93</v>
      </c>
      <c r="F2779" s="159"/>
      <c r="G2779" s="160" t="s">
        <v>2487</v>
      </c>
      <c r="H2779" s="34" t="s">
        <v>925</v>
      </c>
    </row>
    <row r="2780" spans="1:8" ht="33">
      <c r="A2780" s="160">
        <v>1</v>
      </c>
      <c r="B2780" s="160" t="s">
        <v>929</v>
      </c>
      <c r="C2780" s="157" t="s">
        <v>927</v>
      </c>
      <c r="D2780" s="159">
        <v>12</v>
      </c>
      <c r="E2780" s="159">
        <v>1494.33</v>
      </c>
      <c r="F2780" s="159">
        <v>17931.96</v>
      </c>
      <c r="G2780" s="160" t="s">
        <v>930</v>
      </c>
      <c r="H2780" s="34" t="s">
        <v>925</v>
      </c>
    </row>
    <row r="2781" spans="1:8" ht="33">
      <c r="A2781" s="160">
        <v>2</v>
      </c>
      <c r="B2781" s="160" t="s">
        <v>4871</v>
      </c>
      <c r="C2781" s="157" t="s">
        <v>927</v>
      </c>
      <c r="D2781" s="159">
        <v>40</v>
      </c>
      <c r="E2781" s="159">
        <v>279.94</v>
      </c>
      <c r="F2781" s="159">
        <v>11197.6</v>
      </c>
      <c r="G2781" s="160" t="s">
        <v>4872</v>
      </c>
      <c r="H2781" s="34" t="s">
        <v>925</v>
      </c>
    </row>
    <row r="2782" spans="1:8" ht="33">
      <c r="A2782" s="160">
        <v>3</v>
      </c>
      <c r="B2782" s="160" t="s">
        <v>1086</v>
      </c>
      <c r="C2782" s="157" t="s">
        <v>927</v>
      </c>
      <c r="D2782" s="159">
        <v>12</v>
      </c>
      <c r="E2782" s="159">
        <v>399.48</v>
      </c>
      <c r="F2782" s="159">
        <v>4793.76</v>
      </c>
      <c r="G2782" s="160" t="s">
        <v>1087</v>
      </c>
      <c r="H2782" s="34" t="s">
        <v>925</v>
      </c>
    </row>
    <row r="2783" spans="1:8" ht="42.75">
      <c r="A2783" s="160">
        <v>4</v>
      </c>
      <c r="B2783" s="160" t="s">
        <v>4869</v>
      </c>
      <c r="C2783" s="157" t="s">
        <v>927</v>
      </c>
      <c r="D2783" s="159">
        <v>12</v>
      </c>
      <c r="E2783" s="159">
        <v>399.48</v>
      </c>
      <c r="F2783" s="159">
        <v>4793.76</v>
      </c>
      <c r="G2783" s="160" t="s">
        <v>4870</v>
      </c>
      <c r="H2783" s="34" t="s">
        <v>925</v>
      </c>
    </row>
    <row r="2784" spans="1:8" ht="33">
      <c r="A2784" s="160">
        <v>5</v>
      </c>
      <c r="B2784" s="160" t="s">
        <v>997</v>
      </c>
      <c r="C2784" s="157" t="s">
        <v>927</v>
      </c>
      <c r="D2784" s="159">
        <v>12</v>
      </c>
      <c r="E2784" s="159">
        <v>1155.6099999999999</v>
      </c>
      <c r="F2784" s="159">
        <v>13867.32</v>
      </c>
      <c r="G2784" s="160" t="s">
        <v>998</v>
      </c>
      <c r="H2784" s="34" t="s">
        <v>925</v>
      </c>
    </row>
    <row r="2785" spans="1:8" ht="33">
      <c r="A2785" s="160">
        <v>6</v>
      </c>
      <c r="B2785" s="160" t="s">
        <v>931</v>
      </c>
      <c r="C2785" s="157" t="s">
        <v>14</v>
      </c>
      <c r="D2785" s="159">
        <v>1</v>
      </c>
      <c r="E2785" s="159">
        <v>1577.53</v>
      </c>
      <c r="F2785" s="159">
        <v>1577.53</v>
      </c>
      <c r="G2785" s="160" t="s">
        <v>932</v>
      </c>
      <c r="H2785" s="34" t="s">
        <v>925</v>
      </c>
    </row>
    <row r="2786" spans="1:8" ht="33">
      <c r="A2786" s="160"/>
      <c r="B2786" s="160" t="s">
        <v>933</v>
      </c>
      <c r="C2786" s="157" t="s">
        <v>2238</v>
      </c>
      <c r="D2786" s="159">
        <v>1</v>
      </c>
      <c r="E2786" s="159"/>
      <c r="F2786" s="159">
        <v>54161.93</v>
      </c>
      <c r="G2786" s="160"/>
      <c r="H2786" s="34" t="s">
        <v>925</v>
      </c>
    </row>
    <row r="2787" spans="1:8" ht="33">
      <c r="A2787" s="160"/>
      <c r="B2787" s="160" t="s">
        <v>934</v>
      </c>
      <c r="C2787" s="157" t="s">
        <v>2238</v>
      </c>
      <c r="D2787" s="159"/>
      <c r="E2787" s="159"/>
      <c r="F2787" s="159">
        <v>54161.93</v>
      </c>
      <c r="G2787" s="160"/>
      <c r="H2787" s="34" t="s">
        <v>925</v>
      </c>
    </row>
    <row r="2788" spans="1:8" ht="33">
      <c r="A2788" s="160"/>
      <c r="B2788" s="160"/>
      <c r="C2788" s="157"/>
      <c r="D2788" s="159"/>
      <c r="E2788" s="159"/>
      <c r="F2788" s="159"/>
      <c r="G2788" s="160"/>
      <c r="H2788" s="34" t="s">
        <v>925</v>
      </c>
    </row>
    <row r="2789" spans="1:8" ht="33">
      <c r="A2789" s="160" t="s">
        <v>2711</v>
      </c>
      <c r="B2789" s="160" t="s">
        <v>2489</v>
      </c>
      <c r="C2789" s="157" t="s">
        <v>2490</v>
      </c>
      <c r="D2789" s="159">
        <v>1</v>
      </c>
      <c r="E2789" s="159">
        <v>3112.19</v>
      </c>
      <c r="F2789" s="159"/>
      <c r="G2789" s="160" t="s">
        <v>2491</v>
      </c>
      <c r="H2789" s="34" t="s">
        <v>925</v>
      </c>
    </row>
    <row r="2790" spans="1:8" ht="28.5">
      <c r="A2790" s="160">
        <v>1</v>
      </c>
      <c r="B2790" s="160" t="s">
        <v>2492</v>
      </c>
      <c r="C2790" s="157" t="s">
        <v>14</v>
      </c>
      <c r="D2790" s="159">
        <v>1</v>
      </c>
      <c r="E2790" s="159">
        <v>1992.44</v>
      </c>
      <c r="F2790" s="159">
        <v>1992.44</v>
      </c>
      <c r="G2790" s="160" t="s">
        <v>2493</v>
      </c>
    </row>
    <row r="2791" spans="1:8" ht="33">
      <c r="A2791" s="160">
        <v>2</v>
      </c>
      <c r="B2791" s="160" t="s">
        <v>2494</v>
      </c>
      <c r="C2791" s="157" t="s">
        <v>14</v>
      </c>
      <c r="D2791" s="159">
        <v>1</v>
      </c>
      <c r="E2791" s="159">
        <v>1119.75</v>
      </c>
      <c r="F2791" s="159">
        <v>1119.75</v>
      </c>
      <c r="G2791" s="160" t="s">
        <v>2495</v>
      </c>
      <c r="H2791" s="34" t="s">
        <v>925</v>
      </c>
    </row>
    <row r="2792" spans="1:8" ht="33">
      <c r="A2792" s="160"/>
      <c r="B2792" s="160" t="s">
        <v>933</v>
      </c>
      <c r="C2792" s="157" t="s">
        <v>2490</v>
      </c>
      <c r="D2792" s="159">
        <v>1</v>
      </c>
      <c r="E2792" s="159"/>
      <c r="F2792" s="159">
        <v>3112.19</v>
      </c>
      <c r="G2792" s="160"/>
      <c r="H2792" s="34" t="s">
        <v>925</v>
      </c>
    </row>
    <row r="2793" spans="1:8" ht="33">
      <c r="A2793" s="160"/>
      <c r="B2793" s="160" t="s">
        <v>934</v>
      </c>
      <c r="C2793" s="157" t="s">
        <v>2490</v>
      </c>
      <c r="D2793" s="159"/>
      <c r="E2793" s="159"/>
      <c r="F2793" s="159">
        <v>3112.19</v>
      </c>
      <c r="G2793" s="160"/>
      <c r="H2793" s="34" t="s">
        <v>925</v>
      </c>
    </row>
    <row r="2794" spans="1:8" ht="33">
      <c r="A2794" s="160"/>
      <c r="B2794" s="160"/>
      <c r="C2794" s="157"/>
      <c r="D2794" s="159"/>
      <c r="E2794" s="159"/>
      <c r="F2794" s="159"/>
      <c r="G2794" s="160"/>
      <c r="H2794" s="34" t="s">
        <v>925</v>
      </c>
    </row>
    <row r="2795" spans="1:8" ht="33">
      <c r="A2795" s="160" t="s">
        <v>2724</v>
      </c>
      <c r="B2795" s="160" t="s">
        <v>2497</v>
      </c>
      <c r="C2795" s="157" t="s">
        <v>2490</v>
      </c>
      <c r="D2795" s="159">
        <v>1</v>
      </c>
      <c r="E2795" s="159">
        <v>779.04</v>
      </c>
      <c r="F2795" s="159"/>
      <c r="G2795" s="160" t="s">
        <v>2498</v>
      </c>
      <c r="H2795" s="34" t="s">
        <v>925</v>
      </c>
    </row>
    <row r="2796" spans="1:8" ht="33">
      <c r="A2796" s="160">
        <v>1</v>
      </c>
      <c r="B2796" s="160" t="s">
        <v>2499</v>
      </c>
      <c r="C2796" s="157" t="s">
        <v>14</v>
      </c>
      <c r="D2796" s="159">
        <v>1</v>
      </c>
      <c r="E2796" s="159">
        <v>199.24</v>
      </c>
      <c r="F2796" s="159">
        <v>199.24</v>
      </c>
      <c r="G2796" s="160" t="s">
        <v>2500</v>
      </c>
      <c r="H2796" s="34" t="s">
        <v>925</v>
      </c>
    </row>
    <row r="2797" spans="1:8" ht="33">
      <c r="A2797" s="160">
        <v>2</v>
      </c>
      <c r="B2797" s="160" t="s">
        <v>2501</v>
      </c>
      <c r="C2797" s="157" t="s">
        <v>14</v>
      </c>
      <c r="D2797" s="159">
        <v>1</v>
      </c>
      <c r="E2797" s="159">
        <v>559.87</v>
      </c>
      <c r="F2797" s="159">
        <v>559.87</v>
      </c>
      <c r="G2797" s="160" t="s">
        <v>2502</v>
      </c>
      <c r="H2797" s="34" t="s">
        <v>925</v>
      </c>
    </row>
    <row r="2798" spans="1:8" ht="33">
      <c r="A2798" s="160">
        <v>3</v>
      </c>
      <c r="B2798" s="160" t="s">
        <v>2503</v>
      </c>
      <c r="C2798" s="157" t="s">
        <v>14</v>
      </c>
      <c r="D2798" s="159">
        <v>1</v>
      </c>
      <c r="E2798" s="159">
        <v>19.93</v>
      </c>
      <c r="F2798" s="159">
        <v>19.93</v>
      </c>
      <c r="G2798" s="160" t="s">
        <v>2504</v>
      </c>
      <c r="H2798" s="34" t="s">
        <v>925</v>
      </c>
    </row>
    <row r="2799" spans="1:8" ht="16.5">
      <c r="A2799" s="160"/>
      <c r="B2799" s="160" t="s">
        <v>933</v>
      </c>
      <c r="C2799" s="157" t="s">
        <v>2490</v>
      </c>
      <c r="D2799" s="159">
        <v>1</v>
      </c>
      <c r="E2799" s="159"/>
      <c r="F2799" s="159">
        <v>779.04</v>
      </c>
      <c r="G2799" s="160"/>
    </row>
    <row r="2800" spans="1:8" ht="33">
      <c r="A2800" s="160"/>
      <c r="B2800" s="160" t="s">
        <v>934</v>
      </c>
      <c r="C2800" s="157" t="s">
        <v>2490</v>
      </c>
      <c r="D2800" s="159"/>
      <c r="E2800" s="159"/>
      <c r="F2800" s="159">
        <v>779.04</v>
      </c>
      <c r="G2800" s="160"/>
      <c r="H2800" s="34" t="s">
        <v>925</v>
      </c>
    </row>
    <row r="2801" spans="1:8" ht="33">
      <c r="A2801" s="160"/>
      <c r="B2801" s="160"/>
      <c r="C2801" s="157"/>
      <c r="D2801" s="159"/>
      <c r="E2801" s="159"/>
      <c r="F2801" s="159"/>
      <c r="G2801" s="160"/>
      <c r="H2801" s="34" t="s">
        <v>925</v>
      </c>
    </row>
    <row r="2802" spans="1:8" ht="33">
      <c r="A2802" s="160" t="s">
        <v>2731</v>
      </c>
      <c r="B2802" s="160" t="s">
        <v>2506</v>
      </c>
      <c r="C2802" s="157" t="s">
        <v>2490</v>
      </c>
      <c r="D2802" s="159">
        <v>1</v>
      </c>
      <c r="E2802" s="159">
        <v>4231.9399999999996</v>
      </c>
      <c r="F2802" s="159"/>
      <c r="G2802" s="160" t="s">
        <v>2507</v>
      </c>
      <c r="H2802" s="34" t="s">
        <v>925</v>
      </c>
    </row>
    <row r="2803" spans="1:8" ht="33">
      <c r="A2803" s="160">
        <v>1</v>
      </c>
      <c r="B2803" s="160" t="s">
        <v>2492</v>
      </c>
      <c r="C2803" s="157" t="s">
        <v>14</v>
      </c>
      <c r="D2803" s="159">
        <v>1</v>
      </c>
      <c r="E2803" s="159">
        <v>1992.44</v>
      </c>
      <c r="F2803" s="159">
        <v>1992.44</v>
      </c>
      <c r="G2803" s="160" t="s">
        <v>2493</v>
      </c>
      <c r="H2803" s="34" t="s">
        <v>925</v>
      </c>
    </row>
    <row r="2804" spans="1:8" ht="33">
      <c r="A2804" s="160">
        <v>2</v>
      </c>
      <c r="B2804" s="160" t="s">
        <v>2494</v>
      </c>
      <c r="C2804" s="157" t="s">
        <v>14</v>
      </c>
      <c r="D2804" s="159">
        <v>1</v>
      </c>
      <c r="E2804" s="159">
        <v>2239.5</v>
      </c>
      <c r="F2804" s="159">
        <v>2239.5</v>
      </c>
      <c r="G2804" s="160" t="s">
        <v>2495</v>
      </c>
      <c r="H2804" s="34" t="s">
        <v>925</v>
      </c>
    </row>
    <row r="2805" spans="1:8" ht="33">
      <c r="A2805" s="160"/>
      <c r="B2805" s="160" t="s">
        <v>933</v>
      </c>
      <c r="C2805" s="157" t="s">
        <v>2490</v>
      </c>
      <c r="D2805" s="159">
        <v>1</v>
      </c>
      <c r="E2805" s="159"/>
      <c r="F2805" s="159">
        <v>4231.9400000000005</v>
      </c>
      <c r="G2805" s="160"/>
      <c r="H2805" s="34" t="s">
        <v>925</v>
      </c>
    </row>
    <row r="2806" spans="1:8" ht="16.5">
      <c r="A2806" s="160"/>
      <c r="B2806" s="160" t="s">
        <v>934</v>
      </c>
      <c r="C2806" s="157" t="s">
        <v>2490</v>
      </c>
      <c r="D2806" s="159"/>
      <c r="E2806" s="159"/>
      <c r="F2806" s="159">
        <v>4231.9399999999996</v>
      </c>
      <c r="G2806" s="160"/>
    </row>
    <row r="2807" spans="1:8" ht="33">
      <c r="A2807" s="160"/>
      <c r="B2807" s="160"/>
      <c r="C2807" s="157"/>
      <c r="D2807" s="159"/>
      <c r="E2807" s="159"/>
      <c r="F2807" s="159"/>
      <c r="G2807" s="160"/>
      <c r="H2807" s="34" t="s">
        <v>925</v>
      </c>
    </row>
    <row r="2808" spans="1:8" ht="33">
      <c r="A2808" s="160" t="s">
        <v>2736</v>
      </c>
      <c r="B2808" s="160" t="s">
        <v>2509</v>
      </c>
      <c r="C2808" s="157" t="s">
        <v>2490</v>
      </c>
      <c r="D2808" s="159">
        <v>1</v>
      </c>
      <c r="E2808" s="159">
        <v>1352.86</v>
      </c>
      <c r="F2808" s="159"/>
      <c r="G2808" s="160" t="s">
        <v>2510</v>
      </c>
      <c r="H2808" s="34" t="s">
        <v>925</v>
      </c>
    </row>
    <row r="2809" spans="1:8" ht="33">
      <c r="A2809" s="160">
        <v>1</v>
      </c>
      <c r="B2809" s="160" t="s">
        <v>2499</v>
      </c>
      <c r="C2809" s="157" t="s">
        <v>14</v>
      </c>
      <c r="D2809" s="159">
        <v>1</v>
      </c>
      <c r="E2809" s="159">
        <v>199.24</v>
      </c>
      <c r="F2809" s="159">
        <v>199.24</v>
      </c>
      <c r="G2809" s="160" t="s">
        <v>2500</v>
      </c>
      <c r="H2809" s="34" t="s">
        <v>925</v>
      </c>
    </row>
    <row r="2810" spans="1:8" ht="33">
      <c r="A2810" s="160">
        <v>2</v>
      </c>
      <c r="B2810" s="160" t="s">
        <v>2501</v>
      </c>
      <c r="C2810" s="157" t="s">
        <v>14</v>
      </c>
      <c r="D2810" s="159">
        <v>1</v>
      </c>
      <c r="E2810" s="159">
        <v>1119.75</v>
      </c>
      <c r="F2810" s="159">
        <v>1119.75</v>
      </c>
      <c r="G2810" s="160" t="s">
        <v>2502</v>
      </c>
      <c r="H2810" s="34" t="s">
        <v>925</v>
      </c>
    </row>
    <row r="2811" spans="1:8" ht="33">
      <c r="A2811" s="160">
        <v>3</v>
      </c>
      <c r="B2811" s="160" t="s">
        <v>2503</v>
      </c>
      <c r="C2811" s="157" t="s">
        <v>14</v>
      </c>
      <c r="D2811" s="159">
        <v>1</v>
      </c>
      <c r="E2811" s="159">
        <v>33.869999999999997</v>
      </c>
      <c r="F2811" s="159">
        <v>33.869999999999997</v>
      </c>
      <c r="G2811" s="160" t="s">
        <v>2504</v>
      </c>
      <c r="H2811" s="34" t="s">
        <v>925</v>
      </c>
    </row>
    <row r="2812" spans="1:8" ht="33">
      <c r="A2812" s="160"/>
      <c r="B2812" s="160" t="s">
        <v>933</v>
      </c>
      <c r="C2812" s="157" t="s">
        <v>2490</v>
      </c>
      <c r="D2812" s="159">
        <v>1</v>
      </c>
      <c r="E2812" s="159"/>
      <c r="F2812" s="159">
        <v>1352.86</v>
      </c>
      <c r="G2812" s="160"/>
      <c r="H2812" s="34" t="s">
        <v>925</v>
      </c>
    </row>
    <row r="2813" spans="1:8" ht="33">
      <c r="A2813" s="160"/>
      <c r="B2813" s="160" t="s">
        <v>934</v>
      </c>
      <c r="C2813" s="157" t="s">
        <v>2490</v>
      </c>
      <c r="D2813" s="159"/>
      <c r="E2813" s="159"/>
      <c r="F2813" s="159">
        <v>1352.86</v>
      </c>
      <c r="G2813" s="160"/>
      <c r="H2813" s="34" t="s">
        <v>925</v>
      </c>
    </row>
    <row r="2814" spans="1:8" ht="16.5">
      <c r="A2814" s="160"/>
      <c r="B2814" s="160"/>
      <c r="C2814" s="157"/>
      <c r="D2814" s="159"/>
      <c r="E2814" s="159"/>
      <c r="F2814" s="159"/>
      <c r="G2814" s="160"/>
    </row>
    <row r="2815" spans="1:8" ht="33">
      <c r="A2815" s="160" t="s">
        <v>2749</v>
      </c>
      <c r="B2815" s="160" t="s">
        <v>2512</v>
      </c>
      <c r="C2815" s="157" t="s">
        <v>2238</v>
      </c>
      <c r="D2815" s="159">
        <v>1</v>
      </c>
      <c r="E2815" s="159">
        <v>22525.11</v>
      </c>
      <c r="F2815" s="159"/>
      <c r="G2815" s="160" t="s">
        <v>2513</v>
      </c>
      <c r="H2815" s="34" t="s">
        <v>925</v>
      </c>
    </row>
    <row r="2816" spans="1:8" ht="42.75">
      <c r="A2816" s="160">
        <v>1</v>
      </c>
      <c r="B2816" s="160" t="s">
        <v>4869</v>
      </c>
      <c r="C2816" s="157" t="s">
        <v>927</v>
      </c>
      <c r="D2816" s="159">
        <v>8</v>
      </c>
      <c r="E2816" s="159">
        <v>399.48</v>
      </c>
      <c r="F2816" s="159">
        <v>3195.84</v>
      </c>
      <c r="G2816" s="160" t="s">
        <v>4870</v>
      </c>
      <c r="H2816" s="34" t="s">
        <v>925</v>
      </c>
    </row>
    <row r="2817" spans="1:8" ht="33">
      <c r="A2817" s="160">
        <v>2</v>
      </c>
      <c r="B2817" s="160" t="s">
        <v>4871</v>
      </c>
      <c r="C2817" s="157" t="s">
        <v>927</v>
      </c>
      <c r="D2817" s="159">
        <v>24</v>
      </c>
      <c r="E2817" s="159">
        <v>279.94</v>
      </c>
      <c r="F2817" s="159">
        <v>6718.56</v>
      </c>
      <c r="G2817" s="160" t="s">
        <v>4872</v>
      </c>
      <c r="H2817" s="34" t="s">
        <v>925</v>
      </c>
    </row>
    <row r="2818" spans="1:8" ht="33">
      <c r="A2818" s="160">
        <v>3</v>
      </c>
      <c r="B2818" s="160" t="s">
        <v>929</v>
      </c>
      <c r="C2818" s="157" t="s">
        <v>927</v>
      </c>
      <c r="D2818" s="159">
        <v>8</v>
      </c>
      <c r="E2818" s="159">
        <v>1494.33</v>
      </c>
      <c r="F2818" s="159">
        <v>11954.64</v>
      </c>
      <c r="G2818" s="160" t="s">
        <v>930</v>
      </c>
      <c r="H2818" s="34" t="s">
        <v>925</v>
      </c>
    </row>
    <row r="2819" spans="1:8" ht="33">
      <c r="A2819" s="160">
        <v>4</v>
      </c>
      <c r="B2819" s="160" t="s">
        <v>931</v>
      </c>
      <c r="C2819" s="157" t="s">
        <v>14</v>
      </c>
      <c r="D2819" s="159">
        <v>1</v>
      </c>
      <c r="E2819" s="159">
        <v>656.07</v>
      </c>
      <c r="F2819" s="159">
        <v>656.07</v>
      </c>
      <c r="G2819" s="160" t="s">
        <v>932</v>
      </c>
      <c r="H2819" s="34" t="s">
        <v>925</v>
      </c>
    </row>
    <row r="2820" spans="1:8" ht="33">
      <c r="A2820" s="160"/>
      <c r="B2820" s="160" t="s">
        <v>933</v>
      </c>
      <c r="C2820" s="157" t="s">
        <v>2238</v>
      </c>
      <c r="D2820" s="159">
        <v>1</v>
      </c>
      <c r="E2820" s="159"/>
      <c r="F2820" s="159">
        <v>22525.11</v>
      </c>
      <c r="G2820" s="160"/>
      <c r="H2820" s="34" t="s">
        <v>925</v>
      </c>
    </row>
    <row r="2821" spans="1:8" ht="33">
      <c r="A2821" s="160"/>
      <c r="B2821" s="160" t="s">
        <v>934</v>
      </c>
      <c r="C2821" s="157" t="s">
        <v>2238</v>
      </c>
      <c r="D2821" s="159"/>
      <c r="E2821" s="159"/>
      <c r="F2821" s="159">
        <v>22525.11</v>
      </c>
      <c r="G2821" s="160"/>
      <c r="H2821" s="34" t="s">
        <v>925</v>
      </c>
    </row>
    <row r="2822" spans="1:8" ht="33">
      <c r="A2822" s="160"/>
      <c r="B2822" s="160"/>
      <c r="C2822" s="157"/>
      <c r="D2822" s="159"/>
      <c r="E2822" s="159"/>
      <c r="F2822" s="159"/>
      <c r="G2822" s="160"/>
      <c r="H2822" s="34" t="s">
        <v>925</v>
      </c>
    </row>
    <row r="2823" spans="1:8" ht="28.5">
      <c r="A2823" s="160" t="s">
        <v>2754</v>
      </c>
      <c r="B2823" s="160" t="s">
        <v>2515</v>
      </c>
      <c r="C2823" s="157" t="s">
        <v>2238</v>
      </c>
      <c r="D2823" s="159">
        <v>1</v>
      </c>
      <c r="E2823" s="159">
        <v>32736.78</v>
      </c>
      <c r="F2823" s="159"/>
      <c r="G2823" s="160" t="s">
        <v>2516</v>
      </c>
    </row>
    <row r="2824" spans="1:8" ht="33">
      <c r="A2824" s="160">
        <v>1</v>
      </c>
      <c r="B2824" s="160" t="s">
        <v>929</v>
      </c>
      <c r="C2824" s="157" t="s">
        <v>927</v>
      </c>
      <c r="D2824" s="159">
        <v>8</v>
      </c>
      <c r="E2824" s="159">
        <v>1494.33</v>
      </c>
      <c r="F2824" s="159">
        <v>11954.64</v>
      </c>
      <c r="G2824" s="160" t="s">
        <v>930</v>
      </c>
      <c r="H2824" s="34" t="s">
        <v>925</v>
      </c>
    </row>
    <row r="2825" spans="1:8" ht="33">
      <c r="A2825" s="160">
        <v>2</v>
      </c>
      <c r="B2825" s="160" t="s">
        <v>4046</v>
      </c>
      <c r="C2825" s="157" t="s">
        <v>927</v>
      </c>
      <c r="D2825" s="159">
        <v>8</v>
      </c>
      <c r="E2825" s="159">
        <v>798.97</v>
      </c>
      <c r="F2825" s="159">
        <v>6391.76</v>
      </c>
      <c r="G2825" s="160" t="s">
        <v>2477</v>
      </c>
      <c r="H2825" s="34" t="s">
        <v>925</v>
      </c>
    </row>
    <row r="2826" spans="1:8" ht="42.75">
      <c r="A2826" s="160">
        <v>3</v>
      </c>
      <c r="B2826" s="160" t="s">
        <v>4874</v>
      </c>
      <c r="C2826" s="157" t="s">
        <v>927</v>
      </c>
      <c r="D2826" s="159">
        <v>24</v>
      </c>
      <c r="E2826" s="159">
        <v>559.87</v>
      </c>
      <c r="F2826" s="159">
        <v>13436.88</v>
      </c>
      <c r="G2826" s="160" t="s">
        <v>4875</v>
      </c>
      <c r="H2826" s="34" t="s">
        <v>925</v>
      </c>
    </row>
    <row r="2827" spans="1:8" ht="33">
      <c r="A2827" s="160">
        <v>4</v>
      </c>
      <c r="B2827" s="160" t="s">
        <v>931</v>
      </c>
      <c r="C2827" s="157" t="s">
        <v>14</v>
      </c>
      <c r="D2827" s="159">
        <v>1</v>
      </c>
      <c r="E2827" s="159">
        <v>953.5</v>
      </c>
      <c r="F2827" s="159">
        <v>953.5</v>
      </c>
      <c r="G2827" s="160" t="s">
        <v>932</v>
      </c>
      <c r="H2827" s="34" t="s">
        <v>925</v>
      </c>
    </row>
    <row r="2828" spans="1:8" ht="33">
      <c r="A2828" s="160"/>
      <c r="B2828" s="160" t="s">
        <v>933</v>
      </c>
      <c r="C2828" s="157" t="s">
        <v>2238</v>
      </c>
      <c r="D2828" s="159">
        <v>1</v>
      </c>
      <c r="E2828" s="159"/>
      <c r="F2828" s="159">
        <v>32736.78</v>
      </c>
      <c r="G2828" s="160"/>
      <c r="H2828" s="34" t="s">
        <v>925</v>
      </c>
    </row>
    <row r="2829" spans="1:8" ht="33">
      <c r="A2829" s="160"/>
      <c r="B2829" s="160" t="s">
        <v>934</v>
      </c>
      <c r="C2829" s="157" t="s">
        <v>2238</v>
      </c>
      <c r="D2829" s="159"/>
      <c r="E2829" s="159"/>
      <c r="F2829" s="159">
        <v>32736.78</v>
      </c>
      <c r="G2829" s="160"/>
      <c r="H2829" s="34" t="s">
        <v>925</v>
      </c>
    </row>
    <row r="2830" spans="1:8" ht="33">
      <c r="A2830" s="160"/>
      <c r="B2830" s="160"/>
      <c r="C2830" s="157"/>
      <c r="D2830" s="159"/>
      <c r="E2830" s="159"/>
      <c r="F2830" s="159"/>
      <c r="G2830" s="160"/>
      <c r="H2830" s="34" t="s">
        <v>925</v>
      </c>
    </row>
    <row r="2831" spans="1:8" ht="42.75">
      <c r="A2831" s="160" t="s">
        <v>2763</v>
      </c>
      <c r="B2831" s="160" t="s">
        <v>2518</v>
      </c>
      <c r="C2831" s="157" t="s">
        <v>2238</v>
      </c>
      <c r="D2831" s="159">
        <v>1</v>
      </c>
      <c r="E2831" s="159">
        <v>10819.24</v>
      </c>
      <c r="F2831" s="159"/>
      <c r="G2831" s="160" t="s">
        <v>2519</v>
      </c>
      <c r="H2831" s="34" t="s">
        <v>925</v>
      </c>
    </row>
    <row r="2832" spans="1:8" ht="28.5">
      <c r="A2832" s="160">
        <v>1</v>
      </c>
      <c r="B2832" s="160" t="s">
        <v>2520</v>
      </c>
      <c r="C2832" s="157" t="s">
        <v>927</v>
      </c>
      <c r="D2832" s="159">
        <v>4</v>
      </c>
      <c r="E2832" s="159">
        <v>713.29</v>
      </c>
      <c r="F2832" s="159">
        <v>2853.16</v>
      </c>
      <c r="G2832" s="160" t="s">
        <v>2521</v>
      </c>
    </row>
    <row r="2833" spans="1:8" ht="33">
      <c r="A2833" s="160">
        <v>2</v>
      </c>
      <c r="B2833" s="160" t="s">
        <v>2522</v>
      </c>
      <c r="C2833" s="157" t="s">
        <v>927</v>
      </c>
      <c r="D2833" s="159">
        <v>4</v>
      </c>
      <c r="E2833" s="159">
        <v>553.9</v>
      </c>
      <c r="F2833" s="159">
        <v>2215.6</v>
      </c>
      <c r="G2833" s="160" t="s">
        <v>2523</v>
      </c>
      <c r="H2833" s="34" t="s">
        <v>925</v>
      </c>
    </row>
    <row r="2834" spans="1:8" ht="42.75">
      <c r="A2834" s="160">
        <v>3</v>
      </c>
      <c r="B2834" s="160" t="s">
        <v>4885</v>
      </c>
      <c r="C2834" s="157" t="s">
        <v>927</v>
      </c>
      <c r="D2834" s="159">
        <v>4</v>
      </c>
      <c r="E2834" s="159">
        <v>399.48</v>
      </c>
      <c r="F2834" s="159">
        <v>1597.92</v>
      </c>
      <c r="G2834" s="160" t="s">
        <v>4886</v>
      </c>
      <c r="H2834" s="34" t="s">
        <v>925</v>
      </c>
    </row>
    <row r="2835" spans="1:8" ht="33">
      <c r="A2835" s="160">
        <v>4</v>
      </c>
      <c r="B2835" s="160" t="s">
        <v>2524</v>
      </c>
      <c r="C2835" s="157" t="s">
        <v>927</v>
      </c>
      <c r="D2835" s="159">
        <v>4</v>
      </c>
      <c r="E2835" s="159">
        <v>399.48</v>
      </c>
      <c r="F2835" s="159">
        <v>1597.92</v>
      </c>
      <c r="G2835" s="160" t="s">
        <v>2525</v>
      </c>
      <c r="H2835" s="34" t="s">
        <v>925</v>
      </c>
    </row>
    <row r="2836" spans="1:8" ht="33">
      <c r="A2836" s="160">
        <v>5</v>
      </c>
      <c r="B2836" s="160" t="s">
        <v>4871</v>
      </c>
      <c r="C2836" s="157" t="s">
        <v>927</v>
      </c>
      <c r="D2836" s="159">
        <v>8</v>
      </c>
      <c r="E2836" s="159">
        <v>279.94</v>
      </c>
      <c r="F2836" s="159">
        <v>2239.52</v>
      </c>
      <c r="G2836" s="160" t="s">
        <v>4872</v>
      </c>
      <c r="H2836" s="34" t="s">
        <v>925</v>
      </c>
    </row>
    <row r="2837" spans="1:8" ht="33">
      <c r="A2837" s="160">
        <v>6</v>
      </c>
      <c r="B2837" s="160" t="s">
        <v>931</v>
      </c>
      <c r="C2837" s="157" t="s">
        <v>14</v>
      </c>
      <c r="D2837" s="159">
        <v>1</v>
      </c>
      <c r="E2837" s="159">
        <v>315.12</v>
      </c>
      <c r="F2837" s="159">
        <v>315.12</v>
      </c>
      <c r="G2837" s="160" t="s">
        <v>932</v>
      </c>
      <c r="H2837" s="34" t="s">
        <v>925</v>
      </c>
    </row>
    <row r="2838" spans="1:8" ht="33">
      <c r="A2838" s="160"/>
      <c r="B2838" s="160" t="s">
        <v>933</v>
      </c>
      <c r="C2838" s="157" t="s">
        <v>2238</v>
      </c>
      <c r="D2838" s="159">
        <v>1</v>
      </c>
      <c r="E2838" s="159"/>
      <c r="F2838" s="159">
        <v>10819.240000000002</v>
      </c>
      <c r="G2838" s="160"/>
      <c r="H2838" s="34" t="s">
        <v>925</v>
      </c>
    </row>
    <row r="2839" spans="1:8" ht="16.5">
      <c r="A2839" s="160"/>
      <c r="B2839" s="160" t="s">
        <v>934</v>
      </c>
      <c r="C2839" s="157" t="s">
        <v>2238</v>
      </c>
      <c r="D2839" s="159"/>
      <c r="E2839" s="159"/>
      <c r="F2839" s="159">
        <v>10819.24</v>
      </c>
      <c r="G2839" s="160"/>
    </row>
    <row r="2840" spans="1:8" ht="33">
      <c r="A2840" s="160"/>
      <c r="B2840" s="160"/>
      <c r="C2840" s="157"/>
      <c r="D2840" s="159"/>
      <c r="E2840" s="159"/>
      <c r="F2840" s="159"/>
      <c r="G2840" s="160"/>
      <c r="H2840" s="34" t="s">
        <v>925</v>
      </c>
    </row>
    <row r="2841" spans="1:8" ht="42.75">
      <c r="A2841" s="160" t="s">
        <v>2777</v>
      </c>
      <c r="B2841" s="160" t="s">
        <v>2527</v>
      </c>
      <c r="C2841" s="157" t="s">
        <v>2238</v>
      </c>
      <c r="D2841" s="159">
        <v>1</v>
      </c>
      <c r="E2841" s="159">
        <v>20485.13</v>
      </c>
      <c r="F2841" s="159"/>
      <c r="G2841" s="160" t="s">
        <v>2528</v>
      </c>
      <c r="H2841" s="34" t="s">
        <v>925</v>
      </c>
    </row>
    <row r="2842" spans="1:8" ht="33">
      <c r="A2842" s="160">
        <v>1</v>
      </c>
      <c r="B2842" s="160" t="s">
        <v>2520</v>
      </c>
      <c r="C2842" s="157" t="s">
        <v>927</v>
      </c>
      <c r="D2842" s="159">
        <v>8</v>
      </c>
      <c r="E2842" s="159">
        <v>713.29</v>
      </c>
      <c r="F2842" s="159">
        <v>5706.32</v>
      </c>
      <c r="G2842" s="160" t="s">
        <v>2521</v>
      </c>
      <c r="H2842" s="34" t="s">
        <v>925</v>
      </c>
    </row>
    <row r="2843" spans="1:8" ht="33">
      <c r="A2843" s="160">
        <v>2</v>
      </c>
      <c r="B2843" s="160" t="s">
        <v>2524</v>
      </c>
      <c r="C2843" s="157" t="s">
        <v>927</v>
      </c>
      <c r="D2843" s="159">
        <v>8</v>
      </c>
      <c r="E2843" s="159">
        <v>399.48</v>
      </c>
      <c r="F2843" s="159">
        <v>3195.84</v>
      </c>
      <c r="G2843" s="160" t="s">
        <v>2525</v>
      </c>
      <c r="H2843" s="34" t="s">
        <v>925</v>
      </c>
    </row>
    <row r="2844" spans="1:8" ht="33">
      <c r="A2844" s="160">
        <v>3</v>
      </c>
      <c r="B2844" s="160" t="s">
        <v>2522</v>
      </c>
      <c r="C2844" s="157" t="s">
        <v>927</v>
      </c>
      <c r="D2844" s="159">
        <v>8</v>
      </c>
      <c r="E2844" s="159">
        <v>553.9</v>
      </c>
      <c r="F2844" s="159">
        <v>4431.2</v>
      </c>
      <c r="G2844" s="160" t="s">
        <v>2523</v>
      </c>
      <c r="H2844" s="34" t="s">
        <v>925</v>
      </c>
    </row>
    <row r="2845" spans="1:8" ht="42.75">
      <c r="A2845" s="160">
        <v>4</v>
      </c>
      <c r="B2845" s="160" t="s">
        <v>4885</v>
      </c>
      <c r="C2845" s="157" t="s">
        <v>927</v>
      </c>
      <c r="D2845" s="159">
        <v>8</v>
      </c>
      <c r="E2845" s="159">
        <v>399.48</v>
      </c>
      <c r="F2845" s="159">
        <v>3195.84</v>
      </c>
      <c r="G2845" s="160" t="s">
        <v>4886</v>
      </c>
      <c r="H2845" s="34" t="s">
        <v>925</v>
      </c>
    </row>
    <row r="2846" spans="1:8" ht="33">
      <c r="A2846" s="160">
        <v>5</v>
      </c>
      <c r="B2846" s="160" t="s">
        <v>4871</v>
      </c>
      <c r="C2846" s="157" t="s">
        <v>927</v>
      </c>
      <c r="D2846" s="159">
        <v>12</v>
      </c>
      <c r="E2846" s="159">
        <v>279.94</v>
      </c>
      <c r="F2846" s="159">
        <v>3359.28</v>
      </c>
      <c r="G2846" s="160" t="s">
        <v>4872</v>
      </c>
      <c r="H2846" s="34" t="s">
        <v>925</v>
      </c>
    </row>
    <row r="2847" spans="1:8" ht="33">
      <c r="A2847" s="160">
        <v>6</v>
      </c>
      <c r="B2847" s="160" t="s">
        <v>931</v>
      </c>
      <c r="C2847" s="157" t="s">
        <v>14</v>
      </c>
      <c r="D2847" s="159">
        <v>1</v>
      </c>
      <c r="E2847" s="159">
        <v>596.65</v>
      </c>
      <c r="F2847" s="159">
        <v>596.65</v>
      </c>
      <c r="G2847" s="160" t="s">
        <v>932</v>
      </c>
      <c r="H2847" s="34" t="s">
        <v>925</v>
      </c>
    </row>
    <row r="2848" spans="1:8" ht="16.5">
      <c r="A2848" s="160"/>
      <c r="B2848" s="160" t="s">
        <v>933</v>
      </c>
      <c r="C2848" s="157" t="s">
        <v>2238</v>
      </c>
      <c r="D2848" s="159">
        <v>1</v>
      </c>
      <c r="E2848" s="159"/>
      <c r="F2848" s="159">
        <v>20485.13</v>
      </c>
      <c r="G2848" s="160"/>
    </row>
    <row r="2849" spans="1:8" ht="33">
      <c r="A2849" s="160"/>
      <c r="B2849" s="160" t="s">
        <v>934</v>
      </c>
      <c r="C2849" s="157" t="s">
        <v>2238</v>
      </c>
      <c r="D2849" s="159"/>
      <c r="E2849" s="159"/>
      <c r="F2849" s="159">
        <v>20485.13</v>
      </c>
      <c r="G2849" s="160"/>
      <c r="H2849" s="34" t="s">
        <v>925</v>
      </c>
    </row>
    <row r="2850" spans="1:8" ht="33">
      <c r="A2850" s="160"/>
      <c r="B2850" s="160"/>
      <c r="C2850" s="157"/>
      <c r="D2850" s="159"/>
      <c r="E2850" s="159"/>
      <c r="F2850" s="159"/>
      <c r="G2850" s="160"/>
      <c r="H2850" s="34" t="s">
        <v>925</v>
      </c>
    </row>
    <row r="2851" spans="1:8" ht="42.75">
      <c r="A2851" s="160" t="s">
        <v>2780</v>
      </c>
      <c r="B2851" s="160" t="s">
        <v>2530</v>
      </c>
      <c r="C2851" s="157" t="s">
        <v>2238</v>
      </c>
      <c r="D2851" s="159">
        <v>1</v>
      </c>
      <c r="E2851" s="159">
        <v>16417.66</v>
      </c>
      <c r="F2851" s="159"/>
      <c r="G2851" s="160" t="s">
        <v>2531</v>
      </c>
      <c r="H2851" s="34" t="s">
        <v>925</v>
      </c>
    </row>
    <row r="2852" spans="1:8" ht="33">
      <c r="A2852" s="160">
        <v>1</v>
      </c>
      <c r="B2852" s="160" t="s">
        <v>2520</v>
      </c>
      <c r="C2852" s="157" t="s">
        <v>927</v>
      </c>
      <c r="D2852" s="159">
        <v>4</v>
      </c>
      <c r="E2852" s="159">
        <v>713.29</v>
      </c>
      <c r="F2852" s="159">
        <v>2853.16</v>
      </c>
      <c r="G2852" s="160" t="s">
        <v>2521</v>
      </c>
      <c r="H2852" s="34" t="s">
        <v>925</v>
      </c>
    </row>
    <row r="2853" spans="1:8" ht="33">
      <c r="A2853" s="160">
        <v>2</v>
      </c>
      <c r="B2853" s="160" t="s">
        <v>2532</v>
      </c>
      <c r="C2853" s="157" t="s">
        <v>927</v>
      </c>
      <c r="D2853" s="159">
        <v>4</v>
      </c>
      <c r="E2853" s="159">
        <v>798.97</v>
      </c>
      <c r="F2853" s="159">
        <v>3195.88</v>
      </c>
      <c r="G2853" s="160" t="s">
        <v>2533</v>
      </c>
      <c r="H2853" s="34" t="s">
        <v>925</v>
      </c>
    </row>
    <row r="2854" spans="1:8" ht="33">
      <c r="A2854" s="160">
        <v>3</v>
      </c>
      <c r="B2854" s="160" t="s">
        <v>2522</v>
      </c>
      <c r="C2854" s="157" t="s">
        <v>927</v>
      </c>
      <c r="D2854" s="159">
        <v>4</v>
      </c>
      <c r="E2854" s="159">
        <v>553.9</v>
      </c>
      <c r="F2854" s="159">
        <v>2215.6</v>
      </c>
      <c r="G2854" s="160" t="s">
        <v>2523</v>
      </c>
      <c r="H2854" s="34" t="s">
        <v>925</v>
      </c>
    </row>
    <row r="2855" spans="1:8" ht="33">
      <c r="A2855" s="160">
        <v>4</v>
      </c>
      <c r="B2855" s="160" t="s">
        <v>2534</v>
      </c>
      <c r="C2855" s="157" t="s">
        <v>927</v>
      </c>
      <c r="D2855" s="159">
        <v>4</v>
      </c>
      <c r="E2855" s="159">
        <v>798.97</v>
      </c>
      <c r="F2855" s="159">
        <v>3195.88</v>
      </c>
      <c r="G2855" s="160" t="s">
        <v>2535</v>
      </c>
      <c r="H2855" s="34" t="s">
        <v>925</v>
      </c>
    </row>
    <row r="2856" spans="1:8" ht="42.75">
      <c r="A2856" s="160">
        <v>5</v>
      </c>
      <c r="B2856" s="160" t="s">
        <v>4874</v>
      </c>
      <c r="C2856" s="157" t="s">
        <v>927</v>
      </c>
      <c r="D2856" s="159">
        <v>8</v>
      </c>
      <c r="E2856" s="159">
        <v>559.87</v>
      </c>
      <c r="F2856" s="159">
        <v>4478.96</v>
      </c>
      <c r="G2856" s="160" t="s">
        <v>4875</v>
      </c>
    </row>
    <row r="2857" spans="1:8" ht="33">
      <c r="A2857" s="160">
        <v>6</v>
      </c>
      <c r="B2857" s="160" t="s">
        <v>931</v>
      </c>
      <c r="C2857" s="157" t="s">
        <v>14</v>
      </c>
      <c r="D2857" s="159">
        <v>1</v>
      </c>
      <c r="E2857" s="159">
        <v>478.18</v>
      </c>
      <c r="F2857" s="159">
        <v>478.18</v>
      </c>
      <c r="G2857" s="160" t="s">
        <v>932</v>
      </c>
      <c r="H2857" s="34" t="s">
        <v>925</v>
      </c>
    </row>
    <row r="2858" spans="1:8" ht="33">
      <c r="A2858" s="160"/>
      <c r="B2858" s="160" t="s">
        <v>933</v>
      </c>
      <c r="C2858" s="157" t="s">
        <v>2238</v>
      </c>
      <c r="D2858" s="159">
        <v>1</v>
      </c>
      <c r="E2858" s="159"/>
      <c r="F2858" s="159">
        <v>16417.66</v>
      </c>
      <c r="G2858" s="160"/>
      <c r="H2858" s="34" t="s">
        <v>925</v>
      </c>
    </row>
    <row r="2859" spans="1:8" ht="33">
      <c r="A2859" s="160"/>
      <c r="B2859" s="160" t="s">
        <v>934</v>
      </c>
      <c r="C2859" s="157" t="s">
        <v>2238</v>
      </c>
      <c r="D2859" s="159"/>
      <c r="E2859" s="159"/>
      <c r="F2859" s="159">
        <v>16417.66</v>
      </c>
      <c r="G2859" s="160"/>
      <c r="H2859" s="34" t="s">
        <v>925</v>
      </c>
    </row>
    <row r="2860" spans="1:8" ht="33">
      <c r="A2860" s="160"/>
      <c r="B2860" s="160"/>
      <c r="C2860" s="157"/>
      <c r="D2860" s="159"/>
      <c r="E2860" s="159"/>
      <c r="F2860" s="159"/>
      <c r="G2860" s="160"/>
      <c r="H2860" s="34" t="s">
        <v>925</v>
      </c>
    </row>
    <row r="2861" spans="1:8" ht="42.75">
      <c r="A2861" s="160" t="s">
        <v>2784</v>
      </c>
      <c r="B2861" s="160" t="s">
        <v>2537</v>
      </c>
      <c r="C2861" s="157" t="s">
        <v>2238</v>
      </c>
      <c r="D2861" s="159">
        <v>1</v>
      </c>
      <c r="E2861" s="159">
        <v>30528.66</v>
      </c>
      <c r="F2861" s="159"/>
      <c r="G2861" s="160" t="s">
        <v>2538</v>
      </c>
      <c r="H2861" s="34" t="s">
        <v>925</v>
      </c>
    </row>
    <row r="2862" spans="1:8" ht="33">
      <c r="A2862" s="160">
        <v>1</v>
      </c>
      <c r="B2862" s="160" t="s">
        <v>2520</v>
      </c>
      <c r="C2862" s="157" t="s">
        <v>927</v>
      </c>
      <c r="D2862" s="159">
        <v>8</v>
      </c>
      <c r="E2862" s="159">
        <v>713.29</v>
      </c>
      <c r="F2862" s="159">
        <v>5706.32</v>
      </c>
      <c r="G2862" s="160" t="s">
        <v>2521</v>
      </c>
      <c r="H2862" s="34" t="s">
        <v>925</v>
      </c>
    </row>
    <row r="2863" spans="1:8" ht="28.5">
      <c r="A2863" s="160">
        <v>2</v>
      </c>
      <c r="B2863" s="160" t="s">
        <v>2532</v>
      </c>
      <c r="C2863" s="157" t="s">
        <v>927</v>
      </c>
      <c r="D2863" s="159">
        <v>8</v>
      </c>
      <c r="E2863" s="159">
        <v>798.97</v>
      </c>
      <c r="F2863" s="159">
        <v>6391.76</v>
      </c>
      <c r="G2863" s="160" t="s">
        <v>2533</v>
      </c>
    </row>
    <row r="2864" spans="1:8" ht="33">
      <c r="A2864" s="160">
        <v>3</v>
      </c>
      <c r="B2864" s="160" t="s">
        <v>2522</v>
      </c>
      <c r="C2864" s="157" t="s">
        <v>927</v>
      </c>
      <c r="D2864" s="159">
        <v>8</v>
      </c>
      <c r="E2864" s="159">
        <v>553.9</v>
      </c>
      <c r="F2864" s="159">
        <v>4431.2</v>
      </c>
      <c r="G2864" s="160" t="s">
        <v>2523</v>
      </c>
      <c r="H2864" s="34" t="s">
        <v>925</v>
      </c>
    </row>
    <row r="2865" spans="1:8" ht="33">
      <c r="A2865" s="160">
        <v>4</v>
      </c>
      <c r="B2865" s="160" t="s">
        <v>2534</v>
      </c>
      <c r="C2865" s="157" t="s">
        <v>927</v>
      </c>
      <c r="D2865" s="159">
        <v>8</v>
      </c>
      <c r="E2865" s="159">
        <v>798.97</v>
      </c>
      <c r="F2865" s="159">
        <v>6391.76</v>
      </c>
      <c r="G2865" s="160" t="s">
        <v>2535</v>
      </c>
      <c r="H2865" s="34" t="s">
        <v>925</v>
      </c>
    </row>
    <row r="2866" spans="1:8" ht="42.75">
      <c r="A2866" s="160">
        <v>5</v>
      </c>
      <c r="B2866" s="160" t="s">
        <v>4874</v>
      </c>
      <c r="C2866" s="157" t="s">
        <v>927</v>
      </c>
      <c r="D2866" s="159">
        <v>12</v>
      </c>
      <c r="E2866" s="159">
        <v>559.87</v>
      </c>
      <c r="F2866" s="159">
        <v>6718.44</v>
      </c>
      <c r="G2866" s="160" t="s">
        <v>4875</v>
      </c>
      <c r="H2866" s="34" t="s">
        <v>925</v>
      </c>
    </row>
    <row r="2867" spans="1:8" ht="33">
      <c r="A2867" s="160">
        <v>6</v>
      </c>
      <c r="B2867" s="160" t="s">
        <v>931</v>
      </c>
      <c r="C2867" s="157" t="s">
        <v>14</v>
      </c>
      <c r="D2867" s="159">
        <v>1</v>
      </c>
      <c r="E2867" s="159">
        <v>889.18</v>
      </c>
      <c r="F2867" s="159">
        <v>889.18</v>
      </c>
      <c r="G2867" s="160" t="s">
        <v>932</v>
      </c>
      <c r="H2867" s="34" t="s">
        <v>925</v>
      </c>
    </row>
    <row r="2868" spans="1:8" ht="33">
      <c r="A2868" s="160"/>
      <c r="B2868" s="160" t="s">
        <v>933</v>
      </c>
      <c r="C2868" s="157" t="s">
        <v>2238</v>
      </c>
      <c r="D2868" s="159">
        <v>1</v>
      </c>
      <c r="E2868" s="159"/>
      <c r="F2868" s="159">
        <v>30528.66</v>
      </c>
      <c r="G2868" s="160"/>
      <c r="H2868" s="34" t="s">
        <v>925</v>
      </c>
    </row>
    <row r="2869" spans="1:8" ht="33">
      <c r="A2869" s="160"/>
      <c r="B2869" s="160" t="s">
        <v>934</v>
      </c>
      <c r="C2869" s="157" t="s">
        <v>2238</v>
      </c>
      <c r="D2869" s="159"/>
      <c r="E2869" s="159"/>
      <c r="F2869" s="159">
        <v>30528.66</v>
      </c>
      <c r="G2869" s="160"/>
      <c r="H2869" s="34" t="s">
        <v>925</v>
      </c>
    </row>
    <row r="2870" spans="1:8" ht="16.5">
      <c r="A2870" s="160"/>
      <c r="B2870" s="160"/>
      <c r="C2870" s="157"/>
      <c r="D2870" s="159"/>
      <c r="E2870" s="159"/>
      <c r="F2870" s="159"/>
      <c r="G2870" s="160"/>
    </row>
    <row r="2871" spans="1:8" ht="42.75">
      <c r="A2871" s="160" t="s">
        <v>4057</v>
      </c>
      <c r="B2871" s="160" t="s">
        <v>2540</v>
      </c>
      <c r="C2871" s="157" t="s">
        <v>0</v>
      </c>
      <c r="D2871" s="159">
        <v>1</v>
      </c>
      <c r="E2871" s="159">
        <v>7252.47</v>
      </c>
      <c r="F2871" s="159"/>
      <c r="G2871" s="160" t="s">
        <v>2541</v>
      </c>
      <c r="H2871" s="34" t="s">
        <v>925</v>
      </c>
    </row>
    <row r="2872" spans="1:8" ht="42.75">
      <c r="A2872" s="160">
        <v>1</v>
      </c>
      <c r="B2872" s="160" t="s">
        <v>1164</v>
      </c>
      <c r="C2872" s="157" t="s">
        <v>0</v>
      </c>
      <c r="D2872" s="159">
        <v>1</v>
      </c>
      <c r="E2872" s="159">
        <v>7043.26</v>
      </c>
      <c r="F2872" s="159">
        <v>7043.26</v>
      </c>
      <c r="G2872" s="160" t="s">
        <v>1165</v>
      </c>
      <c r="H2872" s="34" t="s">
        <v>925</v>
      </c>
    </row>
    <row r="2873" spans="1:8" ht="33">
      <c r="A2873" s="160">
        <v>2</v>
      </c>
      <c r="B2873" s="160" t="s">
        <v>1159</v>
      </c>
      <c r="C2873" s="157" t="s">
        <v>0</v>
      </c>
      <c r="D2873" s="159">
        <v>1</v>
      </c>
      <c r="E2873" s="159">
        <v>25.9</v>
      </c>
      <c r="F2873" s="159">
        <v>25.9</v>
      </c>
      <c r="G2873" s="160" t="s">
        <v>2542</v>
      </c>
      <c r="H2873" s="34" t="s">
        <v>925</v>
      </c>
    </row>
    <row r="2874" spans="1:8" ht="33">
      <c r="A2874" s="160">
        <v>3</v>
      </c>
      <c r="B2874" s="160" t="s">
        <v>931</v>
      </c>
      <c r="C2874" s="157" t="s">
        <v>14</v>
      </c>
      <c r="D2874" s="159">
        <v>1</v>
      </c>
      <c r="E2874" s="159">
        <v>183.31</v>
      </c>
      <c r="F2874" s="159">
        <v>183.31</v>
      </c>
      <c r="G2874" s="160" t="s">
        <v>2466</v>
      </c>
      <c r="H2874" s="34" t="s">
        <v>925</v>
      </c>
    </row>
    <row r="2875" spans="1:8" ht="33">
      <c r="A2875" s="160"/>
      <c r="B2875" s="160" t="s">
        <v>933</v>
      </c>
      <c r="C2875" s="157" t="s">
        <v>0</v>
      </c>
      <c r="D2875" s="159">
        <v>1</v>
      </c>
      <c r="E2875" s="159"/>
      <c r="F2875" s="159">
        <v>7252.47</v>
      </c>
      <c r="G2875" s="160"/>
      <c r="H2875" s="34" t="s">
        <v>925</v>
      </c>
    </row>
    <row r="2876" spans="1:8" ht="33">
      <c r="A2876" s="160"/>
      <c r="B2876" s="160" t="s">
        <v>934</v>
      </c>
      <c r="C2876" s="157" t="s">
        <v>0</v>
      </c>
      <c r="D2876" s="159"/>
      <c r="E2876" s="159"/>
      <c r="F2876" s="159">
        <v>7252.47</v>
      </c>
      <c r="G2876" s="160"/>
      <c r="H2876" s="34" t="s">
        <v>925</v>
      </c>
    </row>
    <row r="2877" spans="1:8" ht="33">
      <c r="A2877" s="160"/>
      <c r="B2877" s="160"/>
      <c r="C2877" s="157"/>
      <c r="D2877" s="159"/>
      <c r="E2877" s="159"/>
      <c r="F2877" s="159"/>
      <c r="G2877" s="160"/>
      <c r="H2877" s="34" t="s">
        <v>925</v>
      </c>
    </row>
    <row r="2878" spans="1:8" ht="42.75">
      <c r="A2878" s="160" t="s">
        <v>4058</v>
      </c>
      <c r="B2878" s="160" t="s">
        <v>2544</v>
      </c>
      <c r="C2878" s="157" t="s">
        <v>0</v>
      </c>
      <c r="D2878" s="159">
        <v>1</v>
      </c>
      <c r="E2878" s="159">
        <v>7315.23</v>
      </c>
      <c r="F2878" s="159"/>
      <c r="G2878" s="160" t="s">
        <v>2545</v>
      </c>
    </row>
    <row r="2879" spans="1:8" ht="42.75">
      <c r="A2879" s="160">
        <v>1</v>
      </c>
      <c r="B2879" s="160" t="s">
        <v>1156</v>
      </c>
      <c r="C2879" s="157" t="s">
        <v>0</v>
      </c>
      <c r="D2879" s="159">
        <v>1</v>
      </c>
      <c r="E2879" s="159">
        <v>7103.04</v>
      </c>
      <c r="F2879" s="159">
        <v>7103.04</v>
      </c>
      <c r="G2879" s="160" t="s">
        <v>1157</v>
      </c>
      <c r="H2879" s="34" t="s">
        <v>925</v>
      </c>
    </row>
    <row r="2880" spans="1:8" ht="33">
      <c r="A2880" s="160">
        <v>2</v>
      </c>
      <c r="B2880" s="160" t="s">
        <v>1159</v>
      </c>
      <c r="C2880" s="157" t="s">
        <v>0</v>
      </c>
      <c r="D2880" s="159">
        <v>1</v>
      </c>
      <c r="E2880" s="159">
        <v>25.9</v>
      </c>
      <c r="F2880" s="159">
        <v>25.9</v>
      </c>
      <c r="G2880" s="160" t="s">
        <v>2542</v>
      </c>
      <c r="H2880" s="34" t="s">
        <v>925</v>
      </c>
    </row>
    <row r="2881" spans="1:8" ht="33">
      <c r="A2881" s="160">
        <v>3</v>
      </c>
      <c r="B2881" s="160" t="s">
        <v>931</v>
      </c>
      <c r="C2881" s="157" t="s">
        <v>14</v>
      </c>
      <c r="D2881" s="159">
        <v>1</v>
      </c>
      <c r="E2881" s="159">
        <v>186.29</v>
      </c>
      <c r="F2881" s="159">
        <v>186.29</v>
      </c>
      <c r="G2881" s="160" t="s">
        <v>2466</v>
      </c>
      <c r="H2881" s="34" t="s">
        <v>925</v>
      </c>
    </row>
    <row r="2882" spans="1:8" ht="33">
      <c r="A2882" s="160"/>
      <c r="B2882" s="160" t="s">
        <v>933</v>
      </c>
      <c r="C2882" s="157" t="s">
        <v>0</v>
      </c>
      <c r="D2882" s="159">
        <v>1</v>
      </c>
      <c r="E2882" s="159"/>
      <c r="F2882" s="159">
        <v>7315.23</v>
      </c>
      <c r="G2882" s="160"/>
      <c r="H2882" s="34" t="s">
        <v>925</v>
      </c>
    </row>
    <row r="2883" spans="1:8" ht="33">
      <c r="A2883" s="160"/>
      <c r="B2883" s="160" t="s">
        <v>934</v>
      </c>
      <c r="C2883" s="157" t="s">
        <v>0</v>
      </c>
      <c r="D2883" s="159"/>
      <c r="E2883" s="159"/>
      <c r="F2883" s="159">
        <v>7315.23</v>
      </c>
      <c r="G2883" s="160"/>
      <c r="H2883" s="34" t="s">
        <v>925</v>
      </c>
    </row>
    <row r="2884" spans="1:8" ht="33">
      <c r="A2884" s="160"/>
      <c r="B2884" s="160"/>
      <c r="C2884" s="157"/>
      <c r="D2884" s="159"/>
      <c r="E2884" s="159"/>
      <c r="F2884" s="159"/>
      <c r="G2884" s="160"/>
      <c r="H2884" s="34" t="s">
        <v>925</v>
      </c>
    </row>
    <row r="2885" spans="1:8" ht="42.75">
      <c r="A2885" s="160" t="s">
        <v>4059</v>
      </c>
      <c r="B2885" s="160" t="s">
        <v>2547</v>
      </c>
      <c r="C2885" s="157" t="s">
        <v>0</v>
      </c>
      <c r="D2885" s="159">
        <v>1</v>
      </c>
      <c r="E2885" s="159">
        <v>6347.49</v>
      </c>
      <c r="F2885" s="159"/>
      <c r="G2885" s="160" t="s">
        <v>2548</v>
      </c>
      <c r="H2885" s="34" t="s">
        <v>925</v>
      </c>
    </row>
    <row r="2886" spans="1:8" ht="42.75">
      <c r="A2886" s="160">
        <v>1</v>
      </c>
      <c r="B2886" s="160" t="s">
        <v>1197</v>
      </c>
      <c r="C2886" s="157" t="s">
        <v>0</v>
      </c>
      <c r="D2886" s="159">
        <v>1</v>
      </c>
      <c r="E2886" s="159">
        <v>6136.71</v>
      </c>
      <c r="F2886" s="159">
        <v>6136.71</v>
      </c>
      <c r="G2886" s="160" t="s">
        <v>1198</v>
      </c>
    </row>
    <row r="2887" spans="1:8" ht="33">
      <c r="A2887" s="160">
        <v>2</v>
      </c>
      <c r="B2887" s="160" t="s">
        <v>1159</v>
      </c>
      <c r="C2887" s="157" t="s">
        <v>0</v>
      </c>
      <c r="D2887" s="159">
        <v>1</v>
      </c>
      <c r="E2887" s="159">
        <v>25.9</v>
      </c>
      <c r="F2887" s="159">
        <v>25.9</v>
      </c>
      <c r="G2887" s="160" t="s">
        <v>1160</v>
      </c>
      <c r="H2887" s="34" t="s">
        <v>925</v>
      </c>
    </row>
    <row r="2888" spans="1:8" ht="33">
      <c r="A2888" s="160">
        <v>3</v>
      </c>
      <c r="B2888" s="160" t="s">
        <v>931</v>
      </c>
      <c r="C2888" s="157" t="s">
        <v>14</v>
      </c>
      <c r="D2888" s="159">
        <v>1</v>
      </c>
      <c r="E2888" s="159">
        <v>184.88</v>
      </c>
      <c r="F2888" s="159">
        <v>184.88</v>
      </c>
      <c r="G2888" s="160" t="s">
        <v>932</v>
      </c>
      <c r="H2888" s="34" t="s">
        <v>925</v>
      </c>
    </row>
    <row r="2889" spans="1:8" ht="33">
      <c r="A2889" s="160"/>
      <c r="B2889" s="160" t="s">
        <v>933</v>
      </c>
      <c r="C2889" s="157" t="s">
        <v>0</v>
      </c>
      <c r="D2889" s="159">
        <v>1</v>
      </c>
      <c r="E2889" s="159"/>
      <c r="F2889" s="159">
        <v>6347.49</v>
      </c>
      <c r="G2889" s="160"/>
      <c r="H2889" s="34" t="s">
        <v>925</v>
      </c>
    </row>
    <row r="2890" spans="1:8" ht="33">
      <c r="A2890" s="160"/>
      <c r="B2890" s="160" t="s">
        <v>934</v>
      </c>
      <c r="C2890" s="157" t="s">
        <v>0</v>
      </c>
      <c r="D2890" s="159"/>
      <c r="E2890" s="159"/>
      <c r="F2890" s="159">
        <v>6347.49</v>
      </c>
      <c r="G2890" s="160"/>
      <c r="H2890" s="34" t="s">
        <v>925</v>
      </c>
    </row>
    <row r="2891" spans="1:8" ht="33">
      <c r="A2891" s="160"/>
      <c r="B2891" s="160"/>
      <c r="C2891" s="157"/>
      <c r="D2891" s="159"/>
      <c r="E2891" s="159"/>
      <c r="F2891" s="159"/>
      <c r="G2891" s="160"/>
      <c r="H2891" s="34" t="s">
        <v>925</v>
      </c>
    </row>
    <row r="2892" spans="1:8" ht="42.75">
      <c r="A2892" s="160" t="s">
        <v>4060</v>
      </c>
      <c r="B2892" s="160" t="s">
        <v>2550</v>
      </c>
      <c r="C2892" s="157" t="s">
        <v>0</v>
      </c>
      <c r="D2892" s="159">
        <v>1</v>
      </c>
      <c r="E2892" s="159">
        <v>6716.88</v>
      </c>
      <c r="F2892" s="159"/>
      <c r="G2892" s="160" t="s">
        <v>2551</v>
      </c>
      <c r="H2892" s="34" t="s">
        <v>925</v>
      </c>
    </row>
    <row r="2893" spans="1:8" ht="42.75">
      <c r="A2893" s="160">
        <v>1</v>
      </c>
      <c r="B2893" s="160" t="s">
        <v>1189</v>
      </c>
      <c r="C2893" s="157" t="s">
        <v>0</v>
      </c>
      <c r="D2893" s="159">
        <v>1</v>
      </c>
      <c r="E2893" s="159">
        <v>6495.34</v>
      </c>
      <c r="F2893" s="159">
        <v>6495.34</v>
      </c>
      <c r="G2893" s="160" t="s">
        <v>1190</v>
      </c>
      <c r="H2893" s="34" t="s">
        <v>925</v>
      </c>
    </row>
    <row r="2894" spans="1:8" ht="28.5">
      <c r="A2894" s="160">
        <v>2</v>
      </c>
      <c r="B2894" s="160" t="s">
        <v>1159</v>
      </c>
      <c r="C2894" s="157" t="s">
        <v>0</v>
      </c>
      <c r="D2894" s="159">
        <v>1</v>
      </c>
      <c r="E2894" s="159">
        <v>25.9</v>
      </c>
      <c r="F2894" s="159">
        <v>25.9</v>
      </c>
      <c r="G2894" s="160" t="s">
        <v>1160</v>
      </c>
    </row>
    <row r="2895" spans="1:8" ht="33">
      <c r="A2895" s="160">
        <v>3</v>
      </c>
      <c r="B2895" s="160" t="s">
        <v>931</v>
      </c>
      <c r="C2895" s="157" t="s">
        <v>14</v>
      </c>
      <c r="D2895" s="159">
        <v>1</v>
      </c>
      <c r="E2895" s="159">
        <v>195.64</v>
      </c>
      <c r="F2895" s="159">
        <v>195.64</v>
      </c>
      <c r="G2895" s="160" t="s">
        <v>932</v>
      </c>
      <c r="H2895" s="34" t="s">
        <v>925</v>
      </c>
    </row>
    <row r="2896" spans="1:8" ht="33">
      <c r="A2896" s="160"/>
      <c r="B2896" s="160" t="s">
        <v>933</v>
      </c>
      <c r="C2896" s="157" t="s">
        <v>0</v>
      </c>
      <c r="D2896" s="159">
        <v>1</v>
      </c>
      <c r="E2896" s="159"/>
      <c r="F2896" s="159">
        <v>6716.88</v>
      </c>
      <c r="G2896" s="160"/>
      <c r="H2896" s="34" t="s">
        <v>925</v>
      </c>
    </row>
    <row r="2897" spans="1:8" ht="33">
      <c r="A2897" s="160"/>
      <c r="B2897" s="160" t="s">
        <v>934</v>
      </c>
      <c r="C2897" s="157" t="s">
        <v>0</v>
      </c>
      <c r="D2897" s="159"/>
      <c r="E2897" s="159"/>
      <c r="F2897" s="159">
        <v>6716.88</v>
      </c>
      <c r="G2897" s="160"/>
      <c r="H2897" s="34" t="s">
        <v>925</v>
      </c>
    </row>
    <row r="2898" spans="1:8" ht="33">
      <c r="A2898" s="160"/>
      <c r="B2898" s="160"/>
      <c r="C2898" s="157"/>
      <c r="D2898" s="159"/>
      <c r="E2898" s="159"/>
      <c r="F2898" s="159"/>
      <c r="G2898" s="160"/>
      <c r="H2898" s="34" t="s">
        <v>925</v>
      </c>
    </row>
    <row r="2899" spans="1:8" ht="57">
      <c r="A2899" s="160" t="s">
        <v>4061</v>
      </c>
      <c r="B2899" s="160" t="s">
        <v>2553</v>
      </c>
      <c r="C2899" s="157" t="s">
        <v>0</v>
      </c>
      <c r="D2899" s="159">
        <v>1</v>
      </c>
      <c r="E2899" s="159">
        <v>7106.8</v>
      </c>
      <c r="F2899" s="159"/>
      <c r="G2899" s="160" t="s">
        <v>2554</v>
      </c>
      <c r="H2899" s="34" t="s">
        <v>925</v>
      </c>
    </row>
    <row r="2900" spans="1:8" ht="42.75">
      <c r="A2900" s="160">
        <v>1</v>
      </c>
      <c r="B2900" s="160" t="s">
        <v>1176</v>
      </c>
      <c r="C2900" s="157" t="s">
        <v>0</v>
      </c>
      <c r="D2900" s="159">
        <v>1</v>
      </c>
      <c r="E2900" s="159">
        <v>6873.91</v>
      </c>
      <c r="F2900" s="159">
        <v>6873.91</v>
      </c>
      <c r="G2900" s="160" t="s">
        <v>1177</v>
      </c>
      <c r="H2900" s="34" t="s">
        <v>925</v>
      </c>
    </row>
    <row r="2901" spans="1:8" ht="33">
      <c r="A2901" s="160">
        <v>2</v>
      </c>
      <c r="B2901" s="160" t="s">
        <v>1159</v>
      </c>
      <c r="C2901" s="157" t="s">
        <v>0</v>
      </c>
      <c r="D2901" s="159">
        <v>1</v>
      </c>
      <c r="E2901" s="159">
        <v>25.9</v>
      </c>
      <c r="F2901" s="159">
        <v>25.9</v>
      </c>
      <c r="G2901" s="160" t="s">
        <v>1160</v>
      </c>
      <c r="H2901" s="34" t="s">
        <v>925</v>
      </c>
    </row>
    <row r="2902" spans="1:8" ht="28.5">
      <c r="A2902" s="160">
        <v>3</v>
      </c>
      <c r="B2902" s="160" t="s">
        <v>931</v>
      </c>
      <c r="C2902" s="157" t="s">
        <v>14</v>
      </c>
      <c r="D2902" s="159">
        <v>1</v>
      </c>
      <c r="E2902" s="159">
        <v>206.99</v>
      </c>
      <c r="F2902" s="159">
        <v>206.99</v>
      </c>
      <c r="G2902" s="160" t="s">
        <v>932</v>
      </c>
    </row>
    <row r="2903" spans="1:8" ht="33">
      <c r="A2903" s="160"/>
      <c r="B2903" s="160" t="s">
        <v>933</v>
      </c>
      <c r="C2903" s="157" t="s">
        <v>0</v>
      </c>
      <c r="D2903" s="159">
        <v>1</v>
      </c>
      <c r="E2903" s="159"/>
      <c r="F2903" s="159">
        <v>7106.7999999999993</v>
      </c>
      <c r="G2903" s="160"/>
      <c r="H2903" s="34" t="s">
        <v>925</v>
      </c>
    </row>
    <row r="2904" spans="1:8" ht="33">
      <c r="A2904" s="160"/>
      <c r="B2904" s="160" t="s">
        <v>934</v>
      </c>
      <c r="C2904" s="157" t="s">
        <v>0</v>
      </c>
      <c r="D2904" s="159"/>
      <c r="E2904" s="159"/>
      <c r="F2904" s="159">
        <v>7106.8</v>
      </c>
      <c r="G2904" s="160"/>
      <c r="H2904" s="34" t="s">
        <v>925</v>
      </c>
    </row>
    <row r="2905" spans="1:8" ht="33">
      <c r="A2905" s="160"/>
      <c r="B2905" s="160"/>
      <c r="C2905" s="157"/>
      <c r="D2905" s="159"/>
      <c r="E2905" s="159"/>
      <c r="F2905" s="159"/>
      <c r="G2905" s="160"/>
      <c r="H2905" s="34" t="s">
        <v>925</v>
      </c>
    </row>
    <row r="2906" spans="1:8" ht="42.75">
      <c r="A2906" s="160" t="s">
        <v>4062</v>
      </c>
      <c r="B2906" s="160" t="s">
        <v>2556</v>
      </c>
      <c r="C2906" s="157" t="s">
        <v>2238</v>
      </c>
      <c r="D2906" s="159">
        <v>1</v>
      </c>
      <c r="E2906" s="159">
        <v>16561.349999999999</v>
      </c>
      <c r="F2906" s="159"/>
      <c r="G2906" s="160" t="s">
        <v>2557</v>
      </c>
      <c r="H2906" s="34" t="s">
        <v>925</v>
      </c>
    </row>
    <row r="2907" spans="1:8" ht="33">
      <c r="A2907" s="160">
        <v>1</v>
      </c>
      <c r="B2907" s="160" t="s">
        <v>1217</v>
      </c>
      <c r="C2907" s="157" t="s">
        <v>927</v>
      </c>
      <c r="D2907" s="159">
        <v>4</v>
      </c>
      <c r="E2907" s="159">
        <v>1016.14</v>
      </c>
      <c r="F2907" s="159">
        <v>4064.56</v>
      </c>
      <c r="G2907" s="160" t="s">
        <v>1218</v>
      </c>
      <c r="H2907" s="34" t="s">
        <v>925</v>
      </c>
    </row>
    <row r="2908" spans="1:8" ht="33">
      <c r="A2908" s="160">
        <v>2</v>
      </c>
      <c r="B2908" s="160" t="s">
        <v>2558</v>
      </c>
      <c r="C2908" s="157" t="s">
        <v>927</v>
      </c>
      <c r="D2908" s="159">
        <v>4</v>
      </c>
      <c r="E2908" s="159">
        <v>399.48</v>
      </c>
      <c r="F2908" s="159">
        <v>1597.92</v>
      </c>
      <c r="G2908" s="160" t="s">
        <v>2559</v>
      </c>
      <c r="H2908" s="34" t="s">
        <v>925</v>
      </c>
    </row>
    <row r="2909" spans="1:8" ht="33">
      <c r="A2909" s="160">
        <v>3</v>
      </c>
      <c r="B2909" s="160" t="s">
        <v>1219</v>
      </c>
      <c r="C2909" s="157" t="s">
        <v>1220</v>
      </c>
      <c r="D2909" s="159">
        <v>6</v>
      </c>
      <c r="E2909" s="159">
        <v>119.55</v>
      </c>
      <c r="F2909" s="159">
        <v>717.3</v>
      </c>
      <c r="G2909" s="160" t="s">
        <v>1221</v>
      </c>
      <c r="H2909" s="34" t="s">
        <v>925</v>
      </c>
    </row>
    <row r="2910" spans="1:8" ht="33">
      <c r="A2910" s="160">
        <v>4</v>
      </c>
      <c r="B2910" s="160" t="s">
        <v>1222</v>
      </c>
      <c r="C2910" s="157" t="s">
        <v>927</v>
      </c>
      <c r="D2910" s="159">
        <v>4</v>
      </c>
      <c r="E2910" s="159">
        <v>647.54</v>
      </c>
      <c r="F2910" s="159">
        <v>2590.16</v>
      </c>
      <c r="G2910" s="160" t="s">
        <v>1223</v>
      </c>
      <c r="H2910" s="34" t="s">
        <v>925</v>
      </c>
    </row>
    <row r="2911" spans="1:8" ht="33">
      <c r="A2911" s="160">
        <v>5</v>
      </c>
      <c r="B2911" s="160" t="s">
        <v>1224</v>
      </c>
      <c r="C2911" s="157" t="s">
        <v>927</v>
      </c>
      <c r="D2911" s="159">
        <v>4</v>
      </c>
      <c r="E2911" s="159">
        <v>537.96</v>
      </c>
      <c r="F2911" s="159">
        <v>2151.84</v>
      </c>
      <c r="G2911" s="160" t="s">
        <v>1225</v>
      </c>
      <c r="H2911" s="34" t="s">
        <v>925</v>
      </c>
    </row>
    <row r="2912" spans="1:8" ht="28.5">
      <c r="A2912" s="160">
        <v>6</v>
      </c>
      <c r="B2912" s="160" t="s">
        <v>1226</v>
      </c>
      <c r="C2912" s="157" t="s">
        <v>927</v>
      </c>
      <c r="D2912" s="159">
        <v>4</v>
      </c>
      <c r="E2912" s="159">
        <v>399.48</v>
      </c>
      <c r="F2912" s="159">
        <v>1597.92</v>
      </c>
      <c r="G2912" s="160" t="s">
        <v>1227</v>
      </c>
    </row>
    <row r="2913" spans="1:8" ht="33">
      <c r="A2913" s="160">
        <v>7</v>
      </c>
      <c r="B2913" s="160" t="s">
        <v>4871</v>
      </c>
      <c r="C2913" s="157" t="s">
        <v>927</v>
      </c>
      <c r="D2913" s="159">
        <v>8</v>
      </c>
      <c r="E2913" s="159">
        <v>279.94</v>
      </c>
      <c r="F2913" s="159">
        <v>2239.52</v>
      </c>
      <c r="G2913" s="160" t="s">
        <v>4872</v>
      </c>
      <c r="H2913" s="34" t="s">
        <v>925</v>
      </c>
    </row>
    <row r="2914" spans="1:8" ht="33">
      <c r="A2914" s="160">
        <v>8</v>
      </c>
      <c r="B2914" s="160" t="s">
        <v>1228</v>
      </c>
      <c r="C2914" s="157" t="s">
        <v>927</v>
      </c>
      <c r="D2914" s="159">
        <v>4</v>
      </c>
      <c r="E2914" s="159">
        <v>279.94</v>
      </c>
      <c r="F2914" s="159">
        <v>1119.76</v>
      </c>
      <c r="G2914" s="160" t="s">
        <v>1229</v>
      </c>
      <c r="H2914" s="34" t="s">
        <v>925</v>
      </c>
    </row>
    <row r="2915" spans="1:8" ht="33">
      <c r="A2915" s="160">
        <v>9</v>
      </c>
      <c r="B2915" s="160" t="s">
        <v>931</v>
      </c>
      <c r="C2915" s="157" t="s">
        <v>14</v>
      </c>
      <c r="D2915" s="159">
        <v>1</v>
      </c>
      <c r="E2915" s="159">
        <v>482.37</v>
      </c>
      <c r="F2915" s="159">
        <v>482.37</v>
      </c>
      <c r="G2915" s="160" t="s">
        <v>932</v>
      </c>
      <c r="H2915" s="34" t="s">
        <v>925</v>
      </c>
    </row>
    <row r="2916" spans="1:8" ht="33">
      <c r="A2916" s="160"/>
      <c r="B2916" s="160" t="s">
        <v>933</v>
      </c>
      <c r="C2916" s="157" t="s">
        <v>2238</v>
      </c>
      <c r="D2916" s="159">
        <v>1</v>
      </c>
      <c r="E2916" s="159"/>
      <c r="F2916" s="159">
        <v>16561.349999999999</v>
      </c>
      <c r="G2916" s="160"/>
      <c r="H2916" s="34" t="s">
        <v>925</v>
      </c>
    </row>
    <row r="2917" spans="1:8" ht="33">
      <c r="A2917" s="160"/>
      <c r="B2917" s="160" t="s">
        <v>934</v>
      </c>
      <c r="C2917" s="157" t="s">
        <v>2238</v>
      </c>
      <c r="D2917" s="159"/>
      <c r="E2917" s="159"/>
      <c r="F2917" s="159">
        <v>16561.349999999999</v>
      </c>
      <c r="G2917" s="160"/>
      <c r="H2917" s="34" t="s">
        <v>925</v>
      </c>
    </row>
    <row r="2918" spans="1:8" ht="33">
      <c r="A2918" s="160"/>
      <c r="B2918" s="160"/>
      <c r="C2918" s="157"/>
      <c r="D2918" s="159"/>
      <c r="E2918" s="159"/>
      <c r="F2918" s="159"/>
      <c r="G2918" s="160"/>
      <c r="H2918" s="34" t="s">
        <v>925</v>
      </c>
    </row>
    <row r="2919" spans="1:8" ht="42.75">
      <c r="A2919" s="160" t="s">
        <v>4063</v>
      </c>
      <c r="B2919" s="160" t="s">
        <v>2561</v>
      </c>
      <c r="C2919" s="157" t="s">
        <v>2238</v>
      </c>
      <c r="D2919" s="159">
        <v>1</v>
      </c>
      <c r="E2919" s="159">
        <v>23313.08</v>
      </c>
      <c r="F2919" s="159"/>
      <c r="G2919" s="160" t="s">
        <v>2562</v>
      </c>
      <c r="H2919" s="34" t="s">
        <v>925</v>
      </c>
    </row>
    <row r="2920" spans="1:8" ht="33">
      <c r="A2920" s="160">
        <v>1</v>
      </c>
      <c r="B2920" s="160" t="s">
        <v>2563</v>
      </c>
      <c r="C2920" s="157" t="s">
        <v>927</v>
      </c>
      <c r="D2920" s="159">
        <v>4</v>
      </c>
      <c r="E2920" s="159">
        <v>798.97</v>
      </c>
      <c r="F2920" s="159">
        <v>3195.88</v>
      </c>
      <c r="G2920" s="160" t="s">
        <v>2564</v>
      </c>
      <c r="H2920" s="34" t="s">
        <v>925</v>
      </c>
    </row>
    <row r="2921" spans="1:8" ht="28.5">
      <c r="A2921" s="160">
        <v>2</v>
      </c>
      <c r="B2921" s="160" t="s">
        <v>1224</v>
      </c>
      <c r="C2921" s="157" t="s">
        <v>927</v>
      </c>
      <c r="D2921" s="159">
        <v>4</v>
      </c>
      <c r="E2921" s="159">
        <v>537.96</v>
      </c>
      <c r="F2921" s="159">
        <v>2151.84</v>
      </c>
      <c r="G2921" s="160" t="s">
        <v>1225</v>
      </c>
    </row>
    <row r="2922" spans="1:8" ht="33">
      <c r="A2922" s="160">
        <v>3</v>
      </c>
      <c r="B2922" s="160" t="s">
        <v>1217</v>
      </c>
      <c r="C2922" s="157" t="s">
        <v>927</v>
      </c>
      <c r="D2922" s="159">
        <v>4</v>
      </c>
      <c r="E2922" s="159">
        <v>1016.14</v>
      </c>
      <c r="F2922" s="159">
        <v>4064.56</v>
      </c>
      <c r="G2922" s="160" t="s">
        <v>1218</v>
      </c>
      <c r="H2922" s="34" t="s">
        <v>925</v>
      </c>
    </row>
    <row r="2923" spans="1:8" ht="33">
      <c r="A2923" s="160">
        <v>4</v>
      </c>
      <c r="B2923" s="160" t="s">
        <v>1219</v>
      </c>
      <c r="C2923" s="157" t="s">
        <v>1220</v>
      </c>
      <c r="D2923" s="159">
        <v>6</v>
      </c>
      <c r="E2923" s="159">
        <v>119.55</v>
      </c>
      <c r="F2923" s="159">
        <v>717.3</v>
      </c>
      <c r="G2923" s="160" t="s">
        <v>1221</v>
      </c>
      <c r="H2923" s="34" t="s">
        <v>925</v>
      </c>
    </row>
    <row r="2924" spans="1:8" ht="33">
      <c r="A2924" s="160">
        <v>5</v>
      </c>
      <c r="B2924" s="160" t="s">
        <v>1222</v>
      </c>
      <c r="C2924" s="157" t="s">
        <v>927</v>
      </c>
      <c r="D2924" s="159">
        <v>4</v>
      </c>
      <c r="E2924" s="159">
        <v>647.54</v>
      </c>
      <c r="F2924" s="159">
        <v>2590.16</v>
      </c>
      <c r="G2924" s="160" t="s">
        <v>1223</v>
      </c>
      <c r="H2924" s="34" t="s">
        <v>925</v>
      </c>
    </row>
    <row r="2925" spans="1:8" ht="33">
      <c r="A2925" s="160">
        <v>6</v>
      </c>
      <c r="B2925" s="160" t="s">
        <v>2565</v>
      </c>
      <c r="C2925" s="157" t="s">
        <v>927</v>
      </c>
      <c r="D2925" s="159">
        <v>4</v>
      </c>
      <c r="E2925" s="159">
        <v>798.97</v>
      </c>
      <c r="F2925" s="159">
        <v>3195.88</v>
      </c>
      <c r="G2925" s="160" t="s">
        <v>2566</v>
      </c>
      <c r="H2925" s="34" t="s">
        <v>925</v>
      </c>
    </row>
    <row r="2926" spans="1:8" ht="42.75">
      <c r="A2926" s="160">
        <v>7</v>
      </c>
      <c r="B2926" s="160" t="s">
        <v>4874</v>
      </c>
      <c r="C2926" s="157" t="s">
        <v>927</v>
      </c>
      <c r="D2926" s="159">
        <v>8</v>
      </c>
      <c r="E2926" s="159">
        <v>559.87</v>
      </c>
      <c r="F2926" s="159">
        <v>4478.96</v>
      </c>
      <c r="G2926" s="160" t="s">
        <v>4875</v>
      </c>
      <c r="H2926" s="34" t="s">
        <v>925</v>
      </c>
    </row>
    <row r="2927" spans="1:8" ht="33">
      <c r="A2927" s="160">
        <v>8</v>
      </c>
      <c r="B2927" s="160" t="s">
        <v>2567</v>
      </c>
      <c r="C2927" s="157" t="s">
        <v>927</v>
      </c>
      <c r="D2927" s="159">
        <v>4</v>
      </c>
      <c r="E2927" s="159">
        <v>559.87</v>
      </c>
      <c r="F2927" s="159">
        <v>2239.48</v>
      </c>
      <c r="G2927" s="160" t="s">
        <v>2568</v>
      </c>
      <c r="H2927" s="34" t="s">
        <v>925</v>
      </c>
    </row>
    <row r="2928" spans="1:8" ht="33">
      <c r="A2928" s="160">
        <v>9</v>
      </c>
      <c r="B2928" s="160" t="s">
        <v>931</v>
      </c>
      <c r="C2928" s="157" t="s">
        <v>14</v>
      </c>
      <c r="D2928" s="159">
        <v>1</v>
      </c>
      <c r="E2928" s="159">
        <v>679.02</v>
      </c>
      <c r="F2928" s="159">
        <v>679.02</v>
      </c>
      <c r="G2928" s="160" t="s">
        <v>932</v>
      </c>
      <c r="H2928" s="34" t="s">
        <v>925</v>
      </c>
    </row>
    <row r="2929" spans="1:8" ht="16.5">
      <c r="A2929" s="160"/>
      <c r="B2929" s="160" t="s">
        <v>933</v>
      </c>
      <c r="C2929" s="157" t="s">
        <v>2238</v>
      </c>
      <c r="D2929" s="159">
        <v>1</v>
      </c>
      <c r="E2929" s="159"/>
      <c r="F2929" s="159">
        <v>23313.079999999998</v>
      </c>
      <c r="G2929" s="160"/>
    </row>
    <row r="2930" spans="1:8" ht="33">
      <c r="A2930" s="160"/>
      <c r="B2930" s="160" t="s">
        <v>934</v>
      </c>
      <c r="C2930" s="157" t="s">
        <v>2238</v>
      </c>
      <c r="D2930" s="159"/>
      <c r="E2930" s="159"/>
      <c r="F2930" s="159">
        <v>23313.08</v>
      </c>
      <c r="G2930" s="160"/>
      <c r="H2930" s="34" t="s">
        <v>925</v>
      </c>
    </row>
    <row r="2931" spans="1:8" ht="33">
      <c r="A2931" s="160"/>
      <c r="B2931" s="160"/>
      <c r="C2931" s="157"/>
      <c r="D2931" s="159"/>
      <c r="E2931" s="159"/>
      <c r="F2931" s="159"/>
      <c r="G2931" s="160"/>
      <c r="H2931" s="34" t="s">
        <v>925</v>
      </c>
    </row>
    <row r="2932" spans="1:8" ht="33">
      <c r="A2932" s="160" t="s">
        <v>5004</v>
      </c>
      <c r="B2932" s="160" t="s">
        <v>2570</v>
      </c>
      <c r="C2932" s="157" t="s">
        <v>17</v>
      </c>
      <c r="D2932" s="159">
        <v>10</v>
      </c>
      <c r="E2932" s="159">
        <v>6547</v>
      </c>
      <c r="F2932" s="159"/>
      <c r="G2932" s="160" t="s">
        <v>2571</v>
      </c>
      <c r="H2932" s="34" t="s">
        <v>925</v>
      </c>
    </row>
    <row r="2933" spans="1:8" ht="33">
      <c r="A2933" s="160">
        <v>1</v>
      </c>
      <c r="B2933" s="160" t="s">
        <v>985</v>
      </c>
      <c r="C2933" s="157" t="s">
        <v>1</v>
      </c>
      <c r="D2933" s="159">
        <v>4</v>
      </c>
      <c r="E2933" s="159">
        <v>645.88</v>
      </c>
      <c r="F2933" s="159">
        <v>2583.52</v>
      </c>
      <c r="G2933" s="160" t="s">
        <v>4980</v>
      </c>
      <c r="H2933" s="34" t="s">
        <v>925</v>
      </c>
    </row>
    <row r="2934" spans="1:8" ht="33">
      <c r="A2934" s="160">
        <v>2</v>
      </c>
      <c r="B2934" s="160" t="s">
        <v>950</v>
      </c>
      <c r="C2934" s="157" t="s">
        <v>1</v>
      </c>
      <c r="D2934" s="159">
        <v>6</v>
      </c>
      <c r="E2934" s="159">
        <v>48.77</v>
      </c>
      <c r="F2934" s="159">
        <v>292.62</v>
      </c>
      <c r="G2934" s="160" t="s">
        <v>5005</v>
      </c>
      <c r="H2934" s="34" t="s">
        <v>925</v>
      </c>
    </row>
    <row r="2935" spans="1:8" ht="33">
      <c r="A2935" s="160">
        <v>3</v>
      </c>
      <c r="B2935" s="160" t="s">
        <v>26</v>
      </c>
      <c r="C2935" s="157" t="s">
        <v>1</v>
      </c>
      <c r="D2935" s="159">
        <v>10</v>
      </c>
      <c r="E2935" s="159">
        <v>713.77</v>
      </c>
      <c r="F2935" s="159">
        <v>7137.7</v>
      </c>
      <c r="G2935" s="160" t="s">
        <v>4981</v>
      </c>
      <c r="H2935" s="34" t="s">
        <v>925</v>
      </c>
    </row>
    <row r="2936" spans="1:8" ht="71.25">
      <c r="A2936" s="160">
        <v>4</v>
      </c>
      <c r="B2936" s="160" t="s">
        <v>4519</v>
      </c>
      <c r="C2936" s="157" t="s">
        <v>0</v>
      </c>
      <c r="D2936" s="159">
        <v>7</v>
      </c>
      <c r="E2936" s="159">
        <v>1749.87</v>
      </c>
      <c r="F2936" s="159">
        <v>12249.09</v>
      </c>
      <c r="G2936" s="160" t="s">
        <v>5006</v>
      </c>
    </row>
    <row r="2937" spans="1:8" ht="42.75">
      <c r="A2937" s="160">
        <v>5</v>
      </c>
      <c r="B2937" s="160" t="s">
        <v>3640</v>
      </c>
      <c r="C2937" s="157" t="s">
        <v>0</v>
      </c>
      <c r="D2937" s="159">
        <v>1.5</v>
      </c>
      <c r="E2937" s="159">
        <v>8164.49</v>
      </c>
      <c r="F2937" s="159">
        <v>12246.74</v>
      </c>
      <c r="G2937" s="160" t="s">
        <v>5007</v>
      </c>
      <c r="H2937" s="34" t="s">
        <v>925</v>
      </c>
    </row>
    <row r="2938" spans="1:8" ht="33">
      <c r="A2938" s="160">
        <v>6</v>
      </c>
      <c r="B2938" s="160" t="s">
        <v>3639</v>
      </c>
      <c r="C2938" s="157" t="s">
        <v>0</v>
      </c>
      <c r="D2938" s="159">
        <v>0.51</v>
      </c>
      <c r="E2938" s="159">
        <v>8226.06</v>
      </c>
      <c r="F2938" s="159">
        <v>4195.29</v>
      </c>
      <c r="G2938" s="160" t="s">
        <v>5008</v>
      </c>
      <c r="H2938" s="34" t="s">
        <v>925</v>
      </c>
    </row>
    <row r="2939" spans="1:8" ht="33">
      <c r="A2939" s="160">
        <v>7</v>
      </c>
      <c r="B2939" s="160" t="s">
        <v>1149</v>
      </c>
      <c r="C2939" s="157" t="s">
        <v>3</v>
      </c>
      <c r="D2939" s="159">
        <v>10</v>
      </c>
      <c r="E2939" s="159">
        <v>17.57</v>
      </c>
      <c r="F2939" s="159">
        <v>175.7</v>
      </c>
      <c r="G2939" s="160" t="s">
        <v>5009</v>
      </c>
      <c r="H2939" s="34" t="s">
        <v>925</v>
      </c>
    </row>
    <row r="2940" spans="1:8" ht="33">
      <c r="A2940" s="160">
        <v>8</v>
      </c>
      <c r="B2940" s="160" t="s">
        <v>1140</v>
      </c>
      <c r="C2940" s="157" t="s">
        <v>3</v>
      </c>
      <c r="D2940" s="159">
        <v>10</v>
      </c>
      <c r="E2940" s="159">
        <v>44.22</v>
      </c>
      <c r="F2940" s="159">
        <v>442.2</v>
      </c>
      <c r="G2940" s="160" t="s">
        <v>5010</v>
      </c>
      <c r="H2940" s="34" t="s">
        <v>925</v>
      </c>
    </row>
    <row r="2941" spans="1:8" ht="33">
      <c r="A2941" s="160">
        <v>9</v>
      </c>
      <c r="B2941" s="160" t="s">
        <v>1250</v>
      </c>
      <c r="C2941" s="157" t="s">
        <v>17</v>
      </c>
      <c r="D2941" s="159">
        <v>20</v>
      </c>
      <c r="E2941" s="159">
        <v>76.930000000000007</v>
      </c>
      <c r="F2941" s="159">
        <v>1538.6</v>
      </c>
      <c r="G2941" s="160" t="s">
        <v>4979</v>
      </c>
      <c r="H2941" s="34" t="s">
        <v>925</v>
      </c>
    </row>
    <row r="2942" spans="1:8" ht="33">
      <c r="A2942" s="160">
        <v>10</v>
      </c>
      <c r="B2942" s="160" t="s">
        <v>2572</v>
      </c>
      <c r="C2942" s="157" t="s">
        <v>14</v>
      </c>
      <c r="D2942" s="159">
        <v>1</v>
      </c>
      <c r="E2942" s="159">
        <v>1295.08</v>
      </c>
      <c r="F2942" s="159">
        <v>1295.08</v>
      </c>
      <c r="G2942" s="160" t="s">
        <v>2573</v>
      </c>
      <c r="H2942" s="34" t="s">
        <v>925</v>
      </c>
    </row>
    <row r="2943" spans="1:8" ht="33">
      <c r="A2943" s="160">
        <v>11</v>
      </c>
      <c r="B2943" s="160" t="s">
        <v>2574</v>
      </c>
      <c r="C2943" s="157" t="s">
        <v>14</v>
      </c>
      <c r="D2943" s="159">
        <v>1</v>
      </c>
      <c r="E2943" s="159">
        <v>1992.44</v>
      </c>
      <c r="F2943" s="159">
        <v>1992.44</v>
      </c>
      <c r="G2943" s="160" t="s">
        <v>2575</v>
      </c>
      <c r="H2943" s="34" t="s">
        <v>925</v>
      </c>
    </row>
    <row r="2944" spans="1:8" ht="42.75">
      <c r="A2944" s="160">
        <v>12</v>
      </c>
      <c r="B2944" s="160" t="s">
        <v>2287</v>
      </c>
      <c r="C2944" s="157" t="s">
        <v>14</v>
      </c>
      <c r="D2944" s="159">
        <v>1</v>
      </c>
      <c r="E2944" s="159">
        <v>19426.259999999998</v>
      </c>
      <c r="F2944" s="159">
        <v>19426.259999999998</v>
      </c>
      <c r="G2944" s="160" t="s">
        <v>2288</v>
      </c>
      <c r="H2944" s="34" t="s">
        <v>925</v>
      </c>
    </row>
    <row r="2945" spans="1:8" ht="33">
      <c r="A2945" s="160">
        <v>13</v>
      </c>
      <c r="B2945" s="160" t="s">
        <v>931</v>
      </c>
      <c r="C2945" s="157" t="s">
        <v>14</v>
      </c>
      <c r="D2945" s="159">
        <v>1</v>
      </c>
      <c r="E2945" s="159">
        <v>1894.72</v>
      </c>
      <c r="F2945" s="159">
        <v>1894.72</v>
      </c>
      <c r="G2945" s="160" t="s">
        <v>2110</v>
      </c>
      <c r="H2945" s="34" t="s">
        <v>925</v>
      </c>
    </row>
    <row r="2946" spans="1:8" ht="33">
      <c r="A2946" s="160"/>
      <c r="B2946" s="160" t="s">
        <v>933</v>
      </c>
      <c r="C2946" s="157" t="s">
        <v>17</v>
      </c>
      <c r="D2946" s="159">
        <v>10</v>
      </c>
      <c r="E2946" s="159"/>
      <c r="F2946" s="159">
        <v>65469.959999999992</v>
      </c>
      <c r="G2946" s="160"/>
      <c r="H2946" s="34" t="s">
        <v>925</v>
      </c>
    </row>
    <row r="2947" spans="1:8" ht="16.5">
      <c r="A2947" s="160"/>
      <c r="B2947" s="160" t="s">
        <v>934</v>
      </c>
      <c r="C2947" s="157" t="s">
        <v>17</v>
      </c>
      <c r="D2947" s="159"/>
      <c r="E2947" s="159"/>
      <c r="F2947" s="159">
        <v>6547</v>
      </c>
      <c r="G2947" s="160"/>
    </row>
    <row r="2948" spans="1:8" ht="33">
      <c r="A2948" s="160"/>
      <c r="B2948" s="160"/>
      <c r="C2948" s="157"/>
      <c r="D2948" s="159"/>
      <c r="E2948" s="159"/>
      <c r="F2948" s="159"/>
      <c r="G2948" s="160"/>
      <c r="H2948" s="34" t="s">
        <v>925</v>
      </c>
    </row>
    <row r="2949" spans="1:8" ht="33">
      <c r="A2949" s="160" t="s">
        <v>5011</v>
      </c>
      <c r="B2949" s="160" t="s">
        <v>2577</v>
      </c>
      <c r="C2949" s="157" t="s">
        <v>17</v>
      </c>
      <c r="D2949" s="159">
        <v>10</v>
      </c>
      <c r="E2949" s="159">
        <v>7142.78</v>
      </c>
      <c r="F2949" s="159"/>
      <c r="G2949" s="160" t="s">
        <v>2578</v>
      </c>
      <c r="H2949" s="34" t="s">
        <v>925</v>
      </c>
    </row>
    <row r="2950" spans="1:8" ht="42.75">
      <c r="A2950" s="160">
        <v>1</v>
      </c>
      <c r="B2950" s="160" t="s">
        <v>2579</v>
      </c>
      <c r="C2950" s="157" t="s">
        <v>1</v>
      </c>
      <c r="D2950" s="159">
        <v>6</v>
      </c>
      <c r="E2950" s="159">
        <v>68.03</v>
      </c>
      <c r="F2950" s="159">
        <v>408.18</v>
      </c>
      <c r="G2950" s="160" t="s">
        <v>5012</v>
      </c>
      <c r="H2950" s="34" t="s">
        <v>925</v>
      </c>
    </row>
    <row r="2951" spans="1:8" ht="33">
      <c r="A2951" s="160">
        <v>2</v>
      </c>
      <c r="B2951" s="160" t="s">
        <v>2214</v>
      </c>
      <c r="C2951" s="157" t="s">
        <v>1</v>
      </c>
      <c r="D2951" s="159">
        <v>4</v>
      </c>
      <c r="E2951" s="159">
        <v>1487.79</v>
      </c>
      <c r="F2951" s="159">
        <v>5951.16</v>
      </c>
      <c r="G2951" s="160" t="s">
        <v>4982</v>
      </c>
      <c r="H2951" s="34" t="s">
        <v>925</v>
      </c>
    </row>
    <row r="2952" spans="1:8" ht="33">
      <c r="A2952" s="160">
        <v>3</v>
      </c>
      <c r="B2952" s="160" t="s">
        <v>2216</v>
      </c>
      <c r="C2952" s="157" t="s">
        <v>1</v>
      </c>
      <c r="D2952" s="159">
        <v>10</v>
      </c>
      <c r="E2952" s="159">
        <v>844.41</v>
      </c>
      <c r="F2952" s="159">
        <v>8444.1</v>
      </c>
      <c r="G2952" s="160" t="s">
        <v>2217</v>
      </c>
      <c r="H2952" s="34" t="s">
        <v>925</v>
      </c>
    </row>
    <row r="2953" spans="1:8" ht="71.25">
      <c r="A2953" s="160">
        <v>4</v>
      </c>
      <c r="B2953" s="160" t="s">
        <v>4519</v>
      </c>
      <c r="C2953" s="157" t="s">
        <v>0</v>
      </c>
      <c r="D2953" s="159">
        <v>7</v>
      </c>
      <c r="E2953" s="159">
        <v>1749.87</v>
      </c>
      <c r="F2953" s="159">
        <v>12249.09</v>
      </c>
      <c r="G2953" s="160" t="s">
        <v>5006</v>
      </c>
      <c r="H2953" s="34" t="s">
        <v>925</v>
      </c>
    </row>
    <row r="2954" spans="1:8" ht="42.75">
      <c r="A2954" s="160">
        <v>5</v>
      </c>
      <c r="B2954" s="160" t="s">
        <v>4048</v>
      </c>
      <c r="C2954" s="157" t="s">
        <v>0</v>
      </c>
      <c r="D2954" s="159">
        <v>1.5</v>
      </c>
      <c r="E2954" s="159">
        <v>8659.36</v>
      </c>
      <c r="F2954" s="159">
        <v>12989.04</v>
      </c>
      <c r="G2954" s="160" t="s">
        <v>5013</v>
      </c>
      <c r="H2954" s="34" t="s">
        <v>925</v>
      </c>
    </row>
    <row r="2955" spans="1:8" ht="42.75">
      <c r="A2955" s="160">
        <v>6</v>
      </c>
      <c r="B2955" s="160" t="s">
        <v>4049</v>
      </c>
      <c r="C2955" s="157" t="s">
        <v>0</v>
      </c>
      <c r="D2955" s="159">
        <v>0.51</v>
      </c>
      <c r="E2955" s="159">
        <v>8720.94</v>
      </c>
      <c r="F2955" s="159">
        <v>4447.68</v>
      </c>
      <c r="G2955" s="160" t="s">
        <v>5014</v>
      </c>
      <c r="H2955" s="34" t="s">
        <v>925</v>
      </c>
    </row>
    <row r="2956" spans="1:8" ht="33">
      <c r="A2956" s="160">
        <v>7</v>
      </c>
      <c r="B2956" s="160" t="s">
        <v>1149</v>
      </c>
      <c r="C2956" s="157" t="s">
        <v>3</v>
      </c>
      <c r="D2956" s="159">
        <v>10</v>
      </c>
      <c r="E2956" s="159">
        <v>17.57</v>
      </c>
      <c r="F2956" s="159">
        <v>175.7</v>
      </c>
      <c r="G2956" s="160" t="s">
        <v>5009</v>
      </c>
      <c r="H2956" s="34" t="s">
        <v>925</v>
      </c>
    </row>
    <row r="2957" spans="1:8" ht="33">
      <c r="A2957" s="160">
        <v>8</v>
      </c>
      <c r="B2957" s="160" t="s">
        <v>1140</v>
      </c>
      <c r="C2957" s="157" t="s">
        <v>3</v>
      </c>
      <c r="D2957" s="159">
        <v>10</v>
      </c>
      <c r="E2957" s="159">
        <v>44.22</v>
      </c>
      <c r="F2957" s="159">
        <v>442.2</v>
      </c>
      <c r="G2957" s="160" t="s">
        <v>5010</v>
      </c>
      <c r="H2957" s="34" t="s">
        <v>925</v>
      </c>
    </row>
    <row r="2958" spans="1:8" ht="28.5">
      <c r="A2958" s="160">
        <v>9</v>
      </c>
      <c r="B2958" s="160" t="s">
        <v>1250</v>
      </c>
      <c r="C2958" s="157" t="s">
        <v>17</v>
      </c>
      <c r="D2958" s="159">
        <v>20</v>
      </c>
      <c r="E2958" s="159">
        <v>76.930000000000007</v>
      </c>
      <c r="F2958" s="159">
        <v>1538.6</v>
      </c>
      <c r="G2958" s="160" t="s">
        <v>4979</v>
      </c>
    </row>
    <row r="2959" spans="1:8" ht="33">
      <c r="A2959" s="160">
        <v>10</v>
      </c>
      <c r="B2959" s="160" t="s">
        <v>2572</v>
      </c>
      <c r="C2959" s="157" t="s">
        <v>14</v>
      </c>
      <c r="D2959" s="159">
        <v>1</v>
      </c>
      <c r="E2959" s="159">
        <v>1295.08</v>
      </c>
      <c r="F2959" s="159">
        <v>1295.08</v>
      </c>
      <c r="G2959" s="160" t="s">
        <v>2573</v>
      </c>
      <c r="H2959" s="34" t="s">
        <v>925</v>
      </c>
    </row>
    <row r="2960" spans="1:8" ht="33">
      <c r="A2960" s="160">
        <v>11</v>
      </c>
      <c r="B2960" s="160" t="s">
        <v>2574</v>
      </c>
      <c r="C2960" s="157" t="s">
        <v>14</v>
      </c>
      <c r="D2960" s="159">
        <v>1</v>
      </c>
      <c r="E2960" s="159">
        <v>1992.44</v>
      </c>
      <c r="F2960" s="159">
        <v>1992.44</v>
      </c>
      <c r="G2960" s="160" t="s">
        <v>2575</v>
      </c>
      <c r="H2960" s="34" t="s">
        <v>925</v>
      </c>
    </row>
    <row r="2961" spans="1:8" ht="42.75">
      <c r="A2961" s="160">
        <v>12</v>
      </c>
      <c r="B2961" s="160" t="s">
        <v>2287</v>
      </c>
      <c r="C2961" s="157" t="s">
        <v>14</v>
      </c>
      <c r="D2961" s="159">
        <v>1</v>
      </c>
      <c r="E2961" s="159">
        <v>19426.259999999998</v>
      </c>
      <c r="F2961" s="159">
        <v>19426.259999999998</v>
      </c>
      <c r="G2961" s="160" t="s">
        <v>2288</v>
      </c>
      <c r="H2961" s="34" t="s">
        <v>925</v>
      </c>
    </row>
    <row r="2962" spans="1:8" ht="33">
      <c r="A2962" s="160">
        <v>13</v>
      </c>
      <c r="B2962" s="160" t="s">
        <v>931</v>
      </c>
      <c r="C2962" s="157" t="s">
        <v>14</v>
      </c>
      <c r="D2962" s="159">
        <v>1</v>
      </c>
      <c r="E2962" s="159">
        <v>2068.2399999999998</v>
      </c>
      <c r="F2962" s="159">
        <v>2068.2399999999998</v>
      </c>
      <c r="G2962" s="160" t="s">
        <v>2110</v>
      </c>
      <c r="H2962" s="34" t="s">
        <v>925</v>
      </c>
    </row>
    <row r="2963" spans="1:8" ht="33">
      <c r="A2963" s="160"/>
      <c r="B2963" s="160" t="s">
        <v>933</v>
      </c>
      <c r="C2963" s="157" t="s">
        <v>17</v>
      </c>
      <c r="D2963" s="159">
        <v>10</v>
      </c>
      <c r="E2963" s="159"/>
      <c r="F2963" s="159">
        <v>71427.77</v>
      </c>
      <c r="G2963" s="160"/>
      <c r="H2963" s="34" t="s">
        <v>925</v>
      </c>
    </row>
    <row r="2964" spans="1:8" ht="33">
      <c r="A2964" s="160"/>
      <c r="B2964" s="160" t="s">
        <v>934</v>
      </c>
      <c r="C2964" s="157" t="s">
        <v>17</v>
      </c>
      <c r="D2964" s="159"/>
      <c r="E2964" s="159"/>
      <c r="F2964" s="159">
        <v>7142.78</v>
      </c>
      <c r="G2964" s="160"/>
      <c r="H2964" s="34" t="s">
        <v>925</v>
      </c>
    </row>
    <row r="2965" spans="1:8" ht="33">
      <c r="A2965" s="160"/>
      <c r="B2965" s="160"/>
      <c r="C2965" s="157"/>
      <c r="D2965" s="159"/>
      <c r="E2965" s="159"/>
      <c r="F2965" s="159"/>
      <c r="G2965" s="160"/>
      <c r="H2965" s="34" t="s">
        <v>925</v>
      </c>
    </row>
    <row r="2966" spans="1:8" ht="33">
      <c r="A2966" s="160" t="s">
        <v>5015</v>
      </c>
      <c r="B2966" s="160" t="s">
        <v>2584</v>
      </c>
      <c r="C2966" s="157" t="s">
        <v>17</v>
      </c>
      <c r="D2966" s="159">
        <v>10</v>
      </c>
      <c r="E2966" s="159">
        <v>8143.04</v>
      </c>
      <c r="F2966" s="159"/>
      <c r="G2966" s="160" t="s">
        <v>2585</v>
      </c>
      <c r="H2966" s="34" t="s">
        <v>925</v>
      </c>
    </row>
    <row r="2967" spans="1:8" ht="28.5">
      <c r="A2967" s="160">
        <v>1</v>
      </c>
      <c r="B2967" s="160" t="s">
        <v>950</v>
      </c>
      <c r="C2967" s="157" t="s">
        <v>1</v>
      </c>
      <c r="D2967" s="159">
        <v>9</v>
      </c>
      <c r="E2967" s="159">
        <v>48.77</v>
      </c>
      <c r="F2967" s="159">
        <v>438.93</v>
      </c>
      <c r="G2967" s="160" t="s">
        <v>5005</v>
      </c>
    </row>
    <row r="2968" spans="1:8" ht="33">
      <c r="A2968" s="160">
        <v>2</v>
      </c>
      <c r="B2968" s="160" t="s">
        <v>985</v>
      </c>
      <c r="C2968" s="157" t="s">
        <v>1</v>
      </c>
      <c r="D2968" s="159">
        <v>6</v>
      </c>
      <c r="E2968" s="159">
        <v>645.88</v>
      </c>
      <c r="F2968" s="159">
        <v>3875.28</v>
      </c>
      <c r="G2968" s="160" t="s">
        <v>4980</v>
      </c>
      <c r="H2968" s="34" t="s">
        <v>925</v>
      </c>
    </row>
    <row r="2969" spans="1:8" ht="33">
      <c r="A2969" s="160">
        <v>3</v>
      </c>
      <c r="B2969" s="160" t="s">
        <v>26</v>
      </c>
      <c r="C2969" s="157" t="s">
        <v>1</v>
      </c>
      <c r="D2969" s="159">
        <v>15</v>
      </c>
      <c r="E2969" s="159">
        <v>713.77</v>
      </c>
      <c r="F2969" s="159">
        <v>10706.55</v>
      </c>
      <c r="G2969" s="160" t="s">
        <v>4981</v>
      </c>
      <c r="H2969" s="34" t="s">
        <v>925</v>
      </c>
    </row>
    <row r="2970" spans="1:8" ht="71.25">
      <c r="A2970" s="160">
        <v>4</v>
      </c>
      <c r="B2970" s="160" t="s">
        <v>4519</v>
      </c>
      <c r="C2970" s="157" t="s">
        <v>0</v>
      </c>
      <c r="D2970" s="159">
        <v>13</v>
      </c>
      <c r="E2970" s="159">
        <v>1749.87</v>
      </c>
      <c r="F2970" s="159">
        <v>22748.31</v>
      </c>
      <c r="G2970" s="160" t="s">
        <v>5006</v>
      </c>
      <c r="H2970" s="34" t="s">
        <v>925</v>
      </c>
    </row>
    <row r="2971" spans="1:8" ht="42.75">
      <c r="A2971" s="160">
        <v>5</v>
      </c>
      <c r="B2971" s="160" t="s">
        <v>3640</v>
      </c>
      <c r="C2971" s="157" t="s">
        <v>0</v>
      </c>
      <c r="D2971" s="159">
        <v>1.5</v>
      </c>
      <c r="E2971" s="159">
        <v>8164.49</v>
      </c>
      <c r="F2971" s="159">
        <v>12246.74</v>
      </c>
      <c r="G2971" s="160" t="s">
        <v>5007</v>
      </c>
      <c r="H2971" s="34" t="s">
        <v>925</v>
      </c>
    </row>
    <row r="2972" spans="1:8" ht="33">
      <c r="A2972" s="160">
        <v>6</v>
      </c>
      <c r="B2972" s="160" t="s">
        <v>3639</v>
      </c>
      <c r="C2972" s="157" t="s">
        <v>0</v>
      </c>
      <c r="D2972" s="159">
        <v>0.51</v>
      </c>
      <c r="E2972" s="159">
        <v>8226.06</v>
      </c>
      <c r="F2972" s="159">
        <v>4195.29</v>
      </c>
      <c r="G2972" s="160" t="s">
        <v>5008</v>
      </c>
      <c r="H2972" s="34" t="s">
        <v>925</v>
      </c>
    </row>
    <row r="2973" spans="1:8" ht="33">
      <c r="A2973" s="160">
        <v>7</v>
      </c>
      <c r="B2973" s="160" t="s">
        <v>1149</v>
      </c>
      <c r="C2973" s="157" t="s">
        <v>3</v>
      </c>
      <c r="D2973" s="159">
        <v>10</v>
      </c>
      <c r="E2973" s="159">
        <v>17.57</v>
      </c>
      <c r="F2973" s="159">
        <v>175.7</v>
      </c>
      <c r="G2973" s="160" t="s">
        <v>5009</v>
      </c>
      <c r="H2973" s="34" t="s">
        <v>925</v>
      </c>
    </row>
    <row r="2974" spans="1:8" ht="33">
      <c r="A2974" s="160">
        <v>8</v>
      </c>
      <c r="B2974" s="160" t="s">
        <v>1140</v>
      </c>
      <c r="C2974" s="157" t="s">
        <v>3</v>
      </c>
      <c r="D2974" s="159">
        <v>10</v>
      </c>
      <c r="E2974" s="159">
        <v>44.22</v>
      </c>
      <c r="F2974" s="159">
        <v>442.2</v>
      </c>
      <c r="G2974" s="160" t="s">
        <v>5010</v>
      </c>
      <c r="H2974" s="34" t="s">
        <v>925</v>
      </c>
    </row>
    <row r="2975" spans="1:8" ht="33">
      <c r="A2975" s="160">
        <v>9</v>
      </c>
      <c r="B2975" s="160" t="s">
        <v>1250</v>
      </c>
      <c r="C2975" s="157" t="s">
        <v>17</v>
      </c>
      <c r="D2975" s="159">
        <v>20</v>
      </c>
      <c r="E2975" s="159">
        <v>76.930000000000007</v>
      </c>
      <c r="F2975" s="159">
        <v>1538.6</v>
      </c>
      <c r="G2975" s="160" t="s">
        <v>4979</v>
      </c>
      <c r="H2975" s="34" t="s">
        <v>925</v>
      </c>
    </row>
    <row r="2976" spans="1:8" ht="33">
      <c r="A2976" s="160">
        <v>10</v>
      </c>
      <c r="B2976" s="160" t="s">
        <v>2572</v>
      </c>
      <c r="C2976" s="157" t="s">
        <v>14</v>
      </c>
      <c r="D2976" s="159">
        <v>1</v>
      </c>
      <c r="E2976" s="159">
        <v>1295.08</v>
      </c>
      <c r="F2976" s="159">
        <v>1295.08</v>
      </c>
      <c r="G2976" s="160" t="s">
        <v>2573</v>
      </c>
      <c r="H2976" s="34" t="s">
        <v>925</v>
      </c>
    </row>
    <row r="2977" spans="1:8" ht="33">
      <c r="A2977" s="160">
        <v>11</v>
      </c>
      <c r="B2977" s="160" t="s">
        <v>2574</v>
      </c>
      <c r="C2977" s="157" t="s">
        <v>14</v>
      </c>
      <c r="D2977" s="159">
        <v>1</v>
      </c>
      <c r="E2977" s="159">
        <v>1992.44</v>
      </c>
      <c r="F2977" s="159">
        <v>1992.44</v>
      </c>
      <c r="G2977" s="160" t="s">
        <v>2575</v>
      </c>
      <c r="H2977" s="34" t="s">
        <v>925</v>
      </c>
    </row>
    <row r="2978" spans="1:8" ht="42.75">
      <c r="A2978" s="160">
        <v>12</v>
      </c>
      <c r="B2978" s="160" t="s">
        <v>2287</v>
      </c>
      <c r="C2978" s="157" t="s">
        <v>14</v>
      </c>
      <c r="D2978" s="159">
        <v>1</v>
      </c>
      <c r="E2978" s="159">
        <v>19426.259999999998</v>
      </c>
      <c r="F2978" s="159">
        <v>19426.259999999998</v>
      </c>
      <c r="G2978" s="160" t="s">
        <v>2288</v>
      </c>
      <c r="H2978" s="34" t="s">
        <v>925</v>
      </c>
    </row>
    <row r="2979" spans="1:8" ht="33">
      <c r="A2979" s="160">
        <v>13</v>
      </c>
      <c r="B2979" s="160" t="s">
        <v>931</v>
      </c>
      <c r="C2979" s="157" t="s">
        <v>14</v>
      </c>
      <c r="D2979" s="159">
        <v>1</v>
      </c>
      <c r="E2979" s="159">
        <v>2349.04</v>
      </c>
      <c r="F2979" s="159">
        <v>2349.04</v>
      </c>
      <c r="G2979" s="160" t="s">
        <v>2110</v>
      </c>
      <c r="H2979" s="34" t="s">
        <v>925</v>
      </c>
    </row>
    <row r="2980" spans="1:8" ht="33">
      <c r="A2980" s="160"/>
      <c r="B2980" s="160" t="s">
        <v>933</v>
      </c>
      <c r="C2980" s="157" t="s">
        <v>17</v>
      </c>
      <c r="D2980" s="159">
        <v>10</v>
      </c>
      <c r="E2980" s="159"/>
      <c r="F2980" s="159">
        <v>81430.419999999984</v>
      </c>
      <c r="G2980" s="160"/>
      <c r="H2980" s="34" t="s">
        <v>925</v>
      </c>
    </row>
    <row r="2981" spans="1:8" ht="16.5">
      <c r="A2981" s="160"/>
      <c r="B2981" s="160" t="s">
        <v>934</v>
      </c>
      <c r="C2981" s="157" t="s">
        <v>17</v>
      </c>
      <c r="D2981" s="159"/>
      <c r="E2981" s="159"/>
      <c r="F2981" s="159">
        <v>8143.04</v>
      </c>
      <c r="G2981" s="160"/>
    </row>
    <row r="2982" spans="1:8" ht="33">
      <c r="A2982" s="160"/>
      <c r="B2982" s="160"/>
      <c r="C2982" s="157"/>
      <c r="D2982" s="159"/>
      <c r="E2982" s="159"/>
      <c r="F2982" s="159"/>
      <c r="G2982" s="160"/>
      <c r="H2982" s="34" t="s">
        <v>925</v>
      </c>
    </row>
    <row r="2983" spans="1:8" ht="33">
      <c r="A2983" s="160" t="s">
        <v>5016</v>
      </c>
      <c r="B2983" s="160" t="s">
        <v>2587</v>
      </c>
      <c r="C2983" s="157" t="s">
        <v>17</v>
      </c>
      <c r="D2983" s="159">
        <v>10</v>
      </c>
      <c r="E2983" s="159">
        <v>8985.49</v>
      </c>
      <c r="F2983" s="159"/>
      <c r="G2983" s="160" t="s">
        <v>2588</v>
      </c>
      <c r="H2983" s="34" t="s">
        <v>925</v>
      </c>
    </row>
    <row r="2984" spans="1:8" ht="42.75">
      <c r="A2984" s="160">
        <v>1</v>
      </c>
      <c r="B2984" s="160" t="s">
        <v>2579</v>
      </c>
      <c r="C2984" s="157" t="s">
        <v>1</v>
      </c>
      <c r="D2984" s="159">
        <v>9</v>
      </c>
      <c r="E2984" s="159">
        <v>68.03</v>
      </c>
      <c r="F2984" s="159">
        <v>612.27</v>
      </c>
      <c r="G2984" s="160" t="s">
        <v>5012</v>
      </c>
      <c r="H2984" s="34" t="s">
        <v>925</v>
      </c>
    </row>
    <row r="2985" spans="1:8" ht="33">
      <c r="A2985" s="160">
        <v>2</v>
      </c>
      <c r="B2985" s="160" t="s">
        <v>2214</v>
      </c>
      <c r="C2985" s="157" t="s">
        <v>1</v>
      </c>
      <c r="D2985" s="159">
        <v>6</v>
      </c>
      <c r="E2985" s="159">
        <v>1487.79</v>
      </c>
      <c r="F2985" s="159">
        <v>8926.74</v>
      </c>
      <c r="G2985" s="160" t="s">
        <v>4982</v>
      </c>
      <c r="H2985" s="34" t="s">
        <v>925</v>
      </c>
    </row>
    <row r="2986" spans="1:8" ht="33">
      <c r="A2986" s="160">
        <v>3</v>
      </c>
      <c r="B2986" s="160" t="s">
        <v>2216</v>
      </c>
      <c r="C2986" s="157" t="s">
        <v>1</v>
      </c>
      <c r="D2986" s="159">
        <v>15</v>
      </c>
      <c r="E2986" s="159">
        <v>844.41</v>
      </c>
      <c r="F2986" s="159">
        <v>12666.15</v>
      </c>
      <c r="G2986" s="160" t="s">
        <v>2217</v>
      </c>
      <c r="H2986" s="34" t="s">
        <v>925</v>
      </c>
    </row>
    <row r="2987" spans="1:8" ht="71.25">
      <c r="A2987" s="160">
        <v>4</v>
      </c>
      <c r="B2987" s="160" t="s">
        <v>4519</v>
      </c>
      <c r="C2987" s="157" t="s">
        <v>0</v>
      </c>
      <c r="D2987" s="159">
        <v>13</v>
      </c>
      <c r="E2987" s="159">
        <v>1749.87</v>
      </c>
      <c r="F2987" s="159">
        <v>22748.31</v>
      </c>
      <c r="G2987" s="160" t="s">
        <v>5006</v>
      </c>
      <c r="H2987" s="34" t="s">
        <v>925</v>
      </c>
    </row>
    <row r="2988" spans="1:8" ht="42.75">
      <c r="A2988" s="160">
        <v>5</v>
      </c>
      <c r="B2988" s="160" t="s">
        <v>4049</v>
      </c>
      <c r="C2988" s="157" t="s">
        <v>0</v>
      </c>
      <c r="D2988" s="159">
        <v>0.51</v>
      </c>
      <c r="E2988" s="159">
        <v>8720.94</v>
      </c>
      <c r="F2988" s="159">
        <v>4447.68</v>
      </c>
      <c r="G2988" s="160" t="s">
        <v>5014</v>
      </c>
      <c r="H2988" s="34" t="s">
        <v>925</v>
      </c>
    </row>
    <row r="2989" spans="1:8" ht="42.75">
      <c r="A2989" s="160">
        <v>6</v>
      </c>
      <c r="B2989" s="160" t="s">
        <v>4048</v>
      </c>
      <c r="C2989" s="157" t="s">
        <v>0</v>
      </c>
      <c r="D2989" s="159">
        <v>1.5</v>
      </c>
      <c r="E2989" s="159">
        <v>8659.36</v>
      </c>
      <c r="F2989" s="159">
        <v>12989.04</v>
      </c>
      <c r="G2989" s="160" t="s">
        <v>5013</v>
      </c>
      <c r="H2989" s="34" t="s">
        <v>925</v>
      </c>
    </row>
    <row r="2990" spans="1:8" ht="33">
      <c r="A2990" s="160">
        <v>7</v>
      </c>
      <c r="B2990" s="160" t="s">
        <v>1149</v>
      </c>
      <c r="C2990" s="157" t="s">
        <v>3</v>
      </c>
      <c r="D2990" s="159">
        <v>10</v>
      </c>
      <c r="E2990" s="159">
        <v>17.57</v>
      </c>
      <c r="F2990" s="159">
        <v>175.7</v>
      </c>
      <c r="G2990" s="160" t="s">
        <v>5009</v>
      </c>
      <c r="H2990" s="34" t="s">
        <v>925</v>
      </c>
    </row>
    <row r="2991" spans="1:8" ht="33">
      <c r="A2991" s="160">
        <v>8</v>
      </c>
      <c r="B2991" s="160" t="s">
        <v>1140</v>
      </c>
      <c r="C2991" s="157" t="s">
        <v>3</v>
      </c>
      <c r="D2991" s="159">
        <v>10</v>
      </c>
      <c r="E2991" s="159">
        <v>44.22</v>
      </c>
      <c r="F2991" s="159">
        <v>442.2</v>
      </c>
      <c r="G2991" s="160" t="s">
        <v>5010</v>
      </c>
      <c r="H2991" s="34" t="s">
        <v>925</v>
      </c>
    </row>
    <row r="2992" spans="1:8" ht="33">
      <c r="A2992" s="160">
        <v>9</v>
      </c>
      <c r="B2992" s="160" t="s">
        <v>1250</v>
      </c>
      <c r="C2992" s="157" t="s">
        <v>17</v>
      </c>
      <c r="D2992" s="159">
        <v>20</v>
      </c>
      <c r="E2992" s="159">
        <v>76.930000000000007</v>
      </c>
      <c r="F2992" s="159">
        <v>1538.6</v>
      </c>
      <c r="G2992" s="160" t="s">
        <v>4979</v>
      </c>
      <c r="H2992" s="34" t="s">
        <v>925</v>
      </c>
    </row>
    <row r="2993" spans="1:8" ht="33">
      <c r="A2993" s="160">
        <v>10</v>
      </c>
      <c r="B2993" s="160" t="s">
        <v>2572</v>
      </c>
      <c r="C2993" s="157" t="s">
        <v>14</v>
      </c>
      <c r="D2993" s="159">
        <v>1</v>
      </c>
      <c r="E2993" s="159">
        <v>1295.08</v>
      </c>
      <c r="F2993" s="159">
        <v>1295.08</v>
      </c>
      <c r="G2993" s="160" t="s">
        <v>2573</v>
      </c>
      <c r="H2993" s="34" t="s">
        <v>925</v>
      </c>
    </row>
    <row r="2994" spans="1:8" ht="33">
      <c r="A2994" s="160">
        <v>11</v>
      </c>
      <c r="B2994" s="160" t="s">
        <v>2574</v>
      </c>
      <c r="C2994" s="157" t="s">
        <v>14</v>
      </c>
      <c r="D2994" s="159">
        <v>1</v>
      </c>
      <c r="E2994" s="159">
        <v>1992.44</v>
      </c>
      <c r="F2994" s="159">
        <v>1992.44</v>
      </c>
      <c r="G2994" s="160" t="s">
        <v>2575</v>
      </c>
      <c r="H2994" s="34" t="s">
        <v>925</v>
      </c>
    </row>
    <row r="2995" spans="1:8" ht="42.75">
      <c r="A2995" s="160">
        <v>12</v>
      </c>
      <c r="B2995" s="160" t="s">
        <v>2287</v>
      </c>
      <c r="C2995" s="157" t="s">
        <v>14</v>
      </c>
      <c r="D2995" s="159">
        <v>1</v>
      </c>
      <c r="E2995" s="159">
        <v>19426.259999999998</v>
      </c>
      <c r="F2995" s="159">
        <v>19426.259999999998</v>
      </c>
      <c r="G2995" s="160" t="s">
        <v>2288</v>
      </c>
    </row>
    <row r="2996" spans="1:8" ht="33">
      <c r="A2996" s="160">
        <v>13</v>
      </c>
      <c r="B2996" s="160" t="s">
        <v>931</v>
      </c>
      <c r="C2996" s="157" t="s">
        <v>14</v>
      </c>
      <c r="D2996" s="159">
        <v>1</v>
      </c>
      <c r="E2996" s="159">
        <v>2594.42</v>
      </c>
      <c r="F2996" s="159">
        <v>2594.42</v>
      </c>
      <c r="G2996" s="160" t="s">
        <v>2110</v>
      </c>
      <c r="H2996" s="34" t="s">
        <v>925</v>
      </c>
    </row>
    <row r="2997" spans="1:8" ht="33">
      <c r="A2997" s="160"/>
      <c r="B2997" s="160" t="s">
        <v>933</v>
      </c>
      <c r="C2997" s="157" t="s">
        <v>17</v>
      </c>
      <c r="D2997" s="159">
        <v>10</v>
      </c>
      <c r="E2997" s="159"/>
      <c r="F2997" s="159">
        <v>89854.889999999985</v>
      </c>
      <c r="G2997" s="160"/>
      <c r="H2997" s="34" t="s">
        <v>925</v>
      </c>
    </row>
    <row r="2998" spans="1:8" ht="33">
      <c r="A2998" s="160"/>
      <c r="B2998" s="160" t="s">
        <v>934</v>
      </c>
      <c r="C2998" s="157" t="s">
        <v>17</v>
      </c>
      <c r="D2998" s="159"/>
      <c r="E2998" s="159"/>
      <c r="F2998" s="159">
        <v>8985.49</v>
      </c>
      <c r="G2998" s="160"/>
      <c r="H2998" s="34" t="s">
        <v>925</v>
      </c>
    </row>
    <row r="2999" spans="1:8" ht="33">
      <c r="A2999" s="160"/>
      <c r="B2999" s="160"/>
      <c r="C2999" s="157"/>
      <c r="D2999" s="159"/>
      <c r="E2999" s="159"/>
      <c r="F2999" s="159"/>
      <c r="G2999" s="160"/>
      <c r="H2999" s="34" t="s">
        <v>925</v>
      </c>
    </row>
    <row r="3000" spans="1:8" ht="33">
      <c r="A3000" s="160" t="s">
        <v>5017</v>
      </c>
      <c r="B3000" s="160" t="s">
        <v>2590</v>
      </c>
      <c r="C3000" s="157" t="s">
        <v>17</v>
      </c>
      <c r="D3000" s="159">
        <v>10</v>
      </c>
      <c r="E3000" s="159">
        <v>9559.0400000000009</v>
      </c>
      <c r="F3000" s="159"/>
      <c r="G3000" s="160" t="s">
        <v>2591</v>
      </c>
      <c r="H3000" s="34" t="s">
        <v>925</v>
      </c>
    </row>
    <row r="3001" spans="1:8" ht="28.5">
      <c r="A3001" s="160">
        <v>1</v>
      </c>
      <c r="B3001" s="160" t="s">
        <v>950</v>
      </c>
      <c r="C3001" s="157" t="s">
        <v>1</v>
      </c>
      <c r="D3001" s="159">
        <v>12</v>
      </c>
      <c r="E3001" s="159">
        <v>48.77</v>
      </c>
      <c r="F3001" s="159">
        <v>585.24</v>
      </c>
      <c r="G3001" s="160" t="s">
        <v>5005</v>
      </c>
    </row>
    <row r="3002" spans="1:8" ht="33">
      <c r="A3002" s="160">
        <v>2</v>
      </c>
      <c r="B3002" s="160" t="s">
        <v>985</v>
      </c>
      <c r="C3002" s="157" t="s">
        <v>1</v>
      </c>
      <c r="D3002" s="159">
        <v>8</v>
      </c>
      <c r="E3002" s="159">
        <v>645.88</v>
      </c>
      <c r="F3002" s="159">
        <v>5167.04</v>
      </c>
      <c r="G3002" s="160" t="s">
        <v>4980</v>
      </c>
      <c r="H3002" s="34" t="s">
        <v>925</v>
      </c>
    </row>
    <row r="3003" spans="1:8" ht="33">
      <c r="A3003" s="160">
        <v>3</v>
      </c>
      <c r="B3003" s="160" t="s">
        <v>26</v>
      </c>
      <c r="C3003" s="157" t="s">
        <v>1</v>
      </c>
      <c r="D3003" s="159">
        <v>20</v>
      </c>
      <c r="E3003" s="159">
        <v>713.77</v>
      </c>
      <c r="F3003" s="159">
        <v>14275.4</v>
      </c>
      <c r="G3003" s="160" t="s">
        <v>4981</v>
      </c>
      <c r="H3003" s="34" t="s">
        <v>925</v>
      </c>
    </row>
    <row r="3004" spans="1:8" ht="71.25">
      <c r="A3004" s="160">
        <v>4</v>
      </c>
      <c r="B3004" s="160" t="s">
        <v>4519</v>
      </c>
      <c r="C3004" s="157" t="s">
        <v>0</v>
      </c>
      <c r="D3004" s="159">
        <v>18</v>
      </c>
      <c r="E3004" s="159">
        <v>1749.87</v>
      </c>
      <c r="F3004" s="159">
        <v>31497.66</v>
      </c>
      <c r="G3004" s="160" t="s">
        <v>5006</v>
      </c>
      <c r="H3004" s="34" t="s">
        <v>925</v>
      </c>
    </row>
    <row r="3005" spans="1:8" ht="33">
      <c r="A3005" s="160">
        <v>5</v>
      </c>
      <c r="B3005" s="160" t="s">
        <v>3639</v>
      </c>
      <c r="C3005" s="157" t="s">
        <v>0</v>
      </c>
      <c r="D3005" s="159">
        <v>0.51</v>
      </c>
      <c r="E3005" s="159">
        <v>8226.06</v>
      </c>
      <c r="F3005" s="159">
        <v>4195.29</v>
      </c>
      <c r="G3005" s="160" t="s">
        <v>5008</v>
      </c>
      <c r="H3005" s="34" t="s">
        <v>925</v>
      </c>
    </row>
    <row r="3006" spans="1:8" ht="42.75">
      <c r="A3006" s="160">
        <v>6</v>
      </c>
      <c r="B3006" s="160" t="s">
        <v>3640</v>
      </c>
      <c r="C3006" s="157" t="s">
        <v>0</v>
      </c>
      <c r="D3006" s="159">
        <v>1.5</v>
      </c>
      <c r="E3006" s="159">
        <v>8164.49</v>
      </c>
      <c r="F3006" s="159">
        <v>12246.74</v>
      </c>
      <c r="G3006" s="160" t="s">
        <v>5007</v>
      </c>
      <c r="H3006" s="34" t="s">
        <v>925</v>
      </c>
    </row>
    <row r="3007" spans="1:8" ht="33">
      <c r="A3007" s="160">
        <v>7</v>
      </c>
      <c r="B3007" s="160" t="s">
        <v>1149</v>
      </c>
      <c r="C3007" s="157" t="s">
        <v>3</v>
      </c>
      <c r="D3007" s="159">
        <v>10</v>
      </c>
      <c r="E3007" s="159">
        <v>17.57</v>
      </c>
      <c r="F3007" s="159">
        <v>175.7</v>
      </c>
      <c r="G3007" s="160" t="s">
        <v>5009</v>
      </c>
      <c r="H3007" s="34" t="s">
        <v>925</v>
      </c>
    </row>
    <row r="3008" spans="1:8" ht="28.5">
      <c r="A3008" s="160">
        <v>8</v>
      </c>
      <c r="B3008" s="160" t="s">
        <v>1140</v>
      </c>
      <c r="C3008" s="157" t="s">
        <v>3</v>
      </c>
      <c r="D3008" s="159">
        <v>10</v>
      </c>
      <c r="E3008" s="159">
        <v>44.22</v>
      </c>
      <c r="F3008" s="159">
        <v>442.2</v>
      </c>
      <c r="G3008" s="160" t="s">
        <v>5010</v>
      </c>
    </row>
    <row r="3009" spans="1:7" ht="12.75" customHeight="1">
      <c r="A3009" s="160">
        <v>9</v>
      </c>
      <c r="B3009" s="160" t="s">
        <v>1250</v>
      </c>
      <c r="C3009" s="157" t="s">
        <v>17</v>
      </c>
      <c r="D3009" s="159">
        <v>20</v>
      </c>
      <c r="E3009" s="159">
        <v>76.930000000000007</v>
      </c>
      <c r="F3009" s="159">
        <v>1538.6</v>
      </c>
      <c r="G3009" s="160" t="s">
        <v>4979</v>
      </c>
    </row>
    <row r="3010" spans="1:7" ht="12.75" customHeight="1">
      <c r="A3010" s="160">
        <v>10</v>
      </c>
      <c r="B3010" s="160" t="s">
        <v>2572</v>
      </c>
      <c r="C3010" s="157" t="s">
        <v>14</v>
      </c>
      <c r="D3010" s="159">
        <v>1</v>
      </c>
      <c r="E3010" s="159">
        <v>1295.08</v>
      </c>
      <c r="F3010" s="159">
        <v>1295.08</v>
      </c>
      <c r="G3010" s="160" t="s">
        <v>2573</v>
      </c>
    </row>
    <row r="3011" spans="1:7" ht="12.75" customHeight="1">
      <c r="A3011" s="160">
        <v>11</v>
      </c>
      <c r="B3011" s="160" t="s">
        <v>2574</v>
      </c>
      <c r="C3011" s="157" t="s">
        <v>14</v>
      </c>
      <c r="D3011" s="159">
        <v>1</v>
      </c>
      <c r="E3011" s="159">
        <v>1992.44</v>
      </c>
      <c r="F3011" s="159">
        <v>1992.44</v>
      </c>
      <c r="G3011" s="160" t="s">
        <v>2575</v>
      </c>
    </row>
    <row r="3012" spans="1:7" ht="12.75" customHeight="1">
      <c r="A3012" s="160">
        <v>12</v>
      </c>
      <c r="B3012" s="160" t="s">
        <v>2287</v>
      </c>
      <c r="C3012" s="157" t="s">
        <v>14</v>
      </c>
      <c r="D3012" s="159">
        <v>1</v>
      </c>
      <c r="E3012" s="159">
        <v>19426.259999999998</v>
      </c>
      <c r="F3012" s="159">
        <v>19426.259999999998</v>
      </c>
      <c r="G3012" s="160" t="s">
        <v>2288</v>
      </c>
    </row>
    <row r="3013" spans="1:7" ht="12.75" customHeight="1">
      <c r="A3013" s="160">
        <v>13</v>
      </c>
      <c r="B3013" s="160" t="s">
        <v>931</v>
      </c>
      <c r="C3013" s="157" t="s">
        <v>14</v>
      </c>
      <c r="D3013" s="159">
        <v>1</v>
      </c>
      <c r="E3013" s="159">
        <v>2752.72</v>
      </c>
      <c r="F3013" s="159">
        <v>2752.72</v>
      </c>
      <c r="G3013" s="160" t="s">
        <v>2110</v>
      </c>
    </row>
    <row r="3014" spans="1:7" ht="12.75" customHeight="1">
      <c r="A3014" s="160"/>
      <c r="B3014" s="160" t="s">
        <v>933</v>
      </c>
      <c r="C3014" s="157" t="s">
        <v>17</v>
      </c>
      <c r="D3014" s="159">
        <v>10</v>
      </c>
      <c r="E3014" s="159"/>
      <c r="F3014" s="159">
        <v>95590.37</v>
      </c>
      <c r="G3014" s="160"/>
    </row>
    <row r="3015" spans="1:7" ht="12.75" customHeight="1">
      <c r="A3015" s="160"/>
      <c r="B3015" s="160" t="s">
        <v>934</v>
      </c>
      <c r="C3015" s="157" t="s">
        <v>17</v>
      </c>
      <c r="D3015" s="159"/>
      <c r="E3015" s="159"/>
      <c r="F3015" s="159">
        <v>9559.0400000000009</v>
      </c>
      <c r="G3015" s="160"/>
    </row>
    <row r="3016" spans="1:7" ht="12.75" customHeight="1">
      <c r="A3016" s="160"/>
      <c r="B3016" s="160"/>
      <c r="C3016" s="157"/>
      <c r="D3016" s="159"/>
      <c r="E3016" s="159"/>
      <c r="F3016" s="159"/>
      <c r="G3016" s="160"/>
    </row>
    <row r="3017" spans="1:7" ht="12.75" customHeight="1">
      <c r="A3017" s="160" t="s">
        <v>5018</v>
      </c>
      <c r="B3017" s="160" t="s">
        <v>2593</v>
      </c>
      <c r="C3017" s="157" t="s">
        <v>17</v>
      </c>
      <c r="D3017" s="159">
        <v>10</v>
      </c>
      <c r="E3017" s="159">
        <v>10648.15</v>
      </c>
      <c r="F3017" s="159"/>
      <c r="G3017" s="160" t="s">
        <v>2594</v>
      </c>
    </row>
    <row r="3018" spans="1:7" ht="12.75" customHeight="1">
      <c r="A3018" s="160">
        <v>1</v>
      </c>
      <c r="B3018" s="160" t="s">
        <v>2579</v>
      </c>
      <c r="C3018" s="157" t="s">
        <v>1</v>
      </c>
      <c r="D3018" s="159">
        <v>12</v>
      </c>
      <c r="E3018" s="159">
        <v>68.03</v>
      </c>
      <c r="F3018" s="159">
        <v>816.36</v>
      </c>
      <c r="G3018" s="160" t="s">
        <v>5012</v>
      </c>
    </row>
    <row r="3019" spans="1:7" ht="12.75" customHeight="1">
      <c r="A3019" s="160">
        <v>2</v>
      </c>
      <c r="B3019" s="160" t="s">
        <v>2214</v>
      </c>
      <c r="C3019" s="157" t="s">
        <v>1</v>
      </c>
      <c r="D3019" s="159">
        <v>8</v>
      </c>
      <c r="E3019" s="159">
        <v>1487.79</v>
      </c>
      <c r="F3019" s="159">
        <v>11902.32</v>
      </c>
      <c r="G3019" s="160" t="s">
        <v>4982</v>
      </c>
    </row>
    <row r="3020" spans="1:7" ht="12.75" customHeight="1">
      <c r="A3020" s="160">
        <v>3</v>
      </c>
      <c r="B3020" s="160" t="s">
        <v>2216</v>
      </c>
      <c r="C3020" s="157" t="s">
        <v>1</v>
      </c>
      <c r="D3020" s="159">
        <v>20</v>
      </c>
      <c r="E3020" s="159">
        <v>844.41</v>
      </c>
      <c r="F3020" s="159">
        <v>16888.2</v>
      </c>
      <c r="G3020" s="160" t="s">
        <v>2217</v>
      </c>
    </row>
    <row r="3021" spans="1:7" ht="12.75" customHeight="1">
      <c r="A3021" s="160">
        <v>4</v>
      </c>
      <c r="B3021" s="160" t="s">
        <v>4519</v>
      </c>
      <c r="C3021" s="157" t="s">
        <v>0</v>
      </c>
      <c r="D3021" s="159">
        <v>18</v>
      </c>
      <c r="E3021" s="159">
        <v>1749.87</v>
      </c>
      <c r="F3021" s="159">
        <v>31497.66</v>
      </c>
      <c r="G3021" s="160" t="s">
        <v>5006</v>
      </c>
    </row>
    <row r="3022" spans="1:7" ht="12.75" customHeight="1">
      <c r="A3022" s="160">
        <v>5</v>
      </c>
      <c r="B3022" s="160" t="s">
        <v>4049</v>
      </c>
      <c r="C3022" s="157" t="s">
        <v>0</v>
      </c>
      <c r="D3022" s="159">
        <v>0.51</v>
      </c>
      <c r="E3022" s="159">
        <v>8720.94</v>
      </c>
      <c r="F3022" s="159">
        <v>4447.68</v>
      </c>
      <c r="G3022" s="160" t="s">
        <v>5014</v>
      </c>
    </row>
    <row r="3023" spans="1:7" ht="12.75" customHeight="1">
      <c r="A3023" s="160">
        <v>6</v>
      </c>
      <c r="B3023" s="160" t="s">
        <v>4048</v>
      </c>
      <c r="C3023" s="157" t="s">
        <v>0</v>
      </c>
      <c r="D3023" s="159">
        <v>1.5</v>
      </c>
      <c r="E3023" s="159">
        <v>8659.36</v>
      </c>
      <c r="F3023" s="159">
        <v>12989.04</v>
      </c>
      <c r="G3023" s="160" t="s">
        <v>5013</v>
      </c>
    </row>
    <row r="3024" spans="1:7" ht="12.75" customHeight="1">
      <c r="A3024" s="160">
        <v>7</v>
      </c>
      <c r="B3024" s="160" t="s">
        <v>1149</v>
      </c>
      <c r="C3024" s="157" t="s">
        <v>3</v>
      </c>
      <c r="D3024" s="159">
        <v>10</v>
      </c>
      <c r="E3024" s="159">
        <v>17.57</v>
      </c>
      <c r="F3024" s="159">
        <v>175.7</v>
      </c>
      <c r="G3024" s="160" t="s">
        <v>5009</v>
      </c>
    </row>
    <row r="3025" spans="1:7" ht="12.75" customHeight="1">
      <c r="A3025" s="160">
        <v>8</v>
      </c>
      <c r="B3025" s="160" t="s">
        <v>1140</v>
      </c>
      <c r="C3025" s="157" t="s">
        <v>3</v>
      </c>
      <c r="D3025" s="159">
        <v>10</v>
      </c>
      <c r="E3025" s="159">
        <v>44.22</v>
      </c>
      <c r="F3025" s="159">
        <v>442.2</v>
      </c>
      <c r="G3025" s="160" t="s">
        <v>5010</v>
      </c>
    </row>
    <row r="3026" spans="1:7" ht="12.75" customHeight="1">
      <c r="A3026" s="160">
        <v>9</v>
      </c>
      <c r="B3026" s="160" t="s">
        <v>1250</v>
      </c>
      <c r="C3026" s="157" t="s">
        <v>17</v>
      </c>
      <c r="D3026" s="159">
        <v>20</v>
      </c>
      <c r="E3026" s="159">
        <v>76.930000000000007</v>
      </c>
      <c r="F3026" s="159">
        <v>1538.6</v>
      </c>
      <c r="G3026" s="160" t="s">
        <v>4979</v>
      </c>
    </row>
    <row r="3027" spans="1:7" ht="12.75" customHeight="1">
      <c r="A3027" s="160">
        <v>10</v>
      </c>
      <c r="B3027" s="160" t="s">
        <v>2572</v>
      </c>
      <c r="C3027" s="157" t="s">
        <v>14</v>
      </c>
      <c r="D3027" s="159">
        <v>1</v>
      </c>
      <c r="E3027" s="159">
        <v>1295.08</v>
      </c>
      <c r="F3027" s="159">
        <v>1295.08</v>
      </c>
      <c r="G3027" s="160" t="s">
        <v>2573</v>
      </c>
    </row>
    <row r="3028" spans="1:7" ht="12.75" customHeight="1">
      <c r="A3028" s="160">
        <v>11</v>
      </c>
      <c r="B3028" s="160" t="s">
        <v>2574</v>
      </c>
      <c r="C3028" s="157" t="s">
        <v>14</v>
      </c>
      <c r="D3028" s="159">
        <v>1</v>
      </c>
      <c r="E3028" s="159">
        <v>1992.44</v>
      </c>
      <c r="F3028" s="159">
        <v>1992.44</v>
      </c>
      <c r="G3028" s="160" t="s">
        <v>2575</v>
      </c>
    </row>
    <row r="3029" spans="1:7" ht="12.75" customHeight="1">
      <c r="A3029" s="160">
        <v>12</v>
      </c>
      <c r="B3029" s="160" t="s">
        <v>2287</v>
      </c>
      <c r="C3029" s="157" t="s">
        <v>14</v>
      </c>
      <c r="D3029" s="159">
        <v>1</v>
      </c>
      <c r="E3029" s="159">
        <v>19426.259999999998</v>
      </c>
      <c r="F3029" s="159">
        <v>19426.259999999998</v>
      </c>
      <c r="G3029" s="160" t="s">
        <v>2288</v>
      </c>
    </row>
    <row r="3030" spans="1:7" ht="12.75" customHeight="1">
      <c r="A3030" s="160">
        <v>13</v>
      </c>
      <c r="B3030" s="160" t="s">
        <v>931</v>
      </c>
      <c r="C3030" s="157" t="s">
        <v>14</v>
      </c>
      <c r="D3030" s="159">
        <v>1</v>
      </c>
      <c r="E3030" s="159">
        <v>3069.96</v>
      </c>
      <c r="F3030" s="159">
        <v>3069.96</v>
      </c>
      <c r="G3030" s="160" t="s">
        <v>2110</v>
      </c>
    </row>
    <row r="3031" spans="1:7" ht="12.75" customHeight="1">
      <c r="A3031" s="160"/>
      <c r="B3031" s="160" t="s">
        <v>933</v>
      </c>
      <c r="C3031" s="157" t="s">
        <v>17</v>
      </c>
      <c r="D3031" s="159">
        <v>10</v>
      </c>
      <c r="E3031" s="159"/>
      <c r="F3031" s="159">
        <v>106481.50000000001</v>
      </c>
      <c r="G3031" s="160"/>
    </row>
    <row r="3032" spans="1:7" ht="12.75" customHeight="1">
      <c r="A3032" s="160"/>
      <c r="B3032" s="160" t="s">
        <v>934</v>
      </c>
      <c r="C3032" s="157" t="s">
        <v>17</v>
      </c>
      <c r="D3032" s="159"/>
      <c r="E3032" s="159"/>
      <c r="F3032" s="159">
        <v>10648.15</v>
      </c>
      <c r="G3032" s="160"/>
    </row>
    <row r="3033" spans="1:7" ht="12.75" customHeight="1">
      <c r="A3033" s="160"/>
      <c r="B3033" s="160"/>
      <c r="C3033" s="157"/>
      <c r="D3033" s="159"/>
      <c r="E3033" s="159"/>
      <c r="F3033" s="159"/>
      <c r="G3033" s="160"/>
    </row>
    <row r="3034" spans="1:7" ht="12.75" customHeight="1">
      <c r="A3034" s="160" t="s">
        <v>5019</v>
      </c>
      <c r="B3034" s="160" t="s">
        <v>2596</v>
      </c>
      <c r="C3034" s="157" t="s">
        <v>17</v>
      </c>
      <c r="D3034" s="159">
        <v>10</v>
      </c>
      <c r="E3034" s="159">
        <v>15183.43</v>
      </c>
      <c r="F3034" s="159"/>
      <c r="G3034" s="160" t="s">
        <v>2597</v>
      </c>
    </row>
    <row r="3035" spans="1:7" ht="12.75" customHeight="1">
      <c r="A3035" s="160">
        <v>1</v>
      </c>
      <c r="B3035" s="160" t="s">
        <v>950</v>
      </c>
      <c r="C3035" s="157" t="s">
        <v>1</v>
      </c>
      <c r="D3035" s="159">
        <v>24</v>
      </c>
      <c r="E3035" s="159">
        <v>48.77</v>
      </c>
      <c r="F3035" s="159">
        <v>1170.48</v>
      </c>
      <c r="G3035" s="160" t="s">
        <v>5005</v>
      </c>
    </row>
    <row r="3036" spans="1:7" ht="12.75" customHeight="1">
      <c r="A3036" s="160">
        <v>2</v>
      </c>
      <c r="B3036" s="160" t="s">
        <v>985</v>
      </c>
      <c r="C3036" s="157" t="s">
        <v>1</v>
      </c>
      <c r="D3036" s="159">
        <v>16</v>
      </c>
      <c r="E3036" s="159">
        <v>645.88</v>
      </c>
      <c r="F3036" s="159">
        <v>10334.08</v>
      </c>
      <c r="G3036" s="160" t="s">
        <v>4980</v>
      </c>
    </row>
    <row r="3037" spans="1:7" ht="12.75" customHeight="1">
      <c r="A3037" s="160">
        <v>3</v>
      </c>
      <c r="B3037" s="160" t="s">
        <v>26</v>
      </c>
      <c r="C3037" s="157" t="s">
        <v>1</v>
      </c>
      <c r="D3037" s="159">
        <v>40</v>
      </c>
      <c r="E3037" s="159">
        <v>713.77</v>
      </c>
      <c r="F3037" s="159">
        <v>28550.799999999999</v>
      </c>
      <c r="G3037" s="160" t="s">
        <v>4981</v>
      </c>
    </row>
    <row r="3038" spans="1:7" ht="12.75" customHeight="1">
      <c r="A3038" s="160">
        <v>4</v>
      </c>
      <c r="B3038" s="160" t="s">
        <v>4519</v>
      </c>
      <c r="C3038" s="157" t="s">
        <v>0</v>
      </c>
      <c r="D3038" s="159">
        <v>32</v>
      </c>
      <c r="E3038" s="159">
        <v>1749.87</v>
      </c>
      <c r="F3038" s="159">
        <v>55995.839999999997</v>
      </c>
      <c r="G3038" s="160" t="s">
        <v>5006</v>
      </c>
    </row>
    <row r="3039" spans="1:7" ht="12.75" customHeight="1">
      <c r="A3039" s="160">
        <v>5</v>
      </c>
      <c r="B3039" s="160" t="s">
        <v>3639</v>
      </c>
      <c r="C3039" s="157" t="s">
        <v>0</v>
      </c>
      <c r="D3039" s="159">
        <v>0.8</v>
      </c>
      <c r="E3039" s="159">
        <v>8226.06</v>
      </c>
      <c r="F3039" s="159">
        <v>6580.85</v>
      </c>
      <c r="G3039" s="160" t="s">
        <v>5008</v>
      </c>
    </row>
    <row r="3040" spans="1:7" ht="12.75" customHeight="1">
      <c r="A3040" s="160">
        <v>6</v>
      </c>
      <c r="B3040" s="160" t="s">
        <v>3640</v>
      </c>
      <c r="C3040" s="157" t="s">
        <v>0</v>
      </c>
      <c r="D3040" s="159">
        <v>2.4</v>
      </c>
      <c r="E3040" s="159">
        <v>8164.49</v>
      </c>
      <c r="F3040" s="159">
        <v>19594.78</v>
      </c>
      <c r="G3040" s="160" t="s">
        <v>5007</v>
      </c>
    </row>
    <row r="3041" spans="1:7" ht="12.75" customHeight="1">
      <c r="A3041" s="160">
        <v>7</v>
      </c>
      <c r="B3041" s="160" t="s">
        <v>1149</v>
      </c>
      <c r="C3041" s="157" t="s">
        <v>3</v>
      </c>
      <c r="D3041" s="159">
        <v>16</v>
      </c>
      <c r="E3041" s="159">
        <v>17.57</v>
      </c>
      <c r="F3041" s="159">
        <v>281.12</v>
      </c>
      <c r="G3041" s="160" t="s">
        <v>5009</v>
      </c>
    </row>
    <row r="3042" spans="1:7" ht="12.75" customHeight="1">
      <c r="A3042" s="160">
        <v>8</v>
      </c>
      <c r="B3042" s="160" t="s">
        <v>1140</v>
      </c>
      <c r="C3042" s="157" t="s">
        <v>3</v>
      </c>
      <c r="D3042" s="159">
        <v>16</v>
      </c>
      <c r="E3042" s="159">
        <v>44.22</v>
      </c>
      <c r="F3042" s="159">
        <v>707.52</v>
      </c>
      <c r="G3042" s="160" t="s">
        <v>5010</v>
      </c>
    </row>
    <row r="3043" spans="1:7" ht="12.75" customHeight="1">
      <c r="A3043" s="160">
        <v>9</v>
      </c>
      <c r="B3043" s="160" t="s">
        <v>1250</v>
      </c>
      <c r="C3043" s="157" t="s">
        <v>17</v>
      </c>
      <c r="D3043" s="159">
        <v>20</v>
      </c>
      <c r="E3043" s="159">
        <v>76.930000000000007</v>
      </c>
      <c r="F3043" s="159">
        <v>1538.6</v>
      </c>
      <c r="G3043" s="160" t="s">
        <v>4979</v>
      </c>
    </row>
    <row r="3044" spans="1:7" ht="12.75" customHeight="1">
      <c r="A3044" s="160">
        <v>10</v>
      </c>
      <c r="B3044" s="160" t="s">
        <v>2572</v>
      </c>
      <c r="C3044" s="157" t="s">
        <v>14</v>
      </c>
      <c r="D3044" s="159">
        <v>1</v>
      </c>
      <c r="E3044" s="159">
        <v>1295.08</v>
      </c>
      <c r="F3044" s="159">
        <v>1295.08</v>
      </c>
      <c r="G3044" s="160" t="s">
        <v>2573</v>
      </c>
    </row>
    <row r="3045" spans="1:7" ht="12.75" customHeight="1">
      <c r="A3045" s="160">
        <v>11</v>
      </c>
      <c r="B3045" s="160" t="s">
        <v>2574</v>
      </c>
      <c r="C3045" s="157" t="s">
        <v>14</v>
      </c>
      <c r="D3045" s="159">
        <v>1</v>
      </c>
      <c r="E3045" s="159">
        <v>1992.44</v>
      </c>
      <c r="F3045" s="159">
        <v>1992.44</v>
      </c>
      <c r="G3045" s="160" t="s">
        <v>2575</v>
      </c>
    </row>
    <row r="3046" spans="1:7" ht="12.75" customHeight="1">
      <c r="A3046" s="160">
        <v>12</v>
      </c>
      <c r="B3046" s="160" t="s">
        <v>2287</v>
      </c>
      <c r="C3046" s="157" t="s">
        <v>14</v>
      </c>
      <c r="D3046" s="159">
        <v>1</v>
      </c>
      <c r="E3046" s="159">
        <v>19426.259999999998</v>
      </c>
      <c r="F3046" s="159">
        <v>19426.259999999998</v>
      </c>
      <c r="G3046" s="160" t="s">
        <v>2288</v>
      </c>
    </row>
    <row r="3047" spans="1:7" ht="12.75" customHeight="1">
      <c r="A3047" s="160">
        <v>13</v>
      </c>
      <c r="B3047" s="160" t="s">
        <v>931</v>
      </c>
      <c r="C3047" s="157" t="s">
        <v>14</v>
      </c>
      <c r="D3047" s="159">
        <v>1</v>
      </c>
      <c r="E3047" s="159">
        <v>4366.41</v>
      </c>
      <c r="F3047" s="159">
        <v>4366.41</v>
      </c>
      <c r="G3047" s="160" t="s">
        <v>2110</v>
      </c>
    </row>
    <row r="3048" spans="1:7" ht="12.75" customHeight="1">
      <c r="A3048" s="160"/>
      <c r="B3048" s="160" t="s">
        <v>933</v>
      </c>
      <c r="C3048" s="157" t="s">
        <v>17</v>
      </c>
      <c r="D3048" s="159">
        <v>10</v>
      </c>
      <c r="E3048" s="159"/>
      <c r="F3048" s="159">
        <v>151834.26</v>
      </c>
      <c r="G3048" s="160"/>
    </row>
    <row r="3049" spans="1:7" ht="12.75" customHeight="1">
      <c r="A3049" s="160"/>
      <c r="B3049" s="160" t="s">
        <v>934</v>
      </c>
      <c r="C3049" s="157" t="s">
        <v>17</v>
      </c>
      <c r="D3049" s="159"/>
      <c r="E3049" s="159"/>
      <c r="F3049" s="159">
        <v>15183.43</v>
      </c>
      <c r="G3049" s="160"/>
    </row>
    <row r="3050" spans="1:7" ht="12.75" customHeight="1">
      <c r="A3050" s="160"/>
      <c r="B3050" s="160"/>
      <c r="C3050" s="157"/>
      <c r="D3050" s="159"/>
      <c r="E3050" s="159"/>
      <c r="F3050" s="159"/>
      <c r="G3050" s="160"/>
    </row>
    <row r="3051" spans="1:7" ht="12.75" customHeight="1">
      <c r="A3051" s="160" t="s">
        <v>5020</v>
      </c>
      <c r="B3051" s="160" t="s">
        <v>2599</v>
      </c>
      <c r="C3051" s="157" t="s">
        <v>17</v>
      </c>
      <c r="D3051" s="159">
        <v>10</v>
      </c>
      <c r="E3051" s="159">
        <v>17319.86</v>
      </c>
      <c r="F3051" s="159"/>
      <c r="G3051" s="160" t="s">
        <v>2600</v>
      </c>
    </row>
    <row r="3052" spans="1:7" ht="12.75" customHeight="1">
      <c r="A3052" s="160">
        <v>1</v>
      </c>
      <c r="B3052" s="160" t="s">
        <v>2579</v>
      </c>
      <c r="C3052" s="157" t="s">
        <v>1</v>
      </c>
      <c r="D3052" s="159">
        <v>24</v>
      </c>
      <c r="E3052" s="159">
        <v>68.03</v>
      </c>
      <c r="F3052" s="159">
        <v>1632.72</v>
      </c>
      <c r="G3052" s="160" t="s">
        <v>5012</v>
      </c>
    </row>
    <row r="3053" spans="1:7" ht="12.75" customHeight="1">
      <c r="A3053" s="160">
        <v>2</v>
      </c>
      <c r="B3053" s="160" t="s">
        <v>2214</v>
      </c>
      <c r="C3053" s="157" t="s">
        <v>1</v>
      </c>
      <c r="D3053" s="159">
        <v>16</v>
      </c>
      <c r="E3053" s="159">
        <v>1487.79</v>
      </c>
      <c r="F3053" s="159">
        <v>23804.639999999999</v>
      </c>
      <c r="G3053" s="160" t="s">
        <v>4982</v>
      </c>
    </row>
    <row r="3054" spans="1:7" ht="12.75" customHeight="1">
      <c r="A3054" s="160">
        <v>3</v>
      </c>
      <c r="B3054" s="160" t="s">
        <v>4519</v>
      </c>
      <c r="C3054" s="157" t="s">
        <v>0</v>
      </c>
      <c r="D3054" s="159">
        <v>32</v>
      </c>
      <c r="E3054" s="159">
        <v>1749.87</v>
      </c>
      <c r="F3054" s="159">
        <v>55995.839999999997</v>
      </c>
      <c r="G3054" s="160" t="s">
        <v>5006</v>
      </c>
    </row>
    <row r="3055" spans="1:7" ht="12.75" customHeight="1">
      <c r="A3055" s="160">
        <v>4</v>
      </c>
      <c r="B3055" s="160" t="s">
        <v>2216</v>
      </c>
      <c r="C3055" s="157" t="s">
        <v>1</v>
      </c>
      <c r="D3055" s="159">
        <v>40</v>
      </c>
      <c r="E3055" s="159">
        <v>844.41</v>
      </c>
      <c r="F3055" s="159">
        <v>33776.400000000001</v>
      </c>
      <c r="G3055" s="160" t="s">
        <v>2217</v>
      </c>
    </row>
    <row r="3056" spans="1:7" ht="12.75" customHeight="1">
      <c r="A3056" s="160">
        <v>5</v>
      </c>
      <c r="B3056" s="160" t="s">
        <v>4049</v>
      </c>
      <c r="C3056" s="157" t="s">
        <v>0</v>
      </c>
      <c r="D3056" s="159">
        <v>0.8</v>
      </c>
      <c r="E3056" s="159">
        <v>8720.94</v>
      </c>
      <c r="F3056" s="159">
        <v>6976.75</v>
      </c>
      <c r="G3056" s="160" t="s">
        <v>5014</v>
      </c>
    </row>
    <row r="3057" spans="1:7" ht="12.75" customHeight="1">
      <c r="A3057" s="160">
        <v>6</v>
      </c>
      <c r="B3057" s="160" t="s">
        <v>4048</v>
      </c>
      <c r="C3057" s="157" t="s">
        <v>0</v>
      </c>
      <c r="D3057" s="159">
        <v>2.4</v>
      </c>
      <c r="E3057" s="159">
        <v>8659.36</v>
      </c>
      <c r="F3057" s="159">
        <v>20782.46</v>
      </c>
      <c r="G3057" s="160" t="s">
        <v>5013</v>
      </c>
    </row>
    <row r="3058" spans="1:7" ht="12.75" customHeight="1">
      <c r="A3058" s="160">
        <v>7</v>
      </c>
      <c r="B3058" s="160" t="s">
        <v>1149</v>
      </c>
      <c r="C3058" s="157" t="s">
        <v>3</v>
      </c>
      <c r="D3058" s="159">
        <v>16</v>
      </c>
      <c r="E3058" s="159">
        <v>17.57</v>
      </c>
      <c r="F3058" s="159">
        <v>281.12</v>
      </c>
      <c r="G3058" s="160" t="s">
        <v>5009</v>
      </c>
    </row>
    <row r="3059" spans="1:7" ht="12.75" customHeight="1">
      <c r="A3059" s="160">
        <v>8</v>
      </c>
      <c r="B3059" s="160" t="s">
        <v>1140</v>
      </c>
      <c r="C3059" s="157" t="s">
        <v>3</v>
      </c>
      <c r="D3059" s="159">
        <v>16</v>
      </c>
      <c r="E3059" s="159">
        <v>44.22</v>
      </c>
      <c r="F3059" s="159">
        <v>707.52</v>
      </c>
      <c r="G3059" s="160" t="s">
        <v>5010</v>
      </c>
    </row>
    <row r="3060" spans="1:7" ht="12.75" customHeight="1">
      <c r="A3060" s="160">
        <v>9</v>
      </c>
      <c r="B3060" s="160" t="s">
        <v>1250</v>
      </c>
      <c r="C3060" s="157" t="s">
        <v>17</v>
      </c>
      <c r="D3060" s="159">
        <v>20</v>
      </c>
      <c r="E3060" s="159">
        <v>76.930000000000007</v>
      </c>
      <c r="F3060" s="159">
        <v>1538.6</v>
      </c>
      <c r="G3060" s="160" t="s">
        <v>4979</v>
      </c>
    </row>
    <row r="3061" spans="1:7" ht="12.75" customHeight="1">
      <c r="A3061" s="160">
        <v>10</v>
      </c>
      <c r="B3061" s="160" t="s">
        <v>2572</v>
      </c>
      <c r="C3061" s="157" t="s">
        <v>14</v>
      </c>
      <c r="D3061" s="159">
        <v>1</v>
      </c>
      <c r="E3061" s="159">
        <v>1295.08</v>
      </c>
      <c r="F3061" s="159">
        <v>1295.08</v>
      </c>
      <c r="G3061" s="160" t="s">
        <v>2573</v>
      </c>
    </row>
    <row r="3062" spans="1:7" ht="12.75" customHeight="1">
      <c r="A3062" s="160">
        <v>11</v>
      </c>
      <c r="B3062" s="160" t="s">
        <v>2574</v>
      </c>
      <c r="C3062" s="157" t="s">
        <v>14</v>
      </c>
      <c r="D3062" s="159">
        <v>1</v>
      </c>
      <c r="E3062" s="159">
        <v>1992.44</v>
      </c>
      <c r="F3062" s="159">
        <v>1992.44</v>
      </c>
      <c r="G3062" s="160" t="s">
        <v>2575</v>
      </c>
    </row>
    <row r="3063" spans="1:7" ht="12.75" customHeight="1">
      <c r="A3063" s="160">
        <v>12</v>
      </c>
      <c r="B3063" s="160" t="s">
        <v>2287</v>
      </c>
      <c r="C3063" s="157" t="s">
        <v>14</v>
      </c>
      <c r="D3063" s="159">
        <v>1</v>
      </c>
      <c r="E3063" s="159">
        <v>19426.259999999998</v>
      </c>
      <c r="F3063" s="159">
        <v>19426.259999999998</v>
      </c>
      <c r="G3063" s="160" t="s">
        <v>2288</v>
      </c>
    </row>
    <row r="3064" spans="1:7" ht="12.75" customHeight="1">
      <c r="A3064" s="160">
        <v>13</v>
      </c>
      <c r="B3064" s="160" t="s">
        <v>931</v>
      </c>
      <c r="C3064" s="157" t="s">
        <v>14</v>
      </c>
      <c r="D3064" s="159">
        <v>1</v>
      </c>
      <c r="E3064" s="159">
        <v>4988.8</v>
      </c>
      <c r="F3064" s="159">
        <v>4988.8</v>
      </c>
      <c r="G3064" s="160" t="s">
        <v>2110</v>
      </c>
    </row>
    <row r="3065" spans="1:7" ht="12.75" customHeight="1">
      <c r="A3065" s="160"/>
      <c r="B3065" s="160" t="s">
        <v>933</v>
      </c>
      <c r="C3065" s="157" t="s">
        <v>17</v>
      </c>
      <c r="D3065" s="159">
        <v>10</v>
      </c>
      <c r="E3065" s="159"/>
      <c r="F3065" s="159">
        <v>173198.62999999998</v>
      </c>
      <c r="G3065" s="160"/>
    </row>
    <row r="3066" spans="1:7" ht="12.75" customHeight="1">
      <c r="A3066" s="160"/>
      <c r="B3066" s="160" t="s">
        <v>934</v>
      </c>
      <c r="C3066" s="157" t="s">
        <v>17</v>
      </c>
      <c r="D3066" s="159"/>
      <c r="E3066" s="159"/>
      <c r="F3066" s="159">
        <v>17319.86</v>
      </c>
      <c r="G3066" s="160"/>
    </row>
    <row r="3067" spans="1:7" ht="12.75" customHeight="1">
      <c r="A3067" s="160"/>
      <c r="B3067" s="160"/>
      <c r="C3067" s="157"/>
      <c r="D3067" s="159"/>
      <c r="E3067" s="159"/>
      <c r="F3067" s="159"/>
      <c r="G3067" s="160"/>
    </row>
    <row r="3068" spans="1:7" ht="12.75" customHeight="1">
      <c r="A3068" s="160" t="s">
        <v>5021</v>
      </c>
      <c r="B3068" s="160" t="s">
        <v>2602</v>
      </c>
      <c r="C3068" s="157" t="s">
        <v>17</v>
      </c>
      <c r="D3068" s="159">
        <v>10</v>
      </c>
      <c r="E3068" s="159">
        <v>17160.919999999998</v>
      </c>
      <c r="F3068" s="159"/>
      <c r="G3068" s="160" t="s">
        <v>2603</v>
      </c>
    </row>
    <row r="3069" spans="1:7" ht="12.75" customHeight="1">
      <c r="A3069" s="160">
        <v>1</v>
      </c>
      <c r="B3069" s="160" t="s">
        <v>950</v>
      </c>
      <c r="C3069" s="157" t="s">
        <v>1</v>
      </c>
      <c r="D3069" s="159">
        <v>28.8</v>
      </c>
      <c r="E3069" s="159">
        <v>48.77</v>
      </c>
      <c r="F3069" s="159">
        <v>1404.58</v>
      </c>
      <c r="G3069" s="160" t="s">
        <v>5005</v>
      </c>
    </row>
    <row r="3070" spans="1:7" ht="12.75" customHeight="1">
      <c r="A3070" s="160">
        <v>2</v>
      </c>
      <c r="B3070" s="160" t="s">
        <v>985</v>
      </c>
      <c r="C3070" s="157" t="s">
        <v>1</v>
      </c>
      <c r="D3070" s="159">
        <v>19.2</v>
      </c>
      <c r="E3070" s="159">
        <v>645.88</v>
      </c>
      <c r="F3070" s="159">
        <v>12400.9</v>
      </c>
      <c r="G3070" s="160" t="s">
        <v>4980</v>
      </c>
    </row>
    <row r="3071" spans="1:7" ht="12.75" customHeight="1">
      <c r="A3071" s="160">
        <v>3</v>
      </c>
      <c r="B3071" s="160" t="s">
        <v>26</v>
      </c>
      <c r="C3071" s="157" t="s">
        <v>1</v>
      </c>
      <c r="D3071" s="159">
        <v>48</v>
      </c>
      <c r="E3071" s="159">
        <v>713.77</v>
      </c>
      <c r="F3071" s="159">
        <v>34260.959999999999</v>
      </c>
      <c r="G3071" s="160" t="s">
        <v>4981</v>
      </c>
    </row>
    <row r="3072" spans="1:7" ht="12.75" customHeight="1">
      <c r="A3072" s="160">
        <v>4</v>
      </c>
      <c r="B3072" s="160" t="s">
        <v>4519</v>
      </c>
      <c r="C3072" s="157" t="s">
        <v>0</v>
      </c>
      <c r="D3072" s="159">
        <v>38.4</v>
      </c>
      <c r="E3072" s="159">
        <v>1749.87</v>
      </c>
      <c r="F3072" s="159">
        <v>67195.009999999995</v>
      </c>
      <c r="G3072" s="160" t="s">
        <v>5006</v>
      </c>
    </row>
    <row r="3073" spans="1:7" ht="12.75" customHeight="1">
      <c r="A3073" s="160">
        <v>5</v>
      </c>
      <c r="B3073" s="160" t="s">
        <v>3639</v>
      </c>
      <c r="C3073" s="157" t="s">
        <v>0</v>
      </c>
      <c r="D3073" s="159">
        <v>0.8</v>
      </c>
      <c r="E3073" s="159">
        <v>8226.06</v>
      </c>
      <c r="F3073" s="159">
        <v>6580.85</v>
      </c>
      <c r="G3073" s="160" t="s">
        <v>5008</v>
      </c>
    </row>
    <row r="3074" spans="1:7" ht="12.75" customHeight="1">
      <c r="A3074" s="160">
        <v>6</v>
      </c>
      <c r="B3074" s="160" t="s">
        <v>3640</v>
      </c>
      <c r="C3074" s="157" t="s">
        <v>0</v>
      </c>
      <c r="D3074" s="159">
        <v>2.4</v>
      </c>
      <c r="E3074" s="159">
        <v>8164.49</v>
      </c>
      <c r="F3074" s="159">
        <v>19594.78</v>
      </c>
      <c r="G3074" s="160" t="s">
        <v>5007</v>
      </c>
    </row>
    <row r="3075" spans="1:7" ht="12.75" customHeight="1">
      <c r="A3075" s="160">
        <v>7</v>
      </c>
      <c r="B3075" s="160" t="s">
        <v>1149</v>
      </c>
      <c r="C3075" s="157" t="s">
        <v>3</v>
      </c>
      <c r="D3075" s="159">
        <v>16</v>
      </c>
      <c r="E3075" s="159">
        <v>17.57</v>
      </c>
      <c r="F3075" s="159">
        <v>281.12</v>
      </c>
      <c r="G3075" s="160" t="s">
        <v>5009</v>
      </c>
    </row>
    <row r="3076" spans="1:7" ht="12.75" customHeight="1">
      <c r="A3076" s="160">
        <v>8</v>
      </c>
      <c r="B3076" s="160" t="s">
        <v>1140</v>
      </c>
      <c r="C3076" s="157" t="s">
        <v>3</v>
      </c>
      <c r="D3076" s="159">
        <v>16</v>
      </c>
      <c r="E3076" s="159">
        <v>44.22</v>
      </c>
      <c r="F3076" s="159">
        <v>707.52</v>
      </c>
      <c r="G3076" s="160" t="s">
        <v>5010</v>
      </c>
    </row>
    <row r="3077" spans="1:7" ht="12.75" customHeight="1">
      <c r="A3077" s="160">
        <v>9</v>
      </c>
      <c r="B3077" s="160" t="s">
        <v>1250</v>
      </c>
      <c r="C3077" s="157" t="s">
        <v>17</v>
      </c>
      <c r="D3077" s="159">
        <v>20</v>
      </c>
      <c r="E3077" s="159">
        <v>76.930000000000007</v>
      </c>
      <c r="F3077" s="159">
        <v>1538.6</v>
      </c>
      <c r="G3077" s="160" t="s">
        <v>4979</v>
      </c>
    </row>
    <row r="3078" spans="1:7" ht="12.75" customHeight="1">
      <c r="A3078" s="160">
        <v>10</v>
      </c>
      <c r="B3078" s="160" t="s">
        <v>2572</v>
      </c>
      <c r="C3078" s="157" t="s">
        <v>14</v>
      </c>
      <c r="D3078" s="159">
        <v>1</v>
      </c>
      <c r="E3078" s="159">
        <v>1295.08</v>
      </c>
      <c r="F3078" s="159">
        <v>1295.08</v>
      </c>
      <c r="G3078" s="160" t="s">
        <v>2573</v>
      </c>
    </row>
    <row r="3079" spans="1:7" ht="12.75" customHeight="1">
      <c r="A3079" s="160">
        <v>11</v>
      </c>
      <c r="B3079" s="160" t="s">
        <v>2574</v>
      </c>
      <c r="C3079" s="157" t="s">
        <v>14</v>
      </c>
      <c r="D3079" s="159">
        <v>1</v>
      </c>
      <c r="E3079" s="159">
        <v>1992.44</v>
      </c>
      <c r="F3079" s="159">
        <v>1992.44</v>
      </c>
      <c r="G3079" s="160" t="s">
        <v>2575</v>
      </c>
    </row>
    <row r="3080" spans="1:7" ht="12.75" customHeight="1">
      <c r="A3080" s="160">
        <v>12</v>
      </c>
      <c r="B3080" s="160" t="s">
        <v>2287</v>
      </c>
      <c r="C3080" s="157" t="s">
        <v>14</v>
      </c>
      <c r="D3080" s="159">
        <v>1</v>
      </c>
      <c r="E3080" s="159">
        <v>19426.259999999998</v>
      </c>
      <c r="F3080" s="159">
        <v>19426.259999999998</v>
      </c>
      <c r="G3080" s="160" t="s">
        <v>2288</v>
      </c>
    </row>
    <row r="3081" spans="1:7" ht="12.75" customHeight="1">
      <c r="A3081" s="160">
        <v>13</v>
      </c>
      <c r="B3081" s="160" t="s">
        <v>931</v>
      </c>
      <c r="C3081" s="157" t="s">
        <v>14</v>
      </c>
      <c r="D3081" s="159">
        <v>1</v>
      </c>
      <c r="E3081" s="159">
        <v>4931.1400000000003</v>
      </c>
      <c r="F3081" s="159">
        <v>4931.1400000000003</v>
      </c>
      <c r="G3081" s="160" t="s">
        <v>2110</v>
      </c>
    </row>
    <row r="3082" spans="1:7" ht="12.75" customHeight="1">
      <c r="A3082" s="160"/>
      <c r="B3082" s="160" t="s">
        <v>933</v>
      </c>
      <c r="C3082" s="157" t="s">
        <v>17</v>
      </c>
      <c r="D3082" s="159">
        <v>10</v>
      </c>
      <c r="E3082" s="159"/>
      <c r="F3082" s="159">
        <v>171609.24000000002</v>
      </c>
      <c r="G3082" s="160"/>
    </row>
    <row r="3083" spans="1:7" ht="12.75" customHeight="1">
      <c r="A3083" s="160"/>
      <c r="B3083" s="160" t="s">
        <v>934</v>
      </c>
      <c r="C3083" s="157" t="s">
        <v>17</v>
      </c>
      <c r="D3083" s="159"/>
      <c r="E3083" s="159"/>
      <c r="F3083" s="159">
        <v>17160.919999999998</v>
      </c>
      <c r="G3083" s="160"/>
    </row>
    <row r="3084" spans="1:7" ht="12.75" customHeight="1">
      <c r="A3084" s="160"/>
      <c r="B3084" s="160"/>
      <c r="C3084" s="157"/>
      <c r="D3084" s="159"/>
      <c r="E3084" s="159"/>
      <c r="F3084" s="159"/>
      <c r="G3084" s="160"/>
    </row>
    <row r="3085" spans="1:7" ht="12.75" customHeight="1">
      <c r="A3085" s="160" t="s">
        <v>5022</v>
      </c>
      <c r="B3085" s="160" t="s">
        <v>2605</v>
      </c>
      <c r="C3085" s="157" t="s">
        <v>17</v>
      </c>
      <c r="D3085" s="159">
        <v>10</v>
      </c>
      <c r="E3085" s="159">
        <v>19692.02</v>
      </c>
      <c r="F3085" s="159"/>
      <c r="G3085" s="160" t="s">
        <v>2606</v>
      </c>
    </row>
    <row r="3086" spans="1:7" ht="12.75" customHeight="1">
      <c r="A3086" s="160">
        <v>1</v>
      </c>
      <c r="B3086" s="160" t="s">
        <v>2579</v>
      </c>
      <c r="C3086" s="157" t="s">
        <v>1</v>
      </c>
      <c r="D3086" s="159">
        <v>28.8</v>
      </c>
      <c r="E3086" s="159">
        <v>68.03</v>
      </c>
      <c r="F3086" s="159">
        <v>1959.26</v>
      </c>
      <c r="G3086" s="160" t="s">
        <v>5012</v>
      </c>
    </row>
    <row r="3087" spans="1:7" ht="12.75" customHeight="1">
      <c r="A3087" s="160">
        <v>2</v>
      </c>
      <c r="B3087" s="160" t="s">
        <v>2214</v>
      </c>
      <c r="C3087" s="157" t="s">
        <v>1</v>
      </c>
      <c r="D3087" s="159">
        <v>19.2</v>
      </c>
      <c r="E3087" s="159">
        <v>1487.79</v>
      </c>
      <c r="F3087" s="159">
        <v>28565.57</v>
      </c>
      <c r="G3087" s="160" t="s">
        <v>4982</v>
      </c>
    </row>
    <row r="3088" spans="1:7" ht="12.75" customHeight="1">
      <c r="A3088" s="160">
        <v>3</v>
      </c>
      <c r="B3088" s="160" t="s">
        <v>4519</v>
      </c>
      <c r="C3088" s="157" t="s">
        <v>0</v>
      </c>
      <c r="D3088" s="159">
        <v>38.4</v>
      </c>
      <c r="E3088" s="159">
        <v>1749.87</v>
      </c>
      <c r="F3088" s="159">
        <v>67195.009999999995</v>
      </c>
      <c r="G3088" s="160" t="s">
        <v>5006</v>
      </c>
    </row>
    <row r="3089" spans="1:7" ht="12.75" customHeight="1">
      <c r="A3089" s="160">
        <v>4</v>
      </c>
      <c r="B3089" s="160" t="s">
        <v>2216</v>
      </c>
      <c r="C3089" s="157" t="s">
        <v>1</v>
      </c>
      <c r="D3089" s="159">
        <v>48</v>
      </c>
      <c r="E3089" s="159">
        <v>844.41</v>
      </c>
      <c r="F3089" s="159">
        <v>40531.68</v>
      </c>
      <c r="G3089" s="160" t="s">
        <v>2217</v>
      </c>
    </row>
    <row r="3090" spans="1:7" ht="12.75" customHeight="1">
      <c r="A3090" s="160">
        <v>5</v>
      </c>
      <c r="B3090" s="160" t="s">
        <v>4049</v>
      </c>
      <c r="C3090" s="157" t="s">
        <v>0</v>
      </c>
      <c r="D3090" s="159">
        <v>0.8</v>
      </c>
      <c r="E3090" s="159">
        <v>8720.94</v>
      </c>
      <c r="F3090" s="159">
        <v>6976.75</v>
      </c>
      <c r="G3090" s="160" t="s">
        <v>5014</v>
      </c>
    </row>
    <row r="3091" spans="1:7" ht="12.75" customHeight="1">
      <c r="A3091" s="160">
        <v>6</v>
      </c>
      <c r="B3091" s="160" t="s">
        <v>1149</v>
      </c>
      <c r="C3091" s="157" t="s">
        <v>3</v>
      </c>
      <c r="D3091" s="159">
        <v>16</v>
      </c>
      <c r="E3091" s="159">
        <v>17.57</v>
      </c>
      <c r="F3091" s="159">
        <v>281.12</v>
      </c>
      <c r="G3091" s="160" t="s">
        <v>5009</v>
      </c>
    </row>
    <row r="3092" spans="1:7" ht="12.75" customHeight="1">
      <c r="A3092" s="160">
        <v>7</v>
      </c>
      <c r="B3092" s="160" t="s">
        <v>1140</v>
      </c>
      <c r="C3092" s="157" t="s">
        <v>3</v>
      </c>
      <c r="D3092" s="159">
        <v>16</v>
      </c>
      <c r="E3092" s="159">
        <v>44.22</v>
      </c>
      <c r="F3092" s="159">
        <v>707.52</v>
      </c>
      <c r="G3092" s="160" t="s">
        <v>5010</v>
      </c>
    </row>
    <row r="3093" spans="1:7" ht="12.75" customHeight="1">
      <c r="A3093" s="160">
        <v>8</v>
      </c>
      <c r="B3093" s="160" t="s">
        <v>4048</v>
      </c>
      <c r="C3093" s="157" t="s">
        <v>0</v>
      </c>
      <c r="D3093" s="159">
        <v>2.4</v>
      </c>
      <c r="E3093" s="159">
        <v>8659.36</v>
      </c>
      <c r="F3093" s="159">
        <v>20782.46</v>
      </c>
      <c r="G3093" s="160" t="s">
        <v>5013</v>
      </c>
    </row>
    <row r="3094" spans="1:7" ht="12.75" customHeight="1">
      <c r="A3094" s="160">
        <v>9</v>
      </c>
      <c r="B3094" s="160" t="s">
        <v>1250</v>
      </c>
      <c r="C3094" s="157" t="s">
        <v>17</v>
      </c>
      <c r="D3094" s="159">
        <v>20</v>
      </c>
      <c r="E3094" s="159">
        <v>76.930000000000007</v>
      </c>
      <c r="F3094" s="159">
        <v>1538.6</v>
      </c>
      <c r="G3094" s="160" t="s">
        <v>4979</v>
      </c>
    </row>
    <row r="3095" spans="1:7" ht="12.75" customHeight="1">
      <c r="A3095" s="160">
        <v>10</v>
      </c>
      <c r="B3095" s="160" t="s">
        <v>2572</v>
      </c>
      <c r="C3095" s="157" t="s">
        <v>14</v>
      </c>
      <c r="D3095" s="159">
        <v>1</v>
      </c>
      <c r="E3095" s="159">
        <v>1295.08</v>
      </c>
      <c r="F3095" s="159">
        <v>1295.08</v>
      </c>
      <c r="G3095" s="160" t="s">
        <v>2573</v>
      </c>
    </row>
    <row r="3096" spans="1:7" ht="12.75" customHeight="1">
      <c r="A3096" s="160">
        <v>11</v>
      </c>
      <c r="B3096" s="160" t="s">
        <v>2574</v>
      </c>
      <c r="C3096" s="157" t="s">
        <v>14</v>
      </c>
      <c r="D3096" s="159">
        <v>1</v>
      </c>
      <c r="E3096" s="159">
        <v>1992.44</v>
      </c>
      <c r="F3096" s="159">
        <v>1992.44</v>
      </c>
      <c r="G3096" s="160" t="s">
        <v>2575</v>
      </c>
    </row>
    <row r="3097" spans="1:7" ht="12.75" customHeight="1">
      <c r="A3097" s="160">
        <v>12</v>
      </c>
      <c r="B3097" s="160" t="s">
        <v>2287</v>
      </c>
      <c r="C3097" s="157" t="s">
        <v>14</v>
      </c>
      <c r="D3097" s="159">
        <v>1</v>
      </c>
      <c r="E3097" s="159">
        <v>19426.259999999998</v>
      </c>
      <c r="F3097" s="159">
        <v>19426.259999999998</v>
      </c>
      <c r="G3097" s="160" t="s">
        <v>2288</v>
      </c>
    </row>
    <row r="3098" spans="1:7" ht="12.75" customHeight="1">
      <c r="A3098" s="160">
        <v>13</v>
      </c>
      <c r="B3098" s="160" t="s">
        <v>931</v>
      </c>
      <c r="C3098" s="157" t="s">
        <v>14</v>
      </c>
      <c r="D3098" s="159">
        <v>1</v>
      </c>
      <c r="E3098" s="159">
        <v>5668.49</v>
      </c>
      <c r="F3098" s="159">
        <v>5668.49</v>
      </c>
      <c r="G3098" s="160" t="s">
        <v>2110</v>
      </c>
    </row>
    <row r="3099" spans="1:7" ht="12.75" customHeight="1">
      <c r="A3099" s="160"/>
      <c r="B3099" s="160" t="s">
        <v>933</v>
      </c>
      <c r="C3099" s="157" t="s">
        <v>17</v>
      </c>
      <c r="D3099" s="159">
        <v>10</v>
      </c>
      <c r="E3099" s="159"/>
      <c r="F3099" s="159">
        <v>196920.23999999996</v>
      </c>
      <c r="G3099" s="160"/>
    </row>
    <row r="3100" spans="1:7" ht="12.75" customHeight="1">
      <c r="A3100" s="160"/>
      <c r="B3100" s="160" t="s">
        <v>934</v>
      </c>
      <c r="C3100" s="157" t="s">
        <v>17</v>
      </c>
      <c r="D3100" s="159"/>
      <c r="E3100" s="159"/>
      <c r="F3100" s="159">
        <v>19692.02</v>
      </c>
      <c r="G3100" s="160"/>
    </row>
    <row r="3101" spans="1:7" ht="12.75" customHeight="1">
      <c r="A3101" s="160"/>
      <c r="B3101" s="160"/>
      <c r="C3101" s="157"/>
      <c r="D3101" s="159"/>
      <c r="E3101" s="159"/>
      <c r="F3101" s="159"/>
      <c r="G3101" s="160"/>
    </row>
    <row r="3102" spans="1:7" ht="12.75" customHeight="1">
      <c r="A3102" s="160" t="s">
        <v>5023</v>
      </c>
      <c r="B3102" s="160" t="s">
        <v>2608</v>
      </c>
      <c r="C3102" s="157" t="s">
        <v>3</v>
      </c>
      <c r="D3102" s="159">
        <v>100</v>
      </c>
      <c r="E3102" s="159">
        <v>16.95</v>
      </c>
      <c r="F3102" s="159"/>
      <c r="G3102" s="160" t="s">
        <v>2609</v>
      </c>
    </row>
    <row r="3103" spans="1:7" ht="12.75" customHeight="1">
      <c r="A3103" s="160">
        <v>1</v>
      </c>
      <c r="B3103" s="160" t="s">
        <v>2610</v>
      </c>
      <c r="C3103" s="157" t="s">
        <v>927</v>
      </c>
      <c r="D3103" s="159">
        <v>2</v>
      </c>
      <c r="E3103" s="159">
        <v>408.45</v>
      </c>
      <c r="F3103" s="159">
        <v>816.9</v>
      </c>
      <c r="G3103" s="160" t="s">
        <v>2611</v>
      </c>
    </row>
    <row r="3104" spans="1:7" ht="12.75" customHeight="1">
      <c r="A3104" s="160">
        <v>2</v>
      </c>
      <c r="B3104" s="160" t="s">
        <v>4871</v>
      </c>
      <c r="C3104" s="157" t="s">
        <v>927</v>
      </c>
      <c r="D3104" s="159">
        <v>2</v>
      </c>
      <c r="E3104" s="159">
        <v>279.94</v>
      </c>
      <c r="F3104" s="159">
        <v>559.88</v>
      </c>
      <c r="G3104" s="160" t="s">
        <v>4872</v>
      </c>
    </row>
    <row r="3105" spans="1:7" ht="12.75" customHeight="1">
      <c r="A3105" s="160">
        <v>3</v>
      </c>
      <c r="B3105" s="160" t="s">
        <v>2612</v>
      </c>
      <c r="C3105" s="157" t="s">
        <v>14</v>
      </c>
      <c r="D3105" s="159">
        <v>1</v>
      </c>
      <c r="E3105" s="159">
        <v>119.55</v>
      </c>
      <c r="F3105" s="159">
        <v>119.55</v>
      </c>
      <c r="G3105" s="160" t="s">
        <v>2613</v>
      </c>
    </row>
    <row r="3106" spans="1:7" ht="12.75" customHeight="1">
      <c r="A3106" s="160">
        <v>4</v>
      </c>
      <c r="B3106" s="160" t="s">
        <v>2614</v>
      </c>
      <c r="C3106" s="157" t="s">
        <v>14</v>
      </c>
      <c r="D3106" s="159">
        <v>1</v>
      </c>
      <c r="E3106" s="159">
        <v>149.43</v>
      </c>
      <c r="F3106" s="159">
        <v>149.43</v>
      </c>
      <c r="G3106" s="160" t="s">
        <v>2615</v>
      </c>
    </row>
    <row r="3107" spans="1:7" ht="12.75" customHeight="1">
      <c r="A3107" s="160">
        <v>5</v>
      </c>
      <c r="B3107" s="160" t="s">
        <v>931</v>
      </c>
      <c r="C3107" s="157" t="s">
        <v>14</v>
      </c>
      <c r="D3107" s="159">
        <v>1</v>
      </c>
      <c r="E3107" s="159">
        <v>49.37</v>
      </c>
      <c r="F3107" s="159">
        <v>49.37</v>
      </c>
      <c r="G3107" s="160" t="s">
        <v>932</v>
      </c>
    </row>
    <row r="3108" spans="1:7" ht="12.75" customHeight="1">
      <c r="A3108" s="160"/>
      <c r="B3108" s="160" t="s">
        <v>933</v>
      </c>
      <c r="C3108" s="157" t="s">
        <v>3</v>
      </c>
      <c r="D3108" s="159">
        <v>100</v>
      </c>
      <c r="E3108" s="159"/>
      <c r="F3108" s="159">
        <v>1695.1299999999999</v>
      </c>
      <c r="G3108" s="160"/>
    </row>
    <row r="3109" spans="1:7" ht="12.75" customHeight="1">
      <c r="A3109" s="160"/>
      <c r="B3109" s="160" t="s">
        <v>934</v>
      </c>
      <c r="C3109" s="157" t="s">
        <v>3</v>
      </c>
      <c r="D3109" s="159"/>
      <c r="E3109" s="159"/>
      <c r="F3109" s="159">
        <v>16.95</v>
      </c>
      <c r="G3109" s="160"/>
    </row>
    <row r="3110" spans="1:7" ht="12.75" customHeight="1">
      <c r="A3110" s="160"/>
      <c r="B3110" s="160"/>
      <c r="C3110" s="157"/>
      <c r="D3110" s="159"/>
      <c r="E3110" s="159"/>
      <c r="F3110" s="159"/>
      <c r="G3110" s="160"/>
    </row>
    <row r="3111" spans="1:7" ht="12.75" customHeight="1">
      <c r="A3111" s="160" t="s">
        <v>5024</v>
      </c>
      <c r="B3111" s="160" t="s">
        <v>2617</v>
      </c>
      <c r="C3111" s="157" t="s">
        <v>2618</v>
      </c>
      <c r="D3111" s="159">
        <v>1</v>
      </c>
      <c r="E3111" s="159">
        <v>765.6</v>
      </c>
      <c r="F3111" s="159"/>
      <c r="G3111" s="160" t="s">
        <v>2619</v>
      </c>
    </row>
    <row r="3112" spans="1:7" ht="12.75" customHeight="1">
      <c r="A3112" s="160">
        <v>1</v>
      </c>
      <c r="B3112" s="160" t="s">
        <v>2620</v>
      </c>
      <c r="C3112" s="157" t="s">
        <v>2621</v>
      </c>
      <c r="D3112" s="159">
        <v>1</v>
      </c>
      <c r="E3112" s="159">
        <v>65.75</v>
      </c>
      <c r="F3112" s="159">
        <v>65.75</v>
      </c>
      <c r="G3112" s="160" t="s">
        <v>2622</v>
      </c>
    </row>
    <row r="3113" spans="1:7" ht="12.75" customHeight="1">
      <c r="A3113" s="160">
        <v>2</v>
      </c>
      <c r="B3113" s="160" t="s">
        <v>5025</v>
      </c>
      <c r="C3113" s="157" t="s">
        <v>927</v>
      </c>
      <c r="D3113" s="159">
        <v>1</v>
      </c>
      <c r="E3113" s="159">
        <v>279.94</v>
      </c>
      <c r="F3113" s="159">
        <v>279.94</v>
      </c>
      <c r="G3113" s="160" t="s">
        <v>2623</v>
      </c>
    </row>
    <row r="3114" spans="1:7" ht="12.75" customHeight="1">
      <c r="A3114" s="160">
        <v>3</v>
      </c>
      <c r="B3114" s="160" t="s">
        <v>5026</v>
      </c>
      <c r="C3114" s="157" t="s">
        <v>927</v>
      </c>
      <c r="D3114" s="159">
        <v>1.5</v>
      </c>
      <c r="E3114" s="159">
        <v>279.94</v>
      </c>
      <c r="F3114" s="159">
        <v>419.91</v>
      </c>
      <c r="G3114" s="160" t="s">
        <v>2624</v>
      </c>
    </row>
    <row r="3115" spans="1:7" ht="12.75" customHeight="1">
      <c r="A3115" s="160"/>
      <c r="B3115" s="160" t="s">
        <v>933</v>
      </c>
      <c r="C3115" s="157" t="s">
        <v>2618</v>
      </c>
      <c r="D3115" s="159">
        <v>1</v>
      </c>
      <c r="E3115" s="159"/>
      <c r="F3115" s="159">
        <v>765.6</v>
      </c>
      <c r="G3115" s="160"/>
    </row>
    <row r="3116" spans="1:7" ht="12.75" customHeight="1">
      <c r="A3116" s="160"/>
      <c r="B3116" s="160" t="s">
        <v>934</v>
      </c>
      <c r="C3116" s="157" t="s">
        <v>2618</v>
      </c>
      <c r="D3116" s="159"/>
      <c r="E3116" s="159"/>
      <c r="F3116" s="159">
        <v>765.6</v>
      </c>
      <c r="G3116" s="160"/>
    </row>
    <row r="3117" spans="1:7" ht="12.75" customHeight="1">
      <c r="A3117" s="160"/>
      <c r="B3117" s="160"/>
      <c r="C3117" s="157"/>
      <c r="D3117" s="159"/>
      <c r="E3117" s="159"/>
      <c r="F3117" s="159"/>
      <c r="G3117" s="160"/>
    </row>
    <row r="3118" spans="1:7" ht="12.75" customHeight="1">
      <c r="A3118" s="160" t="s">
        <v>5027</v>
      </c>
      <c r="B3118" s="160" t="s">
        <v>2626</v>
      </c>
      <c r="C3118" s="157" t="s">
        <v>2618</v>
      </c>
      <c r="D3118" s="159">
        <v>1</v>
      </c>
      <c r="E3118" s="159">
        <v>805.45</v>
      </c>
      <c r="F3118" s="159"/>
      <c r="G3118" s="160" t="s">
        <v>2627</v>
      </c>
    </row>
    <row r="3119" spans="1:7" ht="12.75" customHeight="1">
      <c r="A3119" s="160">
        <v>1</v>
      </c>
      <c r="B3119" s="160" t="s">
        <v>2620</v>
      </c>
      <c r="C3119" s="157" t="s">
        <v>2621</v>
      </c>
      <c r="D3119" s="159">
        <v>1</v>
      </c>
      <c r="E3119" s="159">
        <v>65.75</v>
      </c>
      <c r="F3119" s="159">
        <v>65.75</v>
      </c>
      <c r="G3119" s="160" t="s">
        <v>2622</v>
      </c>
    </row>
    <row r="3120" spans="1:7" ht="12.75" customHeight="1">
      <c r="A3120" s="160">
        <v>2</v>
      </c>
      <c r="B3120" s="160" t="s">
        <v>2628</v>
      </c>
      <c r="C3120" s="157" t="s">
        <v>2618</v>
      </c>
      <c r="D3120" s="159">
        <v>1</v>
      </c>
      <c r="E3120" s="159">
        <v>39.85</v>
      </c>
      <c r="F3120" s="159">
        <v>39.85</v>
      </c>
      <c r="G3120" s="160" t="s">
        <v>2629</v>
      </c>
    </row>
    <row r="3121" spans="1:7" ht="12.75" customHeight="1">
      <c r="A3121" s="160">
        <v>3</v>
      </c>
      <c r="B3121" s="160" t="s">
        <v>5025</v>
      </c>
      <c r="C3121" s="157" t="s">
        <v>927</v>
      </c>
      <c r="D3121" s="159">
        <v>1</v>
      </c>
      <c r="E3121" s="159">
        <v>279.94</v>
      </c>
      <c r="F3121" s="159">
        <v>279.94</v>
      </c>
      <c r="G3121" s="160" t="s">
        <v>2623</v>
      </c>
    </row>
    <row r="3122" spans="1:7" ht="12.75" customHeight="1">
      <c r="A3122" s="160">
        <v>4</v>
      </c>
      <c r="B3122" s="160" t="s">
        <v>5026</v>
      </c>
      <c r="C3122" s="157" t="s">
        <v>927</v>
      </c>
      <c r="D3122" s="159">
        <v>1.5</v>
      </c>
      <c r="E3122" s="159">
        <v>279.94</v>
      </c>
      <c r="F3122" s="159">
        <v>419.91</v>
      </c>
      <c r="G3122" s="160" t="s">
        <v>2624</v>
      </c>
    </row>
    <row r="3123" spans="1:7" ht="12.75" customHeight="1">
      <c r="A3123" s="160"/>
      <c r="B3123" s="160" t="s">
        <v>933</v>
      </c>
      <c r="C3123" s="157" t="s">
        <v>2618</v>
      </c>
      <c r="D3123" s="159">
        <v>1</v>
      </c>
      <c r="E3123" s="159"/>
      <c r="F3123" s="159">
        <v>805.45</v>
      </c>
      <c r="G3123" s="160"/>
    </row>
    <row r="3124" spans="1:7" ht="12.75" customHeight="1">
      <c r="A3124" s="160"/>
      <c r="B3124" s="160" t="s">
        <v>934</v>
      </c>
      <c r="C3124" s="157" t="s">
        <v>2618</v>
      </c>
      <c r="D3124" s="159"/>
      <c r="E3124" s="159"/>
      <c r="F3124" s="159">
        <v>805.45</v>
      </c>
      <c r="G3124" s="160"/>
    </row>
    <row r="3125" spans="1:7" ht="12.75" customHeight="1">
      <c r="A3125" s="160"/>
      <c r="B3125" s="160"/>
      <c r="C3125" s="157"/>
      <c r="D3125" s="159"/>
      <c r="E3125" s="159"/>
      <c r="F3125" s="159"/>
      <c r="G3125" s="160"/>
    </row>
    <row r="3126" spans="1:7" ht="12.75" customHeight="1">
      <c r="A3126" s="160" t="s">
        <v>5028</v>
      </c>
      <c r="B3126" s="160" t="s">
        <v>2631</v>
      </c>
      <c r="C3126" s="157" t="s">
        <v>17</v>
      </c>
      <c r="D3126" s="159">
        <v>1.5</v>
      </c>
      <c r="E3126" s="159">
        <v>3648.39</v>
      </c>
      <c r="F3126" s="159"/>
      <c r="G3126" s="160" t="s">
        <v>2632</v>
      </c>
    </row>
    <row r="3127" spans="1:7" ht="12.75" customHeight="1">
      <c r="A3127" s="160">
        <v>1</v>
      </c>
      <c r="B3127" s="160" t="s">
        <v>2633</v>
      </c>
      <c r="C3127" s="157" t="s">
        <v>14</v>
      </c>
      <c r="D3127" s="159">
        <v>1</v>
      </c>
      <c r="E3127" s="159">
        <v>2951.76</v>
      </c>
      <c r="F3127" s="159">
        <v>2951.76</v>
      </c>
      <c r="G3127" s="160" t="s">
        <v>2634</v>
      </c>
    </row>
    <row r="3128" spans="1:7" ht="12.75" customHeight="1">
      <c r="A3128" s="160">
        <v>2</v>
      </c>
      <c r="B3128" s="160" t="s">
        <v>2635</v>
      </c>
      <c r="C3128" s="157" t="s">
        <v>14</v>
      </c>
      <c r="D3128" s="159">
        <v>1</v>
      </c>
      <c r="E3128" s="159">
        <v>1341.71</v>
      </c>
      <c r="F3128" s="159">
        <v>1341.71</v>
      </c>
      <c r="G3128" s="160" t="s">
        <v>2636</v>
      </c>
    </row>
    <row r="3129" spans="1:7" ht="12.75" customHeight="1">
      <c r="A3129" s="160">
        <v>3</v>
      </c>
      <c r="B3129" s="160" t="s">
        <v>2637</v>
      </c>
      <c r="C3129" s="157" t="s">
        <v>14</v>
      </c>
      <c r="D3129" s="159">
        <v>1</v>
      </c>
      <c r="E3129" s="159">
        <v>254.92</v>
      </c>
      <c r="F3129" s="159">
        <v>254.92</v>
      </c>
      <c r="G3129" s="160" t="s">
        <v>2638</v>
      </c>
    </row>
    <row r="3130" spans="1:7" ht="12.75" customHeight="1">
      <c r="A3130" s="160">
        <v>4</v>
      </c>
      <c r="B3130" s="160" t="s">
        <v>2639</v>
      </c>
      <c r="C3130" s="157" t="s">
        <v>1818</v>
      </c>
      <c r="D3130" s="159">
        <v>1</v>
      </c>
      <c r="E3130" s="159">
        <v>764.79</v>
      </c>
      <c r="F3130" s="159">
        <v>764.79</v>
      </c>
      <c r="G3130" s="160" t="s">
        <v>2640</v>
      </c>
    </row>
    <row r="3131" spans="1:7" ht="12.75" customHeight="1">
      <c r="A3131" s="160">
        <v>5</v>
      </c>
      <c r="B3131" s="160" t="s">
        <v>931</v>
      </c>
      <c r="C3131" s="157" t="s">
        <v>14</v>
      </c>
      <c r="D3131" s="159">
        <v>1</v>
      </c>
      <c r="E3131" s="159">
        <v>159.4</v>
      </c>
      <c r="F3131" s="159">
        <v>159.4</v>
      </c>
      <c r="G3131" s="160" t="s">
        <v>932</v>
      </c>
    </row>
    <row r="3132" spans="1:7" ht="12.75" customHeight="1">
      <c r="A3132" s="160"/>
      <c r="B3132" s="160" t="s">
        <v>933</v>
      </c>
      <c r="C3132" s="157" t="s">
        <v>17</v>
      </c>
      <c r="D3132" s="159">
        <v>1.5</v>
      </c>
      <c r="E3132" s="159"/>
      <c r="F3132" s="159">
        <v>5472.58</v>
      </c>
      <c r="G3132" s="160"/>
    </row>
    <row r="3133" spans="1:7" ht="12.75" customHeight="1">
      <c r="A3133" s="160"/>
      <c r="B3133" s="160" t="s">
        <v>934</v>
      </c>
      <c r="C3133" s="157" t="s">
        <v>17</v>
      </c>
      <c r="D3133" s="159"/>
      <c r="E3133" s="159"/>
      <c r="F3133" s="159">
        <v>3648.39</v>
      </c>
      <c r="G3133" s="160"/>
    </row>
    <row r="3134" spans="1:7" ht="12.75" customHeight="1">
      <c r="A3134" s="160"/>
      <c r="B3134" s="160"/>
      <c r="C3134" s="157"/>
      <c r="D3134" s="159"/>
      <c r="E3134" s="159"/>
      <c r="F3134" s="159"/>
      <c r="G3134" s="160"/>
    </row>
    <row r="3135" spans="1:7" ht="12.75" customHeight="1">
      <c r="A3135" s="160" t="s">
        <v>5029</v>
      </c>
      <c r="B3135" s="160" t="s">
        <v>2642</v>
      </c>
      <c r="C3135" s="157" t="s">
        <v>17</v>
      </c>
      <c r="D3135" s="159">
        <v>1</v>
      </c>
      <c r="E3135" s="159">
        <v>2568.46</v>
      </c>
      <c r="F3135" s="159"/>
      <c r="G3135" s="160" t="s">
        <v>2643</v>
      </c>
    </row>
    <row r="3136" spans="1:7" ht="12.75" customHeight="1">
      <c r="A3136" s="160">
        <v>1</v>
      </c>
      <c r="B3136" s="160" t="s">
        <v>2644</v>
      </c>
      <c r="C3136" s="157" t="s">
        <v>14</v>
      </c>
      <c r="D3136" s="159">
        <v>1</v>
      </c>
      <c r="E3136" s="159">
        <v>1385.35</v>
      </c>
      <c r="F3136" s="159">
        <v>1385.35</v>
      </c>
      <c r="G3136" s="160" t="s">
        <v>2645</v>
      </c>
    </row>
    <row r="3137" spans="1:7" ht="12.75" customHeight="1">
      <c r="A3137" s="160">
        <v>2</v>
      </c>
      <c r="B3137" s="160" t="s">
        <v>2646</v>
      </c>
      <c r="C3137" s="157" t="s">
        <v>14</v>
      </c>
      <c r="D3137" s="159">
        <v>1</v>
      </c>
      <c r="E3137" s="159">
        <v>629.71</v>
      </c>
      <c r="F3137" s="159">
        <v>629.71</v>
      </c>
      <c r="G3137" s="160" t="s">
        <v>2647</v>
      </c>
    </row>
    <row r="3138" spans="1:7" ht="12.75" customHeight="1">
      <c r="A3138" s="160">
        <v>3</v>
      </c>
      <c r="B3138" s="160" t="s">
        <v>2648</v>
      </c>
      <c r="C3138" s="157" t="s">
        <v>14</v>
      </c>
      <c r="D3138" s="159">
        <v>1</v>
      </c>
      <c r="E3138" s="159">
        <v>119.65</v>
      </c>
      <c r="F3138" s="159">
        <v>119.65</v>
      </c>
      <c r="G3138" s="160" t="s">
        <v>2649</v>
      </c>
    </row>
    <row r="3139" spans="1:7" ht="12.75" customHeight="1">
      <c r="A3139" s="160">
        <v>4</v>
      </c>
      <c r="B3139" s="160" t="s">
        <v>2650</v>
      </c>
      <c r="C3139" s="157" t="s">
        <v>14</v>
      </c>
      <c r="D3139" s="159">
        <v>1</v>
      </c>
      <c r="E3139" s="159">
        <v>358.94</v>
      </c>
      <c r="F3139" s="159">
        <v>358.94</v>
      </c>
      <c r="G3139" s="160" t="s">
        <v>2651</v>
      </c>
    </row>
    <row r="3140" spans="1:7" ht="12.75" customHeight="1">
      <c r="A3140" s="160">
        <v>5</v>
      </c>
      <c r="B3140" s="160" t="s">
        <v>931</v>
      </c>
      <c r="C3140" s="157" t="s">
        <v>14</v>
      </c>
      <c r="D3140" s="159">
        <v>1</v>
      </c>
      <c r="E3140" s="159">
        <v>74.81</v>
      </c>
      <c r="F3140" s="159">
        <v>74.81</v>
      </c>
      <c r="G3140" s="160" t="s">
        <v>932</v>
      </c>
    </row>
    <row r="3141" spans="1:7" ht="12.75" customHeight="1">
      <c r="A3141" s="160"/>
      <c r="B3141" s="160" t="s">
        <v>933</v>
      </c>
      <c r="C3141" s="157" t="s">
        <v>17</v>
      </c>
      <c r="D3141" s="159">
        <v>1</v>
      </c>
      <c r="E3141" s="159"/>
      <c r="F3141" s="159">
        <v>2568.46</v>
      </c>
      <c r="G3141" s="160"/>
    </row>
    <row r="3142" spans="1:7" ht="12.75" customHeight="1">
      <c r="A3142" s="160"/>
      <c r="B3142" s="160" t="s">
        <v>934</v>
      </c>
      <c r="C3142" s="157" t="s">
        <v>17</v>
      </c>
      <c r="D3142" s="159"/>
      <c r="E3142" s="159"/>
      <c r="F3142" s="159">
        <v>2568.46</v>
      </c>
      <c r="G3142" s="160"/>
    </row>
    <row r="3143" spans="1:7" ht="12.75" customHeight="1">
      <c r="A3143" s="160"/>
      <c r="B3143" s="160"/>
      <c r="C3143" s="157"/>
      <c r="D3143" s="159"/>
      <c r="E3143" s="159"/>
      <c r="F3143" s="159"/>
      <c r="G3143" s="160"/>
    </row>
    <row r="3144" spans="1:7" ht="12.75" customHeight="1">
      <c r="A3144" s="160" t="s">
        <v>5030</v>
      </c>
      <c r="B3144" s="160" t="s">
        <v>3657</v>
      </c>
      <c r="C3144" s="157" t="s">
        <v>3658</v>
      </c>
      <c r="D3144" s="159">
        <v>3</v>
      </c>
      <c r="E3144" s="159">
        <v>2625.79</v>
      </c>
      <c r="F3144" s="159"/>
      <c r="G3144" s="160" t="s">
        <v>5031</v>
      </c>
    </row>
    <row r="3145" spans="1:7" ht="12.75" customHeight="1">
      <c r="A3145" s="160">
        <v>1</v>
      </c>
      <c r="B3145" s="160" t="s">
        <v>4050</v>
      </c>
      <c r="C3145" s="157" t="s">
        <v>3658</v>
      </c>
      <c r="D3145" s="159">
        <v>3</v>
      </c>
      <c r="E3145" s="159">
        <v>951.39</v>
      </c>
      <c r="F3145" s="159">
        <v>2854.17</v>
      </c>
      <c r="G3145" s="160" t="s">
        <v>5032</v>
      </c>
    </row>
    <row r="3146" spans="1:7" ht="12.75" customHeight="1">
      <c r="A3146" s="160">
        <v>2</v>
      </c>
      <c r="B3146" s="160" t="s">
        <v>4051</v>
      </c>
      <c r="C3146" s="157" t="s">
        <v>927</v>
      </c>
      <c r="D3146" s="159">
        <v>12</v>
      </c>
      <c r="E3146" s="159">
        <v>399.48</v>
      </c>
      <c r="F3146" s="159">
        <v>4793.76</v>
      </c>
      <c r="G3146" s="160" t="s">
        <v>5033</v>
      </c>
    </row>
    <row r="3147" spans="1:7" ht="12.75" customHeight="1">
      <c r="A3147" s="160">
        <v>3</v>
      </c>
      <c r="B3147" s="160" t="s">
        <v>931</v>
      </c>
      <c r="C3147" s="157" t="s">
        <v>14</v>
      </c>
      <c r="D3147" s="159">
        <v>1</v>
      </c>
      <c r="E3147" s="159">
        <v>229.44</v>
      </c>
      <c r="F3147" s="159">
        <v>229.44</v>
      </c>
      <c r="G3147" s="160" t="s">
        <v>932</v>
      </c>
    </row>
    <row r="3148" spans="1:7" ht="12.75" customHeight="1">
      <c r="A3148" s="160"/>
      <c r="B3148" s="160" t="s">
        <v>933</v>
      </c>
      <c r="C3148" s="157" t="s">
        <v>3658</v>
      </c>
      <c r="D3148" s="159">
        <v>3</v>
      </c>
      <c r="E3148" s="159"/>
      <c r="F3148" s="159">
        <v>7877.37</v>
      </c>
      <c r="G3148" s="160"/>
    </row>
    <row r="3149" spans="1:7" ht="12.75" customHeight="1">
      <c r="A3149" s="160"/>
      <c r="B3149" s="160" t="s">
        <v>934</v>
      </c>
      <c r="C3149" s="157" t="s">
        <v>3658</v>
      </c>
      <c r="D3149" s="159"/>
      <c r="E3149" s="159"/>
      <c r="F3149" s="159">
        <v>2625.79</v>
      </c>
      <c r="G3149" s="160"/>
    </row>
    <row r="3150" spans="1:7" ht="12.75" customHeight="1">
      <c r="A3150" s="160"/>
      <c r="B3150" s="160"/>
      <c r="C3150" s="157"/>
      <c r="D3150" s="159"/>
      <c r="E3150" s="159"/>
      <c r="F3150" s="159"/>
      <c r="G3150" s="160"/>
    </row>
    <row r="3151" spans="1:7" ht="12.75" customHeight="1">
      <c r="A3151" s="160" t="s">
        <v>5034</v>
      </c>
      <c r="B3151" s="160" t="s">
        <v>2653</v>
      </c>
      <c r="C3151" s="157" t="s">
        <v>17</v>
      </c>
      <c r="D3151" s="159">
        <v>40</v>
      </c>
      <c r="E3151" s="159">
        <v>292.63</v>
      </c>
      <c r="F3151" s="159"/>
      <c r="G3151" s="160" t="s">
        <v>5035</v>
      </c>
    </row>
    <row r="3152" spans="1:7" ht="12.75" customHeight="1">
      <c r="A3152" s="160">
        <v>1</v>
      </c>
      <c r="B3152" s="160" t="s">
        <v>2654</v>
      </c>
      <c r="C3152" s="157" t="s">
        <v>17</v>
      </c>
      <c r="D3152" s="159">
        <v>4</v>
      </c>
      <c r="E3152" s="159">
        <v>1870.11</v>
      </c>
      <c r="F3152" s="159">
        <v>7480.44</v>
      </c>
      <c r="G3152" s="160" t="s">
        <v>2655</v>
      </c>
    </row>
    <row r="3153" spans="1:7" ht="12.75" customHeight="1">
      <c r="A3153" s="160">
        <v>2</v>
      </c>
      <c r="B3153" s="160" t="s">
        <v>2656</v>
      </c>
      <c r="C3153" s="157" t="s">
        <v>17</v>
      </c>
      <c r="D3153" s="159">
        <v>2.15</v>
      </c>
      <c r="E3153" s="159">
        <v>193.52</v>
      </c>
      <c r="F3153" s="159">
        <v>416.07</v>
      </c>
      <c r="G3153" s="160" t="s">
        <v>2657</v>
      </c>
    </row>
    <row r="3154" spans="1:7" ht="12.75" customHeight="1">
      <c r="A3154" s="160">
        <v>3</v>
      </c>
      <c r="B3154" s="160" t="s">
        <v>2658</v>
      </c>
      <c r="C3154" s="157" t="s">
        <v>17</v>
      </c>
      <c r="D3154" s="159">
        <v>8</v>
      </c>
      <c r="E3154" s="159">
        <v>64.849999999999994</v>
      </c>
      <c r="F3154" s="159">
        <v>518.79999999999995</v>
      </c>
      <c r="G3154" s="160" t="s">
        <v>2659</v>
      </c>
    </row>
    <row r="3155" spans="1:7" ht="12.75" customHeight="1">
      <c r="A3155" s="160">
        <v>4</v>
      </c>
      <c r="B3155" s="160" t="s">
        <v>2660</v>
      </c>
      <c r="C3155" s="157" t="s">
        <v>14</v>
      </c>
      <c r="D3155" s="159">
        <v>1</v>
      </c>
      <c r="E3155" s="159">
        <v>2948.81</v>
      </c>
      <c r="F3155" s="159">
        <v>2948.81</v>
      </c>
      <c r="G3155" s="160" t="s">
        <v>2661</v>
      </c>
    </row>
    <row r="3156" spans="1:7" ht="12.75" customHeight="1">
      <c r="A3156" s="160">
        <v>5</v>
      </c>
      <c r="B3156" s="160" t="s">
        <v>931</v>
      </c>
      <c r="C3156" s="157" t="s">
        <v>14</v>
      </c>
      <c r="D3156" s="159">
        <v>1</v>
      </c>
      <c r="E3156" s="159">
        <v>340.92</v>
      </c>
      <c r="F3156" s="159">
        <v>340.92</v>
      </c>
      <c r="G3156" s="160" t="s">
        <v>932</v>
      </c>
    </row>
    <row r="3157" spans="1:7" ht="12.75" customHeight="1">
      <c r="A3157" s="160"/>
      <c r="B3157" s="160" t="s">
        <v>933</v>
      </c>
      <c r="C3157" s="157" t="s">
        <v>17</v>
      </c>
      <c r="D3157" s="159">
        <v>40</v>
      </c>
      <c r="E3157" s="159"/>
      <c r="F3157" s="159">
        <v>11705.039999999999</v>
      </c>
      <c r="G3157" s="160"/>
    </row>
    <row r="3158" spans="1:7" ht="12.75" customHeight="1">
      <c r="A3158" s="160"/>
      <c r="B3158" s="160" t="s">
        <v>934</v>
      </c>
      <c r="C3158" s="157" t="s">
        <v>17</v>
      </c>
      <c r="D3158" s="159"/>
      <c r="E3158" s="159"/>
      <c r="F3158" s="159">
        <v>292.63</v>
      </c>
      <c r="G3158" s="160"/>
    </row>
    <row r="3159" spans="1:7" ht="12.75" customHeight="1">
      <c r="A3159" s="160"/>
      <c r="B3159" s="160"/>
      <c r="C3159" s="157"/>
      <c r="D3159" s="159"/>
      <c r="E3159" s="159"/>
      <c r="F3159" s="159"/>
      <c r="G3159" s="160"/>
    </row>
    <row r="3160" spans="1:7" ht="12.75" customHeight="1">
      <c r="A3160" s="160" t="s">
        <v>5036</v>
      </c>
      <c r="B3160" s="160" t="s">
        <v>2663</v>
      </c>
      <c r="C3160" s="157" t="s">
        <v>17</v>
      </c>
      <c r="D3160" s="159">
        <v>18</v>
      </c>
      <c r="E3160" s="159">
        <v>254.34</v>
      </c>
      <c r="F3160" s="159"/>
      <c r="G3160" s="160" t="s">
        <v>2664</v>
      </c>
    </row>
    <row r="3161" spans="1:7" ht="12.75" customHeight="1">
      <c r="A3161" s="160">
        <v>1</v>
      </c>
      <c r="B3161" s="160" t="s">
        <v>2049</v>
      </c>
      <c r="C3161" s="157" t="s">
        <v>18</v>
      </c>
      <c r="D3161" s="159">
        <v>98</v>
      </c>
      <c r="E3161" s="159">
        <v>31.88</v>
      </c>
      <c r="F3161" s="159">
        <v>3124.24</v>
      </c>
      <c r="G3161" s="160" t="s">
        <v>2050</v>
      </c>
    </row>
    <row r="3162" spans="1:7" ht="12.75" customHeight="1">
      <c r="A3162" s="160">
        <v>2</v>
      </c>
      <c r="B3162" s="160" t="s">
        <v>2660</v>
      </c>
      <c r="C3162" s="157" t="s">
        <v>2665</v>
      </c>
      <c r="D3162" s="159">
        <v>98</v>
      </c>
      <c r="E3162" s="159">
        <v>11.95</v>
      </c>
      <c r="F3162" s="159">
        <v>1171.0999999999999</v>
      </c>
      <c r="G3162" s="160" t="s">
        <v>2666</v>
      </c>
    </row>
    <row r="3163" spans="1:7" ht="12.75" customHeight="1">
      <c r="A3163" s="160">
        <v>3</v>
      </c>
      <c r="B3163" s="160" t="s">
        <v>2667</v>
      </c>
      <c r="C3163" s="157" t="s">
        <v>14</v>
      </c>
      <c r="D3163" s="159">
        <v>1</v>
      </c>
      <c r="E3163" s="159">
        <v>149.43</v>
      </c>
      <c r="F3163" s="159">
        <v>149.43</v>
      </c>
      <c r="G3163" s="160" t="s">
        <v>2668</v>
      </c>
    </row>
    <row r="3164" spans="1:7" ht="12.75" customHeight="1">
      <c r="A3164" s="160">
        <v>4</v>
      </c>
      <c r="B3164" s="160" t="s">
        <v>931</v>
      </c>
      <c r="C3164" s="157" t="s">
        <v>14</v>
      </c>
      <c r="D3164" s="159">
        <v>1</v>
      </c>
      <c r="E3164" s="159">
        <v>133.34</v>
      </c>
      <c r="F3164" s="159">
        <v>133.34</v>
      </c>
      <c r="G3164" s="160" t="s">
        <v>932</v>
      </c>
    </row>
    <row r="3165" spans="1:7" ht="12.75" customHeight="1">
      <c r="A3165" s="160"/>
      <c r="B3165" s="160" t="s">
        <v>933</v>
      </c>
      <c r="C3165" s="157" t="s">
        <v>17</v>
      </c>
      <c r="D3165" s="159">
        <v>18</v>
      </c>
      <c r="E3165" s="159"/>
      <c r="F3165" s="159">
        <v>4578.1100000000006</v>
      </c>
      <c r="G3165" s="160"/>
    </row>
    <row r="3166" spans="1:7" ht="12.75" customHeight="1">
      <c r="A3166" s="160"/>
      <c r="B3166" s="160" t="s">
        <v>934</v>
      </c>
      <c r="C3166" s="157" t="s">
        <v>17</v>
      </c>
      <c r="D3166" s="159"/>
      <c r="E3166" s="159"/>
      <c r="F3166" s="159">
        <v>254.34</v>
      </c>
      <c r="G3166" s="160"/>
    </row>
    <row r="3167" spans="1:7" ht="12.75" customHeight="1">
      <c r="A3167" s="160"/>
      <c r="B3167" s="160"/>
      <c r="C3167" s="157"/>
      <c r="D3167" s="159"/>
      <c r="E3167" s="159"/>
      <c r="F3167" s="159"/>
      <c r="G3167" s="160"/>
    </row>
    <row r="3168" spans="1:7" ht="12.75" customHeight="1">
      <c r="A3168" s="160" t="s">
        <v>5037</v>
      </c>
      <c r="B3168" s="160" t="s">
        <v>2670</v>
      </c>
      <c r="C3168" s="157" t="s">
        <v>3</v>
      </c>
      <c r="D3168" s="159">
        <v>1</v>
      </c>
      <c r="E3168" s="159">
        <v>1188.74</v>
      </c>
      <c r="F3168" s="159"/>
      <c r="G3168" s="160" t="s">
        <v>2671</v>
      </c>
    </row>
    <row r="3169" spans="1:7" ht="12.75" customHeight="1">
      <c r="A3169" s="160">
        <v>1</v>
      </c>
      <c r="B3169" s="160" t="s">
        <v>2672</v>
      </c>
      <c r="C3169" s="157" t="s">
        <v>3</v>
      </c>
      <c r="D3169" s="159">
        <v>1.1499999999999999</v>
      </c>
      <c r="E3169" s="159">
        <v>996.22</v>
      </c>
      <c r="F3169" s="159">
        <v>1145.6500000000001</v>
      </c>
      <c r="G3169" s="160" t="s">
        <v>2673</v>
      </c>
    </row>
    <row r="3170" spans="1:7" ht="12.75" customHeight="1">
      <c r="A3170" s="160">
        <v>2</v>
      </c>
      <c r="B3170" s="160" t="s">
        <v>2674</v>
      </c>
      <c r="C3170" s="157" t="s">
        <v>2675</v>
      </c>
      <c r="D3170" s="159">
        <v>0.01</v>
      </c>
      <c r="E3170" s="159">
        <v>846.79</v>
      </c>
      <c r="F3170" s="159">
        <v>8.4700000000000006</v>
      </c>
      <c r="G3170" s="160" t="s">
        <v>2676</v>
      </c>
    </row>
    <row r="3171" spans="1:7" ht="12.75" customHeight="1">
      <c r="A3171" s="160">
        <v>3</v>
      </c>
      <c r="B3171" s="160" t="s">
        <v>931</v>
      </c>
      <c r="C3171" s="157" t="s">
        <v>14</v>
      </c>
      <c r="D3171" s="159">
        <v>1</v>
      </c>
      <c r="E3171" s="159">
        <v>34.619999999999997</v>
      </c>
      <c r="F3171" s="159">
        <v>34.619999999999997</v>
      </c>
      <c r="G3171" s="160" t="s">
        <v>932</v>
      </c>
    </row>
    <row r="3172" spans="1:7" ht="12.75" customHeight="1">
      <c r="A3172" s="160"/>
      <c r="B3172" s="160" t="s">
        <v>933</v>
      </c>
      <c r="C3172" s="157" t="s">
        <v>3</v>
      </c>
      <c r="D3172" s="159">
        <v>1</v>
      </c>
      <c r="E3172" s="159"/>
      <c r="F3172" s="159">
        <v>1188.74</v>
      </c>
      <c r="G3172" s="160"/>
    </row>
    <row r="3173" spans="1:7" ht="12.75" customHeight="1">
      <c r="A3173" s="160"/>
      <c r="B3173" s="160" t="s">
        <v>934</v>
      </c>
      <c r="C3173" s="157" t="s">
        <v>3</v>
      </c>
      <c r="D3173" s="159"/>
      <c r="E3173" s="159"/>
      <c r="F3173" s="159">
        <v>1188.74</v>
      </c>
      <c r="G3173" s="160"/>
    </row>
    <row r="3174" spans="1:7" ht="12.75" customHeight="1">
      <c r="A3174" s="160"/>
      <c r="B3174" s="160"/>
      <c r="C3174" s="157"/>
      <c r="D3174" s="159"/>
      <c r="E3174" s="159"/>
      <c r="F3174" s="159"/>
      <c r="G3174" s="160"/>
    </row>
    <row r="3175" spans="1:7" ht="12.75" customHeight="1">
      <c r="A3175" s="160" t="s">
        <v>5038</v>
      </c>
      <c r="B3175" s="160" t="s">
        <v>2678</v>
      </c>
      <c r="C3175" s="157" t="s">
        <v>2679</v>
      </c>
      <c r="D3175" s="159">
        <v>1</v>
      </c>
      <c r="E3175" s="159">
        <v>661.76</v>
      </c>
      <c r="F3175" s="159"/>
      <c r="G3175" s="160" t="s">
        <v>2680</v>
      </c>
    </row>
    <row r="3176" spans="1:7" ht="12.75" customHeight="1">
      <c r="A3176" s="160">
        <v>1</v>
      </c>
      <c r="B3176" s="160" t="s">
        <v>4871</v>
      </c>
      <c r="C3176" s="157" t="s">
        <v>927</v>
      </c>
      <c r="D3176" s="159">
        <v>0.16</v>
      </c>
      <c r="E3176" s="159">
        <v>279.94</v>
      </c>
      <c r="F3176" s="159">
        <v>44.79</v>
      </c>
      <c r="G3176" s="160" t="s">
        <v>4872</v>
      </c>
    </row>
    <row r="3177" spans="1:7" ht="12.75" customHeight="1">
      <c r="A3177" s="160">
        <v>2</v>
      </c>
      <c r="B3177" s="160" t="s">
        <v>2681</v>
      </c>
      <c r="C3177" s="157" t="s">
        <v>2679</v>
      </c>
      <c r="D3177" s="159">
        <v>10</v>
      </c>
      <c r="E3177" s="159">
        <v>59.77</v>
      </c>
      <c r="F3177" s="159">
        <v>597.70000000000005</v>
      </c>
      <c r="G3177" s="160" t="s">
        <v>2682</v>
      </c>
    </row>
    <row r="3178" spans="1:7" ht="12.75" customHeight="1">
      <c r="A3178" s="160">
        <v>3</v>
      </c>
      <c r="B3178" s="160" t="s">
        <v>931</v>
      </c>
      <c r="C3178" s="157" t="s">
        <v>14</v>
      </c>
      <c r="D3178" s="159">
        <v>1</v>
      </c>
      <c r="E3178" s="159">
        <v>19.27</v>
      </c>
      <c r="F3178" s="159">
        <v>19.27</v>
      </c>
      <c r="G3178" s="160" t="s">
        <v>932</v>
      </c>
    </row>
    <row r="3179" spans="1:7" ht="12.75" customHeight="1">
      <c r="A3179" s="160"/>
      <c r="B3179" s="160" t="s">
        <v>933</v>
      </c>
      <c r="C3179" s="157" t="s">
        <v>2679</v>
      </c>
      <c r="D3179" s="159">
        <v>1</v>
      </c>
      <c r="E3179" s="159"/>
      <c r="F3179" s="159">
        <v>661.76</v>
      </c>
      <c r="G3179" s="160"/>
    </row>
    <row r="3180" spans="1:7" ht="12.75" customHeight="1">
      <c r="A3180" s="160"/>
      <c r="B3180" s="160" t="s">
        <v>934</v>
      </c>
      <c r="C3180" s="157" t="s">
        <v>2679</v>
      </c>
      <c r="D3180" s="159"/>
      <c r="E3180" s="159"/>
      <c r="F3180" s="159">
        <v>661.76</v>
      </c>
      <c r="G3180" s="160"/>
    </row>
    <row r="3181" spans="1:7" ht="12.75" customHeight="1">
      <c r="A3181" s="160"/>
      <c r="B3181" s="160"/>
      <c r="C3181" s="157"/>
      <c r="D3181" s="159"/>
      <c r="E3181" s="159"/>
      <c r="F3181" s="159"/>
      <c r="G3181" s="160"/>
    </row>
    <row r="3182" spans="1:7" ht="12.75" customHeight="1">
      <c r="A3182" s="160" t="s">
        <v>5039</v>
      </c>
      <c r="B3182" s="160" t="s">
        <v>2684</v>
      </c>
      <c r="C3182" s="157" t="s">
        <v>3</v>
      </c>
      <c r="D3182" s="159">
        <v>1</v>
      </c>
      <c r="E3182" s="159">
        <v>2312.0700000000002</v>
      </c>
      <c r="F3182" s="159"/>
      <c r="G3182" s="160" t="s">
        <v>2685</v>
      </c>
    </row>
    <row r="3183" spans="1:7" ht="12.75" customHeight="1">
      <c r="A3183" s="160">
        <v>1</v>
      </c>
      <c r="B3183" s="160" t="s">
        <v>2686</v>
      </c>
      <c r="C3183" s="157" t="s">
        <v>927</v>
      </c>
      <c r="D3183" s="159">
        <v>0.3</v>
      </c>
      <c r="E3183" s="159">
        <v>199.24</v>
      </c>
      <c r="F3183" s="159">
        <v>59.77</v>
      </c>
      <c r="G3183" s="160" t="s">
        <v>2687</v>
      </c>
    </row>
    <row r="3184" spans="1:7" ht="12.75" customHeight="1">
      <c r="A3184" s="160">
        <v>2</v>
      </c>
      <c r="B3184" s="160" t="s">
        <v>2688</v>
      </c>
      <c r="C3184" s="157" t="s">
        <v>3</v>
      </c>
      <c r="D3184" s="159">
        <v>1.1499999999999999</v>
      </c>
      <c r="E3184" s="159">
        <v>1847.99</v>
      </c>
      <c r="F3184" s="159">
        <v>2125.19</v>
      </c>
      <c r="G3184" s="160" t="s">
        <v>2689</v>
      </c>
    </row>
    <row r="3185" spans="1:7" ht="12.75" customHeight="1">
      <c r="A3185" s="160">
        <v>3</v>
      </c>
      <c r="B3185" s="160" t="s">
        <v>2690</v>
      </c>
      <c r="C3185" s="157" t="s">
        <v>927</v>
      </c>
      <c r="D3185" s="159">
        <v>0.3</v>
      </c>
      <c r="E3185" s="159">
        <v>199.24</v>
      </c>
      <c r="F3185" s="159">
        <v>59.77</v>
      </c>
      <c r="G3185" s="160" t="s">
        <v>2691</v>
      </c>
    </row>
    <row r="3186" spans="1:7" ht="12.75" customHeight="1">
      <c r="A3186" s="160">
        <v>4</v>
      </c>
      <c r="B3186" s="160" t="s">
        <v>931</v>
      </c>
      <c r="C3186" s="157" t="s">
        <v>14</v>
      </c>
      <c r="D3186" s="159">
        <v>1</v>
      </c>
      <c r="E3186" s="159">
        <v>67.34</v>
      </c>
      <c r="F3186" s="159">
        <v>67.34</v>
      </c>
      <c r="G3186" s="160" t="s">
        <v>932</v>
      </c>
    </row>
    <row r="3187" spans="1:7" ht="12.75" customHeight="1">
      <c r="A3187" s="160"/>
      <c r="B3187" s="160" t="s">
        <v>933</v>
      </c>
      <c r="C3187" s="157" t="s">
        <v>3</v>
      </c>
      <c r="D3187" s="159">
        <v>1</v>
      </c>
      <c r="E3187" s="159"/>
      <c r="F3187" s="159">
        <v>2312.0700000000002</v>
      </c>
      <c r="G3187" s="160"/>
    </row>
    <row r="3188" spans="1:7" ht="12.75" customHeight="1">
      <c r="A3188" s="160"/>
      <c r="B3188" s="160" t="s">
        <v>934</v>
      </c>
      <c r="C3188" s="157" t="s">
        <v>3</v>
      </c>
      <c r="D3188" s="159"/>
      <c r="E3188" s="159"/>
      <c r="F3188" s="159">
        <v>2312.0700000000002</v>
      </c>
      <c r="G3188" s="160"/>
    </row>
    <row r="3189" spans="1:7" ht="12.75" customHeight="1">
      <c r="A3189" s="160"/>
      <c r="B3189" s="160"/>
      <c r="C3189" s="157"/>
      <c r="D3189" s="159"/>
      <c r="E3189" s="159"/>
      <c r="F3189" s="159"/>
      <c r="G3189" s="160"/>
    </row>
    <row r="3190" spans="1:7" ht="12.75" customHeight="1">
      <c r="A3190" s="160" t="s">
        <v>5040</v>
      </c>
      <c r="B3190" s="160" t="s">
        <v>2693</v>
      </c>
      <c r="C3190" s="157" t="s">
        <v>2694</v>
      </c>
      <c r="D3190" s="159">
        <v>1</v>
      </c>
      <c r="E3190" s="159">
        <v>160.07</v>
      </c>
      <c r="F3190" s="159"/>
      <c r="G3190" s="160" t="s">
        <v>2695</v>
      </c>
    </row>
    <row r="3191" spans="1:7" ht="12.75" customHeight="1">
      <c r="A3191" s="160">
        <v>1</v>
      </c>
      <c r="B3191" s="160" t="s">
        <v>5041</v>
      </c>
      <c r="C3191" s="157" t="s">
        <v>2665</v>
      </c>
      <c r="D3191" s="159">
        <v>0.3</v>
      </c>
      <c r="E3191" s="159">
        <v>44.83</v>
      </c>
      <c r="F3191" s="159">
        <v>13.45</v>
      </c>
      <c r="G3191" s="160" t="s">
        <v>2696</v>
      </c>
    </row>
    <row r="3192" spans="1:7" ht="12.75" customHeight="1">
      <c r="A3192" s="160">
        <v>2</v>
      </c>
      <c r="B3192" s="160" t="s">
        <v>2697</v>
      </c>
      <c r="C3192" s="157" t="s">
        <v>1689</v>
      </c>
      <c r="D3192" s="159">
        <v>1</v>
      </c>
      <c r="E3192" s="159">
        <v>23.41</v>
      </c>
      <c r="F3192" s="159">
        <v>23.41</v>
      </c>
      <c r="G3192" s="160" t="s">
        <v>2698</v>
      </c>
    </row>
    <row r="3193" spans="1:7" ht="12.75" customHeight="1">
      <c r="A3193" s="160">
        <v>3</v>
      </c>
      <c r="B3193" s="160" t="s">
        <v>2699</v>
      </c>
      <c r="C3193" s="157" t="s">
        <v>14</v>
      </c>
      <c r="D3193" s="159">
        <v>1</v>
      </c>
      <c r="E3193" s="159">
        <v>118.55</v>
      </c>
      <c r="F3193" s="159">
        <v>118.55</v>
      </c>
      <c r="G3193" s="160" t="s">
        <v>2700</v>
      </c>
    </row>
    <row r="3194" spans="1:7" ht="12.75" customHeight="1">
      <c r="A3194" s="160">
        <v>4</v>
      </c>
      <c r="B3194" s="160" t="s">
        <v>931</v>
      </c>
      <c r="C3194" s="157" t="s">
        <v>14</v>
      </c>
      <c r="D3194" s="159">
        <v>1</v>
      </c>
      <c r="E3194" s="159">
        <v>4.66</v>
      </c>
      <c r="F3194" s="159">
        <v>4.66</v>
      </c>
      <c r="G3194" s="160" t="s">
        <v>932</v>
      </c>
    </row>
    <row r="3195" spans="1:7" ht="12.75" customHeight="1">
      <c r="A3195" s="160"/>
      <c r="B3195" s="160" t="s">
        <v>933</v>
      </c>
      <c r="C3195" s="157" t="s">
        <v>2694</v>
      </c>
      <c r="D3195" s="159">
        <v>1</v>
      </c>
      <c r="E3195" s="159"/>
      <c r="F3195" s="159">
        <v>160.07</v>
      </c>
      <c r="G3195" s="160"/>
    </row>
    <row r="3196" spans="1:7" ht="12.75" customHeight="1">
      <c r="A3196" s="160"/>
      <c r="B3196" s="160" t="s">
        <v>934</v>
      </c>
      <c r="C3196" s="157" t="s">
        <v>2694</v>
      </c>
      <c r="D3196" s="159"/>
      <c r="E3196" s="159"/>
      <c r="F3196" s="159">
        <v>160.07</v>
      </c>
      <c r="G3196" s="160"/>
    </row>
    <row r="3197" spans="1:7" ht="12.75" customHeight="1">
      <c r="A3197" s="160"/>
      <c r="B3197" s="160"/>
      <c r="C3197" s="157"/>
      <c r="D3197" s="159"/>
      <c r="E3197" s="159"/>
      <c r="F3197" s="159"/>
      <c r="G3197" s="160"/>
    </row>
    <row r="3198" spans="1:7" ht="12.75" customHeight="1">
      <c r="A3198" s="160" t="s">
        <v>5042</v>
      </c>
      <c r="B3198" s="160" t="s">
        <v>2702</v>
      </c>
      <c r="C3198" s="157" t="s">
        <v>17</v>
      </c>
      <c r="D3198" s="159">
        <v>1</v>
      </c>
      <c r="E3198" s="159">
        <v>308.91000000000003</v>
      </c>
      <c r="F3198" s="159"/>
      <c r="G3198" s="160" t="s">
        <v>2703</v>
      </c>
    </row>
    <row r="3199" spans="1:7" ht="12.75" customHeight="1">
      <c r="A3199" s="160">
        <v>1</v>
      </c>
      <c r="B3199" s="160" t="s">
        <v>2699</v>
      </c>
      <c r="C3199" s="157" t="s">
        <v>14</v>
      </c>
      <c r="D3199" s="159">
        <v>1</v>
      </c>
      <c r="E3199" s="159">
        <v>118.55</v>
      </c>
      <c r="F3199" s="159">
        <v>118.55</v>
      </c>
      <c r="G3199" s="160" t="s">
        <v>2700</v>
      </c>
    </row>
    <row r="3200" spans="1:7" ht="12.75" customHeight="1">
      <c r="A3200" s="160">
        <v>2</v>
      </c>
      <c r="B3200" s="160" t="s">
        <v>2704</v>
      </c>
      <c r="C3200" s="157" t="s">
        <v>17</v>
      </c>
      <c r="D3200" s="159">
        <v>1.05</v>
      </c>
      <c r="E3200" s="159">
        <v>159.38999999999999</v>
      </c>
      <c r="F3200" s="159">
        <v>167.36</v>
      </c>
      <c r="G3200" s="160" t="s">
        <v>2705</v>
      </c>
    </row>
    <row r="3201" spans="1:7" ht="12.75" customHeight="1">
      <c r="A3201" s="160">
        <v>3</v>
      </c>
      <c r="B3201" s="160" t="s">
        <v>4871</v>
      </c>
      <c r="C3201" s="157" t="s">
        <v>927</v>
      </c>
      <c r="D3201" s="159">
        <v>0.05</v>
      </c>
      <c r="E3201" s="159">
        <v>279.94</v>
      </c>
      <c r="F3201" s="159">
        <v>14</v>
      </c>
      <c r="G3201" s="160" t="s">
        <v>4872</v>
      </c>
    </row>
    <row r="3202" spans="1:7" ht="12.75" customHeight="1">
      <c r="A3202" s="160">
        <v>4</v>
      </c>
      <c r="B3202" s="160" t="s">
        <v>931</v>
      </c>
      <c r="C3202" s="157" t="s">
        <v>14</v>
      </c>
      <c r="D3202" s="159">
        <v>1</v>
      </c>
      <c r="E3202" s="159">
        <v>9</v>
      </c>
      <c r="F3202" s="159">
        <v>9</v>
      </c>
      <c r="G3202" s="160" t="s">
        <v>932</v>
      </c>
    </row>
    <row r="3203" spans="1:7" ht="12.75" customHeight="1">
      <c r="A3203" s="160"/>
      <c r="B3203" s="160" t="s">
        <v>933</v>
      </c>
      <c r="C3203" s="157" t="s">
        <v>17</v>
      </c>
      <c r="D3203" s="159">
        <v>1</v>
      </c>
      <c r="E3203" s="159"/>
      <c r="F3203" s="159">
        <v>308.91000000000003</v>
      </c>
      <c r="G3203" s="160"/>
    </row>
    <row r="3204" spans="1:7" ht="12.75" customHeight="1">
      <c r="A3204" s="160"/>
      <c r="B3204" s="160" t="s">
        <v>934</v>
      </c>
      <c r="C3204" s="157" t="s">
        <v>17</v>
      </c>
      <c r="D3204" s="159"/>
      <c r="E3204" s="159"/>
      <c r="F3204" s="159">
        <v>308.91000000000003</v>
      </c>
      <c r="G3204" s="160"/>
    </row>
    <row r="3205" spans="1:7" ht="12.75" customHeight="1">
      <c r="A3205" s="160"/>
      <c r="B3205" s="160"/>
      <c r="C3205" s="157"/>
      <c r="D3205" s="159"/>
      <c r="E3205" s="159"/>
      <c r="F3205" s="159"/>
      <c r="G3205" s="160"/>
    </row>
    <row r="3206" spans="1:7" ht="12.75" customHeight="1">
      <c r="A3206" s="160" t="s">
        <v>5043</v>
      </c>
      <c r="B3206" s="160" t="s">
        <v>2707</v>
      </c>
      <c r="C3206" s="157" t="s">
        <v>17</v>
      </c>
      <c r="D3206" s="159">
        <v>10</v>
      </c>
      <c r="E3206" s="159">
        <v>310.64</v>
      </c>
      <c r="F3206" s="159"/>
      <c r="G3206" s="160" t="s">
        <v>2708</v>
      </c>
    </row>
    <row r="3207" spans="1:7" ht="12.75" customHeight="1">
      <c r="A3207" s="160">
        <v>1</v>
      </c>
      <c r="B3207" s="160" t="s">
        <v>2699</v>
      </c>
      <c r="C3207" s="157" t="s">
        <v>14</v>
      </c>
      <c r="D3207" s="159">
        <v>1</v>
      </c>
      <c r="E3207" s="159">
        <v>118.55</v>
      </c>
      <c r="F3207" s="159">
        <v>118.55</v>
      </c>
      <c r="G3207" s="160" t="s">
        <v>2700</v>
      </c>
    </row>
    <row r="3208" spans="1:7" ht="12.75" customHeight="1">
      <c r="A3208" s="160">
        <v>2</v>
      </c>
      <c r="B3208" s="160" t="s">
        <v>2709</v>
      </c>
      <c r="C3208" s="157" t="s">
        <v>17</v>
      </c>
      <c r="D3208" s="159">
        <v>10.5</v>
      </c>
      <c r="E3208" s="159">
        <v>261.01</v>
      </c>
      <c r="F3208" s="159">
        <v>2740.61</v>
      </c>
      <c r="G3208" s="160" t="s">
        <v>2710</v>
      </c>
    </row>
    <row r="3209" spans="1:7" ht="12.75" customHeight="1">
      <c r="A3209" s="160">
        <v>3</v>
      </c>
      <c r="B3209" s="160" t="s">
        <v>4871</v>
      </c>
      <c r="C3209" s="157" t="s">
        <v>927</v>
      </c>
      <c r="D3209" s="159">
        <v>0.56000000000000005</v>
      </c>
      <c r="E3209" s="159">
        <v>279.94</v>
      </c>
      <c r="F3209" s="159">
        <v>156.77000000000001</v>
      </c>
      <c r="G3209" s="160" t="s">
        <v>4872</v>
      </c>
    </row>
    <row r="3210" spans="1:7" ht="12.75" customHeight="1">
      <c r="A3210" s="160">
        <v>4</v>
      </c>
      <c r="B3210" s="160" t="s">
        <v>931</v>
      </c>
      <c r="C3210" s="157" t="s">
        <v>14</v>
      </c>
      <c r="D3210" s="159">
        <v>1</v>
      </c>
      <c r="E3210" s="159">
        <v>90.48</v>
      </c>
      <c r="F3210" s="159">
        <v>90.48</v>
      </c>
      <c r="G3210" s="160" t="s">
        <v>932</v>
      </c>
    </row>
    <row r="3211" spans="1:7" ht="12.75" customHeight="1">
      <c r="A3211" s="160"/>
      <c r="B3211" s="160" t="s">
        <v>933</v>
      </c>
      <c r="C3211" s="157" t="s">
        <v>17</v>
      </c>
      <c r="D3211" s="159">
        <v>10</v>
      </c>
      <c r="E3211" s="159"/>
      <c r="F3211" s="159">
        <v>3106.4100000000003</v>
      </c>
      <c r="G3211" s="160"/>
    </row>
    <row r="3212" spans="1:7" ht="12.75" customHeight="1">
      <c r="A3212" s="160"/>
      <c r="B3212" s="160" t="s">
        <v>934</v>
      </c>
      <c r="C3212" s="157" t="s">
        <v>17</v>
      </c>
      <c r="D3212" s="159"/>
      <c r="E3212" s="159"/>
      <c r="F3212" s="159">
        <v>310.64</v>
      </c>
      <c r="G3212" s="160"/>
    </row>
    <row r="3213" spans="1:7" ht="12.75" customHeight="1">
      <c r="A3213" s="160"/>
      <c r="B3213" s="160"/>
      <c r="C3213" s="157"/>
      <c r="D3213" s="159"/>
      <c r="E3213" s="159"/>
      <c r="F3213" s="159"/>
      <c r="G3213" s="160"/>
    </row>
    <row r="3214" spans="1:7" ht="12.75" customHeight="1">
      <c r="A3214" s="160" t="s">
        <v>5044</v>
      </c>
      <c r="B3214" s="160" t="s">
        <v>2712</v>
      </c>
      <c r="C3214" s="157" t="s">
        <v>3</v>
      </c>
      <c r="D3214" s="159">
        <v>1</v>
      </c>
      <c r="E3214" s="159">
        <v>669.94</v>
      </c>
      <c r="F3214" s="159"/>
      <c r="G3214" s="160" t="s">
        <v>2713</v>
      </c>
    </row>
    <row r="3215" spans="1:7" ht="12.75" customHeight="1">
      <c r="A3215" s="160">
        <v>1</v>
      </c>
      <c r="B3215" s="160" t="s">
        <v>2714</v>
      </c>
      <c r="C3215" s="157" t="s">
        <v>3</v>
      </c>
      <c r="D3215" s="159">
        <v>1</v>
      </c>
      <c r="E3215" s="159">
        <v>434.03</v>
      </c>
      <c r="F3215" s="159">
        <v>434.03</v>
      </c>
      <c r="G3215" s="160" t="s">
        <v>2715</v>
      </c>
    </row>
    <row r="3216" spans="1:7" ht="12.75" customHeight="1">
      <c r="A3216" s="160">
        <v>2</v>
      </c>
      <c r="B3216" s="160" t="s">
        <v>2716</v>
      </c>
      <c r="C3216" s="157" t="s">
        <v>18</v>
      </c>
      <c r="D3216" s="159">
        <v>0.14000000000000001</v>
      </c>
      <c r="E3216" s="159">
        <v>20.149999999999999</v>
      </c>
      <c r="F3216" s="159">
        <v>2.82</v>
      </c>
      <c r="G3216" s="160" t="s">
        <v>2717</v>
      </c>
    </row>
    <row r="3217" spans="1:7" ht="12.75" customHeight="1">
      <c r="A3217" s="160">
        <v>3</v>
      </c>
      <c r="B3217" s="160" t="s">
        <v>2718</v>
      </c>
      <c r="C3217" s="157" t="s">
        <v>927</v>
      </c>
      <c r="D3217" s="159">
        <v>0.08</v>
      </c>
      <c r="E3217" s="159">
        <v>399.48</v>
      </c>
      <c r="F3217" s="159">
        <v>31.96</v>
      </c>
      <c r="G3217" s="160" t="s">
        <v>2719</v>
      </c>
    </row>
    <row r="3218" spans="1:7" ht="12.75" customHeight="1">
      <c r="A3218" s="160">
        <v>4</v>
      </c>
      <c r="B3218" s="160" t="s">
        <v>2720</v>
      </c>
      <c r="C3218" s="157" t="s">
        <v>14</v>
      </c>
      <c r="D3218" s="159">
        <v>1</v>
      </c>
      <c r="E3218" s="159">
        <v>77.709999999999994</v>
      </c>
      <c r="F3218" s="159">
        <v>77.709999999999994</v>
      </c>
      <c r="G3218" s="160" t="s">
        <v>2721</v>
      </c>
    </row>
    <row r="3219" spans="1:7" ht="12.75" customHeight="1">
      <c r="A3219" s="160">
        <v>5</v>
      </c>
      <c r="B3219" s="160" t="s">
        <v>2722</v>
      </c>
      <c r="C3219" s="157" t="s">
        <v>3</v>
      </c>
      <c r="D3219" s="159">
        <v>1</v>
      </c>
      <c r="E3219" s="159">
        <v>103.91</v>
      </c>
      <c r="F3219" s="159">
        <v>103.91</v>
      </c>
      <c r="G3219" s="160" t="s">
        <v>2723</v>
      </c>
    </row>
    <row r="3220" spans="1:7" ht="12.75" customHeight="1">
      <c r="A3220" s="160">
        <v>6</v>
      </c>
      <c r="B3220" s="160" t="s">
        <v>931</v>
      </c>
      <c r="C3220" s="157" t="s">
        <v>14</v>
      </c>
      <c r="D3220" s="159">
        <v>1</v>
      </c>
      <c r="E3220" s="159">
        <v>19.510000000000002</v>
      </c>
      <c r="F3220" s="159">
        <v>19.510000000000002</v>
      </c>
      <c r="G3220" s="160" t="s">
        <v>932</v>
      </c>
    </row>
    <row r="3221" spans="1:7" ht="12.75" customHeight="1">
      <c r="A3221" s="160"/>
      <c r="B3221" s="160" t="s">
        <v>933</v>
      </c>
      <c r="C3221" s="157" t="s">
        <v>3</v>
      </c>
      <c r="D3221" s="159">
        <v>1</v>
      </c>
      <c r="E3221" s="159"/>
      <c r="F3221" s="159">
        <v>669.93999999999994</v>
      </c>
      <c r="G3221" s="160"/>
    </row>
    <row r="3222" spans="1:7" ht="12.75" customHeight="1">
      <c r="A3222" s="160"/>
      <c r="B3222" s="160" t="s">
        <v>934</v>
      </c>
      <c r="C3222" s="157" t="s">
        <v>3</v>
      </c>
      <c r="D3222" s="159"/>
      <c r="E3222" s="159"/>
      <c r="F3222" s="159">
        <v>669.94</v>
      </c>
      <c r="G3222" s="160"/>
    </row>
    <row r="3223" spans="1:7" ht="12.75" customHeight="1">
      <c r="A3223" s="160"/>
      <c r="B3223" s="160"/>
      <c r="C3223" s="157"/>
      <c r="D3223" s="159"/>
      <c r="E3223" s="159"/>
      <c r="F3223" s="159"/>
      <c r="G3223" s="160"/>
    </row>
    <row r="3224" spans="1:7" ht="12.75" customHeight="1">
      <c r="A3224" s="160" t="s">
        <v>5045</v>
      </c>
      <c r="B3224" s="160" t="s">
        <v>3659</v>
      </c>
      <c r="C3224" s="157" t="s">
        <v>3</v>
      </c>
      <c r="D3224" s="159">
        <v>1</v>
      </c>
      <c r="E3224" s="159">
        <v>1706.51</v>
      </c>
      <c r="F3224" s="159"/>
      <c r="G3224" s="160" t="s">
        <v>4052</v>
      </c>
    </row>
    <row r="3225" spans="1:7" ht="12.75" customHeight="1">
      <c r="A3225" s="160">
        <v>1</v>
      </c>
      <c r="B3225" s="160" t="s">
        <v>4053</v>
      </c>
      <c r="C3225" s="157" t="s">
        <v>3</v>
      </c>
      <c r="D3225" s="159">
        <v>1</v>
      </c>
      <c r="E3225" s="159">
        <v>1439.54</v>
      </c>
      <c r="F3225" s="159">
        <v>1439.54</v>
      </c>
      <c r="G3225" s="160" t="s">
        <v>4054</v>
      </c>
    </row>
    <row r="3226" spans="1:7" ht="12.75" customHeight="1">
      <c r="A3226" s="160">
        <v>2</v>
      </c>
      <c r="B3226" s="160" t="s">
        <v>4055</v>
      </c>
      <c r="C3226" s="157" t="s">
        <v>18</v>
      </c>
      <c r="D3226" s="159">
        <v>0.14000000000000001</v>
      </c>
      <c r="E3226" s="159">
        <v>26.69</v>
      </c>
      <c r="F3226" s="159">
        <v>3.74</v>
      </c>
      <c r="G3226" s="160" t="s">
        <v>4056</v>
      </c>
    </row>
    <row r="3227" spans="1:7" ht="12.75" customHeight="1">
      <c r="A3227" s="160">
        <v>3</v>
      </c>
      <c r="B3227" s="160" t="s">
        <v>2718</v>
      </c>
      <c r="C3227" s="157" t="s">
        <v>927</v>
      </c>
      <c r="D3227" s="159">
        <v>0.34</v>
      </c>
      <c r="E3227" s="159">
        <v>399.48</v>
      </c>
      <c r="F3227" s="159">
        <v>135.82</v>
      </c>
      <c r="G3227" s="160" t="s">
        <v>2719</v>
      </c>
    </row>
    <row r="3228" spans="1:7" ht="12.75" customHeight="1">
      <c r="A3228" s="160">
        <v>4</v>
      </c>
      <c r="B3228" s="160" t="s">
        <v>2720</v>
      </c>
      <c r="C3228" s="157" t="s">
        <v>14</v>
      </c>
      <c r="D3228" s="159">
        <v>1</v>
      </c>
      <c r="E3228" s="159">
        <v>77.709999999999994</v>
      </c>
      <c r="F3228" s="159">
        <v>77.709999999999994</v>
      </c>
      <c r="G3228" s="160" t="s">
        <v>2721</v>
      </c>
    </row>
    <row r="3229" spans="1:7" ht="12.75" customHeight="1">
      <c r="A3229" s="160">
        <v>5</v>
      </c>
      <c r="B3229" s="160" t="s">
        <v>931</v>
      </c>
      <c r="C3229" s="157" t="s">
        <v>14</v>
      </c>
      <c r="D3229" s="159">
        <v>1</v>
      </c>
      <c r="E3229" s="159">
        <v>49.7</v>
      </c>
      <c r="F3229" s="159">
        <v>49.7</v>
      </c>
      <c r="G3229" s="160" t="s">
        <v>932</v>
      </c>
    </row>
    <row r="3230" spans="1:7" ht="12.75" customHeight="1">
      <c r="A3230" s="160"/>
      <c r="B3230" s="160" t="s">
        <v>933</v>
      </c>
      <c r="C3230" s="157" t="s">
        <v>3</v>
      </c>
      <c r="D3230" s="159">
        <v>1</v>
      </c>
      <c r="E3230" s="159"/>
      <c r="F3230" s="159">
        <v>1706.51</v>
      </c>
      <c r="G3230" s="160"/>
    </row>
    <row r="3231" spans="1:7" ht="12.75" customHeight="1">
      <c r="A3231" s="160"/>
      <c r="B3231" s="160" t="s">
        <v>934</v>
      </c>
      <c r="C3231" s="157" t="s">
        <v>3</v>
      </c>
      <c r="D3231" s="159"/>
      <c r="E3231" s="159"/>
      <c r="F3231" s="159">
        <v>1706.51</v>
      </c>
      <c r="G3231" s="160"/>
    </row>
    <row r="3232" spans="1:7" ht="12.75" customHeight="1">
      <c r="A3232" s="160"/>
      <c r="B3232" s="160"/>
      <c r="C3232" s="157"/>
      <c r="D3232" s="159"/>
      <c r="E3232" s="159"/>
      <c r="F3232" s="159"/>
      <c r="G3232" s="160"/>
    </row>
    <row r="3233" spans="1:7" ht="12.75" customHeight="1">
      <c r="A3233" s="160" t="s">
        <v>5046</v>
      </c>
      <c r="B3233" s="160" t="s">
        <v>2725</v>
      </c>
      <c r="C3233" s="157" t="s">
        <v>2679</v>
      </c>
      <c r="D3233" s="159">
        <v>1</v>
      </c>
      <c r="E3233" s="159">
        <v>251.06</v>
      </c>
      <c r="F3233" s="159"/>
      <c r="G3233" s="160" t="s">
        <v>2726</v>
      </c>
    </row>
    <row r="3234" spans="1:7" ht="12.75" customHeight="1">
      <c r="A3234" s="160">
        <v>1</v>
      </c>
      <c r="B3234" s="160" t="s">
        <v>2727</v>
      </c>
      <c r="C3234" s="157" t="s">
        <v>14</v>
      </c>
      <c r="D3234" s="159">
        <v>1</v>
      </c>
      <c r="E3234" s="159">
        <v>49.81</v>
      </c>
      <c r="F3234" s="159">
        <v>49.81</v>
      </c>
      <c r="G3234" s="160" t="s">
        <v>2728</v>
      </c>
    </row>
    <row r="3235" spans="1:7" ht="12.75" customHeight="1">
      <c r="A3235" s="160">
        <v>2</v>
      </c>
      <c r="B3235" s="160" t="s">
        <v>2729</v>
      </c>
      <c r="C3235" s="157" t="s">
        <v>2679</v>
      </c>
      <c r="D3235" s="159">
        <v>1</v>
      </c>
      <c r="E3235" s="159">
        <v>174.34</v>
      </c>
      <c r="F3235" s="159">
        <v>174.34</v>
      </c>
      <c r="G3235" s="160" t="s">
        <v>2730</v>
      </c>
    </row>
    <row r="3236" spans="1:7" ht="12.75" customHeight="1">
      <c r="A3236" s="160">
        <v>3</v>
      </c>
      <c r="B3236" s="160" t="s">
        <v>4871</v>
      </c>
      <c r="C3236" s="157" t="s">
        <v>927</v>
      </c>
      <c r="D3236" s="159">
        <v>7.0000000000000007E-2</v>
      </c>
      <c r="E3236" s="159">
        <v>279.94</v>
      </c>
      <c r="F3236" s="159">
        <v>19.600000000000001</v>
      </c>
      <c r="G3236" s="160" t="s">
        <v>4872</v>
      </c>
    </row>
    <row r="3237" spans="1:7" ht="12.75" customHeight="1">
      <c r="A3237" s="160">
        <v>4</v>
      </c>
      <c r="B3237" s="160" t="s">
        <v>931</v>
      </c>
      <c r="C3237" s="157" t="s">
        <v>14</v>
      </c>
      <c r="D3237" s="159">
        <v>1</v>
      </c>
      <c r="E3237" s="159">
        <v>7.31</v>
      </c>
      <c r="F3237" s="159">
        <v>7.31</v>
      </c>
      <c r="G3237" s="160" t="s">
        <v>932</v>
      </c>
    </row>
    <row r="3238" spans="1:7" ht="12.75" customHeight="1">
      <c r="A3238" s="160"/>
      <c r="B3238" s="160" t="s">
        <v>933</v>
      </c>
      <c r="C3238" s="157" t="s">
        <v>2679</v>
      </c>
      <c r="D3238" s="159">
        <v>1</v>
      </c>
      <c r="E3238" s="159"/>
      <c r="F3238" s="159">
        <v>251.06</v>
      </c>
      <c r="G3238" s="160"/>
    </row>
    <row r="3239" spans="1:7" ht="12.75" customHeight="1">
      <c r="A3239" s="160"/>
      <c r="B3239" s="160" t="s">
        <v>934</v>
      </c>
      <c r="C3239" s="157" t="s">
        <v>2679</v>
      </c>
      <c r="D3239" s="159"/>
      <c r="E3239" s="159"/>
      <c r="F3239" s="159">
        <v>251.06</v>
      </c>
      <c r="G3239" s="160"/>
    </row>
    <row r="3240" spans="1:7" ht="12.75" customHeight="1">
      <c r="A3240" s="160"/>
      <c r="B3240" s="160"/>
      <c r="C3240" s="157"/>
      <c r="D3240" s="159"/>
      <c r="E3240" s="159"/>
      <c r="F3240" s="159"/>
      <c r="G3240" s="160"/>
    </row>
    <row r="3241" spans="1:7" ht="12.75" customHeight="1">
      <c r="A3241" s="160" t="s">
        <v>5047</v>
      </c>
      <c r="B3241" s="160" t="s">
        <v>2732</v>
      </c>
      <c r="C3241" s="157" t="s">
        <v>1818</v>
      </c>
      <c r="D3241" s="159">
        <v>1</v>
      </c>
      <c r="E3241" s="159">
        <v>843.95</v>
      </c>
      <c r="F3241" s="159"/>
      <c r="G3241" s="160" t="s">
        <v>2733</v>
      </c>
    </row>
    <row r="3242" spans="1:7" ht="12.75" customHeight="1">
      <c r="A3242" s="160">
        <v>1</v>
      </c>
      <c r="B3242" s="160" t="s">
        <v>2734</v>
      </c>
      <c r="C3242" s="157" t="s">
        <v>1497</v>
      </c>
      <c r="D3242" s="159">
        <v>1</v>
      </c>
      <c r="E3242" s="159">
        <v>796.97</v>
      </c>
      <c r="F3242" s="159">
        <v>796.97</v>
      </c>
      <c r="G3242" s="160" t="s">
        <v>2735</v>
      </c>
    </row>
    <row r="3243" spans="1:7" ht="12.75" customHeight="1">
      <c r="A3243" s="160">
        <v>2</v>
      </c>
      <c r="B3243" s="160" t="s">
        <v>4871</v>
      </c>
      <c r="C3243" s="157" t="s">
        <v>927</v>
      </c>
      <c r="D3243" s="159">
        <v>0.08</v>
      </c>
      <c r="E3243" s="159">
        <v>279.94</v>
      </c>
      <c r="F3243" s="159">
        <v>22.4</v>
      </c>
      <c r="G3243" s="160" t="s">
        <v>4872</v>
      </c>
    </row>
    <row r="3244" spans="1:7" ht="12.75" customHeight="1">
      <c r="A3244" s="160">
        <v>3</v>
      </c>
      <c r="B3244" s="160" t="s">
        <v>931</v>
      </c>
      <c r="C3244" s="157" t="s">
        <v>14</v>
      </c>
      <c r="D3244" s="159">
        <v>1</v>
      </c>
      <c r="E3244" s="159">
        <v>24.58</v>
      </c>
      <c r="F3244" s="159">
        <v>24.58</v>
      </c>
      <c r="G3244" s="160" t="s">
        <v>932</v>
      </c>
    </row>
    <row r="3245" spans="1:7" ht="12.75" customHeight="1">
      <c r="A3245" s="160"/>
      <c r="B3245" s="160" t="s">
        <v>933</v>
      </c>
      <c r="C3245" s="157" t="s">
        <v>1818</v>
      </c>
      <c r="D3245" s="159">
        <v>1</v>
      </c>
      <c r="E3245" s="159"/>
      <c r="F3245" s="159">
        <v>843.95</v>
      </c>
      <c r="G3245" s="160"/>
    </row>
    <row r="3246" spans="1:7" ht="12.75" customHeight="1">
      <c r="A3246" s="160"/>
      <c r="B3246" s="160" t="s">
        <v>934</v>
      </c>
      <c r="C3246" s="157" t="s">
        <v>1818</v>
      </c>
      <c r="D3246" s="159"/>
      <c r="E3246" s="159"/>
      <c r="F3246" s="159">
        <v>843.95</v>
      </c>
      <c r="G3246" s="160"/>
    </row>
    <row r="3247" spans="1:7" ht="12.75" customHeight="1">
      <c r="A3247" s="160"/>
      <c r="B3247" s="160"/>
      <c r="C3247" s="157"/>
      <c r="D3247" s="159"/>
      <c r="E3247" s="159"/>
      <c r="F3247" s="159"/>
      <c r="G3247" s="160"/>
    </row>
    <row r="3248" spans="1:7" ht="12.75" customHeight="1">
      <c r="A3248" s="160" t="s">
        <v>5048</v>
      </c>
      <c r="B3248" s="160" t="s">
        <v>2737</v>
      </c>
      <c r="C3248" s="157" t="s">
        <v>1818</v>
      </c>
      <c r="D3248" s="159">
        <v>1</v>
      </c>
      <c r="E3248" s="159">
        <v>1231.82</v>
      </c>
      <c r="F3248" s="159"/>
      <c r="G3248" s="160" t="s">
        <v>2738</v>
      </c>
    </row>
    <row r="3249" spans="1:7" ht="12.75" customHeight="1">
      <c r="A3249" s="160">
        <v>1</v>
      </c>
      <c r="B3249" s="160" t="s">
        <v>2739</v>
      </c>
      <c r="C3249" s="157" t="s">
        <v>1497</v>
      </c>
      <c r="D3249" s="159">
        <v>1</v>
      </c>
      <c r="E3249" s="159">
        <v>611.67999999999995</v>
      </c>
      <c r="F3249" s="159">
        <v>611.67999999999995</v>
      </c>
      <c r="G3249" s="160" t="s">
        <v>2740</v>
      </c>
    </row>
    <row r="3250" spans="1:7" ht="12.75" customHeight="1">
      <c r="A3250" s="160">
        <v>2</v>
      </c>
      <c r="B3250" s="160" t="s">
        <v>2741</v>
      </c>
      <c r="C3250" s="157" t="s">
        <v>1497</v>
      </c>
      <c r="D3250" s="159">
        <v>4</v>
      </c>
      <c r="E3250" s="159">
        <v>1</v>
      </c>
      <c r="F3250" s="159">
        <v>4</v>
      </c>
      <c r="G3250" s="160" t="s">
        <v>2742</v>
      </c>
    </row>
    <row r="3251" spans="1:7" ht="12.75" customHeight="1">
      <c r="A3251" s="160">
        <v>3</v>
      </c>
      <c r="B3251" s="160" t="s">
        <v>2743</v>
      </c>
      <c r="C3251" s="157" t="s">
        <v>1497</v>
      </c>
      <c r="D3251" s="159">
        <v>2</v>
      </c>
      <c r="E3251" s="159">
        <v>19.920000000000002</v>
      </c>
      <c r="F3251" s="159">
        <v>39.840000000000003</v>
      </c>
      <c r="G3251" s="160" t="s">
        <v>2744</v>
      </c>
    </row>
    <row r="3252" spans="1:7" ht="12.75" customHeight="1">
      <c r="A3252" s="160">
        <v>4</v>
      </c>
      <c r="B3252" s="160" t="s">
        <v>2745</v>
      </c>
      <c r="C3252" s="157" t="s">
        <v>1818</v>
      </c>
      <c r="D3252" s="159">
        <v>1</v>
      </c>
      <c r="E3252" s="159">
        <v>362.62</v>
      </c>
      <c r="F3252" s="159">
        <v>362.62</v>
      </c>
      <c r="G3252" s="160" t="s">
        <v>2746</v>
      </c>
    </row>
    <row r="3253" spans="1:7" ht="12.75" customHeight="1">
      <c r="A3253" s="160">
        <v>5</v>
      </c>
      <c r="B3253" s="160" t="s">
        <v>2747</v>
      </c>
      <c r="C3253" s="157" t="s">
        <v>1497</v>
      </c>
      <c r="D3253" s="159">
        <v>4</v>
      </c>
      <c r="E3253" s="159">
        <v>38.85</v>
      </c>
      <c r="F3253" s="159">
        <v>155.4</v>
      </c>
      <c r="G3253" s="160" t="s">
        <v>2748</v>
      </c>
    </row>
    <row r="3254" spans="1:7" ht="12.75" customHeight="1">
      <c r="A3254" s="160">
        <v>6</v>
      </c>
      <c r="B3254" s="160" t="s">
        <v>4871</v>
      </c>
      <c r="C3254" s="157" t="s">
        <v>927</v>
      </c>
      <c r="D3254" s="159">
        <v>0.08</v>
      </c>
      <c r="E3254" s="159">
        <v>279.94</v>
      </c>
      <c r="F3254" s="159">
        <v>22.4</v>
      </c>
      <c r="G3254" s="160" t="s">
        <v>4872</v>
      </c>
    </row>
    <row r="3255" spans="1:7" ht="12.75" customHeight="1">
      <c r="A3255" s="160">
        <v>7</v>
      </c>
      <c r="B3255" s="160" t="s">
        <v>931</v>
      </c>
      <c r="C3255" s="157" t="s">
        <v>14</v>
      </c>
      <c r="D3255" s="159">
        <v>1</v>
      </c>
      <c r="E3255" s="159">
        <v>35.880000000000003</v>
      </c>
      <c r="F3255" s="159">
        <v>35.880000000000003</v>
      </c>
      <c r="G3255" s="160" t="s">
        <v>932</v>
      </c>
    </row>
    <row r="3256" spans="1:7" ht="12.75" customHeight="1">
      <c r="A3256" s="160"/>
      <c r="B3256" s="160" t="s">
        <v>933</v>
      </c>
      <c r="C3256" s="157" t="s">
        <v>1818</v>
      </c>
      <c r="D3256" s="159">
        <v>1</v>
      </c>
      <c r="E3256" s="159"/>
      <c r="F3256" s="159">
        <v>1231.8200000000002</v>
      </c>
      <c r="G3256" s="160"/>
    </row>
    <row r="3257" spans="1:7" ht="12.75" customHeight="1">
      <c r="A3257" s="160"/>
      <c r="B3257" s="160" t="s">
        <v>934</v>
      </c>
      <c r="C3257" s="157" t="s">
        <v>1818</v>
      </c>
      <c r="D3257" s="159"/>
      <c r="E3257" s="159"/>
      <c r="F3257" s="159">
        <v>1231.82</v>
      </c>
      <c r="G3257" s="160"/>
    </row>
    <row r="3258" spans="1:7" ht="12.75" customHeight="1">
      <c r="A3258" s="160"/>
      <c r="B3258" s="160"/>
      <c r="C3258" s="157"/>
      <c r="D3258" s="159"/>
      <c r="E3258" s="159"/>
      <c r="F3258" s="159"/>
      <c r="G3258" s="160"/>
    </row>
    <row r="3259" spans="1:7" ht="12.75" customHeight="1">
      <c r="A3259" s="160" t="s">
        <v>5049</v>
      </c>
      <c r="B3259" s="160" t="s">
        <v>2750</v>
      </c>
      <c r="C3259" s="157" t="s">
        <v>1818</v>
      </c>
      <c r="D3259" s="159">
        <v>1</v>
      </c>
      <c r="E3259" s="159">
        <v>2448.77</v>
      </c>
      <c r="F3259" s="159"/>
      <c r="G3259" s="160" t="s">
        <v>2751</v>
      </c>
    </row>
    <row r="3260" spans="1:7" ht="12.75" customHeight="1">
      <c r="A3260" s="160">
        <v>1</v>
      </c>
      <c r="B3260" s="160" t="s">
        <v>2752</v>
      </c>
      <c r="C3260" s="157" t="s">
        <v>1497</v>
      </c>
      <c r="D3260" s="159">
        <v>1</v>
      </c>
      <c r="E3260" s="159">
        <v>1793.19</v>
      </c>
      <c r="F3260" s="159">
        <v>1793.19</v>
      </c>
      <c r="G3260" s="160" t="s">
        <v>2753</v>
      </c>
    </row>
    <row r="3261" spans="1:7" ht="12.75" customHeight="1">
      <c r="A3261" s="160">
        <v>2</v>
      </c>
      <c r="B3261" s="160" t="s">
        <v>2743</v>
      </c>
      <c r="C3261" s="157" t="s">
        <v>1497</v>
      </c>
      <c r="D3261" s="159">
        <v>2</v>
      </c>
      <c r="E3261" s="159">
        <v>19.920000000000002</v>
      </c>
      <c r="F3261" s="159">
        <v>39.840000000000003</v>
      </c>
      <c r="G3261" s="160" t="s">
        <v>2744</v>
      </c>
    </row>
    <row r="3262" spans="1:7" ht="12.75" customHeight="1">
      <c r="A3262" s="160">
        <v>3</v>
      </c>
      <c r="B3262" s="160" t="s">
        <v>2745</v>
      </c>
      <c r="C3262" s="157" t="s">
        <v>1818</v>
      </c>
      <c r="D3262" s="159">
        <v>1</v>
      </c>
      <c r="E3262" s="159">
        <v>362.62</v>
      </c>
      <c r="F3262" s="159">
        <v>362.62</v>
      </c>
      <c r="G3262" s="160" t="s">
        <v>2746</v>
      </c>
    </row>
    <row r="3263" spans="1:7" ht="12.75" customHeight="1">
      <c r="A3263" s="160">
        <v>4</v>
      </c>
      <c r="B3263" s="160" t="s">
        <v>2747</v>
      </c>
      <c r="C3263" s="157" t="s">
        <v>1497</v>
      </c>
      <c r="D3263" s="159">
        <v>4</v>
      </c>
      <c r="E3263" s="159">
        <v>38.85</v>
      </c>
      <c r="F3263" s="159">
        <v>155.4</v>
      </c>
      <c r="G3263" s="160" t="s">
        <v>2748</v>
      </c>
    </row>
    <row r="3264" spans="1:7" ht="12.75" customHeight="1">
      <c r="A3264" s="160">
        <v>5</v>
      </c>
      <c r="B3264" s="160" t="s">
        <v>2741</v>
      </c>
      <c r="C3264" s="157" t="s">
        <v>1497</v>
      </c>
      <c r="D3264" s="159">
        <v>4</v>
      </c>
      <c r="E3264" s="159">
        <v>1</v>
      </c>
      <c r="F3264" s="159">
        <v>4</v>
      </c>
      <c r="G3264" s="160" t="s">
        <v>2742</v>
      </c>
    </row>
    <row r="3265" spans="1:7" ht="12.75" customHeight="1">
      <c r="A3265" s="160">
        <v>6</v>
      </c>
      <c r="B3265" s="160" t="s">
        <v>4871</v>
      </c>
      <c r="C3265" s="157" t="s">
        <v>927</v>
      </c>
      <c r="D3265" s="159">
        <v>0.08</v>
      </c>
      <c r="E3265" s="159">
        <v>279.94</v>
      </c>
      <c r="F3265" s="159">
        <v>22.4</v>
      </c>
      <c r="G3265" s="160" t="s">
        <v>4872</v>
      </c>
    </row>
    <row r="3266" spans="1:7" ht="12.75" customHeight="1">
      <c r="A3266" s="160">
        <v>7</v>
      </c>
      <c r="B3266" s="160" t="s">
        <v>931</v>
      </c>
      <c r="C3266" s="157" t="s">
        <v>14</v>
      </c>
      <c r="D3266" s="159">
        <v>1</v>
      </c>
      <c r="E3266" s="159">
        <v>71.319999999999993</v>
      </c>
      <c r="F3266" s="159">
        <v>71.319999999999993</v>
      </c>
      <c r="G3266" s="160" t="s">
        <v>932</v>
      </c>
    </row>
    <row r="3267" spans="1:7" ht="12.75" customHeight="1">
      <c r="A3267" s="160"/>
      <c r="B3267" s="160" t="s">
        <v>933</v>
      </c>
      <c r="C3267" s="157" t="s">
        <v>1818</v>
      </c>
      <c r="D3267" s="159">
        <v>1</v>
      </c>
      <c r="E3267" s="159"/>
      <c r="F3267" s="159">
        <v>2448.7700000000004</v>
      </c>
      <c r="G3267" s="160"/>
    </row>
    <row r="3268" spans="1:7" ht="12.75" customHeight="1">
      <c r="A3268" s="160"/>
      <c r="B3268" s="160" t="s">
        <v>934</v>
      </c>
      <c r="C3268" s="157" t="s">
        <v>1818</v>
      </c>
      <c r="D3268" s="159"/>
      <c r="E3268" s="159"/>
      <c r="F3268" s="159">
        <v>2448.77</v>
      </c>
      <c r="G3268" s="160"/>
    </row>
    <row r="3269" spans="1:7" ht="12.75" customHeight="1">
      <c r="A3269" s="160"/>
      <c r="B3269" s="160"/>
      <c r="C3269" s="157"/>
      <c r="D3269" s="159"/>
      <c r="E3269" s="159"/>
      <c r="F3269" s="159"/>
      <c r="G3269" s="160"/>
    </row>
    <row r="3270" spans="1:7" ht="12.75" customHeight="1">
      <c r="A3270" s="160" t="s">
        <v>5050</v>
      </c>
      <c r="B3270" s="160" t="s">
        <v>2755</v>
      </c>
      <c r="C3270" s="157" t="s">
        <v>2679</v>
      </c>
      <c r="D3270" s="159">
        <v>1</v>
      </c>
      <c r="E3270" s="159">
        <v>329.19</v>
      </c>
      <c r="F3270" s="159"/>
      <c r="G3270" s="160" t="s">
        <v>2756</v>
      </c>
    </row>
    <row r="3271" spans="1:7" ht="12.75" customHeight="1">
      <c r="A3271" s="160">
        <v>1</v>
      </c>
      <c r="B3271" s="160" t="s">
        <v>2757</v>
      </c>
      <c r="C3271" s="157" t="s">
        <v>14</v>
      </c>
      <c r="D3271" s="159">
        <v>1</v>
      </c>
      <c r="E3271" s="159">
        <v>14.94</v>
      </c>
      <c r="F3271" s="159">
        <v>14.94</v>
      </c>
      <c r="G3271" s="160" t="s">
        <v>2758</v>
      </c>
    </row>
    <row r="3272" spans="1:7" ht="12.75" customHeight="1">
      <c r="A3272" s="160">
        <v>2</v>
      </c>
      <c r="B3272" s="160" t="s">
        <v>2759</v>
      </c>
      <c r="C3272" s="157" t="s">
        <v>2679</v>
      </c>
      <c r="D3272" s="159">
        <v>1</v>
      </c>
      <c r="E3272" s="159">
        <v>249.05</v>
      </c>
      <c r="F3272" s="159">
        <v>249.05</v>
      </c>
      <c r="G3272" s="160" t="s">
        <v>2760</v>
      </c>
    </row>
    <row r="3273" spans="1:7" ht="12.75" customHeight="1">
      <c r="A3273" s="160">
        <v>3</v>
      </c>
      <c r="B3273" s="160" t="s">
        <v>2761</v>
      </c>
      <c r="C3273" s="157" t="s">
        <v>3</v>
      </c>
      <c r="D3273" s="159">
        <v>0.02</v>
      </c>
      <c r="E3273" s="159">
        <v>2220.5700000000002</v>
      </c>
      <c r="F3273" s="159">
        <v>44.41</v>
      </c>
      <c r="G3273" s="160" t="s">
        <v>2762</v>
      </c>
    </row>
    <row r="3274" spans="1:7" ht="12.75" customHeight="1">
      <c r="A3274" s="160">
        <v>4</v>
      </c>
      <c r="B3274" s="160" t="s">
        <v>4871</v>
      </c>
      <c r="C3274" s="157" t="s">
        <v>927</v>
      </c>
      <c r="D3274" s="159">
        <v>0.04</v>
      </c>
      <c r="E3274" s="159">
        <v>279.94</v>
      </c>
      <c r="F3274" s="159">
        <v>11.2</v>
      </c>
      <c r="G3274" s="160" t="s">
        <v>4872</v>
      </c>
    </row>
    <row r="3275" spans="1:7" ht="12.75" customHeight="1">
      <c r="A3275" s="160">
        <v>5</v>
      </c>
      <c r="B3275" s="160" t="s">
        <v>931</v>
      </c>
      <c r="C3275" s="157" t="s">
        <v>14</v>
      </c>
      <c r="D3275" s="159">
        <v>1</v>
      </c>
      <c r="E3275" s="159">
        <v>9.59</v>
      </c>
      <c r="F3275" s="159">
        <v>9.59</v>
      </c>
      <c r="G3275" s="160" t="s">
        <v>932</v>
      </c>
    </row>
    <row r="3276" spans="1:7" ht="12.75" customHeight="1">
      <c r="A3276" s="160"/>
      <c r="B3276" s="160" t="s">
        <v>933</v>
      </c>
      <c r="C3276" s="157" t="s">
        <v>2679</v>
      </c>
      <c r="D3276" s="159">
        <v>1</v>
      </c>
      <c r="E3276" s="159"/>
      <c r="F3276" s="159">
        <v>329.18999999999994</v>
      </c>
      <c r="G3276" s="160"/>
    </row>
    <row r="3277" spans="1:7" ht="12.75" customHeight="1">
      <c r="A3277" s="160"/>
      <c r="B3277" s="160" t="s">
        <v>934</v>
      </c>
      <c r="C3277" s="157" t="s">
        <v>2679</v>
      </c>
      <c r="D3277" s="159"/>
      <c r="E3277" s="159"/>
      <c r="F3277" s="159">
        <v>329.19</v>
      </c>
      <c r="G3277" s="160"/>
    </row>
    <row r="3278" spans="1:7" ht="12.75" customHeight="1">
      <c r="A3278" s="160"/>
      <c r="B3278" s="160"/>
      <c r="C3278" s="157"/>
      <c r="D3278" s="159"/>
      <c r="E3278" s="159"/>
      <c r="F3278" s="159"/>
      <c r="G3278" s="160"/>
    </row>
    <row r="3279" spans="1:7" ht="12.75" customHeight="1">
      <c r="A3279" s="160" t="s">
        <v>5051</v>
      </c>
      <c r="B3279" s="160" t="s">
        <v>913</v>
      </c>
      <c r="C3279" s="157" t="s">
        <v>3</v>
      </c>
      <c r="D3279" s="159">
        <v>10</v>
      </c>
      <c r="E3279" s="159">
        <v>916.44</v>
      </c>
      <c r="F3279" s="159"/>
      <c r="G3279" s="160" t="s">
        <v>2764</v>
      </c>
    </row>
    <row r="3280" spans="1:7" ht="12.75" customHeight="1">
      <c r="A3280" s="160">
        <v>1</v>
      </c>
      <c r="B3280" s="160" t="s">
        <v>2765</v>
      </c>
      <c r="C3280" s="157" t="s">
        <v>18</v>
      </c>
      <c r="D3280" s="159">
        <v>43</v>
      </c>
      <c r="E3280" s="159">
        <v>105.85</v>
      </c>
      <c r="F3280" s="159">
        <v>4551.55</v>
      </c>
      <c r="G3280" s="160" t="s">
        <v>2766</v>
      </c>
    </row>
    <row r="3281" spans="1:7" ht="12.75" customHeight="1">
      <c r="A3281" s="160">
        <v>2</v>
      </c>
      <c r="B3281" s="160" t="s">
        <v>2767</v>
      </c>
      <c r="C3281" s="157" t="s">
        <v>18</v>
      </c>
      <c r="D3281" s="159">
        <v>11</v>
      </c>
      <c r="E3281" s="159">
        <v>16.07</v>
      </c>
      <c r="F3281" s="159">
        <v>176.77</v>
      </c>
      <c r="G3281" s="160" t="s">
        <v>2768</v>
      </c>
    </row>
    <row r="3282" spans="1:7" ht="12.75" customHeight="1">
      <c r="A3282" s="160">
        <v>3</v>
      </c>
      <c r="B3282" s="160" t="s">
        <v>2716</v>
      </c>
      <c r="C3282" s="157" t="s">
        <v>18</v>
      </c>
      <c r="D3282" s="159">
        <v>1.4</v>
      </c>
      <c r="E3282" s="159">
        <v>20.149999999999999</v>
      </c>
      <c r="F3282" s="159">
        <v>28.21</v>
      </c>
      <c r="G3282" s="160" t="s">
        <v>2717</v>
      </c>
    </row>
    <row r="3283" spans="1:7" ht="12.75" customHeight="1">
      <c r="A3283" s="160">
        <v>4</v>
      </c>
      <c r="B3283" s="160" t="s">
        <v>2769</v>
      </c>
      <c r="C3283" s="157" t="s">
        <v>18</v>
      </c>
      <c r="D3283" s="159">
        <v>2</v>
      </c>
      <c r="E3283" s="159">
        <v>65.150000000000006</v>
      </c>
      <c r="F3283" s="159">
        <v>130.30000000000001</v>
      </c>
      <c r="G3283" s="160" t="s">
        <v>2770</v>
      </c>
    </row>
    <row r="3284" spans="1:7" ht="12.75" customHeight="1">
      <c r="A3284" s="160">
        <v>5</v>
      </c>
      <c r="B3284" s="160" t="s">
        <v>2771</v>
      </c>
      <c r="C3284" s="157" t="s">
        <v>927</v>
      </c>
      <c r="D3284" s="159">
        <v>3.4</v>
      </c>
      <c r="E3284" s="159">
        <v>49.81</v>
      </c>
      <c r="F3284" s="159">
        <v>169.35</v>
      </c>
      <c r="G3284" s="160" t="s">
        <v>2772</v>
      </c>
    </row>
    <row r="3285" spans="1:7" ht="12.75" customHeight="1">
      <c r="A3285" s="160">
        <v>6</v>
      </c>
      <c r="B3285" s="160" t="s">
        <v>2718</v>
      </c>
      <c r="C3285" s="157" t="s">
        <v>927</v>
      </c>
      <c r="D3285" s="159">
        <v>3.4</v>
      </c>
      <c r="E3285" s="159">
        <v>399.48</v>
      </c>
      <c r="F3285" s="159">
        <v>1358.23</v>
      </c>
      <c r="G3285" s="160" t="s">
        <v>2719</v>
      </c>
    </row>
    <row r="3286" spans="1:7" ht="12.75" customHeight="1">
      <c r="A3286" s="160">
        <v>7</v>
      </c>
      <c r="B3286" s="160" t="s">
        <v>4871</v>
      </c>
      <c r="C3286" s="157" t="s">
        <v>927</v>
      </c>
      <c r="D3286" s="159">
        <v>3.4</v>
      </c>
      <c r="E3286" s="159">
        <v>279.94</v>
      </c>
      <c r="F3286" s="159">
        <v>951.8</v>
      </c>
      <c r="G3286" s="160" t="s">
        <v>4872</v>
      </c>
    </row>
    <row r="3287" spans="1:7" ht="12.75" customHeight="1">
      <c r="A3287" s="160">
        <v>8</v>
      </c>
      <c r="B3287" s="160" t="s">
        <v>2773</v>
      </c>
      <c r="C3287" s="157" t="s">
        <v>927</v>
      </c>
      <c r="D3287" s="159">
        <v>3.4</v>
      </c>
      <c r="E3287" s="159">
        <v>399.48</v>
      </c>
      <c r="F3287" s="159">
        <v>1358.23</v>
      </c>
      <c r="G3287" s="160" t="s">
        <v>2774</v>
      </c>
    </row>
    <row r="3288" spans="1:7" ht="12.75" customHeight="1">
      <c r="A3288" s="160">
        <v>9</v>
      </c>
      <c r="B3288" s="160" t="s">
        <v>2775</v>
      </c>
      <c r="C3288" s="157" t="s">
        <v>14</v>
      </c>
      <c r="D3288" s="159">
        <v>1</v>
      </c>
      <c r="E3288" s="159">
        <v>173.04</v>
      </c>
      <c r="F3288" s="159">
        <v>173.04</v>
      </c>
      <c r="G3288" s="160" t="s">
        <v>2776</v>
      </c>
    </row>
    <row r="3289" spans="1:7" ht="12.75" customHeight="1">
      <c r="A3289" s="160">
        <v>10</v>
      </c>
      <c r="B3289" s="160" t="s">
        <v>931</v>
      </c>
      <c r="C3289" s="157" t="s">
        <v>14</v>
      </c>
      <c r="D3289" s="159">
        <v>1</v>
      </c>
      <c r="E3289" s="159">
        <v>266.92</v>
      </c>
      <c r="F3289" s="159">
        <v>266.92</v>
      </c>
      <c r="G3289" s="160" t="s">
        <v>932</v>
      </c>
    </row>
    <row r="3290" spans="1:7" ht="12.75" customHeight="1">
      <c r="A3290" s="160"/>
      <c r="B3290" s="160" t="s">
        <v>933</v>
      </c>
      <c r="C3290" s="157" t="s">
        <v>3</v>
      </c>
      <c r="D3290" s="159">
        <v>10</v>
      </c>
      <c r="E3290" s="159"/>
      <c r="F3290" s="159">
        <v>9164.4000000000033</v>
      </c>
      <c r="G3290" s="160"/>
    </row>
    <row r="3291" spans="1:7" ht="12.75" customHeight="1">
      <c r="A3291" s="160"/>
      <c r="B3291" s="160" t="s">
        <v>934</v>
      </c>
      <c r="C3291" s="157" t="s">
        <v>3</v>
      </c>
      <c r="D3291" s="159"/>
      <c r="E3291" s="159"/>
      <c r="F3291" s="159">
        <v>916.44</v>
      </c>
      <c r="G3291" s="160"/>
    </row>
    <row r="3292" spans="1:7" ht="12.75" customHeight="1">
      <c r="A3292" s="160"/>
      <c r="B3292" s="160"/>
      <c r="C3292" s="157"/>
      <c r="D3292" s="159"/>
      <c r="E3292" s="159"/>
      <c r="F3292" s="159"/>
      <c r="G3292" s="160"/>
    </row>
    <row r="3293" spans="1:7" ht="12.75" customHeight="1">
      <c r="A3293" s="160" t="s">
        <v>5052</v>
      </c>
      <c r="B3293" s="160" t="s">
        <v>2778</v>
      </c>
      <c r="C3293" s="157" t="s">
        <v>3</v>
      </c>
      <c r="D3293" s="159">
        <v>10</v>
      </c>
      <c r="E3293" s="159">
        <v>650.84</v>
      </c>
      <c r="F3293" s="159"/>
      <c r="G3293" s="160" t="s">
        <v>2779</v>
      </c>
    </row>
    <row r="3294" spans="1:7" ht="12.75" customHeight="1">
      <c r="A3294" s="160">
        <v>1</v>
      </c>
      <c r="B3294" s="160" t="s">
        <v>2765</v>
      </c>
      <c r="C3294" s="157" t="s">
        <v>18</v>
      </c>
      <c r="D3294" s="159">
        <v>43</v>
      </c>
      <c r="E3294" s="159">
        <v>105.85</v>
      </c>
      <c r="F3294" s="159">
        <v>4551.55</v>
      </c>
      <c r="G3294" s="160" t="s">
        <v>2766</v>
      </c>
    </row>
    <row r="3295" spans="1:7" ht="12.75" customHeight="1">
      <c r="A3295" s="160">
        <v>2</v>
      </c>
      <c r="B3295" s="160" t="s">
        <v>2767</v>
      </c>
      <c r="C3295" s="157" t="s">
        <v>18</v>
      </c>
      <c r="D3295" s="159">
        <v>11</v>
      </c>
      <c r="E3295" s="159">
        <v>16.07</v>
      </c>
      <c r="F3295" s="159">
        <v>176.77</v>
      </c>
      <c r="G3295" s="160" t="s">
        <v>2768</v>
      </c>
    </row>
    <row r="3296" spans="1:7" ht="12.75" customHeight="1">
      <c r="A3296" s="160">
        <v>3</v>
      </c>
      <c r="B3296" s="160" t="s">
        <v>2716</v>
      </c>
      <c r="C3296" s="157" t="s">
        <v>18</v>
      </c>
      <c r="D3296" s="159">
        <v>1.4</v>
      </c>
      <c r="E3296" s="159">
        <v>20.149999999999999</v>
      </c>
      <c r="F3296" s="159">
        <v>28.21</v>
      </c>
      <c r="G3296" s="160" t="s">
        <v>2717</v>
      </c>
    </row>
    <row r="3297" spans="1:7" ht="12.75" customHeight="1">
      <c r="A3297" s="160">
        <v>4</v>
      </c>
      <c r="B3297" s="160" t="s">
        <v>2769</v>
      </c>
      <c r="C3297" s="157" t="s">
        <v>18</v>
      </c>
      <c r="D3297" s="159">
        <v>2</v>
      </c>
      <c r="E3297" s="159">
        <v>65.150000000000006</v>
      </c>
      <c r="F3297" s="159">
        <v>130.30000000000001</v>
      </c>
      <c r="G3297" s="160" t="s">
        <v>2770</v>
      </c>
    </row>
    <row r="3298" spans="1:7" ht="12.75" customHeight="1">
      <c r="A3298" s="160">
        <v>5</v>
      </c>
      <c r="B3298" s="160" t="s">
        <v>2771</v>
      </c>
      <c r="C3298" s="157" t="s">
        <v>927</v>
      </c>
      <c r="D3298" s="159">
        <v>1.25</v>
      </c>
      <c r="E3298" s="159">
        <v>49.81</v>
      </c>
      <c r="F3298" s="159">
        <v>62.26</v>
      </c>
      <c r="G3298" s="160" t="s">
        <v>2772</v>
      </c>
    </row>
    <row r="3299" spans="1:7" ht="12.75" customHeight="1">
      <c r="A3299" s="160">
        <v>6</v>
      </c>
      <c r="B3299" s="160" t="s">
        <v>2718</v>
      </c>
      <c r="C3299" s="157" t="s">
        <v>927</v>
      </c>
      <c r="D3299" s="159">
        <v>1.25</v>
      </c>
      <c r="E3299" s="159">
        <v>399.48</v>
      </c>
      <c r="F3299" s="159">
        <v>499.35</v>
      </c>
      <c r="G3299" s="160" t="s">
        <v>2719</v>
      </c>
    </row>
    <row r="3300" spans="1:7" ht="12.75" customHeight="1">
      <c r="A3300" s="160">
        <v>7</v>
      </c>
      <c r="B3300" s="160" t="s">
        <v>4871</v>
      </c>
      <c r="C3300" s="157" t="s">
        <v>927</v>
      </c>
      <c r="D3300" s="159">
        <v>1.25</v>
      </c>
      <c r="E3300" s="159">
        <v>279.94</v>
      </c>
      <c r="F3300" s="159">
        <v>349.93</v>
      </c>
      <c r="G3300" s="160" t="s">
        <v>4872</v>
      </c>
    </row>
    <row r="3301" spans="1:7" ht="12.75" customHeight="1">
      <c r="A3301" s="160">
        <v>8</v>
      </c>
      <c r="B3301" s="160" t="s">
        <v>2773</v>
      </c>
      <c r="C3301" s="157" t="s">
        <v>927</v>
      </c>
      <c r="D3301" s="159">
        <v>1.25</v>
      </c>
      <c r="E3301" s="159">
        <v>399.48</v>
      </c>
      <c r="F3301" s="159">
        <v>499.35</v>
      </c>
      <c r="G3301" s="160" t="s">
        <v>2774</v>
      </c>
    </row>
    <row r="3302" spans="1:7" ht="12.75" customHeight="1">
      <c r="A3302" s="160">
        <v>9</v>
      </c>
      <c r="B3302" s="160" t="s">
        <v>2775</v>
      </c>
      <c r="C3302" s="157" t="s">
        <v>14</v>
      </c>
      <c r="D3302" s="159">
        <v>1</v>
      </c>
      <c r="E3302" s="159">
        <v>21.12</v>
      </c>
      <c r="F3302" s="159">
        <v>21.12</v>
      </c>
      <c r="G3302" s="160" t="s">
        <v>2776</v>
      </c>
    </row>
    <row r="3303" spans="1:7" ht="12.75" customHeight="1">
      <c r="A3303" s="160">
        <v>10</v>
      </c>
      <c r="B3303" s="160" t="s">
        <v>931</v>
      </c>
      <c r="C3303" s="157" t="s">
        <v>14</v>
      </c>
      <c r="D3303" s="159">
        <v>1</v>
      </c>
      <c r="E3303" s="159">
        <v>189.57</v>
      </c>
      <c r="F3303" s="159">
        <v>189.57</v>
      </c>
      <c r="G3303" s="160" t="s">
        <v>932</v>
      </c>
    </row>
    <row r="3304" spans="1:7" ht="12.75" customHeight="1">
      <c r="A3304" s="160"/>
      <c r="B3304" s="160" t="s">
        <v>933</v>
      </c>
      <c r="C3304" s="157" t="s">
        <v>3</v>
      </c>
      <c r="D3304" s="159">
        <v>10</v>
      </c>
      <c r="E3304" s="159"/>
      <c r="F3304" s="159">
        <v>6508.4100000000017</v>
      </c>
      <c r="G3304" s="160"/>
    </row>
    <row r="3305" spans="1:7" ht="12.75" customHeight="1">
      <c r="A3305" s="160"/>
      <c r="B3305" s="160" t="s">
        <v>934</v>
      </c>
      <c r="C3305" s="157" t="s">
        <v>3</v>
      </c>
      <c r="D3305" s="159"/>
      <c r="E3305" s="159"/>
      <c r="F3305" s="159">
        <v>650.84</v>
      </c>
      <c r="G3305" s="160"/>
    </row>
    <row r="3306" spans="1:7" ht="12.75" customHeight="1">
      <c r="A3306" s="160"/>
      <c r="B3306" s="160"/>
      <c r="C3306" s="157"/>
      <c r="D3306" s="159"/>
      <c r="E3306" s="159"/>
      <c r="F3306" s="159"/>
      <c r="G3306" s="160"/>
    </row>
    <row r="3307" spans="1:7" ht="12.75" customHeight="1">
      <c r="A3307" s="160" t="s">
        <v>5053</v>
      </c>
      <c r="B3307" s="160" t="s">
        <v>2781</v>
      </c>
      <c r="C3307" s="157" t="s">
        <v>2782</v>
      </c>
      <c r="D3307" s="159">
        <v>1000</v>
      </c>
      <c r="E3307" s="159">
        <v>54.55</v>
      </c>
      <c r="F3307" s="159"/>
      <c r="G3307" s="160" t="s">
        <v>2783</v>
      </c>
    </row>
    <row r="3308" spans="1:7" ht="12.75" customHeight="1">
      <c r="A3308" s="160">
        <v>1</v>
      </c>
      <c r="B3308" s="160" t="s">
        <v>4871</v>
      </c>
      <c r="C3308" s="157" t="s">
        <v>927</v>
      </c>
      <c r="D3308" s="159">
        <v>189.2</v>
      </c>
      <c r="E3308" s="159">
        <v>279.94</v>
      </c>
      <c r="F3308" s="159">
        <v>52964.65</v>
      </c>
      <c r="G3308" s="160" t="s">
        <v>4876</v>
      </c>
    </row>
    <row r="3309" spans="1:7" ht="12.75" customHeight="1">
      <c r="A3309" s="160">
        <v>2</v>
      </c>
      <c r="B3309" s="160" t="s">
        <v>931</v>
      </c>
      <c r="C3309" s="157" t="s">
        <v>14</v>
      </c>
      <c r="D3309" s="159">
        <v>1</v>
      </c>
      <c r="E3309" s="159">
        <v>1588.94</v>
      </c>
      <c r="F3309" s="159">
        <v>1588.94</v>
      </c>
      <c r="G3309" s="160" t="s">
        <v>932</v>
      </c>
    </row>
    <row r="3310" spans="1:7" ht="12.75" customHeight="1">
      <c r="A3310" s="160"/>
      <c r="B3310" s="160" t="s">
        <v>933</v>
      </c>
      <c r="C3310" s="157" t="s">
        <v>2782</v>
      </c>
      <c r="D3310" s="159">
        <v>1000</v>
      </c>
      <c r="E3310" s="159"/>
      <c r="F3310" s="159">
        <v>54553.590000000004</v>
      </c>
      <c r="G3310" s="160"/>
    </row>
    <row r="3311" spans="1:7" ht="12.75" customHeight="1">
      <c r="A3311" s="160"/>
      <c r="B3311" s="160" t="s">
        <v>934</v>
      </c>
      <c r="C3311" s="157" t="s">
        <v>2782</v>
      </c>
      <c r="D3311" s="159"/>
      <c r="E3311" s="159"/>
      <c r="F3311" s="159">
        <v>54.55</v>
      </c>
      <c r="G3311" s="160"/>
    </row>
    <row r="3312" spans="1:7" ht="12.75" customHeight="1">
      <c r="A3312" s="160"/>
      <c r="B3312" s="160"/>
      <c r="C3312" s="157"/>
      <c r="D3312" s="159"/>
      <c r="E3312" s="159"/>
      <c r="F3312" s="159"/>
      <c r="G3312" s="160"/>
    </row>
    <row r="3313" spans="1:7" ht="12.75" customHeight="1">
      <c r="A3313" s="160" t="s">
        <v>5054</v>
      </c>
      <c r="B3313" s="160" t="s">
        <v>2785</v>
      </c>
      <c r="C3313" s="157" t="s">
        <v>2786</v>
      </c>
      <c r="D3313" s="159">
        <v>12</v>
      </c>
      <c r="E3313" s="159">
        <v>13765.76</v>
      </c>
      <c r="F3313" s="159"/>
      <c r="G3313" s="160" t="s">
        <v>2787</v>
      </c>
    </row>
    <row r="3314" spans="1:7" ht="12.75" customHeight="1">
      <c r="A3314" s="160">
        <v>1</v>
      </c>
      <c r="B3314" s="160" t="s">
        <v>1038</v>
      </c>
      <c r="C3314" s="157" t="s">
        <v>927</v>
      </c>
      <c r="D3314" s="159">
        <v>375</v>
      </c>
      <c r="E3314" s="159">
        <v>69.739999999999995</v>
      </c>
      <c r="F3314" s="159">
        <v>26152.5</v>
      </c>
      <c r="G3314" s="160" t="s">
        <v>1039</v>
      </c>
    </row>
    <row r="3315" spans="1:7" ht="12.75" customHeight="1">
      <c r="A3315" s="160">
        <v>2</v>
      </c>
      <c r="B3315" s="160" t="s">
        <v>5055</v>
      </c>
      <c r="C3315" s="157" t="s">
        <v>927</v>
      </c>
      <c r="D3315" s="159">
        <v>336</v>
      </c>
      <c r="E3315" s="159">
        <v>399.48</v>
      </c>
      <c r="F3315" s="159">
        <v>134225.28</v>
      </c>
      <c r="G3315" s="160" t="s">
        <v>5056</v>
      </c>
    </row>
    <row r="3316" spans="1:7" ht="12.75" customHeight="1">
      <c r="A3316" s="160">
        <v>3</v>
      </c>
      <c r="B3316" s="160" t="s">
        <v>931</v>
      </c>
      <c r="C3316" s="157" t="s">
        <v>14</v>
      </c>
      <c r="D3316" s="159">
        <v>1</v>
      </c>
      <c r="E3316" s="159">
        <v>4811.33</v>
      </c>
      <c r="F3316" s="159">
        <v>4811.33</v>
      </c>
      <c r="G3316" s="160" t="s">
        <v>932</v>
      </c>
    </row>
    <row r="3317" spans="1:7" ht="12.75" customHeight="1">
      <c r="A3317" s="160"/>
      <c r="B3317" s="160" t="s">
        <v>933</v>
      </c>
      <c r="C3317" s="157" t="s">
        <v>2786</v>
      </c>
      <c r="D3317" s="159">
        <v>12</v>
      </c>
      <c r="E3317" s="159"/>
      <c r="F3317" s="159">
        <v>165189.10999999999</v>
      </c>
      <c r="G3317" s="160"/>
    </row>
    <row r="3318" spans="1:7" ht="12.75" customHeight="1">
      <c r="A3318" s="160"/>
      <c r="B3318" s="160" t="s">
        <v>934</v>
      </c>
      <c r="C3318" s="157" t="s">
        <v>2786</v>
      </c>
      <c r="D3318" s="159"/>
      <c r="E3318" s="159"/>
      <c r="F3318" s="159">
        <v>13765.76</v>
      </c>
      <c r="G3318" s="160"/>
    </row>
    <row r="3319" spans="1:7" ht="12.75" customHeight="1">
      <c r="A3319" s="160"/>
      <c r="B3319" s="160"/>
      <c r="C3319" s="157"/>
      <c r="D3319" s="159"/>
      <c r="E3319" s="159"/>
      <c r="F3319" s="159"/>
      <c r="G3319" s="160"/>
    </row>
  </sheetData>
  <sheetProtection autoFilter="0"/>
  <mergeCells count="5">
    <mergeCell ref="A1:G1"/>
    <mergeCell ref="A2:G2"/>
    <mergeCell ref="A3:G3"/>
    <mergeCell ref="A4:G4"/>
    <mergeCell ref="A5:G5"/>
  </mergeCells>
  <phoneticPr fontId="3" type="noConversion"/>
  <printOptions horizontalCentered="1"/>
  <pageMargins left="0.47244094488188981" right="0.31496062992125984" top="0.47244094488188981" bottom="0.78740157480314965" header="0.51181102362204722" footer="0.51181102362204722"/>
  <pageSetup paperSize="9" orientation="portrait" r:id="rId1"/>
  <headerFooter alignWithMargins="0">
    <oddHeader>&amp;R&amp;"標楷體,標準"
第&amp;"Times New Roman,標準"&amp;P&amp;"標楷體,標準"頁,共&amp;"Times New Roman,標準"&amp;N&amp;"標楷體,標準"頁 &amp;"新細明體,標準"          &amp;L&amp;G</oddHeader>
    <oddFooter xml:space="preserve">&amp;C&amp;"標楷體,標準"編製：　　　　　　　　　　　　　　　校核： </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EA017-F04D-45AE-89FF-AF07308D02F9}">
  <sheetPr codeName="工作表24">
    <tabColor theme="5" tint="0.59999389629810485"/>
  </sheetPr>
  <dimension ref="A1:H3319"/>
  <sheetViews>
    <sheetView zoomScaleNormal="100" zoomScaleSheetLayoutView="100" workbookViewId="0">
      <selection activeCell="A6" sqref="A1:I1048576"/>
    </sheetView>
  </sheetViews>
  <sheetFormatPr defaultRowHeight="12.75" customHeight="1"/>
  <cols>
    <col min="1" max="1" width="7.875" style="162" customWidth="1"/>
    <col min="2" max="2" width="24.375" style="162" customWidth="1"/>
    <col min="3" max="3" width="5.5" style="162" customWidth="1"/>
    <col min="4" max="4" width="8.875" style="162" customWidth="1"/>
    <col min="5" max="5" width="9.875" style="162" customWidth="1"/>
    <col min="6" max="6" width="9" style="165" customWidth="1"/>
    <col min="7" max="7" width="14.625" style="165" customWidth="1"/>
    <col min="8" max="8" width="0.75" style="31" customWidth="1"/>
    <col min="9" max="16384" width="9" style="32"/>
  </cols>
  <sheetData>
    <row r="1" spans="1:8" ht="30.75" customHeight="1">
      <c r="A1" s="1654" t="s">
        <v>914</v>
      </c>
      <c r="B1" s="1654"/>
      <c r="C1" s="1654"/>
      <c r="D1" s="1654"/>
      <c r="E1" s="1654"/>
      <c r="F1" s="1654"/>
      <c r="G1" s="1654"/>
    </row>
    <row r="2" spans="1:8" ht="20.25" customHeight="1">
      <c r="A2" s="1654" t="s">
        <v>915</v>
      </c>
      <c r="B2" s="1654"/>
      <c r="C2" s="1654"/>
      <c r="D2" s="1654"/>
      <c r="E2" s="1654"/>
      <c r="F2" s="1654"/>
      <c r="G2" s="1654"/>
    </row>
    <row r="3" spans="1:8" ht="16.5" customHeight="1">
      <c r="A3" s="1658"/>
      <c r="B3" s="1658"/>
      <c r="C3" s="1658"/>
      <c r="D3" s="1658"/>
      <c r="E3" s="1658"/>
      <c r="F3" s="1658"/>
      <c r="G3" s="1658"/>
    </row>
    <row r="4" spans="1:8" ht="16.5" customHeight="1">
      <c r="A4" s="1680" t="s">
        <v>5553</v>
      </c>
      <c r="B4" s="1681"/>
      <c r="C4" s="1681"/>
      <c r="D4" s="1681"/>
      <c r="E4" s="1681"/>
      <c r="F4" s="1681"/>
      <c r="G4" s="1681"/>
    </row>
    <row r="5" spans="1:8" s="33" customFormat="1" ht="17.25" customHeight="1">
      <c r="A5" s="1680" t="s">
        <v>5554</v>
      </c>
      <c r="B5" s="1681"/>
      <c r="C5" s="1681"/>
      <c r="D5" s="1681"/>
      <c r="E5" s="1681"/>
      <c r="F5" s="1681"/>
      <c r="G5" s="1681"/>
    </row>
    <row r="6" spans="1:8" s="31" customFormat="1" ht="18" customHeight="1">
      <c r="A6" s="151" t="s">
        <v>10</v>
      </c>
      <c r="B6" s="152" t="s">
        <v>917</v>
      </c>
      <c r="C6" s="152" t="s">
        <v>12</v>
      </c>
      <c r="D6" s="152" t="s">
        <v>11</v>
      </c>
      <c r="E6" s="154" t="s">
        <v>918</v>
      </c>
      <c r="F6" s="154" t="s">
        <v>919</v>
      </c>
      <c r="G6" s="152" t="s">
        <v>920</v>
      </c>
      <c r="H6" s="31" t="s">
        <v>921</v>
      </c>
    </row>
    <row r="7" spans="1:8" ht="33">
      <c r="A7" s="1289" t="s">
        <v>922</v>
      </c>
      <c r="B7" s="1289" t="s">
        <v>923</v>
      </c>
      <c r="C7" s="1288" t="s">
        <v>0</v>
      </c>
      <c r="D7" s="1287">
        <v>100</v>
      </c>
      <c r="E7" s="1287">
        <v>1052.3499999999999</v>
      </c>
      <c r="F7" s="1287"/>
      <c r="G7" s="1286" t="s">
        <v>924</v>
      </c>
      <c r="H7" s="34" t="s">
        <v>925</v>
      </c>
    </row>
    <row r="8" spans="1:8" ht="33">
      <c r="A8" s="1289">
        <v>1</v>
      </c>
      <c r="B8" s="1289" t="s">
        <v>926</v>
      </c>
      <c r="C8" s="1288" t="s">
        <v>927</v>
      </c>
      <c r="D8" s="1287">
        <v>40</v>
      </c>
      <c r="E8" s="1287">
        <v>1291.5999999999999</v>
      </c>
      <c r="F8" s="1287">
        <v>51664</v>
      </c>
      <c r="G8" s="1286" t="s">
        <v>928</v>
      </c>
      <c r="H8" s="34" t="s">
        <v>925</v>
      </c>
    </row>
    <row r="9" spans="1:8" ht="33">
      <c r="A9" s="1289">
        <v>2</v>
      </c>
      <c r="B9" s="1289" t="s">
        <v>929</v>
      </c>
      <c r="C9" s="1288" t="s">
        <v>927</v>
      </c>
      <c r="D9" s="1287">
        <v>5</v>
      </c>
      <c r="E9" s="1287">
        <v>1490.31</v>
      </c>
      <c r="F9" s="1287">
        <v>7451.55</v>
      </c>
      <c r="G9" s="1286" t="s">
        <v>930</v>
      </c>
      <c r="H9" s="34" t="s">
        <v>925</v>
      </c>
    </row>
    <row r="10" spans="1:8" ht="42.75">
      <c r="A10" s="1289">
        <v>3</v>
      </c>
      <c r="B10" s="1289" t="s">
        <v>4869</v>
      </c>
      <c r="C10" s="1288" t="s">
        <v>927</v>
      </c>
      <c r="D10" s="1287">
        <v>45</v>
      </c>
      <c r="E10" s="1287">
        <v>398.41</v>
      </c>
      <c r="F10" s="1287">
        <v>17928.45</v>
      </c>
      <c r="G10" s="1286" t="s">
        <v>4870</v>
      </c>
      <c r="H10" s="34" t="s">
        <v>925</v>
      </c>
    </row>
    <row r="11" spans="1:8" ht="33">
      <c r="A11" s="1289">
        <v>4</v>
      </c>
      <c r="B11" s="1289" t="s">
        <v>4871</v>
      </c>
      <c r="C11" s="1288" t="s">
        <v>927</v>
      </c>
      <c r="D11" s="1287">
        <v>90</v>
      </c>
      <c r="E11" s="1287">
        <v>279.18</v>
      </c>
      <c r="F11" s="1287">
        <v>25126.2</v>
      </c>
      <c r="G11" s="1286" t="s">
        <v>4872</v>
      </c>
      <c r="H11" s="34" t="s">
        <v>925</v>
      </c>
    </row>
    <row r="12" spans="1:8" ht="33">
      <c r="A12" s="1289">
        <v>5</v>
      </c>
      <c r="B12" s="1289" t="s">
        <v>931</v>
      </c>
      <c r="C12" s="1288" t="s">
        <v>14</v>
      </c>
      <c r="D12" s="1287">
        <v>1</v>
      </c>
      <c r="E12" s="1287">
        <v>3065.11</v>
      </c>
      <c r="F12" s="1287">
        <v>3065.11</v>
      </c>
      <c r="G12" s="1286" t="s">
        <v>932</v>
      </c>
      <c r="H12" s="34" t="s">
        <v>925</v>
      </c>
    </row>
    <row r="13" spans="1:8" ht="33">
      <c r="A13" s="1289"/>
      <c r="B13" s="1289" t="s">
        <v>933</v>
      </c>
      <c r="C13" s="1288" t="s">
        <v>0</v>
      </c>
      <c r="D13" s="1287">
        <v>100</v>
      </c>
      <c r="E13" s="1287"/>
      <c r="F13" s="1287">
        <v>105235.31</v>
      </c>
      <c r="G13" s="1286"/>
      <c r="H13" s="34" t="s">
        <v>925</v>
      </c>
    </row>
    <row r="14" spans="1:8" ht="33">
      <c r="A14" s="1289"/>
      <c r="B14" s="1289" t="s">
        <v>934</v>
      </c>
      <c r="C14" s="1288" t="s">
        <v>0</v>
      </c>
      <c r="D14" s="1287"/>
      <c r="E14" s="1287"/>
      <c r="F14" s="1287">
        <v>1052.3499999999999</v>
      </c>
      <c r="G14" s="1286"/>
      <c r="H14" s="34" t="s">
        <v>925</v>
      </c>
    </row>
    <row r="15" spans="1:8" ht="16.5">
      <c r="A15" s="1289"/>
      <c r="B15" s="1289"/>
      <c r="C15" s="1288"/>
      <c r="D15" s="1287"/>
      <c r="E15" s="1287"/>
      <c r="F15" s="1287"/>
      <c r="G15" s="1286"/>
    </row>
    <row r="16" spans="1:8" ht="33">
      <c r="A16" s="1289" t="s">
        <v>935</v>
      </c>
      <c r="B16" s="1289" t="s">
        <v>936</v>
      </c>
      <c r="C16" s="1288" t="s">
        <v>0</v>
      </c>
      <c r="D16" s="1287">
        <v>100</v>
      </c>
      <c r="E16" s="1287">
        <v>681.82</v>
      </c>
      <c r="F16" s="1287"/>
      <c r="G16" s="1286" t="s">
        <v>937</v>
      </c>
      <c r="H16" s="34" t="s">
        <v>925</v>
      </c>
    </row>
    <row r="17" spans="1:8" ht="33">
      <c r="A17" s="1289">
        <v>1</v>
      </c>
      <c r="B17" s="1289" t="s">
        <v>926</v>
      </c>
      <c r="C17" s="1288" t="s">
        <v>927</v>
      </c>
      <c r="D17" s="1287">
        <v>24</v>
      </c>
      <c r="E17" s="1287">
        <v>1291.5999999999999</v>
      </c>
      <c r="F17" s="1287">
        <v>30998.400000000001</v>
      </c>
      <c r="G17" s="1286" t="s">
        <v>928</v>
      </c>
      <c r="H17" s="34" t="s">
        <v>925</v>
      </c>
    </row>
    <row r="18" spans="1:8" ht="33">
      <c r="A18" s="1289">
        <v>2</v>
      </c>
      <c r="B18" s="1289" t="s">
        <v>929</v>
      </c>
      <c r="C18" s="1288" t="s">
        <v>927</v>
      </c>
      <c r="D18" s="1287">
        <v>5</v>
      </c>
      <c r="E18" s="1287">
        <v>1490.31</v>
      </c>
      <c r="F18" s="1287">
        <v>7451.55</v>
      </c>
      <c r="G18" s="1286" t="s">
        <v>930</v>
      </c>
      <c r="H18" s="34" t="s">
        <v>925</v>
      </c>
    </row>
    <row r="19" spans="1:8" ht="42.75">
      <c r="A19" s="1289">
        <v>3</v>
      </c>
      <c r="B19" s="1289" t="s">
        <v>4869</v>
      </c>
      <c r="C19" s="1288" t="s">
        <v>927</v>
      </c>
      <c r="D19" s="1287">
        <v>29</v>
      </c>
      <c r="E19" s="1287">
        <v>398.41</v>
      </c>
      <c r="F19" s="1287">
        <v>11553.89</v>
      </c>
      <c r="G19" s="1286" t="s">
        <v>4870</v>
      </c>
      <c r="H19" s="34" t="s">
        <v>925</v>
      </c>
    </row>
    <row r="20" spans="1:8" ht="33">
      <c r="A20" s="1289">
        <v>4</v>
      </c>
      <c r="B20" s="1289" t="s">
        <v>4871</v>
      </c>
      <c r="C20" s="1288" t="s">
        <v>927</v>
      </c>
      <c r="D20" s="1287">
        <v>58</v>
      </c>
      <c r="E20" s="1287">
        <v>279.18</v>
      </c>
      <c r="F20" s="1287">
        <v>16192.44</v>
      </c>
      <c r="G20" s="1286" t="s">
        <v>4872</v>
      </c>
      <c r="H20" s="34" t="s">
        <v>925</v>
      </c>
    </row>
    <row r="21" spans="1:8" ht="33">
      <c r="A21" s="1289">
        <v>5</v>
      </c>
      <c r="B21" s="1289" t="s">
        <v>931</v>
      </c>
      <c r="C21" s="1288" t="s">
        <v>14</v>
      </c>
      <c r="D21" s="1287">
        <v>1</v>
      </c>
      <c r="E21" s="1287">
        <v>1985.89</v>
      </c>
      <c r="F21" s="1287">
        <v>1985.89</v>
      </c>
      <c r="G21" s="1286" t="s">
        <v>932</v>
      </c>
      <c r="H21" s="34" t="s">
        <v>925</v>
      </c>
    </row>
    <row r="22" spans="1:8" ht="33">
      <c r="A22" s="1289"/>
      <c r="B22" s="1289" t="s">
        <v>933</v>
      </c>
      <c r="C22" s="1288" t="s">
        <v>0</v>
      </c>
      <c r="D22" s="1287">
        <v>100</v>
      </c>
      <c r="E22" s="1287"/>
      <c r="F22" s="1287">
        <v>68182.17</v>
      </c>
      <c r="G22" s="1286"/>
      <c r="H22" s="34" t="s">
        <v>925</v>
      </c>
    </row>
    <row r="23" spans="1:8" ht="33">
      <c r="A23" s="1289"/>
      <c r="B23" s="1289" t="s">
        <v>934</v>
      </c>
      <c r="C23" s="1288" t="s">
        <v>0</v>
      </c>
      <c r="D23" s="1287"/>
      <c r="E23" s="1287"/>
      <c r="F23" s="1287">
        <v>681.82</v>
      </c>
      <c r="G23" s="1286"/>
      <c r="H23" s="34" t="s">
        <v>925</v>
      </c>
    </row>
    <row r="24" spans="1:8" ht="16.5">
      <c r="A24" s="1289"/>
      <c r="B24" s="1289"/>
      <c r="C24" s="1288"/>
      <c r="D24" s="1287"/>
      <c r="E24" s="1287"/>
      <c r="F24" s="1287"/>
      <c r="G24" s="1286"/>
    </row>
    <row r="25" spans="1:8" ht="33">
      <c r="A25" s="1289" t="s">
        <v>938</v>
      </c>
      <c r="B25" s="1289" t="s">
        <v>4416</v>
      </c>
      <c r="C25" s="1288" t="s">
        <v>0</v>
      </c>
      <c r="D25" s="1287">
        <v>100</v>
      </c>
      <c r="E25" s="1287">
        <v>1720.2</v>
      </c>
      <c r="F25" s="1287"/>
      <c r="G25" s="1286" t="s">
        <v>4873</v>
      </c>
      <c r="H25" s="34" t="s">
        <v>925</v>
      </c>
    </row>
    <row r="26" spans="1:8" ht="33">
      <c r="A26" s="1289">
        <v>1</v>
      </c>
      <c r="B26" s="1289" t="s">
        <v>926</v>
      </c>
      <c r="C26" s="1288" t="s">
        <v>927</v>
      </c>
      <c r="D26" s="1287">
        <v>46</v>
      </c>
      <c r="E26" s="1287">
        <v>1291.5999999999999</v>
      </c>
      <c r="F26" s="1287">
        <v>59413.599999999999</v>
      </c>
      <c r="G26" s="1286" t="s">
        <v>928</v>
      </c>
      <c r="H26" s="34" t="s">
        <v>925</v>
      </c>
    </row>
    <row r="27" spans="1:8" ht="33">
      <c r="A27" s="1289">
        <v>2</v>
      </c>
      <c r="B27" s="1289" t="s">
        <v>929</v>
      </c>
      <c r="C27" s="1288" t="s">
        <v>927</v>
      </c>
      <c r="D27" s="1287">
        <v>5.75</v>
      </c>
      <c r="E27" s="1287">
        <v>1490.31</v>
      </c>
      <c r="F27" s="1287">
        <v>8569.2800000000007</v>
      </c>
      <c r="G27" s="1286" t="s">
        <v>930</v>
      </c>
      <c r="H27" s="34" t="s">
        <v>925</v>
      </c>
    </row>
    <row r="28" spans="1:8" ht="33">
      <c r="A28" s="1289">
        <v>3</v>
      </c>
      <c r="B28" s="1289" t="s">
        <v>4046</v>
      </c>
      <c r="C28" s="1288" t="s">
        <v>927</v>
      </c>
      <c r="D28" s="1287">
        <v>51.75</v>
      </c>
      <c r="E28" s="1287">
        <v>796.82</v>
      </c>
      <c r="F28" s="1287">
        <v>41235.440000000002</v>
      </c>
      <c r="G28" s="1286" t="s">
        <v>2477</v>
      </c>
      <c r="H28" s="34" t="s">
        <v>925</v>
      </c>
    </row>
    <row r="29" spans="1:8" ht="42.75">
      <c r="A29" s="1289">
        <v>4</v>
      </c>
      <c r="B29" s="1289" t="s">
        <v>4874</v>
      </c>
      <c r="C29" s="1288" t="s">
        <v>927</v>
      </c>
      <c r="D29" s="1287">
        <v>103.5</v>
      </c>
      <c r="E29" s="1287">
        <v>558.37</v>
      </c>
      <c r="F29" s="1287">
        <v>57791.3</v>
      </c>
      <c r="G29" s="1286" t="s">
        <v>4875</v>
      </c>
      <c r="H29" s="34" t="s">
        <v>925</v>
      </c>
    </row>
    <row r="30" spans="1:8" ht="33">
      <c r="A30" s="1289">
        <v>5</v>
      </c>
      <c r="B30" s="1289" t="s">
        <v>931</v>
      </c>
      <c r="C30" s="1288" t="s">
        <v>14</v>
      </c>
      <c r="D30" s="1287">
        <v>1</v>
      </c>
      <c r="E30" s="1287">
        <v>5010.29</v>
      </c>
      <c r="F30" s="1287">
        <v>5010.29</v>
      </c>
      <c r="G30" s="1286" t="s">
        <v>932</v>
      </c>
      <c r="H30" s="34" t="s">
        <v>925</v>
      </c>
    </row>
    <row r="31" spans="1:8" ht="33">
      <c r="A31" s="1289"/>
      <c r="B31" s="1289" t="s">
        <v>933</v>
      </c>
      <c r="C31" s="1288" t="s">
        <v>0</v>
      </c>
      <c r="D31" s="1287">
        <v>100</v>
      </c>
      <c r="E31" s="1287"/>
      <c r="F31" s="1287">
        <v>172019.91</v>
      </c>
      <c r="G31" s="1286"/>
      <c r="H31" s="34" t="s">
        <v>925</v>
      </c>
    </row>
    <row r="32" spans="1:8" ht="33">
      <c r="A32" s="1289"/>
      <c r="B32" s="1289" t="s">
        <v>934</v>
      </c>
      <c r="C32" s="1288" t="s">
        <v>0</v>
      </c>
      <c r="D32" s="1287"/>
      <c r="E32" s="1287"/>
      <c r="F32" s="1287">
        <v>1720.2</v>
      </c>
      <c r="G32" s="1286"/>
      <c r="H32" s="34" t="s">
        <v>925</v>
      </c>
    </row>
    <row r="33" spans="1:8" ht="33">
      <c r="A33" s="1289"/>
      <c r="B33" s="1289"/>
      <c r="C33" s="1288"/>
      <c r="D33" s="1287"/>
      <c r="E33" s="1287"/>
      <c r="F33" s="1287"/>
      <c r="G33" s="1286"/>
      <c r="H33" s="34" t="s">
        <v>925</v>
      </c>
    </row>
    <row r="34" spans="1:8" ht="33">
      <c r="A34" s="1289" t="s">
        <v>949</v>
      </c>
      <c r="B34" s="1289" t="s">
        <v>953</v>
      </c>
      <c r="C34" s="1288" t="s">
        <v>0</v>
      </c>
      <c r="D34" s="1287">
        <v>1</v>
      </c>
      <c r="E34" s="1287">
        <v>4370.8500000000004</v>
      </c>
      <c r="F34" s="1287"/>
      <c r="G34" s="1286" t="s">
        <v>954</v>
      </c>
      <c r="H34" s="34" t="s">
        <v>925</v>
      </c>
    </row>
    <row r="35" spans="1:8" ht="33">
      <c r="A35" s="1289">
        <v>1</v>
      </c>
      <c r="B35" s="1289" t="s">
        <v>4871</v>
      </c>
      <c r="C35" s="1288" t="s">
        <v>927</v>
      </c>
      <c r="D35" s="1287">
        <v>15.2</v>
      </c>
      <c r="E35" s="1287">
        <v>279.18</v>
      </c>
      <c r="F35" s="1287">
        <v>4243.54</v>
      </c>
      <c r="G35" s="1286" t="s">
        <v>4872</v>
      </c>
      <c r="H35" s="34" t="s">
        <v>925</v>
      </c>
    </row>
    <row r="36" spans="1:8" ht="28.5">
      <c r="A36" s="1289">
        <v>2</v>
      </c>
      <c r="B36" s="1289" t="s">
        <v>955</v>
      </c>
      <c r="C36" s="1288" t="s">
        <v>14</v>
      </c>
      <c r="D36" s="1287">
        <v>1</v>
      </c>
      <c r="E36" s="1287">
        <v>127.31</v>
      </c>
      <c r="F36" s="1287">
        <v>127.31</v>
      </c>
      <c r="G36" s="1286" t="s">
        <v>956</v>
      </c>
    </row>
    <row r="37" spans="1:8" ht="33">
      <c r="A37" s="1289"/>
      <c r="B37" s="1289" t="s">
        <v>933</v>
      </c>
      <c r="C37" s="1288" t="s">
        <v>0</v>
      </c>
      <c r="D37" s="1287">
        <v>1</v>
      </c>
      <c r="E37" s="1287"/>
      <c r="F37" s="1287">
        <v>4370.8500000000004</v>
      </c>
      <c r="G37" s="1286"/>
      <c r="H37" s="34" t="s">
        <v>925</v>
      </c>
    </row>
    <row r="38" spans="1:8" ht="33">
      <c r="A38" s="1289"/>
      <c r="B38" s="1289" t="s">
        <v>934</v>
      </c>
      <c r="C38" s="1288" t="s">
        <v>0</v>
      </c>
      <c r="D38" s="1287"/>
      <c r="E38" s="1287"/>
      <c r="F38" s="1287">
        <v>4370.8500000000004</v>
      </c>
      <c r="G38" s="1286"/>
      <c r="H38" s="34" t="s">
        <v>925</v>
      </c>
    </row>
    <row r="39" spans="1:8" ht="33">
      <c r="A39" s="1289"/>
      <c r="B39" s="1289"/>
      <c r="C39" s="1288"/>
      <c r="D39" s="1287"/>
      <c r="E39" s="1287"/>
      <c r="F39" s="1287"/>
      <c r="G39" s="1286"/>
      <c r="H39" s="34" t="s">
        <v>925</v>
      </c>
    </row>
    <row r="40" spans="1:8" ht="57">
      <c r="A40" s="1289" t="s">
        <v>952</v>
      </c>
      <c r="B40" s="1289" t="s">
        <v>953</v>
      </c>
      <c r="C40" s="1288" t="s">
        <v>0</v>
      </c>
      <c r="D40" s="1287">
        <v>1</v>
      </c>
      <c r="E40" s="1287">
        <v>5814.37</v>
      </c>
      <c r="F40" s="1287"/>
      <c r="G40" s="1286" t="s">
        <v>969</v>
      </c>
      <c r="H40" s="34" t="s">
        <v>925</v>
      </c>
    </row>
    <row r="41" spans="1:8" ht="33">
      <c r="A41" s="1289">
        <v>1</v>
      </c>
      <c r="B41" s="1289" t="s">
        <v>4871</v>
      </c>
      <c r="C41" s="1288" t="s">
        <v>927</v>
      </c>
      <c r="D41" s="1287">
        <v>20.22</v>
      </c>
      <c r="E41" s="1287">
        <v>279.18</v>
      </c>
      <c r="F41" s="1287">
        <v>5645.02</v>
      </c>
      <c r="G41" s="1286" t="s">
        <v>4872</v>
      </c>
      <c r="H41" s="34" t="s">
        <v>925</v>
      </c>
    </row>
    <row r="42" spans="1:8" ht="33">
      <c r="A42" s="1289">
        <v>2</v>
      </c>
      <c r="B42" s="1289" t="s">
        <v>955</v>
      </c>
      <c r="C42" s="1288" t="s">
        <v>14</v>
      </c>
      <c r="D42" s="1287">
        <v>1</v>
      </c>
      <c r="E42" s="1287">
        <v>169.35</v>
      </c>
      <c r="F42" s="1287">
        <v>169.35</v>
      </c>
      <c r="G42" s="1286" t="s">
        <v>956</v>
      </c>
      <c r="H42" s="34" t="s">
        <v>925</v>
      </c>
    </row>
    <row r="43" spans="1:8" ht="16.5">
      <c r="A43" s="1289"/>
      <c r="B43" s="1289" t="s">
        <v>933</v>
      </c>
      <c r="C43" s="1288" t="s">
        <v>0</v>
      </c>
      <c r="D43" s="1287">
        <v>1</v>
      </c>
      <c r="E43" s="1287"/>
      <c r="F43" s="1287">
        <v>5814.3700000000008</v>
      </c>
      <c r="G43" s="1286"/>
    </row>
    <row r="44" spans="1:8" ht="33">
      <c r="A44" s="1289"/>
      <c r="B44" s="1289" t="s">
        <v>934</v>
      </c>
      <c r="C44" s="1288" t="s">
        <v>0</v>
      </c>
      <c r="D44" s="1287"/>
      <c r="E44" s="1287"/>
      <c r="F44" s="1287">
        <v>5814.37</v>
      </c>
      <c r="G44" s="1286"/>
      <c r="H44" s="34" t="s">
        <v>925</v>
      </c>
    </row>
    <row r="45" spans="1:8" ht="33">
      <c r="A45" s="1289"/>
      <c r="B45" s="1289"/>
      <c r="C45" s="1288"/>
      <c r="D45" s="1287"/>
      <c r="E45" s="1287"/>
      <c r="F45" s="1287"/>
      <c r="G45" s="1286"/>
      <c r="H45" s="34" t="s">
        <v>925</v>
      </c>
    </row>
    <row r="46" spans="1:8" ht="33">
      <c r="A46" s="1289" t="s">
        <v>957</v>
      </c>
      <c r="B46" s="1289" t="s">
        <v>453</v>
      </c>
      <c r="C46" s="1288" t="s">
        <v>0</v>
      </c>
      <c r="D46" s="1287">
        <v>1</v>
      </c>
      <c r="E46" s="1287">
        <v>5636.09</v>
      </c>
      <c r="F46" s="1287"/>
      <c r="G46" s="1286" t="s">
        <v>988</v>
      </c>
      <c r="H46" s="34" t="s">
        <v>925</v>
      </c>
    </row>
    <row r="47" spans="1:8" ht="33">
      <c r="A47" s="1289">
        <v>1</v>
      </c>
      <c r="B47" s="1289" t="s">
        <v>4871</v>
      </c>
      <c r="C47" s="1288" t="s">
        <v>927</v>
      </c>
      <c r="D47" s="1287">
        <v>19.600000000000001</v>
      </c>
      <c r="E47" s="1287">
        <v>279.18</v>
      </c>
      <c r="F47" s="1287">
        <v>5471.93</v>
      </c>
      <c r="G47" s="1286" t="s">
        <v>4876</v>
      </c>
      <c r="H47" s="34" t="s">
        <v>925</v>
      </c>
    </row>
    <row r="48" spans="1:8" ht="33">
      <c r="A48" s="1289">
        <v>2</v>
      </c>
      <c r="B48" s="1289" t="s">
        <v>955</v>
      </c>
      <c r="C48" s="1288" t="s">
        <v>14</v>
      </c>
      <c r="D48" s="1287">
        <v>1</v>
      </c>
      <c r="E48" s="1287">
        <v>164.16</v>
      </c>
      <c r="F48" s="1287">
        <v>164.16</v>
      </c>
      <c r="G48" s="1286" t="s">
        <v>956</v>
      </c>
      <c r="H48" s="34" t="s">
        <v>925</v>
      </c>
    </row>
    <row r="49" spans="1:8" ht="16.5">
      <c r="A49" s="1289"/>
      <c r="B49" s="1289" t="s">
        <v>933</v>
      </c>
      <c r="C49" s="1288" t="s">
        <v>0</v>
      </c>
      <c r="D49" s="1287">
        <v>1</v>
      </c>
      <c r="E49" s="1287"/>
      <c r="F49" s="1287">
        <v>5636.09</v>
      </c>
      <c r="G49" s="1286"/>
    </row>
    <row r="50" spans="1:8" ht="33">
      <c r="A50" s="1289"/>
      <c r="B50" s="1289" t="s">
        <v>934</v>
      </c>
      <c r="C50" s="1288" t="s">
        <v>0</v>
      </c>
      <c r="D50" s="1287"/>
      <c r="E50" s="1287"/>
      <c r="F50" s="1287">
        <v>5636.09</v>
      </c>
      <c r="G50" s="1286"/>
      <c r="H50" s="34" t="s">
        <v>925</v>
      </c>
    </row>
    <row r="51" spans="1:8" ht="33">
      <c r="A51" s="1289"/>
      <c r="B51" s="1289"/>
      <c r="C51" s="1288"/>
      <c r="D51" s="1287"/>
      <c r="E51" s="1287"/>
      <c r="F51" s="1287"/>
      <c r="G51" s="1286"/>
      <c r="H51" s="34" t="s">
        <v>925</v>
      </c>
    </row>
    <row r="52" spans="1:8" ht="57">
      <c r="A52" s="1289" t="s">
        <v>960</v>
      </c>
      <c r="B52" s="1289" t="s">
        <v>453</v>
      </c>
      <c r="C52" s="1288" t="s">
        <v>0</v>
      </c>
      <c r="D52" s="1287">
        <v>1</v>
      </c>
      <c r="E52" s="1287">
        <v>7496.57</v>
      </c>
      <c r="F52" s="1287"/>
      <c r="G52" s="1286" t="s">
        <v>967</v>
      </c>
      <c r="H52" s="34" t="s">
        <v>925</v>
      </c>
    </row>
    <row r="53" spans="1:8" ht="33">
      <c r="A53" s="1289">
        <v>1</v>
      </c>
      <c r="B53" s="1289" t="s">
        <v>4871</v>
      </c>
      <c r="C53" s="1288" t="s">
        <v>927</v>
      </c>
      <c r="D53" s="1287">
        <v>26.07</v>
      </c>
      <c r="E53" s="1287">
        <v>279.18</v>
      </c>
      <c r="F53" s="1287">
        <v>7278.22</v>
      </c>
      <c r="G53" s="1286" t="s">
        <v>4872</v>
      </c>
      <c r="H53" s="34" t="s">
        <v>925</v>
      </c>
    </row>
    <row r="54" spans="1:8" ht="33">
      <c r="A54" s="1289">
        <v>2</v>
      </c>
      <c r="B54" s="1289" t="s">
        <v>955</v>
      </c>
      <c r="C54" s="1288" t="s">
        <v>14</v>
      </c>
      <c r="D54" s="1287">
        <v>1</v>
      </c>
      <c r="E54" s="1287">
        <v>218.35</v>
      </c>
      <c r="F54" s="1287">
        <v>218.35</v>
      </c>
      <c r="G54" s="1286" t="s">
        <v>956</v>
      </c>
      <c r="H54" s="34" t="s">
        <v>925</v>
      </c>
    </row>
    <row r="55" spans="1:8" ht="16.5">
      <c r="A55" s="1289"/>
      <c r="B55" s="1289" t="s">
        <v>933</v>
      </c>
      <c r="C55" s="1288" t="s">
        <v>0</v>
      </c>
      <c r="D55" s="1287">
        <v>1</v>
      </c>
      <c r="E55" s="1287"/>
      <c r="F55" s="1287">
        <v>7496.5700000000006</v>
      </c>
      <c r="G55" s="1286"/>
    </row>
    <row r="56" spans="1:8" ht="33">
      <c r="A56" s="1289"/>
      <c r="B56" s="1289" t="s">
        <v>934</v>
      </c>
      <c r="C56" s="1288" t="s">
        <v>0</v>
      </c>
      <c r="D56" s="1287"/>
      <c r="E56" s="1287"/>
      <c r="F56" s="1287">
        <v>7496.57</v>
      </c>
      <c r="G56" s="1286"/>
      <c r="H56" s="34" t="s">
        <v>925</v>
      </c>
    </row>
    <row r="57" spans="1:8" ht="33">
      <c r="A57" s="1289"/>
      <c r="B57" s="1289"/>
      <c r="C57" s="1288"/>
      <c r="D57" s="1287"/>
      <c r="E57" s="1287"/>
      <c r="F57" s="1287"/>
      <c r="G57" s="1286"/>
      <c r="H57" s="34" t="s">
        <v>925</v>
      </c>
    </row>
    <row r="58" spans="1:8" ht="33">
      <c r="A58" s="1289" t="s">
        <v>963</v>
      </c>
      <c r="B58" s="1289" t="s">
        <v>2234</v>
      </c>
      <c r="C58" s="1288" t="s">
        <v>0</v>
      </c>
      <c r="D58" s="1287">
        <v>1</v>
      </c>
      <c r="E58" s="1287">
        <v>12963.23</v>
      </c>
      <c r="F58" s="1287"/>
      <c r="G58" s="1286" t="s">
        <v>2235</v>
      </c>
      <c r="H58" s="34" t="s">
        <v>925</v>
      </c>
    </row>
    <row r="59" spans="1:8" ht="42.75">
      <c r="A59" s="1289">
        <v>1</v>
      </c>
      <c r="B59" s="1289" t="s">
        <v>4874</v>
      </c>
      <c r="C59" s="1288" t="s">
        <v>927</v>
      </c>
      <c r="D59" s="1287">
        <v>22.54</v>
      </c>
      <c r="E59" s="1287">
        <v>558.37</v>
      </c>
      <c r="F59" s="1287">
        <v>12585.66</v>
      </c>
      <c r="G59" s="1286" t="s">
        <v>4875</v>
      </c>
      <c r="H59" s="34" t="s">
        <v>925</v>
      </c>
    </row>
    <row r="60" spans="1:8" ht="33">
      <c r="A60" s="1289">
        <v>2</v>
      </c>
      <c r="B60" s="1289" t="s">
        <v>955</v>
      </c>
      <c r="C60" s="1288" t="s">
        <v>14</v>
      </c>
      <c r="D60" s="1287">
        <v>1</v>
      </c>
      <c r="E60" s="1287">
        <v>377.57</v>
      </c>
      <c r="F60" s="1287">
        <v>377.57</v>
      </c>
      <c r="G60" s="1286" t="s">
        <v>956</v>
      </c>
      <c r="H60" s="34" t="s">
        <v>925</v>
      </c>
    </row>
    <row r="61" spans="1:8" ht="33">
      <c r="A61" s="1289"/>
      <c r="B61" s="1289" t="s">
        <v>933</v>
      </c>
      <c r="C61" s="1288" t="s">
        <v>0</v>
      </c>
      <c r="D61" s="1287">
        <v>1</v>
      </c>
      <c r="E61" s="1287"/>
      <c r="F61" s="1287">
        <v>12963.23</v>
      </c>
      <c r="G61" s="1286"/>
      <c r="H61" s="34" t="s">
        <v>925</v>
      </c>
    </row>
    <row r="62" spans="1:8" ht="33">
      <c r="A62" s="1289"/>
      <c r="B62" s="1289" t="s">
        <v>934</v>
      </c>
      <c r="C62" s="1288" t="s">
        <v>0</v>
      </c>
      <c r="D62" s="1287"/>
      <c r="E62" s="1287"/>
      <c r="F62" s="1287">
        <v>12963.23</v>
      </c>
      <c r="G62" s="1286"/>
      <c r="H62" s="34" t="s">
        <v>925</v>
      </c>
    </row>
    <row r="63" spans="1:8" ht="33">
      <c r="A63" s="1289"/>
      <c r="B63" s="1289"/>
      <c r="C63" s="1288"/>
      <c r="D63" s="1287"/>
      <c r="E63" s="1287"/>
      <c r="F63" s="1287"/>
      <c r="G63" s="1286"/>
      <c r="H63" s="34" t="s">
        <v>925</v>
      </c>
    </row>
    <row r="64" spans="1:8" ht="42.75">
      <c r="A64" s="1289" t="s">
        <v>966</v>
      </c>
      <c r="B64" s="1289" t="s">
        <v>939</v>
      </c>
      <c r="C64" s="1288" t="s">
        <v>1</v>
      </c>
      <c r="D64" s="1287">
        <v>100</v>
      </c>
      <c r="E64" s="1287">
        <v>1401.6</v>
      </c>
      <c r="F64" s="1287"/>
      <c r="G64" s="1286" t="s">
        <v>940</v>
      </c>
      <c r="H64" s="34" t="s">
        <v>925</v>
      </c>
    </row>
    <row r="65" spans="1:8" ht="33">
      <c r="A65" s="1289">
        <v>1</v>
      </c>
      <c r="B65" s="1289" t="s">
        <v>941</v>
      </c>
      <c r="C65" s="1288" t="s">
        <v>927</v>
      </c>
      <c r="D65" s="1287">
        <v>18</v>
      </c>
      <c r="E65" s="1287">
        <v>342.77</v>
      </c>
      <c r="F65" s="1287">
        <v>6169.86</v>
      </c>
      <c r="G65" s="1286" t="s">
        <v>942</v>
      </c>
      <c r="H65" s="34" t="s">
        <v>925</v>
      </c>
    </row>
    <row r="66" spans="1:8" ht="33">
      <c r="A66" s="1289">
        <v>2</v>
      </c>
      <c r="B66" s="1289" t="s">
        <v>943</v>
      </c>
      <c r="C66" s="1288" t="s">
        <v>927</v>
      </c>
      <c r="D66" s="1287">
        <v>90</v>
      </c>
      <c r="E66" s="1287">
        <v>302.04000000000002</v>
      </c>
      <c r="F66" s="1287">
        <v>27183.599999999999</v>
      </c>
      <c r="G66" s="1286" t="s">
        <v>944</v>
      </c>
      <c r="H66" s="34" t="s">
        <v>925</v>
      </c>
    </row>
    <row r="67" spans="1:8" ht="28.5">
      <c r="A67" s="1289">
        <v>3</v>
      </c>
      <c r="B67" s="1289" t="s">
        <v>945</v>
      </c>
      <c r="C67" s="1288" t="s">
        <v>927</v>
      </c>
      <c r="D67" s="1287">
        <v>18</v>
      </c>
      <c r="E67" s="1287">
        <v>398.41</v>
      </c>
      <c r="F67" s="1287">
        <v>7171.38</v>
      </c>
      <c r="G67" s="1286" t="s">
        <v>946</v>
      </c>
    </row>
    <row r="68" spans="1:8" ht="33">
      <c r="A68" s="1289">
        <v>4</v>
      </c>
      <c r="B68" s="1289" t="s">
        <v>947</v>
      </c>
      <c r="C68" s="1288" t="s">
        <v>927</v>
      </c>
      <c r="D68" s="1287">
        <v>90</v>
      </c>
      <c r="E68" s="1287">
        <v>398.41</v>
      </c>
      <c r="F68" s="1287">
        <v>35856.9</v>
      </c>
      <c r="G68" s="1286" t="s">
        <v>948</v>
      </c>
      <c r="H68" s="34" t="s">
        <v>925</v>
      </c>
    </row>
    <row r="69" spans="1:8" ht="33">
      <c r="A69" s="1289">
        <v>5</v>
      </c>
      <c r="B69" s="1289" t="s">
        <v>4871</v>
      </c>
      <c r="C69" s="1288" t="s">
        <v>927</v>
      </c>
      <c r="D69" s="1287">
        <v>180</v>
      </c>
      <c r="E69" s="1287">
        <v>279.18</v>
      </c>
      <c r="F69" s="1287">
        <v>50252.4</v>
      </c>
      <c r="G69" s="1286" t="s">
        <v>4872</v>
      </c>
      <c r="H69" s="34" t="s">
        <v>925</v>
      </c>
    </row>
    <row r="70" spans="1:8" ht="33">
      <c r="A70" s="1289">
        <v>6</v>
      </c>
      <c r="B70" s="1289" t="s">
        <v>929</v>
      </c>
      <c r="C70" s="1288" t="s">
        <v>927</v>
      </c>
      <c r="D70" s="1287">
        <v>5</v>
      </c>
      <c r="E70" s="1287">
        <v>1490.31</v>
      </c>
      <c r="F70" s="1287">
        <v>7451.55</v>
      </c>
      <c r="G70" s="1286" t="s">
        <v>930</v>
      </c>
      <c r="H70" s="34" t="s">
        <v>925</v>
      </c>
    </row>
    <row r="71" spans="1:8" ht="42.75">
      <c r="A71" s="1289">
        <v>7</v>
      </c>
      <c r="B71" s="1289" t="s">
        <v>4869</v>
      </c>
      <c r="C71" s="1288" t="s">
        <v>927</v>
      </c>
      <c r="D71" s="1287">
        <v>5</v>
      </c>
      <c r="E71" s="1287">
        <v>398.41</v>
      </c>
      <c r="F71" s="1287">
        <v>1992.05</v>
      </c>
      <c r="G71" s="1286" t="s">
        <v>4870</v>
      </c>
      <c r="H71" s="34" t="s">
        <v>925</v>
      </c>
    </row>
    <row r="72" spans="1:8" ht="33">
      <c r="A72" s="1289">
        <v>8</v>
      </c>
      <c r="B72" s="1289" t="s">
        <v>931</v>
      </c>
      <c r="C72" s="1288" t="s">
        <v>14</v>
      </c>
      <c r="D72" s="1287">
        <v>1</v>
      </c>
      <c r="E72" s="1287">
        <v>4082.33</v>
      </c>
      <c r="F72" s="1287">
        <v>4082.33</v>
      </c>
      <c r="G72" s="1286" t="s">
        <v>932</v>
      </c>
      <c r="H72" s="34" t="s">
        <v>925</v>
      </c>
    </row>
    <row r="73" spans="1:8" ht="16.5">
      <c r="A73" s="1289"/>
      <c r="B73" s="1289" t="s">
        <v>933</v>
      </c>
      <c r="C73" s="1288" t="s">
        <v>1</v>
      </c>
      <c r="D73" s="1287">
        <v>100</v>
      </c>
      <c r="E73" s="1287"/>
      <c r="F73" s="1287">
        <v>140160.06999999995</v>
      </c>
      <c r="G73" s="1286"/>
    </row>
    <row r="74" spans="1:8" ht="33">
      <c r="A74" s="1289"/>
      <c r="B74" s="1289" t="s">
        <v>934</v>
      </c>
      <c r="C74" s="1288" t="s">
        <v>1</v>
      </c>
      <c r="D74" s="1287"/>
      <c r="E74" s="1287"/>
      <c r="F74" s="1287">
        <v>1401.6</v>
      </c>
      <c r="G74" s="1286"/>
      <c r="H74" s="34" t="s">
        <v>925</v>
      </c>
    </row>
    <row r="75" spans="1:8" ht="33">
      <c r="A75" s="1289"/>
      <c r="B75" s="1289"/>
      <c r="C75" s="1288"/>
      <c r="D75" s="1287"/>
      <c r="E75" s="1287"/>
      <c r="F75" s="1287"/>
      <c r="G75" s="1286"/>
      <c r="H75" s="34" t="s">
        <v>925</v>
      </c>
    </row>
    <row r="76" spans="1:8" ht="33">
      <c r="A76" s="1289" t="s">
        <v>968</v>
      </c>
      <c r="B76" s="1289" t="s">
        <v>958</v>
      </c>
      <c r="C76" s="1288" t="s">
        <v>1</v>
      </c>
      <c r="D76" s="1287">
        <v>1</v>
      </c>
      <c r="E76" s="1287">
        <v>3565.68</v>
      </c>
      <c r="F76" s="1287"/>
      <c r="G76" s="1286" t="s">
        <v>959</v>
      </c>
      <c r="H76" s="34" t="s">
        <v>925</v>
      </c>
    </row>
    <row r="77" spans="1:8" ht="33">
      <c r="A77" s="1289">
        <v>1</v>
      </c>
      <c r="B77" s="1289" t="s">
        <v>4871</v>
      </c>
      <c r="C77" s="1288" t="s">
        <v>927</v>
      </c>
      <c r="D77" s="1287">
        <v>12.4</v>
      </c>
      <c r="E77" s="1287">
        <v>279.18</v>
      </c>
      <c r="F77" s="1287">
        <v>3461.83</v>
      </c>
      <c r="G77" s="1286" t="s">
        <v>4872</v>
      </c>
      <c r="H77" s="34" t="s">
        <v>925</v>
      </c>
    </row>
    <row r="78" spans="1:8" ht="33">
      <c r="A78" s="1289">
        <v>2</v>
      </c>
      <c r="B78" s="1289" t="s">
        <v>955</v>
      </c>
      <c r="C78" s="1288" t="s">
        <v>14</v>
      </c>
      <c r="D78" s="1287">
        <v>1</v>
      </c>
      <c r="E78" s="1287">
        <v>103.85</v>
      </c>
      <c r="F78" s="1287">
        <v>103.85</v>
      </c>
      <c r="G78" s="1286" t="s">
        <v>956</v>
      </c>
      <c r="H78" s="34" t="s">
        <v>925</v>
      </c>
    </row>
    <row r="79" spans="1:8" ht="16.5">
      <c r="A79" s="1289"/>
      <c r="B79" s="1289" t="s">
        <v>933</v>
      </c>
      <c r="C79" s="1288" t="s">
        <v>1</v>
      </c>
      <c r="D79" s="1287">
        <v>1</v>
      </c>
      <c r="E79" s="1287"/>
      <c r="F79" s="1287">
        <v>3565.68</v>
      </c>
      <c r="G79" s="1286"/>
    </row>
    <row r="80" spans="1:8" ht="33">
      <c r="A80" s="1289"/>
      <c r="B80" s="1289" t="s">
        <v>934</v>
      </c>
      <c r="C80" s="1288" t="s">
        <v>1</v>
      </c>
      <c r="D80" s="1287"/>
      <c r="E80" s="1287"/>
      <c r="F80" s="1287">
        <v>3565.68</v>
      </c>
      <c r="G80" s="1286"/>
      <c r="H80" s="34" t="s">
        <v>925</v>
      </c>
    </row>
    <row r="81" spans="1:8" ht="33">
      <c r="A81" s="1289"/>
      <c r="B81" s="1289"/>
      <c r="C81" s="1288"/>
      <c r="D81" s="1287"/>
      <c r="E81" s="1287"/>
      <c r="F81" s="1287"/>
      <c r="G81" s="1286"/>
      <c r="H81" s="34" t="s">
        <v>925</v>
      </c>
    </row>
    <row r="82" spans="1:8" ht="33">
      <c r="A82" s="1289" t="s">
        <v>970</v>
      </c>
      <c r="B82" s="1289" t="s">
        <v>950</v>
      </c>
      <c r="C82" s="1288" t="s">
        <v>1</v>
      </c>
      <c r="D82" s="1287">
        <v>100</v>
      </c>
      <c r="E82" s="1287">
        <v>48.63</v>
      </c>
      <c r="F82" s="1287"/>
      <c r="G82" s="1286" t="s">
        <v>951</v>
      </c>
      <c r="H82" s="34" t="s">
        <v>925</v>
      </c>
    </row>
    <row r="83" spans="1:8" ht="33">
      <c r="A83" s="1289">
        <v>1</v>
      </c>
      <c r="B83" s="1289" t="s">
        <v>929</v>
      </c>
      <c r="C83" s="1288" t="s">
        <v>927</v>
      </c>
      <c r="D83" s="1287">
        <v>2.5</v>
      </c>
      <c r="E83" s="1287">
        <v>1490.31</v>
      </c>
      <c r="F83" s="1287">
        <v>3725.78</v>
      </c>
      <c r="G83" s="1286" t="s">
        <v>930</v>
      </c>
      <c r="H83" s="34" t="s">
        <v>925</v>
      </c>
    </row>
    <row r="84" spans="1:8" ht="42.75">
      <c r="A84" s="1289">
        <v>2</v>
      </c>
      <c r="B84" s="1289" t="s">
        <v>4869</v>
      </c>
      <c r="C84" s="1288" t="s">
        <v>927</v>
      </c>
      <c r="D84" s="1287">
        <v>2.5</v>
      </c>
      <c r="E84" s="1287">
        <v>398.41</v>
      </c>
      <c r="F84" s="1287">
        <v>996.03</v>
      </c>
      <c r="G84" s="1286" t="s">
        <v>4870</v>
      </c>
      <c r="H84" s="34" t="s">
        <v>925</v>
      </c>
    </row>
    <row r="85" spans="1:8" ht="28.5">
      <c r="A85" s="1289">
        <v>3</v>
      </c>
      <c r="B85" s="1289" t="s">
        <v>931</v>
      </c>
      <c r="C85" s="1288" t="s">
        <v>14</v>
      </c>
      <c r="D85" s="1287">
        <v>1</v>
      </c>
      <c r="E85" s="1287">
        <v>141.65</v>
      </c>
      <c r="F85" s="1287">
        <v>141.65</v>
      </c>
      <c r="G85" s="1286" t="s">
        <v>932</v>
      </c>
    </row>
    <row r="86" spans="1:8" ht="33">
      <c r="A86" s="1289"/>
      <c r="B86" s="1289" t="s">
        <v>933</v>
      </c>
      <c r="C86" s="1288" t="s">
        <v>1</v>
      </c>
      <c r="D86" s="1287">
        <v>100</v>
      </c>
      <c r="E86" s="1287"/>
      <c r="F86" s="1287">
        <v>4863.46</v>
      </c>
      <c r="G86" s="1286"/>
      <c r="H86" s="34" t="s">
        <v>925</v>
      </c>
    </row>
    <row r="87" spans="1:8" ht="33">
      <c r="A87" s="1289"/>
      <c r="B87" s="1289" t="s">
        <v>934</v>
      </c>
      <c r="C87" s="1288" t="s">
        <v>1</v>
      </c>
      <c r="D87" s="1287"/>
      <c r="E87" s="1287"/>
      <c r="F87" s="1287">
        <v>48.63</v>
      </c>
      <c r="G87" s="1286"/>
      <c r="H87" s="34" t="s">
        <v>925</v>
      </c>
    </row>
    <row r="88" spans="1:8" ht="33">
      <c r="A88" s="1289"/>
      <c r="B88" s="1289"/>
      <c r="C88" s="1288"/>
      <c r="D88" s="1287"/>
      <c r="E88" s="1287"/>
      <c r="F88" s="1287"/>
      <c r="G88" s="1286"/>
      <c r="H88" s="34" t="s">
        <v>925</v>
      </c>
    </row>
    <row r="89" spans="1:8" ht="57">
      <c r="A89" s="1289" t="s">
        <v>972</v>
      </c>
      <c r="B89" s="1289" t="s">
        <v>950</v>
      </c>
      <c r="C89" s="1288" t="s">
        <v>1</v>
      </c>
      <c r="D89" s="1287">
        <v>100</v>
      </c>
      <c r="E89" s="1287">
        <v>64.78</v>
      </c>
      <c r="F89" s="1287"/>
      <c r="G89" s="1286" t="s">
        <v>983</v>
      </c>
      <c r="H89" s="34" t="s">
        <v>925</v>
      </c>
    </row>
    <row r="90" spans="1:8" ht="33">
      <c r="A90" s="1289">
        <v>1</v>
      </c>
      <c r="B90" s="1289" t="s">
        <v>929</v>
      </c>
      <c r="C90" s="1288" t="s">
        <v>927</v>
      </c>
      <c r="D90" s="1287">
        <v>3.33</v>
      </c>
      <c r="E90" s="1287">
        <v>1490.31</v>
      </c>
      <c r="F90" s="1287">
        <v>4962.7299999999996</v>
      </c>
      <c r="G90" s="1286" t="s">
        <v>930</v>
      </c>
      <c r="H90" s="34" t="s">
        <v>925</v>
      </c>
    </row>
    <row r="91" spans="1:8" ht="42.75">
      <c r="A91" s="1289">
        <v>2</v>
      </c>
      <c r="B91" s="1289" t="s">
        <v>4869</v>
      </c>
      <c r="C91" s="1288" t="s">
        <v>927</v>
      </c>
      <c r="D91" s="1287">
        <v>3.33</v>
      </c>
      <c r="E91" s="1287">
        <v>398.41</v>
      </c>
      <c r="F91" s="1287">
        <v>1326.71</v>
      </c>
      <c r="G91" s="1286" t="s">
        <v>4870</v>
      </c>
      <c r="H91" s="34" t="s">
        <v>925</v>
      </c>
    </row>
    <row r="92" spans="1:8" ht="33">
      <c r="A92" s="1289">
        <v>3</v>
      </c>
      <c r="B92" s="1289" t="s">
        <v>931</v>
      </c>
      <c r="C92" s="1288" t="s">
        <v>14</v>
      </c>
      <c r="D92" s="1287">
        <v>1</v>
      </c>
      <c r="E92" s="1287">
        <v>188.68</v>
      </c>
      <c r="F92" s="1287">
        <v>188.68</v>
      </c>
      <c r="G92" s="1286" t="s">
        <v>932</v>
      </c>
      <c r="H92" s="34" t="s">
        <v>925</v>
      </c>
    </row>
    <row r="93" spans="1:8" ht="33">
      <c r="A93" s="1289"/>
      <c r="B93" s="1289" t="s">
        <v>933</v>
      </c>
      <c r="C93" s="1288" t="s">
        <v>1</v>
      </c>
      <c r="D93" s="1287">
        <v>100</v>
      </c>
      <c r="E93" s="1287"/>
      <c r="F93" s="1287">
        <v>6478.12</v>
      </c>
      <c r="G93" s="1286"/>
      <c r="H93" s="34" t="s">
        <v>925</v>
      </c>
    </row>
    <row r="94" spans="1:8" ht="16.5">
      <c r="A94" s="1289"/>
      <c r="B94" s="1289" t="s">
        <v>934</v>
      </c>
      <c r="C94" s="1288" t="s">
        <v>1</v>
      </c>
      <c r="D94" s="1287"/>
      <c r="E94" s="1287"/>
      <c r="F94" s="1287">
        <v>64.78</v>
      </c>
      <c r="G94" s="1286"/>
    </row>
    <row r="95" spans="1:8" ht="33">
      <c r="A95" s="1289"/>
      <c r="B95" s="1289"/>
      <c r="C95" s="1288"/>
      <c r="D95" s="1287"/>
      <c r="E95" s="1287"/>
      <c r="F95" s="1287"/>
      <c r="G95" s="1286"/>
      <c r="H95" s="34" t="s">
        <v>925</v>
      </c>
    </row>
    <row r="96" spans="1:8" ht="42.75">
      <c r="A96" s="1289" t="s">
        <v>974</v>
      </c>
      <c r="B96" s="1289" t="s">
        <v>2579</v>
      </c>
      <c r="C96" s="1288" t="s">
        <v>1</v>
      </c>
      <c r="D96" s="1287">
        <v>100</v>
      </c>
      <c r="E96" s="1287">
        <v>67.849999999999994</v>
      </c>
      <c r="F96" s="1287"/>
      <c r="G96" s="1286" t="s">
        <v>2580</v>
      </c>
      <c r="H96" s="34" t="s">
        <v>925</v>
      </c>
    </row>
    <row r="97" spans="1:8" ht="33">
      <c r="A97" s="1289">
        <v>1</v>
      </c>
      <c r="B97" s="1289" t="s">
        <v>929</v>
      </c>
      <c r="C97" s="1288" t="s">
        <v>927</v>
      </c>
      <c r="D97" s="1287">
        <v>2.88</v>
      </c>
      <c r="E97" s="1287">
        <v>1490.31</v>
      </c>
      <c r="F97" s="1287">
        <v>4292.09</v>
      </c>
      <c r="G97" s="1286" t="s">
        <v>930</v>
      </c>
      <c r="H97" s="34" t="s">
        <v>925</v>
      </c>
    </row>
    <row r="98" spans="1:8" ht="33">
      <c r="A98" s="1289">
        <v>2</v>
      </c>
      <c r="B98" s="1289" t="s">
        <v>4046</v>
      </c>
      <c r="C98" s="1288" t="s">
        <v>927</v>
      </c>
      <c r="D98" s="1287">
        <v>2.88</v>
      </c>
      <c r="E98" s="1287">
        <v>796.82</v>
      </c>
      <c r="F98" s="1287">
        <v>2294.84</v>
      </c>
      <c r="G98" s="1286" t="s">
        <v>2477</v>
      </c>
      <c r="H98" s="34" t="s">
        <v>925</v>
      </c>
    </row>
    <row r="99" spans="1:8" ht="33">
      <c r="A99" s="1289">
        <v>3</v>
      </c>
      <c r="B99" s="1289" t="s">
        <v>931</v>
      </c>
      <c r="C99" s="1288" t="s">
        <v>14</v>
      </c>
      <c r="D99" s="1287">
        <v>1</v>
      </c>
      <c r="E99" s="1287">
        <v>197.61</v>
      </c>
      <c r="F99" s="1287">
        <v>197.61</v>
      </c>
      <c r="G99" s="1286" t="s">
        <v>932</v>
      </c>
      <c r="H99" s="34" t="s">
        <v>925</v>
      </c>
    </row>
    <row r="100" spans="1:8" ht="33">
      <c r="A100" s="1289"/>
      <c r="B100" s="1289" t="s">
        <v>933</v>
      </c>
      <c r="C100" s="1288" t="s">
        <v>1</v>
      </c>
      <c r="D100" s="1287">
        <v>100</v>
      </c>
      <c r="E100" s="1287"/>
      <c r="F100" s="1287">
        <v>6784.54</v>
      </c>
      <c r="G100" s="1286"/>
      <c r="H100" s="34" t="s">
        <v>925</v>
      </c>
    </row>
    <row r="101" spans="1:8" ht="33">
      <c r="A101" s="1289"/>
      <c r="B101" s="1289" t="s">
        <v>934</v>
      </c>
      <c r="C101" s="1288" t="s">
        <v>1</v>
      </c>
      <c r="D101" s="1287"/>
      <c r="E101" s="1287"/>
      <c r="F101" s="1287">
        <v>67.849999999999994</v>
      </c>
      <c r="G101" s="1286"/>
      <c r="H101" s="34" t="s">
        <v>925</v>
      </c>
    </row>
    <row r="102" spans="1:8" ht="33">
      <c r="A102" s="1289"/>
      <c r="B102" s="1289"/>
      <c r="C102" s="1288"/>
      <c r="D102" s="1287"/>
      <c r="E102" s="1287"/>
      <c r="F102" s="1287"/>
      <c r="G102" s="1286"/>
      <c r="H102" s="34" t="s">
        <v>925</v>
      </c>
    </row>
    <row r="103" spans="1:8" ht="28.5">
      <c r="A103" s="1289" t="s">
        <v>976</v>
      </c>
      <c r="B103" s="1289" t="s">
        <v>964</v>
      </c>
      <c r="C103" s="1288" t="s">
        <v>1</v>
      </c>
      <c r="D103" s="1287">
        <v>1</v>
      </c>
      <c r="E103" s="1287">
        <v>4945.96</v>
      </c>
      <c r="F103" s="1287"/>
      <c r="G103" s="1286" t="s">
        <v>965</v>
      </c>
    </row>
    <row r="104" spans="1:8" ht="33">
      <c r="A104" s="1289">
        <v>1</v>
      </c>
      <c r="B104" s="1289" t="s">
        <v>4871</v>
      </c>
      <c r="C104" s="1288" t="s">
        <v>927</v>
      </c>
      <c r="D104" s="1287">
        <v>17.2</v>
      </c>
      <c r="E104" s="1287">
        <v>279.18</v>
      </c>
      <c r="F104" s="1287">
        <v>4801.8999999999996</v>
      </c>
      <c r="G104" s="1286" t="s">
        <v>4872</v>
      </c>
      <c r="H104" s="34" t="s">
        <v>925</v>
      </c>
    </row>
    <row r="105" spans="1:8" ht="33">
      <c r="A105" s="1289">
        <v>2</v>
      </c>
      <c r="B105" s="1289" t="s">
        <v>955</v>
      </c>
      <c r="C105" s="1288" t="s">
        <v>14</v>
      </c>
      <c r="D105" s="1287">
        <v>1</v>
      </c>
      <c r="E105" s="1287">
        <v>144.06</v>
      </c>
      <c r="F105" s="1287">
        <v>144.06</v>
      </c>
      <c r="G105" s="1286" t="s">
        <v>956</v>
      </c>
      <c r="H105" s="34" t="s">
        <v>925</v>
      </c>
    </row>
    <row r="106" spans="1:8" ht="33">
      <c r="A106" s="1289"/>
      <c r="B106" s="1289" t="s">
        <v>933</v>
      </c>
      <c r="C106" s="1288" t="s">
        <v>1</v>
      </c>
      <c r="D106" s="1287">
        <v>1</v>
      </c>
      <c r="E106" s="1287"/>
      <c r="F106" s="1287">
        <v>4945.96</v>
      </c>
      <c r="G106" s="1286"/>
      <c r="H106" s="34" t="s">
        <v>925</v>
      </c>
    </row>
    <row r="107" spans="1:8" ht="33">
      <c r="A107" s="1289"/>
      <c r="B107" s="1289" t="s">
        <v>934</v>
      </c>
      <c r="C107" s="1288" t="s">
        <v>1</v>
      </c>
      <c r="D107" s="1287"/>
      <c r="E107" s="1287"/>
      <c r="F107" s="1287">
        <v>4945.96</v>
      </c>
      <c r="G107" s="1286"/>
      <c r="H107" s="34" t="s">
        <v>925</v>
      </c>
    </row>
    <row r="108" spans="1:8" ht="33">
      <c r="A108" s="1289"/>
      <c r="B108" s="1289"/>
      <c r="C108" s="1288"/>
      <c r="D108" s="1287"/>
      <c r="E108" s="1287"/>
      <c r="F108" s="1287"/>
      <c r="G108" s="1286"/>
      <c r="H108" s="34" t="s">
        <v>925</v>
      </c>
    </row>
    <row r="109" spans="1:8" ht="42.75">
      <c r="A109" s="1289" t="s">
        <v>978</v>
      </c>
      <c r="B109" s="1289" t="s">
        <v>961</v>
      </c>
      <c r="C109" s="1288" t="s">
        <v>1</v>
      </c>
      <c r="D109" s="1287">
        <v>100</v>
      </c>
      <c r="E109" s="1287">
        <v>471.35</v>
      </c>
      <c r="F109" s="1287"/>
      <c r="G109" s="1286" t="s">
        <v>962</v>
      </c>
    </row>
    <row r="110" spans="1:8" ht="33">
      <c r="A110" s="1289">
        <v>1</v>
      </c>
      <c r="B110" s="1289" t="s">
        <v>941</v>
      </c>
      <c r="C110" s="1288" t="s">
        <v>927</v>
      </c>
      <c r="D110" s="1287">
        <v>15</v>
      </c>
      <c r="E110" s="1287">
        <v>342.77</v>
      </c>
      <c r="F110" s="1287">
        <v>5141.55</v>
      </c>
      <c r="G110" s="1286" t="s">
        <v>942</v>
      </c>
      <c r="H110" s="34" t="s">
        <v>925</v>
      </c>
    </row>
    <row r="111" spans="1:8" ht="33">
      <c r="A111" s="1289">
        <v>2</v>
      </c>
      <c r="B111" s="1289" t="s">
        <v>943</v>
      </c>
      <c r="C111" s="1288" t="s">
        <v>927</v>
      </c>
      <c r="D111" s="1287">
        <v>30</v>
      </c>
      <c r="E111" s="1287">
        <v>302.04000000000002</v>
      </c>
      <c r="F111" s="1287">
        <v>9061.2000000000007</v>
      </c>
      <c r="G111" s="1286" t="s">
        <v>944</v>
      </c>
      <c r="H111" s="34" t="s">
        <v>925</v>
      </c>
    </row>
    <row r="112" spans="1:8" ht="33">
      <c r="A112" s="1289">
        <v>3</v>
      </c>
      <c r="B112" s="1289" t="s">
        <v>945</v>
      </c>
      <c r="C112" s="1288" t="s">
        <v>927</v>
      </c>
      <c r="D112" s="1287">
        <v>15</v>
      </c>
      <c r="E112" s="1287">
        <v>398.41</v>
      </c>
      <c r="F112" s="1287">
        <v>5976.15</v>
      </c>
      <c r="G112" s="1286" t="s">
        <v>946</v>
      </c>
      <c r="H112" s="34" t="s">
        <v>925</v>
      </c>
    </row>
    <row r="113" spans="1:8" ht="33">
      <c r="A113" s="1289">
        <v>4</v>
      </c>
      <c r="B113" s="1289" t="s">
        <v>947</v>
      </c>
      <c r="C113" s="1288" t="s">
        <v>927</v>
      </c>
      <c r="D113" s="1287">
        <v>30</v>
      </c>
      <c r="E113" s="1287">
        <v>398.41</v>
      </c>
      <c r="F113" s="1287">
        <v>11952.3</v>
      </c>
      <c r="G113" s="1286" t="s">
        <v>948</v>
      </c>
      <c r="H113" s="34" t="s">
        <v>925</v>
      </c>
    </row>
    <row r="114" spans="1:8" ht="33">
      <c r="A114" s="1289">
        <v>5</v>
      </c>
      <c r="B114" s="1289" t="s">
        <v>4871</v>
      </c>
      <c r="C114" s="1288" t="s">
        <v>927</v>
      </c>
      <c r="D114" s="1287">
        <v>15</v>
      </c>
      <c r="E114" s="1287">
        <v>279.18</v>
      </c>
      <c r="F114" s="1287">
        <v>4187.7</v>
      </c>
      <c r="G114" s="1286" t="s">
        <v>4872</v>
      </c>
      <c r="H114" s="34" t="s">
        <v>925</v>
      </c>
    </row>
    <row r="115" spans="1:8" ht="33">
      <c r="A115" s="1289">
        <v>6</v>
      </c>
      <c r="B115" s="1289" t="s">
        <v>929</v>
      </c>
      <c r="C115" s="1288" t="s">
        <v>927</v>
      </c>
      <c r="D115" s="1287">
        <v>5</v>
      </c>
      <c r="E115" s="1287">
        <v>1490.31</v>
      </c>
      <c r="F115" s="1287">
        <v>7451.55</v>
      </c>
      <c r="G115" s="1286" t="s">
        <v>930</v>
      </c>
      <c r="H115" s="34" t="s">
        <v>925</v>
      </c>
    </row>
    <row r="116" spans="1:8" ht="42.75">
      <c r="A116" s="1289">
        <v>7</v>
      </c>
      <c r="B116" s="1289" t="s">
        <v>4869</v>
      </c>
      <c r="C116" s="1288" t="s">
        <v>927</v>
      </c>
      <c r="D116" s="1287">
        <v>5</v>
      </c>
      <c r="E116" s="1287">
        <v>398.41</v>
      </c>
      <c r="F116" s="1287">
        <v>1992.05</v>
      </c>
      <c r="G116" s="1286" t="s">
        <v>4870</v>
      </c>
      <c r="H116" s="34" t="s">
        <v>925</v>
      </c>
    </row>
    <row r="117" spans="1:8" ht="33">
      <c r="A117" s="1289">
        <v>8</v>
      </c>
      <c r="B117" s="1289" t="s">
        <v>931</v>
      </c>
      <c r="C117" s="1288" t="s">
        <v>14</v>
      </c>
      <c r="D117" s="1287">
        <v>1</v>
      </c>
      <c r="E117" s="1287">
        <v>1372.88</v>
      </c>
      <c r="F117" s="1287">
        <v>1372.88</v>
      </c>
      <c r="G117" s="1286" t="s">
        <v>932</v>
      </c>
      <c r="H117" s="34" t="s">
        <v>925</v>
      </c>
    </row>
    <row r="118" spans="1:8" ht="33">
      <c r="A118" s="1289"/>
      <c r="B118" s="1289" t="s">
        <v>933</v>
      </c>
      <c r="C118" s="1288" t="s">
        <v>1</v>
      </c>
      <c r="D118" s="1287">
        <v>100</v>
      </c>
      <c r="E118" s="1287"/>
      <c r="F118" s="1287">
        <v>47135.380000000005</v>
      </c>
      <c r="G118" s="1286"/>
      <c r="H118" s="34" t="s">
        <v>925</v>
      </c>
    </row>
    <row r="119" spans="1:8" ht="33">
      <c r="A119" s="1289"/>
      <c r="B119" s="1289" t="s">
        <v>934</v>
      </c>
      <c r="C119" s="1288" t="s">
        <v>1</v>
      </c>
      <c r="D119" s="1287"/>
      <c r="E119" s="1287"/>
      <c r="F119" s="1287">
        <v>471.35</v>
      </c>
      <c r="G119" s="1286"/>
      <c r="H119" s="34" t="s">
        <v>925</v>
      </c>
    </row>
    <row r="120" spans="1:8" ht="33">
      <c r="A120" s="1289"/>
      <c r="B120" s="1289"/>
      <c r="C120" s="1288"/>
      <c r="D120" s="1287"/>
      <c r="E120" s="1287"/>
      <c r="F120" s="1287"/>
      <c r="G120" s="1286"/>
      <c r="H120" s="34" t="s">
        <v>925</v>
      </c>
    </row>
    <row r="121" spans="1:8" ht="28.5">
      <c r="A121" s="1289" t="s">
        <v>980</v>
      </c>
      <c r="B121" s="1289" t="s">
        <v>985</v>
      </c>
      <c r="C121" s="1288" t="s">
        <v>1</v>
      </c>
      <c r="D121" s="1287">
        <v>1</v>
      </c>
      <c r="E121" s="1287">
        <v>644.12</v>
      </c>
      <c r="F121" s="1287"/>
      <c r="G121" s="1286" t="s">
        <v>2206</v>
      </c>
    </row>
    <row r="122" spans="1:8" ht="33">
      <c r="A122" s="1289">
        <v>1</v>
      </c>
      <c r="B122" s="1289" t="s">
        <v>4871</v>
      </c>
      <c r="C122" s="1288" t="s">
        <v>927</v>
      </c>
      <c r="D122" s="1287">
        <v>2.2400000000000002</v>
      </c>
      <c r="E122" s="1287">
        <v>279.18</v>
      </c>
      <c r="F122" s="1287">
        <v>625.36</v>
      </c>
      <c r="G122" s="1286" t="s">
        <v>4872</v>
      </c>
      <c r="H122" s="34" t="s">
        <v>925</v>
      </c>
    </row>
    <row r="123" spans="1:8" ht="33">
      <c r="A123" s="1289">
        <v>2</v>
      </c>
      <c r="B123" s="1289" t="s">
        <v>931</v>
      </c>
      <c r="C123" s="1288" t="s">
        <v>14</v>
      </c>
      <c r="D123" s="1287">
        <v>1</v>
      </c>
      <c r="E123" s="1287">
        <v>18.760000000000002</v>
      </c>
      <c r="F123" s="1287">
        <v>18.760000000000002</v>
      </c>
      <c r="G123" s="1286" t="s">
        <v>932</v>
      </c>
      <c r="H123" s="34" t="s">
        <v>925</v>
      </c>
    </row>
    <row r="124" spans="1:8" ht="33">
      <c r="A124" s="1289"/>
      <c r="B124" s="1289" t="s">
        <v>933</v>
      </c>
      <c r="C124" s="1288" t="s">
        <v>1</v>
      </c>
      <c r="D124" s="1287">
        <v>1</v>
      </c>
      <c r="E124" s="1287"/>
      <c r="F124" s="1287">
        <v>644.12</v>
      </c>
      <c r="G124" s="1286"/>
      <c r="H124" s="34" t="s">
        <v>925</v>
      </c>
    </row>
    <row r="125" spans="1:8" ht="33">
      <c r="A125" s="1289"/>
      <c r="B125" s="1289" t="s">
        <v>934</v>
      </c>
      <c r="C125" s="1288" t="s">
        <v>1</v>
      </c>
      <c r="D125" s="1287"/>
      <c r="E125" s="1287"/>
      <c r="F125" s="1287">
        <v>644.12</v>
      </c>
      <c r="G125" s="1286"/>
      <c r="H125" s="34" t="s">
        <v>925</v>
      </c>
    </row>
    <row r="126" spans="1:8" ht="33">
      <c r="A126" s="1289"/>
      <c r="B126" s="1289"/>
      <c r="C126" s="1288"/>
      <c r="D126" s="1287"/>
      <c r="E126" s="1287"/>
      <c r="F126" s="1287"/>
      <c r="G126" s="1286"/>
      <c r="H126" s="34" t="s">
        <v>925</v>
      </c>
    </row>
    <row r="127" spans="1:8" ht="28.5">
      <c r="A127" s="1289" t="s">
        <v>982</v>
      </c>
      <c r="B127" s="1289" t="s">
        <v>2214</v>
      </c>
      <c r="C127" s="1288" t="s">
        <v>1</v>
      </c>
      <c r="D127" s="1287">
        <v>1</v>
      </c>
      <c r="E127" s="1287">
        <v>1483.81</v>
      </c>
      <c r="F127" s="1287"/>
      <c r="G127" s="1286" t="s">
        <v>2215</v>
      </c>
    </row>
    <row r="128" spans="1:8" ht="42.75">
      <c r="A128" s="1289">
        <v>1</v>
      </c>
      <c r="B128" s="1289" t="s">
        <v>4874</v>
      </c>
      <c r="C128" s="1288" t="s">
        <v>927</v>
      </c>
      <c r="D128" s="1287">
        <v>2.58</v>
      </c>
      <c r="E128" s="1287">
        <v>558.37</v>
      </c>
      <c r="F128" s="1287">
        <v>1440.59</v>
      </c>
      <c r="G128" s="1286" t="s">
        <v>4875</v>
      </c>
      <c r="H128" s="34" t="s">
        <v>925</v>
      </c>
    </row>
    <row r="129" spans="1:8" ht="33">
      <c r="A129" s="1289">
        <v>2</v>
      </c>
      <c r="B129" s="1289" t="s">
        <v>931</v>
      </c>
      <c r="C129" s="1288" t="s">
        <v>14</v>
      </c>
      <c r="D129" s="1287">
        <v>1</v>
      </c>
      <c r="E129" s="1287">
        <v>43.22</v>
      </c>
      <c r="F129" s="1287">
        <v>43.22</v>
      </c>
      <c r="G129" s="1286" t="s">
        <v>932</v>
      </c>
      <c r="H129" s="34" t="s">
        <v>925</v>
      </c>
    </row>
    <row r="130" spans="1:8" ht="33">
      <c r="A130" s="1289"/>
      <c r="B130" s="1289" t="s">
        <v>933</v>
      </c>
      <c r="C130" s="1288" t="s">
        <v>1</v>
      </c>
      <c r="D130" s="1287">
        <v>1</v>
      </c>
      <c r="E130" s="1287"/>
      <c r="F130" s="1287">
        <v>1483.81</v>
      </c>
      <c r="G130" s="1286"/>
      <c r="H130" s="34" t="s">
        <v>925</v>
      </c>
    </row>
    <row r="131" spans="1:8" ht="33">
      <c r="A131" s="1289"/>
      <c r="B131" s="1289" t="s">
        <v>934</v>
      </c>
      <c r="C131" s="1288" t="s">
        <v>1</v>
      </c>
      <c r="D131" s="1287"/>
      <c r="E131" s="1287"/>
      <c r="F131" s="1287">
        <v>1483.81</v>
      </c>
      <c r="G131" s="1286"/>
      <c r="H131" s="34" t="s">
        <v>925</v>
      </c>
    </row>
    <row r="132" spans="1:8" ht="33">
      <c r="A132" s="1289"/>
      <c r="B132" s="1289"/>
      <c r="C132" s="1288"/>
      <c r="D132" s="1287"/>
      <c r="E132" s="1287"/>
      <c r="F132" s="1287"/>
      <c r="G132" s="1286"/>
      <c r="H132" s="34" t="s">
        <v>925</v>
      </c>
    </row>
    <row r="133" spans="1:8" ht="57">
      <c r="A133" s="1289" t="s">
        <v>984</v>
      </c>
      <c r="B133" s="1289" t="s">
        <v>936</v>
      </c>
      <c r="C133" s="1288" t="s">
        <v>0</v>
      </c>
      <c r="D133" s="1287">
        <v>100</v>
      </c>
      <c r="E133" s="1287">
        <v>906.82</v>
      </c>
      <c r="F133" s="1287"/>
      <c r="G133" s="1286" t="s">
        <v>971</v>
      </c>
      <c r="H133" s="34" t="s">
        <v>925</v>
      </c>
    </row>
    <row r="134" spans="1:8" ht="33">
      <c r="A134" s="1289">
        <v>1</v>
      </c>
      <c r="B134" s="1289" t="s">
        <v>926</v>
      </c>
      <c r="C134" s="1288" t="s">
        <v>927</v>
      </c>
      <c r="D134" s="1287">
        <v>31.92</v>
      </c>
      <c r="E134" s="1287">
        <v>1291.5999999999999</v>
      </c>
      <c r="F134" s="1287">
        <v>41227.870000000003</v>
      </c>
      <c r="G134" s="1286" t="s">
        <v>928</v>
      </c>
      <c r="H134" s="34" t="s">
        <v>925</v>
      </c>
    </row>
    <row r="135" spans="1:8" ht="33">
      <c r="A135" s="1289">
        <v>2</v>
      </c>
      <c r="B135" s="1289" t="s">
        <v>929</v>
      </c>
      <c r="C135" s="1288" t="s">
        <v>927</v>
      </c>
      <c r="D135" s="1287">
        <v>6.65</v>
      </c>
      <c r="E135" s="1287">
        <v>1490.31</v>
      </c>
      <c r="F135" s="1287">
        <v>9910.56</v>
      </c>
      <c r="G135" s="1286" t="s">
        <v>930</v>
      </c>
      <c r="H135" s="34" t="s">
        <v>925</v>
      </c>
    </row>
    <row r="136" spans="1:8" ht="42.75">
      <c r="A136" s="1289">
        <v>3</v>
      </c>
      <c r="B136" s="1289" t="s">
        <v>4869</v>
      </c>
      <c r="C136" s="1288" t="s">
        <v>927</v>
      </c>
      <c r="D136" s="1287">
        <v>38.57</v>
      </c>
      <c r="E136" s="1287">
        <v>398.41</v>
      </c>
      <c r="F136" s="1287">
        <v>15366.67</v>
      </c>
      <c r="G136" s="1286" t="s">
        <v>4870</v>
      </c>
      <c r="H136" s="34" t="s">
        <v>925</v>
      </c>
    </row>
    <row r="137" spans="1:8" ht="33">
      <c r="A137" s="1289">
        <v>4</v>
      </c>
      <c r="B137" s="1289" t="s">
        <v>4871</v>
      </c>
      <c r="C137" s="1288" t="s">
        <v>927</v>
      </c>
      <c r="D137" s="1287">
        <v>77.14</v>
      </c>
      <c r="E137" s="1287">
        <v>279.18</v>
      </c>
      <c r="F137" s="1287">
        <v>21535.95</v>
      </c>
      <c r="G137" s="1286" t="s">
        <v>4872</v>
      </c>
      <c r="H137" s="34" t="s">
        <v>925</v>
      </c>
    </row>
    <row r="138" spans="1:8" ht="33">
      <c r="A138" s="1289">
        <v>5</v>
      </c>
      <c r="B138" s="1289" t="s">
        <v>931</v>
      </c>
      <c r="C138" s="1288" t="s">
        <v>14</v>
      </c>
      <c r="D138" s="1287">
        <v>1</v>
      </c>
      <c r="E138" s="1287">
        <v>2641.23</v>
      </c>
      <c r="F138" s="1287">
        <v>2641.23</v>
      </c>
      <c r="G138" s="1286" t="s">
        <v>932</v>
      </c>
      <c r="H138" s="34" t="s">
        <v>925</v>
      </c>
    </row>
    <row r="139" spans="1:8" ht="16.5">
      <c r="A139" s="1289"/>
      <c r="B139" s="1289" t="s">
        <v>933</v>
      </c>
      <c r="C139" s="1288" t="s">
        <v>0</v>
      </c>
      <c r="D139" s="1287">
        <v>100</v>
      </c>
      <c r="E139" s="1287"/>
      <c r="F139" s="1287">
        <v>90682.28</v>
      </c>
      <c r="G139" s="1286"/>
    </row>
    <row r="140" spans="1:8" ht="33">
      <c r="A140" s="1289"/>
      <c r="B140" s="1289" t="s">
        <v>934</v>
      </c>
      <c r="C140" s="1288" t="s">
        <v>0</v>
      </c>
      <c r="D140" s="1287"/>
      <c r="E140" s="1287"/>
      <c r="F140" s="1287">
        <v>906.82</v>
      </c>
      <c r="G140" s="1286"/>
      <c r="H140" s="34" t="s">
        <v>925</v>
      </c>
    </row>
    <row r="141" spans="1:8" ht="33">
      <c r="A141" s="1289"/>
      <c r="B141" s="1289"/>
      <c r="C141" s="1288"/>
      <c r="D141" s="1287"/>
      <c r="E141" s="1287"/>
      <c r="F141" s="1287"/>
      <c r="G141" s="1286"/>
      <c r="H141" s="34" t="s">
        <v>925</v>
      </c>
    </row>
    <row r="142" spans="1:8" ht="57">
      <c r="A142" s="1289" t="s">
        <v>987</v>
      </c>
      <c r="B142" s="1289" t="s">
        <v>923</v>
      </c>
      <c r="C142" s="1288" t="s">
        <v>0</v>
      </c>
      <c r="D142" s="1287">
        <v>100</v>
      </c>
      <c r="E142" s="1287">
        <v>1399.63</v>
      </c>
      <c r="F142" s="1287"/>
      <c r="G142" s="1286" t="s">
        <v>973</v>
      </c>
      <c r="H142" s="34" t="s">
        <v>925</v>
      </c>
    </row>
    <row r="143" spans="1:8" ht="33">
      <c r="A143" s="1289">
        <v>1</v>
      </c>
      <c r="B143" s="1289" t="s">
        <v>926</v>
      </c>
      <c r="C143" s="1288" t="s">
        <v>927</v>
      </c>
      <c r="D143" s="1287">
        <v>53.2</v>
      </c>
      <c r="E143" s="1287">
        <v>1291.5999999999999</v>
      </c>
      <c r="F143" s="1287">
        <v>68713.119999999995</v>
      </c>
      <c r="G143" s="1286" t="s">
        <v>928</v>
      </c>
      <c r="H143" s="34" t="s">
        <v>925</v>
      </c>
    </row>
    <row r="144" spans="1:8" ht="33">
      <c r="A144" s="1289">
        <v>2</v>
      </c>
      <c r="B144" s="1289" t="s">
        <v>929</v>
      </c>
      <c r="C144" s="1288" t="s">
        <v>927</v>
      </c>
      <c r="D144" s="1287">
        <v>6.65</v>
      </c>
      <c r="E144" s="1287">
        <v>1490.31</v>
      </c>
      <c r="F144" s="1287">
        <v>9910.56</v>
      </c>
      <c r="G144" s="1286" t="s">
        <v>930</v>
      </c>
      <c r="H144" s="34" t="s">
        <v>925</v>
      </c>
    </row>
    <row r="145" spans="1:8" ht="42.75">
      <c r="A145" s="1289">
        <v>3</v>
      </c>
      <c r="B145" s="1289" t="s">
        <v>4869</v>
      </c>
      <c r="C145" s="1288" t="s">
        <v>927</v>
      </c>
      <c r="D145" s="1287">
        <v>59.85</v>
      </c>
      <c r="E145" s="1287">
        <v>398.41</v>
      </c>
      <c r="F145" s="1287">
        <v>23844.84</v>
      </c>
      <c r="G145" s="1286" t="s">
        <v>4870</v>
      </c>
      <c r="H145" s="34" t="s">
        <v>925</v>
      </c>
    </row>
    <row r="146" spans="1:8" ht="28.5">
      <c r="A146" s="1289">
        <v>4</v>
      </c>
      <c r="B146" s="1289" t="s">
        <v>4871</v>
      </c>
      <c r="C146" s="1288" t="s">
        <v>927</v>
      </c>
      <c r="D146" s="1287">
        <v>119.7</v>
      </c>
      <c r="E146" s="1287">
        <v>279.18</v>
      </c>
      <c r="F146" s="1287">
        <v>33417.85</v>
      </c>
      <c r="G146" s="1286" t="s">
        <v>4872</v>
      </c>
    </row>
    <row r="147" spans="1:8" ht="33">
      <c r="A147" s="1289">
        <v>5</v>
      </c>
      <c r="B147" s="1289" t="s">
        <v>931</v>
      </c>
      <c r="C147" s="1288" t="s">
        <v>14</v>
      </c>
      <c r="D147" s="1287">
        <v>1</v>
      </c>
      <c r="E147" s="1287">
        <v>4076.59</v>
      </c>
      <c r="F147" s="1287">
        <v>4076.59</v>
      </c>
      <c r="G147" s="1286" t="s">
        <v>932</v>
      </c>
      <c r="H147" s="34" t="s">
        <v>925</v>
      </c>
    </row>
    <row r="148" spans="1:8" ht="33">
      <c r="A148" s="1289"/>
      <c r="B148" s="1289" t="s">
        <v>933</v>
      </c>
      <c r="C148" s="1288" t="s">
        <v>0</v>
      </c>
      <c r="D148" s="1287">
        <v>100</v>
      </c>
      <c r="E148" s="1287"/>
      <c r="F148" s="1287">
        <v>139962.96</v>
      </c>
      <c r="G148" s="1286"/>
      <c r="H148" s="34" t="s">
        <v>925</v>
      </c>
    </row>
    <row r="149" spans="1:8" ht="33">
      <c r="A149" s="1289"/>
      <c r="B149" s="1289" t="s">
        <v>934</v>
      </c>
      <c r="C149" s="1288" t="s">
        <v>0</v>
      </c>
      <c r="D149" s="1287"/>
      <c r="E149" s="1287"/>
      <c r="F149" s="1287">
        <v>1399.63</v>
      </c>
      <c r="G149" s="1286"/>
      <c r="H149" s="34" t="s">
        <v>925</v>
      </c>
    </row>
    <row r="150" spans="1:8" ht="33">
      <c r="A150" s="1289"/>
      <c r="B150" s="1289"/>
      <c r="C150" s="1288"/>
      <c r="D150" s="1287"/>
      <c r="E150" s="1287"/>
      <c r="F150" s="1287"/>
      <c r="G150" s="1286"/>
      <c r="H150" s="34" t="s">
        <v>925</v>
      </c>
    </row>
    <row r="151" spans="1:8" ht="57">
      <c r="A151" s="1289" t="s">
        <v>989</v>
      </c>
      <c r="B151" s="1289" t="s">
        <v>958</v>
      </c>
      <c r="C151" s="1288" t="s">
        <v>1</v>
      </c>
      <c r="D151" s="1287">
        <v>1</v>
      </c>
      <c r="E151" s="1287">
        <v>4741.79</v>
      </c>
      <c r="F151" s="1287"/>
      <c r="G151" s="1286" t="s">
        <v>975</v>
      </c>
      <c r="H151" s="34" t="s">
        <v>925</v>
      </c>
    </row>
    <row r="152" spans="1:8" ht="28.5">
      <c r="A152" s="1289">
        <v>1</v>
      </c>
      <c r="B152" s="1289" t="s">
        <v>4871</v>
      </c>
      <c r="C152" s="1288" t="s">
        <v>927</v>
      </c>
      <c r="D152" s="1287">
        <v>16.489999999999998</v>
      </c>
      <c r="E152" s="1287">
        <v>279.18</v>
      </c>
      <c r="F152" s="1287">
        <v>4603.68</v>
      </c>
      <c r="G152" s="1286" t="s">
        <v>4872</v>
      </c>
    </row>
    <row r="153" spans="1:8" ht="33">
      <c r="A153" s="1289">
        <v>2</v>
      </c>
      <c r="B153" s="1289" t="s">
        <v>955</v>
      </c>
      <c r="C153" s="1288" t="s">
        <v>14</v>
      </c>
      <c r="D153" s="1287">
        <v>1</v>
      </c>
      <c r="E153" s="1287">
        <v>138.11000000000001</v>
      </c>
      <c r="F153" s="1287">
        <v>138.11000000000001</v>
      </c>
      <c r="G153" s="1286" t="s">
        <v>956</v>
      </c>
      <c r="H153" s="34" t="s">
        <v>925</v>
      </c>
    </row>
    <row r="154" spans="1:8" ht="33">
      <c r="A154" s="1289"/>
      <c r="B154" s="1289" t="s">
        <v>933</v>
      </c>
      <c r="C154" s="1288" t="s">
        <v>1</v>
      </c>
      <c r="D154" s="1287">
        <v>1</v>
      </c>
      <c r="E154" s="1287"/>
      <c r="F154" s="1287">
        <v>4741.79</v>
      </c>
      <c r="G154" s="1286"/>
      <c r="H154" s="34" t="s">
        <v>925</v>
      </c>
    </row>
    <row r="155" spans="1:8" ht="33">
      <c r="A155" s="1289"/>
      <c r="B155" s="1289" t="s">
        <v>934</v>
      </c>
      <c r="C155" s="1288" t="s">
        <v>1</v>
      </c>
      <c r="D155" s="1287"/>
      <c r="E155" s="1287"/>
      <c r="F155" s="1287">
        <v>4741.79</v>
      </c>
      <c r="G155" s="1286"/>
      <c r="H155" s="34" t="s">
        <v>925</v>
      </c>
    </row>
    <row r="156" spans="1:8" ht="33">
      <c r="A156" s="1289"/>
      <c r="B156" s="1289"/>
      <c r="C156" s="1288"/>
      <c r="D156" s="1287"/>
      <c r="E156" s="1287"/>
      <c r="F156" s="1287"/>
      <c r="G156" s="1286"/>
      <c r="H156" s="34" t="s">
        <v>925</v>
      </c>
    </row>
    <row r="157" spans="1:8" ht="57">
      <c r="A157" s="1289" t="s">
        <v>992</v>
      </c>
      <c r="B157" s="1289" t="s">
        <v>961</v>
      </c>
      <c r="C157" s="1288" t="s">
        <v>1</v>
      </c>
      <c r="D157" s="1287">
        <v>100</v>
      </c>
      <c r="E157" s="1287">
        <v>626.9</v>
      </c>
      <c r="F157" s="1287"/>
      <c r="G157" s="1286" t="s">
        <v>977</v>
      </c>
      <c r="H157" s="34" t="s">
        <v>925</v>
      </c>
    </row>
    <row r="158" spans="1:8" ht="28.5">
      <c r="A158" s="1289">
        <v>1</v>
      </c>
      <c r="B158" s="1289" t="s">
        <v>941</v>
      </c>
      <c r="C158" s="1288" t="s">
        <v>927</v>
      </c>
      <c r="D158" s="1287">
        <v>19.95</v>
      </c>
      <c r="E158" s="1287">
        <v>342.77</v>
      </c>
      <c r="F158" s="1287">
        <v>6838.26</v>
      </c>
      <c r="G158" s="1286" t="s">
        <v>942</v>
      </c>
    </row>
    <row r="159" spans="1:8" ht="33">
      <c r="A159" s="1289">
        <v>2</v>
      </c>
      <c r="B159" s="1289" t="s">
        <v>943</v>
      </c>
      <c r="C159" s="1288" t="s">
        <v>927</v>
      </c>
      <c r="D159" s="1287">
        <v>39.9</v>
      </c>
      <c r="E159" s="1287">
        <v>302.04000000000002</v>
      </c>
      <c r="F159" s="1287">
        <v>12051.4</v>
      </c>
      <c r="G159" s="1286" t="s">
        <v>944</v>
      </c>
      <c r="H159" s="34" t="s">
        <v>925</v>
      </c>
    </row>
    <row r="160" spans="1:8" ht="33">
      <c r="A160" s="1289">
        <v>3</v>
      </c>
      <c r="B160" s="1289" t="s">
        <v>945</v>
      </c>
      <c r="C160" s="1288" t="s">
        <v>927</v>
      </c>
      <c r="D160" s="1287">
        <v>19.95</v>
      </c>
      <c r="E160" s="1287">
        <v>398.41</v>
      </c>
      <c r="F160" s="1287">
        <v>7948.28</v>
      </c>
      <c r="G160" s="1286" t="s">
        <v>946</v>
      </c>
      <c r="H160" s="34" t="s">
        <v>925</v>
      </c>
    </row>
    <row r="161" spans="1:8" ht="33">
      <c r="A161" s="1289">
        <v>4</v>
      </c>
      <c r="B161" s="1289" t="s">
        <v>947</v>
      </c>
      <c r="C161" s="1288" t="s">
        <v>927</v>
      </c>
      <c r="D161" s="1287">
        <v>39.9</v>
      </c>
      <c r="E161" s="1287">
        <v>398.41</v>
      </c>
      <c r="F161" s="1287">
        <v>15896.56</v>
      </c>
      <c r="G161" s="1286" t="s">
        <v>948</v>
      </c>
      <c r="H161" s="34" t="s">
        <v>925</v>
      </c>
    </row>
    <row r="162" spans="1:8" ht="33">
      <c r="A162" s="1289">
        <v>5</v>
      </c>
      <c r="B162" s="1289" t="s">
        <v>4871</v>
      </c>
      <c r="C162" s="1288" t="s">
        <v>927</v>
      </c>
      <c r="D162" s="1287">
        <v>19.95</v>
      </c>
      <c r="E162" s="1287">
        <v>279.18</v>
      </c>
      <c r="F162" s="1287">
        <v>5569.64</v>
      </c>
      <c r="G162" s="1286" t="s">
        <v>4872</v>
      </c>
      <c r="H162" s="34" t="s">
        <v>925</v>
      </c>
    </row>
    <row r="163" spans="1:8" ht="33">
      <c r="A163" s="1289">
        <v>6</v>
      </c>
      <c r="B163" s="1289" t="s">
        <v>929</v>
      </c>
      <c r="C163" s="1288" t="s">
        <v>927</v>
      </c>
      <c r="D163" s="1287">
        <v>6.65</v>
      </c>
      <c r="E163" s="1287">
        <v>1490.31</v>
      </c>
      <c r="F163" s="1287">
        <v>9910.56</v>
      </c>
      <c r="G163" s="1286" t="s">
        <v>930</v>
      </c>
      <c r="H163" s="34" t="s">
        <v>925</v>
      </c>
    </row>
    <row r="164" spans="1:8" ht="42.75">
      <c r="A164" s="1289">
        <v>7</v>
      </c>
      <c r="B164" s="1289" t="s">
        <v>4869</v>
      </c>
      <c r="C164" s="1288" t="s">
        <v>927</v>
      </c>
      <c r="D164" s="1287">
        <v>6.65</v>
      </c>
      <c r="E164" s="1287">
        <v>398.41</v>
      </c>
      <c r="F164" s="1287">
        <v>2649.43</v>
      </c>
      <c r="G164" s="1286" t="s">
        <v>4870</v>
      </c>
      <c r="H164" s="34" t="s">
        <v>925</v>
      </c>
    </row>
    <row r="165" spans="1:8" ht="33">
      <c r="A165" s="1289">
        <v>8</v>
      </c>
      <c r="B165" s="1289" t="s">
        <v>931</v>
      </c>
      <c r="C165" s="1288" t="s">
        <v>14</v>
      </c>
      <c r="D165" s="1287">
        <v>1</v>
      </c>
      <c r="E165" s="1287">
        <v>1825.92</v>
      </c>
      <c r="F165" s="1287">
        <v>1825.92</v>
      </c>
      <c r="G165" s="1286" t="s">
        <v>932</v>
      </c>
      <c r="H165" s="34" t="s">
        <v>925</v>
      </c>
    </row>
    <row r="166" spans="1:8" ht="16.5">
      <c r="A166" s="1289"/>
      <c r="B166" s="1289" t="s">
        <v>933</v>
      </c>
      <c r="C166" s="1288" t="s">
        <v>1</v>
      </c>
      <c r="D166" s="1287">
        <v>100</v>
      </c>
      <c r="E166" s="1287"/>
      <c r="F166" s="1287">
        <v>62690.049999999996</v>
      </c>
      <c r="G166" s="1286"/>
    </row>
    <row r="167" spans="1:8" ht="33">
      <c r="A167" s="1289"/>
      <c r="B167" s="1289" t="s">
        <v>934</v>
      </c>
      <c r="C167" s="1288" t="s">
        <v>1</v>
      </c>
      <c r="D167" s="1287"/>
      <c r="E167" s="1287"/>
      <c r="F167" s="1287">
        <v>626.9</v>
      </c>
      <c r="G167" s="1286"/>
      <c r="H167" s="34" t="s">
        <v>925</v>
      </c>
    </row>
    <row r="168" spans="1:8" ht="33">
      <c r="A168" s="1289"/>
      <c r="B168" s="1289"/>
      <c r="C168" s="1288"/>
      <c r="D168" s="1287"/>
      <c r="E168" s="1287"/>
      <c r="F168" s="1287"/>
      <c r="G168" s="1286"/>
      <c r="H168" s="34" t="s">
        <v>925</v>
      </c>
    </row>
    <row r="169" spans="1:8" ht="57">
      <c r="A169" s="1289" t="s">
        <v>994</v>
      </c>
      <c r="B169" s="1289" t="s">
        <v>964</v>
      </c>
      <c r="C169" s="1288" t="s">
        <v>1</v>
      </c>
      <c r="D169" s="1287">
        <v>1</v>
      </c>
      <c r="E169" s="1287">
        <v>6579.27</v>
      </c>
      <c r="F169" s="1287"/>
      <c r="G169" s="1286" t="s">
        <v>979</v>
      </c>
      <c r="H169" s="34" t="s">
        <v>925</v>
      </c>
    </row>
    <row r="170" spans="1:8" ht="33">
      <c r="A170" s="1289">
        <v>1</v>
      </c>
      <c r="B170" s="1289" t="s">
        <v>4871</v>
      </c>
      <c r="C170" s="1288" t="s">
        <v>927</v>
      </c>
      <c r="D170" s="1287">
        <v>22.88</v>
      </c>
      <c r="E170" s="1287">
        <v>279.18</v>
      </c>
      <c r="F170" s="1287">
        <v>6387.64</v>
      </c>
      <c r="G170" s="1286" t="s">
        <v>4872</v>
      </c>
      <c r="H170" s="34" t="s">
        <v>925</v>
      </c>
    </row>
    <row r="171" spans="1:8" ht="33">
      <c r="A171" s="1289">
        <v>2</v>
      </c>
      <c r="B171" s="1289" t="s">
        <v>955</v>
      </c>
      <c r="C171" s="1288" t="s">
        <v>14</v>
      </c>
      <c r="D171" s="1287">
        <v>1</v>
      </c>
      <c r="E171" s="1287">
        <v>191.63</v>
      </c>
      <c r="F171" s="1287">
        <v>191.63</v>
      </c>
      <c r="G171" s="1286" t="s">
        <v>956</v>
      </c>
      <c r="H171" s="34" t="s">
        <v>925</v>
      </c>
    </row>
    <row r="172" spans="1:8" ht="33">
      <c r="A172" s="1289"/>
      <c r="B172" s="1289" t="s">
        <v>933</v>
      </c>
      <c r="C172" s="1288" t="s">
        <v>1</v>
      </c>
      <c r="D172" s="1287">
        <v>1</v>
      </c>
      <c r="E172" s="1287"/>
      <c r="F172" s="1287">
        <v>6579.27</v>
      </c>
      <c r="G172" s="1286"/>
      <c r="H172" s="34" t="s">
        <v>925</v>
      </c>
    </row>
    <row r="173" spans="1:8" ht="33">
      <c r="A173" s="1289"/>
      <c r="B173" s="1289" t="s">
        <v>934</v>
      </c>
      <c r="C173" s="1288" t="s">
        <v>1</v>
      </c>
      <c r="D173" s="1287"/>
      <c r="E173" s="1287"/>
      <c r="F173" s="1287">
        <v>6579.27</v>
      </c>
      <c r="G173" s="1286"/>
      <c r="H173" s="34" t="s">
        <v>925</v>
      </c>
    </row>
    <row r="174" spans="1:8" ht="16.5">
      <c r="A174" s="1289"/>
      <c r="B174" s="1289"/>
      <c r="C174" s="1288"/>
      <c r="D174" s="1287"/>
      <c r="E174" s="1287"/>
      <c r="F174" s="1287"/>
      <c r="G174" s="1286"/>
    </row>
    <row r="175" spans="1:8" ht="57">
      <c r="A175" s="1289" t="s">
        <v>1000</v>
      </c>
      <c r="B175" s="1289" t="s">
        <v>939</v>
      </c>
      <c r="C175" s="1288" t="s">
        <v>1</v>
      </c>
      <c r="D175" s="1287">
        <v>100</v>
      </c>
      <c r="E175" s="1287">
        <v>1864.13</v>
      </c>
      <c r="F175" s="1287"/>
      <c r="G175" s="1286" t="s">
        <v>981</v>
      </c>
      <c r="H175" s="34" t="s">
        <v>925</v>
      </c>
    </row>
    <row r="176" spans="1:8" ht="33">
      <c r="A176" s="1289">
        <v>1</v>
      </c>
      <c r="B176" s="1289" t="s">
        <v>941</v>
      </c>
      <c r="C176" s="1288" t="s">
        <v>927</v>
      </c>
      <c r="D176" s="1287">
        <v>23.94</v>
      </c>
      <c r="E176" s="1287">
        <v>342.77</v>
      </c>
      <c r="F176" s="1287">
        <v>8205.91</v>
      </c>
      <c r="G176" s="1286" t="s">
        <v>942</v>
      </c>
      <c r="H176" s="34" t="s">
        <v>925</v>
      </c>
    </row>
    <row r="177" spans="1:8" ht="33">
      <c r="A177" s="1289">
        <v>2</v>
      </c>
      <c r="B177" s="1289" t="s">
        <v>943</v>
      </c>
      <c r="C177" s="1288" t="s">
        <v>927</v>
      </c>
      <c r="D177" s="1287">
        <v>119.7</v>
      </c>
      <c r="E177" s="1287">
        <v>302.04000000000002</v>
      </c>
      <c r="F177" s="1287">
        <v>36154.19</v>
      </c>
      <c r="G177" s="1286" t="s">
        <v>944</v>
      </c>
      <c r="H177" s="34" t="s">
        <v>925</v>
      </c>
    </row>
    <row r="178" spans="1:8" ht="33">
      <c r="A178" s="1289">
        <v>3</v>
      </c>
      <c r="B178" s="1289" t="s">
        <v>945</v>
      </c>
      <c r="C178" s="1288" t="s">
        <v>927</v>
      </c>
      <c r="D178" s="1287">
        <v>23.94</v>
      </c>
      <c r="E178" s="1287">
        <v>398.41</v>
      </c>
      <c r="F178" s="1287">
        <v>9537.94</v>
      </c>
      <c r="G178" s="1286" t="s">
        <v>946</v>
      </c>
      <c r="H178" s="34" t="s">
        <v>925</v>
      </c>
    </row>
    <row r="179" spans="1:8" ht="33">
      <c r="A179" s="1289">
        <v>4</v>
      </c>
      <c r="B179" s="1289" t="s">
        <v>947</v>
      </c>
      <c r="C179" s="1288" t="s">
        <v>927</v>
      </c>
      <c r="D179" s="1287">
        <v>119.7</v>
      </c>
      <c r="E179" s="1287">
        <v>398.41</v>
      </c>
      <c r="F179" s="1287">
        <v>47689.68</v>
      </c>
      <c r="G179" s="1286" t="s">
        <v>948</v>
      </c>
      <c r="H179" s="34" t="s">
        <v>925</v>
      </c>
    </row>
    <row r="180" spans="1:8" ht="33">
      <c r="A180" s="1289">
        <v>5</v>
      </c>
      <c r="B180" s="1289" t="s">
        <v>4871</v>
      </c>
      <c r="C180" s="1288" t="s">
        <v>927</v>
      </c>
      <c r="D180" s="1287">
        <v>239.4</v>
      </c>
      <c r="E180" s="1287">
        <v>279.18</v>
      </c>
      <c r="F180" s="1287">
        <v>66835.69</v>
      </c>
      <c r="G180" s="1286" t="s">
        <v>4872</v>
      </c>
      <c r="H180" s="34" t="s">
        <v>925</v>
      </c>
    </row>
    <row r="181" spans="1:8" ht="28.5">
      <c r="A181" s="1289">
        <v>6</v>
      </c>
      <c r="B181" s="1289" t="s">
        <v>929</v>
      </c>
      <c r="C181" s="1288" t="s">
        <v>927</v>
      </c>
      <c r="D181" s="1287">
        <v>6.65</v>
      </c>
      <c r="E181" s="1287">
        <v>1490.31</v>
      </c>
      <c r="F181" s="1287">
        <v>9910.56</v>
      </c>
      <c r="G181" s="1286" t="s">
        <v>930</v>
      </c>
    </row>
    <row r="182" spans="1:8" ht="42.75">
      <c r="A182" s="1289">
        <v>7</v>
      </c>
      <c r="B182" s="1289" t="s">
        <v>4869</v>
      </c>
      <c r="C182" s="1288" t="s">
        <v>927</v>
      </c>
      <c r="D182" s="1287">
        <v>6.65</v>
      </c>
      <c r="E182" s="1287">
        <v>398.41</v>
      </c>
      <c r="F182" s="1287">
        <v>2649.43</v>
      </c>
      <c r="G182" s="1286" t="s">
        <v>4870</v>
      </c>
      <c r="H182" s="34" t="s">
        <v>925</v>
      </c>
    </row>
    <row r="183" spans="1:8" ht="33">
      <c r="A183" s="1289">
        <v>8</v>
      </c>
      <c r="B183" s="1289" t="s">
        <v>931</v>
      </c>
      <c r="C183" s="1288" t="s">
        <v>14</v>
      </c>
      <c r="D183" s="1287">
        <v>1</v>
      </c>
      <c r="E183" s="1287">
        <v>5429.5</v>
      </c>
      <c r="F183" s="1287">
        <v>5429.5</v>
      </c>
      <c r="G183" s="1286" t="s">
        <v>932</v>
      </c>
      <c r="H183" s="34" t="s">
        <v>925</v>
      </c>
    </row>
    <row r="184" spans="1:8" ht="33">
      <c r="A184" s="1289"/>
      <c r="B184" s="1289" t="s">
        <v>933</v>
      </c>
      <c r="C184" s="1288" t="s">
        <v>1</v>
      </c>
      <c r="D184" s="1287">
        <v>100</v>
      </c>
      <c r="E184" s="1287"/>
      <c r="F184" s="1287">
        <v>186412.9</v>
      </c>
      <c r="G184" s="1286"/>
      <c r="H184" s="34" t="s">
        <v>925</v>
      </c>
    </row>
    <row r="185" spans="1:8" ht="33">
      <c r="A185" s="1289"/>
      <c r="B185" s="1289" t="s">
        <v>934</v>
      </c>
      <c r="C185" s="1288" t="s">
        <v>1</v>
      </c>
      <c r="D185" s="1287"/>
      <c r="E185" s="1287"/>
      <c r="F185" s="1287">
        <v>1864.13</v>
      </c>
      <c r="G185" s="1286"/>
      <c r="H185" s="34" t="s">
        <v>925</v>
      </c>
    </row>
    <row r="186" spans="1:8" ht="33">
      <c r="A186" s="1289"/>
      <c r="B186" s="1289"/>
      <c r="C186" s="1288"/>
      <c r="D186" s="1287"/>
      <c r="E186" s="1287"/>
      <c r="F186" s="1287"/>
      <c r="G186" s="1286"/>
      <c r="H186" s="34" t="s">
        <v>925</v>
      </c>
    </row>
    <row r="187" spans="1:8" ht="57">
      <c r="A187" s="1289" t="s">
        <v>1002</v>
      </c>
      <c r="B187" s="1289" t="s">
        <v>985</v>
      </c>
      <c r="C187" s="1288" t="s">
        <v>1</v>
      </c>
      <c r="D187" s="1287">
        <v>1</v>
      </c>
      <c r="E187" s="1287">
        <v>856.92</v>
      </c>
      <c r="F187" s="1287"/>
      <c r="G187" s="1286" t="s">
        <v>986</v>
      </c>
      <c r="H187" s="34" t="s">
        <v>925</v>
      </c>
    </row>
    <row r="188" spans="1:8" ht="28.5">
      <c r="A188" s="1289">
        <v>1</v>
      </c>
      <c r="B188" s="1289" t="s">
        <v>4871</v>
      </c>
      <c r="C188" s="1288" t="s">
        <v>927</v>
      </c>
      <c r="D188" s="1287">
        <v>2.98</v>
      </c>
      <c r="E188" s="1287">
        <v>279.18</v>
      </c>
      <c r="F188" s="1287">
        <v>831.96</v>
      </c>
      <c r="G188" s="1286" t="s">
        <v>4872</v>
      </c>
    </row>
    <row r="189" spans="1:8" ht="33">
      <c r="A189" s="1289">
        <v>2</v>
      </c>
      <c r="B189" s="1289" t="s">
        <v>931</v>
      </c>
      <c r="C189" s="1288" t="s">
        <v>14</v>
      </c>
      <c r="D189" s="1287">
        <v>1</v>
      </c>
      <c r="E189" s="1287">
        <v>24.96</v>
      </c>
      <c r="F189" s="1287">
        <v>24.96</v>
      </c>
      <c r="G189" s="1286" t="s">
        <v>932</v>
      </c>
      <c r="H189" s="34" t="s">
        <v>925</v>
      </c>
    </row>
    <row r="190" spans="1:8" ht="33">
      <c r="A190" s="1289"/>
      <c r="B190" s="1289" t="s">
        <v>933</v>
      </c>
      <c r="C190" s="1288" t="s">
        <v>1</v>
      </c>
      <c r="D190" s="1287">
        <v>1</v>
      </c>
      <c r="E190" s="1287"/>
      <c r="F190" s="1287">
        <v>856.92000000000007</v>
      </c>
      <c r="G190" s="1286"/>
      <c r="H190" s="34" t="s">
        <v>925</v>
      </c>
    </row>
    <row r="191" spans="1:8" ht="33">
      <c r="A191" s="1289"/>
      <c r="B191" s="1289" t="s">
        <v>934</v>
      </c>
      <c r="C191" s="1288" t="s">
        <v>1</v>
      </c>
      <c r="D191" s="1287"/>
      <c r="E191" s="1287"/>
      <c r="F191" s="1287">
        <v>856.92</v>
      </c>
      <c r="G191" s="1286"/>
      <c r="H191" s="34" t="s">
        <v>925</v>
      </c>
    </row>
    <row r="192" spans="1:8" ht="33">
      <c r="A192" s="1289"/>
      <c r="B192" s="1289"/>
      <c r="C192" s="1288"/>
      <c r="D192" s="1287"/>
      <c r="E192" s="1287"/>
      <c r="F192" s="1287"/>
      <c r="G192" s="1286"/>
      <c r="H192" s="34" t="s">
        <v>925</v>
      </c>
    </row>
    <row r="193" spans="1:8" ht="33">
      <c r="A193" s="1289" t="s">
        <v>1009</v>
      </c>
      <c r="B193" s="1289" t="s">
        <v>990</v>
      </c>
      <c r="C193" s="1288" t="s">
        <v>17</v>
      </c>
      <c r="D193" s="1287">
        <v>200</v>
      </c>
      <c r="E193" s="1287">
        <v>89.32</v>
      </c>
      <c r="F193" s="1287"/>
      <c r="G193" s="1286" t="s">
        <v>991</v>
      </c>
      <c r="H193" s="34" t="s">
        <v>925</v>
      </c>
    </row>
    <row r="194" spans="1:8" ht="33">
      <c r="A194" s="1289">
        <v>1</v>
      </c>
      <c r="B194" s="1289" t="s">
        <v>929</v>
      </c>
      <c r="C194" s="1288" t="s">
        <v>927</v>
      </c>
      <c r="D194" s="1287">
        <v>8</v>
      </c>
      <c r="E194" s="1287">
        <v>1490.31</v>
      </c>
      <c r="F194" s="1287">
        <v>11922.48</v>
      </c>
      <c r="G194" s="1286" t="s">
        <v>930</v>
      </c>
      <c r="H194" s="34" t="s">
        <v>925</v>
      </c>
    </row>
    <row r="195" spans="1:8" ht="42.75">
      <c r="A195" s="1289">
        <v>2</v>
      </c>
      <c r="B195" s="1289" t="s">
        <v>4869</v>
      </c>
      <c r="C195" s="1288" t="s">
        <v>927</v>
      </c>
      <c r="D195" s="1287">
        <v>8</v>
      </c>
      <c r="E195" s="1287">
        <v>398.41</v>
      </c>
      <c r="F195" s="1287">
        <v>3187.28</v>
      </c>
      <c r="G195" s="1286" t="s">
        <v>4870</v>
      </c>
      <c r="H195" s="34" t="s">
        <v>925</v>
      </c>
    </row>
    <row r="196" spans="1:8" ht="33">
      <c r="A196" s="1289">
        <v>3</v>
      </c>
      <c r="B196" s="1289" t="s">
        <v>4871</v>
      </c>
      <c r="C196" s="1288" t="s">
        <v>927</v>
      </c>
      <c r="D196" s="1287">
        <v>8</v>
      </c>
      <c r="E196" s="1287">
        <v>279.18</v>
      </c>
      <c r="F196" s="1287">
        <v>2233.44</v>
      </c>
      <c r="G196" s="1286" t="s">
        <v>4872</v>
      </c>
      <c r="H196" s="34" t="s">
        <v>925</v>
      </c>
    </row>
    <row r="197" spans="1:8" ht="33">
      <c r="A197" s="1289">
        <v>4</v>
      </c>
      <c r="B197" s="1289" t="s">
        <v>931</v>
      </c>
      <c r="C197" s="1288" t="s">
        <v>14</v>
      </c>
      <c r="D197" s="1287">
        <v>1</v>
      </c>
      <c r="E197" s="1287">
        <v>520.29999999999995</v>
      </c>
      <c r="F197" s="1287">
        <v>520.29999999999995</v>
      </c>
      <c r="G197" s="1286" t="s">
        <v>932</v>
      </c>
      <c r="H197" s="34" t="s">
        <v>925</v>
      </c>
    </row>
    <row r="198" spans="1:8" ht="16.5">
      <c r="A198" s="1289"/>
      <c r="B198" s="1289" t="s">
        <v>933</v>
      </c>
      <c r="C198" s="1288" t="s">
        <v>17</v>
      </c>
      <c r="D198" s="1287">
        <v>200</v>
      </c>
      <c r="E198" s="1287"/>
      <c r="F198" s="1287">
        <v>17863.5</v>
      </c>
      <c r="G198" s="1286"/>
    </row>
    <row r="199" spans="1:8" ht="33">
      <c r="A199" s="1289"/>
      <c r="B199" s="1289" t="s">
        <v>934</v>
      </c>
      <c r="C199" s="1288" t="s">
        <v>17</v>
      </c>
      <c r="D199" s="1287"/>
      <c r="E199" s="1287"/>
      <c r="F199" s="1287">
        <v>89.32</v>
      </c>
      <c r="G199" s="1286"/>
      <c r="H199" s="34" t="s">
        <v>925</v>
      </c>
    </row>
    <row r="200" spans="1:8" ht="33">
      <c r="A200" s="1289"/>
      <c r="B200" s="1289"/>
      <c r="C200" s="1288"/>
      <c r="D200" s="1287"/>
      <c r="E200" s="1287"/>
      <c r="F200" s="1287"/>
      <c r="G200" s="1286"/>
      <c r="H200" s="34" t="s">
        <v>925</v>
      </c>
    </row>
    <row r="201" spans="1:8" ht="57">
      <c r="A201" s="1289" t="s">
        <v>1018</v>
      </c>
      <c r="B201" s="1289" t="s">
        <v>990</v>
      </c>
      <c r="C201" s="1288" t="s">
        <v>17</v>
      </c>
      <c r="D201" s="1287">
        <v>200</v>
      </c>
      <c r="E201" s="1287">
        <v>118.79</v>
      </c>
      <c r="F201" s="1287"/>
      <c r="G201" s="1286" t="s">
        <v>993</v>
      </c>
      <c r="H201" s="34" t="s">
        <v>925</v>
      </c>
    </row>
    <row r="202" spans="1:8" ht="33">
      <c r="A202" s="1289">
        <v>1</v>
      </c>
      <c r="B202" s="1289" t="s">
        <v>929</v>
      </c>
      <c r="C202" s="1288" t="s">
        <v>927</v>
      </c>
      <c r="D202" s="1287">
        <v>10.64</v>
      </c>
      <c r="E202" s="1287">
        <v>1490.31</v>
      </c>
      <c r="F202" s="1287">
        <v>15856.9</v>
      </c>
      <c r="G202" s="1286" t="s">
        <v>930</v>
      </c>
      <c r="H202" s="34" t="s">
        <v>925</v>
      </c>
    </row>
    <row r="203" spans="1:8" ht="42.75">
      <c r="A203" s="1289">
        <v>2</v>
      </c>
      <c r="B203" s="1289" t="s">
        <v>4869</v>
      </c>
      <c r="C203" s="1288" t="s">
        <v>927</v>
      </c>
      <c r="D203" s="1287">
        <v>10.64</v>
      </c>
      <c r="E203" s="1287">
        <v>398.41</v>
      </c>
      <c r="F203" s="1287">
        <v>4239.08</v>
      </c>
      <c r="G203" s="1286" t="s">
        <v>4870</v>
      </c>
      <c r="H203" s="34" t="s">
        <v>925</v>
      </c>
    </row>
    <row r="204" spans="1:8" ht="33">
      <c r="A204" s="1289">
        <v>3</v>
      </c>
      <c r="B204" s="1289" t="s">
        <v>4871</v>
      </c>
      <c r="C204" s="1288" t="s">
        <v>927</v>
      </c>
      <c r="D204" s="1287">
        <v>10.64</v>
      </c>
      <c r="E204" s="1287">
        <v>279.18</v>
      </c>
      <c r="F204" s="1287">
        <v>2970.48</v>
      </c>
      <c r="G204" s="1286" t="s">
        <v>4872</v>
      </c>
      <c r="H204" s="34" t="s">
        <v>925</v>
      </c>
    </row>
    <row r="205" spans="1:8" ht="33">
      <c r="A205" s="1289">
        <v>4</v>
      </c>
      <c r="B205" s="1289" t="s">
        <v>931</v>
      </c>
      <c r="C205" s="1288" t="s">
        <v>14</v>
      </c>
      <c r="D205" s="1287">
        <v>1</v>
      </c>
      <c r="E205" s="1287">
        <v>691.99</v>
      </c>
      <c r="F205" s="1287">
        <v>691.99</v>
      </c>
      <c r="G205" s="1286" t="s">
        <v>932</v>
      </c>
      <c r="H205" s="34" t="s">
        <v>925</v>
      </c>
    </row>
    <row r="206" spans="1:8" ht="16.5">
      <c r="A206" s="1289"/>
      <c r="B206" s="1289" t="s">
        <v>933</v>
      </c>
      <c r="C206" s="1288" t="s">
        <v>17</v>
      </c>
      <c r="D206" s="1287">
        <v>200</v>
      </c>
      <c r="E206" s="1287"/>
      <c r="F206" s="1287">
        <v>23758.45</v>
      </c>
      <c r="G206" s="1286"/>
    </row>
    <row r="207" spans="1:8" ht="33">
      <c r="A207" s="1289"/>
      <c r="B207" s="1289" t="s">
        <v>934</v>
      </c>
      <c r="C207" s="1288" t="s">
        <v>17</v>
      </c>
      <c r="D207" s="1287"/>
      <c r="E207" s="1287"/>
      <c r="F207" s="1287">
        <v>118.79</v>
      </c>
      <c r="G207" s="1286"/>
      <c r="H207" s="34" t="s">
        <v>925</v>
      </c>
    </row>
    <row r="208" spans="1:8" ht="33">
      <c r="A208" s="1289"/>
      <c r="B208" s="1289"/>
      <c r="C208" s="1288"/>
      <c r="D208" s="1287"/>
      <c r="E208" s="1287"/>
      <c r="F208" s="1287"/>
      <c r="G208" s="1286"/>
      <c r="H208" s="34" t="s">
        <v>925</v>
      </c>
    </row>
    <row r="209" spans="1:8" ht="33">
      <c r="A209" s="1289" t="s">
        <v>1032</v>
      </c>
      <c r="B209" s="1289" t="s">
        <v>995</v>
      </c>
      <c r="C209" s="1288" t="s">
        <v>0</v>
      </c>
      <c r="D209" s="1287">
        <v>100</v>
      </c>
      <c r="E209" s="1287">
        <v>590.57000000000005</v>
      </c>
      <c r="F209" s="1287"/>
      <c r="G209" s="1286" t="s">
        <v>996</v>
      </c>
      <c r="H209" s="34" t="s">
        <v>925</v>
      </c>
    </row>
    <row r="210" spans="1:8" ht="33">
      <c r="A210" s="1289">
        <v>1</v>
      </c>
      <c r="B210" s="1289" t="s">
        <v>997</v>
      </c>
      <c r="C210" s="1288" t="s">
        <v>927</v>
      </c>
      <c r="D210" s="1287">
        <v>36.97</v>
      </c>
      <c r="E210" s="1287">
        <v>1152.5</v>
      </c>
      <c r="F210" s="1287">
        <v>42607.93</v>
      </c>
      <c r="G210" s="1286" t="s">
        <v>998</v>
      </c>
      <c r="H210" s="34" t="s">
        <v>925</v>
      </c>
    </row>
    <row r="211" spans="1:8" ht="33">
      <c r="A211" s="1289">
        <v>2</v>
      </c>
      <c r="B211" s="1289" t="s">
        <v>999</v>
      </c>
      <c r="C211" s="1288" t="s">
        <v>927</v>
      </c>
      <c r="D211" s="1287">
        <v>36.97</v>
      </c>
      <c r="E211" s="1287">
        <v>398.41</v>
      </c>
      <c r="F211" s="1287">
        <v>14729.22</v>
      </c>
      <c r="G211" s="1286" t="s">
        <v>4877</v>
      </c>
      <c r="H211" s="34" t="s">
        <v>925</v>
      </c>
    </row>
    <row r="212" spans="1:8" ht="33">
      <c r="A212" s="1289">
        <v>3</v>
      </c>
      <c r="B212" s="1289" t="s">
        <v>931</v>
      </c>
      <c r="C212" s="1288" t="s">
        <v>14</v>
      </c>
      <c r="D212" s="1287">
        <v>1</v>
      </c>
      <c r="E212" s="1287">
        <v>1720.11</v>
      </c>
      <c r="F212" s="1287">
        <v>1720.11</v>
      </c>
      <c r="G212" s="1286" t="s">
        <v>932</v>
      </c>
      <c r="H212" s="34" t="s">
        <v>925</v>
      </c>
    </row>
    <row r="213" spans="1:8" ht="33">
      <c r="A213" s="1289"/>
      <c r="B213" s="1289" t="s">
        <v>933</v>
      </c>
      <c r="C213" s="1288" t="s">
        <v>0</v>
      </c>
      <c r="D213" s="1287">
        <v>100</v>
      </c>
      <c r="E213" s="1287"/>
      <c r="F213" s="1287">
        <v>59057.26</v>
      </c>
      <c r="G213" s="1286"/>
      <c r="H213" s="34" t="s">
        <v>925</v>
      </c>
    </row>
    <row r="214" spans="1:8" ht="33">
      <c r="A214" s="1289"/>
      <c r="B214" s="1289" t="s">
        <v>934</v>
      </c>
      <c r="C214" s="1288" t="s">
        <v>0</v>
      </c>
      <c r="D214" s="1287"/>
      <c r="E214" s="1287"/>
      <c r="F214" s="1287">
        <v>590.57000000000005</v>
      </c>
      <c r="G214" s="1286"/>
      <c r="H214" s="34" t="s">
        <v>925</v>
      </c>
    </row>
    <row r="215" spans="1:8" ht="33">
      <c r="A215" s="1289"/>
      <c r="B215" s="1289"/>
      <c r="C215" s="1288"/>
      <c r="D215" s="1287"/>
      <c r="E215" s="1287"/>
      <c r="F215" s="1287"/>
      <c r="G215" s="1286"/>
      <c r="H215" s="34" t="s">
        <v>925</v>
      </c>
    </row>
    <row r="216" spans="1:8" ht="57">
      <c r="A216" s="1289" t="s">
        <v>1035</v>
      </c>
      <c r="B216" s="1289" t="s">
        <v>995</v>
      </c>
      <c r="C216" s="1288" t="s">
        <v>0</v>
      </c>
      <c r="D216" s="1287">
        <v>100</v>
      </c>
      <c r="E216" s="1287">
        <v>785.46</v>
      </c>
      <c r="F216" s="1287"/>
      <c r="G216" s="1286" t="s">
        <v>1001</v>
      </c>
      <c r="H216" s="34" t="s">
        <v>925</v>
      </c>
    </row>
    <row r="217" spans="1:8" ht="33">
      <c r="A217" s="1289">
        <v>1</v>
      </c>
      <c r="B217" s="1289" t="s">
        <v>997</v>
      </c>
      <c r="C217" s="1288" t="s">
        <v>927</v>
      </c>
      <c r="D217" s="1287">
        <v>49.17</v>
      </c>
      <c r="E217" s="1287">
        <v>1152.5</v>
      </c>
      <c r="F217" s="1287">
        <v>56668.43</v>
      </c>
      <c r="G217" s="1286" t="s">
        <v>998</v>
      </c>
      <c r="H217" s="34" t="s">
        <v>925</v>
      </c>
    </row>
    <row r="218" spans="1:8" ht="33">
      <c r="A218" s="1289">
        <v>2</v>
      </c>
      <c r="B218" s="1289" t="s">
        <v>999</v>
      </c>
      <c r="C218" s="1288" t="s">
        <v>927</v>
      </c>
      <c r="D218" s="1287">
        <v>49.17</v>
      </c>
      <c r="E218" s="1287">
        <v>398.41</v>
      </c>
      <c r="F218" s="1287">
        <v>19589.82</v>
      </c>
      <c r="G218" s="1286" t="s">
        <v>4877</v>
      </c>
      <c r="H218" s="34" t="s">
        <v>925</v>
      </c>
    </row>
    <row r="219" spans="1:8" ht="28.5">
      <c r="A219" s="1289">
        <v>3</v>
      </c>
      <c r="B219" s="1289" t="s">
        <v>931</v>
      </c>
      <c r="C219" s="1288" t="s">
        <v>14</v>
      </c>
      <c r="D219" s="1287">
        <v>1</v>
      </c>
      <c r="E219" s="1287">
        <v>2287.75</v>
      </c>
      <c r="F219" s="1287">
        <v>2287.75</v>
      </c>
      <c r="G219" s="1286" t="s">
        <v>932</v>
      </c>
    </row>
    <row r="220" spans="1:8" ht="33">
      <c r="A220" s="1289"/>
      <c r="B220" s="1289" t="s">
        <v>933</v>
      </c>
      <c r="C220" s="1288" t="s">
        <v>0</v>
      </c>
      <c r="D220" s="1287">
        <v>100</v>
      </c>
      <c r="E220" s="1287"/>
      <c r="F220" s="1287">
        <v>78546</v>
      </c>
      <c r="G220" s="1286"/>
      <c r="H220" s="34" t="s">
        <v>925</v>
      </c>
    </row>
    <row r="221" spans="1:8" ht="33">
      <c r="A221" s="1289"/>
      <c r="B221" s="1289" t="s">
        <v>934</v>
      </c>
      <c r="C221" s="1288" t="s">
        <v>0</v>
      </c>
      <c r="D221" s="1287"/>
      <c r="E221" s="1287"/>
      <c r="F221" s="1287">
        <v>785.46</v>
      </c>
      <c r="G221" s="1286"/>
      <c r="H221" s="34" t="s">
        <v>925</v>
      </c>
    </row>
    <row r="222" spans="1:8" ht="33">
      <c r="A222" s="1289"/>
      <c r="B222" s="1289"/>
      <c r="C222" s="1288"/>
      <c r="D222" s="1287"/>
      <c r="E222" s="1287"/>
      <c r="F222" s="1287"/>
      <c r="G222" s="1286"/>
      <c r="H222" s="34" t="s">
        <v>925</v>
      </c>
    </row>
    <row r="223" spans="1:8" ht="33">
      <c r="A223" s="1289" t="s">
        <v>1042</v>
      </c>
      <c r="B223" s="1289" t="s">
        <v>4443</v>
      </c>
      <c r="C223" s="1288" t="s">
        <v>0</v>
      </c>
      <c r="D223" s="1287">
        <v>100</v>
      </c>
      <c r="E223" s="1287">
        <v>853.72</v>
      </c>
      <c r="F223" s="1287"/>
      <c r="G223" s="1286" t="s">
        <v>4878</v>
      </c>
      <c r="H223" s="34" t="s">
        <v>925</v>
      </c>
    </row>
    <row r="224" spans="1:8" ht="33">
      <c r="A224" s="1289">
        <v>1</v>
      </c>
      <c r="B224" s="1289" t="s">
        <v>997</v>
      </c>
      <c r="C224" s="1288" t="s">
        <v>927</v>
      </c>
      <c r="D224" s="1287">
        <v>42.52</v>
      </c>
      <c r="E224" s="1287">
        <v>1152.5</v>
      </c>
      <c r="F224" s="1287">
        <v>49004.3</v>
      </c>
      <c r="G224" s="1286" t="s">
        <v>998</v>
      </c>
      <c r="H224" s="34" t="s">
        <v>925</v>
      </c>
    </row>
    <row r="225" spans="1:8" ht="28.5">
      <c r="A225" s="1289">
        <v>2</v>
      </c>
      <c r="B225" s="1289" t="s">
        <v>4879</v>
      </c>
      <c r="C225" s="1288" t="s">
        <v>927</v>
      </c>
      <c r="D225" s="1287">
        <v>42.52</v>
      </c>
      <c r="E225" s="1287">
        <v>796.82</v>
      </c>
      <c r="F225" s="1287">
        <v>33880.79</v>
      </c>
      <c r="G225" s="1286" t="s">
        <v>4880</v>
      </c>
    </row>
    <row r="226" spans="1:8" ht="33">
      <c r="A226" s="1289">
        <v>3</v>
      </c>
      <c r="B226" s="1289" t="s">
        <v>931</v>
      </c>
      <c r="C226" s="1288" t="s">
        <v>14</v>
      </c>
      <c r="D226" s="1287">
        <v>1</v>
      </c>
      <c r="E226" s="1287">
        <v>2486.5500000000002</v>
      </c>
      <c r="F226" s="1287">
        <v>2486.5500000000002</v>
      </c>
      <c r="G226" s="1286" t="s">
        <v>932</v>
      </c>
      <c r="H226" s="34" t="s">
        <v>925</v>
      </c>
    </row>
    <row r="227" spans="1:8" ht="33">
      <c r="A227" s="1289"/>
      <c r="B227" s="1289" t="s">
        <v>933</v>
      </c>
      <c r="C227" s="1288" t="s">
        <v>0</v>
      </c>
      <c r="D227" s="1287">
        <v>100</v>
      </c>
      <c r="E227" s="1287"/>
      <c r="F227" s="1287">
        <v>85371.64</v>
      </c>
      <c r="G227" s="1286"/>
      <c r="H227" s="34" t="s">
        <v>925</v>
      </c>
    </row>
    <row r="228" spans="1:8" ht="33">
      <c r="A228" s="1289"/>
      <c r="B228" s="1289" t="s">
        <v>934</v>
      </c>
      <c r="C228" s="1288" t="s">
        <v>0</v>
      </c>
      <c r="D228" s="1287"/>
      <c r="E228" s="1287"/>
      <c r="F228" s="1287">
        <v>853.72</v>
      </c>
      <c r="G228" s="1286"/>
      <c r="H228" s="34" t="s">
        <v>925</v>
      </c>
    </row>
    <row r="229" spans="1:8" ht="33">
      <c r="A229" s="1289"/>
      <c r="B229" s="1289"/>
      <c r="C229" s="1288"/>
      <c r="D229" s="1287"/>
      <c r="E229" s="1287"/>
      <c r="F229" s="1287"/>
      <c r="G229" s="1286"/>
      <c r="H229" s="34" t="s">
        <v>925</v>
      </c>
    </row>
    <row r="230" spans="1:8" ht="33">
      <c r="A230" s="1289" t="s">
        <v>1047</v>
      </c>
      <c r="B230" s="1289" t="s">
        <v>1003</v>
      </c>
      <c r="C230" s="1288" t="s">
        <v>1</v>
      </c>
      <c r="D230" s="1287">
        <v>100</v>
      </c>
      <c r="E230" s="1287">
        <v>98.13</v>
      </c>
      <c r="F230" s="1287"/>
      <c r="G230" s="1286" t="s">
        <v>1004</v>
      </c>
      <c r="H230" s="34" t="s">
        <v>925</v>
      </c>
    </row>
    <row r="231" spans="1:8" ht="33">
      <c r="A231" s="1289">
        <v>1</v>
      </c>
      <c r="B231" s="1289" t="s">
        <v>1005</v>
      </c>
      <c r="C231" s="1288" t="s">
        <v>927</v>
      </c>
      <c r="D231" s="1287">
        <v>2</v>
      </c>
      <c r="E231" s="1287">
        <v>972.67</v>
      </c>
      <c r="F231" s="1287">
        <v>1945.34</v>
      </c>
      <c r="G231" s="1286" t="s">
        <v>1006</v>
      </c>
      <c r="H231" s="34" t="s">
        <v>925</v>
      </c>
    </row>
    <row r="232" spans="1:8" ht="33">
      <c r="A232" s="1289">
        <v>2</v>
      </c>
      <c r="B232" s="1289" t="s">
        <v>929</v>
      </c>
      <c r="C232" s="1288" t="s">
        <v>927</v>
      </c>
      <c r="D232" s="1287">
        <v>2</v>
      </c>
      <c r="E232" s="1287">
        <v>1490.31</v>
      </c>
      <c r="F232" s="1287">
        <v>2980.62</v>
      </c>
      <c r="G232" s="1286" t="s">
        <v>930</v>
      </c>
      <c r="H232" s="34" t="s">
        <v>925</v>
      </c>
    </row>
    <row r="233" spans="1:8" ht="42.75">
      <c r="A233" s="1289">
        <v>3</v>
      </c>
      <c r="B233" s="1289" t="s">
        <v>4881</v>
      </c>
      <c r="C233" s="1288" t="s">
        <v>927</v>
      </c>
      <c r="D233" s="1287">
        <v>8</v>
      </c>
      <c r="E233" s="1287">
        <v>398.41</v>
      </c>
      <c r="F233" s="1287">
        <v>3187.28</v>
      </c>
      <c r="G233" s="1286" t="s">
        <v>4882</v>
      </c>
    </row>
    <row r="234" spans="1:8" ht="33">
      <c r="A234" s="1289">
        <v>4</v>
      </c>
      <c r="B234" s="1289" t="s">
        <v>4871</v>
      </c>
      <c r="C234" s="1288" t="s">
        <v>927</v>
      </c>
      <c r="D234" s="1287">
        <v>4</v>
      </c>
      <c r="E234" s="1287">
        <v>279.18</v>
      </c>
      <c r="F234" s="1287">
        <v>1116.72</v>
      </c>
      <c r="G234" s="1286" t="s">
        <v>4872</v>
      </c>
      <c r="H234" s="34" t="s">
        <v>925</v>
      </c>
    </row>
    <row r="235" spans="1:8" ht="33">
      <c r="A235" s="1289">
        <v>5</v>
      </c>
      <c r="B235" s="1289" t="s">
        <v>1007</v>
      </c>
      <c r="C235" s="1288" t="s">
        <v>14</v>
      </c>
      <c r="D235" s="1287">
        <v>1</v>
      </c>
      <c r="E235" s="1287">
        <v>296.82</v>
      </c>
      <c r="F235" s="1287">
        <v>296.82</v>
      </c>
      <c r="G235" s="1286" t="s">
        <v>1008</v>
      </c>
      <c r="H235" s="34" t="s">
        <v>925</v>
      </c>
    </row>
    <row r="236" spans="1:8" ht="33">
      <c r="A236" s="1289">
        <v>6</v>
      </c>
      <c r="B236" s="1289" t="s">
        <v>931</v>
      </c>
      <c r="C236" s="1288" t="s">
        <v>14</v>
      </c>
      <c r="D236" s="1287">
        <v>1</v>
      </c>
      <c r="E236" s="1287">
        <v>285.8</v>
      </c>
      <c r="F236" s="1287">
        <v>285.8</v>
      </c>
      <c r="G236" s="1286" t="s">
        <v>932</v>
      </c>
      <c r="H236" s="34" t="s">
        <v>925</v>
      </c>
    </row>
    <row r="237" spans="1:8" ht="33">
      <c r="A237" s="1289"/>
      <c r="B237" s="1289" t="s">
        <v>933</v>
      </c>
      <c r="C237" s="1288" t="s">
        <v>1</v>
      </c>
      <c r="D237" s="1287">
        <v>100</v>
      </c>
      <c r="E237" s="1287"/>
      <c r="F237" s="1287">
        <v>9812.5799999999981</v>
      </c>
      <c r="G237" s="1286"/>
      <c r="H237" s="34" t="s">
        <v>925</v>
      </c>
    </row>
    <row r="238" spans="1:8" ht="33">
      <c r="A238" s="1289"/>
      <c r="B238" s="1289" t="s">
        <v>934</v>
      </c>
      <c r="C238" s="1288" t="s">
        <v>1</v>
      </c>
      <c r="D238" s="1287"/>
      <c r="E238" s="1287"/>
      <c r="F238" s="1287">
        <v>98.13</v>
      </c>
      <c r="G238" s="1286"/>
      <c r="H238" s="34" t="s">
        <v>925</v>
      </c>
    </row>
    <row r="239" spans="1:8" ht="33">
      <c r="A239" s="1289"/>
      <c r="B239" s="1289"/>
      <c r="C239" s="1288"/>
      <c r="D239" s="1287"/>
      <c r="E239" s="1287"/>
      <c r="F239" s="1287"/>
      <c r="G239" s="1286"/>
      <c r="H239" s="34" t="s">
        <v>925</v>
      </c>
    </row>
    <row r="240" spans="1:8" ht="28.5">
      <c r="A240" s="1289" t="s">
        <v>1066</v>
      </c>
      <c r="B240" s="1289" t="s">
        <v>1010</v>
      </c>
      <c r="C240" s="1288" t="s">
        <v>1</v>
      </c>
      <c r="D240" s="1287">
        <v>1</v>
      </c>
      <c r="E240" s="1287">
        <v>598.66999999999996</v>
      </c>
      <c r="F240" s="1287"/>
      <c r="G240" s="1286" t="s">
        <v>1011</v>
      </c>
    </row>
    <row r="241" spans="1:8" ht="33">
      <c r="A241" s="1289">
        <v>1</v>
      </c>
      <c r="B241" s="1289" t="s">
        <v>1012</v>
      </c>
      <c r="C241" s="1288" t="s">
        <v>1</v>
      </c>
      <c r="D241" s="1287">
        <v>0.9</v>
      </c>
      <c r="E241" s="1287">
        <v>347.74</v>
      </c>
      <c r="F241" s="1287">
        <v>312.97000000000003</v>
      </c>
      <c r="G241" s="1286" t="s">
        <v>1013</v>
      </c>
      <c r="H241" s="34" t="s">
        <v>925</v>
      </c>
    </row>
    <row r="242" spans="1:8" ht="33">
      <c r="A242" s="1289">
        <v>2</v>
      </c>
      <c r="B242" s="1289" t="s">
        <v>1014</v>
      </c>
      <c r="C242" s="1288" t="s">
        <v>1</v>
      </c>
      <c r="D242" s="1287">
        <v>0.1</v>
      </c>
      <c r="E242" s="1287">
        <v>695.48</v>
      </c>
      <c r="F242" s="1287">
        <v>69.55</v>
      </c>
      <c r="G242" s="1286" t="s">
        <v>1015</v>
      </c>
      <c r="H242" s="34" t="s">
        <v>925</v>
      </c>
    </row>
    <row r="243" spans="1:8" ht="33">
      <c r="A243" s="1289">
        <v>3</v>
      </c>
      <c r="B243" s="1289" t="s">
        <v>1016</v>
      </c>
      <c r="C243" s="1288" t="s">
        <v>1</v>
      </c>
      <c r="D243" s="1287">
        <v>1</v>
      </c>
      <c r="E243" s="1287">
        <v>198.71</v>
      </c>
      <c r="F243" s="1287">
        <v>198.71</v>
      </c>
      <c r="G243" s="1286" t="s">
        <v>1017</v>
      </c>
      <c r="H243" s="34" t="s">
        <v>925</v>
      </c>
    </row>
    <row r="244" spans="1:8" ht="33">
      <c r="A244" s="1289">
        <v>4</v>
      </c>
      <c r="B244" s="1289" t="s">
        <v>955</v>
      </c>
      <c r="C244" s="1288" t="s">
        <v>14</v>
      </c>
      <c r="D244" s="1287">
        <v>1</v>
      </c>
      <c r="E244" s="1287">
        <v>17.440000000000001</v>
      </c>
      <c r="F244" s="1287">
        <v>17.440000000000001</v>
      </c>
      <c r="G244" s="1286" t="s">
        <v>956</v>
      </c>
      <c r="H244" s="34" t="s">
        <v>925</v>
      </c>
    </row>
    <row r="245" spans="1:8" ht="33">
      <c r="A245" s="1289"/>
      <c r="B245" s="1289" t="s">
        <v>933</v>
      </c>
      <c r="C245" s="1288" t="s">
        <v>1</v>
      </c>
      <c r="D245" s="1287">
        <v>1</v>
      </c>
      <c r="E245" s="1287"/>
      <c r="F245" s="1287">
        <v>598.67000000000007</v>
      </c>
      <c r="G245" s="1286"/>
      <c r="H245" s="34" t="s">
        <v>925</v>
      </c>
    </row>
    <row r="246" spans="1:8" ht="33">
      <c r="A246" s="1289"/>
      <c r="B246" s="1289" t="s">
        <v>934</v>
      </c>
      <c r="C246" s="1288" t="s">
        <v>1</v>
      </c>
      <c r="D246" s="1287"/>
      <c r="E246" s="1287"/>
      <c r="F246" s="1287">
        <v>598.66999999999996</v>
      </c>
      <c r="G246" s="1286"/>
      <c r="H246" s="34" t="s">
        <v>925</v>
      </c>
    </row>
    <row r="247" spans="1:8" ht="33">
      <c r="A247" s="1289"/>
      <c r="B247" s="1289"/>
      <c r="C247" s="1288"/>
      <c r="D247" s="1287"/>
      <c r="E247" s="1287"/>
      <c r="F247" s="1287"/>
      <c r="G247" s="1286"/>
      <c r="H247" s="34" t="s">
        <v>925</v>
      </c>
    </row>
    <row r="248" spans="1:8" ht="33">
      <c r="A248" s="1289" t="s">
        <v>1071</v>
      </c>
      <c r="B248" s="1289" t="s">
        <v>1019</v>
      </c>
      <c r="C248" s="1288" t="s">
        <v>1</v>
      </c>
      <c r="D248" s="1287">
        <v>20000</v>
      </c>
      <c r="E248" s="1287">
        <v>138.11000000000001</v>
      </c>
      <c r="F248" s="1287"/>
      <c r="G248" s="1286" t="s">
        <v>1020</v>
      </c>
      <c r="H248" s="34" t="s">
        <v>925</v>
      </c>
    </row>
    <row r="249" spans="1:8" ht="33">
      <c r="A249" s="1289">
        <v>1</v>
      </c>
      <c r="B249" s="1289" t="s">
        <v>1021</v>
      </c>
      <c r="C249" s="1288" t="s">
        <v>14</v>
      </c>
      <c r="D249" s="1287">
        <v>1</v>
      </c>
      <c r="E249" s="1287">
        <v>149030.73000000001</v>
      </c>
      <c r="F249" s="1287">
        <v>149030.73000000001</v>
      </c>
      <c r="G249" s="1286" t="s">
        <v>1022</v>
      </c>
      <c r="H249" s="34" t="s">
        <v>925</v>
      </c>
    </row>
    <row r="250" spans="1:8" ht="33">
      <c r="A250" s="1289">
        <v>2</v>
      </c>
      <c r="B250" s="1289" t="s">
        <v>1023</v>
      </c>
      <c r="C250" s="1288" t="s">
        <v>1024</v>
      </c>
      <c r="D250" s="1287">
        <v>1</v>
      </c>
      <c r="E250" s="1287">
        <v>496769.09</v>
      </c>
      <c r="F250" s="1287">
        <v>496769.09</v>
      </c>
      <c r="G250" s="1286" t="s">
        <v>1025</v>
      </c>
      <c r="H250" s="34" t="s">
        <v>925</v>
      </c>
    </row>
    <row r="251" spans="1:8" ht="33">
      <c r="A251" s="1289">
        <v>3</v>
      </c>
      <c r="B251" s="1289" t="s">
        <v>1026</v>
      </c>
      <c r="C251" s="1288" t="s">
        <v>14</v>
      </c>
      <c r="D251" s="1287">
        <v>1</v>
      </c>
      <c r="E251" s="1287">
        <v>99353.82</v>
      </c>
      <c r="F251" s="1287">
        <v>99353.82</v>
      </c>
      <c r="G251" s="1286" t="s">
        <v>1027</v>
      </c>
      <c r="H251" s="34" t="s">
        <v>925</v>
      </c>
    </row>
    <row r="252" spans="1:8" ht="33">
      <c r="A252" s="1289">
        <v>4</v>
      </c>
      <c r="B252" s="1289" t="s">
        <v>1028</v>
      </c>
      <c r="C252" s="1288" t="s">
        <v>1024</v>
      </c>
      <c r="D252" s="1287">
        <v>1</v>
      </c>
      <c r="E252" s="1287">
        <v>278190.69</v>
      </c>
      <c r="F252" s="1287">
        <v>278190.69</v>
      </c>
      <c r="G252" s="1286" t="s">
        <v>1029</v>
      </c>
      <c r="H252" s="34" t="s">
        <v>925</v>
      </c>
    </row>
    <row r="253" spans="1:8" ht="33">
      <c r="A253" s="1289">
        <v>5</v>
      </c>
      <c r="B253" s="1289" t="s">
        <v>929</v>
      </c>
      <c r="C253" s="1288" t="s">
        <v>927</v>
      </c>
      <c r="D253" s="1287">
        <v>800</v>
      </c>
      <c r="E253" s="1287">
        <v>1490.31</v>
      </c>
      <c r="F253" s="1287">
        <v>1192248</v>
      </c>
      <c r="G253" s="1286" t="s">
        <v>930</v>
      </c>
      <c r="H253" s="34" t="s">
        <v>925</v>
      </c>
    </row>
    <row r="254" spans="1:8" ht="42.75">
      <c r="A254" s="1289">
        <v>6</v>
      </c>
      <c r="B254" s="1289" t="s">
        <v>4881</v>
      </c>
      <c r="C254" s="1288" t="s">
        <v>927</v>
      </c>
      <c r="D254" s="1287">
        <v>800</v>
      </c>
      <c r="E254" s="1287">
        <v>398.41</v>
      </c>
      <c r="F254" s="1287">
        <v>318728</v>
      </c>
      <c r="G254" s="1286" t="s">
        <v>4882</v>
      </c>
      <c r="H254" s="34" t="s">
        <v>925</v>
      </c>
    </row>
    <row r="255" spans="1:8" ht="33">
      <c r="A255" s="1289">
        <v>7</v>
      </c>
      <c r="B255" s="1289" t="s">
        <v>4871</v>
      </c>
      <c r="C255" s="1288" t="s">
        <v>927</v>
      </c>
      <c r="D255" s="1287">
        <v>350</v>
      </c>
      <c r="E255" s="1287">
        <v>279.18</v>
      </c>
      <c r="F255" s="1287">
        <v>97713</v>
      </c>
      <c r="G255" s="1286" t="s">
        <v>4872</v>
      </c>
      <c r="H255" s="34" t="s">
        <v>925</v>
      </c>
    </row>
    <row r="256" spans="1:8" ht="28.5">
      <c r="A256" s="1289">
        <v>8</v>
      </c>
      <c r="B256" s="1289" t="s">
        <v>1030</v>
      </c>
      <c r="C256" s="1288" t="s">
        <v>14</v>
      </c>
      <c r="D256" s="1287">
        <v>1</v>
      </c>
      <c r="E256" s="1287">
        <v>49676.91</v>
      </c>
      <c r="F256" s="1287">
        <v>49676.91</v>
      </c>
      <c r="G256" s="1286" t="s">
        <v>1031</v>
      </c>
    </row>
    <row r="257" spans="1:8" ht="33">
      <c r="A257" s="1289">
        <v>9</v>
      </c>
      <c r="B257" s="1289" t="s">
        <v>931</v>
      </c>
      <c r="C257" s="1288" t="s">
        <v>14</v>
      </c>
      <c r="D257" s="1287">
        <v>1</v>
      </c>
      <c r="E257" s="1287">
        <v>80451.31</v>
      </c>
      <c r="F257" s="1287">
        <v>80451.31</v>
      </c>
      <c r="G257" s="1286" t="s">
        <v>932</v>
      </c>
      <c r="H257" s="34" t="s">
        <v>925</v>
      </c>
    </row>
    <row r="258" spans="1:8" ht="33">
      <c r="A258" s="1289"/>
      <c r="B258" s="1289" t="s">
        <v>933</v>
      </c>
      <c r="C258" s="1288" t="s">
        <v>1</v>
      </c>
      <c r="D258" s="1287">
        <v>20000</v>
      </c>
      <c r="E258" s="1287"/>
      <c r="F258" s="1287">
        <v>2762161.5500000003</v>
      </c>
      <c r="G258" s="1286"/>
      <c r="H258" s="34" t="s">
        <v>925</v>
      </c>
    </row>
    <row r="259" spans="1:8" ht="33">
      <c r="A259" s="1289"/>
      <c r="B259" s="1289" t="s">
        <v>934</v>
      </c>
      <c r="C259" s="1288" t="s">
        <v>1</v>
      </c>
      <c r="D259" s="1287"/>
      <c r="E259" s="1287"/>
      <c r="F259" s="1287">
        <v>138.11000000000001</v>
      </c>
      <c r="G259" s="1286"/>
      <c r="H259" s="34" t="s">
        <v>925</v>
      </c>
    </row>
    <row r="260" spans="1:8" ht="33">
      <c r="A260" s="1289"/>
      <c r="B260" s="1289"/>
      <c r="C260" s="1288"/>
      <c r="D260" s="1287"/>
      <c r="E260" s="1287"/>
      <c r="F260" s="1287"/>
      <c r="G260" s="1286"/>
      <c r="H260" s="34" t="s">
        <v>925</v>
      </c>
    </row>
    <row r="261" spans="1:8" ht="33">
      <c r="A261" s="1289" t="s">
        <v>1074</v>
      </c>
      <c r="B261" s="1289" t="s">
        <v>1033</v>
      </c>
      <c r="C261" s="1288" t="s">
        <v>17</v>
      </c>
      <c r="D261" s="1287">
        <v>50</v>
      </c>
      <c r="E261" s="1287">
        <v>60.39</v>
      </c>
      <c r="F261" s="1287"/>
      <c r="G261" s="1286" t="s">
        <v>1034</v>
      </c>
      <c r="H261" s="34" t="s">
        <v>925</v>
      </c>
    </row>
    <row r="262" spans="1:8" ht="33">
      <c r="A262" s="1289">
        <v>1</v>
      </c>
      <c r="B262" s="1289" t="s">
        <v>4871</v>
      </c>
      <c r="C262" s="1288" t="s">
        <v>927</v>
      </c>
      <c r="D262" s="1287">
        <v>10.5</v>
      </c>
      <c r="E262" s="1287">
        <v>279.18</v>
      </c>
      <c r="F262" s="1287">
        <v>2931.39</v>
      </c>
      <c r="G262" s="1286" t="s">
        <v>4872</v>
      </c>
      <c r="H262" s="34" t="s">
        <v>925</v>
      </c>
    </row>
    <row r="263" spans="1:8" ht="33">
      <c r="A263" s="1289">
        <v>2</v>
      </c>
      <c r="B263" s="1289" t="s">
        <v>931</v>
      </c>
      <c r="C263" s="1288" t="s">
        <v>14</v>
      </c>
      <c r="D263" s="1287">
        <v>1</v>
      </c>
      <c r="E263" s="1287">
        <v>87.94</v>
      </c>
      <c r="F263" s="1287">
        <v>87.94</v>
      </c>
      <c r="G263" s="1286" t="s">
        <v>932</v>
      </c>
      <c r="H263" s="34" t="s">
        <v>925</v>
      </c>
    </row>
    <row r="264" spans="1:8" ht="16.5">
      <c r="A264" s="1289"/>
      <c r="B264" s="1289" t="s">
        <v>933</v>
      </c>
      <c r="C264" s="1288" t="s">
        <v>17</v>
      </c>
      <c r="D264" s="1287">
        <v>50</v>
      </c>
      <c r="E264" s="1287"/>
      <c r="F264" s="1287">
        <v>3019.33</v>
      </c>
      <c r="G264" s="1286"/>
    </row>
    <row r="265" spans="1:8" ht="33">
      <c r="A265" s="1289"/>
      <c r="B265" s="1289" t="s">
        <v>934</v>
      </c>
      <c r="C265" s="1288" t="s">
        <v>17</v>
      </c>
      <c r="D265" s="1287"/>
      <c r="E265" s="1287"/>
      <c r="F265" s="1287">
        <v>60.39</v>
      </c>
      <c r="G265" s="1286"/>
      <c r="H265" s="34" t="s">
        <v>925</v>
      </c>
    </row>
    <row r="266" spans="1:8" ht="33">
      <c r="A266" s="1289"/>
      <c r="B266" s="1289"/>
      <c r="C266" s="1288"/>
      <c r="D266" s="1287"/>
      <c r="E266" s="1287"/>
      <c r="F266" s="1287"/>
      <c r="G266" s="1286"/>
      <c r="H266" s="34" t="s">
        <v>925</v>
      </c>
    </row>
    <row r="267" spans="1:8" ht="33">
      <c r="A267" s="1289" t="s">
        <v>1082</v>
      </c>
      <c r="B267" s="1289" t="s">
        <v>1036</v>
      </c>
      <c r="C267" s="1288" t="s">
        <v>3</v>
      </c>
      <c r="D267" s="1287">
        <v>100</v>
      </c>
      <c r="E267" s="1287">
        <v>15.02</v>
      </c>
      <c r="F267" s="1287"/>
      <c r="G267" s="1286" t="s">
        <v>1037</v>
      </c>
      <c r="H267" s="34" t="s">
        <v>925</v>
      </c>
    </row>
    <row r="268" spans="1:8" ht="33">
      <c r="A268" s="1289">
        <v>1</v>
      </c>
      <c r="B268" s="1289" t="s">
        <v>1038</v>
      </c>
      <c r="C268" s="1288" t="s">
        <v>927</v>
      </c>
      <c r="D268" s="1287">
        <v>1.2</v>
      </c>
      <c r="E268" s="1287">
        <v>69.55</v>
      </c>
      <c r="F268" s="1287">
        <v>83.46</v>
      </c>
      <c r="G268" s="1286" t="s">
        <v>1039</v>
      </c>
      <c r="H268" s="34" t="s">
        <v>925</v>
      </c>
    </row>
    <row r="269" spans="1:8" ht="33">
      <c r="A269" s="1289">
        <v>2</v>
      </c>
      <c r="B269" s="1289" t="s">
        <v>4871</v>
      </c>
      <c r="C269" s="1288" t="s">
        <v>927</v>
      </c>
      <c r="D269" s="1287">
        <v>4.8</v>
      </c>
      <c r="E269" s="1287">
        <v>279.18</v>
      </c>
      <c r="F269" s="1287">
        <v>1340.06</v>
      </c>
      <c r="G269" s="1286" t="s">
        <v>4872</v>
      </c>
      <c r="H269" s="34" t="s">
        <v>925</v>
      </c>
    </row>
    <row r="270" spans="1:8" ht="33">
      <c r="A270" s="1289">
        <v>3</v>
      </c>
      <c r="B270" s="1289" t="s">
        <v>1040</v>
      </c>
      <c r="C270" s="1288" t="s">
        <v>14</v>
      </c>
      <c r="D270" s="1287">
        <v>1</v>
      </c>
      <c r="E270" s="1287">
        <v>34.770000000000003</v>
      </c>
      <c r="F270" s="1287">
        <v>34.770000000000003</v>
      </c>
      <c r="G270" s="1286" t="s">
        <v>1041</v>
      </c>
      <c r="H270" s="34" t="s">
        <v>925</v>
      </c>
    </row>
    <row r="271" spans="1:8" ht="33">
      <c r="A271" s="1289">
        <v>4</v>
      </c>
      <c r="B271" s="1289" t="s">
        <v>931</v>
      </c>
      <c r="C271" s="1288" t="s">
        <v>14</v>
      </c>
      <c r="D271" s="1287">
        <v>1</v>
      </c>
      <c r="E271" s="1287">
        <v>43.75</v>
      </c>
      <c r="F271" s="1287">
        <v>43.75</v>
      </c>
      <c r="G271" s="1286" t="s">
        <v>932</v>
      </c>
      <c r="H271" s="34" t="s">
        <v>925</v>
      </c>
    </row>
    <row r="272" spans="1:8" ht="33">
      <c r="A272" s="1289"/>
      <c r="B272" s="1289" t="s">
        <v>933</v>
      </c>
      <c r="C272" s="1288" t="s">
        <v>3</v>
      </c>
      <c r="D272" s="1287">
        <v>100</v>
      </c>
      <c r="E272" s="1287"/>
      <c r="F272" s="1287">
        <v>1502.04</v>
      </c>
      <c r="G272" s="1286"/>
      <c r="H272" s="34" t="s">
        <v>925</v>
      </c>
    </row>
    <row r="273" spans="1:8" ht="16.5">
      <c r="A273" s="1289"/>
      <c r="B273" s="1289" t="s">
        <v>934</v>
      </c>
      <c r="C273" s="1288" t="s">
        <v>3</v>
      </c>
      <c r="D273" s="1287"/>
      <c r="E273" s="1287"/>
      <c r="F273" s="1287">
        <v>15.02</v>
      </c>
      <c r="G273" s="1286"/>
    </row>
    <row r="274" spans="1:8" ht="33">
      <c r="A274" s="1289"/>
      <c r="B274" s="1289"/>
      <c r="C274" s="1288"/>
      <c r="D274" s="1287"/>
      <c r="E274" s="1287"/>
      <c r="F274" s="1287"/>
      <c r="G274" s="1286"/>
      <c r="H274" s="34" t="s">
        <v>925</v>
      </c>
    </row>
    <row r="275" spans="1:8" ht="33">
      <c r="A275" s="1289" t="s">
        <v>1088</v>
      </c>
      <c r="B275" s="1289" t="s">
        <v>454</v>
      </c>
      <c r="C275" s="1288" t="s">
        <v>0</v>
      </c>
      <c r="D275" s="1287">
        <v>1</v>
      </c>
      <c r="E275" s="1287">
        <v>306.01</v>
      </c>
      <c r="F275" s="1287"/>
      <c r="G275" s="1286" t="s">
        <v>1043</v>
      </c>
      <c r="H275" s="34" t="s">
        <v>925</v>
      </c>
    </row>
    <row r="276" spans="1:8" ht="33">
      <c r="A276" s="1289">
        <v>1</v>
      </c>
      <c r="B276" s="1289" t="s">
        <v>4871</v>
      </c>
      <c r="C276" s="1288" t="s">
        <v>927</v>
      </c>
      <c r="D276" s="1287">
        <v>1</v>
      </c>
      <c r="E276" s="1287">
        <v>279.18</v>
      </c>
      <c r="F276" s="1287">
        <v>279.18</v>
      </c>
      <c r="G276" s="1286" t="s">
        <v>4872</v>
      </c>
      <c r="H276" s="34" t="s">
        <v>925</v>
      </c>
    </row>
    <row r="277" spans="1:8" ht="33">
      <c r="A277" s="1289">
        <v>2</v>
      </c>
      <c r="B277" s="1289" t="s">
        <v>1044</v>
      </c>
      <c r="C277" s="1288" t="s">
        <v>14</v>
      </c>
      <c r="D277" s="1287">
        <v>1</v>
      </c>
      <c r="E277" s="1287">
        <v>19.87</v>
      </c>
      <c r="F277" s="1287">
        <v>19.87</v>
      </c>
      <c r="G277" s="1286" t="s">
        <v>1045</v>
      </c>
      <c r="H277" s="34" t="s">
        <v>925</v>
      </c>
    </row>
    <row r="278" spans="1:8" ht="33">
      <c r="A278" s="1289">
        <v>3</v>
      </c>
      <c r="B278" s="1289" t="s">
        <v>931</v>
      </c>
      <c r="C278" s="1288" t="s">
        <v>14</v>
      </c>
      <c r="D278" s="1287">
        <v>1</v>
      </c>
      <c r="E278" s="1287">
        <v>6.96</v>
      </c>
      <c r="F278" s="1287">
        <v>6.96</v>
      </c>
      <c r="G278" s="1286" t="s">
        <v>1046</v>
      </c>
      <c r="H278" s="34" t="s">
        <v>925</v>
      </c>
    </row>
    <row r="279" spans="1:8" ht="33">
      <c r="A279" s="1289"/>
      <c r="B279" s="1289" t="s">
        <v>933</v>
      </c>
      <c r="C279" s="1288" t="s">
        <v>0</v>
      </c>
      <c r="D279" s="1287">
        <v>1</v>
      </c>
      <c r="E279" s="1287"/>
      <c r="F279" s="1287">
        <v>306.01</v>
      </c>
      <c r="G279" s="1286"/>
      <c r="H279" s="34" t="s">
        <v>925</v>
      </c>
    </row>
    <row r="280" spans="1:8" ht="33">
      <c r="A280" s="1289"/>
      <c r="B280" s="1289" t="s">
        <v>934</v>
      </c>
      <c r="C280" s="1288" t="s">
        <v>0</v>
      </c>
      <c r="D280" s="1287"/>
      <c r="E280" s="1287"/>
      <c r="F280" s="1287">
        <v>306.01</v>
      </c>
      <c r="G280" s="1286"/>
      <c r="H280" s="34" t="s">
        <v>925</v>
      </c>
    </row>
    <row r="281" spans="1:8" ht="16.5">
      <c r="A281" s="1289"/>
      <c r="B281" s="1289"/>
      <c r="C281" s="1288"/>
      <c r="D281" s="1287"/>
      <c r="E281" s="1287"/>
      <c r="F281" s="1287"/>
      <c r="G281" s="1286"/>
    </row>
    <row r="282" spans="1:8" ht="33">
      <c r="A282" s="1289" t="s">
        <v>1090</v>
      </c>
      <c r="B282" s="1289" t="s">
        <v>1048</v>
      </c>
      <c r="C282" s="1288" t="s">
        <v>15</v>
      </c>
      <c r="D282" s="1287">
        <v>100</v>
      </c>
      <c r="E282" s="1287">
        <v>58.02</v>
      </c>
      <c r="F282" s="1287"/>
      <c r="G282" s="1286" t="s">
        <v>1049</v>
      </c>
      <c r="H282" s="34" t="s">
        <v>925</v>
      </c>
    </row>
    <row r="283" spans="1:8" ht="33">
      <c r="A283" s="1289">
        <v>1</v>
      </c>
      <c r="B283" s="1289" t="s">
        <v>1050</v>
      </c>
      <c r="C283" s="1288" t="s">
        <v>927</v>
      </c>
      <c r="D283" s="1287">
        <v>0.48</v>
      </c>
      <c r="E283" s="1287">
        <v>1390.95</v>
      </c>
      <c r="F283" s="1287">
        <v>667.66</v>
      </c>
      <c r="G283" s="1286" t="s">
        <v>1051</v>
      </c>
      <c r="H283" s="34" t="s">
        <v>925</v>
      </c>
    </row>
    <row r="284" spans="1:8" ht="33">
      <c r="A284" s="1289">
        <v>2</v>
      </c>
      <c r="B284" s="1289" t="s">
        <v>1052</v>
      </c>
      <c r="C284" s="1288" t="s">
        <v>927</v>
      </c>
      <c r="D284" s="1287">
        <v>0.53</v>
      </c>
      <c r="E284" s="1287">
        <v>1142.57</v>
      </c>
      <c r="F284" s="1287">
        <v>605.55999999999995</v>
      </c>
      <c r="G284" s="1286" t="s">
        <v>1053</v>
      </c>
      <c r="H284" s="34" t="s">
        <v>925</v>
      </c>
    </row>
    <row r="285" spans="1:8" ht="33">
      <c r="A285" s="1289">
        <v>3</v>
      </c>
      <c r="B285" s="1289" t="s">
        <v>1054</v>
      </c>
      <c r="C285" s="1288" t="s">
        <v>927</v>
      </c>
      <c r="D285" s="1287">
        <v>0.68</v>
      </c>
      <c r="E285" s="1287">
        <v>1152.5</v>
      </c>
      <c r="F285" s="1287">
        <v>783.7</v>
      </c>
      <c r="G285" s="1286" t="s">
        <v>1055</v>
      </c>
      <c r="H285" s="34" t="s">
        <v>925</v>
      </c>
    </row>
    <row r="286" spans="1:8" ht="33">
      <c r="A286" s="1289">
        <v>4</v>
      </c>
      <c r="B286" s="1289" t="s">
        <v>1056</v>
      </c>
      <c r="C286" s="1288" t="s">
        <v>927</v>
      </c>
      <c r="D286" s="1287">
        <v>1.25</v>
      </c>
      <c r="E286" s="1287">
        <v>767.01</v>
      </c>
      <c r="F286" s="1287">
        <v>958.76</v>
      </c>
      <c r="G286" s="1286" t="s">
        <v>1057</v>
      </c>
      <c r="H286" s="34" t="s">
        <v>925</v>
      </c>
    </row>
    <row r="287" spans="1:8" ht="33">
      <c r="A287" s="1289">
        <v>5</v>
      </c>
      <c r="B287" s="1289" t="s">
        <v>1058</v>
      </c>
      <c r="C287" s="1288" t="s">
        <v>927</v>
      </c>
      <c r="D287" s="1287">
        <v>0.4</v>
      </c>
      <c r="E287" s="1287">
        <v>62.59</v>
      </c>
      <c r="F287" s="1287">
        <v>25.04</v>
      </c>
      <c r="G287" s="1286" t="s">
        <v>1059</v>
      </c>
      <c r="H287" s="34" t="s">
        <v>925</v>
      </c>
    </row>
    <row r="288" spans="1:8" ht="42.75">
      <c r="A288" s="1289">
        <v>6</v>
      </c>
      <c r="B288" s="1289" t="s">
        <v>4883</v>
      </c>
      <c r="C288" s="1288" t="s">
        <v>927</v>
      </c>
      <c r="D288" s="1287">
        <v>0.48</v>
      </c>
      <c r="E288" s="1287">
        <v>398.41</v>
      </c>
      <c r="F288" s="1287">
        <v>191.24</v>
      </c>
      <c r="G288" s="1286" t="s">
        <v>4884</v>
      </c>
      <c r="H288" s="34" t="s">
        <v>925</v>
      </c>
    </row>
    <row r="289" spans="1:8" ht="42.75">
      <c r="A289" s="1289">
        <v>7</v>
      </c>
      <c r="B289" s="1289" t="s">
        <v>4885</v>
      </c>
      <c r="C289" s="1288" t="s">
        <v>927</v>
      </c>
      <c r="D289" s="1287">
        <v>1.21</v>
      </c>
      <c r="E289" s="1287">
        <v>398.41</v>
      </c>
      <c r="F289" s="1287">
        <v>482.08</v>
      </c>
      <c r="G289" s="1286" t="s">
        <v>4886</v>
      </c>
    </row>
    <row r="290" spans="1:8" ht="33">
      <c r="A290" s="1289">
        <v>8</v>
      </c>
      <c r="B290" s="1289" t="s">
        <v>1060</v>
      </c>
      <c r="C290" s="1288" t="s">
        <v>927</v>
      </c>
      <c r="D290" s="1287">
        <v>1.25</v>
      </c>
      <c r="E290" s="1287">
        <v>398.41</v>
      </c>
      <c r="F290" s="1287">
        <v>498.01</v>
      </c>
      <c r="G290" s="1286" t="s">
        <v>1061</v>
      </c>
      <c r="H290" s="34" t="s">
        <v>925</v>
      </c>
    </row>
    <row r="291" spans="1:8" ht="33">
      <c r="A291" s="1289">
        <v>9</v>
      </c>
      <c r="B291" s="1289" t="s">
        <v>1062</v>
      </c>
      <c r="C291" s="1288" t="s">
        <v>927</v>
      </c>
      <c r="D291" s="1287">
        <v>0.4</v>
      </c>
      <c r="E291" s="1287">
        <v>398.41</v>
      </c>
      <c r="F291" s="1287">
        <v>159.36000000000001</v>
      </c>
      <c r="G291" s="1286" t="s">
        <v>1063</v>
      </c>
      <c r="H291" s="34" t="s">
        <v>925</v>
      </c>
    </row>
    <row r="292" spans="1:8" ht="33">
      <c r="A292" s="1289">
        <v>10</v>
      </c>
      <c r="B292" s="1289" t="s">
        <v>4871</v>
      </c>
      <c r="C292" s="1288" t="s">
        <v>927</v>
      </c>
      <c r="D292" s="1287">
        <v>0.96</v>
      </c>
      <c r="E292" s="1287">
        <v>279.18</v>
      </c>
      <c r="F292" s="1287">
        <v>268.01</v>
      </c>
      <c r="G292" s="1286" t="s">
        <v>4872</v>
      </c>
      <c r="H292" s="34" t="s">
        <v>925</v>
      </c>
    </row>
    <row r="293" spans="1:8" ht="33">
      <c r="A293" s="1289">
        <v>11</v>
      </c>
      <c r="B293" s="1289" t="s">
        <v>1064</v>
      </c>
      <c r="C293" s="1288" t="s">
        <v>15</v>
      </c>
      <c r="D293" s="1287">
        <v>100</v>
      </c>
      <c r="E293" s="1287">
        <v>9.94</v>
      </c>
      <c r="F293" s="1287">
        <v>994</v>
      </c>
      <c r="G293" s="1286" t="s">
        <v>1065</v>
      </c>
      <c r="H293" s="34" t="s">
        <v>925</v>
      </c>
    </row>
    <row r="294" spans="1:8" ht="33">
      <c r="A294" s="1289">
        <v>12</v>
      </c>
      <c r="B294" s="1289" t="s">
        <v>931</v>
      </c>
      <c r="C294" s="1288" t="s">
        <v>14</v>
      </c>
      <c r="D294" s="1287">
        <v>1</v>
      </c>
      <c r="E294" s="1287">
        <v>169</v>
      </c>
      <c r="F294" s="1287">
        <v>169</v>
      </c>
      <c r="G294" s="1286" t="s">
        <v>932</v>
      </c>
      <c r="H294" s="34" t="s">
        <v>925</v>
      </c>
    </row>
    <row r="295" spans="1:8" ht="33">
      <c r="A295" s="1289"/>
      <c r="B295" s="1289" t="s">
        <v>933</v>
      </c>
      <c r="C295" s="1288" t="s">
        <v>15</v>
      </c>
      <c r="D295" s="1287">
        <v>100</v>
      </c>
      <c r="E295" s="1287"/>
      <c r="F295" s="1287">
        <v>5802.42</v>
      </c>
      <c r="G295" s="1286"/>
      <c r="H295" s="34" t="s">
        <v>925</v>
      </c>
    </row>
    <row r="296" spans="1:8" ht="33">
      <c r="A296" s="1289"/>
      <c r="B296" s="1289" t="s">
        <v>934</v>
      </c>
      <c r="C296" s="1288" t="s">
        <v>15</v>
      </c>
      <c r="D296" s="1287"/>
      <c r="E296" s="1287"/>
      <c r="F296" s="1287">
        <v>58.02</v>
      </c>
      <c r="G296" s="1286"/>
      <c r="H296" s="34" t="s">
        <v>925</v>
      </c>
    </row>
    <row r="297" spans="1:8" ht="16.5">
      <c r="A297" s="1289"/>
      <c r="B297" s="1289"/>
      <c r="C297" s="1288"/>
      <c r="D297" s="1287"/>
      <c r="E297" s="1287"/>
      <c r="F297" s="1287"/>
      <c r="G297" s="1286"/>
    </row>
    <row r="298" spans="1:8" ht="33">
      <c r="A298" s="1289" t="s">
        <v>1095</v>
      </c>
      <c r="B298" s="1289" t="s">
        <v>1067</v>
      </c>
      <c r="C298" s="1288" t="s">
        <v>15</v>
      </c>
      <c r="D298" s="1287">
        <v>1</v>
      </c>
      <c r="E298" s="1287">
        <v>324.8</v>
      </c>
      <c r="F298" s="1287"/>
      <c r="G298" s="1286" t="s">
        <v>1068</v>
      </c>
      <c r="H298" s="34" t="s">
        <v>925</v>
      </c>
    </row>
    <row r="299" spans="1:8" ht="33">
      <c r="A299" s="1289">
        <v>1</v>
      </c>
      <c r="B299" s="1289" t="s">
        <v>4871</v>
      </c>
      <c r="C299" s="1288" t="s">
        <v>927</v>
      </c>
      <c r="D299" s="1287">
        <v>0.8</v>
      </c>
      <c r="E299" s="1287">
        <v>279.18</v>
      </c>
      <c r="F299" s="1287">
        <v>223.34</v>
      </c>
      <c r="G299" s="1286" t="s">
        <v>4876</v>
      </c>
      <c r="H299" s="34" t="s">
        <v>925</v>
      </c>
    </row>
    <row r="300" spans="1:8" ht="33">
      <c r="A300" s="1289">
        <v>2</v>
      </c>
      <c r="B300" s="1289" t="s">
        <v>1069</v>
      </c>
      <c r="C300" s="1288" t="s">
        <v>927</v>
      </c>
      <c r="D300" s="1287">
        <v>0.2</v>
      </c>
      <c r="E300" s="1287">
        <v>61.6</v>
      </c>
      <c r="F300" s="1287">
        <v>12.32</v>
      </c>
      <c r="G300" s="1286" t="s">
        <v>1070</v>
      </c>
      <c r="H300" s="34" t="s">
        <v>925</v>
      </c>
    </row>
    <row r="301" spans="1:8" ht="42.75">
      <c r="A301" s="1289">
        <v>3</v>
      </c>
      <c r="B301" s="1289" t="s">
        <v>4887</v>
      </c>
      <c r="C301" s="1288" t="s">
        <v>927</v>
      </c>
      <c r="D301" s="1287">
        <v>0.2</v>
      </c>
      <c r="E301" s="1287">
        <v>398.41</v>
      </c>
      <c r="F301" s="1287">
        <v>79.680000000000007</v>
      </c>
      <c r="G301" s="1286" t="s">
        <v>4888</v>
      </c>
      <c r="H301" s="34" t="s">
        <v>925</v>
      </c>
    </row>
    <row r="302" spans="1:8" ht="33">
      <c r="A302" s="1289">
        <v>4</v>
      </c>
      <c r="B302" s="1289" t="s">
        <v>931</v>
      </c>
      <c r="C302" s="1288" t="s">
        <v>14</v>
      </c>
      <c r="D302" s="1287">
        <v>1</v>
      </c>
      <c r="E302" s="1287">
        <v>9.4600000000000009</v>
      </c>
      <c r="F302" s="1287">
        <v>9.4600000000000009</v>
      </c>
      <c r="G302" s="1286" t="s">
        <v>932</v>
      </c>
      <c r="H302" s="34" t="s">
        <v>925</v>
      </c>
    </row>
    <row r="303" spans="1:8" ht="33">
      <c r="A303" s="1289"/>
      <c r="B303" s="1289" t="s">
        <v>933</v>
      </c>
      <c r="C303" s="1288" t="s">
        <v>15</v>
      </c>
      <c r="D303" s="1287">
        <v>1</v>
      </c>
      <c r="E303" s="1287"/>
      <c r="F303" s="1287">
        <v>324.8</v>
      </c>
      <c r="G303" s="1286"/>
      <c r="H303" s="34" t="s">
        <v>925</v>
      </c>
    </row>
    <row r="304" spans="1:8" ht="33">
      <c r="A304" s="1289"/>
      <c r="B304" s="1289" t="s">
        <v>934</v>
      </c>
      <c r="C304" s="1288" t="s">
        <v>15</v>
      </c>
      <c r="D304" s="1287"/>
      <c r="E304" s="1287"/>
      <c r="F304" s="1287">
        <v>324.8</v>
      </c>
      <c r="G304" s="1286"/>
      <c r="H304" s="34" t="s">
        <v>925</v>
      </c>
    </row>
    <row r="305" spans="1:8" ht="16.5">
      <c r="A305" s="1289"/>
      <c r="B305" s="1289"/>
      <c r="C305" s="1288"/>
      <c r="D305" s="1287"/>
      <c r="E305" s="1287"/>
      <c r="F305" s="1287"/>
      <c r="G305" s="1286"/>
    </row>
    <row r="306" spans="1:8" ht="33">
      <c r="A306" s="1289" t="s">
        <v>1098</v>
      </c>
      <c r="B306" s="1289" t="s">
        <v>1072</v>
      </c>
      <c r="C306" s="1288" t="s">
        <v>0</v>
      </c>
      <c r="D306" s="1287">
        <v>100</v>
      </c>
      <c r="E306" s="1287">
        <v>104.8</v>
      </c>
      <c r="F306" s="1287"/>
      <c r="G306" s="1286" t="s">
        <v>1073</v>
      </c>
      <c r="H306" s="34" t="s">
        <v>925</v>
      </c>
    </row>
    <row r="307" spans="1:8" ht="33">
      <c r="A307" s="1289">
        <v>1</v>
      </c>
      <c r="B307" s="1289" t="s">
        <v>929</v>
      </c>
      <c r="C307" s="1288" t="s">
        <v>927</v>
      </c>
      <c r="D307" s="1287">
        <v>2.5</v>
      </c>
      <c r="E307" s="1287">
        <v>1490.31</v>
      </c>
      <c r="F307" s="1287">
        <v>3725.78</v>
      </c>
      <c r="G307" s="1286" t="s">
        <v>930</v>
      </c>
      <c r="H307" s="34" t="s">
        <v>925</v>
      </c>
    </row>
    <row r="308" spans="1:8" ht="42.75">
      <c r="A308" s="1289">
        <v>2</v>
      </c>
      <c r="B308" s="1289" t="s">
        <v>4869</v>
      </c>
      <c r="C308" s="1288" t="s">
        <v>927</v>
      </c>
      <c r="D308" s="1287">
        <v>2.5</v>
      </c>
      <c r="E308" s="1287">
        <v>398.41</v>
      </c>
      <c r="F308" s="1287">
        <v>996.03</v>
      </c>
      <c r="G308" s="1286" t="s">
        <v>4870</v>
      </c>
      <c r="H308" s="34" t="s">
        <v>925</v>
      </c>
    </row>
    <row r="309" spans="1:8" ht="33">
      <c r="A309" s="1289">
        <v>3</v>
      </c>
      <c r="B309" s="1289" t="s">
        <v>1069</v>
      </c>
      <c r="C309" s="1288" t="s">
        <v>927</v>
      </c>
      <c r="D309" s="1287">
        <v>16</v>
      </c>
      <c r="E309" s="1287">
        <v>61.6</v>
      </c>
      <c r="F309" s="1287">
        <v>985.6</v>
      </c>
      <c r="G309" s="1286" t="s">
        <v>1070</v>
      </c>
      <c r="H309" s="34" t="s">
        <v>925</v>
      </c>
    </row>
    <row r="310" spans="1:8" ht="33">
      <c r="A310" s="1289">
        <v>4</v>
      </c>
      <c r="B310" s="1289" t="s">
        <v>4871</v>
      </c>
      <c r="C310" s="1288" t="s">
        <v>927</v>
      </c>
      <c r="D310" s="1287">
        <v>16</v>
      </c>
      <c r="E310" s="1287">
        <v>279.18</v>
      </c>
      <c r="F310" s="1287">
        <v>4466.88</v>
      </c>
      <c r="G310" s="1286" t="s">
        <v>4872</v>
      </c>
      <c r="H310" s="34" t="s">
        <v>925</v>
      </c>
    </row>
    <row r="311" spans="1:8" ht="33">
      <c r="A311" s="1289">
        <v>5</v>
      </c>
      <c r="B311" s="1289" t="s">
        <v>931</v>
      </c>
      <c r="C311" s="1288" t="s">
        <v>14</v>
      </c>
      <c r="D311" s="1287">
        <v>1</v>
      </c>
      <c r="E311" s="1287">
        <v>305.23</v>
      </c>
      <c r="F311" s="1287">
        <v>305.23</v>
      </c>
      <c r="G311" s="1286" t="s">
        <v>932</v>
      </c>
      <c r="H311" s="34" t="s">
        <v>925</v>
      </c>
    </row>
    <row r="312" spans="1:8" ht="16.5">
      <c r="A312" s="1289"/>
      <c r="B312" s="1289" t="s">
        <v>933</v>
      </c>
      <c r="C312" s="1288" t="s">
        <v>0</v>
      </c>
      <c r="D312" s="1287">
        <v>100</v>
      </c>
      <c r="E312" s="1287"/>
      <c r="F312" s="1287">
        <v>10479.52</v>
      </c>
      <c r="G312" s="1286"/>
    </row>
    <row r="313" spans="1:8" ht="33">
      <c r="A313" s="1289"/>
      <c r="B313" s="1289" t="s">
        <v>934</v>
      </c>
      <c r="C313" s="1288" t="s">
        <v>0</v>
      </c>
      <c r="D313" s="1287"/>
      <c r="E313" s="1287"/>
      <c r="F313" s="1287">
        <v>104.8</v>
      </c>
      <c r="G313" s="1286"/>
      <c r="H313" s="34" t="s">
        <v>925</v>
      </c>
    </row>
    <row r="314" spans="1:8" ht="33">
      <c r="A314" s="1289"/>
      <c r="B314" s="1289"/>
      <c r="C314" s="1288"/>
      <c r="D314" s="1287"/>
      <c r="E314" s="1287"/>
      <c r="F314" s="1287"/>
      <c r="G314" s="1286"/>
      <c r="H314" s="34" t="s">
        <v>925</v>
      </c>
    </row>
    <row r="315" spans="1:8" ht="42.75">
      <c r="A315" s="1289" t="s">
        <v>1103</v>
      </c>
      <c r="B315" s="1289" t="s">
        <v>543</v>
      </c>
      <c r="C315" s="1288" t="s">
        <v>1</v>
      </c>
      <c r="D315" s="1287">
        <v>100</v>
      </c>
      <c r="E315" s="1287">
        <v>1188.32</v>
      </c>
      <c r="F315" s="1287"/>
      <c r="G315" s="1286" t="s">
        <v>1075</v>
      </c>
      <c r="H315" s="34" t="s">
        <v>925</v>
      </c>
    </row>
    <row r="316" spans="1:8" ht="33">
      <c r="A316" s="1289">
        <v>1</v>
      </c>
      <c r="B316" s="1289" t="s">
        <v>1076</v>
      </c>
      <c r="C316" s="1288" t="s">
        <v>927</v>
      </c>
      <c r="D316" s="1287">
        <v>120</v>
      </c>
      <c r="E316" s="1287">
        <v>397.42</v>
      </c>
      <c r="F316" s="1287">
        <v>47690.400000000001</v>
      </c>
      <c r="G316" s="1286" t="s">
        <v>1077</v>
      </c>
      <c r="H316" s="34" t="s">
        <v>925</v>
      </c>
    </row>
    <row r="317" spans="1:8" ht="33">
      <c r="A317" s="1289">
        <v>2</v>
      </c>
      <c r="B317" s="1289" t="s">
        <v>1078</v>
      </c>
      <c r="C317" s="1288" t="s">
        <v>927</v>
      </c>
      <c r="D317" s="1287">
        <v>120</v>
      </c>
      <c r="E317" s="1287">
        <v>398.41</v>
      </c>
      <c r="F317" s="1287">
        <v>47809.2</v>
      </c>
      <c r="G317" s="1286" t="s">
        <v>1079</v>
      </c>
      <c r="H317" s="34" t="s">
        <v>925</v>
      </c>
    </row>
    <row r="318" spans="1:8" ht="33">
      <c r="A318" s="1289">
        <v>3</v>
      </c>
      <c r="B318" s="1289" t="s">
        <v>1080</v>
      </c>
      <c r="C318" s="1288" t="s">
        <v>1</v>
      </c>
      <c r="D318" s="1287">
        <v>100</v>
      </c>
      <c r="E318" s="1287">
        <v>198.71</v>
      </c>
      <c r="F318" s="1287">
        <v>19871</v>
      </c>
      <c r="G318" s="1286" t="s">
        <v>1081</v>
      </c>
      <c r="H318" s="34" t="s">
        <v>925</v>
      </c>
    </row>
    <row r="319" spans="1:8" ht="33">
      <c r="A319" s="1289">
        <v>4</v>
      </c>
      <c r="B319" s="1289" t="s">
        <v>931</v>
      </c>
      <c r="C319" s="1288" t="s">
        <v>14</v>
      </c>
      <c r="D319" s="1287">
        <v>1</v>
      </c>
      <c r="E319" s="1287">
        <v>3461.12</v>
      </c>
      <c r="F319" s="1287">
        <v>3461.12</v>
      </c>
      <c r="G319" s="1286" t="s">
        <v>932</v>
      </c>
      <c r="H319" s="34" t="s">
        <v>925</v>
      </c>
    </row>
    <row r="320" spans="1:8" ht="16.5">
      <c r="A320" s="1289"/>
      <c r="B320" s="1289" t="s">
        <v>933</v>
      </c>
      <c r="C320" s="1288" t="s">
        <v>1</v>
      </c>
      <c r="D320" s="1287">
        <v>100</v>
      </c>
      <c r="E320" s="1287"/>
      <c r="F320" s="1287">
        <v>118831.72</v>
      </c>
      <c r="G320" s="1286"/>
    </row>
    <row r="321" spans="1:8" ht="33">
      <c r="A321" s="1289"/>
      <c r="B321" s="1289" t="s">
        <v>934</v>
      </c>
      <c r="C321" s="1288" t="s">
        <v>1</v>
      </c>
      <c r="D321" s="1287"/>
      <c r="E321" s="1287"/>
      <c r="F321" s="1287">
        <v>1188.32</v>
      </c>
      <c r="G321" s="1286"/>
      <c r="H321" s="34" t="s">
        <v>925</v>
      </c>
    </row>
    <row r="322" spans="1:8" ht="33">
      <c r="A322" s="1289"/>
      <c r="B322" s="1289"/>
      <c r="C322" s="1288"/>
      <c r="D322" s="1287"/>
      <c r="E322" s="1287"/>
      <c r="F322" s="1287"/>
      <c r="G322" s="1286"/>
      <c r="H322" s="34" t="s">
        <v>925</v>
      </c>
    </row>
    <row r="323" spans="1:8" ht="33">
      <c r="A323" s="1289" t="s">
        <v>1110</v>
      </c>
      <c r="B323" s="1289" t="s">
        <v>3971</v>
      </c>
      <c r="C323" s="1288" t="s">
        <v>1</v>
      </c>
      <c r="D323" s="1287">
        <v>100</v>
      </c>
      <c r="E323" s="1287">
        <v>1064.9000000000001</v>
      </c>
      <c r="F323" s="1287"/>
      <c r="G323" s="1286" t="s">
        <v>4016</v>
      </c>
      <c r="H323" s="34" t="s">
        <v>925</v>
      </c>
    </row>
    <row r="324" spans="1:8" ht="33">
      <c r="A324" s="1289">
        <v>1</v>
      </c>
      <c r="B324" s="1289" t="s">
        <v>4017</v>
      </c>
      <c r="C324" s="1288" t="s">
        <v>927</v>
      </c>
      <c r="D324" s="1287">
        <v>60</v>
      </c>
      <c r="E324" s="1287">
        <v>993.54</v>
      </c>
      <c r="F324" s="1287">
        <v>59612.4</v>
      </c>
      <c r="G324" s="1286" t="s">
        <v>4018</v>
      </c>
      <c r="H324" s="34" t="s">
        <v>925</v>
      </c>
    </row>
    <row r="325" spans="1:8" ht="33">
      <c r="A325" s="1289">
        <v>2</v>
      </c>
      <c r="B325" s="1289" t="s">
        <v>1086</v>
      </c>
      <c r="C325" s="1288" t="s">
        <v>927</v>
      </c>
      <c r="D325" s="1287">
        <v>60</v>
      </c>
      <c r="E325" s="1287">
        <v>398.41</v>
      </c>
      <c r="F325" s="1287">
        <v>23904.6</v>
      </c>
      <c r="G325" s="1286" t="s">
        <v>1087</v>
      </c>
      <c r="H325" s="34" t="s">
        <v>925</v>
      </c>
    </row>
    <row r="326" spans="1:8" ht="33">
      <c r="A326" s="1289">
        <v>3</v>
      </c>
      <c r="B326" s="1289" t="s">
        <v>1080</v>
      </c>
      <c r="C326" s="1288" t="s">
        <v>1</v>
      </c>
      <c r="D326" s="1287">
        <v>100</v>
      </c>
      <c r="E326" s="1287">
        <v>198.71</v>
      </c>
      <c r="F326" s="1287">
        <v>19871</v>
      </c>
      <c r="G326" s="1286" t="s">
        <v>1081</v>
      </c>
      <c r="H326" s="34" t="s">
        <v>925</v>
      </c>
    </row>
    <row r="327" spans="1:8" ht="33">
      <c r="A327" s="1289">
        <v>4</v>
      </c>
      <c r="B327" s="1289" t="s">
        <v>931</v>
      </c>
      <c r="C327" s="1288" t="s">
        <v>14</v>
      </c>
      <c r="D327" s="1287">
        <v>1</v>
      </c>
      <c r="E327" s="1287">
        <v>3101.64</v>
      </c>
      <c r="F327" s="1287">
        <v>3101.64</v>
      </c>
      <c r="G327" s="1286" t="s">
        <v>932</v>
      </c>
      <c r="H327" s="34" t="s">
        <v>925</v>
      </c>
    </row>
    <row r="328" spans="1:8" ht="33">
      <c r="A328" s="1289"/>
      <c r="B328" s="1289" t="s">
        <v>933</v>
      </c>
      <c r="C328" s="1288" t="s">
        <v>1</v>
      </c>
      <c r="D328" s="1287">
        <v>100</v>
      </c>
      <c r="E328" s="1287"/>
      <c r="F328" s="1287">
        <v>106489.64</v>
      </c>
      <c r="G328" s="1286"/>
      <c r="H328" s="34" t="s">
        <v>925</v>
      </c>
    </row>
    <row r="329" spans="1:8" ht="16.5">
      <c r="A329" s="1289"/>
      <c r="B329" s="1289" t="s">
        <v>934</v>
      </c>
      <c r="C329" s="1288" t="s">
        <v>1</v>
      </c>
      <c r="D329" s="1287"/>
      <c r="E329" s="1287"/>
      <c r="F329" s="1287">
        <v>1064.9000000000001</v>
      </c>
      <c r="G329" s="1286"/>
    </row>
    <row r="330" spans="1:8" ht="33">
      <c r="A330" s="1289"/>
      <c r="B330" s="1289"/>
      <c r="C330" s="1288"/>
      <c r="D330" s="1287"/>
      <c r="E330" s="1287"/>
      <c r="F330" s="1287"/>
      <c r="G330" s="1286"/>
      <c r="H330" s="34" t="s">
        <v>925</v>
      </c>
    </row>
    <row r="331" spans="1:8" ht="33">
      <c r="A331" s="1289" t="s">
        <v>1117</v>
      </c>
      <c r="B331" s="1289" t="s">
        <v>26</v>
      </c>
      <c r="C331" s="1288" t="s">
        <v>1</v>
      </c>
      <c r="D331" s="1287">
        <v>100</v>
      </c>
      <c r="E331" s="1287">
        <v>711.86</v>
      </c>
      <c r="F331" s="1287"/>
      <c r="G331" s="1286" t="s">
        <v>1089</v>
      </c>
      <c r="H331" s="34" t="s">
        <v>925</v>
      </c>
    </row>
    <row r="332" spans="1:8" ht="33">
      <c r="A332" s="1289">
        <v>1</v>
      </c>
      <c r="B332" s="1289" t="s">
        <v>997</v>
      </c>
      <c r="C332" s="1288" t="s">
        <v>927</v>
      </c>
      <c r="D332" s="1287">
        <v>31.75</v>
      </c>
      <c r="E332" s="1287">
        <v>1152.5</v>
      </c>
      <c r="F332" s="1287">
        <v>36591.879999999997</v>
      </c>
      <c r="G332" s="1286" t="s">
        <v>998</v>
      </c>
      <c r="H332" s="34" t="s">
        <v>925</v>
      </c>
    </row>
    <row r="333" spans="1:8" ht="33">
      <c r="A333" s="1289">
        <v>2</v>
      </c>
      <c r="B333" s="1289" t="s">
        <v>1086</v>
      </c>
      <c r="C333" s="1288" t="s">
        <v>927</v>
      </c>
      <c r="D333" s="1287">
        <v>31.75</v>
      </c>
      <c r="E333" s="1287">
        <v>398.41</v>
      </c>
      <c r="F333" s="1287">
        <v>12649.52</v>
      </c>
      <c r="G333" s="1286" t="s">
        <v>1087</v>
      </c>
      <c r="H333" s="34" t="s">
        <v>925</v>
      </c>
    </row>
    <row r="334" spans="1:8" ht="33">
      <c r="A334" s="1289">
        <v>3</v>
      </c>
      <c r="B334" s="1289" t="s">
        <v>1080</v>
      </c>
      <c r="C334" s="1288" t="s">
        <v>1</v>
      </c>
      <c r="D334" s="1287">
        <v>100</v>
      </c>
      <c r="E334" s="1287">
        <v>198.71</v>
      </c>
      <c r="F334" s="1287">
        <v>19871</v>
      </c>
      <c r="G334" s="1286" t="s">
        <v>1081</v>
      </c>
      <c r="H334" s="34" t="s">
        <v>925</v>
      </c>
    </row>
    <row r="335" spans="1:8" ht="33">
      <c r="A335" s="1289">
        <v>4</v>
      </c>
      <c r="B335" s="1289" t="s">
        <v>931</v>
      </c>
      <c r="C335" s="1288" t="s">
        <v>14</v>
      </c>
      <c r="D335" s="1287">
        <v>1</v>
      </c>
      <c r="E335" s="1287">
        <v>2073.37</v>
      </c>
      <c r="F335" s="1287">
        <v>2073.37</v>
      </c>
      <c r="G335" s="1286" t="s">
        <v>932</v>
      </c>
      <c r="H335" s="34" t="s">
        <v>925</v>
      </c>
    </row>
    <row r="336" spans="1:8" ht="33">
      <c r="A336" s="1289"/>
      <c r="B336" s="1289" t="s">
        <v>933</v>
      </c>
      <c r="C336" s="1288" t="s">
        <v>1</v>
      </c>
      <c r="D336" s="1287">
        <v>100</v>
      </c>
      <c r="E336" s="1287"/>
      <c r="F336" s="1287">
        <v>71185.76999999999</v>
      </c>
      <c r="G336" s="1286"/>
      <c r="H336" s="34" t="s">
        <v>925</v>
      </c>
    </row>
    <row r="337" spans="1:8" ht="33">
      <c r="A337" s="1289"/>
      <c r="B337" s="1289" t="s">
        <v>934</v>
      </c>
      <c r="C337" s="1288" t="s">
        <v>1</v>
      </c>
      <c r="D337" s="1287"/>
      <c r="E337" s="1287"/>
      <c r="F337" s="1287">
        <v>711.86</v>
      </c>
      <c r="G337" s="1286"/>
      <c r="H337" s="34" t="s">
        <v>925</v>
      </c>
    </row>
    <row r="338" spans="1:8" ht="33">
      <c r="A338" s="1289"/>
      <c r="B338" s="1289"/>
      <c r="C338" s="1288"/>
      <c r="D338" s="1287"/>
      <c r="E338" s="1287"/>
      <c r="F338" s="1287"/>
      <c r="G338" s="1286"/>
      <c r="H338" s="34" t="s">
        <v>925</v>
      </c>
    </row>
    <row r="339" spans="1:8" ht="33">
      <c r="A339" s="1289" t="s">
        <v>1129</v>
      </c>
      <c r="B339" s="1289" t="s">
        <v>1091</v>
      </c>
      <c r="C339" s="1288" t="s">
        <v>1</v>
      </c>
      <c r="D339" s="1287">
        <v>100</v>
      </c>
      <c r="E339" s="1287">
        <v>472.88</v>
      </c>
      <c r="F339" s="1287"/>
      <c r="G339" s="1286" t="s">
        <v>1092</v>
      </c>
      <c r="H339" s="34" t="s">
        <v>925</v>
      </c>
    </row>
    <row r="340" spans="1:8" ht="33">
      <c r="A340" s="1289">
        <v>1</v>
      </c>
      <c r="B340" s="1289" t="s">
        <v>1093</v>
      </c>
      <c r="C340" s="1288" t="s">
        <v>927</v>
      </c>
      <c r="D340" s="1287">
        <v>13.23</v>
      </c>
      <c r="E340" s="1287">
        <v>1569.79</v>
      </c>
      <c r="F340" s="1287">
        <v>20768.32</v>
      </c>
      <c r="G340" s="1286" t="s">
        <v>1094</v>
      </c>
      <c r="H340" s="34" t="s">
        <v>925</v>
      </c>
    </row>
    <row r="341" spans="1:8" ht="33">
      <c r="A341" s="1289">
        <v>2</v>
      </c>
      <c r="B341" s="1289" t="s">
        <v>1086</v>
      </c>
      <c r="C341" s="1288" t="s">
        <v>927</v>
      </c>
      <c r="D341" s="1287">
        <v>13.23</v>
      </c>
      <c r="E341" s="1287">
        <v>398.41</v>
      </c>
      <c r="F341" s="1287">
        <v>5270.96</v>
      </c>
      <c r="G341" s="1286" t="s">
        <v>1087</v>
      </c>
      <c r="H341" s="34" t="s">
        <v>925</v>
      </c>
    </row>
    <row r="342" spans="1:8" ht="28.5">
      <c r="A342" s="1289">
        <v>3</v>
      </c>
      <c r="B342" s="1289" t="s">
        <v>1080</v>
      </c>
      <c r="C342" s="1288" t="s">
        <v>1</v>
      </c>
      <c r="D342" s="1287">
        <v>100</v>
      </c>
      <c r="E342" s="1287">
        <v>198.71</v>
      </c>
      <c r="F342" s="1287">
        <v>19871</v>
      </c>
      <c r="G342" s="1286" t="s">
        <v>1081</v>
      </c>
    </row>
    <row r="343" spans="1:8" ht="33">
      <c r="A343" s="1289">
        <v>4</v>
      </c>
      <c r="B343" s="1289" t="s">
        <v>931</v>
      </c>
      <c r="C343" s="1288" t="s">
        <v>14</v>
      </c>
      <c r="D343" s="1287">
        <v>1</v>
      </c>
      <c r="E343" s="1287">
        <v>1377.31</v>
      </c>
      <c r="F343" s="1287">
        <v>1377.31</v>
      </c>
      <c r="G343" s="1286" t="s">
        <v>932</v>
      </c>
      <c r="H343" s="34" t="s">
        <v>925</v>
      </c>
    </row>
    <row r="344" spans="1:8" ht="33">
      <c r="A344" s="1289"/>
      <c r="B344" s="1289" t="s">
        <v>933</v>
      </c>
      <c r="C344" s="1288" t="s">
        <v>1</v>
      </c>
      <c r="D344" s="1287">
        <v>100</v>
      </c>
      <c r="E344" s="1287"/>
      <c r="F344" s="1287">
        <v>47287.59</v>
      </c>
      <c r="G344" s="1286"/>
      <c r="H344" s="34" t="s">
        <v>925</v>
      </c>
    </row>
    <row r="345" spans="1:8" ht="33">
      <c r="A345" s="1289"/>
      <c r="B345" s="1289" t="s">
        <v>934</v>
      </c>
      <c r="C345" s="1288" t="s">
        <v>1</v>
      </c>
      <c r="D345" s="1287"/>
      <c r="E345" s="1287"/>
      <c r="F345" s="1287">
        <v>472.88</v>
      </c>
      <c r="G345" s="1286"/>
      <c r="H345" s="34" t="s">
        <v>925</v>
      </c>
    </row>
    <row r="346" spans="1:8" ht="33">
      <c r="A346" s="1289"/>
      <c r="B346" s="1289"/>
      <c r="C346" s="1288"/>
      <c r="D346" s="1287"/>
      <c r="E346" s="1287"/>
      <c r="F346" s="1287"/>
      <c r="G346" s="1286"/>
      <c r="H346" s="34" t="s">
        <v>925</v>
      </c>
    </row>
    <row r="347" spans="1:8" ht="33">
      <c r="A347" s="1289" t="s">
        <v>1134</v>
      </c>
      <c r="B347" s="1289" t="s">
        <v>1096</v>
      </c>
      <c r="C347" s="1288" t="s">
        <v>1</v>
      </c>
      <c r="D347" s="1287">
        <v>100</v>
      </c>
      <c r="E347" s="1287">
        <v>507.19</v>
      </c>
      <c r="F347" s="1287"/>
      <c r="G347" s="1286" t="s">
        <v>1097</v>
      </c>
      <c r="H347" s="34" t="s">
        <v>925</v>
      </c>
    </row>
    <row r="348" spans="1:8" ht="33">
      <c r="A348" s="1289">
        <v>1</v>
      </c>
      <c r="B348" s="1289" t="s">
        <v>997</v>
      </c>
      <c r="C348" s="1288" t="s">
        <v>927</v>
      </c>
      <c r="D348" s="1287">
        <v>31.75</v>
      </c>
      <c r="E348" s="1287">
        <v>1152.5</v>
      </c>
      <c r="F348" s="1287">
        <v>36591.879999999997</v>
      </c>
      <c r="G348" s="1286" t="s">
        <v>998</v>
      </c>
      <c r="H348" s="34" t="s">
        <v>925</v>
      </c>
    </row>
    <row r="349" spans="1:8" ht="33">
      <c r="A349" s="1289">
        <v>2</v>
      </c>
      <c r="B349" s="1289" t="s">
        <v>1086</v>
      </c>
      <c r="C349" s="1288" t="s">
        <v>927</v>
      </c>
      <c r="D349" s="1287">
        <v>31.75</v>
      </c>
      <c r="E349" s="1287">
        <v>398.41</v>
      </c>
      <c r="F349" s="1287">
        <v>12649.52</v>
      </c>
      <c r="G349" s="1286" t="s">
        <v>1087</v>
      </c>
      <c r="H349" s="34" t="s">
        <v>925</v>
      </c>
    </row>
    <row r="350" spans="1:8" ht="33">
      <c r="A350" s="1289">
        <v>3</v>
      </c>
      <c r="B350" s="1289" t="s">
        <v>931</v>
      </c>
      <c r="C350" s="1288" t="s">
        <v>14</v>
      </c>
      <c r="D350" s="1287">
        <v>1</v>
      </c>
      <c r="E350" s="1287">
        <v>1477.24</v>
      </c>
      <c r="F350" s="1287">
        <v>1477.24</v>
      </c>
      <c r="G350" s="1286" t="s">
        <v>932</v>
      </c>
      <c r="H350" s="34" t="s">
        <v>925</v>
      </c>
    </row>
    <row r="351" spans="1:8" ht="33">
      <c r="A351" s="1289"/>
      <c r="B351" s="1289" t="s">
        <v>933</v>
      </c>
      <c r="C351" s="1288" t="s">
        <v>1</v>
      </c>
      <c r="D351" s="1287">
        <v>100</v>
      </c>
      <c r="E351" s="1287"/>
      <c r="F351" s="1287">
        <v>50718.639999999992</v>
      </c>
      <c r="G351" s="1286"/>
      <c r="H351" s="34" t="s">
        <v>925</v>
      </c>
    </row>
    <row r="352" spans="1:8" ht="33">
      <c r="A352" s="1289"/>
      <c r="B352" s="1289" t="s">
        <v>934</v>
      </c>
      <c r="C352" s="1288" t="s">
        <v>1</v>
      </c>
      <c r="D352" s="1287"/>
      <c r="E352" s="1287"/>
      <c r="F352" s="1287">
        <v>507.19</v>
      </c>
      <c r="G352" s="1286"/>
      <c r="H352" s="34" t="s">
        <v>925</v>
      </c>
    </row>
    <row r="353" spans="1:8" ht="33">
      <c r="A353" s="1289"/>
      <c r="B353" s="1289"/>
      <c r="C353" s="1288"/>
      <c r="D353" s="1287"/>
      <c r="E353" s="1287"/>
      <c r="F353" s="1287"/>
      <c r="G353" s="1286"/>
      <c r="H353" s="34" t="s">
        <v>925</v>
      </c>
    </row>
    <row r="354" spans="1:8" ht="33">
      <c r="A354" s="1289" t="s">
        <v>1139</v>
      </c>
      <c r="B354" s="1289" t="s">
        <v>1099</v>
      </c>
      <c r="C354" s="1288" t="s">
        <v>0</v>
      </c>
      <c r="D354" s="1287">
        <v>100</v>
      </c>
      <c r="E354" s="1287">
        <v>947.22</v>
      </c>
      <c r="F354" s="1287"/>
      <c r="G354" s="1286" t="s">
        <v>1100</v>
      </c>
      <c r="H354" s="34" t="s">
        <v>925</v>
      </c>
    </row>
    <row r="355" spans="1:8" ht="33">
      <c r="A355" s="1289">
        <v>1</v>
      </c>
      <c r="B355" s="1289" t="s">
        <v>997</v>
      </c>
      <c r="C355" s="1288" t="s">
        <v>927</v>
      </c>
      <c r="D355" s="1287">
        <v>31.75</v>
      </c>
      <c r="E355" s="1287">
        <v>1152.5</v>
      </c>
      <c r="F355" s="1287">
        <v>36591.879999999997</v>
      </c>
      <c r="G355" s="1286" t="s">
        <v>998</v>
      </c>
      <c r="H355" s="34" t="s">
        <v>925</v>
      </c>
    </row>
    <row r="356" spans="1:8" ht="33">
      <c r="A356" s="1289">
        <v>2</v>
      </c>
      <c r="B356" s="1289" t="s">
        <v>1086</v>
      </c>
      <c r="C356" s="1288" t="s">
        <v>927</v>
      </c>
      <c r="D356" s="1287">
        <v>31.75</v>
      </c>
      <c r="E356" s="1287">
        <v>398.41</v>
      </c>
      <c r="F356" s="1287">
        <v>12649.52</v>
      </c>
      <c r="G356" s="1286" t="s">
        <v>1087</v>
      </c>
      <c r="H356" s="34" t="s">
        <v>925</v>
      </c>
    </row>
    <row r="357" spans="1:8" ht="33">
      <c r="A357" s="1289">
        <v>3</v>
      </c>
      <c r="B357" s="1289" t="s">
        <v>1101</v>
      </c>
      <c r="C357" s="1288" t="s">
        <v>1</v>
      </c>
      <c r="D357" s="1287">
        <v>100</v>
      </c>
      <c r="E357" s="1287">
        <v>427.22</v>
      </c>
      <c r="F357" s="1287">
        <v>42722</v>
      </c>
      <c r="G357" s="1286" t="s">
        <v>1102</v>
      </c>
      <c r="H357" s="34" t="s">
        <v>925</v>
      </c>
    </row>
    <row r="358" spans="1:8" ht="28.5">
      <c r="A358" s="1289">
        <v>4</v>
      </c>
      <c r="B358" s="1289" t="s">
        <v>931</v>
      </c>
      <c r="C358" s="1288" t="s">
        <v>14</v>
      </c>
      <c r="D358" s="1287">
        <v>1</v>
      </c>
      <c r="E358" s="1287">
        <v>2758.9</v>
      </c>
      <c r="F358" s="1287">
        <v>2758.9</v>
      </c>
      <c r="G358" s="1286" t="s">
        <v>932</v>
      </c>
    </row>
    <row r="359" spans="1:8" ht="33">
      <c r="A359" s="1289"/>
      <c r="B359" s="1289" t="s">
        <v>933</v>
      </c>
      <c r="C359" s="1288" t="s">
        <v>0</v>
      </c>
      <c r="D359" s="1287">
        <v>100</v>
      </c>
      <c r="E359" s="1287"/>
      <c r="F359" s="1287">
        <v>94722.299999999988</v>
      </c>
      <c r="G359" s="1286"/>
      <c r="H359" s="34" t="s">
        <v>925</v>
      </c>
    </row>
    <row r="360" spans="1:8" ht="33">
      <c r="A360" s="1289"/>
      <c r="B360" s="1289" t="s">
        <v>934</v>
      </c>
      <c r="C360" s="1288" t="s">
        <v>0</v>
      </c>
      <c r="D360" s="1287"/>
      <c r="E360" s="1287"/>
      <c r="F360" s="1287">
        <v>947.22</v>
      </c>
      <c r="G360" s="1286"/>
      <c r="H360" s="34" t="s">
        <v>925</v>
      </c>
    </row>
    <row r="361" spans="1:8" ht="33">
      <c r="A361" s="1289"/>
      <c r="B361" s="1289"/>
      <c r="C361" s="1288"/>
      <c r="D361" s="1287"/>
      <c r="E361" s="1287"/>
      <c r="F361" s="1287"/>
      <c r="G361" s="1286"/>
      <c r="H361" s="34" t="s">
        <v>925</v>
      </c>
    </row>
    <row r="362" spans="1:8" ht="33">
      <c r="A362" s="1289" t="s">
        <v>1148</v>
      </c>
      <c r="B362" s="1289" t="s">
        <v>1104</v>
      </c>
      <c r="C362" s="1288" t="s">
        <v>0</v>
      </c>
      <c r="D362" s="1287">
        <v>1</v>
      </c>
      <c r="E362" s="1287">
        <v>1479.26</v>
      </c>
      <c r="F362" s="1287"/>
      <c r="G362" s="1286" t="s">
        <v>1105</v>
      </c>
      <c r="H362" s="34" t="s">
        <v>925</v>
      </c>
    </row>
    <row r="363" spans="1:8" ht="33">
      <c r="A363" s="1289">
        <v>1</v>
      </c>
      <c r="B363" s="1289" t="s">
        <v>1106</v>
      </c>
      <c r="C363" s="1288" t="s">
        <v>927</v>
      </c>
      <c r="D363" s="1287">
        <v>0.25</v>
      </c>
      <c r="E363" s="1287">
        <v>2285.14</v>
      </c>
      <c r="F363" s="1287">
        <v>571.29</v>
      </c>
      <c r="G363" s="1286" t="s">
        <v>1107</v>
      </c>
      <c r="H363" s="34" t="s">
        <v>925</v>
      </c>
    </row>
    <row r="364" spans="1:8" ht="33">
      <c r="A364" s="1289">
        <v>2</v>
      </c>
      <c r="B364" s="1289" t="s">
        <v>999</v>
      </c>
      <c r="C364" s="1288" t="s">
        <v>927</v>
      </c>
      <c r="D364" s="1287">
        <v>0.25</v>
      </c>
      <c r="E364" s="1287">
        <v>398.41</v>
      </c>
      <c r="F364" s="1287">
        <v>99.6</v>
      </c>
      <c r="G364" s="1286" t="s">
        <v>4877</v>
      </c>
      <c r="H364" s="34" t="s">
        <v>925</v>
      </c>
    </row>
    <row r="365" spans="1:8" ht="28.5">
      <c r="A365" s="1289">
        <v>3</v>
      </c>
      <c r="B365" s="1289" t="s">
        <v>4871</v>
      </c>
      <c r="C365" s="1288" t="s">
        <v>927</v>
      </c>
      <c r="D365" s="1287">
        <v>0.25</v>
      </c>
      <c r="E365" s="1287">
        <v>279.18</v>
      </c>
      <c r="F365" s="1287">
        <v>69.8</v>
      </c>
      <c r="G365" s="1286" t="s">
        <v>4876</v>
      </c>
    </row>
    <row r="366" spans="1:8" ht="33">
      <c r="A366" s="1289">
        <v>4</v>
      </c>
      <c r="B366" s="1289" t="s">
        <v>1108</v>
      </c>
      <c r="C366" s="1288" t="s">
        <v>0</v>
      </c>
      <c r="D366" s="1287">
        <v>1</v>
      </c>
      <c r="E366" s="1287">
        <v>695.48</v>
      </c>
      <c r="F366" s="1287">
        <v>695.48</v>
      </c>
      <c r="G366" s="1286" t="s">
        <v>1109</v>
      </c>
      <c r="H366" s="34" t="s">
        <v>925</v>
      </c>
    </row>
    <row r="367" spans="1:8" ht="33">
      <c r="A367" s="1289">
        <v>5</v>
      </c>
      <c r="B367" s="1289" t="s">
        <v>931</v>
      </c>
      <c r="C367" s="1288" t="s">
        <v>14</v>
      </c>
      <c r="D367" s="1287">
        <v>1</v>
      </c>
      <c r="E367" s="1287">
        <v>43.09</v>
      </c>
      <c r="F367" s="1287">
        <v>43.09</v>
      </c>
      <c r="G367" s="1286" t="s">
        <v>932</v>
      </c>
      <c r="H367" s="34" t="s">
        <v>925</v>
      </c>
    </row>
    <row r="368" spans="1:8" ht="33">
      <c r="A368" s="1289"/>
      <c r="B368" s="1289" t="s">
        <v>933</v>
      </c>
      <c r="C368" s="1288" t="s">
        <v>0</v>
      </c>
      <c r="D368" s="1287">
        <v>1</v>
      </c>
      <c r="E368" s="1287"/>
      <c r="F368" s="1287">
        <v>1479.26</v>
      </c>
      <c r="G368" s="1286"/>
      <c r="H368" s="34" t="s">
        <v>925</v>
      </c>
    </row>
    <row r="369" spans="1:8" ht="33">
      <c r="A369" s="1289"/>
      <c r="B369" s="1289" t="s">
        <v>934</v>
      </c>
      <c r="C369" s="1288" t="s">
        <v>0</v>
      </c>
      <c r="D369" s="1287"/>
      <c r="E369" s="1287"/>
      <c r="F369" s="1287">
        <v>1479.26</v>
      </c>
      <c r="G369" s="1286"/>
      <c r="H369" s="34" t="s">
        <v>925</v>
      </c>
    </row>
    <row r="370" spans="1:8" ht="33">
      <c r="A370" s="1289"/>
      <c r="B370" s="1289"/>
      <c r="C370" s="1288"/>
      <c r="D370" s="1287"/>
      <c r="E370" s="1287"/>
      <c r="F370" s="1287"/>
      <c r="G370" s="1286"/>
      <c r="H370" s="34" t="s">
        <v>925</v>
      </c>
    </row>
    <row r="371" spans="1:8" ht="33">
      <c r="A371" s="1289" t="s">
        <v>1153</v>
      </c>
      <c r="B371" s="1289" t="s">
        <v>1111</v>
      </c>
      <c r="C371" s="1288" t="s">
        <v>3</v>
      </c>
      <c r="D371" s="1287">
        <v>1000</v>
      </c>
      <c r="E371" s="1287">
        <v>11.87</v>
      </c>
      <c r="F371" s="1287"/>
      <c r="G371" s="1286" t="s">
        <v>1112</v>
      </c>
      <c r="H371" s="34" t="s">
        <v>925</v>
      </c>
    </row>
    <row r="372" spans="1:8" ht="28.5">
      <c r="A372" s="1289">
        <v>1</v>
      </c>
      <c r="B372" s="1289" t="s">
        <v>1050</v>
      </c>
      <c r="C372" s="1288" t="s">
        <v>927</v>
      </c>
      <c r="D372" s="1287">
        <v>2.5</v>
      </c>
      <c r="E372" s="1287">
        <v>1390.95</v>
      </c>
      <c r="F372" s="1287">
        <v>3477.38</v>
      </c>
      <c r="G372" s="1286" t="s">
        <v>1051</v>
      </c>
    </row>
    <row r="373" spans="1:8" ht="33">
      <c r="A373" s="1289">
        <v>2</v>
      </c>
      <c r="B373" s="1289" t="s">
        <v>1113</v>
      </c>
      <c r="C373" s="1288" t="s">
        <v>927</v>
      </c>
      <c r="D373" s="1287">
        <v>1.88</v>
      </c>
      <c r="E373" s="1287">
        <v>1162.44</v>
      </c>
      <c r="F373" s="1287">
        <v>2185.39</v>
      </c>
      <c r="G373" s="1286" t="s">
        <v>1114</v>
      </c>
      <c r="H373" s="34" t="s">
        <v>925</v>
      </c>
    </row>
    <row r="374" spans="1:8" ht="33">
      <c r="A374" s="1289">
        <v>3</v>
      </c>
      <c r="B374" s="1289" t="s">
        <v>1056</v>
      </c>
      <c r="C374" s="1288" t="s">
        <v>927</v>
      </c>
      <c r="D374" s="1287">
        <v>2.5</v>
      </c>
      <c r="E374" s="1287">
        <v>767.01</v>
      </c>
      <c r="F374" s="1287">
        <v>1917.53</v>
      </c>
      <c r="G374" s="1286" t="s">
        <v>1057</v>
      </c>
      <c r="H374" s="34" t="s">
        <v>925</v>
      </c>
    </row>
    <row r="375" spans="1:8" ht="33">
      <c r="A375" s="1289">
        <v>4</v>
      </c>
      <c r="B375" s="1289" t="s">
        <v>1115</v>
      </c>
      <c r="C375" s="1288" t="s">
        <v>14</v>
      </c>
      <c r="D375" s="1287">
        <v>1</v>
      </c>
      <c r="E375" s="1287">
        <v>85.17</v>
      </c>
      <c r="F375" s="1287">
        <v>85.17</v>
      </c>
      <c r="G375" s="1286" t="s">
        <v>1116</v>
      </c>
      <c r="H375" s="34" t="s">
        <v>925</v>
      </c>
    </row>
    <row r="376" spans="1:8" ht="42.75">
      <c r="A376" s="1289">
        <v>5</v>
      </c>
      <c r="B376" s="1289" t="s">
        <v>4883</v>
      </c>
      <c r="C376" s="1288" t="s">
        <v>927</v>
      </c>
      <c r="D376" s="1287">
        <v>2.5</v>
      </c>
      <c r="E376" s="1287">
        <v>398.41</v>
      </c>
      <c r="F376" s="1287">
        <v>996.03</v>
      </c>
      <c r="G376" s="1286" t="s">
        <v>4884</v>
      </c>
      <c r="H376" s="34" t="s">
        <v>925</v>
      </c>
    </row>
    <row r="377" spans="1:8" ht="42.75">
      <c r="A377" s="1289">
        <v>6</v>
      </c>
      <c r="B377" s="1289" t="s">
        <v>4885</v>
      </c>
      <c r="C377" s="1288" t="s">
        <v>927</v>
      </c>
      <c r="D377" s="1287">
        <v>1.88</v>
      </c>
      <c r="E377" s="1287">
        <v>398.41</v>
      </c>
      <c r="F377" s="1287">
        <v>749.01</v>
      </c>
      <c r="G377" s="1286" t="s">
        <v>4886</v>
      </c>
      <c r="H377" s="34" t="s">
        <v>925</v>
      </c>
    </row>
    <row r="378" spans="1:8" ht="33">
      <c r="A378" s="1289">
        <v>7</v>
      </c>
      <c r="B378" s="1289" t="s">
        <v>1060</v>
      </c>
      <c r="C378" s="1288" t="s">
        <v>927</v>
      </c>
      <c r="D378" s="1287">
        <v>2.5</v>
      </c>
      <c r="E378" s="1287">
        <v>398.41</v>
      </c>
      <c r="F378" s="1287">
        <v>996.03</v>
      </c>
      <c r="G378" s="1286" t="s">
        <v>1061</v>
      </c>
      <c r="H378" s="34" t="s">
        <v>925</v>
      </c>
    </row>
    <row r="379" spans="1:8" ht="33">
      <c r="A379" s="1289">
        <v>8</v>
      </c>
      <c r="B379" s="1289" t="s">
        <v>4871</v>
      </c>
      <c r="C379" s="1288" t="s">
        <v>927</v>
      </c>
      <c r="D379" s="1287">
        <v>4</v>
      </c>
      <c r="E379" s="1287">
        <v>279.18</v>
      </c>
      <c r="F379" s="1287">
        <v>1116.72</v>
      </c>
      <c r="G379" s="1286" t="s">
        <v>4876</v>
      </c>
      <c r="H379" s="34" t="s">
        <v>925</v>
      </c>
    </row>
    <row r="380" spans="1:8" ht="33">
      <c r="A380" s="1289">
        <v>9</v>
      </c>
      <c r="B380" s="1289" t="s">
        <v>931</v>
      </c>
      <c r="C380" s="1288" t="s">
        <v>14</v>
      </c>
      <c r="D380" s="1287">
        <v>1</v>
      </c>
      <c r="E380" s="1287">
        <v>345.7</v>
      </c>
      <c r="F380" s="1287">
        <v>345.7</v>
      </c>
      <c r="G380" s="1286" t="s">
        <v>932</v>
      </c>
      <c r="H380" s="34" t="s">
        <v>925</v>
      </c>
    </row>
    <row r="381" spans="1:8" ht="33">
      <c r="A381" s="1289"/>
      <c r="B381" s="1289" t="s">
        <v>933</v>
      </c>
      <c r="C381" s="1288" t="s">
        <v>3</v>
      </c>
      <c r="D381" s="1287">
        <v>1000</v>
      </c>
      <c r="E381" s="1287"/>
      <c r="F381" s="1287">
        <v>11868.960000000001</v>
      </c>
      <c r="G381" s="1286"/>
      <c r="H381" s="34" t="s">
        <v>925</v>
      </c>
    </row>
    <row r="382" spans="1:8" ht="16.5">
      <c r="A382" s="1289"/>
      <c r="B382" s="1289" t="s">
        <v>934</v>
      </c>
      <c r="C382" s="1288" t="s">
        <v>3</v>
      </c>
      <c r="D382" s="1287"/>
      <c r="E382" s="1287"/>
      <c r="F382" s="1287">
        <v>11.87</v>
      </c>
      <c r="G382" s="1286"/>
    </row>
    <row r="383" spans="1:8" ht="33">
      <c r="A383" s="1289"/>
      <c r="B383" s="1289"/>
      <c r="C383" s="1288"/>
      <c r="D383" s="1287"/>
      <c r="E383" s="1287"/>
      <c r="F383" s="1287"/>
      <c r="G383" s="1286"/>
      <c r="H383" s="34" t="s">
        <v>925</v>
      </c>
    </row>
    <row r="384" spans="1:8" ht="33">
      <c r="A384" s="1289" t="s">
        <v>1161</v>
      </c>
      <c r="B384" s="1289" t="s">
        <v>1118</v>
      </c>
      <c r="C384" s="1288" t="s">
        <v>15</v>
      </c>
      <c r="D384" s="1287">
        <v>100</v>
      </c>
      <c r="E384" s="1287">
        <v>1290.1099999999999</v>
      </c>
      <c r="F384" s="1287"/>
      <c r="G384" s="1286" t="s">
        <v>1119</v>
      </c>
      <c r="H384" s="34" t="s">
        <v>925</v>
      </c>
    </row>
    <row r="385" spans="1:8" ht="33">
      <c r="A385" s="1289">
        <v>1</v>
      </c>
      <c r="B385" s="1289" t="s">
        <v>1120</v>
      </c>
      <c r="C385" s="1288" t="s">
        <v>1121</v>
      </c>
      <c r="D385" s="1287">
        <v>135</v>
      </c>
      <c r="E385" s="1287">
        <v>820.66</v>
      </c>
      <c r="F385" s="1287">
        <v>110789.1</v>
      </c>
      <c r="G385" s="1286" t="s">
        <v>1122</v>
      </c>
      <c r="H385" s="34" t="s">
        <v>925</v>
      </c>
    </row>
    <row r="386" spans="1:8" ht="33">
      <c r="A386" s="1289">
        <v>2</v>
      </c>
      <c r="B386" s="1289" t="s">
        <v>1123</v>
      </c>
      <c r="C386" s="1288" t="s">
        <v>927</v>
      </c>
      <c r="D386" s="1287">
        <v>1.43</v>
      </c>
      <c r="E386" s="1287">
        <v>1291.5999999999999</v>
      </c>
      <c r="F386" s="1287">
        <v>1846.99</v>
      </c>
      <c r="G386" s="1286" t="s">
        <v>1124</v>
      </c>
      <c r="H386" s="34" t="s">
        <v>925</v>
      </c>
    </row>
    <row r="387" spans="1:8" ht="33">
      <c r="A387" s="1289">
        <v>3</v>
      </c>
      <c r="B387" s="1289" t="s">
        <v>1113</v>
      </c>
      <c r="C387" s="1288" t="s">
        <v>927</v>
      </c>
      <c r="D387" s="1287">
        <v>2.5</v>
      </c>
      <c r="E387" s="1287">
        <v>1162.44</v>
      </c>
      <c r="F387" s="1287">
        <v>2906.1</v>
      </c>
      <c r="G387" s="1286" t="s">
        <v>1114</v>
      </c>
      <c r="H387" s="34" t="s">
        <v>925</v>
      </c>
    </row>
    <row r="388" spans="1:8" ht="33">
      <c r="A388" s="1289">
        <v>4</v>
      </c>
      <c r="B388" s="1289" t="s">
        <v>1125</v>
      </c>
      <c r="C388" s="1288" t="s">
        <v>927</v>
      </c>
      <c r="D388" s="1287">
        <v>2.2999999999999998</v>
      </c>
      <c r="E388" s="1287">
        <v>1291.5999999999999</v>
      </c>
      <c r="F388" s="1287">
        <v>2970.68</v>
      </c>
      <c r="G388" s="1286" t="s">
        <v>1126</v>
      </c>
      <c r="H388" s="34" t="s">
        <v>925</v>
      </c>
    </row>
    <row r="389" spans="1:8" ht="33">
      <c r="A389" s="1289">
        <v>5</v>
      </c>
      <c r="B389" s="1289" t="s">
        <v>1056</v>
      </c>
      <c r="C389" s="1288" t="s">
        <v>927</v>
      </c>
      <c r="D389" s="1287">
        <v>1.2</v>
      </c>
      <c r="E389" s="1287">
        <v>767.01</v>
      </c>
      <c r="F389" s="1287">
        <v>920.41</v>
      </c>
      <c r="G389" s="1286" t="s">
        <v>1057</v>
      </c>
      <c r="H389" s="34" t="s">
        <v>925</v>
      </c>
    </row>
    <row r="390" spans="1:8" ht="33">
      <c r="A390" s="1289">
        <v>6</v>
      </c>
      <c r="B390" s="1289" t="s">
        <v>1115</v>
      </c>
      <c r="C390" s="1288" t="s">
        <v>14</v>
      </c>
      <c r="D390" s="1287">
        <v>1</v>
      </c>
      <c r="E390" s="1287">
        <v>49.79</v>
      </c>
      <c r="F390" s="1287">
        <v>49.79</v>
      </c>
      <c r="G390" s="1286" t="s">
        <v>1116</v>
      </c>
      <c r="H390" s="34" t="s">
        <v>925</v>
      </c>
    </row>
    <row r="391" spans="1:8" ht="33">
      <c r="A391" s="1289">
        <v>7</v>
      </c>
      <c r="B391" s="1289" t="s">
        <v>1127</v>
      </c>
      <c r="C391" s="1288" t="s">
        <v>927</v>
      </c>
      <c r="D391" s="1287">
        <v>2.5</v>
      </c>
      <c r="E391" s="1287">
        <v>454.05</v>
      </c>
      <c r="F391" s="1287">
        <v>1135.1300000000001</v>
      </c>
      <c r="G391" s="1286" t="s">
        <v>1128</v>
      </c>
      <c r="H391" s="34" t="s">
        <v>925</v>
      </c>
    </row>
    <row r="392" spans="1:8" ht="42.75">
      <c r="A392" s="1289">
        <v>8</v>
      </c>
      <c r="B392" s="1289" t="s">
        <v>4889</v>
      </c>
      <c r="C392" s="1288" t="s">
        <v>927</v>
      </c>
      <c r="D392" s="1287">
        <v>2.2999999999999998</v>
      </c>
      <c r="E392" s="1287">
        <v>398.41</v>
      </c>
      <c r="F392" s="1287">
        <v>916.34</v>
      </c>
      <c r="G392" s="1286" t="s">
        <v>4890</v>
      </c>
    </row>
    <row r="393" spans="1:8" ht="42.75">
      <c r="A393" s="1289">
        <v>9</v>
      </c>
      <c r="B393" s="1289" t="s">
        <v>4885</v>
      </c>
      <c r="C393" s="1288" t="s">
        <v>927</v>
      </c>
      <c r="D393" s="1287">
        <v>3.93</v>
      </c>
      <c r="E393" s="1287">
        <v>398.41</v>
      </c>
      <c r="F393" s="1287">
        <v>1565.75</v>
      </c>
      <c r="G393" s="1286" t="s">
        <v>4886</v>
      </c>
      <c r="H393" s="34" t="s">
        <v>925</v>
      </c>
    </row>
    <row r="394" spans="1:8" ht="33">
      <c r="A394" s="1289">
        <v>10</v>
      </c>
      <c r="B394" s="1289" t="s">
        <v>1060</v>
      </c>
      <c r="C394" s="1288" t="s">
        <v>927</v>
      </c>
      <c r="D394" s="1287">
        <v>1.2</v>
      </c>
      <c r="E394" s="1287">
        <v>398.41</v>
      </c>
      <c r="F394" s="1287">
        <v>478.09</v>
      </c>
      <c r="G394" s="1286" t="s">
        <v>1061</v>
      </c>
      <c r="H394" s="34" t="s">
        <v>925</v>
      </c>
    </row>
    <row r="395" spans="1:8" ht="33">
      <c r="A395" s="1289">
        <v>11</v>
      </c>
      <c r="B395" s="1289" t="s">
        <v>4871</v>
      </c>
      <c r="C395" s="1288" t="s">
        <v>927</v>
      </c>
      <c r="D395" s="1287">
        <v>6</v>
      </c>
      <c r="E395" s="1287">
        <v>279.18</v>
      </c>
      <c r="F395" s="1287">
        <v>1675.08</v>
      </c>
      <c r="G395" s="1286" t="s">
        <v>4876</v>
      </c>
      <c r="H395" s="34" t="s">
        <v>925</v>
      </c>
    </row>
    <row r="396" spans="1:8" ht="33">
      <c r="A396" s="1289">
        <v>12</v>
      </c>
      <c r="B396" s="1289" t="s">
        <v>931</v>
      </c>
      <c r="C396" s="1288" t="s">
        <v>14</v>
      </c>
      <c r="D396" s="1287">
        <v>1</v>
      </c>
      <c r="E396" s="1287">
        <v>3757.6</v>
      </c>
      <c r="F396" s="1287">
        <v>3757.6</v>
      </c>
      <c r="G396" s="1286" t="s">
        <v>932</v>
      </c>
      <c r="H396" s="34" t="s">
        <v>925</v>
      </c>
    </row>
    <row r="397" spans="1:8" ht="33">
      <c r="A397" s="1289"/>
      <c r="B397" s="1289" t="s">
        <v>933</v>
      </c>
      <c r="C397" s="1288" t="s">
        <v>15</v>
      </c>
      <c r="D397" s="1287">
        <v>100</v>
      </c>
      <c r="E397" s="1287"/>
      <c r="F397" s="1287">
        <v>129011.06000000001</v>
      </c>
      <c r="G397" s="1286"/>
      <c r="H397" s="34" t="s">
        <v>925</v>
      </c>
    </row>
    <row r="398" spans="1:8" ht="33">
      <c r="A398" s="1289"/>
      <c r="B398" s="1289" t="s">
        <v>934</v>
      </c>
      <c r="C398" s="1288" t="s">
        <v>15</v>
      </c>
      <c r="D398" s="1287"/>
      <c r="E398" s="1287"/>
      <c r="F398" s="1287">
        <v>1290.1099999999999</v>
      </c>
      <c r="G398" s="1286"/>
      <c r="H398" s="34" t="s">
        <v>925</v>
      </c>
    </row>
    <row r="399" spans="1:8" ht="33">
      <c r="A399" s="1289"/>
      <c r="B399" s="1289"/>
      <c r="C399" s="1288"/>
      <c r="D399" s="1287"/>
      <c r="E399" s="1287"/>
      <c r="F399" s="1287"/>
      <c r="G399" s="1286"/>
      <c r="H399" s="34" t="s">
        <v>925</v>
      </c>
    </row>
    <row r="400" spans="1:8" ht="28.5">
      <c r="A400" s="1289" t="s">
        <v>1166</v>
      </c>
      <c r="B400" s="1289" t="s">
        <v>1130</v>
      </c>
      <c r="C400" s="1288" t="s">
        <v>15</v>
      </c>
      <c r="D400" s="1287">
        <v>1</v>
      </c>
      <c r="E400" s="1287">
        <v>1457.75</v>
      </c>
      <c r="F400" s="1287"/>
      <c r="G400" s="1286" t="s">
        <v>1131</v>
      </c>
    </row>
    <row r="401" spans="1:8" ht="33">
      <c r="A401" s="1289">
        <v>1</v>
      </c>
      <c r="B401" s="1289" t="s">
        <v>1132</v>
      </c>
      <c r="C401" s="1288" t="s">
        <v>1121</v>
      </c>
      <c r="D401" s="1287">
        <v>1.25</v>
      </c>
      <c r="E401" s="1287">
        <v>685.54</v>
      </c>
      <c r="F401" s="1287">
        <v>856.93</v>
      </c>
      <c r="G401" s="1286" t="s">
        <v>1133</v>
      </c>
      <c r="H401" s="34" t="s">
        <v>925</v>
      </c>
    </row>
    <row r="402" spans="1:8" ht="33">
      <c r="A402" s="1289">
        <v>2</v>
      </c>
      <c r="B402" s="1289" t="s">
        <v>4871</v>
      </c>
      <c r="C402" s="1288" t="s">
        <v>927</v>
      </c>
      <c r="D402" s="1287">
        <v>2</v>
      </c>
      <c r="E402" s="1287">
        <v>279.18</v>
      </c>
      <c r="F402" s="1287">
        <v>558.36</v>
      </c>
      <c r="G402" s="1286" t="s">
        <v>4876</v>
      </c>
      <c r="H402" s="34" t="s">
        <v>925</v>
      </c>
    </row>
    <row r="403" spans="1:8" ht="33">
      <c r="A403" s="1289">
        <v>3</v>
      </c>
      <c r="B403" s="1289" t="s">
        <v>955</v>
      </c>
      <c r="C403" s="1288" t="s">
        <v>14</v>
      </c>
      <c r="D403" s="1287">
        <v>1</v>
      </c>
      <c r="E403" s="1287">
        <v>42.46</v>
      </c>
      <c r="F403" s="1287">
        <v>42.46</v>
      </c>
      <c r="G403" s="1286" t="s">
        <v>956</v>
      </c>
      <c r="H403" s="34" t="s">
        <v>925</v>
      </c>
    </row>
    <row r="404" spans="1:8" ht="33">
      <c r="A404" s="1289"/>
      <c r="B404" s="1289" t="s">
        <v>933</v>
      </c>
      <c r="C404" s="1288" t="s">
        <v>15</v>
      </c>
      <c r="D404" s="1287">
        <v>1</v>
      </c>
      <c r="E404" s="1287"/>
      <c r="F404" s="1287">
        <v>1457.75</v>
      </c>
      <c r="G404" s="1286"/>
      <c r="H404" s="34" t="s">
        <v>925</v>
      </c>
    </row>
    <row r="405" spans="1:8" ht="33">
      <c r="A405" s="1289"/>
      <c r="B405" s="1289" t="s">
        <v>934</v>
      </c>
      <c r="C405" s="1288" t="s">
        <v>15</v>
      </c>
      <c r="D405" s="1287"/>
      <c r="E405" s="1287"/>
      <c r="F405" s="1287">
        <v>1457.75</v>
      </c>
      <c r="G405" s="1286"/>
      <c r="H405" s="34" t="s">
        <v>925</v>
      </c>
    </row>
    <row r="406" spans="1:8" ht="33">
      <c r="A406" s="1289"/>
      <c r="B406" s="1289"/>
      <c r="C406" s="1288"/>
      <c r="D406" s="1287"/>
      <c r="E406" s="1287"/>
      <c r="F406" s="1287"/>
      <c r="G406" s="1286"/>
      <c r="H406" s="34" t="s">
        <v>925</v>
      </c>
    </row>
    <row r="407" spans="1:8" ht="33">
      <c r="A407" s="1289" t="s">
        <v>1170</v>
      </c>
      <c r="B407" s="1289" t="s">
        <v>1135</v>
      </c>
      <c r="C407" s="1288" t="s">
        <v>15</v>
      </c>
      <c r="D407" s="1287">
        <v>1</v>
      </c>
      <c r="E407" s="1287">
        <v>1326.76</v>
      </c>
      <c r="F407" s="1287"/>
      <c r="G407" s="1286" t="s">
        <v>1136</v>
      </c>
      <c r="H407" s="34" t="s">
        <v>925</v>
      </c>
    </row>
    <row r="408" spans="1:8" ht="28.5">
      <c r="A408" s="1289">
        <v>1</v>
      </c>
      <c r="B408" s="1289" t="s">
        <v>1137</v>
      </c>
      <c r="C408" s="1288" t="s">
        <v>1121</v>
      </c>
      <c r="D408" s="1287">
        <v>1.25</v>
      </c>
      <c r="E408" s="1287">
        <v>695.48</v>
      </c>
      <c r="F408" s="1287">
        <v>869.35</v>
      </c>
      <c r="G408" s="1286" t="s">
        <v>1138</v>
      </c>
    </row>
    <row r="409" spans="1:8" ht="33">
      <c r="A409" s="1289">
        <v>2</v>
      </c>
      <c r="B409" s="1289" t="s">
        <v>4871</v>
      </c>
      <c r="C409" s="1288" t="s">
        <v>927</v>
      </c>
      <c r="D409" s="1287">
        <v>1.5</v>
      </c>
      <c r="E409" s="1287">
        <v>279.18</v>
      </c>
      <c r="F409" s="1287">
        <v>418.77</v>
      </c>
      <c r="G409" s="1286" t="s">
        <v>4872</v>
      </c>
      <c r="H409" s="34" t="s">
        <v>925</v>
      </c>
    </row>
    <row r="410" spans="1:8" ht="33">
      <c r="A410" s="1289">
        <v>3</v>
      </c>
      <c r="B410" s="1289" t="s">
        <v>955</v>
      </c>
      <c r="C410" s="1288" t="s">
        <v>14</v>
      </c>
      <c r="D410" s="1287">
        <v>1</v>
      </c>
      <c r="E410" s="1287">
        <v>38.64</v>
      </c>
      <c r="F410" s="1287">
        <v>38.64</v>
      </c>
      <c r="G410" s="1286" t="s">
        <v>956</v>
      </c>
      <c r="H410" s="34" t="s">
        <v>925</v>
      </c>
    </row>
    <row r="411" spans="1:8" ht="33">
      <c r="A411" s="1289"/>
      <c r="B411" s="1289" t="s">
        <v>933</v>
      </c>
      <c r="C411" s="1288" t="s">
        <v>15</v>
      </c>
      <c r="D411" s="1287">
        <v>1</v>
      </c>
      <c r="E411" s="1287"/>
      <c r="F411" s="1287">
        <v>1326.76</v>
      </c>
      <c r="G411" s="1286"/>
      <c r="H411" s="34" t="s">
        <v>925</v>
      </c>
    </row>
    <row r="412" spans="1:8" ht="33">
      <c r="A412" s="1289"/>
      <c r="B412" s="1289" t="s">
        <v>934</v>
      </c>
      <c r="C412" s="1288" t="s">
        <v>15</v>
      </c>
      <c r="D412" s="1287"/>
      <c r="E412" s="1287"/>
      <c r="F412" s="1287">
        <v>1326.76</v>
      </c>
      <c r="G412" s="1286"/>
      <c r="H412" s="34" t="s">
        <v>925</v>
      </c>
    </row>
    <row r="413" spans="1:8" ht="33">
      <c r="A413" s="1289"/>
      <c r="B413" s="1289"/>
      <c r="C413" s="1288"/>
      <c r="D413" s="1287"/>
      <c r="E413" s="1287"/>
      <c r="F413" s="1287"/>
      <c r="G413" s="1286"/>
      <c r="H413" s="34" t="s">
        <v>925</v>
      </c>
    </row>
    <row r="414" spans="1:8" ht="33">
      <c r="A414" s="1289" t="s">
        <v>1173</v>
      </c>
      <c r="B414" s="1289" t="s">
        <v>1140</v>
      </c>
      <c r="C414" s="1288" t="s">
        <v>3</v>
      </c>
      <c r="D414" s="1287">
        <v>100</v>
      </c>
      <c r="E414" s="1287">
        <v>44.1</v>
      </c>
      <c r="F414" s="1287"/>
      <c r="G414" s="1286" t="s">
        <v>1141</v>
      </c>
      <c r="H414" s="34" t="s">
        <v>925</v>
      </c>
    </row>
    <row r="415" spans="1:8" ht="33">
      <c r="A415" s="1289">
        <v>1</v>
      </c>
      <c r="B415" s="1289" t="s">
        <v>1142</v>
      </c>
      <c r="C415" s="1288" t="s">
        <v>18</v>
      </c>
      <c r="D415" s="1287">
        <v>80</v>
      </c>
      <c r="E415" s="1287">
        <v>44.71</v>
      </c>
      <c r="F415" s="1287">
        <v>3576.8</v>
      </c>
      <c r="G415" s="1286" t="s">
        <v>1143</v>
      </c>
      <c r="H415" s="34" t="s">
        <v>925</v>
      </c>
    </row>
    <row r="416" spans="1:8" ht="28.5">
      <c r="A416" s="1289">
        <v>2</v>
      </c>
      <c r="B416" s="1289" t="s">
        <v>1144</v>
      </c>
      <c r="C416" s="1288" t="s">
        <v>927</v>
      </c>
      <c r="D416" s="1287">
        <v>0.2</v>
      </c>
      <c r="E416" s="1287">
        <v>933.93</v>
      </c>
      <c r="F416" s="1287">
        <v>186.79</v>
      </c>
      <c r="G416" s="1286" t="s">
        <v>1145</v>
      </c>
    </row>
    <row r="417" spans="1:8" ht="42.75">
      <c r="A417" s="1289">
        <v>3</v>
      </c>
      <c r="B417" s="1289" t="s">
        <v>4891</v>
      </c>
      <c r="C417" s="1288" t="s">
        <v>927</v>
      </c>
      <c r="D417" s="1287">
        <v>0.2</v>
      </c>
      <c r="E417" s="1287">
        <v>398.41</v>
      </c>
      <c r="F417" s="1287">
        <v>79.680000000000007</v>
      </c>
      <c r="G417" s="1286" t="s">
        <v>4892</v>
      </c>
      <c r="H417" s="34" t="s">
        <v>925</v>
      </c>
    </row>
    <row r="418" spans="1:8" ht="33">
      <c r="A418" s="1289">
        <v>4</v>
      </c>
      <c r="B418" s="1289" t="s">
        <v>1146</v>
      </c>
      <c r="C418" s="1288" t="s">
        <v>18</v>
      </c>
      <c r="D418" s="1287">
        <v>80</v>
      </c>
      <c r="E418" s="1287">
        <v>1.99</v>
      </c>
      <c r="F418" s="1287">
        <v>159.19999999999999</v>
      </c>
      <c r="G418" s="1286" t="s">
        <v>1147</v>
      </c>
      <c r="H418" s="34" t="s">
        <v>925</v>
      </c>
    </row>
    <row r="419" spans="1:8" ht="33">
      <c r="A419" s="1289">
        <v>5</v>
      </c>
      <c r="B419" s="1289" t="s">
        <v>4871</v>
      </c>
      <c r="C419" s="1288" t="s">
        <v>927</v>
      </c>
      <c r="D419" s="1287">
        <v>1</v>
      </c>
      <c r="E419" s="1287">
        <v>279.18</v>
      </c>
      <c r="F419" s="1287">
        <v>279.18</v>
      </c>
      <c r="G419" s="1286" t="s">
        <v>4876</v>
      </c>
      <c r="H419" s="34" t="s">
        <v>925</v>
      </c>
    </row>
    <row r="420" spans="1:8" ht="33">
      <c r="A420" s="1289">
        <v>6</v>
      </c>
      <c r="B420" s="1289" t="s">
        <v>931</v>
      </c>
      <c r="C420" s="1288" t="s">
        <v>14</v>
      </c>
      <c r="D420" s="1287">
        <v>1</v>
      </c>
      <c r="E420" s="1287">
        <v>128.44999999999999</v>
      </c>
      <c r="F420" s="1287">
        <v>128.44999999999999</v>
      </c>
      <c r="G420" s="1286" t="s">
        <v>932</v>
      </c>
      <c r="H420" s="34" t="s">
        <v>925</v>
      </c>
    </row>
    <row r="421" spans="1:8" ht="33">
      <c r="A421" s="1289"/>
      <c r="B421" s="1289" t="s">
        <v>933</v>
      </c>
      <c r="C421" s="1288" t="s">
        <v>3</v>
      </c>
      <c r="D421" s="1287">
        <v>100</v>
      </c>
      <c r="E421" s="1287"/>
      <c r="F421" s="1287">
        <v>4410.0999999999995</v>
      </c>
      <c r="G421" s="1286"/>
      <c r="H421" s="34" t="s">
        <v>925</v>
      </c>
    </row>
    <row r="422" spans="1:8" ht="33">
      <c r="A422" s="1289"/>
      <c r="B422" s="1289" t="s">
        <v>934</v>
      </c>
      <c r="C422" s="1288" t="s">
        <v>3</v>
      </c>
      <c r="D422" s="1287"/>
      <c r="E422" s="1287"/>
      <c r="F422" s="1287">
        <v>44.1</v>
      </c>
      <c r="G422" s="1286"/>
      <c r="H422" s="34" t="s">
        <v>925</v>
      </c>
    </row>
    <row r="423" spans="1:8" ht="33">
      <c r="A423" s="1289"/>
      <c r="B423" s="1289"/>
      <c r="C423" s="1288"/>
      <c r="D423" s="1287"/>
      <c r="E423" s="1287"/>
      <c r="F423" s="1287"/>
      <c r="G423" s="1286"/>
      <c r="H423" s="34" t="s">
        <v>925</v>
      </c>
    </row>
    <row r="424" spans="1:8" ht="28.5">
      <c r="A424" s="1289" t="s">
        <v>1178</v>
      </c>
      <c r="B424" s="1289" t="s">
        <v>1149</v>
      </c>
      <c r="C424" s="1288" t="s">
        <v>3</v>
      </c>
      <c r="D424" s="1287">
        <v>100</v>
      </c>
      <c r="E424" s="1287">
        <v>17.53</v>
      </c>
      <c r="F424" s="1287"/>
      <c r="G424" s="1286" t="s">
        <v>1150</v>
      </c>
    </row>
    <row r="425" spans="1:8" ht="33">
      <c r="A425" s="1289">
        <v>1</v>
      </c>
      <c r="B425" s="1289" t="s">
        <v>1151</v>
      </c>
      <c r="C425" s="1288" t="s">
        <v>18</v>
      </c>
      <c r="D425" s="1287">
        <v>30</v>
      </c>
      <c r="E425" s="1287">
        <v>44.71</v>
      </c>
      <c r="F425" s="1287">
        <v>1341.3</v>
      </c>
      <c r="G425" s="1286" t="s">
        <v>1152</v>
      </c>
      <c r="H425" s="34" t="s">
        <v>925</v>
      </c>
    </row>
    <row r="426" spans="1:8" ht="33">
      <c r="A426" s="1289">
        <v>2</v>
      </c>
      <c r="B426" s="1289" t="s">
        <v>1144</v>
      </c>
      <c r="C426" s="1288" t="s">
        <v>927</v>
      </c>
      <c r="D426" s="1287">
        <v>0.1</v>
      </c>
      <c r="E426" s="1287">
        <v>933.93</v>
      </c>
      <c r="F426" s="1287">
        <v>93.39</v>
      </c>
      <c r="G426" s="1286" t="s">
        <v>1145</v>
      </c>
      <c r="H426" s="34" t="s">
        <v>925</v>
      </c>
    </row>
    <row r="427" spans="1:8" ht="42.75">
      <c r="A427" s="1289">
        <v>3</v>
      </c>
      <c r="B427" s="1289" t="s">
        <v>4891</v>
      </c>
      <c r="C427" s="1288" t="s">
        <v>927</v>
      </c>
      <c r="D427" s="1287">
        <v>0.1</v>
      </c>
      <c r="E427" s="1287">
        <v>398.41</v>
      </c>
      <c r="F427" s="1287">
        <v>39.840000000000003</v>
      </c>
      <c r="G427" s="1286" t="s">
        <v>4892</v>
      </c>
      <c r="H427" s="34" t="s">
        <v>925</v>
      </c>
    </row>
    <row r="428" spans="1:8" ht="33">
      <c r="A428" s="1289">
        <v>4</v>
      </c>
      <c r="B428" s="1289" t="s">
        <v>1146</v>
      </c>
      <c r="C428" s="1288" t="s">
        <v>18</v>
      </c>
      <c r="D428" s="1287">
        <v>30</v>
      </c>
      <c r="E428" s="1287">
        <v>1.99</v>
      </c>
      <c r="F428" s="1287">
        <v>59.7</v>
      </c>
      <c r="G428" s="1286" t="s">
        <v>1147</v>
      </c>
      <c r="H428" s="34" t="s">
        <v>925</v>
      </c>
    </row>
    <row r="429" spans="1:8" ht="33">
      <c r="A429" s="1289">
        <v>5</v>
      </c>
      <c r="B429" s="1289" t="s">
        <v>4871</v>
      </c>
      <c r="C429" s="1288" t="s">
        <v>927</v>
      </c>
      <c r="D429" s="1287">
        <v>0.6</v>
      </c>
      <c r="E429" s="1287">
        <v>279.18</v>
      </c>
      <c r="F429" s="1287">
        <v>167.51</v>
      </c>
      <c r="G429" s="1286" t="s">
        <v>4876</v>
      </c>
      <c r="H429" s="34" t="s">
        <v>925</v>
      </c>
    </row>
    <row r="430" spans="1:8" ht="33">
      <c r="A430" s="1289">
        <v>6</v>
      </c>
      <c r="B430" s="1289" t="s">
        <v>931</v>
      </c>
      <c r="C430" s="1288" t="s">
        <v>14</v>
      </c>
      <c r="D430" s="1287">
        <v>1</v>
      </c>
      <c r="E430" s="1287">
        <v>51.05</v>
      </c>
      <c r="F430" s="1287">
        <v>51.05</v>
      </c>
      <c r="G430" s="1286" t="s">
        <v>932</v>
      </c>
      <c r="H430" s="34" t="s">
        <v>925</v>
      </c>
    </row>
    <row r="431" spans="1:8" ht="33">
      <c r="A431" s="1289"/>
      <c r="B431" s="1289" t="s">
        <v>933</v>
      </c>
      <c r="C431" s="1288" t="s">
        <v>3</v>
      </c>
      <c r="D431" s="1287">
        <v>100</v>
      </c>
      <c r="E431" s="1287"/>
      <c r="F431" s="1287">
        <v>1752.79</v>
      </c>
      <c r="G431" s="1286"/>
      <c r="H431" s="34" t="s">
        <v>925</v>
      </c>
    </row>
    <row r="432" spans="1:8" ht="16.5">
      <c r="A432" s="1289"/>
      <c r="B432" s="1289" t="s">
        <v>934</v>
      </c>
      <c r="C432" s="1288" t="s">
        <v>3</v>
      </c>
      <c r="D432" s="1287"/>
      <c r="E432" s="1287"/>
      <c r="F432" s="1287">
        <v>17.53</v>
      </c>
      <c r="G432" s="1286"/>
    </row>
    <row r="433" spans="1:8" ht="33">
      <c r="A433" s="1289"/>
      <c r="B433" s="1289"/>
      <c r="C433" s="1288"/>
      <c r="D433" s="1287"/>
      <c r="E433" s="1287"/>
      <c r="F433" s="1287"/>
      <c r="G433" s="1286"/>
      <c r="H433" s="34" t="s">
        <v>925</v>
      </c>
    </row>
    <row r="434" spans="1:8" ht="33">
      <c r="A434" s="1289" t="s">
        <v>1181</v>
      </c>
      <c r="B434" s="1289" t="s">
        <v>4467</v>
      </c>
      <c r="C434" s="1288" t="s">
        <v>3</v>
      </c>
      <c r="D434" s="1287">
        <v>100</v>
      </c>
      <c r="E434" s="1287">
        <v>20.54</v>
      </c>
      <c r="F434" s="1287"/>
      <c r="G434" s="1286" t="s">
        <v>4893</v>
      </c>
      <c r="H434" s="34" t="s">
        <v>925</v>
      </c>
    </row>
    <row r="435" spans="1:8" ht="33">
      <c r="A435" s="1289">
        <v>1</v>
      </c>
      <c r="B435" s="1289" t="s">
        <v>1151</v>
      </c>
      <c r="C435" s="1288" t="s">
        <v>18</v>
      </c>
      <c r="D435" s="1287">
        <v>30</v>
      </c>
      <c r="E435" s="1287">
        <v>44.71</v>
      </c>
      <c r="F435" s="1287">
        <v>1341.3</v>
      </c>
      <c r="G435" s="1286" t="s">
        <v>1152</v>
      </c>
      <c r="H435" s="34" t="s">
        <v>925</v>
      </c>
    </row>
    <row r="436" spans="1:8" ht="33">
      <c r="A436" s="1289">
        <v>2</v>
      </c>
      <c r="B436" s="1289" t="s">
        <v>1144</v>
      </c>
      <c r="C436" s="1288" t="s">
        <v>927</v>
      </c>
      <c r="D436" s="1287">
        <v>0.12</v>
      </c>
      <c r="E436" s="1287">
        <v>933.93</v>
      </c>
      <c r="F436" s="1287">
        <v>112.07</v>
      </c>
      <c r="G436" s="1286" t="s">
        <v>1145</v>
      </c>
      <c r="H436" s="34" t="s">
        <v>925</v>
      </c>
    </row>
    <row r="437" spans="1:8" ht="42.75">
      <c r="A437" s="1289">
        <v>3</v>
      </c>
      <c r="B437" s="1289" t="s">
        <v>4894</v>
      </c>
      <c r="C437" s="1288" t="s">
        <v>927</v>
      </c>
      <c r="D437" s="1287">
        <v>0.12</v>
      </c>
      <c r="E437" s="1287">
        <v>796.82</v>
      </c>
      <c r="F437" s="1287">
        <v>95.62</v>
      </c>
      <c r="G437" s="1286" t="s">
        <v>4895</v>
      </c>
      <c r="H437" s="34" t="s">
        <v>925</v>
      </c>
    </row>
    <row r="438" spans="1:8" ht="33">
      <c r="A438" s="1289">
        <v>4</v>
      </c>
      <c r="B438" s="1289" t="s">
        <v>1146</v>
      </c>
      <c r="C438" s="1288" t="s">
        <v>18</v>
      </c>
      <c r="D438" s="1287">
        <v>30</v>
      </c>
      <c r="E438" s="1287">
        <v>1.99</v>
      </c>
      <c r="F438" s="1287">
        <v>59.7</v>
      </c>
      <c r="G438" s="1286" t="s">
        <v>1147</v>
      </c>
      <c r="H438" s="34" t="s">
        <v>925</v>
      </c>
    </row>
    <row r="439" spans="1:8" ht="42.75">
      <c r="A439" s="1289">
        <v>5</v>
      </c>
      <c r="B439" s="1289" t="s">
        <v>4874</v>
      </c>
      <c r="C439" s="1288" t="s">
        <v>927</v>
      </c>
      <c r="D439" s="1287">
        <v>0.69</v>
      </c>
      <c r="E439" s="1287">
        <v>558.37</v>
      </c>
      <c r="F439" s="1287">
        <v>385.28</v>
      </c>
      <c r="G439" s="1286" t="s">
        <v>4875</v>
      </c>
      <c r="H439" s="34" t="s">
        <v>925</v>
      </c>
    </row>
    <row r="440" spans="1:8" ht="28.5">
      <c r="A440" s="1289">
        <v>6</v>
      </c>
      <c r="B440" s="1289" t="s">
        <v>931</v>
      </c>
      <c r="C440" s="1288" t="s">
        <v>14</v>
      </c>
      <c r="D440" s="1287">
        <v>1</v>
      </c>
      <c r="E440" s="1287">
        <v>59.82</v>
      </c>
      <c r="F440" s="1287">
        <v>59.82</v>
      </c>
      <c r="G440" s="1286" t="s">
        <v>932</v>
      </c>
    </row>
    <row r="441" spans="1:8" ht="33">
      <c r="A441" s="1289"/>
      <c r="B441" s="1289" t="s">
        <v>933</v>
      </c>
      <c r="C441" s="1288" t="s">
        <v>3</v>
      </c>
      <c r="D441" s="1287">
        <v>100</v>
      </c>
      <c r="E441" s="1287"/>
      <c r="F441" s="1287">
        <v>2053.79</v>
      </c>
      <c r="G441" s="1286"/>
      <c r="H441" s="34" t="s">
        <v>925</v>
      </c>
    </row>
    <row r="442" spans="1:8" ht="33">
      <c r="A442" s="1289"/>
      <c r="B442" s="1289" t="s">
        <v>934</v>
      </c>
      <c r="C442" s="1288" t="s">
        <v>3</v>
      </c>
      <c r="D442" s="1287"/>
      <c r="E442" s="1287"/>
      <c r="F442" s="1287">
        <v>20.54</v>
      </c>
      <c r="G442" s="1286"/>
      <c r="H442" s="34" t="s">
        <v>925</v>
      </c>
    </row>
    <row r="443" spans="1:8" ht="33">
      <c r="A443" s="1289"/>
      <c r="B443" s="1289"/>
      <c r="C443" s="1288"/>
      <c r="D443" s="1287"/>
      <c r="E443" s="1287"/>
      <c r="F443" s="1287"/>
      <c r="G443" s="1286"/>
      <c r="H443" s="34" t="s">
        <v>925</v>
      </c>
    </row>
    <row r="444" spans="1:8" ht="33">
      <c r="A444" s="1289" t="s">
        <v>1186</v>
      </c>
      <c r="B444" s="1289" t="s">
        <v>1154</v>
      </c>
      <c r="C444" s="1288" t="s">
        <v>0</v>
      </c>
      <c r="D444" s="1287">
        <v>1</v>
      </c>
      <c r="E444" s="1287">
        <v>7703.82</v>
      </c>
      <c r="F444" s="1287"/>
      <c r="G444" s="1286" t="s">
        <v>1155</v>
      </c>
      <c r="H444" s="34" t="s">
        <v>925</v>
      </c>
    </row>
    <row r="445" spans="1:8" ht="42.75">
      <c r="A445" s="1289">
        <v>1</v>
      </c>
      <c r="B445" s="1289" t="s">
        <v>1156</v>
      </c>
      <c r="C445" s="1288" t="s">
        <v>0</v>
      </c>
      <c r="D445" s="1287">
        <v>1</v>
      </c>
      <c r="E445" s="1287">
        <v>7083.93</v>
      </c>
      <c r="F445" s="1287">
        <v>7083.93</v>
      </c>
      <c r="G445" s="1286" t="s">
        <v>1157</v>
      </c>
      <c r="H445" s="34" t="s">
        <v>925</v>
      </c>
    </row>
    <row r="446" spans="1:8" ht="33">
      <c r="A446" s="1289">
        <v>2</v>
      </c>
      <c r="B446" s="1289" t="s">
        <v>4896</v>
      </c>
      <c r="C446" s="1288" t="s">
        <v>0</v>
      </c>
      <c r="D446" s="1287">
        <v>1</v>
      </c>
      <c r="E446" s="1287">
        <v>369.68</v>
      </c>
      <c r="F446" s="1287">
        <v>369.68</v>
      </c>
      <c r="G446" s="1286" t="s">
        <v>1158</v>
      </c>
      <c r="H446" s="34" t="s">
        <v>925</v>
      </c>
    </row>
    <row r="447" spans="1:8" ht="33">
      <c r="A447" s="1289">
        <v>3</v>
      </c>
      <c r="B447" s="1289" t="s">
        <v>1159</v>
      </c>
      <c r="C447" s="1288" t="s">
        <v>0</v>
      </c>
      <c r="D447" s="1287">
        <v>1</v>
      </c>
      <c r="E447" s="1287">
        <v>25.83</v>
      </c>
      <c r="F447" s="1287">
        <v>25.83</v>
      </c>
      <c r="G447" s="1286" t="s">
        <v>1160</v>
      </c>
      <c r="H447" s="34" t="s">
        <v>925</v>
      </c>
    </row>
    <row r="448" spans="1:8" ht="28.5">
      <c r="A448" s="1289">
        <v>4</v>
      </c>
      <c r="B448" s="1289" t="s">
        <v>931</v>
      </c>
      <c r="C448" s="1288" t="s">
        <v>14</v>
      </c>
      <c r="D448" s="1287">
        <v>1</v>
      </c>
      <c r="E448" s="1287">
        <v>224.38</v>
      </c>
      <c r="F448" s="1287">
        <v>224.38</v>
      </c>
      <c r="G448" s="1286" t="s">
        <v>932</v>
      </c>
    </row>
    <row r="449" spans="1:8" ht="33">
      <c r="A449" s="1289"/>
      <c r="B449" s="1289" t="s">
        <v>933</v>
      </c>
      <c r="C449" s="1288" t="s">
        <v>0</v>
      </c>
      <c r="D449" s="1287">
        <v>1</v>
      </c>
      <c r="E449" s="1287"/>
      <c r="F449" s="1287">
        <v>7703.8200000000006</v>
      </c>
      <c r="G449" s="1286"/>
      <c r="H449" s="34" t="s">
        <v>925</v>
      </c>
    </row>
    <row r="450" spans="1:8" ht="33">
      <c r="A450" s="1289"/>
      <c r="B450" s="1289" t="s">
        <v>934</v>
      </c>
      <c r="C450" s="1288" t="s">
        <v>0</v>
      </c>
      <c r="D450" s="1287"/>
      <c r="E450" s="1287"/>
      <c r="F450" s="1287">
        <v>7703.82</v>
      </c>
      <c r="G450" s="1286"/>
      <c r="H450" s="34" t="s">
        <v>925</v>
      </c>
    </row>
    <row r="451" spans="1:8" ht="33">
      <c r="A451" s="1289"/>
      <c r="B451" s="1289"/>
      <c r="C451" s="1288"/>
      <c r="D451" s="1287"/>
      <c r="E451" s="1287"/>
      <c r="F451" s="1287"/>
      <c r="G451" s="1286"/>
      <c r="H451" s="34" t="s">
        <v>925</v>
      </c>
    </row>
    <row r="452" spans="1:8" ht="33">
      <c r="A452" s="1289" t="s">
        <v>1191</v>
      </c>
      <c r="B452" s="1289" t="s">
        <v>3639</v>
      </c>
      <c r="C452" s="1288" t="s">
        <v>0</v>
      </c>
      <c r="D452" s="1287">
        <v>1</v>
      </c>
      <c r="E452" s="1287">
        <v>8203.94</v>
      </c>
      <c r="F452" s="1287"/>
      <c r="G452" s="1286" t="s">
        <v>4019</v>
      </c>
      <c r="H452" s="34" t="s">
        <v>925</v>
      </c>
    </row>
    <row r="453" spans="1:8" ht="33">
      <c r="A453" s="1289">
        <v>1</v>
      </c>
      <c r="B453" s="1289" t="s">
        <v>1167</v>
      </c>
      <c r="C453" s="1288" t="s">
        <v>0</v>
      </c>
      <c r="D453" s="1287">
        <v>1</v>
      </c>
      <c r="E453" s="1287">
        <v>7083.93</v>
      </c>
      <c r="F453" s="1287">
        <v>7083.93</v>
      </c>
      <c r="G453" s="1286" t="s">
        <v>1168</v>
      </c>
      <c r="H453" s="34" t="s">
        <v>925</v>
      </c>
    </row>
    <row r="454" spans="1:8" ht="33">
      <c r="A454" s="1289">
        <v>2</v>
      </c>
      <c r="B454" s="1289" t="s">
        <v>4897</v>
      </c>
      <c r="C454" s="1288" t="s">
        <v>0</v>
      </c>
      <c r="D454" s="1287">
        <v>1</v>
      </c>
      <c r="E454" s="1287">
        <v>855.23</v>
      </c>
      <c r="F454" s="1287">
        <v>855.23</v>
      </c>
      <c r="G454" s="1286" t="s">
        <v>1169</v>
      </c>
      <c r="H454" s="34" t="s">
        <v>925</v>
      </c>
    </row>
    <row r="455" spans="1:8" ht="33">
      <c r="A455" s="1289">
        <v>3</v>
      </c>
      <c r="B455" s="1289" t="s">
        <v>1159</v>
      </c>
      <c r="C455" s="1288" t="s">
        <v>0</v>
      </c>
      <c r="D455" s="1287">
        <v>1</v>
      </c>
      <c r="E455" s="1287">
        <v>25.83</v>
      </c>
      <c r="F455" s="1287">
        <v>25.83</v>
      </c>
      <c r="G455" s="1286" t="s">
        <v>1160</v>
      </c>
      <c r="H455" s="34" t="s">
        <v>925</v>
      </c>
    </row>
    <row r="456" spans="1:8" ht="28.5">
      <c r="A456" s="1289">
        <v>4</v>
      </c>
      <c r="B456" s="1289" t="s">
        <v>931</v>
      </c>
      <c r="C456" s="1288" t="s">
        <v>14</v>
      </c>
      <c r="D456" s="1287">
        <v>1</v>
      </c>
      <c r="E456" s="1287">
        <v>238.95</v>
      </c>
      <c r="F456" s="1287">
        <v>238.95</v>
      </c>
      <c r="G456" s="1286" t="s">
        <v>932</v>
      </c>
    </row>
    <row r="457" spans="1:8" ht="33">
      <c r="A457" s="1289"/>
      <c r="B457" s="1289" t="s">
        <v>933</v>
      </c>
      <c r="C457" s="1288" t="s">
        <v>0</v>
      </c>
      <c r="D457" s="1287">
        <v>1</v>
      </c>
      <c r="E457" s="1287"/>
      <c r="F457" s="1287">
        <v>8203.94</v>
      </c>
      <c r="G457" s="1286"/>
      <c r="H457" s="34" t="s">
        <v>925</v>
      </c>
    </row>
    <row r="458" spans="1:8" ht="33">
      <c r="A458" s="1289"/>
      <c r="B458" s="1289" t="s">
        <v>934</v>
      </c>
      <c r="C458" s="1288" t="s">
        <v>0</v>
      </c>
      <c r="D458" s="1287"/>
      <c r="E458" s="1287"/>
      <c r="F458" s="1287">
        <v>8203.94</v>
      </c>
      <c r="G458" s="1286"/>
      <c r="H458" s="34" t="s">
        <v>925</v>
      </c>
    </row>
    <row r="459" spans="1:8" ht="33">
      <c r="A459" s="1289"/>
      <c r="B459" s="1289"/>
      <c r="C459" s="1288"/>
      <c r="D459" s="1287"/>
      <c r="E459" s="1287"/>
      <c r="F459" s="1287"/>
      <c r="G459" s="1286"/>
      <c r="H459" s="34" t="s">
        <v>925</v>
      </c>
    </row>
    <row r="460" spans="1:8" ht="42.75">
      <c r="A460" s="1289" t="s">
        <v>1194</v>
      </c>
      <c r="B460" s="1289" t="s">
        <v>4049</v>
      </c>
      <c r="C460" s="1288" t="s">
        <v>0</v>
      </c>
      <c r="D460" s="1287">
        <v>1</v>
      </c>
      <c r="E460" s="1287">
        <v>8697.4699999999993</v>
      </c>
      <c r="F460" s="1287"/>
      <c r="G460" s="1286" t="s">
        <v>2582</v>
      </c>
      <c r="H460" s="34" t="s">
        <v>925</v>
      </c>
    </row>
    <row r="461" spans="1:8" ht="33">
      <c r="A461" s="1289">
        <v>1</v>
      </c>
      <c r="B461" s="1289" t="s">
        <v>1167</v>
      </c>
      <c r="C461" s="1288" t="s">
        <v>0</v>
      </c>
      <c r="D461" s="1287">
        <v>1</v>
      </c>
      <c r="E461" s="1287">
        <v>7083.93</v>
      </c>
      <c r="F461" s="1287">
        <v>7083.93</v>
      </c>
      <c r="G461" s="1286" t="s">
        <v>1168</v>
      </c>
      <c r="H461" s="34" t="s">
        <v>925</v>
      </c>
    </row>
    <row r="462" spans="1:8" ht="33">
      <c r="A462" s="1289">
        <v>2</v>
      </c>
      <c r="B462" s="1289" t="s">
        <v>4898</v>
      </c>
      <c r="C462" s="1288" t="s">
        <v>0</v>
      </c>
      <c r="D462" s="1287">
        <v>1</v>
      </c>
      <c r="E462" s="1287">
        <v>1334.39</v>
      </c>
      <c r="F462" s="1287">
        <v>1334.39</v>
      </c>
      <c r="G462" s="1286" t="s">
        <v>4899</v>
      </c>
      <c r="H462" s="34" t="s">
        <v>925</v>
      </c>
    </row>
    <row r="463" spans="1:8" ht="33">
      <c r="A463" s="1289">
        <v>3</v>
      </c>
      <c r="B463" s="1289" t="s">
        <v>1159</v>
      </c>
      <c r="C463" s="1288" t="s">
        <v>0</v>
      </c>
      <c r="D463" s="1287">
        <v>1</v>
      </c>
      <c r="E463" s="1287">
        <v>25.83</v>
      </c>
      <c r="F463" s="1287">
        <v>25.83</v>
      </c>
      <c r="G463" s="1286" t="s">
        <v>1160</v>
      </c>
      <c r="H463" s="34" t="s">
        <v>925</v>
      </c>
    </row>
    <row r="464" spans="1:8" ht="28.5">
      <c r="A464" s="1289">
        <v>4</v>
      </c>
      <c r="B464" s="1289" t="s">
        <v>931</v>
      </c>
      <c r="C464" s="1288" t="s">
        <v>14</v>
      </c>
      <c r="D464" s="1287">
        <v>1</v>
      </c>
      <c r="E464" s="1287">
        <v>253.32</v>
      </c>
      <c r="F464" s="1287">
        <v>253.32</v>
      </c>
      <c r="G464" s="1286" t="s">
        <v>932</v>
      </c>
    </row>
    <row r="465" spans="1:8" ht="33">
      <c r="A465" s="1289"/>
      <c r="B465" s="1289" t="s">
        <v>933</v>
      </c>
      <c r="C465" s="1288" t="s">
        <v>0</v>
      </c>
      <c r="D465" s="1287">
        <v>1</v>
      </c>
      <c r="E465" s="1287"/>
      <c r="F465" s="1287">
        <v>8697.4699999999993</v>
      </c>
      <c r="G465" s="1286"/>
      <c r="H465" s="34" t="s">
        <v>925</v>
      </c>
    </row>
    <row r="466" spans="1:8" ht="33">
      <c r="A466" s="1289"/>
      <c r="B466" s="1289" t="s">
        <v>934</v>
      </c>
      <c r="C466" s="1288" t="s">
        <v>0</v>
      </c>
      <c r="D466" s="1287"/>
      <c r="E466" s="1287"/>
      <c r="F466" s="1287">
        <v>8697.4699999999993</v>
      </c>
      <c r="G466" s="1286"/>
      <c r="H466" s="34" t="s">
        <v>925</v>
      </c>
    </row>
    <row r="467" spans="1:8" ht="33">
      <c r="A467" s="1289"/>
      <c r="B467" s="1289"/>
      <c r="C467" s="1288"/>
      <c r="D467" s="1287"/>
      <c r="E467" s="1287"/>
      <c r="F467" s="1287"/>
      <c r="G467" s="1286"/>
      <c r="H467" s="34" t="s">
        <v>925</v>
      </c>
    </row>
    <row r="468" spans="1:8" ht="33">
      <c r="A468" s="1289" t="s">
        <v>1199</v>
      </c>
      <c r="B468" s="1289" t="s">
        <v>1162</v>
      </c>
      <c r="C468" s="1288" t="s">
        <v>0</v>
      </c>
      <c r="D468" s="1287">
        <v>1</v>
      </c>
      <c r="E468" s="1287">
        <v>7642.41</v>
      </c>
      <c r="F468" s="1287"/>
      <c r="G468" s="1286" t="s">
        <v>1163</v>
      </c>
      <c r="H468" s="34" t="s">
        <v>925</v>
      </c>
    </row>
    <row r="469" spans="1:8" ht="42.75">
      <c r="A469" s="1289">
        <v>1</v>
      </c>
      <c r="B469" s="1289" t="s">
        <v>1164</v>
      </c>
      <c r="C469" s="1288" t="s">
        <v>0</v>
      </c>
      <c r="D469" s="1287">
        <v>1</v>
      </c>
      <c r="E469" s="1287">
        <v>7024.31</v>
      </c>
      <c r="F469" s="1287">
        <v>7024.31</v>
      </c>
      <c r="G469" s="1286" t="s">
        <v>1165</v>
      </c>
      <c r="H469" s="34" t="s">
        <v>925</v>
      </c>
    </row>
    <row r="470" spans="1:8" ht="33">
      <c r="A470" s="1289">
        <v>2</v>
      </c>
      <c r="B470" s="1289" t="s">
        <v>4896</v>
      </c>
      <c r="C470" s="1288" t="s">
        <v>0</v>
      </c>
      <c r="D470" s="1287">
        <v>1</v>
      </c>
      <c r="E470" s="1287">
        <v>369.68</v>
      </c>
      <c r="F470" s="1287">
        <v>369.68</v>
      </c>
      <c r="G470" s="1286" t="s">
        <v>1158</v>
      </c>
      <c r="H470" s="34" t="s">
        <v>925</v>
      </c>
    </row>
    <row r="471" spans="1:8" ht="33">
      <c r="A471" s="1289">
        <v>3</v>
      </c>
      <c r="B471" s="1289" t="s">
        <v>1159</v>
      </c>
      <c r="C471" s="1288" t="s">
        <v>0</v>
      </c>
      <c r="D471" s="1287">
        <v>1</v>
      </c>
      <c r="E471" s="1287">
        <v>25.83</v>
      </c>
      <c r="F471" s="1287">
        <v>25.83</v>
      </c>
      <c r="G471" s="1286" t="s">
        <v>1160</v>
      </c>
      <c r="H471" s="34" t="s">
        <v>925</v>
      </c>
    </row>
    <row r="472" spans="1:8" ht="28.5">
      <c r="A472" s="1289">
        <v>4</v>
      </c>
      <c r="B472" s="1289" t="s">
        <v>931</v>
      </c>
      <c r="C472" s="1288" t="s">
        <v>14</v>
      </c>
      <c r="D472" s="1287">
        <v>1</v>
      </c>
      <c r="E472" s="1287">
        <v>222.59</v>
      </c>
      <c r="F472" s="1287">
        <v>222.59</v>
      </c>
      <c r="G472" s="1286" t="s">
        <v>932</v>
      </c>
    </row>
    <row r="473" spans="1:8" ht="33">
      <c r="A473" s="1289"/>
      <c r="B473" s="1289" t="s">
        <v>933</v>
      </c>
      <c r="C473" s="1288" t="s">
        <v>0</v>
      </c>
      <c r="D473" s="1287">
        <v>1</v>
      </c>
      <c r="E473" s="1287"/>
      <c r="F473" s="1287">
        <v>7642.4100000000008</v>
      </c>
      <c r="G473" s="1286"/>
      <c r="H473" s="34" t="s">
        <v>925</v>
      </c>
    </row>
    <row r="474" spans="1:8" ht="33">
      <c r="A474" s="1289"/>
      <c r="B474" s="1289" t="s">
        <v>934</v>
      </c>
      <c r="C474" s="1288" t="s">
        <v>0</v>
      </c>
      <c r="D474" s="1287"/>
      <c r="E474" s="1287"/>
      <c r="F474" s="1287">
        <v>7642.41</v>
      </c>
      <c r="G474" s="1286"/>
      <c r="H474" s="34" t="s">
        <v>925</v>
      </c>
    </row>
    <row r="475" spans="1:8" ht="33">
      <c r="A475" s="1289"/>
      <c r="B475" s="1289"/>
      <c r="C475" s="1288"/>
      <c r="D475" s="1287"/>
      <c r="E475" s="1287"/>
      <c r="F475" s="1287"/>
      <c r="G475" s="1286"/>
      <c r="H475" s="34" t="s">
        <v>925</v>
      </c>
    </row>
    <row r="476" spans="1:8" ht="42.75">
      <c r="A476" s="1289" t="s">
        <v>1202</v>
      </c>
      <c r="B476" s="1289" t="s">
        <v>3640</v>
      </c>
      <c r="C476" s="1288" t="s">
        <v>0</v>
      </c>
      <c r="D476" s="1287">
        <v>1</v>
      </c>
      <c r="E476" s="1287">
        <v>8142.53</v>
      </c>
      <c r="F476" s="1287"/>
      <c r="G476" s="1286" t="s">
        <v>4020</v>
      </c>
      <c r="H476" s="34" t="s">
        <v>925</v>
      </c>
    </row>
    <row r="477" spans="1:8" ht="33">
      <c r="A477" s="1289">
        <v>1</v>
      </c>
      <c r="B477" s="1289" t="s">
        <v>1171</v>
      </c>
      <c r="C477" s="1288" t="s">
        <v>0</v>
      </c>
      <c r="D477" s="1287">
        <v>1</v>
      </c>
      <c r="E477" s="1287">
        <v>7024.31</v>
      </c>
      <c r="F477" s="1287">
        <v>7024.31</v>
      </c>
      <c r="G477" s="1286" t="s">
        <v>1172</v>
      </c>
      <c r="H477" s="34" t="s">
        <v>925</v>
      </c>
    </row>
    <row r="478" spans="1:8" ht="33">
      <c r="A478" s="1289">
        <v>2</v>
      </c>
      <c r="B478" s="1289" t="s">
        <v>4897</v>
      </c>
      <c r="C478" s="1288" t="s">
        <v>0</v>
      </c>
      <c r="D478" s="1287">
        <v>1</v>
      </c>
      <c r="E478" s="1287">
        <v>855.23</v>
      </c>
      <c r="F478" s="1287">
        <v>855.23</v>
      </c>
      <c r="G478" s="1286" t="s">
        <v>1169</v>
      </c>
      <c r="H478" s="34" t="s">
        <v>925</v>
      </c>
    </row>
    <row r="479" spans="1:8" ht="33">
      <c r="A479" s="1289">
        <v>3</v>
      </c>
      <c r="B479" s="1289" t="s">
        <v>1159</v>
      </c>
      <c r="C479" s="1288" t="s">
        <v>0</v>
      </c>
      <c r="D479" s="1287">
        <v>1</v>
      </c>
      <c r="E479" s="1287">
        <v>25.83</v>
      </c>
      <c r="F479" s="1287">
        <v>25.83</v>
      </c>
      <c r="G479" s="1286" t="s">
        <v>1160</v>
      </c>
      <c r="H479" s="34" t="s">
        <v>925</v>
      </c>
    </row>
    <row r="480" spans="1:8" ht="28.5">
      <c r="A480" s="1289">
        <v>4</v>
      </c>
      <c r="B480" s="1289" t="s">
        <v>931</v>
      </c>
      <c r="C480" s="1288" t="s">
        <v>14</v>
      </c>
      <c r="D480" s="1287">
        <v>1</v>
      </c>
      <c r="E480" s="1287">
        <v>237.16</v>
      </c>
      <c r="F480" s="1287">
        <v>237.16</v>
      </c>
      <c r="G480" s="1286" t="s">
        <v>932</v>
      </c>
    </row>
    <row r="481" spans="1:8" ht="33">
      <c r="A481" s="1289"/>
      <c r="B481" s="1289" t="s">
        <v>933</v>
      </c>
      <c r="C481" s="1288" t="s">
        <v>0</v>
      </c>
      <c r="D481" s="1287">
        <v>1</v>
      </c>
      <c r="E481" s="1287"/>
      <c r="F481" s="1287">
        <v>8142.5300000000007</v>
      </c>
      <c r="G481" s="1286"/>
      <c r="H481" s="34" t="s">
        <v>925</v>
      </c>
    </row>
    <row r="482" spans="1:8" ht="33">
      <c r="A482" s="1289"/>
      <c r="B482" s="1289" t="s">
        <v>934</v>
      </c>
      <c r="C482" s="1288" t="s">
        <v>0</v>
      </c>
      <c r="D482" s="1287"/>
      <c r="E482" s="1287"/>
      <c r="F482" s="1287">
        <v>8142.53</v>
      </c>
      <c r="G482" s="1286"/>
      <c r="H482" s="34" t="s">
        <v>925</v>
      </c>
    </row>
    <row r="483" spans="1:8" ht="33">
      <c r="A483" s="1289"/>
      <c r="B483" s="1289"/>
      <c r="C483" s="1288"/>
      <c r="D483" s="1287"/>
      <c r="E483" s="1287"/>
      <c r="F483" s="1287"/>
      <c r="G483" s="1286"/>
      <c r="H483" s="34" t="s">
        <v>925</v>
      </c>
    </row>
    <row r="484" spans="1:8" ht="42.75">
      <c r="A484" s="1289" t="s">
        <v>1214</v>
      </c>
      <c r="B484" s="1289" t="s">
        <v>4048</v>
      </c>
      <c r="C484" s="1288" t="s">
        <v>0</v>
      </c>
      <c r="D484" s="1287">
        <v>1</v>
      </c>
      <c r="E484" s="1287">
        <v>8636.07</v>
      </c>
      <c r="F484" s="1287"/>
      <c r="G484" s="1286" t="s">
        <v>2581</v>
      </c>
      <c r="H484" s="34" t="s">
        <v>925</v>
      </c>
    </row>
    <row r="485" spans="1:8" ht="33">
      <c r="A485" s="1289">
        <v>1</v>
      </c>
      <c r="B485" s="1289" t="s">
        <v>1171</v>
      </c>
      <c r="C485" s="1288" t="s">
        <v>0</v>
      </c>
      <c r="D485" s="1287">
        <v>1</v>
      </c>
      <c r="E485" s="1287">
        <v>7024.31</v>
      </c>
      <c r="F485" s="1287">
        <v>7024.31</v>
      </c>
      <c r="G485" s="1286" t="s">
        <v>1172</v>
      </c>
      <c r="H485" s="34" t="s">
        <v>925</v>
      </c>
    </row>
    <row r="486" spans="1:8" ht="33">
      <c r="A486" s="1289">
        <v>2</v>
      </c>
      <c r="B486" s="1289" t="s">
        <v>4898</v>
      </c>
      <c r="C486" s="1288" t="s">
        <v>0</v>
      </c>
      <c r="D486" s="1287">
        <v>1</v>
      </c>
      <c r="E486" s="1287">
        <v>1334.39</v>
      </c>
      <c r="F486" s="1287">
        <v>1334.39</v>
      </c>
      <c r="G486" s="1286" t="s">
        <v>4899</v>
      </c>
      <c r="H486" s="34" t="s">
        <v>925</v>
      </c>
    </row>
    <row r="487" spans="1:8" ht="33">
      <c r="A487" s="1289">
        <v>3</v>
      </c>
      <c r="B487" s="1289" t="s">
        <v>1159</v>
      </c>
      <c r="C487" s="1288" t="s">
        <v>0</v>
      </c>
      <c r="D487" s="1287">
        <v>1</v>
      </c>
      <c r="E487" s="1287">
        <v>25.83</v>
      </c>
      <c r="F487" s="1287">
        <v>25.83</v>
      </c>
      <c r="G487" s="1286" t="s">
        <v>1160</v>
      </c>
      <c r="H487" s="34" t="s">
        <v>925</v>
      </c>
    </row>
    <row r="488" spans="1:8" ht="33">
      <c r="A488" s="1289">
        <v>4</v>
      </c>
      <c r="B488" s="1289" t="s">
        <v>931</v>
      </c>
      <c r="C488" s="1288" t="s">
        <v>14</v>
      </c>
      <c r="D488" s="1287">
        <v>1</v>
      </c>
      <c r="E488" s="1287">
        <v>251.54</v>
      </c>
      <c r="F488" s="1287">
        <v>251.54</v>
      </c>
      <c r="G488" s="1286" t="s">
        <v>932</v>
      </c>
      <c r="H488" s="34" t="s">
        <v>925</v>
      </c>
    </row>
    <row r="489" spans="1:8" ht="16.5">
      <c r="A489" s="1289"/>
      <c r="B489" s="1289" t="s">
        <v>933</v>
      </c>
      <c r="C489" s="1288" t="s">
        <v>0</v>
      </c>
      <c r="D489" s="1287">
        <v>1</v>
      </c>
      <c r="E489" s="1287"/>
      <c r="F489" s="1287">
        <v>8636.0700000000015</v>
      </c>
      <c r="G489" s="1286"/>
    </row>
    <row r="490" spans="1:8" ht="33">
      <c r="A490" s="1289"/>
      <c r="B490" s="1289" t="s">
        <v>934</v>
      </c>
      <c r="C490" s="1288" t="s">
        <v>0</v>
      </c>
      <c r="D490" s="1287"/>
      <c r="E490" s="1287"/>
      <c r="F490" s="1287">
        <v>8636.07</v>
      </c>
      <c r="G490" s="1286"/>
      <c r="H490" s="34" t="s">
        <v>925</v>
      </c>
    </row>
    <row r="491" spans="1:8" ht="33">
      <c r="A491" s="1289"/>
      <c r="B491" s="1289"/>
      <c r="C491" s="1288"/>
      <c r="D491" s="1287"/>
      <c r="E491" s="1287"/>
      <c r="F491" s="1287"/>
      <c r="G491" s="1286"/>
      <c r="H491" s="34" t="s">
        <v>925</v>
      </c>
    </row>
    <row r="492" spans="1:8" ht="33">
      <c r="A492" s="1289" t="s">
        <v>1230</v>
      </c>
      <c r="B492" s="1289" t="s">
        <v>1174</v>
      </c>
      <c r="C492" s="1288" t="s">
        <v>0</v>
      </c>
      <c r="D492" s="1287">
        <v>1</v>
      </c>
      <c r="E492" s="1287">
        <v>7468.45</v>
      </c>
      <c r="F492" s="1287"/>
      <c r="G492" s="1286" t="s">
        <v>1175</v>
      </c>
      <c r="H492" s="34" t="s">
        <v>925</v>
      </c>
    </row>
    <row r="493" spans="1:8" ht="42.75">
      <c r="A493" s="1289">
        <v>1</v>
      </c>
      <c r="B493" s="1289" t="s">
        <v>1176</v>
      </c>
      <c r="C493" s="1288" t="s">
        <v>0</v>
      </c>
      <c r="D493" s="1287">
        <v>1</v>
      </c>
      <c r="E493" s="1287">
        <v>6855.41</v>
      </c>
      <c r="F493" s="1287">
        <v>6855.41</v>
      </c>
      <c r="G493" s="1286" t="s">
        <v>1177</v>
      </c>
      <c r="H493" s="34" t="s">
        <v>925</v>
      </c>
    </row>
    <row r="494" spans="1:8" ht="33">
      <c r="A494" s="1289">
        <v>2</v>
      </c>
      <c r="B494" s="1289" t="s">
        <v>1159</v>
      </c>
      <c r="C494" s="1288" t="s">
        <v>0</v>
      </c>
      <c r="D494" s="1287">
        <v>1</v>
      </c>
      <c r="E494" s="1287">
        <v>25.83</v>
      </c>
      <c r="F494" s="1287">
        <v>25.83</v>
      </c>
      <c r="G494" s="1286" t="s">
        <v>1160</v>
      </c>
      <c r="H494" s="34" t="s">
        <v>925</v>
      </c>
    </row>
    <row r="495" spans="1:8" ht="33">
      <c r="A495" s="1289">
        <v>3</v>
      </c>
      <c r="B495" s="1289" t="s">
        <v>4896</v>
      </c>
      <c r="C495" s="1288" t="s">
        <v>0</v>
      </c>
      <c r="D495" s="1287">
        <v>1</v>
      </c>
      <c r="E495" s="1287">
        <v>369.68</v>
      </c>
      <c r="F495" s="1287">
        <v>369.68</v>
      </c>
      <c r="G495" s="1286" t="s">
        <v>1158</v>
      </c>
      <c r="H495" s="34" t="s">
        <v>925</v>
      </c>
    </row>
    <row r="496" spans="1:8" ht="33">
      <c r="A496" s="1289">
        <v>4</v>
      </c>
      <c r="B496" s="1289" t="s">
        <v>931</v>
      </c>
      <c r="C496" s="1288" t="s">
        <v>14</v>
      </c>
      <c r="D496" s="1287">
        <v>1</v>
      </c>
      <c r="E496" s="1287">
        <v>217.53</v>
      </c>
      <c r="F496" s="1287">
        <v>217.53</v>
      </c>
      <c r="G496" s="1286" t="s">
        <v>932</v>
      </c>
      <c r="H496" s="34" t="s">
        <v>925</v>
      </c>
    </row>
    <row r="497" spans="1:8" ht="33">
      <c r="A497" s="1289"/>
      <c r="B497" s="1289" t="s">
        <v>933</v>
      </c>
      <c r="C497" s="1288" t="s">
        <v>0</v>
      </c>
      <c r="D497" s="1287">
        <v>1</v>
      </c>
      <c r="E497" s="1287"/>
      <c r="F497" s="1287">
        <v>7468.45</v>
      </c>
      <c r="G497" s="1286"/>
      <c r="H497" s="34" t="s">
        <v>925</v>
      </c>
    </row>
    <row r="498" spans="1:8" ht="33">
      <c r="A498" s="1289"/>
      <c r="B498" s="1289" t="s">
        <v>934</v>
      </c>
      <c r="C498" s="1288" t="s">
        <v>0</v>
      </c>
      <c r="D498" s="1287"/>
      <c r="E498" s="1287"/>
      <c r="F498" s="1287">
        <v>7468.45</v>
      </c>
      <c r="G498" s="1286"/>
      <c r="H498" s="34" t="s">
        <v>925</v>
      </c>
    </row>
    <row r="499" spans="1:8" ht="33">
      <c r="A499" s="1289"/>
      <c r="B499" s="1289"/>
      <c r="C499" s="1288"/>
      <c r="D499" s="1287"/>
      <c r="E499" s="1287"/>
      <c r="F499" s="1287"/>
      <c r="G499" s="1286"/>
      <c r="H499" s="34" t="s">
        <v>925</v>
      </c>
    </row>
    <row r="500" spans="1:8" ht="42.75">
      <c r="A500" s="1289" t="s">
        <v>1235</v>
      </c>
      <c r="B500" s="1289" t="s">
        <v>1179</v>
      </c>
      <c r="C500" s="1288" t="s">
        <v>0</v>
      </c>
      <c r="D500" s="1287">
        <v>1</v>
      </c>
      <c r="E500" s="1287">
        <v>7968.56</v>
      </c>
      <c r="F500" s="1287"/>
      <c r="G500" s="1286" t="s">
        <v>1180</v>
      </c>
      <c r="H500" s="34" t="s">
        <v>925</v>
      </c>
    </row>
    <row r="501" spans="1:8" ht="42.75">
      <c r="A501" s="1289">
        <v>1</v>
      </c>
      <c r="B501" s="1289" t="s">
        <v>1176</v>
      </c>
      <c r="C501" s="1288" t="s">
        <v>0</v>
      </c>
      <c r="D501" s="1287">
        <v>1</v>
      </c>
      <c r="E501" s="1287">
        <v>6855.41</v>
      </c>
      <c r="F501" s="1287">
        <v>6855.41</v>
      </c>
      <c r="G501" s="1286" t="s">
        <v>1177</v>
      </c>
      <c r="H501" s="34" t="s">
        <v>925</v>
      </c>
    </row>
    <row r="502" spans="1:8" ht="28.5">
      <c r="A502" s="1289">
        <v>2</v>
      </c>
      <c r="B502" s="1289" t="s">
        <v>1159</v>
      </c>
      <c r="C502" s="1288" t="s">
        <v>0</v>
      </c>
      <c r="D502" s="1287">
        <v>1</v>
      </c>
      <c r="E502" s="1287">
        <v>25.83</v>
      </c>
      <c r="F502" s="1287">
        <v>25.83</v>
      </c>
      <c r="G502" s="1286" t="s">
        <v>1160</v>
      </c>
    </row>
    <row r="503" spans="1:8" ht="33">
      <c r="A503" s="1289">
        <v>3</v>
      </c>
      <c r="B503" s="1289" t="s">
        <v>4897</v>
      </c>
      <c r="C503" s="1288" t="s">
        <v>0</v>
      </c>
      <c r="D503" s="1287">
        <v>1</v>
      </c>
      <c r="E503" s="1287">
        <v>855.23</v>
      </c>
      <c r="F503" s="1287">
        <v>855.23</v>
      </c>
      <c r="G503" s="1286" t="s">
        <v>1169</v>
      </c>
      <c r="H503" s="34" t="s">
        <v>925</v>
      </c>
    </row>
    <row r="504" spans="1:8" ht="33">
      <c r="A504" s="1289">
        <v>4</v>
      </c>
      <c r="B504" s="1289" t="s">
        <v>931</v>
      </c>
      <c r="C504" s="1288" t="s">
        <v>14</v>
      </c>
      <c r="D504" s="1287">
        <v>1</v>
      </c>
      <c r="E504" s="1287">
        <v>232.09</v>
      </c>
      <c r="F504" s="1287">
        <v>232.09</v>
      </c>
      <c r="G504" s="1286" t="s">
        <v>932</v>
      </c>
      <c r="H504" s="34" t="s">
        <v>925</v>
      </c>
    </row>
    <row r="505" spans="1:8" ht="33">
      <c r="A505" s="1289"/>
      <c r="B505" s="1289" t="s">
        <v>933</v>
      </c>
      <c r="C505" s="1288" t="s">
        <v>0</v>
      </c>
      <c r="D505" s="1287">
        <v>1</v>
      </c>
      <c r="E505" s="1287"/>
      <c r="F505" s="1287">
        <v>7968.5599999999995</v>
      </c>
      <c r="G505" s="1286"/>
      <c r="H505" s="34" t="s">
        <v>925</v>
      </c>
    </row>
    <row r="506" spans="1:8" ht="33">
      <c r="A506" s="1289"/>
      <c r="B506" s="1289" t="s">
        <v>934</v>
      </c>
      <c r="C506" s="1288" t="s">
        <v>0</v>
      </c>
      <c r="D506" s="1287"/>
      <c r="E506" s="1287"/>
      <c r="F506" s="1287">
        <v>7968.56</v>
      </c>
      <c r="G506" s="1286"/>
      <c r="H506" s="34" t="s">
        <v>925</v>
      </c>
    </row>
    <row r="507" spans="1:8" ht="33">
      <c r="A507" s="1289"/>
      <c r="B507" s="1289"/>
      <c r="C507" s="1288"/>
      <c r="D507" s="1287"/>
      <c r="E507" s="1287"/>
      <c r="F507" s="1287"/>
      <c r="G507" s="1286"/>
      <c r="H507" s="34" t="s">
        <v>925</v>
      </c>
    </row>
    <row r="508" spans="1:8" ht="42.75">
      <c r="A508" s="1289" t="s">
        <v>1238</v>
      </c>
      <c r="B508" s="1289" t="s">
        <v>4477</v>
      </c>
      <c r="C508" s="1288" t="s">
        <v>0</v>
      </c>
      <c r="D508" s="1287">
        <v>1</v>
      </c>
      <c r="E508" s="1287">
        <v>8462.1</v>
      </c>
      <c r="F508" s="1287"/>
      <c r="G508" s="1286" t="s">
        <v>4900</v>
      </c>
      <c r="H508" s="34" t="s">
        <v>925</v>
      </c>
    </row>
    <row r="509" spans="1:8" ht="42.75">
      <c r="A509" s="1289">
        <v>1</v>
      </c>
      <c r="B509" s="1289" t="s">
        <v>1176</v>
      </c>
      <c r="C509" s="1288" t="s">
        <v>0</v>
      </c>
      <c r="D509" s="1287">
        <v>1</v>
      </c>
      <c r="E509" s="1287">
        <v>6855.41</v>
      </c>
      <c r="F509" s="1287">
        <v>6855.41</v>
      </c>
      <c r="G509" s="1286" t="s">
        <v>1177</v>
      </c>
      <c r="H509" s="34" t="s">
        <v>925</v>
      </c>
    </row>
    <row r="510" spans="1:8" ht="33">
      <c r="A510" s="1289">
        <v>2</v>
      </c>
      <c r="B510" s="1289" t="s">
        <v>1159</v>
      </c>
      <c r="C510" s="1288" t="s">
        <v>0</v>
      </c>
      <c r="D510" s="1287">
        <v>1</v>
      </c>
      <c r="E510" s="1287">
        <v>25.83</v>
      </c>
      <c r="F510" s="1287">
        <v>25.83</v>
      </c>
      <c r="G510" s="1286" t="s">
        <v>1160</v>
      </c>
      <c r="H510" s="34" t="s">
        <v>925</v>
      </c>
    </row>
    <row r="511" spans="1:8" ht="33">
      <c r="A511" s="1289">
        <v>3</v>
      </c>
      <c r="B511" s="1289" t="s">
        <v>4898</v>
      </c>
      <c r="C511" s="1288" t="s">
        <v>0</v>
      </c>
      <c r="D511" s="1287">
        <v>1</v>
      </c>
      <c r="E511" s="1287">
        <v>1334.39</v>
      </c>
      <c r="F511" s="1287">
        <v>1334.39</v>
      </c>
      <c r="G511" s="1286" t="s">
        <v>4899</v>
      </c>
      <c r="H511" s="34" t="s">
        <v>925</v>
      </c>
    </row>
    <row r="512" spans="1:8" ht="33">
      <c r="A512" s="1289">
        <v>4</v>
      </c>
      <c r="B512" s="1289" t="s">
        <v>931</v>
      </c>
      <c r="C512" s="1288" t="s">
        <v>14</v>
      </c>
      <c r="D512" s="1287">
        <v>1</v>
      </c>
      <c r="E512" s="1287">
        <v>246.47</v>
      </c>
      <c r="F512" s="1287">
        <v>246.47</v>
      </c>
      <c r="G512" s="1286" t="s">
        <v>932</v>
      </c>
      <c r="H512" s="34" t="s">
        <v>925</v>
      </c>
    </row>
    <row r="513" spans="1:8" ht="33">
      <c r="A513" s="1289"/>
      <c r="B513" s="1289" t="s">
        <v>933</v>
      </c>
      <c r="C513" s="1288" t="s">
        <v>0</v>
      </c>
      <c r="D513" s="1287">
        <v>1</v>
      </c>
      <c r="E513" s="1287"/>
      <c r="F513" s="1287">
        <v>8462.0999999999985</v>
      </c>
      <c r="G513" s="1286"/>
      <c r="H513" s="34" t="s">
        <v>925</v>
      </c>
    </row>
    <row r="514" spans="1:8" ht="33">
      <c r="A514" s="1289"/>
      <c r="B514" s="1289" t="s">
        <v>934</v>
      </c>
      <c r="C514" s="1288" t="s">
        <v>0</v>
      </c>
      <c r="D514" s="1287"/>
      <c r="E514" s="1287"/>
      <c r="F514" s="1287">
        <v>8462.1</v>
      </c>
      <c r="G514" s="1286"/>
      <c r="H514" s="34" t="s">
        <v>925</v>
      </c>
    </row>
    <row r="515" spans="1:8" ht="16.5">
      <c r="A515" s="1289"/>
      <c r="B515" s="1289"/>
      <c r="C515" s="1288"/>
      <c r="D515" s="1287"/>
      <c r="E515" s="1287"/>
      <c r="F515" s="1287"/>
      <c r="G515" s="1286"/>
    </row>
    <row r="516" spans="1:8" ht="33">
      <c r="A516" s="1289" t="s">
        <v>1241</v>
      </c>
      <c r="B516" s="1289" t="s">
        <v>1182</v>
      </c>
      <c r="C516" s="1288" t="s">
        <v>0</v>
      </c>
      <c r="D516" s="1287">
        <v>1</v>
      </c>
      <c r="E516" s="1287">
        <v>7980.12</v>
      </c>
      <c r="F516" s="1287"/>
      <c r="G516" s="1286" t="s">
        <v>1183</v>
      </c>
      <c r="H516" s="34" t="s">
        <v>925</v>
      </c>
    </row>
    <row r="517" spans="1:8" ht="33">
      <c r="A517" s="1289">
        <v>1</v>
      </c>
      <c r="B517" s="1289" t="s">
        <v>1184</v>
      </c>
      <c r="C517" s="1288" t="s">
        <v>0</v>
      </c>
      <c r="D517" s="1287">
        <v>1</v>
      </c>
      <c r="E517" s="1287">
        <v>7352.18</v>
      </c>
      <c r="F517" s="1287">
        <v>7352.18</v>
      </c>
      <c r="G517" s="1286" t="s">
        <v>1185</v>
      </c>
      <c r="H517" s="34" t="s">
        <v>925</v>
      </c>
    </row>
    <row r="518" spans="1:8" ht="33">
      <c r="A518" s="1289">
        <v>2</v>
      </c>
      <c r="B518" s="1289" t="s">
        <v>4896</v>
      </c>
      <c r="C518" s="1288" t="s">
        <v>0</v>
      </c>
      <c r="D518" s="1287">
        <v>1</v>
      </c>
      <c r="E518" s="1287">
        <v>369.68</v>
      </c>
      <c r="F518" s="1287">
        <v>369.68</v>
      </c>
      <c r="G518" s="1286" t="s">
        <v>1158</v>
      </c>
      <c r="H518" s="34" t="s">
        <v>925</v>
      </c>
    </row>
    <row r="519" spans="1:8" ht="33">
      <c r="A519" s="1289">
        <v>3</v>
      </c>
      <c r="B519" s="1289" t="s">
        <v>1159</v>
      </c>
      <c r="C519" s="1288" t="s">
        <v>0</v>
      </c>
      <c r="D519" s="1287">
        <v>1</v>
      </c>
      <c r="E519" s="1287">
        <v>25.83</v>
      </c>
      <c r="F519" s="1287">
        <v>25.83</v>
      </c>
      <c r="G519" s="1286" t="s">
        <v>1160</v>
      </c>
      <c r="H519" s="34" t="s">
        <v>925</v>
      </c>
    </row>
    <row r="520" spans="1:8" ht="33">
      <c r="A520" s="1289">
        <v>4</v>
      </c>
      <c r="B520" s="1289" t="s">
        <v>931</v>
      </c>
      <c r="C520" s="1288" t="s">
        <v>14</v>
      </c>
      <c r="D520" s="1287">
        <v>1</v>
      </c>
      <c r="E520" s="1287">
        <v>232.43</v>
      </c>
      <c r="F520" s="1287">
        <v>232.43</v>
      </c>
      <c r="G520" s="1286" t="s">
        <v>932</v>
      </c>
      <c r="H520" s="34" t="s">
        <v>925</v>
      </c>
    </row>
    <row r="521" spans="1:8" ht="33">
      <c r="A521" s="1289"/>
      <c r="B521" s="1289" t="s">
        <v>933</v>
      </c>
      <c r="C521" s="1288" t="s">
        <v>0</v>
      </c>
      <c r="D521" s="1287">
        <v>1</v>
      </c>
      <c r="E521" s="1287"/>
      <c r="F521" s="1287">
        <v>7980.1200000000008</v>
      </c>
      <c r="G521" s="1286"/>
      <c r="H521" s="34" t="s">
        <v>925</v>
      </c>
    </row>
    <row r="522" spans="1:8" ht="33">
      <c r="A522" s="1289"/>
      <c r="B522" s="1289" t="s">
        <v>934</v>
      </c>
      <c r="C522" s="1288" t="s">
        <v>0</v>
      </c>
      <c r="D522" s="1287"/>
      <c r="E522" s="1287"/>
      <c r="F522" s="1287">
        <v>7980.12</v>
      </c>
      <c r="G522" s="1286"/>
      <c r="H522" s="34" t="s">
        <v>925</v>
      </c>
    </row>
    <row r="523" spans="1:8" ht="33">
      <c r="A523" s="1289"/>
      <c r="B523" s="1289"/>
      <c r="C523" s="1288"/>
      <c r="D523" s="1287"/>
      <c r="E523" s="1287"/>
      <c r="F523" s="1287"/>
      <c r="G523" s="1286"/>
      <c r="H523" s="34" t="s">
        <v>925</v>
      </c>
    </row>
    <row r="524" spans="1:8" ht="33">
      <c r="A524" s="1289" t="s">
        <v>1249</v>
      </c>
      <c r="B524" s="1289" t="s">
        <v>1187</v>
      </c>
      <c r="C524" s="1288" t="s">
        <v>0</v>
      </c>
      <c r="D524" s="1287">
        <v>1</v>
      </c>
      <c r="E524" s="1287">
        <v>7079.58</v>
      </c>
      <c r="F524" s="1287"/>
      <c r="G524" s="1286" t="s">
        <v>1188</v>
      </c>
      <c r="H524" s="34" t="s">
        <v>925</v>
      </c>
    </row>
    <row r="525" spans="1:8" ht="33">
      <c r="A525" s="1289">
        <v>1</v>
      </c>
      <c r="B525" s="1289" t="s">
        <v>4896</v>
      </c>
      <c r="C525" s="1288" t="s">
        <v>0</v>
      </c>
      <c r="D525" s="1287">
        <v>1</v>
      </c>
      <c r="E525" s="1287">
        <v>369.68</v>
      </c>
      <c r="F525" s="1287">
        <v>369.68</v>
      </c>
      <c r="G525" s="1286" t="s">
        <v>1158</v>
      </c>
      <c r="H525" s="34" t="s">
        <v>925</v>
      </c>
    </row>
    <row r="526" spans="1:8" ht="42.75">
      <c r="A526" s="1289">
        <v>2</v>
      </c>
      <c r="B526" s="1289" t="s">
        <v>1189</v>
      </c>
      <c r="C526" s="1288" t="s">
        <v>0</v>
      </c>
      <c r="D526" s="1287">
        <v>1</v>
      </c>
      <c r="E526" s="1287">
        <v>6477.87</v>
      </c>
      <c r="F526" s="1287">
        <v>6477.87</v>
      </c>
      <c r="G526" s="1286" t="s">
        <v>1190</v>
      </c>
      <c r="H526" s="34" t="s">
        <v>925</v>
      </c>
    </row>
    <row r="527" spans="1:8" ht="33">
      <c r="A527" s="1289">
        <v>3</v>
      </c>
      <c r="B527" s="1289" t="s">
        <v>1159</v>
      </c>
      <c r="C527" s="1288" t="s">
        <v>0</v>
      </c>
      <c r="D527" s="1287">
        <v>1</v>
      </c>
      <c r="E527" s="1287">
        <v>25.83</v>
      </c>
      <c r="F527" s="1287">
        <v>25.83</v>
      </c>
      <c r="G527" s="1286" t="s">
        <v>1160</v>
      </c>
      <c r="H527" s="34" t="s">
        <v>925</v>
      </c>
    </row>
    <row r="528" spans="1:8" ht="28.5">
      <c r="A528" s="1289">
        <v>4</v>
      </c>
      <c r="B528" s="1289" t="s">
        <v>931</v>
      </c>
      <c r="C528" s="1288" t="s">
        <v>14</v>
      </c>
      <c r="D528" s="1287">
        <v>1</v>
      </c>
      <c r="E528" s="1287">
        <v>206.2</v>
      </c>
      <c r="F528" s="1287">
        <v>206.2</v>
      </c>
      <c r="G528" s="1286" t="s">
        <v>932</v>
      </c>
    </row>
    <row r="529" spans="1:8" ht="33">
      <c r="A529" s="1289"/>
      <c r="B529" s="1289" t="s">
        <v>933</v>
      </c>
      <c r="C529" s="1288" t="s">
        <v>0</v>
      </c>
      <c r="D529" s="1287">
        <v>1</v>
      </c>
      <c r="E529" s="1287"/>
      <c r="F529" s="1287">
        <v>7079.58</v>
      </c>
      <c r="G529" s="1286"/>
      <c r="H529" s="34" t="s">
        <v>925</v>
      </c>
    </row>
    <row r="530" spans="1:8" ht="33">
      <c r="A530" s="1289"/>
      <c r="B530" s="1289" t="s">
        <v>934</v>
      </c>
      <c r="C530" s="1288" t="s">
        <v>0</v>
      </c>
      <c r="D530" s="1287"/>
      <c r="E530" s="1287"/>
      <c r="F530" s="1287">
        <v>7079.58</v>
      </c>
      <c r="G530" s="1286"/>
      <c r="H530" s="34" t="s">
        <v>925</v>
      </c>
    </row>
    <row r="531" spans="1:8" ht="33">
      <c r="A531" s="1289"/>
      <c r="B531" s="1289"/>
      <c r="C531" s="1288"/>
      <c r="D531" s="1287"/>
      <c r="E531" s="1287"/>
      <c r="F531" s="1287"/>
      <c r="G531" s="1286"/>
      <c r="H531" s="34" t="s">
        <v>925</v>
      </c>
    </row>
    <row r="532" spans="1:8" ht="42.75">
      <c r="A532" s="1289" t="s">
        <v>1252</v>
      </c>
      <c r="B532" s="1289" t="s">
        <v>1192</v>
      </c>
      <c r="C532" s="1288" t="s">
        <v>0</v>
      </c>
      <c r="D532" s="1287">
        <v>1</v>
      </c>
      <c r="E532" s="1287">
        <v>7579.7</v>
      </c>
      <c r="F532" s="1287"/>
      <c r="G532" s="1286" t="s">
        <v>1193</v>
      </c>
      <c r="H532" s="34" t="s">
        <v>925</v>
      </c>
    </row>
    <row r="533" spans="1:8" ht="33">
      <c r="A533" s="1289">
        <v>1</v>
      </c>
      <c r="B533" s="1289" t="s">
        <v>4897</v>
      </c>
      <c r="C533" s="1288" t="s">
        <v>0</v>
      </c>
      <c r="D533" s="1287">
        <v>1</v>
      </c>
      <c r="E533" s="1287">
        <v>855.23</v>
      </c>
      <c r="F533" s="1287">
        <v>855.23</v>
      </c>
      <c r="G533" s="1286" t="s">
        <v>1169</v>
      </c>
      <c r="H533" s="34" t="s">
        <v>925</v>
      </c>
    </row>
    <row r="534" spans="1:8" ht="42.75">
      <c r="A534" s="1289">
        <v>2</v>
      </c>
      <c r="B534" s="1289" t="s">
        <v>1189</v>
      </c>
      <c r="C534" s="1288" t="s">
        <v>0</v>
      </c>
      <c r="D534" s="1287">
        <v>1</v>
      </c>
      <c r="E534" s="1287">
        <v>6477.87</v>
      </c>
      <c r="F534" s="1287">
        <v>6477.87</v>
      </c>
      <c r="G534" s="1286" t="s">
        <v>1190</v>
      </c>
      <c r="H534" s="34" t="s">
        <v>925</v>
      </c>
    </row>
    <row r="535" spans="1:8" ht="33">
      <c r="A535" s="1289">
        <v>3</v>
      </c>
      <c r="B535" s="1289" t="s">
        <v>1159</v>
      </c>
      <c r="C535" s="1288" t="s">
        <v>0</v>
      </c>
      <c r="D535" s="1287">
        <v>1</v>
      </c>
      <c r="E535" s="1287">
        <v>25.83</v>
      </c>
      <c r="F535" s="1287">
        <v>25.83</v>
      </c>
      <c r="G535" s="1286" t="s">
        <v>1160</v>
      </c>
      <c r="H535" s="34" t="s">
        <v>925</v>
      </c>
    </row>
    <row r="536" spans="1:8" ht="33">
      <c r="A536" s="1289">
        <v>4</v>
      </c>
      <c r="B536" s="1289" t="s">
        <v>931</v>
      </c>
      <c r="C536" s="1288" t="s">
        <v>14</v>
      </c>
      <c r="D536" s="1287">
        <v>1</v>
      </c>
      <c r="E536" s="1287">
        <v>220.77</v>
      </c>
      <c r="F536" s="1287">
        <v>220.77</v>
      </c>
      <c r="G536" s="1286" t="s">
        <v>932</v>
      </c>
      <c r="H536" s="34" t="s">
        <v>925</v>
      </c>
    </row>
    <row r="537" spans="1:8" ht="33">
      <c r="A537" s="1289"/>
      <c r="B537" s="1289" t="s">
        <v>933</v>
      </c>
      <c r="C537" s="1288" t="s">
        <v>0</v>
      </c>
      <c r="D537" s="1287">
        <v>1</v>
      </c>
      <c r="E537" s="1287"/>
      <c r="F537" s="1287">
        <v>7579.7000000000007</v>
      </c>
      <c r="G537" s="1286"/>
      <c r="H537" s="34" t="s">
        <v>925</v>
      </c>
    </row>
    <row r="538" spans="1:8" ht="33">
      <c r="A538" s="1289"/>
      <c r="B538" s="1289" t="s">
        <v>934</v>
      </c>
      <c r="C538" s="1288" t="s">
        <v>0</v>
      </c>
      <c r="D538" s="1287"/>
      <c r="E538" s="1287"/>
      <c r="F538" s="1287">
        <v>7579.7</v>
      </c>
      <c r="G538" s="1286"/>
      <c r="H538" s="34" t="s">
        <v>925</v>
      </c>
    </row>
    <row r="539" spans="1:8" ht="33">
      <c r="A539" s="1289"/>
      <c r="B539" s="1289"/>
      <c r="C539" s="1288"/>
      <c r="D539" s="1287"/>
      <c r="E539" s="1287"/>
      <c r="F539" s="1287"/>
      <c r="G539" s="1286"/>
      <c r="H539" s="34" t="s">
        <v>925</v>
      </c>
    </row>
    <row r="540" spans="1:8" ht="42.75">
      <c r="A540" s="1289" t="s">
        <v>1257</v>
      </c>
      <c r="B540" s="1289" t="s">
        <v>4482</v>
      </c>
      <c r="C540" s="1288" t="s">
        <v>0</v>
      </c>
      <c r="D540" s="1287">
        <v>1</v>
      </c>
      <c r="E540" s="1287">
        <v>8073.23</v>
      </c>
      <c r="F540" s="1287"/>
      <c r="G540" s="1286" t="s">
        <v>4901</v>
      </c>
      <c r="H540" s="34" t="s">
        <v>925</v>
      </c>
    </row>
    <row r="541" spans="1:8" ht="28.5">
      <c r="A541" s="1289">
        <v>1</v>
      </c>
      <c r="B541" s="1289" t="s">
        <v>4898</v>
      </c>
      <c r="C541" s="1288" t="s">
        <v>0</v>
      </c>
      <c r="D541" s="1287">
        <v>1</v>
      </c>
      <c r="E541" s="1287">
        <v>1334.39</v>
      </c>
      <c r="F541" s="1287">
        <v>1334.39</v>
      </c>
      <c r="G541" s="1286" t="s">
        <v>4899</v>
      </c>
    </row>
    <row r="542" spans="1:8" ht="42.75">
      <c r="A542" s="1289">
        <v>2</v>
      </c>
      <c r="B542" s="1289" t="s">
        <v>1189</v>
      </c>
      <c r="C542" s="1288" t="s">
        <v>0</v>
      </c>
      <c r="D542" s="1287">
        <v>1</v>
      </c>
      <c r="E542" s="1287">
        <v>6477.87</v>
      </c>
      <c r="F542" s="1287">
        <v>6477.87</v>
      </c>
      <c r="G542" s="1286" t="s">
        <v>1190</v>
      </c>
      <c r="H542" s="34" t="s">
        <v>925</v>
      </c>
    </row>
    <row r="543" spans="1:8" ht="33">
      <c r="A543" s="1289">
        <v>3</v>
      </c>
      <c r="B543" s="1289" t="s">
        <v>1159</v>
      </c>
      <c r="C543" s="1288" t="s">
        <v>0</v>
      </c>
      <c r="D543" s="1287">
        <v>1</v>
      </c>
      <c r="E543" s="1287">
        <v>25.83</v>
      </c>
      <c r="F543" s="1287">
        <v>25.83</v>
      </c>
      <c r="G543" s="1286" t="s">
        <v>1160</v>
      </c>
      <c r="H543" s="34" t="s">
        <v>925</v>
      </c>
    </row>
    <row r="544" spans="1:8" ht="33">
      <c r="A544" s="1289">
        <v>4</v>
      </c>
      <c r="B544" s="1289" t="s">
        <v>931</v>
      </c>
      <c r="C544" s="1288" t="s">
        <v>14</v>
      </c>
      <c r="D544" s="1287">
        <v>1</v>
      </c>
      <c r="E544" s="1287">
        <v>235.14</v>
      </c>
      <c r="F544" s="1287">
        <v>235.14</v>
      </c>
      <c r="G544" s="1286" t="s">
        <v>932</v>
      </c>
      <c r="H544" s="34" t="s">
        <v>925</v>
      </c>
    </row>
    <row r="545" spans="1:8" ht="33">
      <c r="A545" s="1289"/>
      <c r="B545" s="1289" t="s">
        <v>933</v>
      </c>
      <c r="C545" s="1288" t="s">
        <v>0</v>
      </c>
      <c r="D545" s="1287">
        <v>1</v>
      </c>
      <c r="E545" s="1287"/>
      <c r="F545" s="1287">
        <v>8073.2300000000005</v>
      </c>
      <c r="G545" s="1286"/>
      <c r="H545" s="34" t="s">
        <v>925</v>
      </c>
    </row>
    <row r="546" spans="1:8" ht="33">
      <c r="A546" s="1289"/>
      <c r="B546" s="1289" t="s">
        <v>934</v>
      </c>
      <c r="C546" s="1288" t="s">
        <v>0</v>
      </c>
      <c r="D546" s="1287"/>
      <c r="E546" s="1287"/>
      <c r="F546" s="1287">
        <v>8073.23</v>
      </c>
      <c r="G546" s="1286"/>
      <c r="H546" s="34" t="s">
        <v>925</v>
      </c>
    </row>
    <row r="547" spans="1:8" ht="33">
      <c r="A547" s="1289"/>
      <c r="B547" s="1289"/>
      <c r="C547" s="1288"/>
      <c r="D547" s="1287"/>
      <c r="E547" s="1287"/>
      <c r="F547" s="1287"/>
      <c r="G547" s="1286"/>
      <c r="H547" s="34" t="s">
        <v>925</v>
      </c>
    </row>
    <row r="548" spans="1:8" ht="33">
      <c r="A548" s="1289" t="s">
        <v>1269</v>
      </c>
      <c r="B548" s="1289" t="s">
        <v>1195</v>
      </c>
      <c r="C548" s="1288" t="s">
        <v>0</v>
      </c>
      <c r="D548" s="1287">
        <v>1</v>
      </c>
      <c r="E548" s="1287">
        <v>6711.18</v>
      </c>
      <c r="F548" s="1287"/>
      <c r="G548" s="1286" t="s">
        <v>1196</v>
      </c>
      <c r="H548" s="34" t="s">
        <v>925</v>
      </c>
    </row>
    <row r="549" spans="1:8" ht="33">
      <c r="A549" s="1289">
        <v>1</v>
      </c>
      <c r="B549" s="1289" t="s">
        <v>4896</v>
      </c>
      <c r="C549" s="1288" t="s">
        <v>0</v>
      </c>
      <c r="D549" s="1287">
        <v>1</v>
      </c>
      <c r="E549" s="1287">
        <v>369.68</v>
      </c>
      <c r="F549" s="1287">
        <v>369.68</v>
      </c>
      <c r="G549" s="1286" t="s">
        <v>1158</v>
      </c>
      <c r="H549" s="34" t="s">
        <v>925</v>
      </c>
    </row>
    <row r="550" spans="1:8" ht="42.75">
      <c r="A550" s="1289">
        <v>2</v>
      </c>
      <c r="B550" s="1289" t="s">
        <v>1197</v>
      </c>
      <c r="C550" s="1288" t="s">
        <v>0</v>
      </c>
      <c r="D550" s="1287">
        <v>1</v>
      </c>
      <c r="E550" s="1287">
        <v>6120.2</v>
      </c>
      <c r="F550" s="1287">
        <v>6120.2</v>
      </c>
      <c r="G550" s="1286" t="s">
        <v>1198</v>
      </c>
      <c r="H550" s="34" t="s">
        <v>925</v>
      </c>
    </row>
    <row r="551" spans="1:8" ht="28.5">
      <c r="A551" s="1289">
        <v>3</v>
      </c>
      <c r="B551" s="1289" t="s">
        <v>1159</v>
      </c>
      <c r="C551" s="1288" t="s">
        <v>0</v>
      </c>
      <c r="D551" s="1287">
        <v>1</v>
      </c>
      <c r="E551" s="1287">
        <v>25.83</v>
      </c>
      <c r="F551" s="1287">
        <v>25.83</v>
      </c>
      <c r="G551" s="1286" t="s">
        <v>1160</v>
      </c>
    </row>
    <row r="552" spans="1:8" ht="33">
      <c r="A552" s="1289">
        <v>4</v>
      </c>
      <c r="B552" s="1289" t="s">
        <v>931</v>
      </c>
      <c r="C552" s="1288" t="s">
        <v>14</v>
      </c>
      <c r="D552" s="1287">
        <v>1</v>
      </c>
      <c r="E552" s="1287">
        <v>195.47</v>
      </c>
      <c r="F552" s="1287">
        <v>195.47</v>
      </c>
      <c r="G552" s="1286" t="s">
        <v>932</v>
      </c>
      <c r="H552" s="34" t="s">
        <v>925</v>
      </c>
    </row>
    <row r="553" spans="1:8" ht="33">
      <c r="A553" s="1289"/>
      <c r="B553" s="1289" t="s">
        <v>933</v>
      </c>
      <c r="C553" s="1288" t="s">
        <v>0</v>
      </c>
      <c r="D553" s="1287">
        <v>1</v>
      </c>
      <c r="E553" s="1287"/>
      <c r="F553" s="1287">
        <v>6711.18</v>
      </c>
      <c r="G553" s="1286"/>
      <c r="H553" s="34" t="s">
        <v>925</v>
      </c>
    </row>
    <row r="554" spans="1:8" ht="33">
      <c r="A554" s="1289"/>
      <c r="B554" s="1289" t="s">
        <v>934</v>
      </c>
      <c r="C554" s="1288" t="s">
        <v>0</v>
      </c>
      <c r="D554" s="1287"/>
      <c r="E554" s="1287"/>
      <c r="F554" s="1287">
        <v>6711.18</v>
      </c>
      <c r="G554" s="1286"/>
      <c r="H554" s="34" t="s">
        <v>925</v>
      </c>
    </row>
    <row r="555" spans="1:8" ht="33">
      <c r="A555" s="1289"/>
      <c r="B555" s="1289"/>
      <c r="C555" s="1288"/>
      <c r="D555" s="1287"/>
      <c r="E555" s="1287"/>
      <c r="F555" s="1287"/>
      <c r="G555" s="1286"/>
      <c r="H555" s="34" t="s">
        <v>925</v>
      </c>
    </row>
    <row r="556" spans="1:8" ht="42.75">
      <c r="A556" s="1289" t="s">
        <v>1274</v>
      </c>
      <c r="B556" s="1289" t="s">
        <v>1200</v>
      </c>
      <c r="C556" s="1288" t="s">
        <v>0</v>
      </c>
      <c r="D556" s="1287">
        <v>1</v>
      </c>
      <c r="E556" s="1287">
        <v>7211.3</v>
      </c>
      <c r="F556" s="1287"/>
      <c r="G556" s="1286" t="s">
        <v>1201</v>
      </c>
      <c r="H556" s="34" t="s">
        <v>925</v>
      </c>
    </row>
    <row r="557" spans="1:8" ht="33">
      <c r="A557" s="1289">
        <v>1</v>
      </c>
      <c r="B557" s="1289" t="s">
        <v>4897</v>
      </c>
      <c r="C557" s="1288" t="s">
        <v>0</v>
      </c>
      <c r="D557" s="1287">
        <v>1</v>
      </c>
      <c r="E557" s="1287">
        <v>855.23</v>
      </c>
      <c r="F557" s="1287">
        <v>855.23</v>
      </c>
      <c r="G557" s="1286" t="s">
        <v>1169</v>
      </c>
      <c r="H557" s="34" t="s">
        <v>925</v>
      </c>
    </row>
    <row r="558" spans="1:8" ht="42.75">
      <c r="A558" s="1289">
        <v>2</v>
      </c>
      <c r="B558" s="1289" t="s">
        <v>1197</v>
      </c>
      <c r="C558" s="1288" t="s">
        <v>0</v>
      </c>
      <c r="D558" s="1287">
        <v>1</v>
      </c>
      <c r="E558" s="1287">
        <v>6120.2</v>
      </c>
      <c r="F558" s="1287">
        <v>6120.2</v>
      </c>
      <c r="G558" s="1286" t="s">
        <v>1198</v>
      </c>
      <c r="H558" s="34" t="s">
        <v>925</v>
      </c>
    </row>
    <row r="559" spans="1:8" ht="33">
      <c r="A559" s="1289">
        <v>3</v>
      </c>
      <c r="B559" s="1289" t="s">
        <v>1159</v>
      </c>
      <c r="C559" s="1288" t="s">
        <v>0</v>
      </c>
      <c r="D559" s="1287">
        <v>1</v>
      </c>
      <c r="E559" s="1287">
        <v>25.83</v>
      </c>
      <c r="F559" s="1287">
        <v>25.83</v>
      </c>
      <c r="G559" s="1286" t="s">
        <v>1160</v>
      </c>
      <c r="H559" s="34" t="s">
        <v>925</v>
      </c>
    </row>
    <row r="560" spans="1:8" ht="33">
      <c r="A560" s="1289">
        <v>4</v>
      </c>
      <c r="B560" s="1289" t="s">
        <v>931</v>
      </c>
      <c r="C560" s="1288" t="s">
        <v>14</v>
      </c>
      <c r="D560" s="1287">
        <v>1</v>
      </c>
      <c r="E560" s="1287">
        <v>210.04</v>
      </c>
      <c r="F560" s="1287">
        <v>210.04</v>
      </c>
      <c r="G560" s="1286" t="s">
        <v>932</v>
      </c>
      <c r="H560" s="34" t="s">
        <v>925</v>
      </c>
    </row>
    <row r="561" spans="1:8" ht="16.5">
      <c r="A561" s="1289"/>
      <c r="B561" s="1289" t="s">
        <v>933</v>
      </c>
      <c r="C561" s="1288" t="s">
        <v>0</v>
      </c>
      <c r="D561" s="1287">
        <v>1</v>
      </c>
      <c r="E561" s="1287"/>
      <c r="F561" s="1287">
        <v>7211.3</v>
      </c>
      <c r="G561" s="1286"/>
    </row>
    <row r="562" spans="1:8" ht="33">
      <c r="A562" s="1289"/>
      <c r="B562" s="1289" t="s">
        <v>934</v>
      </c>
      <c r="C562" s="1288" t="s">
        <v>0</v>
      </c>
      <c r="D562" s="1287"/>
      <c r="E562" s="1287"/>
      <c r="F562" s="1287">
        <v>7211.3</v>
      </c>
      <c r="G562" s="1286"/>
      <c r="H562" s="34" t="s">
        <v>925</v>
      </c>
    </row>
    <row r="563" spans="1:8" ht="33">
      <c r="A563" s="1289"/>
      <c r="B563" s="1289"/>
      <c r="C563" s="1288"/>
      <c r="D563" s="1287"/>
      <c r="E563" s="1287"/>
      <c r="F563" s="1287"/>
      <c r="G563" s="1286"/>
      <c r="H563" s="34" t="s">
        <v>925</v>
      </c>
    </row>
    <row r="564" spans="1:8" ht="42.75">
      <c r="A564" s="1289" t="s">
        <v>1279</v>
      </c>
      <c r="B564" s="1289" t="s">
        <v>4486</v>
      </c>
      <c r="C564" s="1288" t="s">
        <v>0</v>
      </c>
      <c r="D564" s="1287">
        <v>1</v>
      </c>
      <c r="E564" s="1287">
        <v>7704.83</v>
      </c>
      <c r="F564" s="1287"/>
      <c r="G564" s="1286" t="s">
        <v>4902</v>
      </c>
      <c r="H564" s="34" t="s">
        <v>925</v>
      </c>
    </row>
    <row r="565" spans="1:8" ht="33">
      <c r="A565" s="1289">
        <v>1</v>
      </c>
      <c r="B565" s="1289" t="s">
        <v>4898</v>
      </c>
      <c r="C565" s="1288" t="s">
        <v>0</v>
      </c>
      <c r="D565" s="1287">
        <v>1</v>
      </c>
      <c r="E565" s="1287">
        <v>1334.39</v>
      </c>
      <c r="F565" s="1287">
        <v>1334.39</v>
      </c>
      <c r="G565" s="1286" t="s">
        <v>4899</v>
      </c>
      <c r="H565" s="34" t="s">
        <v>925</v>
      </c>
    </row>
    <row r="566" spans="1:8" ht="42.75">
      <c r="A566" s="1289">
        <v>2</v>
      </c>
      <c r="B566" s="1289" t="s">
        <v>1197</v>
      </c>
      <c r="C566" s="1288" t="s">
        <v>0</v>
      </c>
      <c r="D566" s="1287">
        <v>1</v>
      </c>
      <c r="E566" s="1287">
        <v>6120.2</v>
      </c>
      <c r="F566" s="1287">
        <v>6120.2</v>
      </c>
      <c r="G566" s="1286" t="s">
        <v>1198</v>
      </c>
      <c r="H566" s="34" t="s">
        <v>925</v>
      </c>
    </row>
    <row r="567" spans="1:8" ht="33">
      <c r="A567" s="1289">
        <v>3</v>
      </c>
      <c r="B567" s="1289" t="s">
        <v>1159</v>
      </c>
      <c r="C567" s="1288" t="s">
        <v>0</v>
      </c>
      <c r="D567" s="1287">
        <v>1</v>
      </c>
      <c r="E567" s="1287">
        <v>25.83</v>
      </c>
      <c r="F567" s="1287">
        <v>25.83</v>
      </c>
      <c r="G567" s="1286" t="s">
        <v>1160</v>
      </c>
      <c r="H567" s="34" t="s">
        <v>925</v>
      </c>
    </row>
    <row r="568" spans="1:8" ht="33">
      <c r="A568" s="1289">
        <v>4</v>
      </c>
      <c r="B568" s="1289" t="s">
        <v>931</v>
      </c>
      <c r="C568" s="1288" t="s">
        <v>14</v>
      </c>
      <c r="D568" s="1287">
        <v>1</v>
      </c>
      <c r="E568" s="1287">
        <v>224.41</v>
      </c>
      <c r="F568" s="1287">
        <v>224.41</v>
      </c>
      <c r="G568" s="1286" t="s">
        <v>932</v>
      </c>
      <c r="H568" s="34" t="s">
        <v>925</v>
      </c>
    </row>
    <row r="569" spans="1:8" ht="33">
      <c r="A569" s="1289"/>
      <c r="B569" s="1289" t="s">
        <v>933</v>
      </c>
      <c r="C569" s="1288" t="s">
        <v>0</v>
      </c>
      <c r="D569" s="1287">
        <v>1</v>
      </c>
      <c r="E569" s="1287"/>
      <c r="F569" s="1287">
        <v>7704.83</v>
      </c>
      <c r="G569" s="1286"/>
      <c r="H569" s="34" t="s">
        <v>925</v>
      </c>
    </row>
    <row r="570" spans="1:8" ht="33">
      <c r="A570" s="1289"/>
      <c r="B570" s="1289" t="s">
        <v>934</v>
      </c>
      <c r="C570" s="1288" t="s">
        <v>0</v>
      </c>
      <c r="D570" s="1287"/>
      <c r="E570" s="1287"/>
      <c r="F570" s="1287">
        <v>7704.83</v>
      </c>
      <c r="G570" s="1286"/>
      <c r="H570" s="34" t="s">
        <v>925</v>
      </c>
    </row>
    <row r="571" spans="1:8" ht="33">
      <c r="A571" s="1289"/>
      <c r="B571" s="1289"/>
      <c r="C571" s="1288"/>
      <c r="D571" s="1287"/>
      <c r="E571" s="1287"/>
      <c r="F571" s="1287"/>
      <c r="G571" s="1286"/>
      <c r="H571" s="34" t="s">
        <v>925</v>
      </c>
    </row>
    <row r="572" spans="1:8" ht="28.5">
      <c r="A572" s="1289" t="s">
        <v>1284</v>
      </c>
      <c r="B572" s="1289" t="s">
        <v>1203</v>
      </c>
      <c r="C572" s="1288" t="s">
        <v>0</v>
      </c>
      <c r="D572" s="1287">
        <v>1</v>
      </c>
      <c r="E572" s="1287">
        <v>57072.22</v>
      </c>
      <c r="F572" s="1287"/>
      <c r="G572" s="1286" t="s">
        <v>1204</v>
      </c>
    </row>
    <row r="573" spans="1:8" ht="33">
      <c r="A573" s="1289">
        <v>1</v>
      </c>
      <c r="B573" s="1289" t="s">
        <v>1205</v>
      </c>
      <c r="C573" s="1288" t="s">
        <v>1206</v>
      </c>
      <c r="D573" s="1287">
        <v>575</v>
      </c>
      <c r="E573" s="1287">
        <v>89.42</v>
      </c>
      <c r="F573" s="1287">
        <v>51416.5</v>
      </c>
      <c r="G573" s="1286" t="s">
        <v>1207</v>
      </c>
      <c r="H573" s="34" t="s">
        <v>925</v>
      </c>
    </row>
    <row r="574" spans="1:8" ht="33">
      <c r="A574" s="1289">
        <v>2</v>
      </c>
      <c r="B574" s="1289" t="s">
        <v>1208</v>
      </c>
      <c r="C574" s="1288" t="s">
        <v>0</v>
      </c>
      <c r="D574" s="1287">
        <v>0.42</v>
      </c>
      <c r="E574" s="1287">
        <v>566.32000000000005</v>
      </c>
      <c r="F574" s="1287">
        <v>237.85</v>
      </c>
      <c r="G574" s="1286" t="s">
        <v>1209</v>
      </c>
      <c r="H574" s="34" t="s">
        <v>925</v>
      </c>
    </row>
    <row r="575" spans="1:8" ht="33">
      <c r="A575" s="1289">
        <v>3</v>
      </c>
      <c r="B575" s="1289" t="s">
        <v>1210</v>
      </c>
      <c r="C575" s="1288" t="s">
        <v>927</v>
      </c>
      <c r="D575" s="1287">
        <v>8</v>
      </c>
      <c r="E575" s="1287">
        <v>407.35</v>
      </c>
      <c r="F575" s="1287">
        <v>3258.8</v>
      </c>
      <c r="G575" s="1286" t="s">
        <v>1211</v>
      </c>
      <c r="H575" s="34" t="s">
        <v>925</v>
      </c>
    </row>
    <row r="576" spans="1:8" ht="33">
      <c r="A576" s="1289">
        <v>4</v>
      </c>
      <c r="B576" s="1289" t="s">
        <v>1212</v>
      </c>
      <c r="C576" s="1288" t="s">
        <v>14</v>
      </c>
      <c r="D576" s="1287">
        <v>1</v>
      </c>
      <c r="E576" s="1287">
        <v>496.77</v>
      </c>
      <c r="F576" s="1287">
        <v>496.77</v>
      </c>
      <c r="G576" s="1286" t="s">
        <v>1213</v>
      </c>
      <c r="H576" s="34" t="s">
        <v>925</v>
      </c>
    </row>
    <row r="577" spans="1:8" ht="33">
      <c r="A577" s="1289">
        <v>5</v>
      </c>
      <c r="B577" s="1289" t="s">
        <v>931</v>
      </c>
      <c r="C577" s="1288" t="s">
        <v>14</v>
      </c>
      <c r="D577" s="1287">
        <v>1</v>
      </c>
      <c r="E577" s="1287">
        <v>1662.3</v>
      </c>
      <c r="F577" s="1287">
        <v>1662.3</v>
      </c>
      <c r="G577" s="1286" t="s">
        <v>932</v>
      </c>
      <c r="H577" s="34" t="s">
        <v>925</v>
      </c>
    </row>
    <row r="578" spans="1:8" ht="33">
      <c r="A578" s="1289"/>
      <c r="B578" s="1289" t="s">
        <v>933</v>
      </c>
      <c r="C578" s="1288" t="s">
        <v>0</v>
      </c>
      <c r="D578" s="1287">
        <v>1</v>
      </c>
      <c r="E578" s="1287"/>
      <c r="F578" s="1287">
        <v>57072.22</v>
      </c>
      <c r="G578" s="1286"/>
      <c r="H578" s="34" t="s">
        <v>925</v>
      </c>
    </row>
    <row r="579" spans="1:8" ht="33">
      <c r="A579" s="1289"/>
      <c r="B579" s="1289" t="s">
        <v>934</v>
      </c>
      <c r="C579" s="1288" t="s">
        <v>0</v>
      </c>
      <c r="D579" s="1287"/>
      <c r="E579" s="1287"/>
      <c r="F579" s="1287">
        <v>57072.22</v>
      </c>
      <c r="G579" s="1286"/>
      <c r="H579" s="34" t="s">
        <v>925</v>
      </c>
    </row>
    <row r="580" spans="1:8" ht="33">
      <c r="A580" s="1289"/>
      <c r="B580" s="1289"/>
      <c r="C580" s="1288"/>
      <c r="D580" s="1287"/>
      <c r="E580" s="1287"/>
      <c r="F580" s="1287"/>
      <c r="G580" s="1286"/>
      <c r="H580" s="34" t="s">
        <v>925</v>
      </c>
    </row>
    <row r="581" spans="1:8" ht="33">
      <c r="A581" s="1289" t="s">
        <v>1286</v>
      </c>
      <c r="B581" s="1289" t="s">
        <v>1215</v>
      </c>
      <c r="C581" s="1288" t="s">
        <v>3</v>
      </c>
      <c r="D581" s="1287">
        <v>200</v>
      </c>
      <c r="E581" s="1287">
        <v>25.42</v>
      </c>
      <c r="F581" s="1287"/>
      <c r="G581" s="1286" t="s">
        <v>1216</v>
      </c>
      <c r="H581" s="34" t="s">
        <v>925</v>
      </c>
    </row>
    <row r="582" spans="1:8" ht="33">
      <c r="A582" s="1289">
        <v>1</v>
      </c>
      <c r="B582" s="1289" t="s">
        <v>1217</v>
      </c>
      <c r="C582" s="1288" t="s">
        <v>927</v>
      </c>
      <c r="D582" s="1287">
        <v>1</v>
      </c>
      <c r="E582" s="1287">
        <v>1013.41</v>
      </c>
      <c r="F582" s="1287">
        <v>1013.41</v>
      </c>
      <c r="G582" s="1286" t="s">
        <v>1218</v>
      </c>
      <c r="H582" s="34" t="s">
        <v>925</v>
      </c>
    </row>
    <row r="583" spans="1:8" ht="28.5">
      <c r="A583" s="1289">
        <v>2</v>
      </c>
      <c r="B583" s="1289" t="s">
        <v>1219</v>
      </c>
      <c r="C583" s="1288" t="s">
        <v>1220</v>
      </c>
      <c r="D583" s="1287">
        <v>6</v>
      </c>
      <c r="E583" s="1287">
        <v>119.22</v>
      </c>
      <c r="F583" s="1287">
        <v>715.32</v>
      </c>
      <c r="G583" s="1286" t="s">
        <v>1221</v>
      </c>
    </row>
    <row r="584" spans="1:8" ht="33">
      <c r="A584" s="1289">
        <v>3</v>
      </c>
      <c r="B584" s="1289" t="s">
        <v>1222</v>
      </c>
      <c r="C584" s="1288" t="s">
        <v>927</v>
      </c>
      <c r="D584" s="1287">
        <v>1</v>
      </c>
      <c r="E584" s="1287">
        <v>645.79999999999995</v>
      </c>
      <c r="F584" s="1287">
        <v>645.79999999999995</v>
      </c>
      <c r="G584" s="1286" t="s">
        <v>1223</v>
      </c>
      <c r="H584" s="34" t="s">
        <v>925</v>
      </c>
    </row>
    <row r="585" spans="1:8" ht="42.75">
      <c r="A585" s="1289">
        <v>4</v>
      </c>
      <c r="B585" s="1289" t="s">
        <v>4891</v>
      </c>
      <c r="C585" s="1288" t="s">
        <v>927</v>
      </c>
      <c r="D585" s="1287">
        <v>1</v>
      </c>
      <c r="E585" s="1287">
        <v>398.41</v>
      </c>
      <c r="F585" s="1287">
        <v>398.41</v>
      </c>
      <c r="G585" s="1286" t="s">
        <v>4892</v>
      </c>
      <c r="H585" s="34" t="s">
        <v>925</v>
      </c>
    </row>
    <row r="586" spans="1:8" ht="33">
      <c r="A586" s="1289">
        <v>5</v>
      </c>
      <c r="B586" s="1289" t="s">
        <v>1224</v>
      </c>
      <c r="C586" s="1288" t="s">
        <v>927</v>
      </c>
      <c r="D586" s="1287">
        <v>1</v>
      </c>
      <c r="E586" s="1287">
        <v>536.51</v>
      </c>
      <c r="F586" s="1287">
        <v>536.51</v>
      </c>
      <c r="G586" s="1286" t="s">
        <v>1225</v>
      </c>
      <c r="H586" s="34" t="s">
        <v>925</v>
      </c>
    </row>
    <row r="587" spans="1:8" ht="33">
      <c r="A587" s="1289">
        <v>6</v>
      </c>
      <c r="B587" s="1289" t="s">
        <v>1226</v>
      </c>
      <c r="C587" s="1288" t="s">
        <v>927</v>
      </c>
      <c r="D587" s="1287">
        <v>1</v>
      </c>
      <c r="E587" s="1287">
        <v>398.41</v>
      </c>
      <c r="F587" s="1287">
        <v>398.41</v>
      </c>
      <c r="G587" s="1286" t="s">
        <v>1227</v>
      </c>
      <c r="H587" s="34" t="s">
        <v>925</v>
      </c>
    </row>
    <row r="588" spans="1:8" ht="33">
      <c r="A588" s="1289">
        <v>7</v>
      </c>
      <c r="B588" s="1289" t="s">
        <v>4871</v>
      </c>
      <c r="C588" s="1288" t="s">
        <v>927</v>
      </c>
      <c r="D588" s="1287">
        <v>2.2000000000000002</v>
      </c>
      <c r="E588" s="1287">
        <v>279.18</v>
      </c>
      <c r="F588" s="1287">
        <v>614.20000000000005</v>
      </c>
      <c r="G588" s="1286" t="s">
        <v>4872</v>
      </c>
      <c r="H588" s="34" t="s">
        <v>925</v>
      </c>
    </row>
    <row r="589" spans="1:8" ht="33">
      <c r="A589" s="1289">
        <v>8</v>
      </c>
      <c r="B589" s="1289" t="s">
        <v>1228</v>
      </c>
      <c r="C589" s="1288" t="s">
        <v>927</v>
      </c>
      <c r="D589" s="1287">
        <v>2.2000000000000002</v>
      </c>
      <c r="E589" s="1287">
        <v>279.18</v>
      </c>
      <c r="F589" s="1287">
        <v>614.20000000000005</v>
      </c>
      <c r="G589" s="1286" t="s">
        <v>1229</v>
      </c>
      <c r="H589" s="34" t="s">
        <v>925</v>
      </c>
    </row>
    <row r="590" spans="1:8" ht="33">
      <c r="A590" s="1289">
        <v>9</v>
      </c>
      <c r="B590" s="1289" t="s">
        <v>931</v>
      </c>
      <c r="C590" s="1288" t="s">
        <v>14</v>
      </c>
      <c r="D590" s="1287">
        <v>1</v>
      </c>
      <c r="E590" s="1287">
        <v>148.09</v>
      </c>
      <c r="F590" s="1287">
        <v>148.09</v>
      </c>
      <c r="G590" s="1286" t="s">
        <v>932</v>
      </c>
      <c r="H590" s="34" t="s">
        <v>925</v>
      </c>
    </row>
    <row r="591" spans="1:8" ht="33">
      <c r="A591" s="1289"/>
      <c r="B591" s="1289" t="s">
        <v>933</v>
      </c>
      <c r="C591" s="1288" t="s">
        <v>3</v>
      </c>
      <c r="D591" s="1287">
        <v>200</v>
      </c>
      <c r="E591" s="1287"/>
      <c r="F591" s="1287">
        <v>5084.3499999999995</v>
      </c>
      <c r="G591" s="1286"/>
      <c r="H591" s="34" t="s">
        <v>925</v>
      </c>
    </row>
    <row r="592" spans="1:8" ht="33">
      <c r="A592" s="1289"/>
      <c r="B592" s="1289" t="s">
        <v>934</v>
      </c>
      <c r="C592" s="1288" t="s">
        <v>3</v>
      </c>
      <c r="D592" s="1287"/>
      <c r="E592" s="1287"/>
      <c r="F592" s="1287">
        <v>25.42</v>
      </c>
      <c r="G592" s="1286"/>
      <c r="H592" s="34" t="s">
        <v>925</v>
      </c>
    </row>
    <row r="593" spans="1:8" ht="33">
      <c r="A593" s="1289"/>
      <c r="B593" s="1289"/>
      <c r="C593" s="1288"/>
      <c r="D593" s="1287"/>
      <c r="E593" s="1287"/>
      <c r="F593" s="1287"/>
      <c r="G593" s="1286"/>
      <c r="H593" s="34" t="s">
        <v>925</v>
      </c>
    </row>
    <row r="594" spans="1:8" ht="42.75">
      <c r="A594" s="1289" t="s">
        <v>1291</v>
      </c>
      <c r="B594" s="1289" t="s">
        <v>4490</v>
      </c>
      <c r="C594" s="1288" t="s">
        <v>3</v>
      </c>
      <c r="D594" s="1287">
        <v>200</v>
      </c>
      <c r="E594" s="1287">
        <v>40.68</v>
      </c>
      <c r="F594" s="1287"/>
      <c r="G594" s="1286" t="s">
        <v>4903</v>
      </c>
    </row>
    <row r="595" spans="1:8" ht="33">
      <c r="A595" s="1289">
        <v>1</v>
      </c>
      <c r="B595" s="1289" t="s">
        <v>1217</v>
      </c>
      <c r="C595" s="1288" t="s">
        <v>927</v>
      </c>
      <c r="D595" s="1287">
        <v>1.1499999999999999</v>
      </c>
      <c r="E595" s="1287">
        <v>1013.41</v>
      </c>
      <c r="F595" s="1287">
        <v>1165.42</v>
      </c>
      <c r="G595" s="1286" t="s">
        <v>1218</v>
      </c>
      <c r="H595" s="34" t="s">
        <v>925</v>
      </c>
    </row>
    <row r="596" spans="1:8" ht="33">
      <c r="A596" s="1289">
        <v>2</v>
      </c>
      <c r="B596" s="1289" t="s">
        <v>1219</v>
      </c>
      <c r="C596" s="1288" t="s">
        <v>1220</v>
      </c>
      <c r="D596" s="1287">
        <v>6</v>
      </c>
      <c r="E596" s="1287">
        <v>119.22</v>
      </c>
      <c r="F596" s="1287">
        <v>715.32</v>
      </c>
      <c r="G596" s="1286" t="s">
        <v>1221</v>
      </c>
      <c r="H596" s="34" t="s">
        <v>925</v>
      </c>
    </row>
    <row r="597" spans="1:8" ht="33">
      <c r="A597" s="1289">
        <v>3</v>
      </c>
      <c r="B597" s="1289" t="s">
        <v>1222</v>
      </c>
      <c r="C597" s="1288" t="s">
        <v>927</v>
      </c>
      <c r="D597" s="1287">
        <v>1.1499999999999999</v>
      </c>
      <c r="E597" s="1287">
        <v>645.79999999999995</v>
      </c>
      <c r="F597" s="1287">
        <v>742.67</v>
      </c>
      <c r="G597" s="1286" t="s">
        <v>1223</v>
      </c>
      <c r="H597" s="34" t="s">
        <v>925</v>
      </c>
    </row>
    <row r="598" spans="1:8" ht="42.75">
      <c r="A598" s="1289">
        <v>4</v>
      </c>
      <c r="B598" s="1289" t="s">
        <v>4894</v>
      </c>
      <c r="C598" s="1288" t="s">
        <v>927</v>
      </c>
      <c r="D598" s="1287">
        <v>1.1499999999999999</v>
      </c>
      <c r="E598" s="1287">
        <v>796.82</v>
      </c>
      <c r="F598" s="1287">
        <v>916.34</v>
      </c>
      <c r="G598" s="1286" t="s">
        <v>4895</v>
      </c>
      <c r="H598" s="34" t="s">
        <v>925</v>
      </c>
    </row>
    <row r="599" spans="1:8" ht="33">
      <c r="A599" s="1289">
        <v>5</v>
      </c>
      <c r="B599" s="1289" t="s">
        <v>1224</v>
      </c>
      <c r="C599" s="1288" t="s">
        <v>927</v>
      </c>
      <c r="D599" s="1287">
        <v>1.1499999999999999</v>
      </c>
      <c r="E599" s="1287">
        <v>536.51</v>
      </c>
      <c r="F599" s="1287">
        <v>616.99</v>
      </c>
      <c r="G599" s="1286" t="s">
        <v>1225</v>
      </c>
      <c r="H599" s="34" t="s">
        <v>925</v>
      </c>
    </row>
    <row r="600" spans="1:8" ht="33">
      <c r="A600" s="1289">
        <v>6</v>
      </c>
      <c r="B600" s="1289" t="s">
        <v>4904</v>
      </c>
      <c r="C600" s="1288" t="s">
        <v>927</v>
      </c>
      <c r="D600" s="1287">
        <v>1.1499999999999999</v>
      </c>
      <c r="E600" s="1287">
        <v>796.82</v>
      </c>
      <c r="F600" s="1287">
        <v>916.34</v>
      </c>
      <c r="G600" s="1286" t="s">
        <v>4905</v>
      </c>
      <c r="H600" s="34" t="s">
        <v>925</v>
      </c>
    </row>
    <row r="601" spans="1:8" ht="42.75">
      <c r="A601" s="1289">
        <v>7</v>
      </c>
      <c r="B601" s="1289" t="s">
        <v>4874</v>
      </c>
      <c r="C601" s="1288" t="s">
        <v>927</v>
      </c>
      <c r="D601" s="1287">
        <v>2.5299999999999998</v>
      </c>
      <c r="E601" s="1287">
        <v>558.37</v>
      </c>
      <c r="F601" s="1287">
        <v>1412.68</v>
      </c>
      <c r="G601" s="1286" t="s">
        <v>4875</v>
      </c>
      <c r="H601" s="34" t="s">
        <v>925</v>
      </c>
    </row>
    <row r="602" spans="1:8" ht="33">
      <c r="A602" s="1289">
        <v>8</v>
      </c>
      <c r="B602" s="1289" t="s">
        <v>2567</v>
      </c>
      <c r="C602" s="1288" t="s">
        <v>927</v>
      </c>
      <c r="D602" s="1287">
        <v>2.5299999999999998</v>
      </c>
      <c r="E602" s="1287">
        <v>558.37</v>
      </c>
      <c r="F602" s="1287">
        <v>1412.68</v>
      </c>
      <c r="G602" s="1286" t="s">
        <v>2568</v>
      </c>
      <c r="H602" s="34" t="s">
        <v>925</v>
      </c>
    </row>
    <row r="603" spans="1:8" ht="33">
      <c r="A603" s="1289">
        <v>9</v>
      </c>
      <c r="B603" s="1289" t="s">
        <v>931</v>
      </c>
      <c r="C603" s="1288" t="s">
        <v>14</v>
      </c>
      <c r="D603" s="1287">
        <v>1</v>
      </c>
      <c r="E603" s="1287">
        <v>236.95</v>
      </c>
      <c r="F603" s="1287">
        <v>236.95</v>
      </c>
      <c r="G603" s="1286" t="s">
        <v>932</v>
      </c>
      <c r="H603" s="34" t="s">
        <v>925</v>
      </c>
    </row>
    <row r="604" spans="1:8" ht="33">
      <c r="A604" s="1289"/>
      <c r="B604" s="1289" t="s">
        <v>933</v>
      </c>
      <c r="C604" s="1288" t="s">
        <v>3</v>
      </c>
      <c r="D604" s="1287">
        <v>200</v>
      </c>
      <c r="E604" s="1287"/>
      <c r="F604" s="1287">
        <v>8135.3900000000012</v>
      </c>
      <c r="G604" s="1286"/>
      <c r="H604" s="34" t="s">
        <v>925</v>
      </c>
    </row>
    <row r="605" spans="1:8" ht="16.5">
      <c r="A605" s="1289"/>
      <c r="B605" s="1289" t="s">
        <v>934</v>
      </c>
      <c r="C605" s="1288" t="s">
        <v>3</v>
      </c>
      <c r="D605" s="1287"/>
      <c r="E605" s="1287"/>
      <c r="F605" s="1287">
        <v>40.68</v>
      </c>
      <c r="G605" s="1286"/>
    </row>
    <row r="606" spans="1:8" ht="33">
      <c r="A606" s="1289"/>
      <c r="B606" s="1289"/>
      <c r="C606" s="1288"/>
      <c r="D606" s="1287"/>
      <c r="E606" s="1287"/>
      <c r="F606" s="1287"/>
      <c r="G606" s="1286"/>
      <c r="H606" s="34" t="s">
        <v>925</v>
      </c>
    </row>
    <row r="607" spans="1:8" ht="33">
      <c r="A607" s="1289" t="s">
        <v>1305</v>
      </c>
      <c r="B607" s="1289" t="s">
        <v>1231</v>
      </c>
      <c r="C607" s="1288" t="s">
        <v>3</v>
      </c>
      <c r="D607" s="1287">
        <v>360</v>
      </c>
      <c r="E607" s="1287">
        <v>16.57</v>
      </c>
      <c r="F607" s="1287"/>
      <c r="G607" s="1286" t="s">
        <v>1232</v>
      </c>
      <c r="H607" s="34" t="s">
        <v>925</v>
      </c>
    </row>
    <row r="608" spans="1:8" ht="33">
      <c r="A608" s="1289">
        <v>1</v>
      </c>
      <c r="B608" s="1289" t="s">
        <v>1233</v>
      </c>
      <c r="C608" s="1288" t="s">
        <v>927</v>
      </c>
      <c r="D608" s="1287">
        <v>1</v>
      </c>
      <c r="E608" s="1287">
        <v>1390.95</v>
      </c>
      <c r="F608" s="1287">
        <v>1390.95</v>
      </c>
      <c r="G608" s="1286" t="s">
        <v>1234</v>
      </c>
      <c r="H608" s="34" t="s">
        <v>925</v>
      </c>
    </row>
    <row r="609" spans="1:8" ht="33">
      <c r="A609" s="1289">
        <v>2</v>
      </c>
      <c r="B609" s="1289" t="s">
        <v>1219</v>
      </c>
      <c r="C609" s="1288" t="s">
        <v>1220</v>
      </c>
      <c r="D609" s="1287">
        <v>10</v>
      </c>
      <c r="E609" s="1287">
        <v>119.22</v>
      </c>
      <c r="F609" s="1287">
        <v>1192.2</v>
      </c>
      <c r="G609" s="1286" t="s">
        <v>1221</v>
      </c>
      <c r="H609" s="34" t="s">
        <v>925</v>
      </c>
    </row>
    <row r="610" spans="1:8" ht="33">
      <c r="A610" s="1289">
        <v>3</v>
      </c>
      <c r="B610" s="1289" t="s">
        <v>1222</v>
      </c>
      <c r="C610" s="1288" t="s">
        <v>927</v>
      </c>
      <c r="D610" s="1287">
        <v>1</v>
      </c>
      <c r="E610" s="1287">
        <v>645.79999999999995</v>
      </c>
      <c r="F610" s="1287">
        <v>645.79999999999995</v>
      </c>
      <c r="G610" s="1286" t="s">
        <v>1223</v>
      </c>
      <c r="H610" s="34" t="s">
        <v>925</v>
      </c>
    </row>
    <row r="611" spans="1:8" ht="42.75">
      <c r="A611" s="1289">
        <v>4</v>
      </c>
      <c r="B611" s="1289" t="s">
        <v>4891</v>
      </c>
      <c r="C611" s="1288" t="s">
        <v>927</v>
      </c>
      <c r="D611" s="1287">
        <v>1</v>
      </c>
      <c r="E611" s="1287">
        <v>398.41</v>
      </c>
      <c r="F611" s="1287">
        <v>398.41</v>
      </c>
      <c r="G611" s="1286" t="s">
        <v>4892</v>
      </c>
      <c r="H611" s="34" t="s">
        <v>925</v>
      </c>
    </row>
    <row r="612" spans="1:8" ht="33">
      <c r="A612" s="1289">
        <v>5</v>
      </c>
      <c r="B612" s="1289" t="s">
        <v>1224</v>
      </c>
      <c r="C612" s="1288" t="s">
        <v>927</v>
      </c>
      <c r="D612" s="1287">
        <v>1</v>
      </c>
      <c r="E612" s="1287">
        <v>536.51</v>
      </c>
      <c r="F612" s="1287">
        <v>536.51</v>
      </c>
      <c r="G612" s="1286" t="s">
        <v>1225</v>
      </c>
      <c r="H612" s="34" t="s">
        <v>925</v>
      </c>
    </row>
    <row r="613" spans="1:8" ht="33">
      <c r="A613" s="1289">
        <v>6</v>
      </c>
      <c r="B613" s="1289" t="s">
        <v>1226</v>
      </c>
      <c r="C613" s="1288" t="s">
        <v>927</v>
      </c>
      <c r="D613" s="1287">
        <v>1</v>
      </c>
      <c r="E613" s="1287">
        <v>398.41</v>
      </c>
      <c r="F613" s="1287">
        <v>398.41</v>
      </c>
      <c r="G613" s="1286" t="s">
        <v>1227</v>
      </c>
      <c r="H613" s="34" t="s">
        <v>925</v>
      </c>
    </row>
    <row r="614" spans="1:8" ht="33">
      <c r="A614" s="1289">
        <v>7</v>
      </c>
      <c r="B614" s="1289" t="s">
        <v>4871</v>
      </c>
      <c r="C614" s="1288" t="s">
        <v>927</v>
      </c>
      <c r="D614" s="1287">
        <v>2.2000000000000002</v>
      </c>
      <c r="E614" s="1287">
        <v>279.18</v>
      </c>
      <c r="F614" s="1287">
        <v>614.20000000000005</v>
      </c>
      <c r="G614" s="1286" t="s">
        <v>4872</v>
      </c>
      <c r="H614" s="34" t="s">
        <v>925</v>
      </c>
    </row>
    <row r="615" spans="1:8" ht="33">
      <c r="A615" s="1289">
        <v>8</v>
      </c>
      <c r="B615" s="1289" t="s">
        <v>1228</v>
      </c>
      <c r="C615" s="1288" t="s">
        <v>927</v>
      </c>
      <c r="D615" s="1287">
        <v>2.2000000000000002</v>
      </c>
      <c r="E615" s="1287">
        <v>279.18</v>
      </c>
      <c r="F615" s="1287">
        <v>614.20000000000005</v>
      </c>
      <c r="G615" s="1286" t="s">
        <v>1229</v>
      </c>
      <c r="H615" s="34" t="s">
        <v>925</v>
      </c>
    </row>
    <row r="616" spans="1:8" ht="28.5">
      <c r="A616" s="1289">
        <v>9</v>
      </c>
      <c r="B616" s="1289" t="s">
        <v>931</v>
      </c>
      <c r="C616" s="1288" t="s">
        <v>14</v>
      </c>
      <c r="D616" s="1287">
        <v>1</v>
      </c>
      <c r="E616" s="1287">
        <v>173.72</v>
      </c>
      <c r="F616" s="1287">
        <v>173.72</v>
      </c>
      <c r="G616" s="1286" t="s">
        <v>932</v>
      </c>
    </row>
    <row r="617" spans="1:8" ht="33">
      <c r="A617" s="1289"/>
      <c r="B617" s="1289" t="s">
        <v>933</v>
      </c>
      <c r="C617" s="1288" t="s">
        <v>3</v>
      </c>
      <c r="D617" s="1287">
        <v>360</v>
      </c>
      <c r="E617" s="1287"/>
      <c r="F617" s="1287">
        <v>5964.4</v>
      </c>
      <c r="G617" s="1286"/>
      <c r="H617" s="34" t="s">
        <v>925</v>
      </c>
    </row>
    <row r="618" spans="1:8" ht="33">
      <c r="A618" s="1289"/>
      <c r="B618" s="1289" t="s">
        <v>934</v>
      </c>
      <c r="C618" s="1288" t="s">
        <v>3</v>
      </c>
      <c r="D618" s="1287"/>
      <c r="E618" s="1287"/>
      <c r="F618" s="1287">
        <v>16.57</v>
      </c>
      <c r="G618" s="1286"/>
      <c r="H618" s="34" t="s">
        <v>925</v>
      </c>
    </row>
    <row r="619" spans="1:8" ht="33">
      <c r="A619" s="1289"/>
      <c r="B619" s="1289"/>
      <c r="C619" s="1288"/>
      <c r="D619" s="1287"/>
      <c r="E619" s="1287"/>
      <c r="F619" s="1287"/>
      <c r="G619" s="1286"/>
      <c r="H619" s="34" t="s">
        <v>925</v>
      </c>
    </row>
    <row r="620" spans="1:8" ht="33">
      <c r="A620" s="1289" t="s">
        <v>1308</v>
      </c>
      <c r="B620" s="1289" t="s">
        <v>1236</v>
      </c>
      <c r="C620" s="1288" t="s">
        <v>3</v>
      </c>
      <c r="D620" s="1287">
        <v>120</v>
      </c>
      <c r="E620" s="1287">
        <v>43.39</v>
      </c>
      <c r="F620" s="1287"/>
      <c r="G620" s="1286" t="s">
        <v>1237</v>
      </c>
      <c r="H620" s="34" t="s">
        <v>925</v>
      </c>
    </row>
    <row r="621" spans="1:8" ht="33">
      <c r="A621" s="1289">
        <v>1</v>
      </c>
      <c r="B621" s="1289" t="s">
        <v>1217</v>
      </c>
      <c r="C621" s="1288" t="s">
        <v>927</v>
      </c>
      <c r="D621" s="1287">
        <v>1</v>
      </c>
      <c r="E621" s="1287">
        <v>1013.41</v>
      </c>
      <c r="F621" s="1287">
        <v>1013.41</v>
      </c>
      <c r="G621" s="1286" t="s">
        <v>1218</v>
      </c>
      <c r="H621" s="34" t="s">
        <v>925</v>
      </c>
    </row>
    <row r="622" spans="1:8" ht="33">
      <c r="A622" s="1289">
        <v>2</v>
      </c>
      <c r="B622" s="1289" t="s">
        <v>1219</v>
      </c>
      <c r="C622" s="1288" t="s">
        <v>1220</v>
      </c>
      <c r="D622" s="1287">
        <v>7</v>
      </c>
      <c r="E622" s="1287">
        <v>119.22</v>
      </c>
      <c r="F622" s="1287">
        <v>834.54</v>
      </c>
      <c r="G622" s="1286" t="s">
        <v>1221</v>
      </c>
      <c r="H622" s="34" t="s">
        <v>925</v>
      </c>
    </row>
    <row r="623" spans="1:8" ht="33">
      <c r="A623" s="1289">
        <v>3</v>
      </c>
      <c r="B623" s="1289" t="s">
        <v>1222</v>
      </c>
      <c r="C623" s="1288" t="s">
        <v>927</v>
      </c>
      <c r="D623" s="1287">
        <v>1</v>
      </c>
      <c r="E623" s="1287">
        <v>645.79999999999995</v>
      </c>
      <c r="F623" s="1287">
        <v>645.79999999999995</v>
      </c>
      <c r="G623" s="1286" t="s">
        <v>1223</v>
      </c>
      <c r="H623" s="34" t="s">
        <v>925</v>
      </c>
    </row>
    <row r="624" spans="1:8" ht="42.75">
      <c r="A624" s="1289">
        <v>4</v>
      </c>
      <c r="B624" s="1289" t="s">
        <v>4891</v>
      </c>
      <c r="C624" s="1288" t="s">
        <v>927</v>
      </c>
      <c r="D624" s="1287">
        <v>1</v>
      </c>
      <c r="E624" s="1287">
        <v>398.41</v>
      </c>
      <c r="F624" s="1287">
        <v>398.41</v>
      </c>
      <c r="G624" s="1286" t="s">
        <v>4892</v>
      </c>
      <c r="H624" s="34" t="s">
        <v>925</v>
      </c>
    </row>
    <row r="625" spans="1:8" ht="33">
      <c r="A625" s="1289">
        <v>5</v>
      </c>
      <c r="B625" s="1289" t="s">
        <v>1224</v>
      </c>
      <c r="C625" s="1288" t="s">
        <v>927</v>
      </c>
      <c r="D625" s="1287">
        <v>1</v>
      </c>
      <c r="E625" s="1287">
        <v>536.51</v>
      </c>
      <c r="F625" s="1287">
        <v>536.51</v>
      </c>
      <c r="G625" s="1286" t="s">
        <v>1225</v>
      </c>
      <c r="H625" s="34" t="s">
        <v>925</v>
      </c>
    </row>
    <row r="626" spans="1:8" ht="33">
      <c r="A626" s="1289">
        <v>6</v>
      </c>
      <c r="B626" s="1289" t="s">
        <v>1226</v>
      </c>
      <c r="C626" s="1288" t="s">
        <v>927</v>
      </c>
      <c r="D626" s="1287">
        <v>1</v>
      </c>
      <c r="E626" s="1287">
        <v>398.41</v>
      </c>
      <c r="F626" s="1287">
        <v>398.41</v>
      </c>
      <c r="G626" s="1286" t="s">
        <v>1227</v>
      </c>
      <c r="H626" s="34" t="s">
        <v>925</v>
      </c>
    </row>
    <row r="627" spans="1:8" ht="28.5">
      <c r="A627" s="1289">
        <v>7</v>
      </c>
      <c r="B627" s="1289" t="s">
        <v>4871</v>
      </c>
      <c r="C627" s="1288" t="s">
        <v>927</v>
      </c>
      <c r="D627" s="1287">
        <v>2.2000000000000002</v>
      </c>
      <c r="E627" s="1287">
        <v>279.18</v>
      </c>
      <c r="F627" s="1287">
        <v>614.20000000000005</v>
      </c>
      <c r="G627" s="1286" t="s">
        <v>4872</v>
      </c>
    </row>
    <row r="628" spans="1:8" ht="33">
      <c r="A628" s="1289">
        <v>8</v>
      </c>
      <c r="B628" s="1289" t="s">
        <v>1228</v>
      </c>
      <c r="C628" s="1288" t="s">
        <v>927</v>
      </c>
      <c r="D628" s="1287">
        <v>2.2000000000000002</v>
      </c>
      <c r="E628" s="1287">
        <v>279.18</v>
      </c>
      <c r="F628" s="1287">
        <v>614.20000000000005</v>
      </c>
      <c r="G628" s="1286" t="s">
        <v>1229</v>
      </c>
      <c r="H628" s="34" t="s">
        <v>925</v>
      </c>
    </row>
    <row r="629" spans="1:8" ht="33">
      <c r="A629" s="1289">
        <v>9</v>
      </c>
      <c r="B629" s="1289" t="s">
        <v>931</v>
      </c>
      <c r="C629" s="1288" t="s">
        <v>14</v>
      </c>
      <c r="D629" s="1287">
        <v>1</v>
      </c>
      <c r="E629" s="1287">
        <v>151.66</v>
      </c>
      <c r="F629" s="1287">
        <v>151.66</v>
      </c>
      <c r="G629" s="1286" t="s">
        <v>932</v>
      </c>
      <c r="H629" s="34" t="s">
        <v>925</v>
      </c>
    </row>
    <row r="630" spans="1:8" ht="33">
      <c r="A630" s="1289"/>
      <c r="B630" s="1289" t="s">
        <v>933</v>
      </c>
      <c r="C630" s="1288" t="s">
        <v>3</v>
      </c>
      <c r="D630" s="1287">
        <v>120</v>
      </c>
      <c r="E630" s="1287"/>
      <c r="F630" s="1287">
        <v>5207.1399999999994</v>
      </c>
      <c r="G630" s="1286"/>
      <c r="H630" s="34" t="s">
        <v>925</v>
      </c>
    </row>
    <row r="631" spans="1:8" ht="33">
      <c r="A631" s="1289"/>
      <c r="B631" s="1289" t="s">
        <v>934</v>
      </c>
      <c r="C631" s="1288" t="s">
        <v>3</v>
      </c>
      <c r="D631" s="1287"/>
      <c r="E631" s="1287"/>
      <c r="F631" s="1287">
        <v>43.39</v>
      </c>
      <c r="G631" s="1286"/>
      <c r="H631" s="34" t="s">
        <v>925</v>
      </c>
    </row>
    <row r="632" spans="1:8" ht="33">
      <c r="A632" s="1289"/>
      <c r="B632" s="1289"/>
      <c r="C632" s="1288"/>
      <c r="D632" s="1287"/>
      <c r="E632" s="1287"/>
      <c r="F632" s="1287"/>
      <c r="G632" s="1286"/>
      <c r="H632" s="34" t="s">
        <v>925</v>
      </c>
    </row>
    <row r="633" spans="1:8" ht="42.75">
      <c r="A633" s="1289" t="s">
        <v>1311</v>
      </c>
      <c r="B633" s="1289" t="s">
        <v>4494</v>
      </c>
      <c r="C633" s="1288" t="s">
        <v>3</v>
      </c>
      <c r="D633" s="1287">
        <v>120</v>
      </c>
      <c r="E633" s="1287">
        <v>68.819999999999993</v>
      </c>
      <c r="F633" s="1287"/>
      <c r="G633" s="1286" t="s">
        <v>4906</v>
      </c>
      <c r="H633" s="34" t="s">
        <v>925</v>
      </c>
    </row>
    <row r="634" spans="1:8" ht="33">
      <c r="A634" s="1289">
        <v>1</v>
      </c>
      <c r="B634" s="1289" t="s">
        <v>1217</v>
      </c>
      <c r="C634" s="1288" t="s">
        <v>927</v>
      </c>
      <c r="D634" s="1287">
        <v>1.1499999999999999</v>
      </c>
      <c r="E634" s="1287">
        <v>1013.41</v>
      </c>
      <c r="F634" s="1287">
        <v>1165.42</v>
      </c>
      <c r="G634" s="1286" t="s">
        <v>1218</v>
      </c>
      <c r="H634" s="34" t="s">
        <v>925</v>
      </c>
    </row>
    <row r="635" spans="1:8" ht="33">
      <c r="A635" s="1289">
        <v>2</v>
      </c>
      <c r="B635" s="1289" t="s">
        <v>1219</v>
      </c>
      <c r="C635" s="1288" t="s">
        <v>1220</v>
      </c>
      <c r="D635" s="1287">
        <v>7</v>
      </c>
      <c r="E635" s="1287">
        <v>119.22</v>
      </c>
      <c r="F635" s="1287">
        <v>834.54</v>
      </c>
      <c r="G635" s="1286" t="s">
        <v>1221</v>
      </c>
      <c r="H635" s="34" t="s">
        <v>925</v>
      </c>
    </row>
    <row r="636" spans="1:8" ht="33">
      <c r="A636" s="1289">
        <v>3</v>
      </c>
      <c r="B636" s="1289" t="s">
        <v>1222</v>
      </c>
      <c r="C636" s="1288" t="s">
        <v>927</v>
      </c>
      <c r="D636" s="1287">
        <v>1.1499999999999999</v>
      </c>
      <c r="E636" s="1287">
        <v>645.79999999999995</v>
      </c>
      <c r="F636" s="1287">
        <v>742.67</v>
      </c>
      <c r="G636" s="1286" t="s">
        <v>1223</v>
      </c>
      <c r="H636" s="34" t="s">
        <v>925</v>
      </c>
    </row>
    <row r="637" spans="1:8" ht="42.75">
      <c r="A637" s="1289">
        <v>4</v>
      </c>
      <c r="B637" s="1289" t="s">
        <v>4894</v>
      </c>
      <c r="C637" s="1288" t="s">
        <v>927</v>
      </c>
      <c r="D637" s="1287">
        <v>1.1499999999999999</v>
      </c>
      <c r="E637" s="1287">
        <v>796.82</v>
      </c>
      <c r="F637" s="1287">
        <v>916.34</v>
      </c>
      <c r="G637" s="1286" t="s">
        <v>4895</v>
      </c>
      <c r="H637" s="34" t="s">
        <v>925</v>
      </c>
    </row>
    <row r="638" spans="1:8" ht="28.5">
      <c r="A638" s="1289">
        <v>5</v>
      </c>
      <c r="B638" s="1289" t="s">
        <v>1224</v>
      </c>
      <c r="C638" s="1288" t="s">
        <v>927</v>
      </c>
      <c r="D638" s="1287">
        <v>1.1499999999999999</v>
      </c>
      <c r="E638" s="1287">
        <v>536.51</v>
      </c>
      <c r="F638" s="1287">
        <v>616.99</v>
      </c>
      <c r="G638" s="1286" t="s">
        <v>1225</v>
      </c>
    </row>
    <row r="639" spans="1:8" ht="33">
      <c r="A639" s="1289">
        <v>6</v>
      </c>
      <c r="B639" s="1289" t="s">
        <v>4904</v>
      </c>
      <c r="C639" s="1288" t="s">
        <v>927</v>
      </c>
      <c r="D639" s="1287">
        <v>1.1499999999999999</v>
      </c>
      <c r="E639" s="1287">
        <v>796.82</v>
      </c>
      <c r="F639" s="1287">
        <v>916.34</v>
      </c>
      <c r="G639" s="1286" t="s">
        <v>4905</v>
      </c>
      <c r="H639" s="34" t="s">
        <v>925</v>
      </c>
    </row>
    <row r="640" spans="1:8" ht="42.75">
      <c r="A640" s="1289">
        <v>7</v>
      </c>
      <c r="B640" s="1289" t="s">
        <v>4874</v>
      </c>
      <c r="C640" s="1288" t="s">
        <v>927</v>
      </c>
      <c r="D640" s="1287">
        <v>2.5299999999999998</v>
      </c>
      <c r="E640" s="1287">
        <v>558.37</v>
      </c>
      <c r="F640" s="1287">
        <v>1412.68</v>
      </c>
      <c r="G640" s="1286" t="s">
        <v>4875</v>
      </c>
      <c r="H640" s="34" t="s">
        <v>925</v>
      </c>
    </row>
    <row r="641" spans="1:8" ht="33">
      <c r="A641" s="1289">
        <v>8</v>
      </c>
      <c r="B641" s="1289" t="s">
        <v>2567</v>
      </c>
      <c r="C641" s="1288" t="s">
        <v>927</v>
      </c>
      <c r="D641" s="1287">
        <v>2.5299999999999998</v>
      </c>
      <c r="E641" s="1287">
        <v>558.37</v>
      </c>
      <c r="F641" s="1287">
        <v>1412.68</v>
      </c>
      <c r="G641" s="1286" t="s">
        <v>2568</v>
      </c>
      <c r="H641" s="34" t="s">
        <v>925</v>
      </c>
    </row>
    <row r="642" spans="1:8" ht="33">
      <c r="A642" s="1289">
        <v>9</v>
      </c>
      <c r="B642" s="1289" t="s">
        <v>931</v>
      </c>
      <c r="C642" s="1288" t="s">
        <v>14</v>
      </c>
      <c r="D642" s="1287">
        <v>1</v>
      </c>
      <c r="E642" s="1287">
        <v>240.53</v>
      </c>
      <c r="F642" s="1287">
        <v>240.53</v>
      </c>
      <c r="G642" s="1286" t="s">
        <v>932</v>
      </c>
      <c r="H642" s="34" t="s">
        <v>925</v>
      </c>
    </row>
    <row r="643" spans="1:8" ht="33">
      <c r="A643" s="1289"/>
      <c r="B643" s="1289" t="s">
        <v>933</v>
      </c>
      <c r="C643" s="1288" t="s">
        <v>3</v>
      </c>
      <c r="D643" s="1287">
        <v>120</v>
      </c>
      <c r="E643" s="1287"/>
      <c r="F643" s="1287">
        <v>8258.19</v>
      </c>
      <c r="G643" s="1286"/>
      <c r="H643" s="34" t="s">
        <v>925</v>
      </c>
    </row>
    <row r="644" spans="1:8" ht="33">
      <c r="A644" s="1289"/>
      <c r="B644" s="1289" t="s">
        <v>934</v>
      </c>
      <c r="C644" s="1288" t="s">
        <v>3</v>
      </c>
      <c r="D644" s="1287"/>
      <c r="E644" s="1287"/>
      <c r="F644" s="1287">
        <v>68.819999999999993</v>
      </c>
      <c r="G644" s="1286"/>
      <c r="H644" s="34" t="s">
        <v>925</v>
      </c>
    </row>
    <row r="645" spans="1:8" ht="33">
      <c r="A645" s="1289"/>
      <c r="B645" s="1289"/>
      <c r="C645" s="1288"/>
      <c r="D645" s="1287"/>
      <c r="E645" s="1287"/>
      <c r="F645" s="1287"/>
      <c r="G645" s="1286"/>
      <c r="H645" s="34" t="s">
        <v>925</v>
      </c>
    </row>
    <row r="646" spans="1:8" ht="33">
      <c r="A646" s="1289" t="s">
        <v>1314</v>
      </c>
      <c r="B646" s="1289" t="s">
        <v>1239</v>
      </c>
      <c r="C646" s="1288" t="s">
        <v>3</v>
      </c>
      <c r="D646" s="1287">
        <v>216</v>
      </c>
      <c r="E646" s="1287">
        <v>28.56</v>
      </c>
      <c r="F646" s="1287"/>
      <c r="G646" s="1286" t="s">
        <v>1240</v>
      </c>
      <c r="H646" s="34" t="s">
        <v>925</v>
      </c>
    </row>
    <row r="647" spans="1:8" ht="33">
      <c r="A647" s="1289">
        <v>1</v>
      </c>
      <c r="B647" s="1289" t="s">
        <v>1233</v>
      </c>
      <c r="C647" s="1288" t="s">
        <v>927</v>
      </c>
      <c r="D647" s="1287">
        <v>1</v>
      </c>
      <c r="E647" s="1287">
        <v>1390.95</v>
      </c>
      <c r="F647" s="1287">
        <v>1390.95</v>
      </c>
      <c r="G647" s="1286" t="s">
        <v>1234</v>
      </c>
      <c r="H647" s="34" t="s">
        <v>925</v>
      </c>
    </row>
    <row r="648" spans="1:8" ht="33">
      <c r="A648" s="1289">
        <v>2</v>
      </c>
      <c r="B648" s="1289" t="s">
        <v>1219</v>
      </c>
      <c r="C648" s="1288" t="s">
        <v>1220</v>
      </c>
      <c r="D648" s="1287">
        <v>12.6</v>
      </c>
      <c r="E648" s="1287">
        <v>119.22</v>
      </c>
      <c r="F648" s="1287">
        <v>1502.17</v>
      </c>
      <c r="G648" s="1286" t="s">
        <v>1221</v>
      </c>
      <c r="H648" s="34" t="s">
        <v>925</v>
      </c>
    </row>
    <row r="649" spans="1:8" ht="33">
      <c r="A649" s="1289">
        <v>3</v>
      </c>
      <c r="B649" s="1289" t="s">
        <v>1222</v>
      </c>
      <c r="C649" s="1288" t="s">
        <v>927</v>
      </c>
      <c r="D649" s="1287">
        <v>1</v>
      </c>
      <c r="E649" s="1287">
        <v>645.79999999999995</v>
      </c>
      <c r="F649" s="1287">
        <v>645.79999999999995</v>
      </c>
      <c r="G649" s="1286" t="s">
        <v>1223</v>
      </c>
      <c r="H649" s="34" t="s">
        <v>925</v>
      </c>
    </row>
    <row r="650" spans="1:8" ht="42.75">
      <c r="A650" s="1289">
        <v>4</v>
      </c>
      <c r="B650" s="1289" t="s">
        <v>4891</v>
      </c>
      <c r="C650" s="1288" t="s">
        <v>927</v>
      </c>
      <c r="D650" s="1287">
        <v>1</v>
      </c>
      <c r="E650" s="1287">
        <v>398.41</v>
      </c>
      <c r="F650" s="1287">
        <v>398.41</v>
      </c>
      <c r="G650" s="1286" t="s">
        <v>4892</v>
      </c>
      <c r="H650" s="34" t="s">
        <v>925</v>
      </c>
    </row>
    <row r="651" spans="1:8" ht="28.5">
      <c r="A651" s="1289">
        <v>5</v>
      </c>
      <c r="B651" s="1289" t="s">
        <v>1224</v>
      </c>
      <c r="C651" s="1288" t="s">
        <v>927</v>
      </c>
      <c r="D651" s="1287">
        <v>1</v>
      </c>
      <c r="E651" s="1287">
        <v>536.51</v>
      </c>
      <c r="F651" s="1287">
        <v>536.51</v>
      </c>
      <c r="G651" s="1286" t="s">
        <v>1225</v>
      </c>
    </row>
    <row r="652" spans="1:8" ht="33">
      <c r="A652" s="1289">
        <v>6</v>
      </c>
      <c r="B652" s="1289" t="s">
        <v>1226</v>
      </c>
      <c r="C652" s="1288" t="s">
        <v>927</v>
      </c>
      <c r="D652" s="1287">
        <v>1</v>
      </c>
      <c r="E652" s="1287">
        <v>398.41</v>
      </c>
      <c r="F652" s="1287">
        <v>398.41</v>
      </c>
      <c r="G652" s="1286" t="s">
        <v>1227</v>
      </c>
      <c r="H652" s="34" t="s">
        <v>925</v>
      </c>
    </row>
    <row r="653" spans="1:8" ht="33">
      <c r="A653" s="1289">
        <v>7</v>
      </c>
      <c r="B653" s="1289" t="s">
        <v>4871</v>
      </c>
      <c r="C653" s="1288" t="s">
        <v>927</v>
      </c>
      <c r="D653" s="1287">
        <v>2</v>
      </c>
      <c r="E653" s="1287">
        <v>279.18</v>
      </c>
      <c r="F653" s="1287">
        <v>558.36</v>
      </c>
      <c r="G653" s="1286" t="s">
        <v>4872</v>
      </c>
      <c r="H653" s="34" t="s">
        <v>925</v>
      </c>
    </row>
    <row r="654" spans="1:8" ht="33">
      <c r="A654" s="1289">
        <v>8</v>
      </c>
      <c r="B654" s="1289" t="s">
        <v>1228</v>
      </c>
      <c r="C654" s="1288" t="s">
        <v>927</v>
      </c>
      <c r="D654" s="1287">
        <v>2</v>
      </c>
      <c r="E654" s="1287">
        <v>279.18</v>
      </c>
      <c r="F654" s="1287">
        <v>558.36</v>
      </c>
      <c r="G654" s="1286" t="s">
        <v>1229</v>
      </c>
      <c r="H654" s="34" t="s">
        <v>925</v>
      </c>
    </row>
    <row r="655" spans="1:8" ht="33">
      <c r="A655" s="1289">
        <v>9</v>
      </c>
      <c r="B655" s="1289" t="s">
        <v>931</v>
      </c>
      <c r="C655" s="1288" t="s">
        <v>14</v>
      </c>
      <c r="D655" s="1287">
        <v>1</v>
      </c>
      <c r="E655" s="1287">
        <v>179.67</v>
      </c>
      <c r="F655" s="1287">
        <v>179.67</v>
      </c>
      <c r="G655" s="1286" t="s">
        <v>932</v>
      </c>
      <c r="H655" s="34" t="s">
        <v>925</v>
      </c>
    </row>
    <row r="656" spans="1:8" ht="33">
      <c r="A656" s="1289"/>
      <c r="B656" s="1289" t="s">
        <v>933</v>
      </c>
      <c r="C656" s="1288" t="s">
        <v>3</v>
      </c>
      <c r="D656" s="1287">
        <v>216</v>
      </c>
      <c r="E656" s="1287"/>
      <c r="F656" s="1287">
        <v>6168.6399999999994</v>
      </c>
      <c r="G656" s="1286"/>
      <c r="H656" s="34" t="s">
        <v>925</v>
      </c>
    </row>
    <row r="657" spans="1:8" ht="33">
      <c r="A657" s="1289"/>
      <c r="B657" s="1289" t="s">
        <v>934</v>
      </c>
      <c r="C657" s="1288" t="s">
        <v>3</v>
      </c>
      <c r="D657" s="1287"/>
      <c r="E657" s="1287"/>
      <c r="F657" s="1287">
        <v>28.56</v>
      </c>
      <c r="G657" s="1286"/>
      <c r="H657" s="34" t="s">
        <v>925</v>
      </c>
    </row>
    <row r="658" spans="1:8" ht="33">
      <c r="A658" s="1289"/>
      <c r="B658" s="1289"/>
      <c r="C658" s="1288"/>
      <c r="D658" s="1287"/>
      <c r="E658" s="1287"/>
      <c r="F658" s="1287"/>
      <c r="G658" s="1286"/>
      <c r="H658" s="34" t="s">
        <v>925</v>
      </c>
    </row>
    <row r="659" spans="1:8" ht="33">
      <c r="A659" s="1289" t="s">
        <v>1319</v>
      </c>
      <c r="B659" s="1289" t="s">
        <v>462</v>
      </c>
      <c r="C659" s="1288" t="s">
        <v>17</v>
      </c>
      <c r="D659" s="1287">
        <v>280</v>
      </c>
      <c r="E659" s="1287">
        <v>65.77</v>
      </c>
      <c r="F659" s="1287"/>
      <c r="G659" s="1286" t="s">
        <v>1242</v>
      </c>
      <c r="H659" s="34" t="s">
        <v>925</v>
      </c>
    </row>
    <row r="660" spans="1:8" ht="33">
      <c r="A660" s="1289">
        <v>1</v>
      </c>
      <c r="B660" s="1289" t="s">
        <v>1243</v>
      </c>
      <c r="C660" s="1288" t="s">
        <v>927</v>
      </c>
      <c r="D660" s="1287">
        <v>8</v>
      </c>
      <c r="E660" s="1287">
        <v>948.63</v>
      </c>
      <c r="F660" s="1287">
        <v>7589.04</v>
      </c>
      <c r="G660" s="1286" t="s">
        <v>1244</v>
      </c>
      <c r="H660" s="34" t="s">
        <v>925</v>
      </c>
    </row>
    <row r="661" spans="1:8" ht="33">
      <c r="A661" s="1289">
        <v>2</v>
      </c>
      <c r="B661" s="1289" t="s">
        <v>1245</v>
      </c>
      <c r="C661" s="1288" t="s">
        <v>14</v>
      </c>
      <c r="D661" s="1287">
        <v>1</v>
      </c>
      <c r="E661" s="1287">
        <v>4470.92</v>
      </c>
      <c r="F661" s="1287">
        <v>4470.92</v>
      </c>
      <c r="G661" s="1286" t="s">
        <v>1246</v>
      </c>
      <c r="H661" s="34" t="s">
        <v>925</v>
      </c>
    </row>
    <row r="662" spans="1:8" ht="42.75">
      <c r="A662" s="1289">
        <v>3</v>
      </c>
      <c r="B662" s="1289" t="s">
        <v>4907</v>
      </c>
      <c r="C662" s="1288" t="s">
        <v>927</v>
      </c>
      <c r="D662" s="1287">
        <v>8</v>
      </c>
      <c r="E662" s="1287">
        <v>398.41</v>
      </c>
      <c r="F662" s="1287">
        <v>3187.28</v>
      </c>
      <c r="G662" s="1286" t="s">
        <v>4908</v>
      </c>
      <c r="H662" s="34" t="s">
        <v>925</v>
      </c>
    </row>
    <row r="663" spans="1:8" ht="33">
      <c r="A663" s="1289">
        <v>4</v>
      </c>
      <c r="B663" s="1289" t="s">
        <v>4871</v>
      </c>
      <c r="C663" s="1288" t="s">
        <v>927</v>
      </c>
      <c r="D663" s="1287">
        <v>8</v>
      </c>
      <c r="E663" s="1287">
        <v>279.18</v>
      </c>
      <c r="F663" s="1287">
        <v>2233.44</v>
      </c>
      <c r="G663" s="1286" t="s">
        <v>4876</v>
      </c>
      <c r="H663" s="34" t="s">
        <v>925</v>
      </c>
    </row>
    <row r="664" spans="1:8" ht="28.5">
      <c r="A664" s="1289">
        <v>5</v>
      </c>
      <c r="B664" s="1289" t="s">
        <v>1247</v>
      </c>
      <c r="C664" s="1288" t="s">
        <v>14</v>
      </c>
      <c r="D664" s="1287">
        <v>1</v>
      </c>
      <c r="E664" s="1287">
        <v>397.42</v>
      </c>
      <c r="F664" s="1287">
        <v>397.42</v>
      </c>
      <c r="G664" s="1286" t="s">
        <v>1248</v>
      </c>
    </row>
    <row r="665" spans="1:8" ht="33">
      <c r="A665" s="1289">
        <v>6</v>
      </c>
      <c r="B665" s="1289" t="s">
        <v>955</v>
      </c>
      <c r="C665" s="1288" t="s">
        <v>14</v>
      </c>
      <c r="D665" s="1287">
        <v>1</v>
      </c>
      <c r="E665" s="1287">
        <v>536.34</v>
      </c>
      <c r="F665" s="1287">
        <v>536.34</v>
      </c>
      <c r="G665" s="1286" t="s">
        <v>956</v>
      </c>
      <c r="H665" s="34" t="s">
        <v>925</v>
      </c>
    </row>
    <row r="666" spans="1:8" ht="33">
      <c r="A666" s="1289"/>
      <c r="B666" s="1289" t="s">
        <v>933</v>
      </c>
      <c r="C666" s="1288" t="s">
        <v>17</v>
      </c>
      <c r="D666" s="1287">
        <v>280</v>
      </c>
      <c r="E666" s="1287"/>
      <c r="F666" s="1287">
        <v>18414.439999999999</v>
      </c>
      <c r="G666" s="1286"/>
      <c r="H666" s="34" t="s">
        <v>925</v>
      </c>
    </row>
    <row r="667" spans="1:8" ht="33">
      <c r="A667" s="1289"/>
      <c r="B667" s="1289" t="s">
        <v>934</v>
      </c>
      <c r="C667" s="1288" t="s">
        <v>17</v>
      </c>
      <c r="D667" s="1287"/>
      <c r="E667" s="1287"/>
      <c r="F667" s="1287">
        <v>65.77</v>
      </c>
      <c r="G667" s="1286"/>
      <c r="H667" s="34" t="s">
        <v>925</v>
      </c>
    </row>
    <row r="668" spans="1:8" ht="33">
      <c r="A668" s="1289"/>
      <c r="B668" s="1289"/>
      <c r="C668" s="1288"/>
      <c r="D668" s="1287"/>
      <c r="E668" s="1287"/>
      <c r="F668" s="1287"/>
      <c r="G668" s="1286"/>
      <c r="H668" s="34" t="s">
        <v>925</v>
      </c>
    </row>
    <row r="669" spans="1:8" ht="33">
      <c r="A669" s="1289" t="s">
        <v>1325</v>
      </c>
      <c r="B669" s="1289" t="s">
        <v>1250</v>
      </c>
      <c r="C669" s="1288" t="s">
        <v>17</v>
      </c>
      <c r="D669" s="1287">
        <v>240</v>
      </c>
      <c r="E669" s="1287">
        <v>76.73</v>
      </c>
      <c r="F669" s="1287"/>
      <c r="G669" s="1286" t="s">
        <v>1251</v>
      </c>
      <c r="H669" s="34" t="s">
        <v>925</v>
      </c>
    </row>
    <row r="670" spans="1:8" ht="33">
      <c r="A670" s="1289">
        <v>1</v>
      </c>
      <c r="B670" s="1289" t="s">
        <v>1243</v>
      </c>
      <c r="C670" s="1288" t="s">
        <v>927</v>
      </c>
      <c r="D670" s="1287">
        <v>8</v>
      </c>
      <c r="E670" s="1287">
        <v>948.63</v>
      </c>
      <c r="F670" s="1287">
        <v>7589.04</v>
      </c>
      <c r="G670" s="1286" t="s">
        <v>1244</v>
      </c>
      <c r="H670" s="34" t="s">
        <v>925</v>
      </c>
    </row>
    <row r="671" spans="1:8" ht="33">
      <c r="A671" s="1289">
        <v>2</v>
      </c>
      <c r="B671" s="1289" t="s">
        <v>1245</v>
      </c>
      <c r="C671" s="1288" t="s">
        <v>14</v>
      </c>
      <c r="D671" s="1287">
        <v>1</v>
      </c>
      <c r="E671" s="1287">
        <v>4470.92</v>
      </c>
      <c r="F671" s="1287">
        <v>4470.92</v>
      </c>
      <c r="G671" s="1286" t="s">
        <v>1246</v>
      </c>
      <c r="H671" s="34" t="s">
        <v>925</v>
      </c>
    </row>
    <row r="672" spans="1:8" ht="42.75">
      <c r="A672" s="1289">
        <v>3</v>
      </c>
      <c r="B672" s="1289" t="s">
        <v>4907</v>
      </c>
      <c r="C672" s="1288" t="s">
        <v>927</v>
      </c>
      <c r="D672" s="1287">
        <v>8</v>
      </c>
      <c r="E672" s="1287">
        <v>398.41</v>
      </c>
      <c r="F672" s="1287">
        <v>3187.28</v>
      </c>
      <c r="G672" s="1286" t="s">
        <v>4908</v>
      </c>
      <c r="H672" s="34" t="s">
        <v>925</v>
      </c>
    </row>
    <row r="673" spans="1:8" ht="33">
      <c r="A673" s="1289">
        <v>4</v>
      </c>
      <c r="B673" s="1289" t="s">
        <v>4871</v>
      </c>
      <c r="C673" s="1288" t="s">
        <v>927</v>
      </c>
      <c r="D673" s="1287">
        <v>8</v>
      </c>
      <c r="E673" s="1287">
        <v>279.18</v>
      </c>
      <c r="F673" s="1287">
        <v>2233.44</v>
      </c>
      <c r="G673" s="1286" t="s">
        <v>4872</v>
      </c>
      <c r="H673" s="34" t="s">
        <v>925</v>
      </c>
    </row>
    <row r="674" spans="1:8" ht="33">
      <c r="A674" s="1289">
        <v>5</v>
      </c>
      <c r="B674" s="1289" t="s">
        <v>1247</v>
      </c>
      <c r="C674" s="1288" t="s">
        <v>14</v>
      </c>
      <c r="D674" s="1287">
        <v>1</v>
      </c>
      <c r="E674" s="1287">
        <v>397.42</v>
      </c>
      <c r="F674" s="1287">
        <v>397.42</v>
      </c>
      <c r="G674" s="1286" t="s">
        <v>1248</v>
      </c>
      <c r="H674" s="34" t="s">
        <v>925</v>
      </c>
    </row>
    <row r="675" spans="1:8" ht="33">
      <c r="A675" s="1289">
        <v>6</v>
      </c>
      <c r="B675" s="1289" t="s">
        <v>955</v>
      </c>
      <c r="C675" s="1288" t="s">
        <v>14</v>
      </c>
      <c r="D675" s="1287">
        <v>1</v>
      </c>
      <c r="E675" s="1287">
        <v>536.34</v>
      </c>
      <c r="F675" s="1287">
        <v>536.34</v>
      </c>
      <c r="G675" s="1286" t="s">
        <v>956</v>
      </c>
      <c r="H675" s="34" t="s">
        <v>925</v>
      </c>
    </row>
    <row r="676" spans="1:8" ht="33">
      <c r="A676" s="1289"/>
      <c r="B676" s="1289" t="s">
        <v>933</v>
      </c>
      <c r="C676" s="1288" t="s">
        <v>17</v>
      </c>
      <c r="D676" s="1287">
        <v>240</v>
      </c>
      <c r="E676" s="1287"/>
      <c r="F676" s="1287">
        <v>18414.439999999999</v>
      </c>
      <c r="G676" s="1286"/>
      <c r="H676" s="34" t="s">
        <v>925</v>
      </c>
    </row>
    <row r="677" spans="1:8" ht="16.5">
      <c r="A677" s="1289"/>
      <c r="B677" s="1289" t="s">
        <v>934</v>
      </c>
      <c r="C677" s="1288" t="s">
        <v>17</v>
      </c>
      <c r="D677" s="1287"/>
      <c r="E677" s="1287"/>
      <c r="F677" s="1287">
        <v>76.73</v>
      </c>
      <c r="G677" s="1286"/>
    </row>
    <row r="678" spans="1:8" ht="33">
      <c r="A678" s="1289"/>
      <c r="B678" s="1289"/>
      <c r="C678" s="1288"/>
      <c r="D678" s="1287"/>
      <c r="E678" s="1287"/>
      <c r="F678" s="1287"/>
      <c r="G678" s="1286"/>
      <c r="H678" s="34" t="s">
        <v>925</v>
      </c>
    </row>
    <row r="679" spans="1:8" ht="33">
      <c r="A679" s="1289" t="s">
        <v>1327</v>
      </c>
      <c r="B679" s="1289" t="s">
        <v>1253</v>
      </c>
      <c r="C679" s="1288" t="s">
        <v>17</v>
      </c>
      <c r="D679" s="1287">
        <v>160</v>
      </c>
      <c r="E679" s="1287">
        <v>139.19999999999999</v>
      </c>
      <c r="F679" s="1287"/>
      <c r="G679" s="1286" t="s">
        <v>1254</v>
      </c>
      <c r="H679" s="34" t="s">
        <v>925</v>
      </c>
    </row>
    <row r="680" spans="1:8" ht="33">
      <c r="A680" s="1289">
        <v>1</v>
      </c>
      <c r="B680" s="1289" t="s">
        <v>1243</v>
      </c>
      <c r="C680" s="1288" t="s">
        <v>927</v>
      </c>
      <c r="D680" s="1287">
        <v>8</v>
      </c>
      <c r="E680" s="1287">
        <v>948.63</v>
      </c>
      <c r="F680" s="1287">
        <v>7589.04</v>
      </c>
      <c r="G680" s="1286" t="s">
        <v>1244</v>
      </c>
      <c r="H680" s="34" t="s">
        <v>925</v>
      </c>
    </row>
    <row r="681" spans="1:8" ht="33">
      <c r="A681" s="1289">
        <v>2</v>
      </c>
      <c r="B681" s="1289" t="s">
        <v>1245</v>
      </c>
      <c r="C681" s="1288" t="s">
        <v>14</v>
      </c>
      <c r="D681" s="1287">
        <v>1</v>
      </c>
      <c r="E681" s="1287">
        <v>4470.92</v>
      </c>
      <c r="F681" s="1287">
        <v>4470.92</v>
      </c>
      <c r="G681" s="1286" t="s">
        <v>1246</v>
      </c>
      <c r="H681" s="34" t="s">
        <v>925</v>
      </c>
    </row>
    <row r="682" spans="1:8" ht="42.75">
      <c r="A682" s="1289">
        <v>3</v>
      </c>
      <c r="B682" s="1289" t="s">
        <v>4907</v>
      </c>
      <c r="C682" s="1288" t="s">
        <v>927</v>
      </c>
      <c r="D682" s="1287">
        <v>8</v>
      </c>
      <c r="E682" s="1287">
        <v>398.41</v>
      </c>
      <c r="F682" s="1287">
        <v>3187.28</v>
      </c>
      <c r="G682" s="1286" t="s">
        <v>4908</v>
      </c>
      <c r="H682" s="34" t="s">
        <v>925</v>
      </c>
    </row>
    <row r="683" spans="1:8" ht="33">
      <c r="A683" s="1289">
        <v>4</v>
      </c>
      <c r="B683" s="1289" t="s">
        <v>4871</v>
      </c>
      <c r="C683" s="1288" t="s">
        <v>927</v>
      </c>
      <c r="D683" s="1287">
        <v>10</v>
      </c>
      <c r="E683" s="1287">
        <v>279.18</v>
      </c>
      <c r="F683" s="1287">
        <v>2791.8</v>
      </c>
      <c r="G683" s="1286" t="s">
        <v>4872</v>
      </c>
      <c r="H683" s="34" t="s">
        <v>925</v>
      </c>
    </row>
    <row r="684" spans="1:8" ht="33">
      <c r="A684" s="1289">
        <v>5</v>
      </c>
      <c r="B684" s="1289" t="s">
        <v>1255</v>
      </c>
      <c r="C684" s="1288" t="s">
        <v>927</v>
      </c>
      <c r="D684" s="1287">
        <v>8</v>
      </c>
      <c r="E684" s="1287">
        <v>398.41</v>
      </c>
      <c r="F684" s="1287">
        <v>3187.28</v>
      </c>
      <c r="G684" s="1286" t="s">
        <v>1256</v>
      </c>
      <c r="H684" s="34" t="s">
        <v>925</v>
      </c>
    </row>
    <row r="685" spans="1:8" ht="33">
      <c r="A685" s="1289">
        <v>6</v>
      </c>
      <c r="B685" s="1289" t="s">
        <v>1247</v>
      </c>
      <c r="C685" s="1288" t="s">
        <v>14</v>
      </c>
      <c r="D685" s="1287">
        <v>1</v>
      </c>
      <c r="E685" s="1287">
        <v>397.42</v>
      </c>
      <c r="F685" s="1287">
        <v>397.42</v>
      </c>
      <c r="G685" s="1286" t="s">
        <v>1248</v>
      </c>
      <c r="H685" s="34" t="s">
        <v>925</v>
      </c>
    </row>
    <row r="686" spans="1:8" ht="33">
      <c r="A686" s="1289">
        <v>7</v>
      </c>
      <c r="B686" s="1289" t="s">
        <v>955</v>
      </c>
      <c r="C686" s="1288" t="s">
        <v>14</v>
      </c>
      <c r="D686" s="1287">
        <v>1</v>
      </c>
      <c r="E686" s="1287">
        <v>648.71</v>
      </c>
      <c r="F686" s="1287">
        <v>648.71</v>
      </c>
      <c r="G686" s="1286" t="s">
        <v>956</v>
      </c>
      <c r="H686" s="34" t="s">
        <v>925</v>
      </c>
    </row>
    <row r="687" spans="1:8" ht="33">
      <c r="A687" s="1289"/>
      <c r="B687" s="1289" t="s">
        <v>933</v>
      </c>
      <c r="C687" s="1288" t="s">
        <v>17</v>
      </c>
      <c r="D687" s="1287">
        <v>160</v>
      </c>
      <c r="E687" s="1287"/>
      <c r="F687" s="1287">
        <v>22272.449999999997</v>
      </c>
      <c r="G687" s="1286"/>
      <c r="H687" s="34" t="s">
        <v>925</v>
      </c>
    </row>
    <row r="688" spans="1:8" ht="33">
      <c r="A688" s="1289"/>
      <c r="B688" s="1289" t="s">
        <v>934</v>
      </c>
      <c r="C688" s="1288" t="s">
        <v>17</v>
      </c>
      <c r="D688" s="1287"/>
      <c r="E688" s="1287"/>
      <c r="F688" s="1287">
        <v>139.19999999999999</v>
      </c>
      <c r="G688" s="1286"/>
      <c r="H688" s="34" t="s">
        <v>925</v>
      </c>
    </row>
    <row r="689" spans="1:8" ht="33">
      <c r="A689" s="1289"/>
      <c r="B689" s="1289"/>
      <c r="C689" s="1288"/>
      <c r="D689" s="1287"/>
      <c r="E689" s="1287"/>
      <c r="F689" s="1287"/>
      <c r="G689" s="1286"/>
      <c r="H689" s="34" t="s">
        <v>925</v>
      </c>
    </row>
    <row r="690" spans="1:8" ht="28.5">
      <c r="A690" s="1289" t="s">
        <v>1332</v>
      </c>
      <c r="B690" s="1289" t="s">
        <v>464</v>
      </c>
      <c r="C690" s="1288" t="s">
        <v>0</v>
      </c>
      <c r="D690" s="1287">
        <v>1</v>
      </c>
      <c r="E690" s="1287">
        <v>3319</v>
      </c>
      <c r="F690" s="1287"/>
      <c r="G690" s="1286" t="s">
        <v>1258</v>
      </c>
    </row>
    <row r="691" spans="1:8" ht="33">
      <c r="A691" s="1289">
        <v>1</v>
      </c>
      <c r="B691" s="1289" t="s">
        <v>1259</v>
      </c>
      <c r="C691" s="1288" t="s">
        <v>0</v>
      </c>
      <c r="D691" s="1287">
        <v>1</v>
      </c>
      <c r="E691" s="1287">
        <v>2940.87</v>
      </c>
      <c r="F691" s="1287">
        <v>2940.87</v>
      </c>
      <c r="G691" s="1286" t="s">
        <v>1260</v>
      </c>
      <c r="H691" s="34" t="s">
        <v>925</v>
      </c>
    </row>
    <row r="692" spans="1:8" ht="33">
      <c r="A692" s="1289">
        <v>2</v>
      </c>
      <c r="B692" s="1289" t="s">
        <v>4909</v>
      </c>
      <c r="C692" s="1288" t="s">
        <v>927</v>
      </c>
      <c r="D692" s="1287">
        <v>0.24</v>
      </c>
      <c r="E692" s="1287">
        <v>407.35</v>
      </c>
      <c r="F692" s="1287">
        <v>97.76</v>
      </c>
      <c r="G692" s="1286" t="s">
        <v>4910</v>
      </c>
      <c r="H692" s="34" t="s">
        <v>925</v>
      </c>
    </row>
    <row r="693" spans="1:8" ht="33">
      <c r="A693" s="1289">
        <v>3</v>
      </c>
      <c r="B693" s="1289" t="s">
        <v>4871</v>
      </c>
      <c r="C693" s="1288" t="s">
        <v>927</v>
      </c>
      <c r="D693" s="1287">
        <v>0.48</v>
      </c>
      <c r="E693" s="1287">
        <v>279.18</v>
      </c>
      <c r="F693" s="1287">
        <v>134.01</v>
      </c>
      <c r="G693" s="1286" t="s">
        <v>4876</v>
      </c>
      <c r="H693" s="34" t="s">
        <v>925</v>
      </c>
    </row>
    <row r="694" spans="1:8" ht="33">
      <c r="A694" s="1289">
        <v>4</v>
      </c>
      <c r="B694" s="1289" t="s">
        <v>1263</v>
      </c>
      <c r="C694" s="1288" t="s">
        <v>14</v>
      </c>
      <c r="D694" s="1287">
        <v>1</v>
      </c>
      <c r="E694" s="1287">
        <v>9.94</v>
      </c>
      <c r="F694" s="1287">
        <v>9.94</v>
      </c>
      <c r="G694" s="1286" t="s">
        <v>1264</v>
      </c>
      <c r="H694" s="34" t="s">
        <v>925</v>
      </c>
    </row>
    <row r="695" spans="1:8" ht="33">
      <c r="A695" s="1289">
        <v>5</v>
      </c>
      <c r="B695" s="1289" t="s">
        <v>1265</v>
      </c>
      <c r="C695" s="1288" t="s">
        <v>14</v>
      </c>
      <c r="D695" s="1287">
        <v>1</v>
      </c>
      <c r="E695" s="1287">
        <v>9.94</v>
      </c>
      <c r="F695" s="1287">
        <v>9.94</v>
      </c>
      <c r="G695" s="1286" t="s">
        <v>1266</v>
      </c>
      <c r="H695" s="34" t="s">
        <v>925</v>
      </c>
    </row>
    <row r="696" spans="1:8" ht="33">
      <c r="A696" s="1289">
        <v>6</v>
      </c>
      <c r="B696" s="1289" t="s">
        <v>1267</v>
      </c>
      <c r="C696" s="1288" t="s">
        <v>14</v>
      </c>
      <c r="D696" s="1287">
        <v>1</v>
      </c>
      <c r="E696" s="1287">
        <v>29.81</v>
      </c>
      <c r="F696" s="1287">
        <v>29.81</v>
      </c>
      <c r="G696" s="1286" t="s">
        <v>1268</v>
      </c>
      <c r="H696" s="34" t="s">
        <v>925</v>
      </c>
    </row>
    <row r="697" spans="1:8" ht="33">
      <c r="A697" s="1289">
        <v>7</v>
      </c>
      <c r="B697" s="1289" t="s">
        <v>931</v>
      </c>
      <c r="C697" s="1288" t="s">
        <v>14</v>
      </c>
      <c r="D697" s="1287">
        <v>1</v>
      </c>
      <c r="E697" s="1287">
        <v>96.67</v>
      </c>
      <c r="F697" s="1287">
        <v>96.67</v>
      </c>
      <c r="G697" s="1286" t="s">
        <v>932</v>
      </c>
      <c r="H697" s="34" t="s">
        <v>925</v>
      </c>
    </row>
    <row r="698" spans="1:8" ht="33">
      <c r="A698" s="1289"/>
      <c r="B698" s="1289" t="s">
        <v>933</v>
      </c>
      <c r="C698" s="1288" t="s">
        <v>0</v>
      </c>
      <c r="D698" s="1287">
        <v>1</v>
      </c>
      <c r="E698" s="1287"/>
      <c r="F698" s="1287">
        <v>3319.0000000000005</v>
      </c>
      <c r="G698" s="1286"/>
      <c r="H698" s="34" t="s">
        <v>925</v>
      </c>
    </row>
    <row r="699" spans="1:8" ht="33">
      <c r="A699" s="1289"/>
      <c r="B699" s="1289" t="s">
        <v>934</v>
      </c>
      <c r="C699" s="1288" t="s">
        <v>0</v>
      </c>
      <c r="D699" s="1287"/>
      <c r="E699" s="1287"/>
      <c r="F699" s="1287">
        <v>3319</v>
      </c>
      <c r="G699" s="1286"/>
      <c r="H699" s="34" t="s">
        <v>925</v>
      </c>
    </row>
    <row r="700" spans="1:8" ht="33">
      <c r="A700" s="1289"/>
      <c r="B700" s="1289"/>
      <c r="C700" s="1288"/>
      <c r="D700" s="1287"/>
      <c r="E700" s="1287"/>
      <c r="F700" s="1287"/>
      <c r="G700" s="1286"/>
      <c r="H700" s="34" t="s">
        <v>925</v>
      </c>
    </row>
    <row r="701" spans="1:8" ht="28.5">
      <c r="A701" s="1289" t="s">
        <v>1346</v>
      </c>
      <c r="B701" s="1289" t="s">
        <v>4501</v>
      </c>
      <c r="C701" s="1288" t="s">
        <v>0</v>
      </c>
      <c r="D701" s="1287">
        <v>1</v>
      </c>
      <c r="E701" s="1287">
        <v>3631.55</v>
      </c>
      <c r="F701" s="1287"/>
      <c r="G701" s="1286" t="s">
        <v>4911</v>
      </c>
    </row>
    <row r="702" spans="1:8" ht="33">
      <c r="A702" s="1289">
        <v>1</v>
      </c>
      <c r="B702" s="1289" t="s">
        <v>1259</v>
      </c>
      <c r="C702" s="1288" t="s">
        <v>0</v>
      </c>
      <c r="D702" s="1287">
        <v>1</v>
      </c>
      <c r="E702" s="1287">
        <v>2940.87</v>
      </c>
      <c r="F702" s="1287">
        <v>2940.87</v>
      </c>
      <c r="G702" s="1286" t="s">
        <v>1260</v>
      </c>
      <c r="H702" s="34" t="s">
        <v>925</v>
      </c>
    </row>
    <row r="703" spans="1:8" ht="33">
      <c r="A703" s="1289">
        <v>2</v>
      </c>
      <c r="B703" s="1289" t="s">
        <v>4912</v>
      </c>
      <c r="C703" s="1288" t="s">
        <v>927</v>
      </c>
      <c r="D703" s="1287">
        <v>0.28000000000000003</v>
      </c>
      <c r="E703" s="1287">
        <v>814.7</v>
      </c>
      <c r="F703" s="1287">
        <v>228.12</v>
      </c>
      <c r="G703" s="1286" t="s">
        <v>4913</v>
      </c>
      <c r="H703" s="34" t="s">
        <v>925</v>
      </c>
    </row>
    <row r="704" spans="1:8" ht="42.75">
      <c r="A704" s="1289">
        <v>3</v>
      </c>
      <c r="B704" s="1289" t="s">
        <v>4874</v>
      </c>
      <c r="C704" s="1288" t="s">
        <v>927</v>
      </c>
      <c r="D704" s="1287">
        <v>0.55000000000000004</v>
      </c>
      <c r="E704" s="1287">
        <v>558.37</v>
      </c>
      <c r="F704" s="1287">
        <v>307.10000000000002</v>
      </c>
      <c r="G704" s="1286" t="s">
        <v>4875</v>
      </c>
      <c r="H704" s="34" t="s">
        <v>925</v>
      </c>
    </row>
    <row r="705" spans="1:8" ht="33">
      <c r="A705" s="1289">
        <v>4</v>
      </c>
      <c r="B705" s="1289" t="s">
        <v>1263</v>
      </c>
      <c r="C705" s="1288" t="s">
        <v>14</v>
      </c>
      <c r="D705" s="1287">
        <v>1</v>
      </c>
      <c r="E705" s="1287">
        <v>9.94</v>
      </c>
      <c r="F705" s="1287">
        <v>9.94</v>
      </c>
      <c r="G705" s="1286" t="s">
        <v>1264</v>
      </c>
      <c r="H705" s="34" t="s">
        <v>925</v>
      </c>
    </row>
    <row r="706" spans="1:8" ht="33">
      <c r="A706" s="1289">
        <v>5</v>
      </c>
      <c r="B706" s="1289" t="s">
        <v>1265</v>
      </c>
      <c r="C706" s="1288" t="s">
        <v>14</v>
      </c>
      <c r="D706" s="1287">
        <v>1</v>
      </c>
      <c r="E706" s="1287">
        <v>9.94</v>
      </c>
      <c r="F706" s="1287">
        <v>9.94</v>
      </c>
      <c r="G706" s="1286" t="s">
        <v>1266</v>
      </c>
      <c r="H706" s="34" t="s">
        <v>925</v>
      </c>
    </row>
    <row r="707" spans="1:8" ht="33">
      <c r="A707" s="1289">
        <v>6</v>
      </c>
      <c r="B707" s="1289" t="s">
        <v>1267</v>
      </c>
      <c r="C707" s="1288" t="s">
        <v>14</v>
      </c>
      <c r="D707" s="1287">
        <v>1</v>
      </c>
      <c r="E707" s="1287">
        <v>29.81</v>
      </c>
      <c r="F707" s="1287">
        <v>29.81</v>
      </c>
      <c r="G707" s="1286" t="s">
        <v>1268</v>
      </c>
      <c r="H707" s="34" t="s">
        <v>925</v>
      </c>
    </row>
    <row r="708" spans="1:8" ht="33">
      <c r="A708" s="1289">
        <v>7</v>
      </c>
      <c r="B708" s="1289" t="s">
        <v>931</v>
      </c>
      <c r="C708" s="1288" t="s">
        <v>14</v>
      </c>
      <c r="D708" s="1287">
        <v>1</v>
      </c>
      <c r="E708" s="1287">
        <v>105.77</v>
      </c>
      <c r="F708" s="1287">
        <v>105.77</v>
      </c>
      <c r="G708" s="1286" t="s">
        <v>932</v>
      </c>
      <c r="H708" s="34" t="s">
        <v>925</v>
      </c>
    </row>
    <row r="709" spans="1:8" ht="33">
      <c r="A709" s="1289"/>
      <c r="B709" s="1289" t="s">
        <v>933</v>
      </c>
      <c r="C709" s="1288" t="s">
        <v>0</v>
      </c>
      <c r="D709" s="1287">
        <v>1</v>
      </c>
      <c r="E709" s="1287"/>
      <c r="F709" s="1287">
        <v>3631.5499999999997</v>
      </c>
      <c r="G709" s="1286"/>
      <c r="H709" s="34" t="s">
        <v>925</v>
      </c>
    </row>
    <row r="710" spans="1:8" ht="33">
      <c r="A710" s="1289"/>
      <c r="B710" s="1289" t="s">
        <v>934</v>
      </c>
      <c r="C710" s="1288" t="s">
        <v>0</v>
      </c>
      <c r="D710" s="1287"/>
      <c r="E710" s="1287"/>
      <c r="F710" s="1287">
        <v>3631.55</v>
      </c>
      <c r="G710" s="1286"/>
      <c r="H710" s="34" t="s">
        <v>925</v>
      </c>
    </row>
    <row r="711" spans="1:8" ht="33">
      <c r="A711" s="1289"/>
      <c r="B711" s="1289"/>
      <c r="C711" s="1288"/>
      <c r="D711" s="1287"/>
      <c r="E711" s="1287"/>
      <c r="F711" s="1287"/>
      <c r="G711" s="1286"/>
      <c r="H711" s="34" t="s">
        <v>925</v>
      </c>
    </row>
    <row r="712" spans="1:8" ht="28.5">
      <c r="A712" s="1289" t="s">
        <v>1351</v>
      </c>
      <c r="B712" s="1289" t="s">
        <v>1270</v>
      </c>
      <c r="C712" s="1288" t="s">
        <v>0</v>
      </c>
      <c r="D712" s="1287">
        <v>1</v>
      </c>
      <c r="E712" s="1287">
        <v>3411.1</v>
      </c>
      <c r="F712" s="1287"/>
      <c r="G712" s="1286" t="s">
        <v>1271</v>
      </c>
    </row>
    <row r="713" spans="1:8" ht="33">
      <c r="A713" s="1289">
        <v>1</v>
      </c>
      <c r="B713" s="1289" t="s">
        <v>1272</v>
      </c>
      <c r="C713" s="1288" t="s">
        <v>0</v>
      </c>
      <c r="D713" s="1287">
        <v>1</v>
      </c>
      <c r="E713" s="1287">
        <v>3030.29</v>
      </c>
      <c r="F713" s="1287">
        <v>3030.29</v>
      </c>
      <c r="G713" s="1286" t="s">
        <v>1273</v>
      </c>
      <c r="H713" s="34" t="s">
        <v>925</v>
      </c>
    </row>
    <row r="714" spans="1:8" ht="33">
      <c r="A714" s="1289">
        <v>2</v>
      </c>
      <c r="B714" s="1289" t="s">
        <v>4909</v>
      </c>
      <c r="C714" s="1288" t="s">
        <v>927</v>
      </c>
      <c r="D714" s="1287">
        <v>0.24</v>
      </c>
      <c r="E714" s="1287">
        <v>407.35</v>
      </c>
      <c r="F714" s="1287">
        <v>97.76</v>
      </c>
      <c r="G714" s="1286" t="s">
        <v>4910</v>
      </c>
      <c r="H714" s="34" t="s">
        <v>925</v>
      </c>
    </row>
    <row r="715" spans="1:8" ht="33">
      <c r="A715" s="1289">
        <v>3</v>
      </c>
      <c r="B715" s="1289" t="s">
        <v>4871</v>
      </c>
      <c r="C715" s="1288" t="s">
        <v>927</v>
      </c>
      <c r="D715" s="1287">
        <v>0.48</v>
      </c>
      <c r="E715" s="1287">
        <v>279.18</v>
      </c>
      <c r="F715" s="1287">
        <v>134.01</v>
      </c>
      <c r="G715" s="1286" t="s">
        <v>4876</v>
      </c>
      <c r="H715" s="34" t="s">
        <v>925</v>
      </c>
    </row>
    <row r="716" spans="1:8" ht="33">
      <c r="A716" s="1289">
        <v>4</v>
      </c>
      <c r="B716" s="1289" t="s">
        <v>1263</v>
      </c>
      <c r="C716" s="1288" t="s">
        <v>14</v>
      </c>
      <c r="D716" s="1287">
        <v>1</v>
      </c>
      <c r="E716" s="1287">
        <v>9.94</v>
      </c>
      <c r="F716" s="1287">
        <v>9.94</v>
      </c>
      <c r="G716" s="1286" t="s">
        <v>1264</v>
      </c>
      <c r="H716" s="34" t="s">
        <v>925</v>
      </c>
    </row>
    <row r="717" spans="1:8" ht="33">
      <c r="A717" s="1289">
        <v>5</v>
      </c>
      <c r="B717" s="1289" t="s">
        <v>1265</v>
      </c>
      <c r="C717" s="1288" t="s">
        <v>14</v>
      </c>
      <c r="D717" s="1287">
        <v>1</v>
      </c>
      <c r="E717" s="1287">
        <v>9.94</v>
      </c>
      <c r="F717" s="1287">
        <v>9.94</v>
      </c>
      <c r="G717" s="1286" t="s">
        <v>1266</v>
      </c>
      <c r="H717" s="34" t="s">
        <v>925</v>
      </c>
    </row>
    <row r="718" spans="1:8" ht="33">
      <c r="A718" s="1289">
        <v>6</v>
      </c>
      <c r="B718" s="1289" t="s">
        <v>1267</v>
      </c>
      <c r="C718" s="1288" t="s">
        <v>14</v>
      </c>
      <c r="D718" s="1287">
        <v>1</v>
      </c>
      <c r="E718" s="1287">
        <v>29.81</v>
      </c>
      <c r="F718" s="1287">
        <v>29.81</v>
      </c>
      <c r="G718" s="1286" t="s">
        <v>1268</v>
      </c>
      <c r="H718" s="34" t="s">
        <v>925</v>
      </c>
    </row>
    <row r="719" spans="1:8" ht="33">
      <c r="A719" s="1289">
        <v>7</v>
      </c>
      <c r="B719" s="1289" t="s">
        <v>931</v>
      </c>
      <c r="C719" s="1288" t="s">
        <v>14</v>
      </c>
      <c r="D719" s="1287">
        <v>1</v>
      </c>
      <c r="E719" s="1287">
        <v>99.35</v>
      </c>
      <c r="F719" s="1287">
        <v>99.35</v>
      </c>
      <c r="G719" s="1286" t="s">
        <v>932</v>
      </c>
      <c r="H719" s="34" t="s">
        <v>925</v>
      </c>
    </row>
    <row r="720" spans="1:8" ht="33">
      <c r="A720" s="1289"/>
      <c r="B720" s="1289" t="s">
        <v>933</v>
      </c>
      <c r="C720" s="1288" t="s">
        <v>0</v>
      </c>
      <c r="D720" s="1287">
        <v>1</v>
      </c>
      <c r="E720" s="1287"/>
      <c r="F720" s="1287">
        <v>3411.1000000000004</v>
      </c>
      <c r="G720" s="1286"/>
      <c r="H720" s="34" t="s">
        <v>925</v>
      </c>
    </row>
    <row r="721" spans="1:8" ht="16.5">
      <c r="A721" s="1289"/>
      <c r="B721" s="1289" t="s">
        <v>934</v>
      </c>
      <c r="C721" s="1288" t="s">
        <v>0</v>
      </c>
      <c r="D721" s="1287"/>
      <c r="E721" s="1287"/>
      <c r="F721" s="1287">
        <v>3411.1</v>
      </c>
      <c r="G721" s="1286"/>
    </row>
    <row r="722" spans="1:8" ht="33">
      <c r="A722" s="1289"/>
      <c r="B722" s="1289"/>
      <c r="C722" s="1288"/>
      <c r="D722" s="1287"/>
      <c r="E722" s="1287"/>
      <c r="F722" s="1287"/>
      <c r="G722" s="1286"/>
      <c r="H722" s="34" t="s">
        <v>925</v>
      </c>
    </row>
    <row r="723" spans="1:8" ht="57">
      <c r="A723" s="1289" t="s">
        <v>1356</v>
      </c>
      <c r="B723" s="1289" t="s">
        <v>1275</v>
      </c>
      <c r="C723" s="1288" t="s">
        <v>0</v>
      </c>
      <c r="D723" s="1287">
        <v>1</v>
      </c>
      <c r="E723" s="1287">
        <v>3513.44</v>
      </c>
      <c r="F723" s="1287"/>
      <c r="G723" s="1286" t="s">
        <v>1276</v>
      </c>
      <c r="H723" s="34" t="s">
        <v>925</v>
      </c>
    </row>
    <row r="724" spans="1:8" ht="57">
      <c r="A724" s="1289">
        <v>1</v>
      </c>
      <c r="B724" s="1289" t="s">
        <v>1277</v>
      </c>
      <c r="C724" s="1288" t="s">
        <v>0</v>
      </c>
      <c r="D724" s="1287">
        <v>1</v>
      </c>
      <c r="E724" s="1287">
        <v>3129.65</v>
      </c>
      <c r="F724" s="1287">
        <v>3129.65</v>
      </c>
      <c r="G724" s="1286" t="s">
        <v>1278</v>
      </c>
      <c r="H724" s="34" t="s">
        <v>925</v>
      </c>
    </row>
    <row r="725" spans="1:8" ht="33">
      <c r="A725" s="1289">
        <v>2</v>
      </c>
      <c r="B725" s="1289" t="s">
        <v>4909</v>
      </c>
      <c r="C725" s="1288" t="s">
        <v>927</v>
      </c>
      <c r="D725" s="1287">
        <v>0.24</v>
      </c>
      <c r="E725" s="1287">
        <v>407.35</v>
      </c>
      <c r="F725" s="1287">
        <v>97.76</v>
      </c>
      <c r="G725" s="1286" t="s">
        <v>4910</v>
      </c>
      <c r="H725" s="34" t="s">
        <v>925</v>
      </c>
    </row>
    <row r="726" spans="1:8" ht="33">
      <c r="A726" s="1289">
        <v>3</v>
      </c>
      <c r="B726" s="1289" t="s">
        <v>4871</v>
      </c>
      <c r="C726" s="1288" t="s">
        <v>927</v>
      </c>
      <c r="D726" s="1287">
        <v>0.48</v>
      </c>
      <c r="E726" s="1287">
        <v>279.18</v>
      </c>
      <c r="F726" s="1287">
        <v>134.01</v>
      </c>
      <c r="G726" s="1286" t="s">
        <v>4876</v>
      </c>
      <c r="H726" s="34" t="s">
        <v>925</v>
      </c>
    </row>
    <row r="727" spans="1:8" ht="33">
      <c r="A727" s="1289">
        <v>4</v>
      </c>
      <c r="B727" s="1289" t="s">
        <v>1263</v>
      </c>
      <c r="C727" s="1288" t="s">
        <v>14</v>
      </c>
      <c r="D727" s="1287">
        <v>1</v>
      </c>
      <c r="E727" s="1287">
        <v>9.94</v>
      </c>
      <c r="F727" s="1287">
        <v>9.94</v>
      </c>
      <c r="G727" s="1286" t="s">
        <v>1264</v>
      </c>
      <c r="H727" s="34" t="s">
        <v>925</v>
      </c>
    </row>
    <row r="728" spans="1:8" ht="33">
      <c r="A728" s="1289">
        <v>5</v>
      </c>
      <c r="B728" s="1289" t="s">
        <v>1265</v>
      </c>
      <c r="C728" s="1288" t="s">
        <v>14</v>
      </c>
      <c r="D728" s="1287">
        <v>1</v>
      </c>
      <c r="E728" s="1287">
        <v>9.94</v>
      </c>
      <c r="F728" s="1287">
        <v>9.94</v>
      </c>
      <c r="G728" s="1286" t="s">
        <v>1266</v>
      </c>
      <c r="H728" s="34" t="s">
        <v>925</v>
      </c>
    </row>
    <row r="729" spans="1:8" ht="28.5">
      <c r="A729" s="1289">
        <v>6</v>
      </c>
      <c r="B729" s="1289" t="s">
        <v>1267</v>
      </c>
      <c r="C729" s="1288" t="s">
        <v>14</v>
      </c>
      <c r="D729" s="1287">
        <v>1</v>
      </c>
      <c r="E729" s="1287">
        <v>29.81</v>
      </c>
      <c r="F729" s="1287">
        <v>29.81</v>
      </c>
      <c r="G729" s="1286" t="s">
        <v>1268</v>
      </c>
    </row>
    <row r="730" spans="1:8" ht="33">
      <c r="A730" s="1289">
        <v>7</v>
      </c>
      <c r="B730" s="1289" t="s">
        <v>931</v>
      </c>
      <c r="C730" s="1288" t="s">
        <v>14</v>
      </c>
      <c r="D730" s="1287">
        <v>1</v>
      </c>
      <c r="E730" s="1287">
        <v>102.33</v>
      </c>
      <c r="F730" s="1287">
        <v>102.33</v>
      </c>
      <c r="G730" s="1286" t="s">
        <v>932</v>
      </c>
      <c r="H730" s="34" t="s">
        <v>925</v>
      </c>
    </row>
    <row r="731" spans="1:8" ht="33">
      <c r="A731" s="1289"/>
      <c r="B731" s="1289" t="s">
        <v>933</v>
      </c>
      <c r="C731" s="1288" t="s">
        <v>0</v>
      </c>
      <c r="D731" s="1287">
        <v>1</v>
      </c>
      <c r="E731" s="1287"/>
      <c r="F731" s="1287">
        <v>3513.44</v>
      </c>
      <c r="G731" s="1286"/>
      <c r="H731" s="34" t="s">
        <v>925</v>
      </c>
    </row>
    <row r="732" spans="1:8" ht="33">
      <c r="A732" s="1289"/>
      <c r="B732" s="1289" t="s">
        <v>934</v>
      </c>
      <c r="C732" s="1288" t="s">
        <v>0</v>
      </c>
      <c r="D732" s="1287"/>
      <c r="E732" s="1287"/>
      <c r="F732" s="1287">
        <v>3513.44</v>
      </c>
      <c r="G732" s="1286"/>
      <c r="H732" s="34" t="s">
        <v>925</v>
      </c>
    </row>
    <row r="733" spans="1:8" ht="33">
      <c r="A733" s="1289"/>
      <c r="B733" s="1289"/>
      <c r="C733" s="1288"/>
      <c r="D733" s="1287"/>
      <c r="E733" s="1287"/>
      <c r="F733" s="1287"/>
      <c r="G733" s="1286"/>
      <c r="H733" s="34" t="s">
        <v>925</v>
      </c>
    </row>
    <row r="734" spans="1:8" ht="57">
      <c r="A734" s="1289" t="s">
        <v>1359</v>
      </c>
      <c r="B734" s="1289" t="s">
        <v>4505</v>
      </c>
      <c r="C734" s="1288" t="s">
        <v>0</v>
      </c>
      <c r="D734" s="1287">
        <v>1</v>
      </c>
      <c r="E734" s="1287">
        <v>3826</v>
      </c>
      <c r="F734" s="1287"/>
      <c r="G734" s="1286" t="s">
        <v>4914</v>
      </c>
      <c r="H734" s="34" t="s">
        <v>925</v>
      </c>
    </row>
    <row r="735" spans="1:8" ht="57">
      <c r="A735" s="1289">
        <v>1</v>
      </c>
      <c r="B735" s="1289" t="s">
        <v>1277</v>
      </c>
      <c r="C735" s="1288" t="s">
        <v>0</v>
      </c>
      <c r="D735" s="1287">
        <v>1</v>
      </c>
      <c r="E735" s="1287">
        <v>3129.65</v>
      </c>
      <c r="F735" s="1287">
        <v>3129.65</v>
      </c>
      <c r="G735" s="1286" t="s">
        <v>1278</v>
      </c>
      <c r="H735" s="34" t="s">
        <v>925</v>
      </c>
    </row>
    <row r="736" spans="1:8" ht="33">
      <c r="A736" s="1289">
        <v>2</v>
      </c>
      <c r="B736" s="1289" t="s">
        <v>4912</v>
      </c>
      <c r="C736" s="1288" t="s">
        <v>927</v>
      </c>
      <c r="D736" s="1287">
        <v>0.28000000000000003</v>
      </c>
      <c r="E736" s="1287">
        <v>814.7</v>
      </c>
      <c r="F736" s="1287">
        <v>228.12</v>
      </c>
      <c r="G736" s="1286" t="s">
        <v>4913</v>
      </c>
      <c r="H736" s="34" t="s">
        <v>925</v>
      </c>
    </row>
    <row r="737" spans="1:8" ht="42.75">
      <c r="A737" s="1289">
        <v>3</v>
      </c>
      <c r="B737" s="1289" t="s">
        <v>4874</v>
      </c>
      <c r="C737" s="1288" t="s">
        <v>927</v>
      </c>
      <c r="D737" s="1287">
        <v>0.55000000000000004</v>
      </c>
      <c r="E737" s="1287">
        <v>558.37</v>
      </c>
      <c r="F737" s="1287">
        <v>307.10000000000002</v>
      </c>
      <c r="G737" s="1286" t="s">
        <v>4875</v>
      </c>
      <c r="H737" s="34" t="s">
        <v>925</v>
      </c>
    </row>
    <row r="738" spans="1:8" ht="33">
      <c r="A738" s="1289">
        <v>4</v>
      </c>
      <c r="B738" s="1289" t="s">
        <v>1263</v>
      </c>
      <c r="C738" s="1288" t="s">
        <v>14</v>
      </c>
      <c r="D738" s="1287">
        <v>1</v>
      </c>
      <c r="E738" s="1287">
        <v>9.94</v>
      </c>
      <c r="F738" s="1287">
        <v>9.94</v>
      </c>
      <c r="G738" s="1286" t="s">
        <v>1264</v>
      </c>
      <c r="H738" s="34" t="s">
        <v>925</v>
      </c>
    </row>
    <row r="739" spans="1:8" ht="33">
      <c r="A739" s="1289">
        <v>5</v>
      </c>
      <c r="B739" s="1289" t="s">
        <v>1265</v>
      </c>
      <c r="C739" s="1288" t="s">
        <v>14</v>
      </c>
      <c r="D739" s="1287">
        <v>1</v>
      </c>
      <c r="E739" s="1287">
        <v>9.94</v>
      </c>
      <c r="F739" s="1287">
        <v>9.94</v>
      </c>
      <c r="G739" s="1286" t="s">
        <v>1266</v>
      </c>
      <c r="H739" s="34" t="s">
        <v>925</v>
      </c>
    </row>
    <row r="740" spans="1:8" ht="33">
      <c r="A740" s="1289">
        <v>6</v>
      </c>
      <c r="B740" s="1289" t="s">
        <v>1267</v>
      </c>
      <c r="C740" s="1288" t="s">
        <v>14</v>
      </c>
      <c r="D740" s="1287">
        <v>1</v>
      </c>
      <c r="E740" s="1287">
        <v>29.81</v>
      </c>
      <c r="F740" s="1287">
        <v>29.81</v>
      </c>
      <c r="G740" s="1286" t="s">
        <v>1268</v>
      </c>
      <c r="H740" s="34" t="s">
        <v>925</v>
      </c>
    </row>
    <row r="741" spans="1:8" ht="33">
      <c r="A741" s="1289">
        <v>7</v>
      </c>
      <c r="B741" s="1289" t="s">
        <v>931</v>
      </c>
      <c r="C741" s="1288" t="s">
        <v>14</v>
      </c>
      <c r="D741" s="1287">
        <v>1</v>
      </c>
      <c r="E741" s="1287">
        <v>111.44</v>
      </c>
      <c r="F741" s="1287">
        <v>111.44</v>
      </c>
      <c r="G741" s="1286" t="s">
        <v>932</v>
      </c>
      <c r="H741" s="34" t="s">
        <v>925</v>
      </c>
    </row>
    <row r="742" spans="1:8" ht="16.5">
      <c r="A742" s="1289"/>
      <c r="B742" s="1289" t="s">
        <v>933</v>
      </c>
      <c r="C742" s="1288" t="s">
        <v>0</v>
      </c>
      <c r="D742" s="1287">
        <v>1</v>
      </c>
      <c r="E742" s="1287"/>
      <c r="F742" s="1287">
        <v>3826</v>
      </c>
      <c r="G742" s="1286"/>
    </row>
    <row r="743" spans="1:8" ht="33">
      <c r="A743" s="1289"/>
      <c r="B743" s="1289" t="s">
        <v>934</v>
      </c>
      <c r="C743" s="1288" t="s">
        <v>0</v>
      </c>
      <c r="D743" s="1287"/>
      <c r="E743" s="1287"/>
      <c r="F743" s="1287">
        <v>3826</v>
      </c>
      <c r="G743" s="1286"/>
      <c r="H743" s="34" t="s">
        <v>925</v>
      </c>
    </row>
    <row r="744" spans="1:8" ht="33">
      <c r="A744" s="1289"/>
      <c r="B744" s="1289"/>
      <c r="C744" s="1288"/>
      <c r="D744" s="1287"/>
      <c r="E744" s="1287"/>
      <c r="F744" s="1287"/>
      <c r="G744" s="1286"/>
      <c r="H744" s="34" t="s">
        <v>925</v>
      </c>
    </row>
    <row r="745" spans="1:8" ht="33">
      <c r="A745" s="1289" t="s">
        <v>1362</v>
      </c>
      <c r="B745" s="1289" t="s">
        <v>1280</v>
      </c>
      <c r="C745" s="1288" t="s">
        <v>0</v>
      </c>
      <c r="D745" s="1287">
        <v>1</v>
      </c>
      <c r="E745" s="1287">
        <v>3682.24</v>
      </c>
      <c r="F745" s="1287"/>
      <c r="G745" s="1286" t="s">
        <v>1281</v>
      </c>
      <c r="H745" s="34" t="s">
        <v>925</v>
      </c>
    </row>
    <row r="746" spans="1:8" ht="33">
      <c r="A746" s="1289">
        <v>1</v>
      </c>
      <c r="B746" s="1289" t="s">
        <v>1282</v>
      </c>
      <c r="C746" s="1288" t="s">
        <v>0</v>
      </c>
      <c r="D746" s="1287">
        <v>1</v>
      </c>
      <c r="E746" s="1287">
        <v>3238.93</v>
      </c>
      <c r="F746" s="1287">
        <v>3238.93</v>
      </c>
      <c r="G746" s="1286" t="s">
        <v>1283</v>
      </c>
      <c r="H746" s="34" t="s">
        <v>925</v>
      </c>
    </row>
    <row r="747" spans="1:8" ht="33">
      <c r="A747" s="1289">
        <v>2</v>
      </c>
      <c r="B747" s="1289" t="s">
        <v>4909</v>
      </c>
      <c r="C747" s="1288" t="s">
        <v>927</v>
      </c>
      <c r="D747" s="1287">
        <v>0.24</v>
      </c>
      <c r="E747" s="1287">
        <v>407.35</v>
      </c>
      <c r="F747" s="1287">
        <v>97.76</v>
      </c>
      <c r="G747" s="1286" t="s">
        <v>4910</v>
      </c>
      <c r="H747" s="34" t="s">
        <v>925</v>
      </c>
    </row>
    <row r="748" spans="1:8" ht="33">
      <c r="A748" s="1289">
        <v>3</v>
      </c>
      <c r="B748" s="1289" t="s">
        <v>4871</v>
      </c>
      <c r="C748" s="1288" t="s">
        <v>927</v>
      </c>
      <c r="D748" s="1287">
        <v>0.64</v>
      </c>
      <c r="E748" s="1287">
        <v>279.18</v>
      </c>
      <c r="F748" s="1287">
        <v>178.68</v>
      </c>
      <c r="G748" s="1286" t="s">
        <v>4876</v>
      </c>
      <c r="H748" s="34" t="s">
        <v>925</v>
      </c>
    </row>
    <row r="749" spans="1:8" ht="33">
      <c r="A749" s="1289">
        <v>4</v>
      </c>
      <c r="B749" s="1289" t="s">
        <v>1263</v>
      </c>
      <c r="C749" s="1288" t="s">
        <v>14</v>
      </c>
      <c r="D749" s="1287">
        <v>1</v>
      </c>
      <c r="E749" s="1287">
        <v>12.92</v>
      </c>
      <c r="F749" s="1287">
        <v>12.92</v>
      </c>
      <c r="G749" s="1286" t="s">
        <v>1264</v>
      </c>
      <c r="H749" s="34" t="s">
        <v>925</v>
      </c>
    </row>
    <row r="750" spans="1:8" ht="33">
      <c r="A750" s="1289">
        <v>5</v>
      </c>
      <c r="B750" s="1289" t="s">
        <v>1265</v>
      </c>
      <c r="C750" s="1288" t="s">
        <v>14</v>
      </c>
      <c r="D750" s="1287">
        <v>1</v>
      </c>
      <c r="E750" s="1287">
        <v>9.94</v>
      </c>
      <c r="F750" s="1287">
        <v>9.94</v>
      </c>
      <c r="G750" s="1286" t="s">
        <v>1266</v>
      </c>
      <c r="H750" s="34" t="s">
        <v>925</v>
      </c>
    </row>
    <row r="751" spans="1:8" ht="33">
      <c r="A751" s="1289">
        <v>6</v>
      </c>
      <c r="B751" s="1289" t="s">
        <v>1267</v>
      </c>
      <c r="C751" s="1288" t="s">
        <v>14</v>
      </c>
      <c r="D751" s="1287">
        <v>1</v>
      </c>
      <c r="E751" s="1287">
        <v>36.76</v>
      </c>
      <c r="F751" s="1287">
        <v>36.76</v>
      </c>
      <c r="G751" s="1286" t="s">
        <v>1268</v>
      </c>
      <c r="H751" s="34" t="s">
        <v>925</v>
      </c>
    </row>
    <row r="752" spans="1:8" ht="33">
      <c r="A752" s="1289">
        <v>7</v>
      </c>
      <c r="B752" s="1289" t="s">
        <v>931</v>
      </c>
      <c r="C752" s="1288" t="s">
        <v>14</v>
      </c>
      <c r="D752" s="1287">
        <v>1</v>
      </c>
      <c r="E752" s="1287">
        <v>107.25</v>
      </c>
      <c r="F752" s="1287">
        <v>107.25</v>
      </c>
      <c r="G752" s="1286" t="s">
        <v>932</v>
      </c>
      <c r="H752" s="34" t="s">
        <v>925</v>
      </c>
    </row>
    <row r="753" spans="1:8" ht="33">
      <c r="A753" s="1289"/>
      <c r="B753" s="1289" t="s">
        <v>933</v>
      </c>
      <c r="C753" s="1288" t="s">
        <v>0</v>
      </c>
      <c r="D753" s="1287">
        <v>1</v>
      </c>
      <c r="E753" s="1287"/>
      <c r="F753" s="1287">
        <v>3682.2400000000002</v>
      </c>
      <c r="G753" s="1286"/>
      <c r="H753" s="34" t="s">
        <v>925</v>
      </c>
    </row>
    <row r="754" spans="1:8" ht="33">
      <c r="A754" s="1289"/>
      <c r="B754" s="1289" t="s">
        <v>934</v>
      </c>
      <c r="C754" s="1288" t="s">
        <v>0</v>
      </c>
      <c r="D754" s="1287"/>
      <c r="E754" s="1287"/>
      <c r="F754" s="1287">
        <v>3682.24</v>
      </c>
      <c r="G754" s="1286"/>
      <c r="H754" s="34" t="s">
        <v>925</v>
      </c>
    </row>
    <row r="755" spans="1:8" ht="16.5">
      <c r="A755" s="1289"/>
      <c r="B755" s="1289"/>
      <c r="C755" s="1288"/>
      <c r="D755" s="1287"/>
      <c r="E755" s="1287"/>
      <c r="F755" s="1287"/>
      <c r="G755" s="1286"/>
    </row>
    <row r="756" spans="1:8" ht="57">
      <c r="A756" s="1289" t="s">
        <v>1368</v>
      </c>
      <c r="B756" s="1289" t="s">
        <v>16</v>
      </c>
      <c r="C756" s="1288" t="s">
        <v>0</v>
      </c>
      <c r="D756" s="1287">
        <v>1</v>
      </c>
      <c r="E756" s="1287">
        <v>3837.05</v>
      </c>
      <c r="F756" s="1287"/>
      <c r="G756" s="1286" t="s">
        <v>4021</v>
      </c>
      <c r="H756" s="34" t="s">
        <v>925</v>
      </c>
    </row>
    <row r="757" spans="1:8" ht="57">
      <c r="A757" s="1289">
        <v>1</v>
      </c>
      <c r="B757" s="1289" t="s">
        <v>1285</v>
      </c>
      <c r="C757" s="1288" t="s">
        <v>0</v>
      </c>
      <c r="D757" s="1287">
        <v>1</v>
      </c>
      <c r="E757" s="1287">
        <v>3328.35</v>
      </c>
      <c r="F757" s="1287">
        <v>3328.35</v>
      </c>
      <c r="G757" s="1286" t="s">
        <v>4915</v>
      </c>
      <c r="H757" s="34" t="s">
        <v>925</v>
      </c>
    </row>
    <row r="758" spans="1:8" ht="33">
      <c r="A758" s="1289">
        <v>2</v>
      </c>
      <c r="B758" s="1289" t="s">
        <v>4909</v>
      </c>
      <c r="C758" s="1288" t="s">
        <v>927</v>
      </c>
      <c r="D758" s="1287">
        <v>0.32</v>
      </c>
      <c r="E758" s="1287">
        <v>407.35</v>
      </c>
      <c r="F758" s="1287">
        <v>130.35</v>
      </c>
      <c r="G758" s="1286" t="s">
        <v>4910</v>
      </c>
      <c r="H758" s="34" t="s">
        <v>925</v>
      </c>
    </row>
    <row r="759" spans="1:8" ht="33">
      <c r="A759" s="1289">
        <v>3</v>
      </c>
      <c r="B759" s="1289" t="s">
        <v>4871</v>
      </c>
      <c r="C759" s="1288" t="s">
        <v>927</v>
      </c>
      <c r="D759" s="1287">
        <v>0.72</v>
      </c>
      <c r="E759" s="1287">
        <v>279.18</v>
      </c>
      <c r="F759" s="1287">
        <v>201.01</v>
      </c>
      <c r="G759" s="1286" t="s">
        <v>4876</v>
      </c>
      <c r="H759" s="34" t="s">
        <v>925</v>
      </c>
    </row>
    <row r="760" spans="1:8" ht="33">
      <c r="A760" s="1289">
        <v>4</v>
      </c>
      <c r="B760" s="1289" t="s">
        <v>1263</v>
      </c>
      <c r="C760" s="1288" t="s">
        <v>14</v>
      </c>
      <c r="D760" s="1287">
        <v>1</v>
      </c>
      <c r="E760" s="1287">
        <v>12.92</v>
      </c>
      <c r="F760" s="1287">
        <v>12.92</v>
      </c>
      <c r="G760" s="1286" t="s">
        <v>1264</v>
      </c>
      <c r="H760" s="34" t="s">
        <v>925</v>
      </c>
    </row>
    <row r="761" spans="1:8" ht="33">
      <c r="A761" s="1289">
        <v>5</v>
      </c>
      <c r="B761" s="1289" t="s">
        <v>1265</v>
      </c>
      <c r="C761" s="1288" t="s">
        <v>14</v>
      </c>
      <c r="D761" s="1287">
        <v>1</v>
      </c>
      <c r="E761" s="1287">
        <v>12.92</v>
      </c>
      <c r="F761" s="1287">
        <v>12.92</v>
      </c>
      <c r="G761" s="1286" t="s">
        <v>1266</v>
      </c>
      <c r="H761" s="34" t="s">
        <v>925</v>
      </c>
    </row>
    <row r="762" spans="1:8" ht="33">
      <c r="A762" s="1289">
        <v>6</v>
      </c>
      <c r="B762" s="1289" t="s">
        <v>1267</v>
      </c>
      <c r="C762" s="1288" t="s">
        <v>14</v>
      </c>
      <c r="D762" s="1287">
        <v>1</v>
      </c>
      <c r="E762" s="1287">
        <v>39.74</v>
      </c>
      <c r="F762" s="1287">
        <v>39.74</v>
      </c>
      <c r="G762" s="1286" t="s">
        <v>1268</v>
      </c>
      <c r="H762" s="34" t="s">
        <v>925</v>
      </c>
    </row>
    <row r="763" spans="1:8" ht="33">
      <c r="A763" s="1289">
        <v>7</v>
      </c>
      <c r="B763" s="1289" t="s">
        <v>931</v>
      </c>
      <c r="C763" s="1288" t="s">
        <v>14</v>
      </c>
      <c r="D763" s="1287">
        <v>1</v>
      </c>
      <c r="E763" s="1287">
        <v>111.76</v>
      </c>
      <c r="F763" s="1287">
        <v>111.76</v>
      </c>
      <c r="G763" s="1286" t="s">
        <v>932</v>
      </c>
      <c r="H763" s="34" t="s">
        <v>925</v>
      </c>
    </row>
    <row r="764" spans="1:8" ht="33">
      <c r="A764" s="1289"/>
      <c r="B764" s="1289" t="s">
        <v>933</v>
      </c>
      <c r="C764" s="1288" t="s">
        <v>0</v>
      </c>
      <c r="D764" s="1287">
        <v>1</v>
      </c>
      <c r="E764" s="1287"/>
      <c r="F764" s="1287">
        <v>3837.05</v>
      </c>
      <c r="G764" s="1286"/>
      <c r="H764" s="34" t="s">
        <v>925</v>
      </c>
    </row>
    <row r="765" spans="1:8" ht="33">
      <c r="A765" s="1289"/>
      <c r="B765" s="1289" t="s">
        <v>934</v>
      </c>
      <c r="C765" s="1288" t="s">
        <v>0</v>
      </c>
      <c r="D765" s="1287"/>
      <c r="E765" s="1287"/>
      <c r="F765" s="1287">
        <v>3837.05</v>
      </c>
      <c r="G765" s="1286"/>
      <c r="H765" s="34" t="s">
        <v>925</v>
      </c>
    </row>
    <row r="766" spans="1:8" ht="33">
      <c r="A766" s="1289"/>
      <c r="B766" s="1289"/>
      <c r="C766" s="1288"/>
      <c r="D766" s="1287"/>
      <c r="E766" s="1287"/>
      <c r="F766" s="1287"/>
      <c r="G766" s="1286"/>
      <c r="H766" s="34" t="s">
        <v>925</v>
      </c>
    </row>
    <row r="767" spans="1:8" ht="57">
      <c r="A767" s="1289" t="s">
        <v>1371</v>
      </c>
      <c r="B767" s="1289" t="s">
        <v>4509</v>
      </c>
      <c r="C767" s="1288" t="s">
        <v>0</v>
      </c>
      <c r="D767" s="1287">
        <v>1</v>
      </c>
      <c r="E767" s="1287">
        <v>4283.58</v>
      </c>
      <c r="F767" s="1287"/>
      <c r="G767" s="1286" t="s">
        <v>4916</v>
      </c>
      <c r="H767" s="34" t="s">
        <v>925</v>
      </c>
    </row>
    <row r="768" spans="1:8" ht="57">
      <c r="A768" s="1289">
        <v>1</v>
      </c>
      <c r="B768" s="1289" t="s">
        <v>1285</v>
      </c>
      <c r="C768" s="1288" t="s">
        <v>0</v>
      </c>
      <c r="D768" s="1287">
        <v>1</v>
      </c>
      <c r="E768" s="1287">
        <v>3328.35</v>
      </c>
      <c r="F768" s="1287">
        <v>3328.35</v>
      </c>
      <c r="G768" s="1286" t="s">
        <v>4915</v>
      </c>
    </row>
    <row r="769" spans="1:8" ht="33">
      <c r="A769" s="1289">
        <v>2</v>
      </c>
      <c r="B769" s="1289" t="s">
        <v>4912</v>
      </c>
      <c r="C769" s="1288" t="s">
        <v>927</v>
      </c>
      <c r="D769" s="1287">
        <v>0.37</v>
      </c>
      <c r="E769" s="1287">
        <v>814.7</v>
      </c>
      <c r="F769" s="1287">
        <v>301.44</v>
      </c>
      <c r="G769" s="1286" t="s">
        <v>4913</v>
      </c>
      <c r="H769" s="34" t="s">
        <v>925</v>
      </c>
    </row>
    <row r="770" spans="1:8" ht="42.75">
      <c r="A770" s="1289">
        <v>3</v>
      </c>
      <c r="B770" s="1289" t="s">
        <v>4874</v>
      </c>
      <c r="C770" s="1288" t="s">
        <v>927</v>
      </c>
      <c r="D770" s="1287">
        <v>0.83</v>
      </c>
      <c r="E770" s="1287">
        <v>558.37</v>
      </c>
      <c r="F770" s="1287">
        <v>463.45</v>
      </c>
      <c r="G770" s="1286" t="s">
        <v>4875</v>
      </c>
      <c r="H770" s="34" t="s">
        <v>925</v>
      </c>
    </row>
    <row r="771" spans="1:8" ht="33">
      <c r="A771" s="1289">
        <v>4</v>
      </c>
      <c r="B771" s="1289" t="s">
        <v>1263</v>
      </c>
      <c r="C771" s="1288" t="s">
        <v>14</v>
      </c>
      <c r="D771" s="1287">
        <v>1</v>
      </c>
      <c r="E771" s="1287">
        <v>12.92</v>
      </c>
      <c r="F771" s="1287">
        <v>12.92</v>
      </c>
      <c r="G771" s="1286" t="s">
        <v>1264</v>
      </c>
      <c r="H771" s="34" t="s">
        <v>925</v>
      </c>
    </row>
    <row r="772" spans="1:8" ht="33">
      <c r="A772" s="1289">
        <v>5</v>
      </c>
      <c r="B772" s="1289" t="s">
        <v>1265</v>
      </c>
      <c r="C772" s="1288" t="s">
        <v>14</v>
      </c>
      <c r="D772" s="1287">
        <v>1</v>
      </c>
      <c r="E772" s="1287">
        <v>12.92</v>
      </c>
      <c r="F772" s="1287">
        <v>12.92</v>
      </c>
      <c r="G772" s="1286" t="s">
        <v>1266</v>
      </c>
      <c r="H772" s="34" t="s">
        <v>925</v>
      </c>
    </row>
    <row r="773" spans="1:8" ht="33">
      <c r="A773" s="1289">
        <v>6</v>
      </c>
      <c r="B773" s="1289" t="s">
        <v>1267</v>
      </c>
      <c r="C773" s="1288" t="s">
        <v>14</v>
      </c>
      <c r="D773" s="1287">
        <v>1</v>
      </c>
      <c r="E773" s="1287">
        <v>39.74</v>
      </c>
      <c r="F773" s="1287">
        <v>39.74</v>
      </c>
      <c r="G773" s="1286" t="s">
        <v>1268</v>
      </c>
      <c r="H773" s="34" t="s">
        <v>925</v>
      </c>
    </row>
    <row r="774" spans="1:8" ht="33">
      <c r="A774" s="1289">
        <v>7</v>
      </c>
      <c r="B774" s="1289" t="s">
        <v>931</v>
      </c>
      <c r="C774" s="1288" t="s">
        <v>14</v>
      </c>
      <c r="D774" s="1287">
        <v>1</v>
      </c>
      <c r="E774" s="1287">
        <v>124.76</v>
      </c>
      <c r="F774" s="1287">
        <v>124.76</v>
      </c>
      <c r="G774" s="1286" t="s">
        <v>932</v>
      </c>
      <c r="H774" s="34" t="s">
        <v>925</v>
      </c>
    </row>
    <row r="775" spans="1:8" ht="33">
      <c r="A775" s="1289"/>
      <c r="B775" s="1289" t="s">
        <v>933</v>
      </c>
      <c r="C775" s="1288" t="s">
        <v>0</v>
      </c>
      <c r="D775" s="1287">
        <v>1</v>
      </c>
      <c r="E775" s="1287"/>
      <c r="F775" s="1287">
        <v>4283.58</v>
      </c>
      <c r="G775" s="1286"/>
      <c r="H775" s="34" t="s">
        <v>925</v>
      </c>
    </row>
    <row r="776" spans="1:8" ht="33">
      <c r="A776" s="1289"/>
      <c r="B776" s="1289" t="s">
        <v>934</v>
      </c>
      <c r="C776" s="1288" t="s">
        <v>0</v>
      </c>
      <c r="D776" s="1287"/>
      <c r="E776" s="1287"/>
      <c r="F776" s="1287">
        <v>4283.58</v>
      </c>
      <c r="G776" s="1286"/>
      <c r="H776" s="34" t="s">
        <v>925</v>
      </c>
    </row>
    <row r="777" spans="1:8" ht="33">
      <c r="A777" s="1289"/>
      <c r="B777" s="1289"/>
      <c r="C777" s="1288"/>
      <c r="D777" s="1287"/>
      <c r="E777" s="1287"/>
      <c r="F777" s="1287"/>
      <c r="G777" s="1286"/>
      <c r="H777" s="34" t="s">
        <v>925</v>
      </c>
    </row>
    <row r="778" spans="1:8" ht="33">
      <c r="A778" s="1289" t="s">
        <v>1374</v>
      </c>
      <c r="B778" s="1289" t="s">
        <v>1287</v>
      </c>
      <c r="C778" s="1288" t="s">
        <v>0</v>
      </c>
      <c r="D778" s="1287">
        <v>1</v>
      </c>
      <c r="E778" s="1287">
        <v>4105.46</v>
      </c>
      <c r="F778" s="1287"/>
      <c r="G778" s="1286" t="s">
        <v>1288</v>
      </c>
      <c r="H778" s="34" t="s">
        <v>925</v>
      </c>
    </row>
    <row r="779" spans="1:8" ht="33">
      <c r="A779" s="1289">
        <v>1</v>
      </c>
      <c r="B779" s="1289" t="s">
        <v>1289</v>
      </c>
      <c r="C779" s="1288" t="s">
        <v>0</v>
      </c>
      <c r="D779" s="1287">
        <v>1</v>
      </c>
      <c r="E779" s="1287">
        <v>3527.06</v>
      </c>
      <c r="F779" s="1287">
        <v>3527.06</v>
      </c>
      <c r="G779" s="1286" t="s">
        <v>1290</v>
      </c>
      <c r="H779" s="34" t="s">
        <v>925</v>
      </c>
    </row>
    <row r="780" spans="1:8" ht="28.5">
      <c r="A780" s="1289">
        <v>2</v>
      </c>
      <c r="B780" s="1289" t="s">
        <v>4909</v>
      </c>
      <c r="C780" s="1288" t="s">
        <v>927</v>
      </c>
      <c r="D780" s="1287">
        <v>0.4</v>
      </c>
      <c r="E780" s="1287">
        <v>407.35</v>
      </c>
      <c r="F780" s="1287">
        <v>162.94</v>
      </c>
      <c r="G780" s="1286" t="s">
        <v>4910</v>
      </c>
    </row>
    <row r="781" spans="1:8" ht="33">
      <c r="A781" s="1289">
        <v>3</v>
      </c>
      <c r="B781" s="1289" t="s">
        <v>4871</v>
      </c>
      <c r="C781" s="1288" t="s">
        <v>927</v>
      </c>
      <c r="D781" s="1287">
        <v>0.8</v>
      </c>
      <c r="E781" s="1287">
        <v>279.18</v>
      </c>
      <c r="F781" s="1287">
        <v>223.34</v>
      </c>
      <c r="G781" s="1286" t="s">
        <v>4876</v>
      </c>
      <c r="H781" s="34" t="s">
        <v>925</v>
      </c>
    </row>
    <row r="782" spans="1:8" ht="33">
      <c r="A782" s="1289">
        <v>4</v>
      </c>
      <c r="B782" s="1289" t="s">
        <v>1263</v>
      </c>
      <c r="C782" s="1288" t="s">
        <v>14</v>
      </c>
      <c r="D782" s="1287">
        <v>1</v>
      </c>
      <c r="E782" s="1287">
        <v>12.92</v>
      </c>
      <c r="F782" s="1287">
        <v>12.92</v>
      </c>
      <c r="G782" s="1286" t="s">
        <v>1264</v>
      </c>
      <c r="H782" s="34" t="s">
        <v>925</v>
      </c>
    </row>
    <row r="783" spans="1:8" ht="33">
      <c r="A783" s="1289">
        <v>5</v>
      </c>
      <c r="B783" s="1289" t="s">
        <v>1265</v>
      </c>
      <c r="C783" s="1288" t="s">
        <v>14</v>
      </c>
      <c r="D783" s="1287">
        <v>1</v>
      </c>
      <c r="E783" s="1287">
        <v>9.94</v>
      </c>
      <c r="F783" s="1287">
        <v>9.94</v>
      </c>
      <c r="G783" s="1286" t="s">
        <v>1266</v>
      </c>
      <c r="H783" s="34" t="s">
        <v>925</v>
      </c>
    </row>
    <row r="784" spans="1:8" ht="33">
      <c r="A784" s="1289">
        <v>6</v>
      </c>
      <c r="B784" s="1289" t="s">
        <v>1267</v>
      </c>
      <c r="C784" s="1288" t="s">
        <v>14</v>
      </c>
      <c r="D784" s="1287">
        <v>1</v>
      </c>
      <c r="E784" s="1287">
        <v>49.68</v>
      </c>
      <c r="F784" s="1287">
        <v>49.68</v>
      </c>
      <c r="G784" s="1286" t="s">
        <v>1268</v>
      </c>
      <c r="H784" s="34" t="s">
        <v>925</v>
      </c>
    </row>
    <row r="785" spans="1:8" ht="33">
      <c r="A785" s="1289">
        <v>7</v>
      </c>
      <c r="B785" s="1289" t="s">
        <v>931</v>
      </c>
      <c r="C785" s="1288" t="s">
        <v>14</v>
      </c>
      <c r="D785" s="1287">
        <v>1</v>
      </c>
      <c r="E785" s="1287">
        <v>119.58</v>
      </c>
      <c r="F785" s="1287">
        <v>119.58</v>
      </c>
      <c r="G785" s="1286" t="s">
        <v>932</v>
      </c>
      <c r="H785" s="34" t="s">
        <v>925</v>
      </c>
    </row>
    <row r="786" spans="1:8" ht="33">
      <c r="A786" s="1289"/>
      <c r="B786" s="1289" t="s">
        <v>933</v>
      </c>
      <c r="C786" s="1288" t="s">
        <v>0</v>
      </c>
      <c r="D786" s="1287">
        <v>1</v>
      </c>
      <c r="E786" s="1287"/>
      <c r="F786" s="1287">
        <v>4105.46</v>
      </c>
      <c r="G786" s="1286"/>
      <c r="H786" s="34" t="s">
        <v>925</v>
      </c>
    </row>
    <row r="787" spans="1:8" ht="33">
      <c r="A787" s="1289"/>
      <c r="B787" s="1289" t="s">
        <v>934</v>
      </c>
      <c r="C787" s="1288" t="s">
        <v>0</v>
      </c>
      <c r="D787" s="1287"/>
      <c r="E787" s="1287"/>
      <c r="F787" s="1287">
        <v>4105.46</v>
      </c>
      <c r="G787" s="1286"/>
      <c r="H787" s="34" t="s">
        <v>925</v>
      </c>
    </row>
    <row r="788" spans="1:8" ht="33">
      <c r="A788" s="1289"/>
      <c r="B788" s="1289"/>
      <c r="C788" s="1288"/>
      <c r="D788" s="1287"/>
      <c r="E788" s="1287"/>
      <c r="F788" s="1287"/>
      <c r="G788" s="1286"/>
      <c r="H788" s="34" t="s">
        <v>925</v>
      </c>
    </row>
    <row r="789" spans="1:8" ht="57">
      <c r="A789" s="1289" t="s">
        <v>1377</v>
      </c>
      <c r="B789" s="1289" t="s">
        <v>1292</v>
      </c>
      <c r="C789" s="1288" t="s">
        <v>0</v>
      </c>
      <c r="D789" s="1287">
        <v>1</v>
      </c>
      <c r="E789" s="1287">
        <v>4367.29</v>
      </c>
      <c r="F789" s="1287"/>
      <c r="G789" s="1286" t="s">
        <v>1293</v>
      </c>
      <c r="H789" s="34" t="s">
        <v>925</v>
      </c>
    </row>
    <row r="790" spans="1:8" ht="33">
      <c r="A790" s="1289">
        <v>1</v>
      </c>
      <c r="B790" s="1289" t="s">
        <v>1294</v>
      </c>
      <c r="C790" s="1288" t="s">
        <v>1295</v>
      </c>
      <c r="D790" s="1287">
        <v>4.5</v>
      </c>
      <c r="E790" s="1287">
        <v>165.92</v>
      </c>
      <c r="F790" s="1287">
        <v>746.64</v>
      </c>
      <c r="G790" s="1286" t="s">
        <v>1296</v>
      </c>
      <c r="H790" s="34" t="s">
        <v>925</v>
      </c>
    </row>
    <row r="791" spans="1:8" ht="33">
      <c r="A791" s="1289">
        <v>2</v>
      </c>
      <c r="B791" s="1289" t="s">
        <v>1297</v>
      </c>
      <c r="C791" s="1288" t="s">
        <v>1121</v>
      </c>
      <c r="D791" s="1287">
        <v>0.75</v>
      </c>
      <c r="E791" s="1287">
        <v>710.38</v>
      </c>
      <c r="F791" s="1287">
        <v>532.79</v>
      </c>
      <c r="G791" s="1286" t="s">
        <v>1298</v>
      </c>
      <c r="H791" s="34" t="s">
        <v>925</v>
      </c>
    </row>
    <row r="792" spans="1:8" ht="28.5">
      <c r="A792" s="1289">
        <v>3</v>
      </c>
      <c r="B792" s="1289" t="s">
        <v>1299</v>
      </c>
      <c r="C792" s="1288" t="s">
        <v>1121</v>
      </c>
      <c r="D792" s="1287">
        <v>0.53</v>
      </c>
      <c r="E792" s="1287">
        <v>723.3</v>
      </c>
      <c r="F792" s="1287">
        <v>383.35</v>
      </c>
      <c r="G792" s="1286" t="s">
        <v>1300</v>
      </c>
    </row>
    <row r="793" spans="1:8" ht="33">
      <c r="A793" s="1289">
        <v>4</v>
      </c>
      <c r="B793" s="1289" t="s">
        <v>1301</v>
      </c>
      <c r="C793" s="1288" t="s">
        <v>927</v>
      </c>
      <c r="D793" s="1287">
        <v>0.24</v>
      </c>
      <c r="E793" s="1287">
        <v>398.41</v>
      </c>
      <c r="F793" s="1287">
        <v>95.62</v>
      </c>
      <c r="G793" s="1286" t="s">
        <v>1302</v>
      </c>
      <c r="H793" s="34" t="s">
        <v>925</v>
      </c>
    </row>
    <row r="794" spans="1:8" ht="33">
      <c r="A794" s="1289">
        <v>5</v>
      </c>
      <c r="B794" s="1289" t="s">
        <v>1261</v>
      </c>
      <c r="C794" s="1288" t="s">
        <v>927</v>
      </c>
      <c r="D794" s="1287">
        <v>0.24</v>
      </c>
      <c r="E794" s="1287">
        <v>398.41</v>
      </c>
      <c r="F794" s="1287">
        <v>95.62</v>
      </c>
      <c r="G794" s="1286" t="s">
        <v>1262</v>
      </c>
      <c r="H794" s="34" t="s">
        <v>925</v>
      </c>
    </row>
    <row r="795" spans="1:8" ht="33">
      <c r="A795" s="1289">
        <v>6</v>
      </c>
      <c r="B795" s="1289" t="s">
        <v>4871</v>
      </c>
      <c r="C795" s="1288" t="s">
        <v>927</v>
      </c>
      <c r="D795" s="1287">
        <v>3.6</v>
      </c>
      <c r="E795" s="1287">
        <v>279.18</v>
      </c>
      <c r="F795" s="1287">
        <v>1005.05</v>
      </c>
      <c r="G795" s="1286" t="s">
        <v>4872</v>
      </c>
      <c r="H795" s="34" t="s">
        <v>925</v>
      </c>
    </row>
    <row r="796" spans="1:8" ht="33">
      <c r="A796" s="1289">
        <v>7</v>
      </c>
      <c r="B796" s="1289" t="s">
        <v>1265</v>
      </c>
      <c r="C796" s="1288" t="s">
        <v>14</v>
      </c>
      <c r="D796" s="1287">
        <v>1</v>
      </c>
      <c r="E796" s="1287">
        <v>9.94</v>
      </c>
      <c r="F796" s="1287">
        <v>9.94</v>
      </c>
      <c r="G796" s="1286" t="s">
        <v>1266</v>
      </c>
      <c r="H796" s="34" t="s">
        <v>925</v>
      </c>
    </row>
    <row r="797" spans="1:8" ht="33">
      <c r="A797" s="1289">
        <v>8</v>
      </c>
      <c r="B797" s="1289" t="s">
        <v>1303</v>
      </c>
      <c r="C797" s="1288" t="s">
        <v>14</v>
      </c>
      <c r="D797" s="1287">
        <v>1</v>
      </c>
      <c r="E797" s="1287">
        <v>1371.08</v>
      </c>
      <c r="F797" s="1287">
        <v>1371.08</v>
      </c>
      <c r="G797" s="1286" t="s">
        <v>1304</v>
      </c>
      <c r="H797" s="34" t="s">
        <v>925</v>
      </c>
    </row>
    <row r="798" spans="1:8" ht="33">
      <c r="A798" s="1289">
        <v>9</v>
      </c>
      <c r="B798" s="1289" t="s">
        <v>931</v>
      </c>
      <c r="C798" s="1288" t="s">
        <v>14</v>
      </c>
      <c r="D798" s="1287">
        <v>1</v>
      </c>
      <c r="E798" s="1287">
        <v>127.2</v>
      </c>
      <c r="F798" s="1287">
        <v>127.2</v>
      </c>
      <c r="G798" s="1286" t="s">
        <v>932</v>
      </c>
      <c r="H798" s="34" t="s">
        <v>925</v>
      </c>
    </row>
    <row r="799" spans="1:8" ht="33">
      <c r="A799" s="1289"/>
      <c r="B799" s="1289" t="s">
        <v>933</v>
      </c>
      <c r="C799" s="1288" t="s">
        <v>0</v>
      </c>
      <c r="D799" s="1287">
        <v>1</v>
      </c>
      <c r="E799" s="1287"/>
      <c r="F799" s="1287">
        <v>4367.29</v>
      </c>
      <c r="G799" s="1286"/>
      <c r="H799" s="34" t="s">
        <v>925</v>
      </c>
    </row>
    <row r="800" spans="1:8" ht="33">
      <c r="A800" s="1289"/>
      <c r="B800" s="1289" t="s">
        <v>934</v>
      </c>
      <c r="C800" s="1288" t="s">
        <v>0</v>
      </c>
      <c r="D800" s="1287"/>
      <c r="E800" s="1287"/>
      <c r="F800" s="1287">
        <v>4367.29</v>
      </c>
      <c r="G800" s="1286"/>
      <c r="H800" s="34" t="s">
        <v>925</v>
      </c>
    </row>
    <row r="801" spans="1:8" ht="16.5">
      <c r="A801" s="1289"/>
      <c r="B801" s="1289"/>
      <c r="C801" s="1288"/>
      <c r="D801" s="1287"/>
      <c r="E801" s="1287"/>
      <c r="F801" s="1287"/>
      <c r="G801" s="1286"/>
    </row>
    <row r="802" spans="1:8" ht="57">
      <c r="A802" s="1289" t="s">
        <v>1380</v>
      </c>
      <c r="B802" s="1289" t="s">
        <v>1306</v>
      </c>
      <c r="C802" s="1288" t="s">
        <v>0</v>
      </c>
      <c r="D802" s="1287">
        <v>1</v>
      </c>
      <c r="E802" s="1287">
        <v>4523.42</v>
      </c>
      <c r="F802" s="1287"/>
      <c r="G802" s="1286" t="s">
        <v>1307</v>
      </c>
      <c r="H802" s="34" t="s">
        <v>925</v>
      </c>
    </row>
    <row r="803" spans="1:8" ht="33">
      <c r="A803" s="1289">
        <v>1</v>
      </c>
      <c r="B803" s="1289" t="s">
        <v>1294</v>
      </c>
      <c r="C803" s="1288" t="s">
        <v>1295</v>
      </c>
      <c r="D803" s="1287">
        <v>5.5</v>
      </c>
      <c r="E803" s="1287">
        <v>165.92</v>
      </c>
      <c r="F803" s="1287">
        <v>912.56</v>
      </c>
      <c r="G803" s="1286" t="s">
        <v>1296</v>
      </c>
      <c r="H803" s="34" t="s">
        <v>925</v>
      </c>
    </row>
    <row r="804" spans="1:8" ht="33">
      <c r="A804" s="1289">
        <v>2</v>
      </c>
      <c r="B804" s="1289" t="s">
        <v>1297</v>
      </c>
      <c r="C804" s="1288" t="s">
        <v>1121</v>
      </c>
      <c r="D804" s="1287">
        <v>0.74</v>
      </c>
      <c r="E804" s="1287">
        <v>710.38</v>
      </c>
      <c r="F804" s="1287">
        <v>525.67999999999995</v>
      </c>
      <c r="G804" s="1286" t="s">
        <v>1298</v>
      </c>
      <c r="H804" s="34" t="s">
        <v>925</v>
      </c>
    </row>
    <row r="805" spans="1:8" ht="33">
      <c r="A805" s="1289">
        <v>3</v>
      </c>
      <c r="B805" s="1289" t="s">
        <v>1299</v>
      </c>
      <c r="C805" s="1288" t="s">
        <v>1121</v>
      </c>
      <c r="D805" s="1287">
        <v>0.52</v>
      </c>
      <c r="E805" s="1287">
        <v>723.3</v>
      </c>
      <c r="F805" s="1287">
        <v>376.12</v>
      </c>
      <c r="G805" s="1286" t="s">
        <v>1300</v>
      </c>
      <c r="H805" s="34" t="s">
        <v>925</v>
      </c>
    </row>
    <row r="806" spans="1:8" ht="33">
      <c r="A806" s="1289">
        <v>4</v>
      </c>
      <c r="B806" s="1289" t="s">
        <v>1301</v>
      </c>
      <c r="C806" s="1288" t="s">
        <v>927</v>
      </c>
      <c r="D806" s="1287">
        <v>0.24</v>
      </c>
      <c r="E806" s="1287">
        <v>398.41</v>
      </c>
      <c r="F806" s="1287">
        <v>95.62</v>
      </c>
      <c r="G806" s="1286" t="s">
        <v>1302</v>
      </c>
      <c r="H806" s="34" t="s">
        <v>925</v>
      </c>
    </row>
    <row r="807" spans="1:8" ht="33">
      <c r="A807" s="1289">
        <v>5</v>
      </c>
      <c r="B807" s="1289" t="s">
        <v>1261</v>
      </c>
      <c r="C807" s="1288" t="s">
        <v>927</v>
      </c>
      <c r="D807" s="1287">
        <v>0.24</v>
      </c>
      <c r="E807" s="1287">
        <v>398.41</v>
      </c>
      <c r="F807" s="1287">
        <v>95.62</v>
      </c>
      <c r="G807" s="1286" t="s">
        <v>1262</v>
      </c>
      <c r="H807" s="34" t="s">
        <v>925</v>
      </c>
    </row>
    <row r="808" spans="1:8" ht="33">
      <c r="A808" s="1289">
        <v>6</v>
      </c>
      <c r="B808" s="1289" t="s">
        <v>4871</v>
      </c>
      <c r="C808" s="1288" t="s">
        <v>927</v>
      </c>
      <c r="D808" s="1287">
        <v>3.6</v>
      </c>
      <c r="E808" s="1287">
        <v>279.18</v>
      </c>
      <c r="F808" s="1287">
        <v>1005.05</v>
      </c>
      <c r="G808" s="1286" t="s">
        <v>4872</v>
      </c>
      <c r="H808" s="34" t="s">
        <v>925</v>
      </c>
    </row>
    <row r="809" spans="1:8" ht="33">
      <c r="A809" s="1289">
        <v>7</v>
      </c>
      <c r="B809" s="1289" t="s">
        <v>1265</v>
      </c>
      <c r="C809" s="1288" t="s">
        <v>14</v>
      </c>
      <c r="D809" s="1287">
        <v>1</v>
      </c>
      <c r="E809" s="1287">
        <v>9.94</v>
      </c>
      <c r="F809" s="1287">
        <v>9.94</v>
      </c>
      <c r="G809" s="1286" t="s">
        <v>1266</v>
      </c>
      <c r="H809" s="34" t="s">
        <v>925</v>
      </c>
    </row>
    <row r="810" spans="1:8" ht="28.5">
      <c r="A810" s="1289">
        <v>8</v>
      </c>
      <c r="B810" s="1289" t="s">
        <v>1303</v>
      </c>
      <c r="C810" s="1288" t="s">
        <v>14</v>
      </c>
      <c r="D810" s="1287">
        <v>1</v>
      </c>
      <c r="E810" s="1287">
        <v>1371.08</v>
      </c>
      <c r="F810" s="1287">
        <v>1371.08</v>
      </c>
      <c r="G810" s="1286" t="s">
        <v>1304</v>
      </c>
    </row>
    <row r="811" spans="1:8" ht="33">
      <c r="A811" s="1289">
        <v>9</v>
      </c>
      <c r="B811" s="1289" t="s">
        <v>931</v>
      </c>
      <c r="C811" s="1288" t="s">
        <v>14</v>
      </c>
      <c r="D811" s="1287">
        <v>1</v>
      </c>
      <c r="E811" s="1287">
        <v>131.75</v>
      </c>
      <c r="F811" s="1287">
        <v>131.75</v>
      </c>
      <c r="G811" s="1286" t="s">
        <v>932</v>
      </c>
      <c r="H811" s="34" t="s">
        <v>925</v>
      </c>
    </row>
    <row r="812" spans="1:8" ht="33">
      <c r="A812" s="1289"/>
      <c r="B812" s="1289" t="s">
        <v>933</v>
      </c>
      <c r="C812" s="1288" t="s">
        <v>0</v>
      </c>
      <c r="D812" s="1287">
        <v>1</v>
      </c>
      <c r="E812" s="1287"/>
      <c r="F812" s="1287">
        <v>4523.42</v>
      </c>
      <c r="G812" s="1286"/>
      <c r="H812" s="34" t="s">
        <v>925</v>
      </c>
    </row>
    <row r="813" spans="1:8" ht="33">
      <c r="A813" s="1289"/>
      <c r="B813" s="1289" t="s">
        <v>934</v>
      </c>
      <c r="C813" s="1288" t="s">
        <v>0</v>
      </c>
      <c r="D813" s="1287"/>
      <c r="E813" s="1287"/>
      <c r="F813" s="1287">
        <v>4523.42</v>
      </c>
      <c r="G813" s="1286"/>
      <c r="H813" s="34" t="s">
        <v>925</v>
      </c>
    </row>
    <row r="814" spans="1:8" ht="33">
      <c r="A814" s="1289"/>
      <c r="B814" s="1289"/>
      <c r="C814" s="1288"/>
      <c r="D814" s="1287"/>
      <c r="E814" s="1287"/>
      <c r="F814" s="1287"/>
      <c r="G814" s="1286"/>
      <c r="H814" s="34" t="s">
        <v>925</v>
      </c>
    </row>
    <row r="815" spans="1:8" ht="57">
      <c r="A815" s="1289" t="s">
        <v>1383</v>
      </c>
      <c r="B815" s="1289" t="s">
        <v>1309</v>
      </c>
      <c r="C815" s="1288" t="s">
        <v>0</v>
      </c>
      <c r="D815" s="1287">
        <v>1</v>
      </c>
      <c r="E815" s="1287">
        <v>4687</v>
      </c>
      <c r="F815" s="1287"/>
      <c r="G815" s="1286" t="s">
        <v>1310</v>
      </c>
      <c r="H815" s="34" t="s">
        <v>925</v>
      </c>
    </row>
    <row r="816" spans="1:8" ht="33">
      <c r="A816" s="1289">
        <v>1</v>
      </c>
      <c r="B816" s="1289" t="s">
        <v>1294</v>
      </c>
      <c r="C816" s="1288" t="s">
        <v>1295</v>
      </c>
      <c r="D816" s="1287">
        <v>6.5</v>
      </c>
      <c r="E816" s="1287">
        <v>165.92</v>
      </c>
      <c r="F816" s="1287">
        <v>1078.48</v>
      </c>
      <c r="G816" s="1286" t="s">
        <v>1296</v>
      </c>
      <c r="H816" s="34" t="s">
        <v>925</v>
      </c>
    </row>
    <row r="817" spans="1:8" ht="33">
      <c r="A817" s="1289">
        <v>2</v>
      </c>
      <c r="B817" s="1289" t="s">
        <v>1297</v>
      </c>
      <c r="C817" s="1288" t="s">
        <v>1121</v>
      </c>
      <c r="D817" s="1287">
        <v>0.73</v>
      </c>
      <c r="E817" s="1287">
        <v>710.38</v>
      </c>
      <c r="F817" s="1287">
        <v>518.58000000000004</v>
      </c>
      <c r="G817" s="1286" t="s">
        <v>1298</v>
      </c>
      <c r="H817" s="34" t="s">
        <v>925</v>
      </c>
    </row>
    <row r="818" spans="1:8" ht="33">
      <c r="A818" s="1289">
        <v>3</v>
      </c>
      <c r="B818" s="1289" t="s">
        <v>1299</v>
      </c>
      <c r="C818" s="1288" t="s">
        <v>1121</v>
      </c>
      <c r="D818" s="1287">
        <v>0.52</v>
      </c>
      <c r="E818" s="1287">
        <v>723.3</v>
      </c>
      <c r="F818" s="1287">
        <v>376.12</v>
      </c>
      <c r="G818" s="1286" t="s">
        <v>1300</v>
      </c>
      <c r="H818" s="34" t="s">
        <v>925</v>
      </c>
    </row>
    <row r="819" spans="1:8" ht="28.5">
      <c r="A819" s="1289">
        <v>4</v>
      </c>
      <c r="B819" s="1289" t="s">
        <v>1301</v>
      </c>
      <c r="C819" s="1288" t="s">
        <v>927</v>
      </c>
      <c r="D819" s="1287">
        <v>0.24</v>
      </c>
      <c r="E819" s="1287">
        <v>398.41</v>
      </c>
      <c r="F819" s="1287">
        <v>95.62</v>
      </c>
      <c r="G819" s="1286" t="s">
        <v>1302</v>
      </c>
    </row>
    <row r="820" spans="1:8" ht="33">
      <c r="A820" s="1289">
        <v>5</v>
      </c>
      <c r="B820" s="1289" t="s">
        <v>1261</v>
      </c>
      <c r="C820" s="1288" t="s">
        <v>927</v>
      </c>
      <c r="D820" s="1287">
        <v>0.24</v>
      </c>
      <c r="E820" s="1287">
        <v>398.41</v>
      </c>
      <c r="F820" s="1287">
        <v>95.62</v>
      </c>
      <c r="G820" s="1286" t="s">
        <v>1262</v>
      </c>
      <c r="H820" s="34" t="s">
        <v>925</v>
      </c>
    </row>
    <row r="821" spans="1:8" ht="33">
      <c r="A821" s="1289">
        <v>6</v>
      </c>
      <c r="B821" s="1289" t="s">
        <v>4871</v>
      </c>
      <c r="C821" s="1288" t="s">
        <v>927</v>
      </c>
      <c r="D821" s="1287">
        <v>3.6</v>
      </c>
      <c r="E821" s="1287">
        <v>279.18</v>
      </c>
      <c r="F821" s="1287">
        <v>1005.05</v>
      </c>
      <c r="G821" s="1286" t="s">
        <v>4872</v>
      </c>
      <c r="H821" s="34" t="s">
        <v>925</v>
      </c>
    </row>
    <row r="822" spans="1:8" ht="33">
      <c r="A822" s="1289">
        <v>7</v>
      </c>
      <c r="B822" s="1289" t="s">
        <v>1265</v>
      </c>
      <c r="C822" s="1288" t="s">
        <v>14</v>
      </c>
      <c r="D822" s="1287">
        <v>1</v>
      </c>
      <c r="E822" s="1287">
        <v>9.94</v>
      </c>
      <c r="F822" s="1287">
        <v>9.94</v>
      </c>
      <c r="G822" s="1286" t="s">
        <v>1266</v>
      </c>
      <c r="H822" s="34" t="s">
        <v>925</v>
      </c>
    </row>
    <row r="823" spans="1:8" ht="33">
      <c r="A823" s="1289">
        <v>8</v>
      </c>
      <c r="B823" s="1289" t="s">
        <v>1303</v>
      </c>
      <c r="C823" s="1288" t="s">
        <v>14</v>
      </c>
      <c r="D823" s="1287">
        <v>1</v>
      </c>
      <c r="E823" s="1287">
        <v>1371.08</v>
      </c>
      <c r="F823" s="1287">
        <v>1371.08</v>
      </c>
      <c r="G823" s="1286" t="s">
        <v>1304</v>
      </c>
      <c r="H823" s="34" t="s">
        <v>925</v>
      </c>
    </row>
    <row r="824" spans="1:8" ht="33">
      <c r="A824" s="1289">
        <v>9</v>
      </c>
      <c r="B824" s="1289" t="s">
        <v>931</v>
      </c>
      <c r="C824" s="1288" t="s">
        <v>14</v>
      </c>
      <c r="D824" s="1287">
        <v>1</v>
      </c>
      <c r="E824" s="1287">
        <v>136.51</v>
      </c>
      <c r="F824" s="1287">
        <v>136.51</v>
      </c>
      <c r="G824" s="1286" t="s">
        <v>932</v>
      </c>
      <c r="H824" s="34" t="s">
        <v>925</v>
      </c>
    </row>
    <row r="825" spans="1:8" ht="33">
      <c r="A825" s="1289"/>
      <c r="B825" s="1289" t="s">
        <v>933</v>
      </c>
      <c r="C825" s="1288" t="s">
        <v>0</v>
      </c>
      <c r="D825" s="1287">
        <v>1</v>
      </c>
      <c r="E825" s="1287"/>
      <c r="F825" s="1287">
        <v>4687</v>
      </c>
      <c r="G825" s="1286"/>
      <c r="H825" s="34" t="s">
        <v>925</v>
      </c>
    </row>
    <row r="826" spans="1:8" ht="33">
      <c r="A826" s="1289"/>
      <c r="B826" s="1289" t="s">
        <v>934</v>
      </c>
      <c r="C826" s="1288" t="s">
        <v>0</v>
      </c>
      <c r="D826" s="1287"/>
      <c r="E826" s="1287"/>
      <c r="F826" s="1287">
        <v>4687</v>
      </c>
      <c r="G826" s="1286"/>
      <c r="H826" s="34" t="s">
        <v>925</v>
      </c>
    </row>
    <row r="827" spans="1:8" ht="33">
      <c r="A827" s="1289"/>
      <c r="B827" s="1289"/>
      <c r="C827" s="1288"/>
      <c r="D827" s="1287"/>
      <c r="E827" s="1287"/>
      <c r="F827" s="1287"/>
      <c r="G827" s="1286"/>
      <c r="H827" s="34" t="s">
        <v>925</v>
      </c>
    </row>
    <row r="828" spans="1:8" ht="57">
      <c r="A828" s="1289" t="s">
        <v>1386</v>
      </c>
      <c r="B828" s="1289" t="s">
        <v>1312</v>
      </c>
      <c r="C828" s="1288" t="s">
        <v>0</v>
      </c>
      <c r="D828" s="1287">
        <v>1</v>
      </c>
      <c r="E828" s="1287">
        <v>4765.13</v>
      </c>
      <c r="F828" s="1287"/>
      <c r="G828" s="1286" t="s">
        <v>1313</v>
      </c>
    </row>
    <row r="829" spans="1:8" ht="33">
      <c r="A829" s="1289">
        <v>1</v>
      </c>
      <c r="B829" s="1289" t="s">
        <v>1294</v>
      </c>
      <c r="C829" s="1288" t="s">
        <v>1295</v>
      </c>
      <c r="D829" s="1287">
        <v>7</v>
      </c>
      <c r="E829" s="1287">
        <v>165.92</v>
      </c>
      <c r="F829" s="1287">
        <v>1161.44</v>
      </c>
      <c r="G829" s="1286" t="s">
        <v>1296</v>
      </c>
      <c r="H829" s="34" t="s">
        <v>925</v>
      </c>
    </row>
    <row r="830" spans="1:8" ht="33">
      <c r="A830" s="1289">
        <v>2</v>
      </c>
      <c r="B830" s="1289" t="s">
        <v>1297</v>
      </c>
      <c r="C830" s="1288" t="s">
        <v>1121</v>
      </c>
      <c r="D830" s="1287">
        <v>0.72</v>
      </c>
      <c r="E830" s="1287">
        <v>710.38</v>
      </c>
      <c r="F830" s="1287">
        <v>511.47</v>
      </c>
      <c r="G830" s="1286" t="s">
        <v>1298</v>
      </c>
      <c r="H830" s="34" t="s">
        <v>925</v>
      </c>
    </row>
    <row r="831" spans="1:8" ht="33">
      <c r="A831" s="1289">
        <v>3</v>
      </c>
      <c r="B831" s="1289" t="s">
        <v>1299</v>
      </c>
      <c r="C831" s="1288" t="s">
        <v>1121</v>
      </c>
      <c r="D831" s="1287">
        <v>0.52</v>
      </c>
      <c r="E831" s="1287">
        <v>723.3</v>
      </c>
      <c r="F831" s="1287">
        <v>376.12</v>
      </c>
      <c r="G831" s="1286" t="s">
        <v>1300</v>
      </c>
      <c r="H831" s="34" t="s">
        <v>925</v>
      </c>
    </row>
    <row r="832" spans="1:8" ht="33">
      <c r="A832" s="1289">
        <v>4</v>
      </c>
      <c r="B832" s="1289" t="s">
        <v>1301</v>
      </c>
      <c r="C832" s="1288" t="s">
        <v>927</v>
      </c>
      <c r="D832" s="1287">
        <v>0.24</v>
      </c>
      <c r="E832" s="1287">
        <v>398.41</v>
      </c>
      <c r="F832" s="1287">
        <v>95.62</v>
      </c>
      <c r="G832" s="1286" t="s">
        <v>1302</v>
      </c>
      <c r="H832" s="34" t="s">
        <v>925</v>
      </c>
    </row>
    <row r="833" spans="1:8" ht="33">
      <c r="A833" s="1289">
        <v>5</v>
      </c>
      <c r="B833" s="1289" t="s">
        <v>1261</v>
      </c>
      <c r="C833" s="1288" t="s">
        <v>927</v>
      </c>
      <c r="D833" s="1287">
        <v>0.24</v>
      </c>
      <c r="E833" s="1287">
        <v>398.41</v>
      </c>
      <c r="F833" s="1287">
        <v>95.62</v>
      </c>
      <c r="G833" s="1286" t="s">
        <v>1262</v>
      </c>
      <c r="H833" s="34" t="s">
        <v>925</v>
      </c>
    </row>
    <row r="834" spans="1:8" ht="33">
      <c r="A834" s="1289">
        <v>6</v>
      </c>
      <c r="B834" s="1289" t="s">
        <v>4871</v>
      </c>
      <c r="C834" s="1288" t="s">
        <v>927</v>
      </c>
      <c r="D834" s="1287">
        <v>3.6</v>
      </c>
      <c r="E834" s="1287">
        <v>279.18</v>
      </c>
      <c r="F834" s="1287">
        <v>1005.05</v>
      </c>
      <c r="G834" s="1286" t="s">
        <v>4872</v>
      </c>
      <c r="H834" s="34" t="s">
        <v>925</v>
      </c>
    </row>
    <row r="835" spans="1:8" ht="33">
      <c r="A835" s="1289">
        <v>7</v>
      </c>
      <c r="B835" s="1289" t="s">
        <v>1265</v>
      </c>
      <c r="C835" s="1288" t="s">
        <v>14</v>
      </c>
      <c r="D835" s="1287">
        <v>1</v>
      </c>
      <c r="E835" s="1287">
        <v>9.94</v>
      </c>
      <c r="F835" s="1287">
        <v>9.94</v>
      </c>
      <c r="G835" s="1286" t="s">
        <v>1266</v>
      </c>
      <c r="H835" s="34" t="s">
        <v>925</v>
      </c>
    </row>
    <row r="836" spans="1:8" ht="33">
      <c r="A836" s="1289">
        <v>8</v>
      </c>
      <c r="B836" s="1289" t="s">
        <v>1303</v>
      </c>
      <c r="C836" s="1288" t="s">
        <v>14</v>
      </c>
      <c r="D836" s="1287">
        <v>1</v>
      </c>
      <c r="E836" s="1287">
        <v>1371.08</v>
      </c>
      <c r="F836" s="1287">
        <v>1371.08</v>
      </c>
      <c r="G836" s="1286" t="s">
        <v>1304</v>
      </c>
      <c r="H836" s="34" t="s">
        <v>925</v>
      </c>
    </row>
    <row r="837" spans="1:8" ht="28.5">
      <c r="A837" s="1289">
        <v>9</v>
      </c>
      <c r="B837" s="1289" t="s">
        <v>931</v>
      </c>
      <c r="C837" s="1288" t="s">
        <v>14</v>
      </c>
      <c r="D837" s="1287">
        <v>1</v>
      </c>
      <c r="E837" s="1287">
        <v>138.79</v>
      </c>
      <c r="F837" s="1287">
        <v>138.79</v>
      </c>
      <c r="G837" s="1286" t="s">
        <v>932</v>
      </c>
    </row>
    <row r="838" spans="1:8" ht="33">
      <c r="A838" s="1289"/>
      <c r="B838" s="1289" t="s">
        <v>933</v>
      </c>
      <c r="C838" s="1288" t="s">
        <v>0</v>
      </c>
      <c r="D838" s="1287">
        <v>1</v>
      </c>
      <c r="E838" s="1287"/>
      <c r="F838" s="1287">
        <v>4765.13</v>
      </c>
      <c r="G838" s="1286"/>
      <c r="H838" s="34" t="s">
        <v>925</v>
      </c>
    </row>
    <row r="839" spans="1:8" ht="33">
      <c r="A839" s="1289"/>
      <c r="B839" s="1289" t="s">
        <v>934</v>
      </c>
      <c r="C839" s="1288" t="s">
        <v>0</v>
      </c>
      <c r="D839" s="1287"/>
      <c r="E839" s="1287"/>
      <c r="F839" s="1287">
        <v>4765.13</v>
      </c>
      <c r="G839" s="1286"/>
      <c r="H839" s="34" t="s">
        <v>925</v>
      </c>
    </row>
    <row r="840" spans="1:8" ht="33">
      <c r="A840" s="1289"/>
      <c r="B840" s="1289"/>
      <c r="C840" s="1288"/>
      <c r="D840" s="1287"/>
      <c r="E840" s="1287"/>
      <c r="F840" s="1287"/>
      <c r="G840" s="1286"/>
      <c r="H840" s="34" t="s">
        <v>925</v>
      </c>
    </row>
    <row r="841" spans="1:8" ht="57">
      <c r="A841" s="1289" t="s">
        <v>1388</v>
      </c>
      <c r="B841" s="1289" t="s">
        <v>1315</v>
      </c>
      <c r="C841" s="1288" t="s">
        <v>0</v>
      </c>
      <c r="D841" s="1287">
        <v>1</v>
      </c>
      <c r="E841" s="1287">
        <v>6832.15</v>
      </c>
      <c r="F841" s="1287"/>
      <c r="G841" s="1286" t="s">
        <v>1316</v>
      </c>
      <c r="H841" s="34" t="s">
        <v>925</v>
      </c>
    </row>
    <row r="842" spans="1:8" ht="33">
      <c r="A842" s="1289">
        <v>1</v>
      </c>
      <c r="B842" s="1289" t="s">
        <v>1301</v>
      </c>
      <c r="C842" s="1288" t="s">
        <v>927</v>
      </c>
      <c r="D842" s="1287">
        <v>0.26</v>
      </c>
      <c r="E842" s="1287">
        <v>398.41</v>
      </c>
      <c r="F842" s="1287">
        <v>103.59</v>
      </c>
      <c r="G842" s="1286" t="s">
        <v>1302</v>
      </c>
      <c r="H842" s="34" t="s">
        <v>925</v>
      </c>
    </row>
    <row r="843" spans="1:8" ht="33">
      <c r="A843" s="1289">
        <v>2</v>
      </c>
      <c r="B843" s="1289" t="s">
        <v>1261</v>
      </c>
      <c r="C843" s="1288" t="s">
        <v>927</v>
      </c>
      <c r="D843" s="1287">
        <v>0.26</v>
      </c>
      <c r="E843" s="1287">
        <v>398.41</v>
      </c>
      <c r="F843" s="1287">
        <v>103.59</v>
      </c>
      <c r="G843" s="1286" t="s">
        <v>1262</v>
      </c>
      <c r="H843" s="34" t="s">
        <v>925</v>
      </c>
    </row>
    <row r="844" spans="1:8" ht="33">
      <c r="A844" s="1289">
        <v>3</v>
      </c>
      <c r="B844" s="1289" t="s">
        <v>4871</v>
      </c>
      <c r="C844" s="1288" t="s">
        <v>927</v>
      </c>
      <c r="D844" s="1287">
        <v>3.8</v>
      </c>
      <c r="E844" s="1287">
        <v>279.18</v>
      </c>
      <c r="F844" s="1287">
        <v>1060.8800000000001</v>
      </c>
      <c r="G844" s="1286" t="s">
        <v>4872</v>
      </c>
      <c r="H844" s="34" t="s">
        <v>925</v>
      </c>
    </row>
    <row r="845" spans="1:8" ht="33">
      <c r="A845" s="1289">
        <v>4</v>
      </c>
      <c r="B845" s="1289" t="s">
        <v>1265</v>
      </c>
      <c r="C845" s="1288" t="s">
        <v>14</v>
      </c>
      <c r="D845" s="1287">
        <v>1</v>
      </c>
      <c r="E845" s="1287">
        <v>39.74</v>
      </c>
      <c r="F845" s="1287">
        <v>39.74</v>
      </c>
      <c r="G845" s="1286" t="s">
        <v>1266</v>
      </c>
      <c r="H845" s="34" t="s">
        <v>925</v>
      </c>
    </row>
    <row r="846" spans="1:8" ht="28.5">
      <c r="A846" s="1289">
        <v>5</v>
      </c>
      <c r="B846" s="1289" t="s">
        <v>1303</v>
      </c>
      <c r="C846" s="1288" t="s">
        <v>14</v>
      </c>
      <c r="D846" s="1287">
        <v>1</v>
      </c>
      <c r="E846" s="1287">
        <v>1371.08</v>
      </c>
      <c r="F846" s="1287">
        <v>1371.08</v>
      </c>
      <c r="G846" s="1286" t="s">
        <v>1304</v>
      </c>
    </row>
    <row r="847" spans="1:8" ht="33">
      <c r="A847" s="1289">
        <v>6</v>
      </c>
      <c r="B847" s="1289" t="s">
        <v>1317</v>
      </c>
      <c r="C847" s="1288" t="s">
        <v>0</v>
      </c>
      <c r="D847" s="1287">
        <v>1</v>
      </c>
      <c r="E847" s="1287">
        <v>3954.28</v>
      </c>
      <c r="F847" s="1287">
        <v>3954.28</v>
      </c>
      <c r="G847" s="1286" t="s">
        <v>1318</v>
      </c>
      <c r="H847" s="34" t="s">
        <v>925</v>
      </c>
    </row>
    <row r="848" spans="1:8" ht="33">
      <c r="A848" s="1289">
        <v>7</v>
      </c>
      <c r="B848" s="1289" t="s">
        <v>931</v>
      </c>
      <c r="C848" s="1288" t="s">
        <v>14</v>
      </c>
      <c r="D848" s="1287">
        <v>1</v>
      </c>
      <c r="E848" s="1287">
        <v>198.99</v>
      </c>
      <c r="F848" s="1287">
        <v>198.99</v>
      </c>
      <c r="G848" s="1286" t="s">
        <v>932</v>
      </c>
      <c r="H848" s="34" t="s">
        <v>925</v>
      </c>
    </row>
    <row r="849" spans="1:8" ht="33">
      <c r="A849" s="1289"/>
      <c r="B849" s="1289" t="s">
        <v>933</v>
      </c>
      <c r="C849" s="1288" t="s">
        <v>0</v>
      </c>
      <c r="D849" s="1287">
        <v>1</v>
      </c>
      <c r="E849" s="1287"/>
      <c r="F849" s="1287">
        <v>6832.15</v>
      </c>
      <c r="G849" s="1286"/>
      <c r="H849" s="34" t="s">
        <v>925</v>
      </c>
    </row>
    <row r="850" spans="1:8" ht="33">
      <c r="A850" s="1289"/>
      <c r="B850" s="1289" t="s">
        <v>934</v>
      </c>
      <c r="C850" s="1288" t="s">
        <v>0</v>
      </c>
      <c r="D850" s="1287"/>
      <c r="E850" s="1287"/>
      <c r="F850" s="1287">
        <v>6832.15</v>
      </c>
      <c r="G850" s="1286"/>
      <c r="H850" s="34" t="s">
        <v>925</v>
      </c>
    </row>
    <row r="851" spans="1:8" ht="33">
      <c r="A851" s="1289"/>
      <c r="B851" s="1289"/>
      <c r="C851" s="1288"/>
      <c r="D851" s="1287"/>
      <c r="E851" s="1287"/>
      <c r="F851" s="1287"/>
      <c r="G851" s="1286"/>
      <c r="H851" s="34" t="s">
        <v>925</v>
      </c>
    </row>
    <row r="852" spans="1:8" ht="57">
      <c r="A852" s="1289" t="s">
        <v>1391</v>
      </c>
      <c r="B852" s="1289" t="s">
        <v>4517</v>
      </c>
      <c r="C852" s="1288" t="s">
        <v>0</v>
      </c>
      <c r="D852" s="1287">
        <v>1</v>
      </c>
      <c r="E852" s="1287">
        <v>8531.7800000000007</v>
      </c>
      <c r="F852" s="1287"/>
      <c r="G852" s="1286" t="s">
        <v>4917</v>
      </c>
      <c r="H852" s="34" t="s">
        <v>925</v>
      </c>
    </row>
    <row r="853" spans="1:8" ht="33">
      <c r="A853" s="1289">
        <v>1</v>
      </c>
      <c r="B853" s="1289" t="s">
        <v>4918</v>
      </c>
      <c r="C853" s="1288" t="s">
        <v>927</v>
      </c>
      <c r="D853" s="1287">
        <v>0.3</v>
      </c>
      <c r="E853" s="1287">
        <v>796.82</v>
      </c>
      <c r="F853" s="1287">
        <v>239.05</v>
      </c>
      <c r="G853" s="1286" t="s">
        <v>4919</v>
      </c>
      <c r="H853" s="34" t="s">
        <v>925</v>
      </c>
    </row>
    <row r="854" spans="1:8" ht="33">
      <c r="A854" s="1289">
        <v>2</v>
      </c>
      <c r="B854" s="1289" t="s">
        <v>4920</v>
      </c>
      <c r="C854" s="1288" t="s">
        <v>927</v>
      </c>
      <c r="D854" s="1287">
        <v>0.3</v>
      </c>
      <c r="E854" s="1287">
        <v>796.82</v>
      </c>
      <c r="F854" s="1287">
        <v>239.05</v>
      </c>
      <c r="G854" s="1286" t="s">
        <v>4921</v>
      </c>
      <c r="H854" s="34" t="s">
        <v>925</v>
      </c>
    </row>
    <row r="855" spans="1:8" ht="42.75">
      <c r="A855" s="1289">
        <v>3</v>
      </c>
      <c r="B855" s="1289" t="s">
        <v>4874</v>
      </c>
      <c r="C855" s="1288" t="s">
        <v>927</v>
      </c>
      <c r="D855" s="1287">
        <v>4.37</v>
      </c>
      <c r="E855" s="1287">
        <v>558.37</v>
      </c>
      <c r="F855" s="1287">
        <v>2440.08</v>
      </c>
      <c r="G855" s="1286" t="s">
        <v>4875</v>
      </c>
      <c r="H855" s="34" t="s">
        <v>925</v>
      </c>
    </row>
    <row r="856" spans="1:8" ht="33">
      <c r="A856" s="1289">
        <v>4</v>
      </c>
      <c r="B856" s="1289" t="s">
        <v>1265</v>
      </c>
      <c r="C856" s="1288" t="s">
        <v>14</v>
      </c>
      <c r="D856" s="1287">
        <v>1</v>
      </c>
      <c r="E856" s="1287">
        <v>39.74</v>
      </c>
      <c r="F856" s="1287">
        <v>39.74</v>
      </c>
      <c r="G856" s="1286" t="s">
        <v>1266</v>
      </c>
      <c r="H856" s="34" t="s">
        <v>925</v>
      </c>
    </row>
    <row r="857" spans="1:8" ht="33">
      <c r="A857" s="1289">
        <v>5</v>
      </c>
      <c r="B857" s="1289" t="s">
        <v>1303</v>
      </c>
      <c r="C857" s="1288" t="s">
        <v>14</v>
      </c>
      <c r="D857" s="1287">
        <v>1</v>
      </c>
      <c r="E857" s="1287">
        <v>1371.08</v>
      </c>
      <c r="F857" s="1287">
        <v>1371.08</v>
      </c>
      <c r="G857" s="1286" t="s">
        <v>1304</v>
      </c>
      <c r="H857" s="34" t="s">
        <v>925</v>
      </c>
    </row>
    <row r="858" spans="1:8" ht="33">
      <c r="A858" s="1289">
        <v>6</v>
      </c>
      <c r="B858" s="1289" t="s">
        <v>1317</v>
      </c>
      <c r="C858" s="1288" t="s">
        <v>0</v>
      </c>
      <c r="D858" s="1287">
        <v>1</v>
      </c>
      <c r="E858" s="1287">
        <v>3954.28</v>
      </c>
      <c r="F858" s="1287">
        <v>3954.28</v>
      </c>
      <c r="G858" s="1286" t="s">
        <v>1318</v>
      </c>
      <c r="H858" s="34" t="s">
        <v>925</v>
      </c>
    </row>
    <row r="859" spans="1:8" ht="28.5">
      <c r="A859" s="1289">
        <v>7</v>
      </c>
      <c r="B859" s="1289" t="s">
        <v>931</v>
      </c>
      <c r="C859" s="1288" t="s">
        <v>14</v>
      </c>
      <c r="D859" s="1287">
        <v>1</v>
      </c>
      <c r="E859" s="1287">
        <v>248.5</v>
      </c>
      <c r="F859" s="1287">
        <v>248.5</v>
      </c>
      <c r="G859" s="1286" t="s">
        <v>932</v>
      </c>
    </row>
    <row r="860" spans="1:8" ht="33">
      <c r="A860" s="1289"/>
      <c r="B860" s="1289" t="s">
        <v>933</v>
      </c>
      <c r="C860" s="1288" t="s">
        <v>0</v>
      </c>
      <c r="D860" s="1287">
        <v>1</v>
      </c>
      <c r="E860" s="1287"/>
      <c r="F860" s="1287">
        <v>8531.7800000000007</v>
      </c>
      <c r="G860" s="1286"/>
      <c r="H860" s="34" t="s">
        <v>925</v>
      </c>
    </row>
    <row r="861" spans="1:8" ht="33">
      <c r="A861" s="1289"/>
      <c r="B861" s="1289" t="s">
        <v>934</v>
      </c>
      <c r="C861" s="1288" t="s">
        <v>0</v>
      </c>
      <c r="D861" s="1287"/>
      <c r="E861" s="1287"/>
      <c r="F861" s="1287">
        <v>8531.7800000000007</v>
      </c>
      <c r="G861" s="1286"/>
      <c r="H861" s="34" t="s">
        <v>925</v>
      </c>
    </row>
    <row r="862" spans="1:8" ht="33">
      <c r="A862" s="1289"/>
      <c r="B862" s="1289"/>
      <c r="C862" s="1288"/>
      <c r="D862" s="1287"/>
      <c r="E862" s="1287"/>
      <c r="F862" s="1287"/>
      <c r="G862" s="1286"/>
      <c r="H862" s="34" t="s">
        <v>925</v>
      </c>
    </row>
    <row r="863" spans="1:8" ht="57">
      <c r="A863" s="1289" t="s">
        <v>1394</v>
      </c>
      <c r="B863" s="1289" t="s">
        <v>4519</v>
      </c>
      <c r="C863" s="1288" t="s">
        <v>0</v>
      </c>
      <c r="D863" s="1287">
        <v>1</v>
      </c>
      <c r="E863" s="1287">
        <v>1745.15</v>
      </c>
      <c r="F863" s="1287"/>
      <c r="G863" s="1286" t="s">
        <v>4922</v>
      </c>
      <c r="H863" s="34" t="s">
        <v>925</v>
      </c>
    </row>
    <row r="864" spans="1:8" ht="33">
      <c r="A864" s="1289">
        <v>1</v>
      </c>
      <c r="B864" s="1289" t="s">
        <v>4923</v>
      </c>
      <c r="C864" s="1288" t="s">
        <v>0</v>
      </c>
      <c r="D864" s="1287">
        <v>1</v>
      </c>
      <c r="E864" s="1287">
        <v>1490.31</v>
      </c>
      <c r="F864" s="1287">
        <v>1490.31</v>
      </c>
      <c r="G864" s="1286" t="s">
        <v>4924</v>
      </c>
      <c r="H864" s="34" t="s">
        <v>925</v>
      </c>
    </row>
    <row r="865" spans="1:8" ht="33">
      <c r="A865" s="1289">
        <v>2</v>
      </c>
      <c r="B865" s="1289" t="s">
        <v>4909</v>
      </c>
      <c r="C865" s="1288" t="s">
        <v>927</v>
      </c>
      <c r="D865" s="1287">
        <v>0.19</v>
      </c>
      <c r="E865" s="1287">
        <v>407.35</v>
      </c>
      <c r="F865" s="1287">
        <v>77.400000000000006</v>
      </c>
      <c r="G865" s="1286" t="s">
        <v>4910</v>
      </c>
      <c r="H865" s="34" t="s">
        <v>925</v>
      </c>
    </row>
    <row r="866" spans="1:8" ht="33">
      <c r="A866" s="1289">
        <v>3</v>
      </c>
      <c r="B866" s="1289" t="s">
        <v>4871</v>
      </c>
      <c r="C866" s="1288" t="s">
        <v>927</v>
      </c>
      <c r="D866" s="1287">
        <v>0.39</v>
      </c>
      <c r="E866" s="1287">
        <v>279.18</v>
      </c>
      <c r="F866" s="1287">
        <v>108.88</v>
      </c>
      <c r="G866" s="1286" t="s">
        <v>4876</v>
      </c>
      <c r="H866" s="34" t="s">
        <v>925</v>
      </c>
    </row>
    <row r="867" spans="1:8" ht="33">
      <c r="A867" s="1289">
        <v>4</v>
      </c>
      <c r="B867" s="1289" t="s">
        <v>1267</v>
      </c>
      <c r="C867" s="1288" t="s">
        <v>14</v>
      </c>
      <c r="D867" s="1287">
        <v>1</v>
      </c>
      <c r="E867" s="1287">
        <v>17.73</v>
      </c>
      <c r="F867" s="1287">
        <v>17.73</v>
      </c>
      <c r="G867" s="1286" t="s">
        <v>1268</v>
      </c>
      <c r="H867" s="34" t="s">
        <v>925</v>
      </c>
    </row>
    <row r="868" spans="1:8" ht="33">
      <c r="A868" s="1289">
        <v>5</v>
      </c>
      <c r="B868" s="1289" t="s">
        <v>955</v>
      </c>
      <c r="C868" s="1288" t="s">
        <v>14</v>
      </c>
      <c r="D868" s="1287">
        <v>1</v>
      </c>
      <c r="E868" s="1287">
        <v>50.83</v>
      </c>
      <c r="F868" s="1287">
        <v>50.83</v>
      </c>
      <c r="G868" s="1286" t="s">
        <v>956</v>
      </c>
      <c r="H868" s="34" t="s">
        <v>925</v>
      </c>
    </row>
    <row r="869" spans="1:8" ht="33">
      <c r="A869" s="1289"/>
      <c r="B869" s="1289" t="s">
        <v>933</v>
      </c>
      <c r="C869" s="1288" t="s">
        <v>0</v>
      </c>
      <c r="D869" s="1287">
        <v>1</v>
      </c>
      <c r="E869" s="1287"/>
      <c r="F869" s="1287">
        <v>1745.15</v>
      </c>
      <c r="G869" s="1286"/>
      <c r="H869" s="34" t="s">
        <v>925</v>
      </c>
    </row>
    <row r="870" spans="1:8" ht="33">
      <c r="A870" s="1289"/>
      <c r="B870" s="1289" t="s">
        <v>934</v>
      </c>
      <c r="C870" s="1288" t="s">
        <v>0</v>
      </c>
      <c r="D870" s="1287"/>
      <c r="E870" s="1287"/>
      <c r="F870" s="1287">
        <v>1745.15</v>
      </c>
      <c r="G870" s="1286"/>
      <c r="H870" s="34" t="s">
        <v>925</v>
      </c>
    </row>
    <row r="871" spans="1:8" ht="33">
      <c r="A871" s="1289"/>
      <c r="B871" s="1289"/>
      <c r="C871" s="1288"/>
      <c r="D871" s="1287"/>
      <c r="E871" s="1287"/>
      <c r="F871" s="1287"/>
      <c r="G871" s="1286"/>
      <c r="H871" s="34" t="s">
        <v>925</v>
      </c>
    </row>
    <row r="872" spans="1:8" ht="57">
      <c r="A872" s="1289" t="s">
        <v>1397</v>
      </c>
      <c r="B872" s="1289" t="s">
        <v>4521</v>
      </c>
      <c r="C872" s="1288" t="s">
        <v>0</v>
      </c>
      <c r="D872" s="1287">
        <v>1</v>
      </c>
      <c r="E872" s="1287">
        <v>1996.7</v>
      </c>
      <c r="F872" s="1287"/>
      <c r="G872" s="1286" t="s">
        <v>4925</v>
      </c>
    </row>
    <row r="873" spans="1:8" ht="33">
      <c r="A873" s="1289">
        <v>1</v>
      </c>
      <c r="B873" s="1289" t="s">
        <v>4923</v>
      </c>
      <c r="C873" s="1288" t="s">
        <v>0</v>
      </c>
      <c r="D873" s="1287">
        <v>1</v>
      </c>
      <c r="E873" s="1287">
        <v>1490.31</v>
      </c>
      <c r="F873" s="1287">
        <v>1490.31</v>
      </c>
      <c r="G873" s="1286" t="s">
        <v>4924</v>
      </c>
      <c r="H873" s="34" t="s">
        <v>925</v>
      </c>
    </row>
    <row r="874" spans="1:8" ht="33">
      <c r="A874" s="1289">
        <v>2</v>
      </c>
      <c r="B874" s="1289" t="s">
        <v>4912</v>
      </c>
      <c r="C874" s="1288" t="s">
        <v>927</v>
      </c>
      <c r="D874" s="1287">
        <v>0.22</v>
      </c>
      <c r="E874" s="1287">
        <v>814.7</v>
      </c>
      <c r="F874" s="1287">
        <v>179.23</v>
      </c>
      <c r="G874" s="1286" t="s">
        <v>4913</v>
      </c>
      <c r="H874" s="34" t="s">
        <v>925</v>
      </c>
    </row>
    <row r="875" spans="1:8" ht="42.75">
      <c r="A875" s="1289">
        <v>3</v>
      </c>
      <c r="B875" s="1289" t="s">
        <v>4874</v>
      </c>
      <c r="C875" s="1288" t="s">
        <v>927</v>
      </c>
      <c r="D875" s="1287">
        <v>0.45</v>
      </c>
      <c r="E875" s="1287">
        <v>558.37</v>
      </c>
      <c r="F875" s="1287">
        <v>251.27</v>
      </c>
      <c r="G875" s="1286" t="s">
        <v>4875</v>
      </c>
      <c r="H875" s="34" t="s">
        <v>925</v>
      </c>
    </row>
    <row r="876" spans="1:8" ht="33">
      <c r="A876" s="1289">
        <v>4</v>
      </c>
      <c r="B876" s="1289" t="s">
        <v>1267</v>
      </c>
      <c r="C876" s="1288" t="s">
        <v>14</v>
      </c>
      <c r="D876" s="1287">
        <v>1</v>
      </c>
      <c r="E876" s="1287">
        <v>17.73</v>
      </c>
      <c r="F876" s="1287">
        <v>17.73</v>
      </c>
      <c r="G876" s="1286" t="s">
        <v>1268</v>
      </c>
      <c r="H876" s="34" t="s">
        <v>925</v>
      </c>
    </row>
    <row r="877" spans="1:8" ht="33">
      <c r="A877" s="1289">
        <v>5</v>
      </c>
      <c r="B877" s="1289" t="s">
        <v>955</v>
      </c>
      <c r="C877" s="1288" t="s">
        <v>14</v>
      </c>
      <c r="D877" s="1287">
        <v>1</v>
      </c>
      <c r="E877" s="1287">
        <v>58.16</v>
      </c>
      <c r="F877" s="1287">
        <v>58.16</v>
      </c>
      <c r="G877" s="1286" t="s">
        <v>956</v>
      </c>
      <c r="H877" s="34" t="s">
        <v>925</v>
      </c>
    </row>
    <row r="878" spans="1:8" ht="33">
      <c r="A878" s="1289"/>
      <c r="B878" s="1289" t="s">
        <v>933</v>
      </c>
      <c r="C878" s="1288" t="s">
        <v>0</v>
      </c>
      <c r="D878" s="1287">
        <v>1</v>
      </c>
      <c r="E878" s="1287"/>
      <c r="F878" s="1287">
        <v>1996.7</v>
      </c>
      <c r="G878" s="1286"/>
      <c r="H878" s="34" t="s">
        <v>925</v>
      </c>
    </row>
    <row r="879" spans="1:8" ht="33">
      <c r="A879" s="1289"/>
      <c r="B879" s="1289" t="s">
        <v>934</v>
      </c>
      <c r="C879" s="1288" t="s">
        <v>0</v>
      </c>
      <c r="D879" s="1287"/>
      <c r="E879" s="1287"/>
      <c r="F879" s="1287">
        <v>1996.7</v>
      </c>
      <c r="G879" s="1286"/>
      <c r="H879" s="34" t="s">
        <v>925</v>
      </c>
    </row>
    <row r="880" spans="1:8" ht="33">
      <c r="A880" s="1289"/>
      <c r="B880" s="1289"/>
      <c r="C880" s="1288"/>
      <c r="D880" s="1287"/>
      <c r="E880" s="1287"/>
      <c r="F880" s="1287"/>
      <c r="G880" s="1286"/>
      <c r="H880" s="34" t="s">
        <v>925</v>
      </c>
    </row>
    <row r="881" spans="1:8" ht="33">
      <c r="A881" s="1289" t="s">
        <v>1399</v>
      </c>
      <c r="B881" s="1289" t="s">
        <v>1320</v>
      </c>
      <c r="C881" s="1288" t="s">
        <v>0</v>
      </c>
      <c r="D881" s="1287">
        <v>1</v>
      </c>
      <c r="E881" s="1287">
        <v>5062.71</v>
      </c>
      <c r="F881" s="1287"/>
      <c r="G881" s="1286" t="s">
        <v>1321</v>
      </c>
      <c r="H881" s="34" t="s">
        <v>925</v>
      </c>
    </row>
    <row r="882" spans="1:8" ht="33">
      <c r="A882" s="1289">
        <v>1</v>
      </c>
      <c r="B882" s="1289" t="s">
        <v>1322</v>
      </c>
      <c r="C882" s="1288" t="s">
        <v>0</v>
      </c>
      <c r="D882" s="1287">
        <v>1</v>
      </c>
      <c r="E882" s="1287">
        <v>4470.92</v>
      </c>
      <c r="F882" s="1287">
        <v>4470.92</v>
      </c>
      <c r="G882" s="1286" t="s">
        <v>1323</v>
      </c>
      <c r="H882" s="34" t="s">
        <v>925</v>
      </c>
    </row>
    <row r="883" spans="1:8" ht="33">
      <c r="A883" s="1289">
        <v>2</v>
      </c>
      <c r="B883" s="1289" t="s">
        <v>1261</v>
      </c>
      <c r="C883" s="1288" t="s">
        <v>927</v>
      </c>
      <c r="D883" s="1287">
        <v>0.5</v>
      </c>
      <c r="E883" s="1287">
        <v>398.41</v>
      </c>
      <c r="F883" s="1287">
        <v>199.21</v>
      </c>
      <c r="G883" s="1286" t="s">
        <v>1262</v>
      </c>
      <c r="H883" s="34" t="s">
        <v>925</v>
      </c>
    </row>
    <row r="884" spans="1:8" ht="33">
      <c r="A884" s="1289">
        <v>3</v>
      </c>
      <c r="B884" s="1289" t="s">
        <v>4871</v>
      </c>
      <c r="C884" s="1288" t="s">
        <v>927</v>
      </c>
      <c r="D884" s="1287">
        <v>0.7</v>
      </c>
      <c r="E884" s="1287">
        <v>279.18</v>
      </c>
      <c r="F884" s="1287">
        <v>195.43</v>
      </c>
      <c r="G884" s="1286" t="s">
        <v>1324</v>
      </c>
      <c r="H884" s="34" t="s">
        <v>925</v>
      </c>
    </row>
    <row r="885" spans="1:8" ht="28.5">
      <c r="A885" s="1289">
        <v>4</v>
      </c>
      <c r="B885" s="1289" t="s">
        <v>1263</v>
      </c>
      <c r="C885" s="1288" t="s">
        <v>14</v>
      </c>
      <c r="D885" s="1287">
        <v>1</v>
      </c>
      <c r="E885" s="1287">
        <v>9.94</v>
      </c>
      <c r="F885" s="1287">
        <v>9.94</v>
      </c>
      <c r="G885" s="1286" t="s">
        <v>1264</v>
      </c>
    </row>
    <row r="886" spans="1:8" ht="33">
      <c r="A886" s="1289">
        <v>5</v>
      </c>
      <c r="B886" s="1289" t="s">
        <v>1265</v>
      </c>
      <c r="C886" s="1288" t="s">
        <v>14</v>
      </c>
      <c r="D886" s="1287">
        <v>1</v>
      </c>
      <c r="E886" s="1287">
        <v>9.94</v>
      </c>
      <c r="F886" s="1287">
        <v>9.94</v>
      </c>
      <c r="G886" s="1286" t="s">
        <v>1266</v>
      </c>
      <c r="H886" s="34" t="s">
        <v>925</v>
      </c>
    </row>
    <row r="887" spans="1:8" ht="33">
      <c r="A887" s="1289">
        <v>6</v>
      </c>
      <c r="B887" s="1289" t="s">
        <v>1267</v>
      </c>
      <c r="C887" s="1288" t="s">
        <v>14</v>
      </c>
      <c r="D887" s="1287">
        <v>1</v>
      </c>
      <c r="E887" s="1287">
        <v>29.81</v>
      </c>
      <c r="F887" s="1287">
        <v>29.81</v>
      </c>
      <c r="G887" s="1286" t="s">
        <v>1268</v>
      </c>
      <c r="H887" s="34" t="s">
        <v>925</v>
      </c>
    </row>
    <row r="888" spans="1:8" ht="33">
      <c r="A888" s="1289">
        <v>7</v>
      </c>
      <c r="B888" s="1289" t="s">
        <v>931</v>
      </c>
      <c r="C888" s="1288" t="s">
        <v>14</v>
      </c>
      <c r="D888" s="1287">
        <v>1</v>
      </c>
      <c r="E888" s="1287">
        <v>147.46</v>
      </c>
      <c r="F888" s="1287">
        <v>147.46</v>
      </c>
      <c r="G888" s="1286" t="s">
        <v>932</v>
      </c>
      <c r="H888" s="34" t="s">
        <v>925</v>
      </c>
    </row>
    <row r="889" spans="1:8" ht="33">
      <c r="A889" s="1289"/>
      <c r="B889" s="1289" t="s">
        <v>933</v>
      </c>
      <c r="C889" s="1288" t="s">
        <v>0</v>
      </c>
      <c r="D889" s="1287">
        <v>1</v>
      </c>
      <c r="E889" s="1287"/>
      <c r="F889" s="1287">
        <v>5062.71</v>
      </c>
      <c r="G889" s="1286"/>
      <c r="H889" s="34" t="s">
        <v>925</v>
      </c>
    </row>
    <row r="890" spans="1:8" ht="33">
      <c r="A890" s="1289"/>
      <c r="B890" s="1289" t="s">
        <v>934</v>
      </c>
      <c r="C890" s="1288" t="s">
        <v>0</v>
      </c>
      <c r="D890" s="1287"/>
      <c r="E890" s="1287"/>
      <c r="F890" s="1287">
        <v>5062.71</v>
      </c>
      <c r="G890" s="1286"/>
      <c r="H890" s="34" t="s">
        <v>925</v>
      </c>
    </row>
    <row r="891" spans="1:8" ht="33">
      <c r="A891" s="1289"/>
      <c r="B891" s="1289"/>
      <c r="C891" s="1288"/>
      <c r="D891" s="1287"/>
      <c r="E891" s="1287"/>
      <c r="F891" s="1287"/>
      <c r="G891" s="1286"/>
      <c r="H891" s="34" t="s">
        <v>925</v>
      </c>
    </row>
    <row r="892" spans="1:8" ht="33">
      <c r="A892" s="1289" t="s">
        <v>1401</v>
      </c>
      <c r="B892" s="1289" t="s">
        <v>1328</v>
      </c>
      <c r="C892" s="1288" t="s">
        <v>3</v>
      </c>
      <c r="D892" s="1287">
        <v>1</v>
      </c>
      <c r="E892" s="1287">
        <v>264.25</v>
      </c>
      <c r="F892" s="1287"/>
      <c r="G892" s="1286" t="s">
        <v>1329</v>
      </c>
      <c r="H892" s="34" t="s">
        <v>925</v>
      </c>
    </row>
    <row r="893" spans="1:8" ht="33">
      <c r="A893" s="1289">
        <v>1</v>
      </c>
      <c r="B893" s="1289" t="s">
        <v>1294</v>
      </c>
      <c r="C893" s="1288" t="s">
        <v>1295</v>
      </c>
      <c r="D893" s="1287">
        <v>0.02</v>
      </c>
      <c r="E893" s="1287">
        <v>165.92</v>
      </c>
      <c r="F893" s="1287">
        <v>3.32</v>
      </c>
      <c r="G893" s="1286" t="s">
        <v>1296</v>
      </c>
      <c r="H893" s="34" t="s">
        <v>925</v>
      </c>
    </row>
    <row r="894" spans="1:8" ht="33">
      <c r="A894" s="1289">
        <v>2</v>
      </c>
      <c r="B894" s="1289" t="s">
        <v>4871</v>
      </c>
      <c r="C894" s="1288" t="s">
        <v>927</v>
      </c>
      <c r="D894" s="1287">
        <v>0.48</v>
      </c>
      <c r="E894" s="1287">
        <v>279.18</v>
      </c>
      <c r="F894" s="1287">
        <v>134.01</v>
      </c>
      <c r="G894" s="1286" t="s">
        <v>4872</v>
      </c>
      <c r="H894" s="34" t="s">
        <v>925</v>
      </c>
    </row>
    <row r="895" spans="1:8" ht="33">
      <c r="A895" s="1289">
        <v>3</v>
      </c>
      <c r="B895" s="1289" t="s">
        <v>1330</v>
      </c>
      <c r="C895" s="1288" t="s">
        <v>14</v>
      </c>
      <c r="D895" s="1287">
        <v>1</v>
      </c>
      <c r="E895" s="1287">
        <v>119.22</v>
      </c>
      <c r="F895" s="1287">
        <v>119.22</v>
      </c>
      <c r="G895" s="1286" t="s">
        <v>1331</v>
      </c>
      <c r="H895" s="34" t="s">
        <v>925</v>
      </c>
    </row>
    <row r="896" spans="1:8" ht="33">
      <c r="A896" s="1289">
        <v>4</v>
      </c>
      <c r="B896" s="1289" t="s">
        <v>931</v>
      </c>
      <c r="C896" s="1288" t="s">
        <v>14</v>
      </c>
      <c r="D896" s="1287">
        <v>1</v>
      </c>
      <c r="E896" s="1287">
        <v>7.7</v>
      </c>
      <c r="F896" s="1287">
        <v>7.7</v>
      </c>
      <c r="G896" s="1286" t="s">
        <v>932</v>
      </c>
      <c r="H896" s="34" t="s">
        <v>925</v>
      </c>
    </row>
    <row r="897" spans="1:8" ht="16.5">
      <c r="A897" s="1289"/>
      <c r="B897" s="1289" t="s">
        <v>933</v>
      </c>
      <c r="C897" s="1288" t="s">
        <v>3</v>
      </c>
      <c r="D897" s="1287">
        <v>1</v>
      </c>
      <c r="E897" s="1287"/>
      <c r="F897" s="1287">
        <v>264.24999999999994</v>
      </c>
      <c r="G897" s="1286"/>
    </row>
    <row r="898" spans="1:8" ht="33">
      <c r="A898" s="1289"/>
      <c r="B898" s="1289" t="s">
        <v>934</v>
      </c>
      <c r="C898" s="1288" t="s">
        <v>3</v>
      </c>
      <c r="D898" s="1287"/>
      <c r="E898" s="1287"/>
      <c r="F898" s="1287">
        <v>264.25</v>
      </c>
      <c r="G898" s="1286"/>
      <c r="H898" s="34" t="s">
        <v>925</v>
      </c>
    </row>
    <row r="899" spans="1:8" ht="33">
      <c r="A899" s="1289"/>
      <c r="B899" s="1289"/>
      <c r="C899" s="1288"/>
      <c r="D899" s="1287"/>
      <c r="E899" s="1287"/>
      <c r="F899" s="1287"/>
      <c r="G899" s="1286"/>
      <c r="H899" s="34" t="s">
        <v>925</v>
      </c>
    </row>
    <row r="900" spans="1:8" ht="33">
      <c r="A900" s="1289" t="s">
        <v>1403</v>
      </c>
      <c r="B900" s="1289" t="s">
        <v>1333</v>
      </c>
      <c r="C900" s="1288" t="s">
        <v>3</v>
      </c>
      <c r="D900" s="1287">
        <v>10</v>
      </c>
      <c r="E900" s="1287">
        <v>954.42</v>
      </c>
      <c r="F900" s="1287"/>
      <c r="G900" s="1286" t="s">
        <v>1334</v>
      </c>
      <c r="H900" s="34" t="s">
        <v>925</v>
      </c>
    </row>
    <row r="901" spans="1:8" ht="33">
      <c r="A901" s="1289">
        <v>1</v>
      </c>
      <c r="B901" s="1289" t="s">
        <v>1335</v>
      </c>
      <c r="C901" s="1288" t="s">
        <v>0</v>
      </c>
      <c r="D901" s="1287">
        <v>0.03</v>
      </c>
      <c r="E901" s="1287">
        <v>21460.42</v>
      </c>
      <c r="F901" s="1287">
        <v>643.80999999999995</v>
      </c>
      <c r="G901" s="1286" t="s">
        <v>4926</v>
      </c>
      <c r="H901" s="34" t="s">
        <v>925</v>
      </c>
    </row>
    <row r="902" spans="1:8" ht="33">
      <c r="A902" s="1289">
        <v>2</v>
      </c>
      <c r="B902" s="1289" t="s">
        <v>1336</v>
      </c>
      <c r="C902" s="1288" t="s">
        <v>0</v>
      </c>
      <c r="D902" s="1287">
        <v>0.03</v>
      </c>
      <c r="E902" s="1287">
        <v>22851.38</v>
      </c>
      <c r="F902" s="1287">
        <v>685.54</v>
      </c>
      <c r="G902" s="1286" t="s">
        <v>1337</v>
      </c>
      <c r="H902" s="34" t="s">
        <v>925</v>
      </c>
    </row>
    <row r="903" spans="1:8" ht="33">
      <c r="A903" s="1289">
        <v>3</v>
      </c>
      <c r="B903" s="1289" t="s">
        <v>1338</v>
      </c>
      <c r="C903" s="1288" t="s">
        <v>3</v>
      </c>
      <c r="D903" s="1287">
        <v>3.33</v>
      </c>
      <c r="E903" s="1287">
        <v>83.46</v>
      </c>
      <c r="F903" s="1287">
        <v>277.92</v>
      </c>
      <c r="G903" s="1286" t="s">
        <v>1339</v>
      </c>
      <c r="H903" s="34" t="s">
        <v>925</v>
      </c>
    </row>
    <row r="904" spans="1:8" ht="33">
      <c r="A904" s="1289">
        <v>4</v>
      </c>
      <c r="B904" s="1289" t="s">
        <v>1340</v>
      </c>
      <c r="C904" s="1288" t="s">
        <v>14</v>
      </c>
      <c r="D904" s="1287">
        <v>1</v>
      </c>
      <c r="E904" s="1287">
        <v>546.45000000000005</v>
      </c>
      <c r="F904" s="1287">
        <v>546.45000000000005</v>
      </c>
      <c r="G904" s="1286" t="s">
        <v>1341</v>
      </c>
      <c r="H904" s="34" t="s">
        <v>925</v>
      </c>
    </row>
    <row r="905" spans="1:8" ht="42.75">
      <c r="A905" s="1289">
        <v>5</v>
      </c>
      <c r="B905" s="1289" t="s">
        <v>4927</v>
      </c>
      <c r="C905" s="1288" t="s">
        <v>927</v>
      </c>
      <c r="D905" s="1287">
        <v>9.6</v>
      </c>
      <c r="E905" s="1287">
        <v>407.35</v>
      </c>
      <c r="F905" s="1287">
        <v>3910.56</v>
      </c>
      <c r="G905" s="1286" t="s">
        <v>4928</v>
      </c>
      <c r="H905" s="34" t="s">
        <v>925</v>
      </c>
    </row>
    <row r="906" spans="1:8" ht="33">
      <c r="A906" s="1289">
        <v>6</v>
      </c>
      <c r="B906" s="1289" t="s">
        <v>4871</v>
      </c>
      <c r="C906" s="1288" t="s">
        <v>927</v>
      </c>
      <c r="D906" s="1287">
        <v>11.2</v>
      </c>
      <c r="E906" s="1287">
        <v>279.18</v>
      </c>
      <c r="F906" s="1287">
        <v>3126.82</v>
      </c>
      <c r="G906" s="1286" t="s">
        <v>4876</v>
      </c>
      <c r="H906" s="34" t="s">
        <v>925</v>
      </c>
    </row>
    <row r="907" spans="1:8" ht="33">
      <c r="A907" s="1289">
        <v>7</v>
      </c>
      <c r="B907" s="1289" t="s">
        <v>1342</v>
      </c>
      <c r="C907" s="1288" t="s">
        <v>18</v>
      </c>
      <c r="D907" s="1287">
        <v>1</v>
      </c>
      <c r="E907" s="1287">
        <v>35.770000000000003</v>
      </c>
      <c r="F907" s="1287">
        <v>35.770000000000003</v>
      </c>
      <c r="G907" s="1286" t="s">
        <v>1343</v>
      </c>
      <c r="H907" s="34" t="s">
        <v>925</v>
      </c>
    </row>
    <row r="908" spans="1:8" ht="33">
      <c r="A908" s="1289">
        <v>8</v>
      </c>
      <c r="B908" s="1289" t="s">
        <v>1344</v>
      </c>
      <c r="C908" s="1288" t="s">
        <v>18</v>
      </c>
      <c r="D908" s="1287">
        <v>1.1000000000000001</v>
      </c>
      <c r="E908" s="1287">
        <v>35.770000000000003</v>
      </c>
      <c r="F908" s="1287">
        <v>39.35</v>
      </c>
      <c r="G908" s="1286" t="s">
        <v>1345</v>
      </c>
      <c r="H908" s="34" t="s">
        <v>925</v>
      </c>
    </row>
    <row r="909" spans="1:8" ht="28.5">
      <c r="A909" s="1289">
        <v>9</v>
      </c>
      <c r="B909" s="1289" t="s">
        <v>931</v>
      </c>
      <c r="C909" s="1288" t="s">
        <v>14</v>
      </c>
      <c r="D909" s="1287">
        <v>1</v>
      </c>
      <c r="E909" s="1287">
        <v>277.99</v>
      </c>
      <c r="F909" s="1287">
        <v>277.99</v>
      </c>
      <c r="G909" s="1286" t="s">
        <v>932</v>
      </c>
    </row>
    <row r="910" spans="1:8" ht="33">
      <c r="A910" s="1289"/>
      <c r="B910" s="1289" t="s">
        <v>933</v>
      </c>
      <c r="C910" s="1288" t="s">
        <v>3</v>
      </c>
      <c r="D910" s="1287">
        <v>10</v>
      </c>
      <c r="E910" s="1287"/>
      <c r="F910" s="1287">
        <v>9544.2100000000009</v>
      </c>
      <c r="G910" s="1286"/>
      <c r="H910" s="34" t="s">
        <v>925</v>
      </c>
    </row>
    <row r="911" spans="1:8" ht="33">
      <c r="A911" s="1289"/>
      <c r="B911" s="1289" t="s">
        <v>934</v>
      </c>
      <c r="C911" s="1288" t="s">
        <v>3</v>
      </c>
      <c r="D911" s="1287"/>
      <c r="E911" s="1287"/>
      <c r="F911" s="1287">
        <v>954.42</v>
      </c>
      <c r="G911" s="1286"/>
      <c r="H911" s="34" t="s">
        <v>925</v>
      </c>
    </row>
    <row r="912" spans="1:8" ht="33">
      <c r="A912" s="1289"/>
      <c r="B912" s="1289"/>
      <c r="C912" s="1288"/>
      <c r="D912" s="1287"/>
      <c r="E912" s="1287"/>
      <c r="F912" s="1287"/>
      <c r="G912" s="1286"/>
      <c r="H912" s="34" t="s">
        <v>925</v>
      </c>
    </row>
    <row r="913" spans="1:8" ht="57">
      <c r="A913" s="1289" t="s">
        <v>1405</v>
      </c>
      <c r="B913" s="1289" t="s">
        <v>1384</v>
      </c>
      <c r="C913" s="1288" t="s">
        <v>3</v>
      </c>
      <c r="D913" s="1287">
        <v>10</v>
      </c>
      <c r="E913" s="1287">
        <v>1193.82</v>
      </c>
      <c r="F913" s="1287"/>
      <c r="G913" s="1286" t="s">
        <v>1385</v>
      </c>
      <c r="H913" s="34" t="s">
        <v>925</v>
      </c>
    </row>
    <row r="914" spans="1:8" ht="33">
      <c r="A914" s="1289">
        <v>1</v>
      </c>
      <c r="B914" s="1289" t="s">
        <v>1335</v>
      </c>
      <c r="C914" s="1288" t="s">
        <v>0</v>
      </c>
      <c r="D914" s="1287">
        <v>0.03</v>
      </c>
      <c r="E914" s="1287">
        <v>21460.42</v>
      </c>
      <c r="F914" s="1287">
        <v>643.80999999999995</v>
      </c>
      <c r="G914" s="1286" t="s">
        <v>4926</v>
      </c>
      <c r="H914" s="34" t="s">
        <v>925</v>
      </c>
    </row>
    <row r="915" spans="1:8" ht="33">
      <c r="A915" s="1289">
        <v>2</v>
      </c>
      <c r="B915" s="1289" t="s">
        <v>1336</v>
      </c>
      <c r="C915" s="1288" t="s">
        <v>0</v>
      </c>
      <c r="D915" s="1287">
        <v>0.03</v>
      </c>
      <c r="E915" s="1287">
        <v>22851.38</v>
      </c>
      <c r="F915" s="1287">
        <v>685.54</v>
      </c>
      <c r="G915" s="1286" t="s">
        <v>1337</v>
      </c>
      <c r="H915" s="34" t="s">
        <v>925</v>
      </c>
    </row>
    <row r="916" spans="1:8" ht="33">
      <c r="A916" s="1289">
        <v>3</v>
      </c>
      <c r="B916" s="1289" t="s">
        <v>1338</v>
      </c>
      <c r="C916" s="1288" t="s">
        <v>3</v>
      </c>
      <c r="D916" s="1287">
        <v>3.33</v>
      </c>
      <c r="E916" s="1287">
        <v>83.46</v>
      </c>
      <c r="F916" s="1287">
        <v>277.92</v>
      </c>
      <c r="G916" s="1286" t="s">
        <v>1339</v>
      </c>
      <c r="H916" s="34" t="s">
        <v>925</v>
      </c>
    </row>
    <row r="917" spans="1:8" ht="33">
      <c r="A917" s="1289">
        <v>4</v>
      </c>
      <c r="B917" s="1289" t="s">
        <v>1340</v>
      </c>
      <c r="C917" s="1288" t="s">
        <v>14</v>
      </c>
      <c r="D917" s="1287">
        <v>1</v>
      </c>
      <c r="E917" s="1287">
        <v>546.45000000000005</v>
      </c>
      <c r="F917" s="1287">
        <v>546.45000000000005</v>
      </c>
      <c r="G917" s="1286" t="s">
        <v>1341</v>
      </c>
      <c r="H917" s="34" t="s">
        <v>925</v>
      </c>
    </row>
    <row r="918" spans="1:8" ht="42.75">
      <c r="A918" s="1289">
        <v>5</v>
      </c>
      <c r="B918" s="1289" t="s">
        <v>4927</v>
      </c>
      <c r="C918" s="1288" t="s">
        <v>927</v>
      </c>
      <c r="D918" s="1287">
        <v>12.77</v>
      </c>
      <c r="E918" s="1287">
        <v>407.35</v>
      </c>
      <c r="F918" s="1287">
        <v>5201.8599999999997</v>
      </c>
      <c r="G918" s="1286" t="s">
        <v>4928</v>
      </c>
    </row>
    <row r="919" spans="1:8" ht="33">
      <c r="A919" s="1289">
        <v>6</v>
      </c>
      <c r="B919" s="1289" t="s">
        <v>4871</v>
      </c>
      <c r="C919" s="1288" t="s">
        <v>927</v>
      </c>
      <c r="D919" s="1287">
        <v>14.9</v>
      </c>
      <c r="E919" s="1287">
        <v>279.18</v>
      </c>
      <c r="F919" s="1287">
        <v>4159.78</v>
      </c>
      <c r="G919" s="1286" t="s">
        <v>4872</v>
      </c>
      <c r="H919" s="34" t="s">
        <v>925</v>
      </c>
    </row>
    <row r="920" spans="1:8" ht="33">
      <c r="A920" s="1289">
        <v>7</v>
      </c>
      <c r="B920" s="1289" t="s">
        <v>1342</v>
      </c>
      <c r="C920" s="1288" t="s">
        <v>18</v>
      </c>
      <c r="D920" s="1287">
        <v>1</v>
      </c>
      <c r="E920" s="1287">
        <v>35.770000000000003</v>
      </c>
      <c r="F920" s="1287">
        <v>35.770000000000003</v>
      </c>
      <c r="G920" s="1286" t="s">
        <v>1343</v>
      </c>
      <c r="H920" s="34" t="s">
        <v>925</v>
      </c>
    </row>
    <row r="921" spans="1:8" ht="33">
      <c r="A921" s="1289">
        <v>8</v>
      </c>
      <c r="B921" s="1289" t="s">
        <v>1344</v>
      </c>
      <c r="C921" s="1288" t="s">
        <v>18</v>
      </c>
      <c r="D921" s="1287">
        <v>1.1000000000000001</v>
      </c>
      <c r="E921" s="1287">
        <v>35.770000000000003</v>
      </c>
      <c r="F921" s="1287">
        <v>39.35</v>
      </c>
      <c r="G921" s="1286" t="s">
        <v>1345</v>
      </c>
      <c r="H921" s="34" t="s">
        <v>925</v>
      </c>
    </row>
    <row r="922" spans="1:8" ht="33">
      <c r="A922" s="1289">
        <v>9</v>
      </c>
      <c r="B922" s="1289" t="s">
        <v>931</v>
      </c>
      <c r="C922" s="1288" t="s">
        <v>14</v>
      </c>
      <c r="D922" s="1287">
        <v>1</v>
      </c>
      <c r="E922" s="1287">
        <v>347.71</v>
      </c>
      <c r="F922" s="1287">
        <v>347.71</v>
      </c>
      <c r="G922" s="1286" t="s">
        <v>932</v>
      </c>
      <c r="H922" s="34" t="s">
        <v>925</v>
      </c>
    </row>
    <row r="923" spans="1:8" ht="33">
      <c r="A923" s="1289"/>
      <c r="B923" s="1289" t="s">
        <v>933</v>
      </c>
      <c r="C923" s="1288" t="s">
        <v>3</v>
      </c>
      <c r="D923" s="1287">
        <v>10</v>
      </c>
      <c r="E923" s="1287"/>
      <c r="F923" s="1287">
        <v>11938.19</v>
      </c>
      <c r="G923" s="1286"/>
      <c r="H923" s="34" t="s">
        <v>925</v>
      </c>
    </row>
    <row r="924" spans="1:8" ht="33">
      <c r="A924" s="1289"/>
      <c r="B924" s="1289" t="s">
        <v>934</v>
      </c>
      <c r="C924" s="1288" t="s">
        <v>3</v>
      </c>
      <c r="D924" s="1287"/>
      <c r="E924" s="1287"/>
      <c r="F924" s="1287">
        <v>1193.82</v>
      </c>
      <c r="G924" s="1286"/>
      <c r="H924" s="34" t="s">
        <v>925</v>
      </c>
    </row>
    <row r="925" spans="1:8" ht="33">
      <c r="A925" s="1289"/>
      <c r="B925" s="1289"/>
      <c r="C925" s="1288"/>
      <c r="D925" s="1287"/>
      <c r="E925" s="1287"/>
      <c r="F925" s="1287"/>
      <c r="G925" s="1286"/>
      <c r="H925" s="34" t="s">
        <v>925</v>
      </c>
    </row>
    <row r="926" spans="1:8" ht="71.25">
      <c r="A926" s="1289" t="s">
        <v>1407</v>
      </c>
      <c r="B926" s="1289" t="s">
        <v>1347</v>
      </c>
      <c r="C926" s="1288" t="s">
        <v>3</v>
      </c>
      <c r="D926" s="1287">
        <v>100</v>
      </c>
      <c r="E926" s="1287">
        <v>799.59</v>
      </c>
      <c r="F926" s="1287"/>
      <c r="G926" s="1286" t="s">
        <v>1348</v>
      </c>
      <c r="H926" s="34" t="s">
        <v>925</v>
      </c>
    </row>
    <row r="927" spans="1:8" ht="28.5">
      <c r="A927" s="1289">
        <v>1</v>
      </c>
      <c r="B927" s="1289" t="s">
        <v>1335</v>
      </c>
      <c r="C927" s="1288" t="s">
        <v>0</v>
      </c>
      <c r="D927" s="1287">
        <v>0.3</v>
      </c>
      <c r="E927" s="1287">
        <v>21460.42</v>
      </c>
      <c r="F927" s="1287">
        <v>6438.13</v>
      </c>
      <c r="G927" s="1286" t="s">
        <v>4926</v>
      </c>
    </row>
    <row r="928" spans="1:8" ht="33">
      <c r="A928" s="1289">
        <v>2</v>
      </c>
      <c r="B928" s="1289" t="s">
        <v>1336</v>
      </c>
      <c r="C928" s="1288" t="s">
        <v>0</v>
      </c>
      <c r="D928" s="1287">
        <v>0.21</v>
      </c>
      <c r="E928" s="1287">
        <v>22851.38</v>
      </c>
      <c r="F928" s="1287">
        <v>4798.79</v>
      </c>
      <c r="G928" s="1286" t="s">
        <v>1337</v>
      </c>
      <c r="H928" s="34" t="s">
        <v>925</v>
      </c>
    </row>
    <row r="929" spans="1:8" ht="33">
      <c r="A929" s="1289">
        <v>3</v>
      </c>
      <c r="B929" s="1289" t="s">
        <v>1338</v>
      </c>
      <c r="C929" s="1288" t="s">
        <v>3</v>
      </c>
      <c r="D929" s="1287">
        <v>33.299999999999997</v>
      </c>
      <c r="E929" s="1287">
        <v>83.46</v>
      </c>
      <c r="F929" s="1287">
        <v>2779.22</v>
      </c>
      <c r="G929" s="1286" t="s">
        <v>1339</v>
      </c>
      <c r="H929" s="34" t="s">
        <v>925</v>
      </c>
    </row>
    <row r="930" spans="1:8" ht="33">
      <c r="A930" s="1289">
        <v>4</v>
      </c>
      <c r="B930" s="1289" t="s">
        <v>1349</v>
      </c>
      <c r="C930" s="1288" t="s">
        <v>14</v>
      </c>
      <c r="D930" s="1287">
        <v>1</v>
      </c>
      <c r="E930" s="1287">
        <v>2305.0100000000002</v>
      </c>
      <c r="F930" s="1287">
        <v>2305.0100000000002</v>
      </c>
      <c r="G930" s="1286" t="s">
        <v>1350</v>
      </c>
      <c r="H930" s="34" t="s">
        <v>925</v>
      </c>
    </row>
    <row r="931" spans="1:8" ht="42.75">
      <c r="A931" s="1289">
        <v>5</v>
      </c>
      <c r="B931" s="1289" t="s">
        <v>4927</v>
      </c>
      <c r="C931" s="1288" t="s">
        <v>927</v>
      </c>
      <c r="D931" s="1287">
        <v>88</v>
      </c>
      <c r="E931" s="1287">
        <v>407.35</v>
      </c>
      <c r="F931" s="1287">
        <v>35846.800000000003</v>
      </c>
      <c r="G931" s="1286" t="s">
        <v>4928</v>
      </c>
      <c r="H931" s="34" t="s">
        <v>925</v>
      </c>
    </row>
    <row r="932" spans="1:8" ht="33">
      <c r="A932" s="1289">
        <v>6</v>
      </c>
      <c r="B932" s="1289" t="s">
        <v>4871</v>
      </c>
      <c r="C932" s="1288" t="s">
        <v>927</v>
      </c>
      <c r="D932" s="1287">
        <v>88</v>
      </c>
      <c r="E932" s="1287">
        <v>279.18</v>
      </c>
      <c r="F932" s="1287">
        <v>24567.84</v>
      </c>
      <c r="G932" s="1286" t="s">
        <v>4872</v>
      </c>
      <c r="H932" s="34" t="s">
        <v>925</v>
      </c>
    </row>
    <row r="933" spans="1:8" ht="33">
      <c r="A933" s="1289">
        <v>7</v>
      </c>
      <c r="B933" s="1289" t="s">
        <v>1342</v>
      </c>
      <c r="C933" s="1288" t="s">
        <v>18</v>
      </c>
      <c r="D933" s="1287">
        <v>12</v>
      </c>
      <c r="E933" s="1287">
        <v>35.770000000000003</v>
      </c>
      <c r="F933" s="1287">
        <v>429.24</v>
      </c>
      <c r="G933" s="1286" t="s">
        <v>1343</v>
      </c>
      <c r="H933" s="34" t="s">
        <v>925</v>
      </c>
    </row>
    <row r="934" spans="1:8" ht="33">
      <c r="A934" s="1289">
        <v>8</v>
      </c>
      <c r="B934" s="1289" t="s">
        <v>1344</v>
      </c>
      <c r="C934" s="1288" t="s">
        <v>18</v>
      </c>
      <c r="D934" s="1287">
        <v>13</v>
      </c>
      <c r="E934" s="1287">
        <v>35.770000000000003</v>
      </c>
      <c r="F934" s="1287">
        <v>465.01</v>
      </c>
      <c r="G934" s="1286" t="s">
        <v>1345</v>
      </c>
      <c r="H934" s="34" t="s">
        <v>925</v>
      </c>
    </row>
    <row r="935" spans="1:8" ht="33">
      <c r="A935" s="1289">
        <v>9</v>
      </c>
      <c r="B935" s="1289" t="s">
        <v>931</v>
      </c>
      <c r="C935" s="1288" t="s">
        <v>14</v>
      </c>
      <c r="D935" s="1287">
        <v>1</v>
      </c>
      <c r="E935" s="1287">
        <v>2328.9</v>
      </c>
      <c r="F935" s="1287">
        <v>2328.9</v>
      </c>
      <c r="G935" s="1286" t="s">
        <v>932</v>
      </c>
      <c r="H935" s="34" t="s">
        <v>925</v>
      </c>
    </row>
    <row r="936" spans="1:8" ht="16.5">
      <c r="A936" s="1289"/>
      <c r="B936" s="1289" t="s">
        <v>933</v>
      </c>
      <c r="C936" s="1288" t="s">
        <v>3</v>
      </c>
      <c r="D936" s="1287">
        <v>100</v>
      </c>
      <c r="E936" s="1287"/>
      <c r="F936" s="1287">
        <v>79958.94</v>
      </c>
      <c r="G936" s="1286"/>
    </row>
    <row r="937" spans="1:8" ht="33">
      <c r="A937" s="1289"/>
      <c r="B937" s="1289" t="s">
        <v>934</v>
      </c>
      <c r="C937" s="1288" t="s">
        <v>3</v>
      </c>
      <c r="D937" s="1287"/>
      <c r="E937" s="1287"/>
      <c r="F937" s="1287">
        <v>799.59</v>
      </c>
      <c r="G937" s="1286"/>
      <c r="H937" s="34" t="s">
        <v>925</v>
      </c>
    </row>
    <row r="938" spans="1:8" ht="33">
      <c r="A938" s="1289"/>
      <c r="B938" s="1289"/>
      <c r="C938" s="1288"/>
      <c r="D938" s="1287"/>
      <c r="E938" s="1287"/>
      <c r="F938" s="1287"/>
      <c r="G938" s="1286"/>
      <c r="H938" s="34" t="s">
        <v>925</v>
      </c>
    </row>
    <row r="939" spans="1:8" ht="99.75">
      <c r="A939" s="1289" t="s">
        <v>1409</v>
      </c>
      <c r="B939" s="1289" t="s">
        <v>1347</v>
      </c>
      <c r="C939" s="1288" t="s">
        <v>3</v>
      </c>
      <c r="D939" s="1287">
        <v>100</v>
      </c>
      <c r="E939" s="1287">
        <v>1004.94</v>
      </c>
      <c r="F939" s="1287"/>
      <c r="G939" s="1286" t="s">
        <v>1387</v>
      </c>
      <c r="H939" s="34" t="s">
        <v>925</v>
      </c>
    </row>
    <row r="940" spans="1:8" ht="33">
      <c r="A940" s="1289">
        <v>1</v>
      </c>
      <c r="B940" s="1289" t="s">
        <v>1335</v>
      </c>
      <c r="C940" s="1288" t="s">
        <v>0</v>
      </c>
      <c r="D940" s="1287">
        <v>0.3</v>
      </c>
      <c r="E940" s="1287">
        <v>21460.42</v>
      </c>
      <c r="F940" s="1287">
        <v>6438.13</v>
      </c>
      <c r="G940" s="1286" t="s">
        <v>4926</v>
      </c>
      <c r="H940" s="34" t="s">
        <v>925</v>
      </c>
    </row>
    <row r="941" spans="1:8" ht="33">
      <c r="A941" s="1289">
        <v>2</v>
      </c>
      <c r="B941" s="1289" t="s">
        <v>1336</v>
      </c>
      <c r="C941" s="1288" t="s">
        <v>0</v>
      </c>
      <c r="D941" s="1287">
        <v>0.21</v>
      </c>
      <c r="E941" s="1287">
        <v>22851.38</v>
      </c>
      <c r="F941" s="1287">
        <v>4798.79</v>
      </c>
      <c r="G941" s="1286" t="s">
        <v>1337</v>
      </c>
      <c r="H941" s="34" t="s">
        <v>925</v>
      </c>
    </row>
    <row r="942" spans="1:8" ht="33">
      <c r="A942" s="1289">
        <v>3</v>
      </c>
      <c r="B942" s="1289" t="s">
        <v>1338</v>
      </c>
      <c r="C942" s="1288" t="s">
        <v>3</v>
      </c>
      <c r="D942" s="1287">
        <v>33.299999999999997</v>
      </c>
      <c r="E942" s="1287">
        <v>83.46</v>
      </c>
      <c r="F942" s="1287">
        <v>2779.22</v>
      </c>
      <c r="G942" s="1286" t="s">
        <v>1339</v>
      </c>
      <c r="H942" s="34" t="s">
        <v>925</v>
      </c>
    </row>
    <row r="943" spans="1:8" ht="33">
      <c r="A943" s="1289">
        <v>4</v>
      </c>
      <c r="B943" s="1289" t="s">
        <v>1349</v>
      </c>
      <c r="C943" s="1288" t="s">
        <v>14</v>
      </c>
      <c r="D943" s="1287">
        <v>1</v>
      </c>
      <c r="E943" s="1287">
        <v>2305.0100000000002</v>
      </c>
      <c r="F943" s="1287">
        <v>2305.0100000000002</v>
      </c>
      <c r="G943" s="1286" t="s">
        <v>1350</v>
      </c>
      <c r="H943" s="34" t="s">
        <v>925</v>
      </c>
    </row>
    <row r="944" spans="1:8" ht="42.75">
      <c r="A944" s="1289">
        <v>5</v>
      </c>
      <c r="B944" s="1289" t="s">
        <v>4927</v>
      </c>
      <c r="C944" s="1288" t="s">
        <v>927</v>
      </c>
      <c r="D944" s="1287">
        <v>117.04</v>
      </c>
      <c r="E944" s="1287">
        <v>407.35</v>
      </c>
      <c r="F944" s="1287">
        <v>47676.24</v>
      </c>
      <c r="G944" s="1286" t="s">
        <v>4928</v>
      </c>
      <c r="H944" s="34" t="s">
        <v>925</v>
      </c>
    </row>
    <row r="945" spans="1:8" ht="28.5">
      <c r="A945" s="1289">
        <v>6</v>
      </c>
      <c r="B945" s="1289" t="s">
        <v>4871</v>
      </c>
      <c r="C945" s="1288" t="s">
        <v>927</v>
      </c>
      <c r="D945" s="1287">
        <v>117.04</v>
      </c>
      <c r="E945" s="1287">
        <v>279.18</v>
      </c>
      <c r="F945" s="1287">
        <v>32675.23</v>
      </c>
      <c r="G945" s="1286" t="s">
        <v>4872</v>
      </c>
    </row>
    <row r="946" spans="1:8" ht="33">
      <c r="A946" s="1289">
        <v>7</v>
      </c>
      <c r="B946" s="1289" t="s">
        <v>1342</v>
      </c>
      <c r="C946" s="1288" t="s">
        <v>18</v>
      </c>
      <c r="D946" s="1287">
        <v>12</v>
      </c>
      <c r="E946" s="1287">
        <v>35.770000000000003</v>
      </c>
      <c r="F946" s="1287">
        <v>429.24</v>
      </c>
      <c r="G946" s="1286" t="s">
        <v>1343</v>
      </c>
      <c r="H946" s="34" t="s">
        <v>925</v>
      </c>
    </row>
    <row r="947" spans="1:8" ht="33">
      <c r="A947" s="1289">
        <v>8</v>
      </c>
      <c r="B947" s="1289" t="s">
        <v>1344</v>
      </c>
      <c r="C947" s="1288" t="s">
        <v>18</v>
      </c>
      <c r="D947" s="1287">
        <v>13</v>
      </c>
      <c r="E947" s="1287">
        <v>35.770000000000003</v>
      </c>
      <c r="F947" s="1287">
        <v>465.01</v>
      </c>
      <c r="G947" s="1286" t="s">
        <v>1345</v>
      </c>
      <c r="H947" s="34" t="s">
        <v>925</v>
      </c>
    </row>
    <row r="948" spans="1:8" ht="33">
      <c r="A948" s="1289">
        <v>9</v>
      </c>
      <c r="B948" s="1289" t="s">
        <v>931</v>
      </c>
      <c r="C948" s="1288" t="s">
        <v>14</v>
      </c>
      <c r="D948" s="1287">
        <v>1</v>
      </c>
      <c r="E948" s="1287">
        <v>2927.01</v>
      </c>
      <c r="F948" s="1287">
        <v>2927.01</v>
      </c>
      <c r="G948" s="1286" t="s">
        <v>932</v>
      </c>
      <c r="H948" s="34" t="s">
        <v>925</v>
      </c>
    </row>
    <row r="949" spans="1:8" ht="33">
      <c r="A949" s="1289"/>
      <c r="B949" s="1289" t="s">
        <v>933</v>
      </c>
      <c r="C949" s="1288" t="s">
        <v>3</v>
      </c>
      <c r="D949" s="1287">
        <v>100</v>
      </c>
      <c r="E949" s="1287"/>
      <c r="F949" s="1287">
        <v>100493.87999999999</v>
      </c>
      <c r="G949" s="1286"/>
      <c r="H949" s="34" t="s">
        <v>925</v>
      </c>
    </row>
    <row r="950" spans="1:8" ht="33">
      <c r="A950" s="1289"/>
      <c r="B950" s="1289" t="s">
        <v>934</v>
      </c>
      <c r="C950" s="1288" t="s">
        <v>3</v>
      </c>
      <c r="D950" s="1287"/>
      <c r="E950" s="1287"/>
      <c r="F950" s="1287">
        <v>1004.94</v>
      </c>
      <c r="G950" s="1286"/>
      <c r="H950" s="34" t="s">
        <v>925</v>
      </c>
    </row>
    <row r="951" spans="1:8" ht="33">
      <c r="A951" s="1289"/>
      <c r="B951" s="1289"/>
      <c r="C951" s="1288"/>
      <c r="D951" s="1287"/>
      <c r="E951" s="1287"/>
      <c r="F951" s="1287"/>
      <c r="G951" s="1286"/>
      <c r="H951" s="34" t="s">
        <v>925</v>
      </c>
    </row>
    <row r="952" spans="1:8" ht="33">
      <c r="A952" s="1289" t="s">
        <v>1416</v>
      </c>
      <c r="B952" s="1289" t="s">
        <v>1352</v>
      </c>
      <c r="C952" s="1288" t="s">
        <v>3</v>
      </c>
      <c r="D952" s="1287">
        <v>100</v>
      </c>
      <c r="E952" s="1287">
        <v>548.87</v>
      </c>
      <c r="F952" s="1287"/>
      <c r="G952" s="1286" t="s">
        <v>1353</v>
      </c>
      <c r="H952" s="34" t="s">
        <v>925</v>
      </c>
    </row>
    <row r="953" spans="1:8" ht="33">
      <c r="A953" s="1289">
        <v>1</v>
      </c>
      <c r="B953" s="1289" t="s">
        <v>1335</v>
      </c>
      <c r="C953" s="1288" t="s">
        <v>0</v>
      </c>
      <c r="D953" s="1287">
        <v>0.23</v>
      </c>
      <c r="E953" s="1287">
        <v>21460.42</v>
      </c>
      <c r="F953" s="1287">
        <v>4935.8999999999996</v>
      </c>
      <c r="G953" s="1286" t="s">
        <v>4926</v>
      </c>
      <c r="H953" s="34" t="s">
        <v>925</v>
      </c>
    </row>
    <row r="954" spans="1:8" ht="28.5">
      <c r="A954" s="1289">
        <v>2</v>
      </c>
      <c r="B954" s="1289" t="s">
        <v>1336</v>
      </c>
      <c r="C954" s="1288" t="s">
        <v>0</v>
      </c>
      <c r="D954" s="1287">
        <v>0.13</v>
      </c>
      <c r="E954" s="1287">
        <v>22851.38</v>
      </c>
      <c r="F954" s="1287">
        <v>2970.68</v>
      </c>
      <c r="G954" s="1286" t="s">
        <v>1337</v>
      </c>
    </row>
    <row r="955" spans="1:8" ht="33">
      <c r="A955" s="1289">
        <v>3</v>
      </c>
      <c r="B955" s="1289" t="s">
        <v>1338</v>
      </c>
      <c r="C955" s="1288" t="s">
        <v>3</v>
      </c>
      <c r="D955" s="1287">
        <v>33.299999999999997</v>
      </c>
      <c r="E955" s="1287">
        <v>83.46</v>
      </c>
      <c r="F955" s="1287">
        <v>2779.22</v>
      </c>
      <c r="G955" s="1286" t="s">
        <v>1339</v>
      </c>
      <c r="H955" s="34" t="s">
        <v>925</v>
      </c>
    </row>
    <row r="956" spans="1:8" ht="33">
      <c r="A956" s="1289">
        <v>4</v>
      </c>
      <c r="B956" s="1289" t="s">
        <v>1354</v>
      </c>
      <c r="C956" s="1288" t="s">
        <v>14</v>
      </c>
      <c r="D956" s="1287">
        <v>1</v>
      </c>
      <c r="E956" s="1287">
        <v>1390.95</v>
      </c>
      <c r="F956" s="1287">
        <v>1390.95</v>
      </c>
      <c r="G956" s="1286" t="s">
        <v>1355</v>
      </c>
      <c r="H956" s="34" t="s">
        <v>925</v>
      </c>
    </row>
    <row r="957" spans="1:8" ht="42.75">
      <c r="A957" s="1289">
        <v>5</v>
      </c>
      <c r="B957" s="1289" t="s">
        <v>4927</v>
      </c>
      <c r="C957" s="1288" t="s">
        <v>927</v>
      </c>
      <c r="D957" s="1287">
        <v>72</v>
      </c>
      <c r="E957" s="1287">
        <v>407.35</v>
      </c>
      <c r="F957" s="1287">
        <v>29329.200000000001</v>
      </c>
      <c r="G957" s="1286" t="s">
        <v>4928</v>
      </c>
      <c r="H957" s="34" t="s">
        <v>925</v>
      </c>
    </row>
    <row r="958" spans="1:8" ht="33">
      <c r="A958" s="1289">
        <v>6</v>
      </c>
      <c r="B958" s="1289" t="s">
        <v>4871</v>
      </c>
      <c r="C958" s="1288" t="s">
        <v>927</v>
      </c>
      <c r="D958" s="1287">
        <v>40</v>
      </c>
      <c r="E958" s="1287">
        <v>279.18</v>
      </c>
      <c r="F958" s="1287">
        <v>11167.2</v>
      </c>
      <c r="G958" s="1286" t="s">
        <v>4876</v>
      </c>
      <c r="H958" s="34" t="s">
        <v>925</v>
      </c>
    </row>
    <row r="959" spans="1:8" ht="33">
      <c r="A959" s="1289">
        <v>7</v>
      </c>
      <c r="B959" s="1289" t="s">
        <v>1342</v>
      </c>
      <c r="C959" s="1288" t="s">
        <v>18</v>
      </c>
      <c r="D959" s="1287">
        <v>10</v>
      </c>
      <c r="E959" s="1287">
        <v>35.770000000000003</v>
      </c>
      <c r="F959" s="1287">
        <v>357.7</v>
      </c>
      <c r="G959" s="1286" t="s">
        <v>1343</v>
      </c>
      <c r="H959" s="34" t="s">
        <v>925</v>
      </c>
    </row>
    <row r="960" spans="1:8" ht="33">
      <c r="A960" s="1289">
        <v>8</v>
      </c>
      <c r="B960" s="1289" t="s">
        <v>1344</v>
      </c>
      <c r="C960" s="1288" t="s">
        <v>18</v>
      </c>
      <c r="D960" s="1287">
        <v>10</v>
      </c>
      <c r="E960" s="1287">
        <v>35.770000000000003</v>
      </c>
      <c r="F960" s="1287">
        <v>357.7</v>
      </c>
      <c r="G960" s="1286" t="s">
        <v>1345</v>
      </c>
      <c r="H960" s="34" t="s">
        <v>925</v>
      </c>
    </row>
    <row r="961" spans="1:8" ht="33">
      <c r="A961" s="1289">
        <v>9</v>
      </c>
      <c r="B961" s="1289" t="s">
        <v>931</v>
      </c>
      <c r="C961" s="1288" t="s">
        <v>14</v>
      </c>
      <c r="D961" s="1287">
        <v>1</v>
      </c>
      <c r="E961" s="1287">
        <v>1598.66</v>
      </c>
      <c r="F961" s="1287">
        <v>1598.66</v>
      </c>
      <c r="G961" s="1286" t="s">
        <v>932</v>
      </c>
      <c r="H961" s="34" t="s">
        <v>925</v>
      </c>
    </row>
    <row r="962" spans="1:8" ht="33">
      <c r="A962" s="1289"/>
      <c r="B962" s="1289" t="s">
        <v>933</v>
      </c>
      <c r="C962" s="1288" t="s">
        <v>3</v>
      </c>
      <c r="D962" s="1287">
        <v>100</v>
      </c>
      <c r="E962" s="1287"/>
      <c r="F962" s="1287">
        <v>54887.209999999992</v>
      </c>
      <c r="G962" s="1286"/>
      <c r="H962" s="34" t="s">
        <v>925</v>
      </c>
    </row>
    <row r="963" spans="1:8" ht="16.5">
      <c r="A963" s="1289"/>
      <c r="B963" s="1289" t="s">
        <v>934</v>
      </c>
      <c r="C963" s="1288" t="s">
        <v>3</v>
      </c>
      <c r="D963" s="1287"/>
      <c r="E963" s="1287"/>
      <c r="F963" s="1287">
        <v>548.87</v>
      </c>
      <c r="G963" s="1286"/>
    </row>
    <row r="964" spans="1:8" ht="33">
      <c r="A964" s="1289"/>
      <c r="B964" s="1289"/>
      <c r="C964" s="1288"/>
      <c r="D964" s="1287"/>
      <c r="E964" s="1287"/>
      <c r="F964" s="1287"/>
      <c r="G964" s="1286"/>
      <c r="H964" s="34" t="s">
        <v>925</v>
      </c>
    </row>
    <row r="965" spans="1:8" ht="57">
      <c r="A965" s="1289" t="s">
        <v>1419</v>
      </c>
      <c r="B965" s="1289" t="s">
        <v>1389</v>
      </c>
      <c r="C965" s="1288" t="s">
        <v>3</v>
      </c>
      <c r="D965" s="1287">
        <v>100</v>
      </c>
      <c r="E965" s="1287">
        <v>686.52</v>
      </c>
      <c r="F965" s="1287"/>
      <c r="G965" s="1286" t="s">
        <v>1390</v>
      </c>
      <c r="H965" s="34" t="s">
        <v>925</v>
      </c>
    </row>
    <row r="966" spans="1:8" ht="33">
      <c r="A966" s="1289">
        <v>1</v>
      </c>
      <c r="B966" s="1289" t="s">
        <v>1335</v>
      </c>
      <c r="C966" s="1288" t="s">
        <v>0</v>
      </c>
      <c r="D966" s="1287">
        <v>0.23</v>
      </c>
      <c r="E966" s="1287">
        <v>21460.42</v>
      </c>
      <c r="F966" s="1287">
        <v>4935.8999999999996</v>
      </c>
      <c r="G966" s="1286" t="s">
        <v>4926</v>
      </c>
      <c r="H966" s="34" t="s">
        <v>925</v>
      </c>
    </row>
    <row r="967" spans="1:8" ht="33">
      <c r="A967" s="1289">
        <v>2</v>
      </c>
      <c r="B967" s="1289" t="s">
        <v>1336</v>
      </c>
      <c r="C967" s="1288" t="s">
        <v>0</v>
      </c>
      <c r="D967" s="1287">
        <v>0.13</v>
      </c>
      <c r="E967" s="1287">
        <v>22851.38</v>
      </c>
      <c r="F967" s="1287">
        <v>2970.68</v>
      </c>
      <c r="G967" s="1286" t="s">
        <v>1337</v>
      </c>
      <c r="H967" s="34" t="s">
        <v>925</v>
      </c>
    </row>
    <row r="968" spans="1:8" ht="33">
      <c r="A968" s="1289">
        <v>3</v>
      </c>
      <c r="B968" s="1289" t="s">
        <v>1338</v>
      </c>
      <c r="C968" s="1288" t="s">
        <v>3</v>
      </c>
      <c r="D968" s="1287">
        <v>33.299999999999997</v>
      </c>
      <c r="E968" s="1287">
        <v>83.46</v>
      </c>
      <c r="F968" s="1287">
        <v>2779.22</v>
      </c>
      <c r="G968" s="1286" t="s">
        <v>1339</v>
      </c>
      <c r="H968" s="34" t="s">
        <v>925</v>
      </c>
    </row>
    <row r="969" spans="1:8" ht="33">
      <c r="A969" s="1289">
        <v>4</v>
      </c>
      <c r="B969" s="1289" t="s">
        <v>1354</v>
      </c>
      <c r="C969" s="1288" t="s">
        <v>14</v>
      </c>
      <c r="D969" s="1287">
        <v>1</v>
      </c>
      <c r="E969" s="1287">
        <v>1390.95</v>
      </c>
      <c r="F969" s="1287">
        <v>1390.95</v>
      </c>
      <c r="G969" s="1286" t="s">
        <v>1355</v>
      </c>
      <c r="H969" s="34" t="s">
        <v>925</v>
      </c>
    </row>
    <row r="970" spans="1:8" ht="42.75">
      <c r="A970" s="1289">
        <v>5</v>
      </c>
      <c r="B970" s="1289" t="s">
        <v>4927</v>
      </c>
      <c r="C970" s="1288" t="s">
        <v>927</v>
      </c>
      <c r="D970" s="1287">
        <v>95.76</v>
      </c>
      <c r="E970" s="1287">
        <v>407.35</v>
      </c>
      <c r="F970" s="1287">
        <v>39007.839999999997</v>
      </c>
      <c r="G970" s="1286" t="s">
        <v>4928</v>
      </c>
      <c r="H970" s="34" t="s">
        <v>925</v>
      </c>
    </row>
    <row r="971" spans="1:8" ht="33">
      <c r="A971" s="1289">
        <v>6</v>
      </c>
      <c r="B971" s="1289" t="s">
        <v>4871</v>
      </c>
      <c r="C971" s="1288" t="s">
        <v>927</v>
      </c>
      <c r="D971" s="1287">
        <v>53.2</v>
      </c>
      <c r="E971" s="1287">
        <v>279.18</v>
      </c>
      <c r="F971" s="1287">
        <v>14852.38</v>
      </c>
      <c r="G971" s="1286" t="s">
        <v>4872</v>
      </c>
      <c r="H971" s="34" t="s">
        <v>925</v>
      </c>
    </row>
    <row r="972" spans="1:8" ht="28.5">
      <c r="A972" s="1289">
        <v>7</v>
      </c>
      <c r="B972" s="1289" t="s">
        <v>1342</v>
      </c>
      <c r="C972" s="1288" t="s">
        <v>18</v>
      </c>
      <c r="D972" s="1287">
        <v>10</v>
      </c>
      <c r="E972" s="1287">
        <v>35.770000000000003</v>
      </c>
      <c r="F972" s="1287">
        <v>357.7</v>
      </c>
      <c r="G972" s="1286" t="s">
        <v>1343</v>
      </c>
    </row>
    <row r="973" spans="1:8" ht="33">
      <c r="A973" s="1289">
        <v>8</v>
      </c>
      <c r="B973" s="1289" t="s">
        <v>1344</v>
      </c>
      <c r="C973" s="1288" t="s">
        <v>18</v>
      </c>
      <c r="D973" s="1287">
        <v>10</v>
      </c>
      <c r="E973" s="1287">
        <v>35.770000000000003</v>
      </c>
      <c r="F973" s="1287">
        <v>357.7</v>
      </c>
      <c r="G973" s="1286" t="s">
        <v>1345</v>
      </c>
      <c r="H973" s="34" t="s">
        <v>925</v>
      </c>
    </row>
    <row r="974" spans="1:8" ht="33">
      <c r="A974" s="1289">
        <v>9</v>
      </c>
      <c r="B974" s="1289" t="s">
        <v>931</v>
      </c>
      <c r="C974" s="1288" t="s">
        <v>14</v>
      </c>
      <c r="D974" s="1287">
        <v>1</v>
      </c>
      <c r="E974" s="1287">
        <v>1999.57</v>
      </c>
      <c r="F974" s="1287">
        <v>1999.57</v>
      </c>
      <c r="G974" s="1286" t="s">
        <v>932</v>
      </c>
      <c r="H974" s="34" t="s">
        <v>925</v>
      </c>
    </row>
    <row r="975" spans="1:8" ht="33">
      <c r="A975" s="1289"/>
      <c r="B975" s="1289" t="s">
        <v>933</v>
      </c>
      <c r="C975" s="1288" t="s">
        <v>3</v>
      </c>
      <c r="D975" s="1287">
        <v>100</v>
      </c>
      <c r="E975" s="1287"/>
      <c r="F975" s="1287">
        <v>68651.94</v>
      </c>
      <c r="G975" s="1286"/>
      <c r="H975" s="34" t="s">
        <v>925</v>
      </c>
    </row>
    <row r="976" spans="1:8" ht="33">
      <c r="A976" s="1289"/>
      <c r="B976" s="1289" t="s">
        <v>934</v>
      </c>
      <c r="C976" s="1288" t="s">
        <v>3</v>
      </c>
      <c r="D976" s="1287"/>
      <c r="E976" s="1287"/>
      <c r="F976" s="1287">
        <v>686.52</v>
      </c>
      <c r="G976" s="1286"/>
      <c r="H976" s="34" t="s">
        <v>925</v>
      </c>
    </row>
    <row r="977" spans="1:8" ht="33">
      <c r="A977" s="1289"/>
      <c r="B977" s="1289"/>
      <c r="C977" s="1288"/>
      <c r="D977" s="1287"/>
      <c r="E977" s="1287"/>
      <c r="F977" s="1287"/>
      <c r="G977" s="1286"/>
      <c r="H977" s="34" t="s">
        <v>925</v>
      </c>
    </row>
    <row r="978" spans="1:8" ht="33">
      <c r="A978" s="1289" t="s">
        <v>1424</v>
      </c>
      <c r="B978" s="1289" t="s">
        <v>4531</v>
      </c>
      <c r="C978" s="1288" t="s">
        <v>3</v>
      </c>
      <c r="D978" s="1287">
        <v>100</v>
      </c>
      <c r="E978" s="1287">
        <v>1091.1199999999999</v>
      </c>
      <c r="F978" s="1287"/>
      <c r="G978" s="1286" t="s">
        <v>4929</v>
      </c>
      <c r="H978" s="34" t="s">
        <v>925</v>
      </c>
    </row>
    <row r="979" spans="1:8" ht="33">
      <c r="A979" s="1289">
        <v>1</v>
      </c>
      <c r="B979" s="1289" t="s">
        <v>1335</v>
      </c>
      <c r="C979" s="1288" t="s">
        <v>0</v>
      </c>
      <c r="D979" s="1287">
        <v>0.23</v>
      </c>
      <c r="E979" s="1287">
        <v>21460.42</v>
      </c>
      <c r="F979" s="1287">
        <v>4935.8999999999996</v>
      </c>
      <c r="G979" s="1286" t="s">
        <v>4926</v>
      </c>
      <c r="H979" s="34" t="s">
        <v>925</v>
      </c>
    </row>
    <row r="980" spans="1:8" ht="33">
      <c r="A980" s="1289">
        <v>2</v>
      </c>
      <c r="B980" s="1289" t="s">
        <v>1336</v>
      </c>
      <c r="C980" s="1288" t="s">
        <v>0</v>
      </c>
      <c r="D980" s="1287">
        <v>0.13</v>
      </c>
      <c r="E980" s="1287">
        <v>22851.38</v>
      </c>
      <c r="F980" s="1287">
        <v>2970.68</v>
      </c>
      <c r="G980" s="1286" t="s">
        <v>1337</v>
      </c>
      <c r="H980" s="34" t="s">
        <v>925</v>
      </c>
    </row>
    <row r="981" spans="1:8" ht="28.5">
      <c r="A981" s="1289">
        <v>3</v>
      </c>
      <c r="B981" s="1289" t="s">
        <v>1338</v>
      </c>
      <c r="C981" s="1288" t="s">
        <v>3</v>
      </c>
      <c r="D981" s="1287">
        <v>33.299999999999997</v>
      </c>
      <c r="E981" s="1287">
        <v>83.46</v>
      </c>
      <c r="F981" s="1287">
        <v>2779.22</v>
      </c>
      <c r="G981" s="1286" t="s">
        <v>1339</v>
      </c>
    </row>
    <row r="982" spans="1:8" ht="33">
      <c r="A982" s="1289">
        <v>4</v>
      </c>
      <c r="B982" s="1289" t="s">
        <v>1354</v>
      </c>
      <c r="C982" s="1288" t="s">
        <v>14</v>
      </c>
      <c r="D982" s="1287">
        <v>1</v>
      </c>
      <c r="E982" s="1287">
        <v>1390.95</v>
      </c>
      <c r="F982" s="1287">
        <v>1390.95</v>
      </c>
      <c r="G982" s="1286" t="s">
        <v>1355</v>
      </c>
      <c r="H982" s="34" t="s">
        <v>925</v>
      </c>
    </row>
    <row r="983" spans="1:8" ht="42.75">
      <c r="A983" s="1289">
        <v>5</v>
      </c>
      <c r="B983" s="1289" t="s">
        <v>4930</v>
      </c>
      <c r="C983" s="1288" t="s">
        <v>927</v>
      </c>
      <c r="D983" s="1287">
        <v>82.8</v>
      </c>
      <c r="E983" s="1287">
        <v>814.7</v>
      </c>
      <c r="F983" s="1287">
        <v>67457.16</v>
      </c>
      <c r="G983" s="1286" t="s">
        <v>4931</v>
      </c>
      <c r="H983" s="34" t="s">
        <v>925</v>
      </c>
    </row>
    <row r="984" spans="1:8" ht="42.75">
      <c r="A984" s="1289">
        <v>6</v>
      </c>
      <c r="B984" s="1289" t="s">
        <v>4874</v>
      </c>
      <c r="C984" s="1288" t="s">
        <v>927</v>
      </c>
      <c r="D984" s="1287">
        <v>46</v>
      </c>
      <c r="E984" s="1287">
        <v>558.37</v>
      </c>
      <c r="F984" s="1287">
        <v>25685.02</v>
      </c>
      <c r="G984" s="1286" t="s">
        <v>4875</v>
      </c>
      <c r="H984" s="34" t="s">
        <v>925</v>
      </c>
    </row>
    <row r="985" spans="1:8" ht="33">
      <c r="A985" s="1289">
        <v>7</v>
      </c>
      <c r="B985" s="1289" t="s">
        <v>1342</v>
      </c>
      <c r="C985" s="1288" t="s">
        <v>18</v>
      </c>
      <c r="D985" s="1287">
        <v>10</v>
      </c>
      <c r="E985" s="1287">
        <v>35.770000000000003</v>
      </c>
      <c r="F985" s="1287">
        <v>357.7</v>
      </c>
      <c r="G985" s="1286" t="s">
        <v>1343</v>
      </c>
      <c r="H985" s="34" t="s">
        <v>925</v>
      </c>
    </row>
    <row r="986" spans="1:8" ht="33">
      <c r="A986" s="1289">
        <v>8</v>
      </c>
      <c r="B986" s="1289" t="s">
        <v>1344</v>
      </c>
      <c r="C986" s="1288" t="s">
        <v>18</v>
      </c>
      <c r="D986" s="1287">
        <v>10</v>
      </c>
      <c r="E986" s="1287">
        <v>35.770000000000003</v>
      </c>
      <c r="F986" s="1287">
        <v>357.7</v>
      </c>
      <c r="G986" s="1286" t="s">
        <v>1345</v>
      </c>
      <c r="H986" s="34" t="s">
        <v>925</v>
      </c>
    </row>
    <row r="987" spans="1:8" ht="33">
      <c r="A987" s="1289">
        <v>9</v>
      </c>
      <c r="B987" s="1289" t="s">
        <v>931</v>
      </c>
      <c r="C987" s="1288" t="s">
        <v>14</v>
      </c>
      <c r="D987" s="1287">
        <v>1</v>
      </c>
      <c r="E987" s="1287">
        <v>3178.03</v>
      </c>
      <c r="F987" s="1287">
        <v>3178.03</v>
      </c>
      <c r="G987" s="1286" t="s">
        <v>932</v>
      </c>
      <c r="H987" s="34" t="s">
        <v>925</v>
      </c>
    </row>
    <row r="988" spans="1:8" ht="33">
      <c r="A988" s="1289"/>
      <c r="B988" s="1289" t="s">
        <v>933</v>
      </c>
      <c r="C988" s="1288" t="s">
        <v>3</v>
      </c>
      <c r="D988" s="1287">
        <v>100</v>
      </c>
      <c r="E988" s="1287"/>
      <c r="F988" s="1287">
        <v>109112.36</v>
      </c>
      <c r="G988" s="1286"/>
      <c r="H988" s="34" t="s">
        <v>925</v>
      </c>
    </row>
    <row r="989" spans="1:8" ht="33">
      <c r="A989" s="1289"/>
      <c r="B989" s="1289" t="s">
        <v>934</v>
      </c>
      <c r="C989" s="1288" t="s">
        <v>3</v>
      </c>
      <c r="D989" s="1287"/>
      <c r="E989" s="1287"/>
      <c r="F989" s="1287">
        <v>1091.1199999999999</v>
      </c>
      <c r="G989" s="1286"/>
      <c r="H989" s="34" t="s">
        <v>925</v>
      </c>
    </row>
    <row r="990" spans="1:8" ht="16.5">
      <c r="A990" s="1289"/>
      <c r="B990" s="1289"/>
      <c r="C990" s="1288"/>
      <c r="D990" s="1287"/>
      <c r="E990" s="1287"/>
      <c r="F990" s="1287"/>
      <c r="G990" s="1286"/>
    </row>
    <row r="991" spans="1:8" ht="42.75">
      <c r="A991" s="1289" t="s">
        <v>1429</v>
      </c>
      <c r="B991" s="1289" t="s">
        <v>1357</v>
      </c>
      <c r="C991" s="1288" t="s">
        <v>3</v>
      </c>
      <c r="D991" s="1287">
        <v>10</v>
      </c>
      <c r="E991" s="1287">
        <v>653.63</v>
      </c>
      <c r="F991" s="1287"/>
      <c r="G991" s="1286" t="s">
        <v>1358</v>
      </c>
      <c r="H991" s="34" t="s">
        <v>925</v>
      </c>
    </row>
    <row r="992" spans="1:8" ht="33">
      <c r="A992" s="1289">
        <v>1</v>
      </c>
      <c r="B992" s="1289" t="s">
        <v>1335</v>
      </c>
      <c r="C992" s="1288" t="s">
        <v>0</v>
      </c>
      <c r="D992" s="1287">
        <v>0.03</v>
      </c>
      <c r="E992" s="1287">
        <v>21460.42</v>
      </c>
      <c r="F992" s="1287">
        <v>643.80999999999995</v>
      </c>
      <c r="G992" s="1286" t="s">
        <v>4926</v>
      </c>
      <c r="H992" s="34" t="s">
        <v>925</v>
      </c>
    </row>
    <row r="993" spans="1:8" ht="33">
      <c r="A993" s="1289">
        <v>2</v>
      </c>
      <c r="B993" s="1289" t="s">
        <v>1336</v>
      </c>
      <c r="C993" s="1288" t="s">
        <v>0</v>
      </c>
      <c r="D993" s="1287">
        <v>0.02</v>
      </c>
      <c r="E993" s="1287">
        <v>22851.38</v>
      </c>
      <c r="F993" s="1287">
        <v>457.03</v>
      </c>
      <c r="G993" s="1286" t="s">
        <v>1337</v>
      </c>
      <c r="H993" s="34" t="s">
        <v>925</v>
      </c>
    </row>
    <row r="994" spans="1:8" ht="33">
      <c r="A994" s="1289">
        <v>3</v>
      </c>
      <c r="B994" s="1289" t="s">
        <v>1349</v>
      </c>
      <c r="C994" s="1288" t="s">
        <v>14</v>
      </c>
      <c r="D994" s="1287">
        <v>1</v>
      </c>
      <c r="E994" s="1287">
        <v>230.5</v>
      </c>
      <c r="F994" s="1287">
        <v>230.5</v>
      </c>
      <c r="G994" s="1286" t="s">
        <v>1350</v>
      </c>
      <c r="H994" s="34" t="s">
        <v>925</v>
      </c>
    </row>
    <row r="995" spans="1:8" ht="42.75">
      <c r="A995" s="1289">
        <v>4</v>
      </c>
      <c r="B995" s="1289" t="s">
        <v>4927</v>
      </c>
      <c r="C995" s="1288" t="s">
        <v>927</v>
      </c>
      <c r="D995" s="1287">
        <v>7.2</v>
      </c>
      <c r="E995" s="1287">
        <v>407.35</v>
      </c>
      <c r="F995" s="1287">
        <v>2932.92</v>
      </c>
      <c r="G995" s="1286" t="s">
        <v>4928</v>
      </c>
      <c r="H995" s="34" t="s">
        <v>925</v>
      </c>
    </row>
    <row r="996" spans="1:8" ht="33">
      <c r="A996" s="1289">
        <v>5</v>
      </c>
      <c r="B996" s="1289" t="s">
        <v>4871</v>
      </c>
      <c r="C996" s="1288" t="s">
        <v>927</v>
      </c>
      <c r="D996" s="1287">
        <v>7.2</v>
      </c>
      <c r="E996" s="1287">
        <v>279.18</v>
      </c>
      <c r="F996" s="1287">
        <v>2010.1</v>
      </c>
      <c r="G996" s="1286" t="s">
        <v>4876</v>
      </c>
      <c r="H996" s="34" t="s">
        <v>925</v>
      </c>
    </row>
    <row r="997" spans="1:8" ht="33">
      <c r="A997" s="1289">
        <v>6</v>
      </c>
      <c r="B997" s="1289" t="s">
        <v>1342</v>
      </c>
      <c r="C997" s="1288" t="s">
        <v>18</v>
      </c>
      <c r="D997" s="1287">
        <v>1</v>
      </c>
      <c r="E997" s="1287">
        <v>35.770000000000003</v>
      </c>
      <c r="F997" s="1287">
        <v>35.770000000000003</v>
      </c>
      <c r="G997" s="1286" t="s">
        <v>1343</v>
      </c>
      <c r="H997" s="34" t="s">
        <v>925</v>
      </c>
    </row>
    <row r="998" spans="1:8" ht="33">
      <c r="A998" s="1289">
        <v>7</v>
      </c>
      <c r="B998" s="1289" t="s">
        <v>1344</v>
      </c>
      <c r="C998" s="1288" t="s">
        <v>18</v>
      </c>
      <c r="D998" s="1287">
        <v>1</v>
      </c>
      <c r="E998" s="1287">
        <v>35.770000000000003</v>
      </c>
      <c r="F998" s="1287">
        <v>35.770000000000003</v>
      </c>
      <c r="G998" s="1286" t="s">
        <v>1345</v>
      </c>
      <c r="H998" s="34" t="s">
        <v>925</v>
      </c>
    </row>
    <row r="999" spans="1:8" ht="28.5">
      <c r="A999" s="1289">
        <v>8</v>
      </c>
      <c r="B999" s="1289" t="s">
        <v>931</v>
      </c>
      <c r="C999" s="1288" t="s">
        <v>14</v>
      </c>
      <c r="D999" s="1287">
        <v>1</v>
      </c>
      <c r="E999" s="1287">
        <v>190.38</v>
      </c>
      <c r="F999" s="1287">
        <v>190.38</v>
      </c>
      <c r="G999" s="1286" t="s">
        <v>932</v>
      </c>
    </row>
    <row r="1000" spans="1:8" ht="33">
      <c r="A1000" s="1289"/>
      <c r="B1000" s="1289" t="s">
        <v>933</v>
      </c>
      <c r="C1000" s="1288" t="s">
        <v>3</v>
      </c>
      <c r="D1000" s="1287">
        <v>10</v>
      </c>
      <c r="E1000" s="1287"/>
      <c r="F1000" s="1287">
        <v>6536.2800000000016</v>
      </c>
      <c r="G1000" s="1286"/>
      <c r="H1000" s="34" t="s">
        <v>925</v>
      </c>
    </row>
    <row r="1001" spans="1:8" ht="33">
      <c r="A1001" s="1289"/>
      <c r="B1001" s="1289" t="s">
        <v>934</v>
      </c>
      <c r="C1001" s="1288" t="s">
        <v>3</v>
      </c>
      <c r="D1001" s="1287"/>
      <c r="E1001" s="1287"/>
      <c r="F1001" s="1287">
        <v>653.63</v>
      </c>
      <c r="G1001" s="1286"/>
      <c r="H1001" s="34" t="s">
        <v>925</v>
      </c>
    </row>
    <row r="1002" spans="1:8" ht="33">
      <c r="A1002" s="1289"/>
      <c r="B1002" s="1289"/>
      <c r="C1002" s="1288"/>
      <c r="D1002" s="1287"/>
      <c r="E1002" s="1287"/>
      <c r="F1002" s="1287"/>
      <c r="G1002" s="1286"/>
      <c r="H1002" s="34" t="s">
        <v>925</v>
      </c>
    </row>
    <row r="1003" spans="1:8" ht="85.5">
      <c r="A1003" s="1289" t="s">
        <v>1430</v>
      </c>
      <c r="B1003" s="1289" t="s">
        <v>1392</v>
      </c>
      <c r="C1003" s="1288" t="s">
        <v>3</v>
      </c>
      <c r="D1003" s="1287">
        <v>10</v>
      </c>
      <c r="E1003" s="1287">
        <v>821.92</v>
      </c>
      <c r="F1003" s="1287"/>
      <c r="G1003" s="1286" t="s">
        <v>1393</v>
      </c>
      <c r="H1003" s="34" t="s">
        <v>925</v>
      </c>
    </row>
    <row r="1004" spans="1:8" ht="33">
      <c r="A1004" s="1289">
        <v>1</v>
      </c>
      <c r="B1004" s="1289" t="s">
        <v>1335</v>
      </c>
      <c r="C1004" s="1288" t="s">
        <v>0</v>
      </c>
      <c r="D1004" s="1287">
        <v>0.03</v>
      </c>
      <c r="E1004" s="1287">
        <v>21460.42</v>
      </c>
      <c r="F1004" s="1287">
        <v>643.80999999999995</v>
      </c>
      <c r="G1004" s="1286" t="s">
        <v>4926</v>
      </c>
      <c r="H1004" s="34" t="s">
        <v>925</v>
      </c>
    </row>
    <row r="1005" spans="1:8" ht="33">
      <c r="A1005" s="1289">
        <v>2</v>
      </c>
      <c r="B1005" s="1289" t="s">
        <v>1336</v>
      </c>
      <c r="C1005" s="1288" t="s">
        <v>0</v>
      </c>
      <c r="D1005" s="1287">
        <v>0.02</v>
      </c>
      <c r="E1005" s="1287">
        <v>22851.38</v>
      </c>
      <c r="F1005" s="1287">
        <v>457.03</v>
      </c>
      <c r="G1005" s="1286" t="s">
        <v>1337</v>
      </c>
      <c r="H1005" s="34" t="s">
        <v>925</v>
      </c>
    </row>
    <row r="1006" spans="1:8" ht="33">
      <c r="A1006" s="1289">
        <v>3</v>
      </c>
      <c r="B1006" s="1289" t="s">
        <v>1349</v>
      </c>
      <c r="C1006" s="1288" t="s">
        <v>14</v>
      </c>
      <c r="D1006" s="1287">
        <v>1</v>
      </c>
      <c r="E1006" s="1287">
        <v>230.5</v>
      </c>
      <c r="F1006" s="1287">
        <v>230.5</v>
      </c>
      <c r="G1006" s="1286" t="s">
        <v>1350</v>
      </c>
      <c r="H1006" s="34" t="s">
        <v>925</v>
      </c>
    </row>
    <row r="1007" spans="1:8" ht="42.75">
      <c r="A1007" s="1289">
        <v>4</v>
      </c>
      <c r="B1007" s="1289" t="s">
        <v>4927</v>
      </c>
      <c r="C1007" s="1288" t="s">
        <v>927</v>
      </c>
      <c r="D1007" s="1287">
        <v>9.58</v>
      </c>
      <c r="E1007" s="1287">
        <v>407.35</v>
      </c>
      <c r="F1007" s="1287">
        <v>3902.41</v>
      </c>
      <c r="G1007" s="1286" t="s">
        <v>4928</v>
      </c>
      <c r="H1007" s="34" t="s">
        <v>925</v>
      </c>
    </row>
    <row r="1008" spans="1:8" ht="28.5">
      <c r="A1008" s="1289">
        <v>5</v>
      </c>
      <c r="B1008" s="1289" t="s">
        <v>4871</v>
      </c>
      <c r="C1008" s="1288" t="s">
        <v>927</v>
      </c>
      <c r="D1008" s="1287">
        <v>9.58</v>
      </c>
      <c r="E1008" s="1287">
        <v>279.18</v>
      </c>
      <c r="F1008" s="1287">
        <v>2674.54</v>
      </c>
      <c r="G1008" s="1286" t="s">
        <v>4872</v>
      </c>
    </row>
    <row r="1009" spans="1:8" ht="33">
      <c r="A1009" s="1289">
        <v>6</v>
      </c>
      <c r="B1009" s="1289" t="s">
        <v>1342</v>
      </c>
      <c r="C1009" s="1288" t="s">
        <v>18</v>
      </c>
      <c r="D1009" s="1287">
        <v>1</v>
      </c>
      <c r="E1009" s="1287">
        <v>35.770000000000003</v>
      </c>
      <c r="F1009" s="1287">
        <v>35.770000000000003</v>
      </c>
      <c r="G1009" s="1286" t="s">
        <v>1343</v>
      </c>
      <c r="H1009" s="34" t="s">
        <v>925</v>
      </c>
    </row>
    <row r="1010" spans="1:8" ht="33">
      <c r="A1010" s="1289">
        <v>7</v>
      </c>
      <c r="B1010" s="1289" t="s">
        <v>1344</v>
      </c>
      <c r="C1010" s="1288" t="s">
        <v>18</v>
      </c>
      <c r="D1010" s="1287">
        <v>1</v>
      </c>
      <c r="E1010" s="1287">
        <v>35.770000000000003</v>
      </c>
      <c r="F1010" s="1287">
        <v>35.770000000000003</v>
      </c>
      <c r="G1010" s="1286" t="s">
        <v>1345</v>
      </c>
      <c r="H1010" s="34" t="s">
        <v>925</v>
      </c>
    </row>
    <row r="1011" spans="1:8" ht="33">
      <c r="A1011" s="1289">
        <v>8</v>
      </c>
      <c r="B1011" s="1289" t="s">
        <v>931</v>
      </c>
      <c r="C1011" s="1288" t="s">
        <v>14</v>
      </c>
      <c r="D1011" s="1287">
        <v>1</v>
      </c>
      <c r="E1011" s="1287">
        <v>239.39</v>
      </c>
      <c r="F1011" s="1287">
        <v>239.39</v>
      </c>
      <c r="G1011" s="1286" t="s">
        <v>932</v>
      </c>
      <c r="H1011" s="34" t="s">
        <v>925</v>
      </c>
    </row>
    <row r="1012" spans="1:8" ht="33">
      <c r="A1012" s="1289"/>
      <c r="B1012" s="1289" t="s">
        <v>933</v>
      </c>
      <c r="C1012" s="1288" t="s">
        <v>3</v>
      </c>
      <c r="D1012" s="1287">
        <v>10</v>
      </c>
      <c r="E1012" s="1287"/>
      <c r="F1012" s="1287">
        <v>8219.2200000000012</v>
      </c>
      <c r="G1012" s="1286"/>
      <c r="H1012" s="34" t="s">
        <v>925</v>
      </c>
    </row>
    <row r="1013" spans="1:8" ht="33">
      <c r="A1013" s="1289"/>
      <c r="B1013" s="1289" t="s">
        <v>934</v>
      </c>
      <c r="C1013" s="1288" t="s">
        <v>3</v>
      </c>
      <c r="D1013" s="1287"/>
      <c r="E1013" s="1287"/>
      <c r="F1013" s="1287">
        <v>821.92</v>
      </c>
      <c r="G1013" s="1286"/>
      <c r="H1013" s="34" t="s">
        <v>925</v>
      </c>
    </row>
    <row r="1014" spans="1:8" ht="33">
      <c r="A1014" s="1289"/>
      <c r="B1014" s="1289"/>
      <c r="C1014" s="1288"/>
      <c r="D1014" s="1287"/>
      <c r="E1014" s="1287"/>
      <c r="F1014" s="1287"/>
      <c r="G1014" s="1286"/>
      <c r="H1014" s="34" t="s">
        <v>925</v>
      </c>
    </row>
    <row r="1015" spans="1:8" ht="42.75">
      <c r="A1015" s="1289" t="s">
        <v>1432</v>
      </c>
      <c r="B1015" s="1289" t="s">
        <v>1360</v>
      </c>
      <c r="C1015" s="1288" t="s">
        <v>3</v>
      </c>
      <c r="D1015" s="1287">
        <v>10</v>
      </c>
      <c r="E1015" s="1287">
        <v>416.42</v>
      </c>
      <c r="F1015" s="1287"/>
      <c r="G1015" s="1286" t="s">
        <v>1361</v>
      </c>
      <c r="H1015" s="34" t="s">
        <v>925</v>
      </c>
    </row>
    <row r="1016" spans="1:8" ht="33">
      <c r="A1016" s="1289">
        <v>1</v>
      </c>
      <c r="B1016" s="1289" t="s">
        <v>1335</v>
      </c>
      <c r="C1016" s="1288" t="s">
        <v>0</v>
      </c>
      <c r="D1016" s="1287">
        <v>0.02</v>
      </c>
      <c r="E1016" s="1287">
        <v>21460.42</v>
      </c>
      <c r="F1016" s="1287">
        <v>429.21</v>
      </c>
      <c r="G1016" s="1286" t="s">
        <v>4926</v>
      </c>
      <c r="H1016" s="34" t="s">
        <v>925</v>
      </c>
    </row>
    <row r="1017" spans="1:8" ht="28.5">
      <c r="A1017" s="1289">
        <v>2</v>
      </c>
      <c r="B1017" s="1289" t="s">
        <v>1336</v>
      </c>
      <c r="C1017" s="1288" t="s">
        <v>0</v>
      </c>
      <c r="D1017" s="1287">
        <v>0.01</v>
      </c>
      <c r="E1017" s="1287">
        <v>22851.38</v>
      </c>
      <c r="F1017" s="1287">
        <v>228.51</v>
      </c>
      <c r="G1017" s="1286" t="s">
        <v>1337</v>
      </c>
    </row>
    <row r="1018" spans="1:8" ht="33">
      <c r="A1018" s="1289">
        <v>3</v>
      </c>
      <c r="B1018" s="1289" t="s">
        <v>1354</v>
      </c>
      <c r="C1018" s="1288" t="s">
        <v>14</v>
      </c>
      <c r="D1018" s="1287">
        <v>1</v>
      </c>
      <c r="E1018" s="1287">
        <v>139.1</v>
      </c>
      <c r="F1018" s="1287">
        <v>139.1</v>
      </c>
      <c r="G1018" s="1286" t="s">
        <v>1355</v>
      </c>
      <c r="H1018" s="34" t="s">
        <v>925</v>
      </c>
    </row>
    <row r="1019" spans="1:8" ht="42.75">
      <c r="A1019" s="1289">
        <v>4</v>
      </c>
      <c r="B1019" s="1289" t="s">
        <v>4927</v>
      </c>
      <c r="C1019" s="1288" t="s">
        <v>927</v>
      </c>
      <c r="D1019" s="1287">
        <v>5.6</v>
      </c>
      <c r="E1019" s="1287">
        <v>407.35</v>
      </c>
      <c r="F1019" s="1287">
        <v>2281.16</v>
      </c>
      <c r="G1019" s="1286" t="s">
        <v>4928</v>
      </c>
      <c r="H1019" s="34" t="s">
        <v>925</v>
      </c>
    </row>
    <row r="1020" spans="1:8" ht="33">
      <c r="A1020" s="1289">
        <v>5</v>
      </c>
      <c r="B1020" s="1289" t="s">
        <v>4871</v>
      </c>
      <c r="C1020" s="1288" t="s">
        <v>927</v>
      </c>
      <c r="D1020" s="1287">
        <v>3.2</v>
      </c>
      <c r="E1020" s="1287">
        <v>279.18</v>
      </c>
      <c r="F1020" s="1287">
        <v>893.38</v>
      </c>
      <c r="G1020" s="1286" t="s">
        <v>4876</v>
      </c>
      <c r="H1020" s="34" t="s">
        <v>925</v>
      </c>
    </row>
    <row r="1021" spans="1:8" ht="33">
      <c r="A1021" s="1289">
        <v>6</v>
      </c>
      <c r="B1021" s="1289" t="s">
        <v>1342</v>
      </c>
      <c r="C1021" s="1288" t="s">
        <v>18</v>
      </c>
      <c r="D1021" s="1287">
        <v>1</v>
      </c>
      <c r="E1021" s="1287">
        <v>35.770000000000003</v>
      </c>
      <c r="F1021" s="1287">
        <v>35.770000000000003</v>
      </c>
      <c r="G1021" s="1286" t="s">
        <v>1343</v>
      </c>
      <c r="H1021" s="34" t="s">
        <v>925</v>
      </c>
    </row>
    <row r="1022" spans="1:8" ht="33">
      <c r="A1022" s="1289">
        <v>7</v>
      </c>
      <c r="B1022" s="1289" t="s">
        <v>1344</v>
      </c>
      <c r="C1022" s="1288" t="s">
        <v>18</v>
      </c>
      <c r="D1022" s="1287">
        <v>1</v>
      </c>
      <c r="E1022" s="1287">
        <v>35.770000000000003</v>
      </c>
      <c r="F1022" s="1287">
        <v>35.770000000000003</v>
      </c>
      <c r="G1022" s="1286" t="s">
        <v>1345</v>
      </c>
      <c r="H1022" s="34" t="s">
        <v>925</v>
      </c>
    </row>
    <row r="1023" spans="1:8" ht="33">
      <c r="A1023" s="1289">
        <v>8</v>
      </c>
      <c r="B1023" s="1289" t="s">
        <v>931</v>
      </c>
      <c r="C1023" s="1288" t="s">
        <v>14</v>
      </c>
      <c r="D1023" s="1287">
        <v>1</v>
      </c>
      <c r="E1023" s="1287">
        <v>121.29</v>
      </c>
      <c r="F1023" s="1287">
        <v>121.29</v>
      </c>
      <c r="G1023" s="1286" t="s">
        <v>932</v>
      </c>
      <c r="H1023" s="34" t="s">
        <v>925</v>
      </c>
    </row>
    <row r="1024" spans="1:8" ht="33">
      <c r="A1024" s="1289"/>
      <c r="B1024" s="1289" t="s">
        <v>933</v>
      </c>
      <c r="C1024" s="1288" t="s">
        <v>3</v>
      </c>
      <c r="D1024" s="1287">
        <v>10</v>
      </c>
      <c r="E1024" s="1287"/>
      <c r="F1024" s="1287">
        <v>4164.1900000000005</v>
      </c>
      <c r="G1024" s="1286"/>
      <c r="H1024" s="34" t="s">
        <v>925</v>
      </c>
    </row>
    <row r="1025" spans="1:8" ht="33">
      <c r="A1025" s="1289"/>
      <c r="B1025" s="1289" t="s">
        <v>934</v>
      </c>
      <c r="C1025" s="1288" t="s">
        <v>3</v>
      </c>
      <c r="D1025" s="1287"/>
      <c r="E1025" s="1287"/>
      <c r="F1025" s="1287">
        <v>416.42</v>
      </c>
      <c r="G1025" s="1286"/>
      <c r="H1025" s="34" t="s">
        <v>925</v>
      </c>
    </row>
    <row r="1026" spans="1:8" ht="16.5">
      <c r="A1026" s="1289"/>
      <c r="B1026" s="1289"/>
      <c r="C1026" s="1288"/>
      <c r="D1026" s="1287"/>
      <c r="E1026" s="1287"/>
      <c r="F1026" s="1287"/>
      <c r="G1026" s="1286"/>
    </row>
    <row r="1027" spans="1:8" ht="71.25">
      <c r="A1027" s="1289" t="s">
        <v>1434</v>
      </c>
      <c r="B1027" s="1289" t="s">
        <v>1395</v>
      </c>
      <c r="C1027" s="1288" t="s">
        <v>3</v>
      </c>
      <c r="D1027" s="1287">
        <v>10</v>
      </c>
      <c r="E1027" s="1287">
        <v>524.52</v>
      </c>
      <c r="F1027" s="1287"/>
      <c r="G1027" s="1286" t="s">
        <v>1396</v>
      </c>
      <c r="H1027" s="34" t="s">
        <v>925</v>
      </c>
    </row>
    <row r="1028" spans="1:8" ht="33">
      <c r="A1028" s="1289">
        <v>1</v>
      </c>
      <c r="B1028" s="1289" t="s">
        <v>1335</v>
      </c>
      <c r="C1028" s="1288" t="s">
        <v>0</v>
      </c>
      <c r="D1028" s="1287">
        <v>0.02</v>
      </c>
      <c r="E1028" s="1287">
        <v>21460.42</v>
      </c>
      <c r="F1028" s="1287">
        <v>429.21</v>
      </c>
      <c r="G1028" s="1286" t="s">
        <v>4926</v>
      </c>
      <c r="H1028" s="34" t="s">
        <v>925</v>
      </c>
    </row>
    <row r="1029" spans="1:8" ht="33">
      <c r="A1029" s="1289">
        <v>2</v>
      </c>
      <c r="B1029" s="1289" t="s">
        <v>1336</v>
      </c>
      <c r="C1029" s="1288" t="s">
        <v>0</v>
      </c>
      <c r="D1029" s="1287">
        <v>0.01</v>
      </c>
      <c r="E1029" s="1287">
        <v>22851.38</v>
      </c>
      <c r="F1029" s="1287">
        <v>228.51</v>
      </c>
      <c r="G1029" s="1286" t="s">
        <v>1337</v>
      </c>
      <c r="H1029" s="34" t="s">
        <v>925</v>
      </c>
    </row>
    <row r="1030" spans="1:8" ht="33">
      <c r="A1030" s="1289">
        <v>3</v>
      </c>
      <c r="B1030" s="1289" t="s">
        <v>1354</v>
      </c>
      <c r="C1030" s="1288" t="s">
        <v>14</v>
      </c>
      <c r="D1030" s="1287">
        <v>1</v>
      </c>
      <c r="E1030" s="1287">
        <v>139.1</v>
      </c>
      <c r="F1030" s="1287">
        <v>139.1</v>
      </c>
      <c r="G1030" s="1286" t="s">
        <v>1355</v>
      </c>
      <c r="H1030" s="34" t="s">
        <v>925</v>
      </c>
    </row>
    <row r="1031" spans="1:8" ht="42.75">
      <c r="A1031" s="1289">
        <v>4</v>
      </c>
      <c r="B1031" s="1289" t="s">
        <v>4927</v>
      </c>
      <c r="C1031" s="1288" t="s">
        <v>927</v>
      </c>
      <c r="D1031" s="1287">
        <v>7.45</v>
      </c>
      <c r="E1031" s="1287">
        <v>407.35</v>
      </c>
      <c r="F1031" s="1287">
        <v>3034.76</v>
      </c>
      <c r="G1031" s="1286" t="s">
        <v>4928</v>
      </c>
      <c r="H1031" s="34" t="s">
        <v>925</v>
      </c>
    </row>
    <row r="1032" spans="1:8" ht="33">
      <c r="A1032" s="1289">
        <v>5</v>
      </c>
      <c r="B1032" s="1289" t="s">
        <v>4871</v>
      </c>
      <c r="C1032" s="1288" t="s">
        <v>927</v>
      </c>
      <c r="D1032" s="1287">
        <v>4.26</v>
      </c>
      <c r="E1032" s="1287">
        <v>279.18</v>
      </c>
      <c r="F1032" s="1287">
        <v>1189.31</v>
      </c>
      <c r="G1032" s="1286" t="s">
        <v>4872</v>
      </c>
      <c r="H1032" s="34" t="s">
        <v>925</v>
      </c>
    </row>
    <row r="1033" spans="1:8" ht="33">
      <c r="A1033" s="1289">
        <v>6</v>
      </c>
      <c r="B1033" s="1289" t="s">
        <v>1342</v>
      </c>
      <c r="C1033" s="1288" t="s">
        <v>18</v>
      </c>
      <c r="D1033" s="1287">
        <v>1</v>
      </c>
      <c r="E1033" s="1287">
        <v>35.770000000000003</v>
      </c>
      <c r="F1033" s="1287">
        <v>35.770000000000003</v>
      </c>
      <c r="G1033" s="1286" t="s">
        <v>1343</v>
      </c>
      <c r="H1033" s="34" t="s">
        <v>925</v>
      </c>
    </row>
    <row r="1034" spans="1:8" ht="33">
      <c r="A1034" s="1289">
        <v>7</v>
      </c>
      <c r="B1034" s="1289" t="s">
        <v>1344</v>
      </c>
      <c r="C1034" s="1288" t="s">
        <v>18</v>
      </c>
      <c r="D1034" s="1287">
        <v>1</v>
      </c>
      <c r="E1034" s="1287">
        <v>35.770000000000003</v>
      </c>
      <c r="F1034" s="1287">
        <v>35.770000000000003</v>
      </c>
      <c r="G1034" s="1286" t="s">
        <v>1345</v>
      </c>
      <c r="H1034" s="34" t="s">
        <v>925</v>
      </c>
    </row>
    <row r="1035" spans="1:8" ht="28.5">
      <c r="A1035" s="1289">
        <v>8</v>
      </c>
      <c r="B1035" s="1289" t="s">
        <v>931</v>
      </c>
      <c r="C1035" s="1288" t="s">
        <v>14</v>
      </c>
      <c r="D1035" s="1287">
        <v>1</v>
      </c>
      <c r="E1035" s="1287">
        <v>152.77000000000001</v>
      </c>
      <c r="F1035" s="1287">
        <v>152.77000000000001</v>
      </c>
      <c r="G1035" s="1286" t="s">
        <v>932</v>
      </c>
    </row>
    <row r="1036" spans="1:8" ht="33">
      <c r="A1036" s="1289"/>
      <c r="B1036" s="1289" t="s">
        <v>933</v>
      </c>
      <c r="C1036" s="1288" t="s">
        <v>3</v>
      </c>
      <c r="D1036" s="1287">
        <v>10</v>
      </c>
      <c r="E1036" s="1287"/>
      <c r="F1036" s="1287">
        <v>5245.2000000000016</v>
      </c>
      <c r="G1036" s="1286"/>
      <c r="H1036" s="34" t="s">
        <v>925</v>
      </c>
    </row>
    <row r="1037" spans="1:8" ht="33">
      <c r="A1037" s="1289"/>
      <c r="B1037" s="1289" t="s">
        <v>934</v>
      </c>
      <c r="C1037" s="1288" t="s">
        <v>3</v>
      </c>
      <c r="D1037" s="1287"/>
      <c r="E1037" s="1287"/>
      <c r="F1037" s="1287">
        <v>524.52</v>
      </c>
      <c r="G1037" s="1286"/>
      <c r="H1037" s="34" t="s">
        <v>925</v>
      </c>
    </row>
    <row r="1038" spans="1:8" ht="33">
      <c r="A1038" s="1289"/>
      <c r="B1038" s="1289"/>
      <c r="C1038" s="1288"/>
      <c r="D1038" s="1287"/>
      <c r="E1038" s="1287"/>
      <c r="F1038" s="1287"/>
      <c r="G1038" s="1286"/>
      <c r="H1038" s="34" t="s">
        <v>925</v>
      </c>
    </row>
    <row r="1039" spans="1:8" ht="42.75">
      <c r="A1039" s="1289" t="s">
        <v>1436</v>
      </c>
      <c r="B1039" s="1289" t="s">
        <v>4537</v>
      </c>
      <c r="C1039" s="1288" t="s">
        <v>3</v>
      </c>
      <c r="D1039" s="1287">
        <v>10</v>
      </c>
      <c r="E1039" s="1287">
        <v>841.49</v>
      </c>
      <c r="F1039" s="1287"/>
      <c r="G1039" s="1286" t="s">
        <v>4932</v>
      </c>
      <c r="H1039" s="34" t="s">
        <v>925</v>
      </c>
    </row>
    <row r="1040" spans="1:8" ht="33">
      <c r="A1040" s="1289">
        <v>1</v>
      </c>
      <c r="B1040" s="1289" t="s">
        <v>1335</v>
      </c>
      <c r="C1040" s="1288" t="s">
        <v>0</v>
      </c>
      <c r="D1040" s="1287">
        <v>0.02</v>
      </c>
      <c r="E1040" s="1287">
        <v>21460.42</v>
      </c>
      <c r="F1040" s="1287">
        <v>429.21</v>
      </c>
      <c r="G1040" s="1286" t="s">
        <v>4926</v>
      </c>
      <c r="H1040" s="34" t="s">
        <v>925</v>
      </c>
    </row>
    <row r="1041" spans="1:8" ht="33">
      <c r="A1041" s="1289">
        <v>2</v>
      </c>
      <c r="B1041" s="1289" t="s">
        <v>1336</v>
      </c>
      <c r="C1041" s="1288" t="s">
        <v>0</v>
      </c>
      <c r="D1041" s="1287">
        <v>0.01</v>
      </c>
      <c r="E1041" s="1287">
        <v>22851.38</v>
      </c>
      <c r="F1041" s="1287">
        <v>228.51</v>
      </c>
      <c r="G1041" s="1286" t="s">
        <v>1337</v>
      </c>
      <c r="H1041" s="34" t="s">
        <v>925</v>
      </c>
    </row>
    <row r="1042" spans="1:8" ht="33">
      <c r="A1042" s="1289">
        <v>3</v>
      </c>
      <c r="B1042" s="1289" t="s">
        <v>1354</v>
      </c>
      <c r="C1042" s="1288" t="s">
        <v>14</v>
      </c>
      <c r="D1042" s="1287">
        <v>1</v>
      </c>
      <c r="E1042" s="1287">
        <v>139.1</v>
      </c>
      <c r="F1042" s="1287">
        <v>139.1</v>
      </c>
      <c r="G1042" s="1286" t="s">
        <v>1355</v>
      </c>
      <c r="H1042" s="34" t="s">
        <v>925</v>
      </c>
    </row>
    <row r="1043" spans="1:8" ht="42.75">
      <c r="A1043" s="1289">
        <v>4</v>
      </c>
      <c r="B1043" s="1289" t="s">
        <v>4930</v>
      </c>
      <c r="C1043" s="1288" t="s">
        <v>927</v>
      </c>
      <c r="D1043" s="1287">
        <v>6.44</v>
      </c>
      <c r="E1043" s="1287">
        <v>814.7</v>
      </c>
      <c r="F1043" s="1287">
        <v>5246.67</v>
      </c>
      <c r="G1043" s="1286" t="s">
        <v>4931</v>
      </c>
      <c r="H1043" s="34" t="s">
        <v>925</v>
      </c>
    </row>
    <row r="1044" spans="1:8" ht="42.75">
      <c r="A1044" s="1289">
        <v>5</v>
      </c>
      <c r="B1044" s="1289" t="s">
        <v>4874</v>
      </c>
      <c r="C1044" s="1288" t="s">
        <v>927</v>
      </c>
      <c r="D1044" s="1287">
        <v>3.68</v>
      </c>
      <c r="E1044" s="1287">
        <v>558.37</v>
      </c>
      <c r="F1044" s="1287">
        <v>2054.8000000000002</v>
      </c>
      <c r="G1044" s="1286" t="s">
        <v>4875</v>
      </c>
    </row>
    <row r="1045" spans="1:8" ht="33">
      <c r="A1045" s="1289">
        <v>6</v>
      </c>
      <c r="B1045" s="1289" t="s">
        <v>1342</v>
      </c>
      <c r="C1045" s="1288" t="s">
        <v>18</v>
      </c>
      <c r="D1045" s="1287">
        <v>1</v>
      </c>
      <c r="E1045" s="1287">
        <v>35.770000000000003</v>
      </c>
      <c r="F1045" s="1287">
        <v>35.770000000000003</v>
      </c>
      <c r="G1045" s="1286" t="s">
        <v>1343</v>
      </c>
      <c r="H1045" s="34" t="s">
        <v>925</v>
      </c>
    </row>
    <row r="1046" spans="1:8" ht="33">
      <c r="A1046" s="1289">
        <v>7</v>
      </c>
      <c r="B1046" s="1289" t="s">
        <v>1344</v>
      </c>
      <c r="C1046" s="1288" t="s">
        <v>18</v>
      </c>
      <c r="D1046" s="1287">
        <v>1</v>
      </c>
      <c r="E1046" s="1287">
        <v>35.770000000000003</v>
      </c>
      <c r="F1046" s="1287">
        <v>35.770000000000003</v>
      </c>
      <c r="G1046" s="1286" t="s">
        <v>1345</v>
      </c>
      <c r="H1046" s="34" t="s">
        <v>925</v>
      </c>
    </row>
    <row r="1047" spans="1:8" ht="33">
      <c r="A1047" s="1289">
        <v>8</v>
      </c>
      <c r="B1047" s="1289" t="s">
        <v>931</v>
      </c>
      <c r="C1047" s="1288" t="s">
        <v>14</v>
      </c>
      <c r="D1047" s="1287">
        <v>1</v>
      </c>
      <c r="E1047" s="1287">
        <v>245.09</v>
      </c>
      <c r="F1047" s="1287">
        <v>245.09</v>
      </c>
      <c r="G1047" s="1286" t="s">
        <v>932</v>
      </c>
      <c r="H1047" s="34" t="s">
        <v>925</v>
      </c>
    </row>
    <row r="1048" spans="1:8" ht="33">
      <c r="A1048" s="1289"/>
      <c r="B1048" s="1289" t="s">
        <v>933</v>
      </c>
      <c r="C1048" s="1288" t="s">
        <v>3</v>
      </c>
      <c r="D1048" s="1287">
        <v>10</v>
      </c>
      <c r="E1048" s="1287"/>
      <c r="F1048" s="1287">
        <v>8414.92</v>
      </c>
      <c r="G1048" s="1286"/>
      <c r="H1048" s="34" t="s">
        <v>925</v>
      </c>
    </row>
    <row r="1049" spans="1:8" ht="33">
      <c r="A1049" s="1289"/>
      <c r="B1049" s="1289" t="s">
        <v>934</v>
      </c>
      <c r="C1049" s="1288" t="s">
        <v>3</v>
      </c>
      <c r="D1049" s="1287"/>
      <c r="E1049" s="1287"/>
      <c r="F1049" s="1287">
        <v>841.49</v>
      </c>
      <c r="G1049" s="1286"/>
      <c r="H1049" s="34" t="s">
        <v>925</v>
      </c>
    </row>
    <row r="1050" spans="1:8" ht="33">
      <c r="A1050" s="1289"/>
      <c r="B1050" s="1289"/>
      <c r="C1050" s="1288"/>
      <c r="D1050" s="1287"/>
      <c r="E1050" s="1287"/>
      <c r="F1050" s="1287"/>
      <c r="G1050" s="1286"/>
      <c r="H1050" s="34" t="s">
        <v>925</v>
      </c>
    </row>
    <row r="1051" spans="1:8" ht="28.5">
      <c r="A1051" s="1289" t="s">
        <v>1447</v>
      </c>
      <c r="B1051" s="1289" t="s">
        <v>404</v>
      </c>
      <c r="C1051" s="1288" t="s">
        <v>17</v>
      </c>
      <c r="D1051" s="1287">
        <v>10</v>
      </c>
      <c r="E1051" s="1287">
        <v>637.04999999999995</v>
      </c>
      <c r="F1051" s="1287"/>
      <c r="G1051" s="1286" t="s">
        <v>1363</v>
      </c>
    </row>
    <row r="1052" spans="1:8" ht="33">
      <c r="A1052" s="1289">
        <v>1</v>
      </c>
      <c r="B1052" s="1289" t="s">
        <v>1364</v>
      </c>
      <c r="C1052" s="1288" t="s">
        <v>3</v>
      </c>
      <c r="D1052" s="1287">
        <v>0.25</v>
      </c>
      <c r="E1052" s="1287">
        <v>2980.61</v>
      </c>
      <c r="F1052" s="1287">
        <v>745.15</v>
      </c>
      <c r="G1052" s="1286" t="s">
        <v>1365</v>
      </c>
      <c r="H1052" s="34" t="s">
        <v>925</v>
      </c>
    </row>
    <row r="1053" spans="1:8" ht="33">
      <c r="A1053" s="1289">
        <v>2</v>
      </c>
      <c r="B1053" s="1289" t="s">
        <v>1366</v>
      </c>
      <c r="C1053" s="1288" t="s">
        <v>14</v>
      </c>
      <c r="D1053" s="1287">
        <v>1</v>
      </c>
      <c r="E1053" s="1287">
        <v>496.77</v>
      </c>
      <c r="F1053" s="1287">
        <v>496.77</v>
      </c>
      <c r="G1053" s="1286" t="s">
        <v>1367</v>
      </c>
      <c r="H1053" s="34" t="s">
        <v>925</v>
      </c>
    </row>
    <row r="1054" spans="1:8" ht="42.75">
      <c r="A1054" s="1289">
        <v>3</v>
      </c>
      <c r="B1054" s="1289" t="s">
        <v>4927</v>
      </c>
      <c r="C1054" s="1288" t="s">
        <v>927</v>
      </c>
      <c r="D1054" s="1287">
        <v>7.2</v>
      </c>
      <c r="E1054" s="1287">
        <v>407.35</v>
      </c>
      <c r="F1054" s="1287">
        <v>2932.92</v>
      </c>
      <c r="G1054" s="1286" t="s">
        <v>4928</v>
      </c>
      <c r="H1054" s="34" t="s">
        <v>925</v>
      </c>
    </row>
    <row r="1055" spans="1:8" ht="33">
      <c r="A1055" s="1289">
        <v>4</v>
      </c>
      <c r="B1055" s="1289" t="s">
        <v>4871</v>
      </c>
      <c r="C1055" s="1288" t="s">
        <v>927</v>
      </c>
      <c r="D1055" s="1287">
        <v>7.2</v>
      </c>
      <c r="E1055" s="1287">
        <v>279.18</v>
      </c>
      <c r="F1055" s="1287">
        <v>2010.1</v>
      </c>
      <c r="G1055" s="1286" t="s">
        <v>4872</v>
      </c>
      <c r="H1055" s="34" t="s">
        <v>925</v>
      </c>
    </row>
    <row r="1056" spans="1:8" ht="33">
      <c r="A1056" s="1289">
        <v>5</v>
      </c>
      <c r="B1056" s="1289" t="s">
        <v>931</v>
      </c>
      <c r="C1056" s="1288" t="s">
        <v>14</v>
      </c>
      <c r="D1056" s="1287">
        <v>1</v>
      </c>
      <c r="E1056" s="1287">
        <v>185.55</v>
      </c>
      <c r="F1056" s="1287">
        <v>185.55</v>
      </c>
      <c r="G1056" s="1286" t="s">
        <v>932</v>
      </c>
      <c r="H1056" s="34" t="s">
        <v>925</v>
      </c>
    </row>
    <row r="1057" spans="1:8" ht="33">
      <c r="A1057" s="1289"/>
      <c r="B1057" s="1289" t="s">
        <v>933</v>
      </c>
      <c r="C1057" s="1288" t="s">
        <v>17</v>
      </c>
      <c r="D1057" s="1287">
        <v>10</v>
      </c>
      <c r="E1057" s="1287"/>
      <c r="F1057" s="1287">
        <v>6370.4900000000007</v>
      </c>
      <c r="G1057" s="1286"/>
      <c r="H1057" s="34" t="s">
        <v>925</v>
      </c>
    </row>
    <row r="1058" spans="1:8" ht="16.5">
      <c r="A1058" s="1289"/>
      <c r="B1058" s="1289" t="s">
        <v>934</v>
      </c>
      <c r="C1058" s="1288" t="s">
        <v>17</v>
      </c>
      <c r="D1058" s="1287"/>
      <c r="E1058" s="1287"/>
      <c r="F1058" s="1287">
        <v>637.04999999999995</v>
      </c>
      <c r="G1058" s="1286"/>
    </row>
    <row r="1059" spans="1:8" ht="33">
      <c r="A1059" s="1289"/>
      <c r="B1059" s="1289"/>
      <c r="C1059" s="1288"/>
      <c r="D1059" s="1287"/>
      <c r="E1059" s="1287"/>
      <c r="F1059" s="1287"/>
      <c r="G1059" s="1286"/>
      <c r="H1059" s="34" t="s">
        <v>925</v>
      </c>
    </row>
    <row r="1060" spans="1:8" ht="33">
      <c r="A1060" s="1289" t="s">
        <v>1454</v>
      </c>
      <c r="B1060" s="1289" t="s">
        <v>1369</v>
      </c>
      <c r="C1060" s="1288" t="s">
        <v>3</v>
      </c>
      <c r="D1060" s="1287">
        <v>10</v>
      </c>
      <c r="E1060" s="1287">
        <v>380.07</v>
      </c>
      <c r="F1060" s="1287"/>
      <c r="G1060" s="1286" t="s">
        <v>1370</v>
      </c>
      <c r="H1060" s="34" t="s">
        <v>925</v>
      </c>
    </row>
    <row r="1061" spans="1:8" ht="33">
      <c r="A1061" s="1289">
        <v>1</v>
      </c>
      <c r="B1061" s="1289" t="s">
        <v>1364</v>
      </c>
      <c r="C1061" s="1288" t="s">
        <v>3</v>
      </c>
      <c r="D1061" s="1287">
        <v>0.25</v>
      </c>
      <c r="E1061" s="1287">
        <v>2980.61</v>
      </c>
      <c r="F1061" s="1287">
        <v>745.15</v>
      </c>
      <c r="G1061" s="1286" t="s">
        <v>1365</v>
      </c>
      <c r="H1061" s="34" t="s">
        <v>925</v>
      </c>
    </row>
    <row r="1062" spans="1:8" ht="33">
      <c r="A1062" s="1289">
        <v>2</v>
      </c>
      <c r="B1062" s="1289" t="s">
        <v>1366</v>
      </c>
      <c r="C1062" s="1288" t="s">
        <v>14</v>
      </c>
      <c r="D1062" s="1287">
        <v>1</v>
      </c>
      <c r="E1062" s="1287">
        <v>198.71</v>
      </c>
      <c r="F1062" s="1287">
        <v>198.71</v>
      </c>
      <c r="G1062" s="1286" t="s">
        <v>1367</v>
      </c>
      <c r="H1062" s="34" t="s">
        <v>925</v>
      </c>
    </row>
    <row r="1063" spans="1:8" ht="42.75">
      <c r="A1063" s="1289">
        <v>3</v>
      </c>
      <c r="B1063" s="1289" t="s">
        <v>4927</v>
      </c>
      <c r="C1063" s="1288" t="s">
        <v>927</v>
      </c>
      <c r="D1063" s="1287">
        <v>4</v>
      </c>
      <c r="E1063" s="1287">
        <v>407.35</v>
      </c>
      <c r="F1063" s="1287">
        <v>1629.4</v>
      </c>
      <c r="G1063" s="1286" t="s">
        <v>4928</v>
      </c>
      <c r="H1063" s="34" t="s">
        <v>925</v>
      </c>
    </row>
    <row r="1064" spans="1:8" ht="33">
      <c r="A1064" s="1289">
        <v>4</v>
      </c>
      <c r="B1064" s="1289" t="s">
        <v>4871</v>
      </c>
      <c r="C1064" s="1288" t="s">
        <v>927</v>
      </c>
      <c r="D1064" s="1287">
        <v>4</v>
      </c>
      <c r="E1064" s="1287">
        <v>279.18</v>
      </c>
      <c r="F1064" s="1287">
        <v>1116.72</v>
      </c>
      <c r="G1064" s="1286" t="s">
        <v>4872</v>
      </c>
      <c r="H1064" s="34" t="s">
        <v>925</v>
      </c>
    </row>
    <row r="1065" spans="1:8" ht="33">
      <c r="A1065" s="1289">
        <v>5</v>
      </c>
      <c r="B1065" s="1289" t="s">
        <v>931</v>
      </c>
      <c r="C1065" s="1288" t="s">
        <v>14</v>
      </c>
      <c r="D1065" s="1287">
        <v>1</v>
      </c>
      <c r="E1065" s="1287">
        <v>110.7</v>
      </c>
      <c r="F1065" s="1287">
        <v>110.7</v>
      </c>
      <c r="G1065" s="1286" t="s">
        <v>932</v>
      </c>
      <c r="H1065" s="34" t="s">
        <v>925</v>
      </c>
    </row>
    <row r="1066" spans="1:8" ht="16.5">
      <c r="A1066" s="1289"/>
      <c r="B1066" s="1289" t="s">
        <v>933</v>
      </c>
      <c r="C1066" s="1288" t="s">
        <v>3</v>
      </c>
      <c r="D1066" s="1287">
        <v>10</v>
      </c>
      <c r="E1066" s="1287"/>
      <c r="F1066" s="1287">
        <v>3800.6800000000003</v>
      </c>
      <c r="G1066" s="1286"/>
    </row>
    <row r="1067" spans="1:8" ht="33">
      <c r="A1067" s="1289"/>
      <c r="B1067" s="1289" t="s">
        <v>934</v>
      </c>
      <c r="C1067" s="1288" t="s">
        <v>3</v>
      </c>
      <c r="D1067" s="1287"/>
      <c r="E1067" s="1287"/>
      <c r="F1067" s="1287">
        <v>380.07</v>
      </c>
      <c r="G1067" s="1286"/>
      <c r="H1067" s="34" t="s">
        <v>925</v>
      </c>
    </row>
    <row r="1068" spans="1:8" ht="33">
      <c r="A1068" s="1289"/>
      <c r="B1068" s="1289"/>
      <c r="C1068" s="1288"/>
      <c r="D1068" s="1287"/>
      <c r="E1068" s="1287"/>
      <c r="F1068" s="1287"/>
      <c r="G1068" s="1286"/>
      <c r="H1068" s="34" t="s">
        <v>925</v>
      </c>
    </row>
    <row r="1069" spans="1:8" ht="33">
      <c r="A1069" s="1289" t="s">
        <v>1459</v>
      </c>
      <c r="B1069" s="1289" t="s">
        <v>1372</v>
      </c>
      <c r="C1069" s="1288" t="s">
        <v>17</v>
      </c>
      <c r="D1069" s="1287">
        <v>10</v>
      </c>
      <c r="E1069" s="1287">
        <v>775.08</v>
      </c>
      <c r="F1069" s="1287"/>
      <c r="G1069" s="1286" t="s">
        <v>1373</v>
      </c>
      <c r="H1069" s="34" t="s">
        <v>925</v>
      </c>
    </row>
    <row r="1070" spans="1:8" ht="33">
      <c r="A1070" s="1289">
        <v>1</v>
      </c>
      <c r="B1070" s="1289" t="s">
        <v>1364</v>
      </c>
      <c r="C1070" s="1288" t="s">
        <v>3</v>
      </c>
      <c r="D1070" s="1287">
        <v>0.25</v>
      </c>
      <c r="E1070" s="1287">
        <v>2980.61</v>
      </c>
      <c r="F1070" s="1287">
        <v>745.15</v>
      </c>
      <c r="G1070" s="1286" t="s">
        <v>1365</v>
      </c>
      <c r="H1070" s="34" t="s">
        <v>925</v>
      </c>
    </row>
    <row r="1071" spans="1:8" ht="33">
      <c r="A1071" s="1289">
        <v>2</v>
      </c>
      <c r="B1071" s="1289" t="s">
        <v>1366</v>
      </c>
      <c r="C1071" s="1288" t="s">
        <v>14</v>
      </c>
      <c r="D1071" s="1287">
        <v>1</v>
      </c>
      <c r="E1071" s="1287">
        <v>496.77</v>
      </c>
      <c r="F1071" s="1287">
        <v>496.77</v>
      </c>
      <c r="G1071" s="1286" t="s">
        <v>1367</v>
      </c>
      <c r="H1071" s="34" t="s">
        <v>925</v>
      </c>
    </row>
    <row r="1072" spans="1:8" ht="42.75">
      <c r="A1072" s="1289">
        <v>3</v>
      </c>
      <c r="B1072" s="1289" t="s">
        <v>4927</v>
      </c>
      <c r="C1072" s="1288" t="s">
        <v>927</v>
      </c>
      <c r="D1072" s="1287">
        <v>7.2</v>
      </c>
      <c r="E1072" s="1287">
        <v>407.35</v>
      </c>
      <c r="F1072" s="1287">
        <v>2932.92</v>
      </c>
      <c r="G1072" s="1286" t="s">
        <v>4928</v>
      </c>
      <c r="H1072" s="34" t="s">
        <v>925</v>
      </c>
    </row>
    <row r="1073" spans="1:8" ht="33">
      <c r="A1073" s="1289">
        <v>4</v>
      </c>
      <c r="B1073" s="1289" t="s">
        <v>4871</v>
      </c>
      <c r="C1073" s="1288" t="s">
        <v>927</v>
      </c>
      <c r="D1073" s="1287">
        <v>12</v>
      </c>
      <c r="E1073" s="1287">
        <v>279.18</v>
      </c>
      <c r="F1073" s="1287">
        <v>3350.16</v>
      </c>
      <c r="G1073" s="1286" t="s">
        <v>4872</v>
      </c>
      <c r="H1073" s="34" t="s">
        <v>925</v>
      </c>
    </row>
    <row r="1074" spans="1:8" ht="28.5">
      <c r="A1074" s="1289">
        <v>5</v>
      </c>
      <c r="B1074" s="1289" t="s">
        <v>931</v>
      </c>
      <c r="C1074" s="1288" t="s">
        <v>14</v>
      </c>
      <c r="D1074" s="1287">
        <v>1</v>
      </c>
      <c r="E1074" s="1287">
        <v>225.75</v>
      </c>
      <c r="F1074" s="1287">
        <v>225.75</v>
      </c>
      <c r="G1074" s="1286" t="s">
        <v>932</v>
      </c>
    </row>
    <row r="1075" spans="1:8" ht="33">
      <c r="A1075" s="1289"/>
      <c r="B1075" s="1289" t="s">
        <v>933</v>
      </c>
      <c r="C1075" s="1288" t="s">
        <v>17</v>
      </c>
      <c r="D1075" s="1287">
        <v>10</v>
      </c>
      <c r="E1075" s="1287"/>
      <c r="F1075" s="1287">
        <v>7750.75</v>
      </c>
      <c r="G1075" s="1286"/>
      <c r="H1075" s="34" t="s">
        <v>925</v>
      </c>
    </row>
    <row r="1076" spans="1:8" ht="33">
      <c r="A1076" s="1289"/>
      <c r="B1076" s="1289" t="s">
        <v>934</v>
      </c>
      <c r="C1076" s="1288" t="s">
        <v>17</v>
      </c>
      <c r="D1076" s="1287"/>
      <c r="E1076" s="1287"/>
      <c r="F1076" s="1287">
        <v>775.08</v>
      </c>
      <c r="G1076" s="1286"/>
      <c r="H1076" s="34" t="s">
        <v>925</v>
      </c>
    </row>
    <row r="1077" spans="1:8" ht="33">
      <c r="A1077" s="1289"/>
      <c r="B1077" s="1289"/>
      <c r="C1077" s="1288"/>
      <c r="D1077" s="1287"/>
      <c r="E1077" s="1287"/>
      <c r="F1077" s="1287"/>
      <c r="G1077" s="1286"/>
      <c r="H1077" s="34" t="s">
        <v>925</v>
      </c>
    </row>
    <row r="1078" spans="1:8" ht="33">
      <c r="A1078" s="1289" t="s">
        <v>1468</v>
      </c>
      <c r="B1078" s="1289" t="s">
        <v>1375</v>
      </c>
      <c r="C1078" s="1288" t="s">
        <v>3</v>
      </c>
      <c r="D1078" s="1287">
        <v>10</v>
      </c>
      <c r="E1078" s="1287">
        <v>459.31</v>
      </c>
      <c r="F1078" s="1287"/>
      <c r="G1078" s="1286" t="s">
        <v>1376</v>
      </c>
      <c r="H1078" s="34" t="s">
        <v>925</v>
      </c>
    </row>
    <row r="1079" spans="1:8" ht="33">
      <c r="A1079" s="1289">
        <v>1</v>
      </c>
      <c r="B1079" s="1289" t="s">
        <v>1364</v>
      </c>
      <c r="C1079" s="1288" t="s">
        <v>3</v>
      </c>
      <c r="D1079" s="1287">
        <v>0.25</v>
      </c>
      <c r="E1079" s="1287">
        <v>2980.61</v>
      </c>
      <c r="F1079" s="1287">
        <v>745.15</v>
      </c>
      <c r="G1079" s="1286" t="s">
        <v>1365</v>
      </c>
      <c r="H1079" s="34" t="s">
        <v>925</v>
      </c>
    </row>
    <row r="1080" spans="1:8" ht="33">
      <c r="A1080" s="1289">
        <v>2</v>
      </c>
      <c r="B1080" s="1289" t="s">
        <v>1366</v>
      </c>
      <c r="C1080" s="1288" t="s">
        <v>14</v>
      </c>
      <c r="D1080" s="1287">
        <v>1</v>
      </c>
      <c r="E1080" s="1287">
        <v>298.06</v>
      </c>
      <c r="F1080" s="1287">
        <v>298.06</v>
      </c>
      <c r="G1080" s="1286" t="s">
        <v>1367</v>
      </c>
      <c r="H1080" s="34" t="s">
        <v>925</v>
      </c>
    </row>
    <row r="1081" spans="1:8" ht="42.75">
      <c r="A1081" s="1289">
        <v>3</v>
      </c>
      <c r="B1081" s="1289" t="s">
        <v>4927</v>
      </c>
      <c r="C1081" s="1288" t="s">
        <v>927</v>
      </c>
      <c r="D1081" s="1287">
        <v>4</v>
      </c>
      <c r="E1081" s="1287">
        <v>407.35</v>
      </c>
      <c r="F1081" s="1287">
        <v>1629.4</v>
      </c>
      <c r="G1081" s="1286" t="s">
        <v>4928</v>
      </c>
      <c r="H1081" s="34" t="s">
        <v>925</v>
      </c>
    </row>
    <row r="1082" spans="1:8" ht="28.5">
      <c r="A1082" s="1289">
        <v>4</v>
      </c>
      <c r="B1082" s="1289" t="s">
        <v>4871</v>
      </c>
      <c r="C1082" s="1288" t="s">
        <v>927</v>
      </c>
      <c r="D1082" s="1287">
        <v>6.4</v>
      </c>
      <c r="E1082" s="1287">
        <v>279.18</v>
      </c>
      <c r="F1082" s="1287">
        <v>1786.75</v>
      </c>
      <c r="G1082" s="1286" t="s">
        <v>4872</v>
      </c>
    </row>
    <row r="1083" spans="1:8" ht="33">
      <c r="A1083" s="1289">
        <v>5</v>
      </c>
      <c r="B1083" s="1289" t="s">
        <v>931</v>
      </c>
      <c r="C1083" s="1288" t="s">
        <v>14</v>
      </c>
      <c r="D1083" s="1287">
        <v>1</v>
      </c>
      <c r="E1083" s="1287">
        <v>133.78</v>
      </c>
      <c r="F1083" s="1287">
        <v>133.78</v>
      </c>
      <c r="G1083" s="1286" t="s">
        <v>932</v>
      </c>
      <c r="H1083" s="34" t="s">
        <v>925</v>
      </c>
    </row>
    <row r="1084" spans="1:8" ht="33">
      <c r="A1084" s="1289"/>
      <c r="B1084" s="1289" t="s">
        <v>933</v>
      </c>
      <c r="C1084" s="1288" t="s">
        <v>3</v>
      </c>
      <c r="D1084" s="1287">
        <v>10</v>
      </c>
      <c r="E1084" s="1287"/>
      <c r="F1084" s="1287">
        <v>4593.1400000000003</v>
      </c>
      <c r="G1084" s="1286"/>
      <c r="H1084" s="34" t="s">
        <v>925</v>
      </c>
    </row>
    <row r="1085" spans="1:8" ht="33">
      <c r="A1085" s="1289"/>
      <c r="B1085" s="1289" t="s">
        <v>934</v>
      </c>
      <c r="C1085" s="1288" t="s">
        <v>3</v>
      </c>
      <c r="D1085" s="1287"/>
      <c r="E1085" s="1287"/>
      <c r="F1085" s="1287">
        <v>459.31</v>
      </c>
      <c r="G1085" s="1286"/>
      <c r="H1085" s="34" t="s">
        <v>925</v>
      </c>
    </row>
    <row r="1086" spans="1:8" ht="33">
      <c r="A1086" s="1289"/>
      <c r="B1086" s="1289"/>
      <c r="C1086" s="1288"/>
      <c r="D1086" s="1287"/>
      <c r="E1086" s="1287"/>
      <c r="F1086" s="1287"/>
      <c r="G1086" s="1286"/>
      <c r="H1086" s="34" t="s">
        <v>925</v>
      </c>
    </row>
    <row r="1087" spans="1:8" ht="33">
      <c r="A1087" s="1289" t="s">
        <v>1471</v>
      </c>
      <c r="B1087" s="1289" t="s">
        <v>1378</v>
      </c>
      <c r="C1087" s="1288" t="s">
        <v>17</v>
      </c>
      <c r="D1087" s="1287">
        <v>10</v>
      </c>
      <c r="E1087" s="1287">
        <v>900.33</v>
      </c>
      <c r="F1087" s="1287"/>
      <c r="G1087" s="1286" t="s">
        <v>1379</v>
      </c>
      <c r="H1087" s="34" t="s">
        <v>925</v>
      </c>
    </row>
    <row r="1088" spans="1:8" ht="33">
      <c r="A1088" s="1289">
        <v>1</v>
      </c>
      <c r="B1088" s="1289" t="s">
        <v>1364</v>
      </c>
      <c r="C1088" s="1288" t="s">
        <v>3</v>
      </c>
      <c r="D1088" s="1287">
        <v>0.25</v>
      </c>
      <c r="E1088" s="1287">
        <v>2980.61</v>
      </c>
      <c r="F1088" s="1287">
        <v>745.15</v>
      </c>
      <c r="G1088" s="1286" t="s">
        <v>1365</v>
      </c>
      <c r="H1088" s="34" t="s">
        <v>925</v>
      </c>
    </row>
    <row r="1089" spans="1:8" ht="33">
      <c r="A1089" s="1289">
        <v>2</v>
      </c>
      <c r="B1089" s="1289" t="s">
        <v>1366</v>
      </c>
      <c r="C1089" s="1288" t="s">
        <v>14</v>
      </c>
      <c r="D1089" s="1287">
        <v>1</v>
      </c>
      <c r="E1089" s="1287">
        <v>596.12</v>
      </c>
      <c r="F1089" s="1287">
        <v>596.12</v>
      </c>
      <c r="G1089" s="1286" t="s">
        <v>1367</v>
      </c>
      <c r="H1089" s="34" t="s">
        <v>925</v>
      </c>
    </row>
    <row r="1090" spans="1:8" ht="42.75">
      <c r="A1090" s="1289">
        <v>3</v>
      </c>
      <c r="B1090" s="1289" t="s">
        <v>4927</v>
      </c>
      <c r="C1090" s="1288" t="s">
        <v>927</v>
      </c>
      <c r="D1090" s="1287">
        <v>7.2</v>
      </c>
      <c r="E1090" s="1287">
        <v>407.35</v>
      </c>
      <c r="F1090" s="1287">
        <v>2932.92</v>
      </c>
      <c r="G1090" s="1286" t="s">
        <v>4928</v>
      </c>
      <c r="H1090" s="34" t="s">
        <v>925</v>
      </c>
    </row>
    <row r="1091" spans="1:8" ht="33">
      <c r="A1091" s="1289">
        <v>4</v>
      </c>
      <c r="B1091" s="1289" t="s">
        <v>4871</v>
      </c>
      <c r="C1091" s="1288" t="s">
        <v>927</v>
      </c>
      <c r="D1091" s="1287">
        <v>16</v>
      </c>
      <c r="E1091" s="1287">
        <v>279.18</v>
      </c>
      <c r="F1091" s="1287">
        <v>4466.88</v>
      </c>
      <c r="G1091" s="1286" t="s">
        <v>4872</v>
      </c>
      <c r="H1091" s="34" t="s">
        <v>925</v>
      </c>
    </row>
    <row r="1092" spans="1:8" ht="28.5">
      <c r="A1092" s="1289">
        <v>5</v>
      </c>
      <c r="B1092" s="1289" t="s">
        <v>931</v>
      </c>
      <c r="C1092" s="1288" t="s">
        <v>14</v>
      </c>
      <c r="D1092" s="1287">
        <v>1</v>
      </c>
      <c r="E1092" s="1287">
        <v>262.23</v>
      </c>
      <c r="F1092" s="1287">
        <v>262.23</v>
      </c>
      <c r="G1092" s="1286" t="s">
        <v>932</v>
      </c>
    </row>
    <row r="1093" spans="1:8" ht="33">
      <c r="A1093" s="1289"/>
      <c r="B1093" s="1289" t="s">
        <v>933</v>
      </c>
      <c r="C1093" s="1288" t="s">
        <v>17</v>
      </c>
      <c r="D1093" s="1287">
        <v>10</v>
      </c>
      <c r="E1093" s="1287"/>
      <c r="F1093" s="1287">
        <v>9003.2999999999993</v>
      </c>
      <c r="G1093" s="1286"/>
      <c r="H1093" s="34" t="s">
        <v>925</v>
      </c>
    </row>
    <row r="1094" spans="1:8" ht="33">
      <c r="A1094" s="1289"/>
      <c r="B1094" s="1289" t="s">
        <v>934</v>
      </c>
      <c r="C1094" s="1288" t="s">
        <v>17</v>
      </c>
      <c r="D1094" s="1287"/>
      <c r="E1094" s="1287"/>
      <c r="F1094" s="1287">
        <v>900.33</v>
      </c>
      <c r="G1094" s="1286"/>
      <c r="H1094" s="34" t="s">
        <v>925</v>
      </c>
    </row>
    <row r="1095" spans="1:8" ht="33">
      <c r="A1095" s="1289"/>
      <c r="B1095" s="1289"/>
      <c r="C1095" s="1288"/>
      <c r="D1095" s="1287"/>
      <c r="E1095" s="1287"/>
      <c r="F1095" s="1287"/>
      <c r="G1095" s="1286"/>
      <c r="H1095" s="34" t="s">
        <v>925</v>
      </c>
    </row>
    <row r="1096" spans="1:8" ht="33">
      <c r="A1096" s="1289" t="s">
        <v>1474</v>
      </c>
      <c r="B1096" s="1289" t="s">
        <v>1381</v>
      </c>
      <c r="C1096" s="1288" t="s">
        <v>3</v>
      </c>
      <c r="D1096" s="1287">
        <v>10</v>
      </c>
      <c r="E1096" s="1287">
        <v>534.51</v>
      </c>
      <c r="F1096" s="1287"/>
      <c r="G1096" s="1286" t="s">
        <v>1382</v>
      </c>
      <c r="H1096" s="34" t="s">
        <v>925</v>
      </c>
    </row>
    <row r="1097" spans="1:8" ht="33">
      <c r="A1097" s="1289">
        <v>1</v>
      </c>
      <c r="B1097" s="1289" t="s">
        <v>1364</v>
      </c>
      <c r="C1097" s="1288" t="s">
        <v>3</v>
      </c>
      <c r="D1097" s="1287">
        <v>0.25</v>
      </c>
      <c r="E1097" s="1287">
        <v>2980.61</v>
      </c>
      <c r="F1097" s="1287">
        <v>745.15</v>
      </c>
      <c r="G1097" s="1286" t="s">
        <v>1365</v>
      </c>
      <c r="H1097" s="34" t="s">
        <v>925</v>
      </c>
    </row>
    <row r="1098" spans="1:8" ht="33">
      <c r="A1098" s="1289">
        <v>2</v>
      </c>
      <c r="B1098" s="1289" t="s">
        <v>1366</v>
      </c>
      <c r="C1098" s="1288" t="s">
        <v>14</v>
      </c>
      <c r="D1098" s="1287">
        <v>1</v>
      </c>
      <c r="E1098" s="1287">
        <v>397.42</v>
      </c>
      <c r="F1098" s="1287">
        <v>397.42</v>
      </c>
      <c r="G1098" s="1286" t="s">
        <v>1367</v>
      </c>
      <c r="H1098" s="34" t="s">
        <v>925</v>
      </c>
    </row>
    <row r="1099" spans="1:8" ht="42.75">
      <c r="A1099" s="1289">
        <v>3</v>
      </c>
      <c r="B1099" s="1289" t="s">
        <v>4927</v>
      </c>
      <c r="C1099" s="1288" t="s">
        <v>927</v>
      </c>
      <c r="D1099" s="1287">
        <v>5</v>
      </c>
      <c r="E1099" s="1287">
        <v>407.35</v>
      </c>
      <c r="F1099" s="1287">
        <v>2036.75</v>
      </c>
      <c r="G1099" s="1286" t="s">
        <v>4928</v>
      </c>
      <c r="H1099" s="34" t="s">
        <v>925</v>
      </c>
    </row>
    <row r="1100" spans="1:8" ht="33">
      <c r="A1100" s="1289">
        <v>4</v>
      </c>
      <c r="B1100" s="1289" t="s">
        <v>4871</v>
      </c>
      <c r="C1100" s="1288" t="s">
        <v>927</v>
      </c>
      <c r="D1100" s="1287">
        <v>7.2</v>
      </c>
      <c r="E1100" s="1287">
        <v>279.18</v>
      </c>
      <c r="F1100" s="1287">
        <v>2010.1</v>
      </c>
      <c r="G1100" s="1286" t="s">
        <v>4872</v>
      </c>
      <c r="H1100" s="34" t="s">
        <v>925</v>
      </c>
    </row>
    <row r="1101" spans="1:8" ht="33">
      <c r="A1101" s="1289">
        <v>5</v>
      </c>
      <c r="B1101" s="1289" t="s">
        <v>931</v>
      </c>
      <c r="C1101" s="1288" t="s">
        <v>14</v>
      </c>
      <c r="D1101" s="1287">
        <v>1</v>
      </c>
      <c r="E1101" s="1287">
        <v>155.68</v>
      </c>
      <c r="F1101" s="1287">
        <v>155.68</v>
      </c>
      <c r="G1101" s="1286" t="s">
        <v>932</v>
      </c>
      <c r="H1101" s="34" t="s">
        <v>925</v>
      </c>
    </row>
    <row r="1102" spans="1:8" ht="16.5">
      <c r="A1102" s="1289"/>
      <c r="B1102" s="1289" t="s">
        <v>933</v>
      </c>
      <c r="C1102" s="1288" t="s">
        <v>3</v>
      </c>
      <c r="D1102" s="1287">
        <v>10</v>
      </c>
      <c r="E1102" s="1287"/>
      <c r="F1102" s="1287">
        <v>5345.1</v>
      </c>
      <c r="G1102" s="1286"/>
    </row>
    <row r="1103" spans="1:8" ht="33">
      <c r="A1103" s="1289"/>
      <c r="B1103" s="1289" t="s">
        <v>934</v>
      </c>
      <c r="C1103" s="1288" t="s">
        <v>3</v>
      </c>
      <c r="D1103" s="1287"/>
      <c r="E1103" s="1287"/>
      <c r="F1103" s="1287">
        <v>534.51</v>
      </c>
      <c r="G1103" s="1286"/>
      <c r="H1103" s="34" t="s">
        <v>925</v>
      </c>
    </row>
    <row r="1104" spans="1:8" ht="33">
      <c r="A1104" s="1289"/>
      <c r="B1104" s="1289"/>
      <c r="C1104" s="1288"/>
      <c r="D1104" s="1287"/>
      <c r="E1104" s="1287"/>
      <c r="F1104" s="1287"/>
      <c r="G1104" s="1286"/>
      <c r="H1104" s="34" t="s">
        <v>925</v>
      </c>
    </row>
    <row r="1105" spans="1:8" ht="57">
      <c r="A1105" s="1289" t="s">
        <v>1483</v>
      </c>
      <c r="B1105" s="1289" t="s">
        <v>404</v>
      </c>
      <c r="C1105" s="1288" t="s">
        <v>17</v>
      </c>
      <c r="D1105" s="1287">
        <v>10</v>
      </c>
      <c r="E1105" s="1287">
        <v>805.34</v>
      </c>
      <c r="F1105" s="1287"/>
      <c r="G1105" s="1286" t="s">
        <v>1398</v>
      </c>
      <c r="H1105" s="34" t="s">
        <v>925</v>
      </c>
    </row>
    <row r="1106" spans="1:8" ht="33">
      <c r="A1106" s="1289">
        <v>1</v>
      </c>
      <c r="B1106" s="1289" t="s">
        <v>1364</v>
      </c>
      <c r="C1106" s="1288" t="s">
        <v>3</v>
      </c>
      <c r="D1106" s="1287">
        <v>0.25</v>
      </c>
      <c r="E1106" s="1287">
        <v>2980.61</v>
      </c>
      <c r="F1106" s="1287">
        <v>745.15</v>
      </c>
      <c r="G1106" s="1286" t="s">
        <v>1365</v>
      </c>
      <c r="H1106" s="34" t="s">
        <v>925</v>
      </c>
    </row>
    <row r="1107" spans="1:8" ht="33">
      <c r="A1107" s="1289">
        <v>2</v>
      </c>
      <c r="B1107" s="1289" t="s">
        <v>1366</v>
      </c>
      <c r="C1107" s="1288" t="s">
        <v>14</v>
      </c>
      <c r="D1107" s="1287">
        <v>1</v>
      </c>
      <c r="E1107" s="1287">
        <v>496.77</v>
      </c>
      <c r="F1107" s="1287">
        <v>496.77</v>
      </c>
      <c r="G1107" s="1286" t="s">
        <v>1367</v>
      </c>
      <c r="H1107" s="34" t="s">
        <v>925</v>
      </c>
    </row>
    <row r="1108" spans="1:8" ht="42.75">
      <c r="A1108" s="1289">
        <v>3</v>
      </c>
      <c r="B1108" s="1289" t="s">
        <v>4927</v>
      </c>
      <c r="C1108" s="1288" t="s">
        <v>927</v>
      </c>
      <c r="D1108" s="1287">
        <v>9.58</v>
      </c>
      <c r="E1108" s="1287">
        <v>407.35</v>
      </c>
      <c r="F1108" s="1287">
        <v>3902.41</v>
      </c>
      <c r="G1108" s="1286" t="s">
        <v>4928</v>
      </c>
      <c r="H1108" s="34" t="s">
        <v>925</v>
      </c>
    </row>
    <row r="1109" spans="1:8" ht="33">
      <c r="A1109" s="1289">
        <v>4</v>
      </c>
      <c r="B1109" s="1289" t="s">
        <v>4871</v>
      </c>
      <c r="C1109" s="1288" t="s">
        <v>927</v>
      </c>
      <c r="D1109" s="1287">
        <v>9.58</v>
      </c>
      <c r="E1109" s="1287">
        <v>279.18</v>
      </c>
      <c r="F1109" s="1287">
        <v>2674.54</v>
      </c>
      <c r="G1109" s="1286" t="s">
        <v>4872</v>
      </c>
      <c r="H1109" s="34" t="s">
        <v>925</v>
      </c>
    </row>
    <row r="1110" spans="1:8" ht="33">
      <c r="A1110" s="1289">
        <v>5</v>
      </c>
      <c r="B1110" s="1289" t="s">
        <v>931</v>
      </c>
      <c r="C1110" s="1288" t="s">
        <v>14</v>
      </c>
      <c r="D1110" s="1287">
        <v>1</v>
      </c>
      <c r="E1110" s="1287">
        <v>234.57</v>
      </c>
      <c r="F1110" s="1287">
        <v>234.57</v>
      </c>
      <c r="G1110" s="1286" t="s">
        <v>932</v>
      </c>
      <c r="H1110" s="34" t="s">
        <v>925</v>
      </c>
    </row>
    <row r="1111" spans="1:8" ht="33">
      <c r="A1111" s="1289"/>
      <c r="B1111" s="1289" t="s">
        <v>933</v>
      </c>
      <c r="C1111" s="1288" t="s">
        <v>17</v>
      </c>
      <c r="D1111" s="1287">
        <v>10</v>
      </c>
      <c r="E1111" s="1287"/>
      <c r="F1111" s="1287">
        <v>8053.44</v>
      </c>
      <c r="G1111" s="1286"/>
      <c r="H1111" s="34" t="s">
        <v>925</v>
      </c>
    </row>
    <row r="1112" spans="1:8" ht="16.5">
      <c r="A1112" s="1289"/>
      <c r="B1112" s="1289" t="s">
        <v>934</v>
      </c>
      <c r="C1112" s="1288" t="s">
        <v>17</v>
      </c>
      <c r="D1112" s="1287"/>
      <c r="E1112" s="1287"/>
      <c r="F1112" s="1287">
        <v>805.34</v>
      </c>
      <c r="G1112" s="1286"/>
    </row>
    <row r="1113" spans="1:8" ht="33">
      <c r="A1113" s="1289"/>
      <c r="B1113" s="1289"/>
      <c r="C1113" s="1288"/>
      <c r="D1113" s="1287"/>
      <c r="E1113" s="1287"/>
      <c r="F1113" s="1287"/>
      <c r="G1113" s="1286"/>
      <c r="H1113" s="34" t="s">
        <v>925</v>
      </c>
    </row>
    <row r="1114" spans="1:8" ht="57">
      <c r="A1114" s="1289" t="s">
        <v>1488</v>
      </c>
      <c r="B1114" s="1289" t="s">
        <v>1369</v>
      </c>
      <c r="C1114" s="1288" t="s">
        <v>3</v>
      </c>
      <c r="D1114" s="1287">
        <v>10</v>
      </c>
      <c r="E1114" s="1287">
        <v>473.41</v>
      </c>
      <c r="F1114" s="1287"/>
      <c r="G1114" s="1286" t="s">
        <v>1400</v>
      </c>
      <c r="H1114" s="34" t="s">
        <v>925</v>
      </c>
    </row>
    <row r="1115" spans="1:8" ht="33">
      <c r="A1115" s="1289">
        <v>1</v>
      </c>
      <c r="B1115" s="1289" t="s">
        <v>1364</v>
      </c>
      <c r="C1115" s="1288" t="s">
        <v>3</v>
      </c>
      <c r="D1115" s="1287">
        <v>0.25</v>
      </c>
      <c r="E1115" s="1287">
        <v>2980.61</v>
      </c>
      <c r="F1115" s="1287">
        <v>745.15</v>
      </c>
      <c r="G1115" s="1286" t="s">
        <v>1365</v>
      </c>
      <c r="H1115" s="34" t="s">
        <v>925</v>
      </c>
    </row>
    <row r="1116" spans="1:8" ht="33">
      <c r="A1116" s="1289">
        <v>2</v>
      </c>
      <c r="B1116" s="1289" t="s">
        <v>1366</v>
      </c>
      <c r="C1116" s="1288" t="s">
        <v>14</v>
      </c>
      <c r="D1116" s="1287">
        <v>1</v>
      </c>
      <c r="E1116" s="1287">
        <v>198.71</v>
      </c>
      <c r="F1116" s="1287">
        <v>198.71</v>
      </c>
      <c r="G1116" s="1286" t="s">
        <v>1367</v>
      </c>
      <c r="H1116" s="34" t="s">
        <v>925</v>
      </c>
    </row>
    <row r="1117" spans="1:8" ht="42.75">
      <c r="A1117" s="1289">
        <v>3</v>
      </c>
      <c r="B1117" s="1289" t="s">
        <v>4927</v>
      </c>
      <c r="C1117" s="1288" t="s">
        <v>927</v>
      </c>
      <c r="D1117" s="1287">
        <v>5.32</v>
      </c>
      <c r="E1117" s="1287">
        <v>407.35</v>
      </c>
      <c r="F1117" s="1287">
        <v>2167.1</v>
      </c>
      <c r="G1117" s="1286" t="s">
        <v>4928</v>
      </c>
      <c r="H1117" s="34" t="s">
        <v>925</v>
      </c>
    </row>
    <row r="1118" spans="1:8" ht="33">
      <c r="A1118" s="1289">
        <v>4</v>
      </c>
      <c r="B1118" s="1289" t="s">
        <v>4871</v>
      </c>
      <c r="C1118" s="1288" t="s">
        <v>927</v>
      </c>
      <c r="D1118" s="1287">
        <v>5.32</v>
      </c>
      <c r="E1118" s="1287">
        <v>279.18</v>
      </c>
      <c r="F1118" s="1287">
        <v>1485.24</v>
      </c>
      <c r="G1118" s="1286" t="s">
        <v>4872</v>
      </c>
      <c r="H1118" s="34" t="s">
        <v>925</v>
      </c>
    </row>
    <row r="1119" spans="1:8" ht="33">
      <c r="A1119" s="1289">
        <v>5</v>
      </c>
      <c r="B1119" s="1289" t="s">
        <v>931</v>
      </c>
      <c r="C1119" s="1288" t="s">
        <v>14</v>
      </c>
      <c r="D1119" s="1287">
        <v>1</v>
      </c>
      <c r="E1119" s="1287">
        <v>137.88999999999999</v>
      </c>
      <c r="F1119" s="1287">
        <v>137.88999999999999</v>
      </c>
      <c r="G1119" s="1286" t="s">
        <v>932</v>
      </c>
      <c r="H1119" s="34" t="s">
        <v>925</v>
      </c>
    </row>
    <row r="1120" spans="1:8" ht="33">
      <c r="A1120" s="1289"/>
      <c r="B1120" s="1289" t="s">
        <v>933</v>
      </c>
      <c r="C1120" s="1288" t="s">
        <v>3</v>
      </c>
      <c r="D1120" s="1287">
        <v>10</v>
      </c>
      <c r="E1120" s="1287"/>
      <c r="F1120" s="1287">
        <v>4734.09</v>
      </c>
      <c r="G1120" s="1286"/>
      <c r="H1120" s="34" t="s">
        <v>925</v>
      </c>
    </row>
    <row r="1121" spans="1:8" ht="33">
      <c r="A1121" s="1289"/>
      <c r="B1121" s="1289" t="s">
        <v>934</v>
      </c>
      <c r="C1121" s="1288" t="s">
        <v>3</v>
      </c>
      <c r="D1121" s="1287"/>
      <c r="E1121" s="1287"/>
      <c r="F1121" s="1287">
        <v>473.41</v>
      </c>
      <c r="G1121" s="1286"/>
      <c r="H1121" s="34" t="s">
        <v>925</v>
      </c>
    </row>
    <row r="1122" spans="1:8" ht="33">
      <c r="A1122" s="1289"/>
      <c r="B1122" s="1289"/>
      <c r="C1122" s="1288"/>
      <c r="D1122" s="1287"/>
      <c r="E1122" s="1287"/>
      <c r="F1122" s="1287"/>
      <c r="G1122" s="1286"/>
      <c r="H1122" s="34" t="s">
        <v>925</v>
      </c>
    </row>
    <row r="1123" spans="1:8" ht="57">
      <c r="A1123" s="1289" t="s">
        <v>1493</v>
      </c>
      <c r="B1123" s="1289" t="s">
        <v>1372</v>
      </c>
      <c r="C1123" s="1288" t="s">
        <v>17</v>
      </c>
      <c r="D1123" s="1287">
        <v>10</v>
      </c>
      <c r="E1123" s="1287">
        <v>988.8</v>
      </c>
      <c r="F1123" s="1287"/>
      <c r="G1123" s="1286" t="s">
        <v>1402</v>
      </c>
    </row>
    <row r="1124" spans="1:8" ht="33">
      <c r="A1124" s="1289">
        <v>1</v>
      </c>
      <c r="B1124" s="1289" t="s">
        <v>1364</v>
      </c>
      <c r="C1124" s="1288" t="s">
        <v>3</v>
      </c>
      <c r="D1124" s="1287">
        <v>0.25</v>
      </c>
      <c r="E1124" s="1287">
        <v>2980.61</v>
      </c>
      <c r="F1124" s="1287">
        <v>745.15</v>
      </c>
      <c r="G1124" s="1286" t="s">
        <v>1365</v>
      </c>
      <c r="H1124" s="34" t="s">
        <v>925</v>
      </c>
    </row>
    <row r="1125" spans="1:8" ht="33">
      <c r="A1125" s="1289">
        <v>2</v>
      </c>
      <c r="B1125" s="1289" t="s">
        <v>1366</v>
      </c>
      <c r="C1125" s="1288" t="s">
        <v>14</v>
      </c>
      <c r="D1125" s="1287">
        <v>1</v>
      </c>
      <c r="E1125" s="1287">
        <v>496.77</v>
      </c>
      <c r="F1125" s="1287">
        <v>496.77</v>
      </c>
      <c r="G1125" s="1286" t="s">
        <v>1367</v>
      </c>
      <c r="H1125" s="34" t="s">
        <v>925</v>
      </c>
    </row>
    <row r="1126" spans="1:8" ht="42.75">
      <c r="A1126" s="1289">
        <v>3</v>
      </c>
      <c r="B1126" s="1289" t="s">
        <v>4927</v>
      </c>
      <c r="C1126" s="1288" t="s">
        <v>927</v>
      </c>
      <c r="D1126" s="1287">
        <v>9.58</v>
      </c>
      <c r="E1126" s="1287">
        <v>407.35</v>
      </c>
      <c r="F1126" s="1287">
        <v>3902.41</v>
      </c>
      <c r="G1126" s="1286" t="s">
        <v>4928</v>
      </c>
      <c r="H1126" s="34" t="s">
        <v>925</v>
      </c>
    </row>
    <row r="1127" spans="1:8" ht="33">
      <c r="A1127" s="1289">
        <v>4</v>
      </c>
      <c r="B1127" s="1289" t="s">
        <v>4871</v>
      </c>
      <c r="C1127" s="1288" t="s">
        <v>927</v>
      </c>
      <c r="D1127" s="1287">
        <v>15.96</v>
      </c>
      <c r="E1127" s="1287">
        <v>279.18</v>
      </c>
      <c r="F1127" s="1287">
        <v>4455.71</v>
      </c>
      <c r="G1127" s="1286" t="s">
        <v>4872</v>
      </c>
      <c r="H1127" s="34" t="s">
        <v>925</v>
      </c>
    </row>
    <row r="1128" spans="1:8" ht="33">
      <c r="A1128" s="1289">
        <v>5</v>
      </c>
      <c r="B1128" s="1289" t="s">
        <v>931</v>
      </c>
      <c r="C1128" s="1288" t="s">
        <v>14</v>
      </c>
      <c r="D1128" s="1287">
        <v>1</v>
      </c>
      <c r="E1128" s="1287">
        <v>288</v>
      </c>
      <c r="F1128" s="1287">
        <v>288</v>
      </c>
      <c r="G1128" s="1286" t="s">
        <v>932</v>
      </c>
      <c r="H1128" s="34" t="s">
        <v>925</v>
      </c>
    </row>
    <row r="1129" spans="1:8" ht="33">
      <c r="A1129" s="1289"/>
      <c r="B1129" s="1289" t="s">
        <v>933</v>
      </c>
      <c r="C1129" s="1288" t="s">
        <v>17</v>
      </c>
      <c r="D1129" s="1287">
        <v>10</v>
      </c>
      <c r="E1129" s="1287"/>
      <c r="F1129" s="1287">
        <v>9888.0400000000009</v>
      </c>
      <c r="G1129" s="1286"/>
      <c r="H1129" s="34" t="s">
        <v>925</v>
      </c>
    </row>
    <row r="1130" spans="1:8" ht="33">
      <c r="A1130" s="1289"/>
      <c r="B1130" s="1289" t="s">
        <v>934</v>
      </c>
      <c r="C1130" s="1288" t="s">
        <v>17</v>
      </c>
      <c r="D1130" s="1287"/>
      <c r="E1130" s="1287"/>
      <c r="F1130" s="1287">
        <v>988.8</v>
      </c>
      <c r="G1130" s="1286"/>
      <c r="H1130" s="34" t="s">
        <v>925</v>
      </c>
    </row>
    <row r="1131" spans="1:8" ht="33">
      <c r="A1131" s="1289"/>
      <c r="B1131" s="1289"/>
      <c r="C1131" s="1288"/>
      <c r="D1131" s="1287"/>
      <c r="E1131" s="1287"/>
      <c r="F1131" s="1287"/>
      <c r="G1131" s="1286"/>
      <c r="H1131" s="34" t="s">
        <v>925</v>
      </c>
    </row>
    <row r="1132" spans="1:8" ht="57">
      <c r="A1132" s="1289" t="s">
        <v>1507</v>
      </c>
      <c r="B1132" s="1289" t="s">
        <v>1375</v>
      </c>
      <c r="C1132" s="1288" t="s">
        <v>3</v>
      </c>
      <c r="D1132" s="1287">
        <v>10</v>
      </c>
      <c r="E1132" s="1287">
        <v>575.37</v>
      </c>
      <c r="F1132" s="1287"/>
      <c r="G1132" s="1286" t="s">
        <v>1404</v>
      </c>
      <c r="H1132" s="34" t="s">
        <v>925</v>
      </c>
    </row>
    <row r="1133" spans="1:8" ht="33">
      <c r="A1133" s="1289">
        <v>1</v>
      </c>
      <c r="B1133" s="1289" t="s">
        <v>1364</v>
      </c>
      <c r="C1133" s="1288" t="s">
        <v>3</v>
      </c>
      <c r="D1133" s="1287">
        <v>0.25</v>
      </c>
      <c r="E1133" s="1287">
        <v>2980.61</v>
      </c>
      <c r="F1133" s="1287">
        <v>745.15</v>
      </c>
      <c r="G1133" s="1286" t="s">
        <v>1365</v>
      </c>
      <c r="H1133" s="34" t="s">
        <v>925</v>
      </c>
    </row>
    <row r="1134" spans="1:8" ht="28.5">
      <c r="A1134" s="1289">
        <v>2</v>
      </c>
      <c r="B1134" s="1289" t="s">
        <v>1366</v>
      </c>
      <c r="C1134" s="1288" t="s">
        <v>14</v>
      </c>
      <c r="D1134" s="1287">
        <v>1</v>
      </c>
      <c r="E1134" s="1287">
        <v>298.06</v>
      </c>
      <c r="F1134" s="1287">
        <v>298.06</v>
      </c>
      <c r="G1134" s="1286" t="s">
        <v>1367</v>
      </c>
    </row>
    <row r="1135" spans="1:8" ht="42.75">
      <c r="A1135" s="1289">
        <v>3</v>
      </c>
      <c r="B1135" s="1289" t="s">
        <v>4927</v>
      </c>
      <c r="C1135" s="1288" t="s">
        <v>927</v>
      </c>
      <c r="D1135" s="1287">
        <v>5.32</v>
      </c>
      <c r="E1135" s="1287">
        <v>407.35</v>
      </c>
      <c r="F1135" s="1287">
        <v>2167.1</v>
      </c>
      <c r="G1135" s="1286" t="s">
        <v>4928</v>
      </c>
      <c r="H1135" s="34" t="s">
        <v>925</v>
      </c>
    </row>
    <row r="1136" spans="1:8" ht="33">
      <c r="A1136" s="1289">
        <v>4</v>
      </c>
      <c r="B1136" s="1289" t="s">
        <v>4871</v>
      </c>
      <c r="C1136" s="1288" t="s">
        <v>927</v>
      </c>
      <c r="D1136" s="1287">
        <v>8.51</v>
      </c>
      <c r="E1136" s="1287">
        <v>279.18</v>
      </c>
      <c r="F1136" s="1287">
        <v>2375.8200000000002</v>
      </c>
      <c r="G1136" s="1286" t="s">
        <v>4872</v>
      </c>
      <c r="H1136" s="34" t="s">
        <v>925</v>
      </c>
    </row>
    <row r="1137" spans="1:8" ht="33">
      <c r="A1137" s="1289">
        <v>5</v>
      </c>
      <c r="B1137" s="1289" t="s">
        <v>931</v>
      </c>
      <c r="C1137" s="1288" t="s">
        <v>14</v>
      </c>
      <c r="D1137" s="1287">
        <v>1</v>
      </c>
      <c r="E1137" s="1287">
        <v>167.58</v>
      </c>
      <c r="F1137" s="1287">
        <v>167.58</v>
      </c>
      <c r="G1137" s="1286" t="s">
        <v>932</v>
      </c>
      <c r="H1137" s="34" t="s">
        <v>925</v>
      </c>
    </row>
    <row r="1138" spans="1:8" ht="33">
      <c r="A1138" s="1289"/>
      <c r="B1138" s="1289" t="s">
        <v>933</v>
      </c>
      <c r="C1138" s="1288" t="s">
        <v>3</v>
      </c>
      <c r="D1138" s="1287">
        <v>10</v>
      </c>
      <c r="E1138" s="1287"/>
      <c r="F1138" s="1287">
        <v>5753.71</v>
      </c>
      <c r="G1138" s="1286"/>
      <c r="H1138" s="34" t="s">
        <v>925</v>
      </c>
    </row>
    <row r="1139" spans="1:8" ht="33">
      <c r="A1139" s="1289"/>
      <c r="B1139" s="1289" t="s">
        <v>934</v>
      </c>
      <c r="C1139" s="1288" t="s">
        <v>3</v>
      </c>
      <c r="D1139" s="1287"/>
      <c r="E1139" s="1287"/>
      <c r="F1139" s="1287">
        <v>575.37</v>
      </c>
      <c r="G1139" s="1286"/>
      <c r="H1139" s="34" t="s">
        <v>925</v>
      </c>
    </row>
    <row r="1140" spans="1:8" ht="33">
      <c r="A1140" s="1289"/>
      <c r="B1140" s="1289"/>
      <c r="C1140" s="1288"/>
      <c r="D1140" s="1287"/>
      <c r="E1140" s="1287"/>
      <c r="F1140" s="1287"/>
      <c r="G1140" s="1286"/>
      <c r="H1140" s="34" t="s">
        <v>925</v>
      </c>
    </row>
    <row r="1141" spans="1:8" ht="57">
      <c r="A1141" s="1289" t="s">
        <v>1512</v>
      </c>
      <c r="B1141" s="1289" t="s">
        <v>1378</v>
      </c>
      <c r="C1141" s="1288" t="s">
        <v>17</v>
      </c>
      <c r="D1141" s="1287">
        <v>10</v>
      </c>
      <c r="E1141" s="1287">
        <v>1152.02</v>
      </c>
      <c r="F1141" s="1287"/>
      <c r="G1141" s="1286" t="s">
        <v>1406</v>
      </c>
      <c r="H1141" s="34" t="s">
        <v>925</v>
      </c>
    </row>
    <row r="1142" spans="1:8" ht="33">
      <c r="A1142" s="1289">
        <v>1</v>
      </c>
      <c r="B1142" s="1289" t="s">
        <v>1364</v>
      </c>
      <c r="C1142" s="1288" t="s">
        <v>3</v>
      </c>
      <c r="D1142" s="1287">
        <v>0.25</v>
      </c>
      <c r="E1142" s="1287">
        <v>2980.61</v>
      </c>
      <c r="F1142" s="1287">
        <v>745.15</v>
      </c>
      <c r="G1142" s="1286" t="s">
        <v>1365</v>
      </c>
      <c r="H1142" s="34" t="s">
        <v>925</v>
      </c>
    </row>
    <row r="1143" spans="1:8" ht="33">
      <c r="A1143" s="1289">
        <v>2</v>
      </c>
      <c r="B1143" s="1289" t="s">
        <v>1366</v>
      </c>
      <c r="C1143" s="1288" t="s">
        <v>14</v>
      </c>
      <c r="D1143" s="1287">
        <v>1</v>
      </c>
      <c r="E1143" s="1287">
        <v>596.12</v>
      </c>
      <c r="F1143" s="1287">
        <v>596.12</v>
      </c>
      <c r="G1143" s="1286" t="s">
        <v>1367</v>
      </c>
      <c r="H1143" s="34" t="s">
        <v>925</v>
      </c>
    </row>
    <row r="1144" spans="1:8" ht="42.75">
      <c r="A1144" s="1289">
        <v>3</v>
      </c>
      <c r="B1144" s="1289" t="s">
        <v>4927</v>
      </c>
      <c r="C1144" s="1288" t="s">
        <v>927</v>
      </c>
      <c r="D1144" s="1287">
        <v>9.58</v>
      </c>
      <c r="E1144" s="1287">
        <v>407.35</v>
      </c>
      <c r="F1144" s="1287">
        <v>3902.41</v>
      </c>
      <c r="G1144" s="1286" t="s">
        <v>4928</v>
      </c>
      <c r="H1144" s="34" t="s">
        <v>925</v>
      </c>
    </row>
    <row r="1145" spans="1:8" ht="28.5">
      <c r="A1145" s="1289">
        <v>4</v>
      </c>
      <c r="B1145" s="1289" t="s">
        <v>4871</v>
      </c>
      <c r="C1145" s="1288" t="s">
        <v>927</v>
      </c>
      <c r="D1145" s="1287">
        <v>21.28</v>
      </c>
      <c r="E1145" s="1287">
        <v>279.18</v>
      </c>
      <c r="F1145" s="1287">
        <v>5940.95</v>
      </c>
      <c r="G1145" s="1286" t="s">
        <v>4872</v>
      </c>
    </row>
    <row r="1146" spans="1:8" ht="33">
      <c r="A1146" s="1289">
        <v>5</v>
      </c>
      <c r="B1146" s="1289" t="s">
        <v>931</v>
      </c>
      <c r="C1146" s="1288" t="s">
        <v>14</v>
      </c>
      <c r="D1146" s="1287">
        <v>1</v>
      </c>
      <c r="E1146" s="1287">
        <v>335.54</v>
      </c>
      <c r="F1146" s="1287">
        <v>335.54</v>
      </c>
      <c r="G1146" s="1286" t="s">
        <v>932</v>
      </c>
      <c r="H1146" s="34" t="s">
        <v>925</v>
      </c>
    </row>
    <row r="1147" spans="1:8" ht="33">
      <c r="A1147" s="1289"/>
      <c r="B1147" s="1289" t="s">
        <v>933</v>
      </c>
      <c r="C1147" s="1288" t="s">
        <v>17</v>
      </c>
      <c r="D1147" s="1287">
        <v>10</v>
      </c>
      <c r="E1147" s="1287"/>
      <c r="F1147" s="1287">
        <v>11520.170000000002</v>
      </c>
      <c r="G1147" s="1286"/>
      <c r="H1147" s="34" t="s">
        <v>925</v>
      </c>
    </row>
    <row r="1148" spans="1:8" ht="33">
      <c r="A1148" s="1289"/>
      <c r="B1148" s="1289" t="s">
        <v>934</v>
      </c>
      <c r="C1148" s="1288" t="s">
        <v>17</v>
      </c>
      <c r="D1148" s="1287"/>
      <c r="E1148" s="1287"/>
      <c r="F1148" s="1287">
        <v>1152.02</v>
      </c>
      <c r="G1148" s="1286"/>
      <c r="H1148" s="34" t="s">
        <v>925</v>
      </c>
    </row>
    <row r="1149" spans="1:8" ht="33">
      <c r="A1149" s="1289"/>
      <c r="B1149" s="1289"/>
      <c r="C1149" s="1288"/>
      <c r="D1149" s="1287"/>
      <c r="E1149" s="1287"/>
      <c r="F1149" s="1287"/>
      <c r="G1149" s="1286"/>
      <c r="H1149" s="34" t="s">
        <v>925</v>
      </c>
    </row>
    <row r="1150" spans="1:8" ht="57">
      <c r="A1150" s="1289" t="s">
        <v>1517</v>
      </c>
      <c r="B1150" s="1289" t="s">
        <v>1381</v>
      </c>
      <c r="C1150" s="1288" t="s">
        <v>3</v>
      </c>
      <c r="D1150" s="1287">
        <v>10</v>
      </c>
      <c r="E1150" s="1287">
        <v>672.18</v>
      </c>
      <c r="F1150" s="1287"/>
      <c r="G1150" s="1286" t="s">
        <v>1408</v>
      </c>
      <c r="H1150" s="34" t="s">
        <v>925</v>
      </c>
    </row>
    <row r="1151" spans="1:8" ht="33">
      <c r="A1151" s="1289">
        <v>1</v>
      </c>
      <c r="B1151" s="1289" t="s">
        <v>1364</v>
      </c>
      <c r="C1151" s="1288" t="s">
        <v>3</v>
      </c>
      <c r="D1151" s="1287">
        <v>0.25</v>
      </c>
      <c r="E1151" s="1287">
        <v>2980.61</v>
      </c>
      <c r="F1151" s="1287">
        <v>745.15</v>
      </c>
      <c r="G1151" s="1286" t="s">
        <v>1365</v>
      </c>
      <c r="H1151" s="34" t="s">
        <v>925</v>
      </c>
    </row>
    <row r="1152" spans="1:8" ht="28.5">
      <c r="A1152" s="1289">
        <v>2</v>
      </c>
      <c r="B1152" s="1289" t="s">
        <v>1366</v>
      </c>
      <c r="C1152" s="1288" t="s">
        <v>14</v>
      </c>
      <c r="D1152" s="1287">
        <v>1</v>
      </c>
      <c r="E1152" s="1287">
        <v>397.42</v>
      </c>
      <c r="F1152" s="1287">
        <v>397.42</v>
      </c>
      <c r="G1152" s="1286" t="s">
        <v>1367</v>
      </c>
    </row>
    <row r="1153" spans="1:8" ht="42.75">
      <c r="A1153" s="1289">
        <v>3</v>
      </c>
      <c r="B1153" s="1289" t="s">
        <v>4927</v>
      </c>
      <c r="C1153" s="1288" t="s">
        <v>927</v>
      </c>
      <c r="D1153" s="1287">
        <v>6.65</v>
      </c>
      <c r="E1153" s="1287">
        <v>407.35</v>
      </c>
      <c r="F1153" s="1287">
        <v>2708.88</v>
      </c>
      <c r="G1153" s="1286" t="s">
        <v>4928</v>
      </c>
      <c r="H1153" s="34" t="s">
        <v>925</v>
      </c>
    </row>
    <row r="1154" spans="1:8" ht="33">
      <c r="A1154" s="1289">
        <v>4</v>
      </c>
      <c r="B1154" s="1289" t="s">
        <v>4871</v>
      </c>
      <c r="C1154" s="1288" t="s">
        <v>927</v>
      </c>
      <c r="D1154" s="1287">
        <v>9.58</v>
      </c>
      <c r="E1154" s="1287">
        <v>279.18</v>
      </c>
      <c r="F1154" s="1287">
        <v>2674.54</v>
      </c>
      <c r="G1154" s="1286" t="s">
        <v>4872</v>
      </c>
      <c r="H1154" s="34" t="s">
        <v>925</v>
      </c>
    </row>
    <row r="1155" spans="1:8" ht="33">
      <c r="A1155" s="1289">
        <v>5</v>
      </c>
      <c r="B1155" s="1289" t="s">
        <v>931</v>
      </c>
      <c r="C1155" s="1288" t="s">
        <v>14</v>
      </c>
      <c r="D1155" s="1287">
        <v>1</v>
      </c>
      <c r="E1155" s="1287">
        <v>195.78</v>
      </c>
      <c r="F1155" s="1287">
        <v>195.78</v>
      </c>
      <c r="G1155" s="1286" t="s">
        <v>932</v>
      </c>
      <c r="H1155" s="34" t="s">
        <v>925</v>
      </c>
    </row>
    <row r="1156" spans="1:8" ht="33">
      <c r="A1156" s="1289"/>
      <c r="B1156" s="1289" t="s">
        <v>933</v>
      </c>
      <c r="C1156" s="1288" t="s">
        <v>3</v>
      </c>
      <c r="D1156" s="1287">
        <v>10</v>
      </c>
      <c r="E1156" s="1287"/>
      <c r="F1156" s="1287">
        <v>6721.7699999999995</v>
      </c>
      <c r="G1156" s="1286"/>
      <c r="H1156" s="34" t="s">
        <v>925</v>
      </c>
    </row>
    <row r="1157" spans="1:8" ht="33">
      <c r="A1157" s="1289"/>
      <c r="B1157" s="1289" t="s">
        <v>934</v>
      </c>
      <c r="C1157" s="1288" t="s">
        <v>3</v>
      </c>
      <c r="D1157" s="1287"/>
      <c r="E1157" s="1287"/>
      <c r="F1157" s="1287">
        <v>672.18</v>
      </c>
      <c r="G1157" s="1286"/>
      <c r="H1157" s="34" t="s">
        <v>925</v>
      </c>
    </row>
    <row r="1158" spans="1:8" ht="33">
      <c r="A1158" s="1289"/>
      <c r="B1158" s="1289"/>
      <c r="C1158" s="1288"/>
      <c r="D1158" s="1287"/>
      <c r="E1158" s="1287"/>
      <c r="F1158" s="1287"/>
      <c r="G1158" s="1286"/>
      <c r="H1158" s="34" t="s">
        <v>925</v>
      </c>
    </row>
    <row r="1159" spans="1:8" ht="28.5">
      <c r="A1159" s="1289" t="s">
        <v>1524</v>
      </c>
      <c r="B1159" s="1289" t="s">
        <v>4551</v>
      </c>
      <c r="C1159" s="1288" t="s">
        <v>17</v>
      </c>
      <c r="D1159" s="1287">
        <v>10</v>
      </c>
      <c r="E1159" s="1287">
        <v>1298.93</v>
      </c>
      <c r="F1159" s="1287"/>
      <c r="G1159" s="1286" t="s">
        <v>4933</v>
      </c>
    </row>
    <row r="1160" spans="1:8" ht="33">
      <c r="A1160" s="1289">
        <v>1</v>
      </c>
      <c r="B1160" s="1289" t="s">
        <v>1364</v>
      </c>
      <c r="C1160" s="1288" t="s">
        <v>3</v>
      </c>
      <c r="D1160" s="1287">
        <v>0.25</v>
      </c>
      <c r="E1160" s="1287">
        <v>2980.61</v>
      </c>
      <c r="F1160" s="1287">
        <v>745.15</v>
      </c>
      <c r="G1160" s="1286" t="s">
        <v>1365</v>
      </c>
      <c r="H1160" s="34" t="s">
        <v>925</v>
      </c>
    </row>
    <row r="1161" spans="1:8" ht="33">
      <c r="A1161" s="1289">
        <v>2</v>
      </c>
      <c r="B1161" s="1289" t="s">
        <v>1366</v>
      </c>
      <c r="C1161" s="1288" t="s">
        <v>14</v>
      </c>
      <c r="D1161" s="1287">
        <v>1</v>
      </c>
      <c r="E1161" s="1287">
        <v>496.77</v>
      </c>
      <c r="F1161" s="1287">
        <v>496.77</v>
      </c>
      <c r="G1161" s="1286" t="s">
        <v>1367</v>
      </c>
      <c r="H1161" s="34" t="s">
        <v>925</v>
      </c>
    </row>
    <row r="1162" spans="1:8" ht="42.75">
      <c r="A1162" s="1289">
        <v>3</v>
      </c>
      <c r="B1162" s="1289" t="s">
        <v>4930</v>
      </c>
      <c r="C1162" s="1288" t="s">
        <v>927</v>
      </c>
      <c r="D1162" s="1287">
        <v>8.2799999999999994</v>
      </c>
      <c r="E1162" s="1287">
        <v>814.7</v>
      </c>
      <c r="F1162" s="1287">
        <v>6745.72</v>
      </c>
      <c r="G1162" s="1286" t="s">
        <v>4931</v>
      </c>
      <c r="H1162" s="34" t="s">
        <v>925</v>
      </c>
    </row>
    <row r="1163" spans="1:8" ht="42.75">
      <c r="A1163" s="1289">
        <v>4</v>
      </c>
      <c r="B1163" s="1289" t="s">
        <v>4874</v>
      </c>
      <c r="C1163" s="1288" t="s">
        <v>927</v>
      </c>
      <c r="D1163" s="1287">
        <v>8.2799999999999994</v>
      </c>
      <c r="E1163" s="1287">
        <v>558.37</v>
      </c>
      <c r="F1163" s="1287">
        <v>4623.3</v>
      </c>
      <c r="G1163" s="1286" t="s">
        <v>4875</v>
      </c>
      <c r="H1163" s="34" t="s">
        <v>925</v>
      </c>
    </row>
    <row r="1164" spans="1:8" ht="33">
      <c r="A1164" s="1289">
        <v>5</v>
      </c>
      <c r="B1164" s="1289" t="s">
        <v>931</v>
      </c>
      <c r="C1164" s="1288" t="s">
        <v>14</v>
      </c>
      <c r="D1164" s="1287">
        <v>1</v>
      </c>
      <c r="E1164" s="1287">
        <v>378.33</v>
      </c>
      <c r="F1164" s="1287">
        <v>378.33</v>
      </c>
      <c r="G1164" s="1286" t="s">
        <v>932</v>
      </c>
      <c r="H1164" s="34" t="s">
        <v>925</v>
      </c>
    </row>
    <row r="1165" spans="1:8" ht="33">
      <c r="A1165" s="1289"/>
      <c r="B1165" s="1289" t="s">
        <v>933</v>
      </c>
      <c r="C1165" s="1288" t="s">
        <v>17</v>
      </c>
      <c r="D1165" s="1287">
        <v>10</v>
      </c>
      <c r="E1165" s="1287"/>
      <c r="F1165" s="1287">
        <v>12989.27</v>
      </c>
      <c r="G1165" s="1286"/>
      <c r="H1165" s="34" t="s">
        <v>925</v>
      </c>
    </row>
    <row r="1166" spans="1:8" ht="33">
      <c r="A1166" s="1289"/>
      <c r="B1166" s="1289" t="s">
        <v>934</v>
      </c>
      <c r="C1166" s="1288" t="s">
        <v>17</v>
      </c>
      <c r="D1166" s="1287"/>
      <c r="E1166" s="1287"/>
      <c r="F1166" s="1287">
        <v>1298.93</v>
      </c>
      <c r="G1166" s="1286"/>
      <c r="H1166" s="34" t="s">
        <v>925</v>
      </c>
    </row>
    <row r="1167" spans="1:8" ht="16.5">
      <c r="A1167" s="1289"/>
      <c r="B1167" s="1289"/>
      <c r="C1167" s="1288"/>
      <c r="D1167" s="1287"/>
      <c r="E1167" s="1287"/>
      <c r="F1167" s="1287"/>
      <c r="G1167" s="1286"/>
    </row>
    <row r="1168" spans="1:8" ht="33">
      <c r="A1168" s="1289" t="s">
        <v>1532</v>
      </c>
      <c r="B1168" s="1289" t="s">
        <v>4553</v>
      </c>
      <c r="C1168" s="1288" t="s">
        <v>3</v>
      </c>
      <c r="D1168" s="1287">
        <v>10</v>
      </c>
      <c r="E1168" s="1287">
        <v>747.78</v>
      </c>
      <c r="F1168" s="1287"/>
      <c r="G1168" s="1286" t="s">
        <v>4934</v>
      </c>
      <c r="H1168" s="34" t="s">
        <v>925</v>
      </c>
    </row>
    <row r="1169" spans="1:8" ht="33">
      <c r="A1169" s="1289">
        <v>1</v>
      </c>
      <c r="B1169" s="1289" t="s">
        <v>1364</v>
      </c>
      <c r="C1169" s="1288" t="s">
        <v>3</v>
      </c>
      <c r="D1169" s="1287">
        <v>0.25</v>
      </c>
      <c r="E1169" s="1287">
        <v>2980.61</v>
      </c>
      <c r="F1169" s="1287">
        <v>745.15</v>
      </c>
      <c r="G1169" s="1286" t="s">
        <v>1365</v>
      </c>
      <c r="H1169" s="34" t="s">
        <v>925</v>
      </c>
    </row>
    <row r="1170" spans="1:8" ht="33">
      <c r="A1170" s="1289">
        <v>2</v>
      </c>
      <c r="B1170" s="1289" t="s">
        <v>1366</v>
      </c>
      <c r="C1170" s="1288" t="s">
        <v>14</v>
      </c>
      <c r="D1170" s="1287">
        <v>1</v>
      </c>
      <c r="E1170" s="1287">
        <v>198.71</v>
      </c>
      <c r="F1170" s="1287">
        <v>198.71</v>
      </c>
      <c r="G1170" s="1286" t="s">
        <v>1367</v>
      </c>
      <c r="H1170" s="34" t="s">
        <v>925</v>
      </c>
    </row>
    <row r="1171" spans="1:8" ht="42.75">
      <c r="A1171" s="1289">
        <v>3</v>
      </c>
      <c r="B1171" s="1289" t="s">
        <v>4930</v>
      </c>
      <c r="C1171" s="1288" t="s">
        <v>927</v>
      </c>
      <c r="D1171" s="1287">
        <v>4.5999999999999996</v>
      </c>
      <c r="E1171" s="1287">
        <v>814.7</v>
      </c>
      <c r="F1171" s="1287">
        <v>3747.62</v>
      </c>
      <c r="G1171" s="1286" t="s">
        <v>4931</v>
      </c>
      <c r="H1171" s="34" t="s">
        <v>925</v>
      </c>
    </row>
    <row r="1172" spans="1:8" ht="42.75">
      <c r="A1172" s="1289">
        <v>4</v>
      </c>
      <c r="B1172" s="1289" t="s">
        <v>4874</v>
      </c>
      <c r="C1172" s="1288" t="s">
        <v>927</v>
      </c>
      <c r="D1172" s="1287">
        <v>4.5999999999999996</v>
      </c>
      <c r="E1172" s="1287">
        <v>558.37</v>
      </c>
      <c r="F1172" s="1287">
        <v>2568.5</v>
      </c>
      <c r="G1172" s="1286" t="s">
        <v>4875</v>
      </c>
      <c r="H1172" s="34" t="s">
        <v>925</v>
      </c>
    </row>
    <row r="1173" spans="1:8" ht="33">
      <c r="A1173" s="1289">
        <v>5</v>
      </c>
      <c r="B1173" s="1289" t="s">
        <v>931</v>
      </c>
      <c r="C1173" s="1288" t="s">
        <v>14</v>
      </c>
      <c r="D1173" s="1287">
        <v>1</v>
      </c>
      <c r="E1173" s="1287">
        <v>217.8</v>
      </c>
      <c r="F1173" s="1287">
        <v>217.8</v>
      </c>
      <c r="G1173" s="1286" t="s">
        <v>932</v>
      </c>
      <c r="H1173" s="34" t="s">
        <v>925</v>
      </c>
    </row>
    <row r="1174" spans="1:8" ht="33">
      <c r="A1174" s="1289"/>
      <c r="B1174" s="1289" t="s">
        <v>933</v>
      </c>
      <c r="C1174" s="1288" t="s">
        <v>3</v>
      </c>
      <c r="D1174" s="1287">
        <v>10</v>
      </c>
      <c r="E1174" s="1287"/>
      <c r="F1174" s="1287">
        <v>7477.78</v>
      </c>
      <c r="G1174" s="1286"/>
      <c r="H1174" s="34" t="s">
        <v>925</v>
      </c>
    </row>
    <row r="1175" spans="1:8" ht="16.5">
      <c r="A1175" s="1289"/>
      <c r="B1175" s="1289" t="s">
        <v>934</v>
      </c>
      <c r="C1175" s="1288" t="s">
        <v>3</v>
      </c>
      <c r="D1175" s="1287"/>
      <c r="E1175" s="1287"/>
      <c r="F1175" s="1287">
        <v>747.78</v>
      </c>
      <c r="G1175" s="1286"/>
    </row>
    <row r="1176" spans="1:8" ht="33">
      <c r="A1176" s="1289"/>
      <c r="B1176" s="1289"/>
      <c r="C1176" s="1288"/>
      <c r="D1176" s="1287"/>
      <c r="E1176" s="1287"/>
      <c r="F1176" s="1287"/>
      <c r="G1176" s="1286"/>
      <c r="H1176" s="34" t="s">
        <v>925</v>
      </c>
    </row>
    <row r="1177" spans="1:8" ht="33">
      <c r="A1177" s="1289" t="s">
        <v>1542</v>
      </c>
      <c r="B1177" s="1289" t="s">
        <v>4555</v>
      </c>
      <c r="C1177" s="1288" t="s">
        <v>17</v>
      </c>
      <c r="D1177" s="1287">
        <v>10</v>
      </c>
      <c r="E1177" s="1287">
        <v>1616.39</v>
      </c>
      <c r="F1177" s="1287"/>
      <c r="G1177" s="1286" t="s">
        <v>4935</v>
      </c>
      <c r="H1177" s="34" t="s">
        <v>925</v>
      </c>
    </row>
    <row r="1178" spans="1:8" ht="33">
      <c r="A1178" s="1289">
        <v>1</v>
      </c>
      <c r="B1178" s="1289" t="s">
        <v>1364</v>
      </c>
      <c r="C1178" s="1288" t="s">
        <v>3</v>
      </c>
      <c r="D1178" s="1287">
        <v>0.25</v>
      </c>
      <c r="E1178" s="1287">
        <v>2980.61</v>
      </c>
      <c r="F1178" s="1287">
        <v>745.15</v>
      </c>
      <c r="G1178" s="1286" t="s">
        <v>1365</v>
      </c>
      <c r="H1178" s="34" t="s">
        <v>925</v>
      </c>
    </row>
    <row r="1179" spans="1:8" ht="33">
      <c r="A1179" s="1289">
        <v>2</v>
      </c>
      <c r="B1179" s="1289" t="s">
        <v>1366</v>
      </c>
      <c r="C1179" s="1288" t="s">
        <v>14</v>
      </c>
      <c r="D1179" s="1287">
        <v>1</v>
      </c>
      <c r="E1179" s="1287">
        <v>496.77</v>
      </c>
      <c r="F1179" s="1287">
        <v>496.77</v>
      </c>
      <c r="G1179" s="1286" t="s">
        <v>1367</v>
      </c>
      <c r="H1179" s="34" t="s">
        <v>925</v>
      </c>
    </row>
    <row r="1180" spans="1:8" ht="42.75">
      <c r="A1180" s="1289">
        <v>3</v>
      </c>
      <c r="B1180" s="1289" t="s">
        <v>4930</v>
      </c>
      <c r="C1180" s="1288" t="s">
        <v>927</v>
      </c>
      <c r="D1180" s="1287">
        <v>8.2799999999999994</v>
      </c>
      <c r="E1180" s="1287">
        <v>814.7</v>
      </c>
      <c r="F1180" s="1287">
        <v>6745.72</v>
      </c>
      <c r="G1180" s="1286" t="s">
        <v>4931</v>
      </c>
      <c r="H1180" s="34" t="s">
        <v>925</v>
      </c>
    </row>
    <row r="1181" spans="1:8" ht="42.75">
      <c r="A1181" s="1289">
        <v>4</v>
      </c>
      <c r="B1181" s="1289" t="s">
        <v>4874</v>
      </c>
      <c r="C1181" s="1288" t="s">
        <v>927</v>
      </c>
      <c r="D1181" s="1287">
        <v>13.8</v>
      </c>
      <c r="E1181" s="1287">
        <v>558.37</v>
      </c>
      <c r="F1181" s="1287">
        <v>7705.51</v>
      </c>
      <c r="G1181" s="1286" t="s">
        <v>4875</v>
      </c>
      <c r="H1181" s="34" t="s">
        <v>925</v>
      </c>
    </row>
    <row r="1182" spans="1:8" ht="33">
      <c r="A1182" s="1289">
        <v>5</v>
      </c>
      <c r="B1182" s="1289" t="s">
        <v>931</v>
      </c>
      <c r="C1182" s="1288" t="s">
        <v>14</v>
      </c>
      <c r="D1182" s="1287">
        <v>1</v>
      </c>
      <c r="E1182" s="1287">
        <v>470.79</v>
      </c>
      <c r="F1182" s="1287">
        <v>470.79</v>
      </c>
      <c r="G1182" s="1286" t="s">
        <v>932</v>
      </c>
      <c r="H1182" s="34" t="s">
        <v>925</v>
      </c>
    </row>
    <row r="1183" spans="1:8" ht="16.5">
      <c r="A1183" s="1289"/>
      <c r="B1183" s="1289" t="s">
        <v>933</v>
      </c>
      <c r="C1183" s="1288" t="s">
        <v>17</v>
      </c>
      <c r="D1183" s="1287">
        <v>10</v>
      </c>
      <c r="E1183" s="1287"/>
      <c r="F1183" s="1287">
        <v>16163.940000000002</v>
      </c>
      <c r="G1183" s="1286"/>
    </row>
    <row r="1184" spans="1:8" ht="33">
      <c r="A1184" s="1289"/>
      <c r="B1184" s="1289" t="s">
        <v>934</v>
      </c>
      <c r="C1184" s="1288" t="s">
        <v>17</v>
      </c>
      <c r="D1184" s="1287"/>
      <c r="E1184" s="1287"/>
      <c r="F1184" s="1287">
        <v>1616.39</v>
      </c>
      <c r="G1184" s="1286"/>
      <c r="H1184" s="34" t="s">
        <v>925</v>
      </c>
    </row>
    <row r="1185" spans="1:8" ht="33">
      <c r="A1185" s="1289"/>
      <c r="B1185" s="1289"/>
      <c r="C1185" s="1288"/>
      <c r="D1185" s="1287"/>
      <c r="E1185" s="1287"/>
      <c r="F1185" s="1287"/>
      <c r="G1185" s="1286"/>
      <c r="H1185" s="34" t="s">
        <v>925</v>
      </c>
    </row>
    <row r="1186" spans="1:8" ht="33">
      <c r="A1186" s="1289" t="s">
        <v>1549</v>
      </c>
      <c r="B1186" s="1289" t="s">
        <v>4557</v>
      </c>
      <c r="C1186" s="1288" t="s">
        <v>3</v>
      </c>
      <c r="D1186" s="1287">
        <v>10</v>
      </c>
      <c r="E1186" s="1287">
        <v>916.74</v>
      </c>
      <c r="F1186" s="1287"/>
      <c r="G1186" s="1286" t="s">
        <v>4936</v>
      </c>
      <c r="H1186" s="34" t="s">
        <v>925</v>
      </c>
    </row>
    <row r="1187" spans="1:8" ht="33">
      <c r="A1187" s="1289">
        <v>1</v>
      </c>
      <c r="B1187" s="1289" t="s">
        <v>1364</v>
      </c>
      <c r="C1187" s="1288" t="s">
        <v>3</v>
      </c>
      <c r="D1187" s="1287">
        <v>0.25</v>
      </c>
      <c r="E1187" s="1287">
        <v>2980.61</v>
      </c>
      <c r="F1187" s="1287">
        <v>745.15</v>
      </c>
      <c r="G1187" s="1286" t="s">
        <v>1365</v>
      </c>
      <c r="H1187" s="34" t="s">
        <v>925</v>
      </c>
    </row>
    <row r="1188" spans="1:8" ht="33">
      <c r="A1188" s="1289">
        <v>2</v>
      </c>
      <c r="B1188" s="1289" t="s">
        <v>1366</v>
      </c>
      <c r="C1188" s="1288" t="s">
        <v>14</v>
      </c>
      <c r="D1188" s="1287">
        <v>1</v>
      </c>
      <c r="E1188" s="1287">
        <v>298.06</v>
      </c>
      <c r="F1188" s="1287">
        <v>298.06</v>
      </c>
      <c r="G1188" s="1286" t="s">
        <v>1367</v>
      </c>
      <c r="H1188" s="34" t="s">
        <v>925</v>
      </c>
    </row>
    <row r="1189" spans="1:8" ht="42.75">
      <c r="A1189" s="1289">
        <v>3</v>
      </c>
      <c r="B1189" s="1289" t="s">
        <v>4930</v>
      </c>
      <c r="C1189" s="1288" t="s">
        <v>927</v>
      </c>
      <c r="D1189" s="1287">
        <v>4.5999999999999996</v>
      </c>
      <c r="E1189" s="1287">
        <v>814.7</v>
      </c>
      <c r="F1189" s="1287">
        <v>3747.62</v>
      </c>
      <c r="G1189" s="1286" t="s">
        <v>4931</v>
      </c>
      <c r="H1189" s="34" t="s">
        <v>925</v>
      </c>
    </row>
    <row r="1190" spans="1:8" ht="42.75">
      <c r="A1190" s="1289">
        <v>4</v>
      </c>
      <c r="B1190" s="1289" t="s">
        <v>4874</v>
      </c>
      <c r="C1190" s="1288" t="s">
        <v>927</v>
      </c>
      <c r="D1190" s="1287">
        <v>7.36</v>
      </c>
      <c r="E1190" s="1287">
        <v>558.37</v>
      </c>
      <c r="F1190" s="1287">
        <v>4109.6000000000004</v>
      </c>
      <c r="G1190" s="1286" t="s">
        <v>4875</v>
      </c>
      <c r="H1190" s="34" t="s">
        <v>925</v>
      </c>
    </row>
    <row r="1191" spans="1:8" ht="28.5">
      <c r="A1191" s="1289">
        <v>5</v>
      </c>
      <c r="B1191" s="1289" t="s">
        <v>931</v>
      </c>
      <c r="C1191" s="1288" t="s">
        <v>14</v>
      </c>
      <c r="D1191" s="1287">
        <v>1</v>
      </c>
      <c r="E1191" s="1287">
        <v>267.01</v>
      </c>
      <c r="F1191" s="1287">
        <v>267.01</v>
      </c>
      <c r="G1191" s="1286" t="s">
        <v>932</v>
      </c>
    </row>
    <row r="1192" spans="1:8" ht="33">
      <c r="A1192" s="1289"/>
      <c r="B1192" s="1289" t="s">
        <v>933</v>
      </c>
      <c r="C1192" s="1288" t="s">
        <v>3</v>
      </c>
      <c r="D1192" s="1287">
        <v>10</v>
      </c>
      <c r="E1192" s="1287"/>
      <c r="F1192" s="1287">
        <v>9167.44</v>
      </c>
      <c r="G1192" s="1286"/>
      <c r="H1192" s="34" t="s">
        <v>925</v>
      </c>
    </row>
    <row r="1193" spans="1:8" ht="33">
      <c r="A1193" s="1289"/>
      <c r="B1193" s="1289" t="s">
        <v>934</v>
      </c>
      <c r="C1193" s="1288" t="s">
        <v>3</v>
      </c>
      <c r="D1193" s="1287"/>
      <c r="E1193" s="1287"/>
      <c r="F1193" s="1287">
        <v>916.74</v>
      </c>
      <c r="G1193" s="1286"/>
      <c r="H1193" s="34" t="s">
        <v>925</v>
      </c>
    </row>
    <row r="1194" spans="1:8" ht="33">
      <c r="A1194" s="1289"/>
      <c r="B1194" s="1289"/>
      <c r="C1194" s="1288"/>
      <c r="D1194" s="1287"/>
      <c r="E1194" s="1287"/>
      <c r="F1194" s="1287"/>
      <c r="G1194" s="1286"/>
      <c r="H1194" s="34" t="s">
        <v>925</v>
      </c>
    </row>
    <row r="1195" spans="1:8" ht="33">
      <c r="A1195" s="1289" t="s">
        <v>1556</v>
      </c>
      <c r="B1195" s="1289" t="s">
        <v>4559</v>
      </c>
      <c r="C1195" s="1288" t="s">
        <v>17</v>
      </c>
      <c r="D1195" s="1287">
        <v>10</v>
      </c>
      <c r="E1195" s="1287">
        <v>1891.18</v>
      </c>
      <c r="F1195" s="1287"/>
      <c r="G1195" s="1286" t="s">
        <v>4937</v>
      </c>
      <c r="H1195" s="34" t="s">
        <v>925</v>
      </c>
    </row>
    <row r="1196" spans="1:8" ht="33">
      <c r="A1196" s="1289">
        <v>1</v>
      </c>
      <c r="B1196" s="1289" t="s">
        <v>1364</v>
      </c>
      <c r="C1196" s="1288" t="s">
        <v>3</v>
      </c>
      <c r="D1196" s="1287">
        <v>0.25</v>
      </c>
      <c r="E1196" s="1287">
        <v>2980.61</v>
      </c>
      <c r="F1196" s="1287">
        <v>745.15</v>
      </c>
      <c r="G1196" s="1286" t="s">
        <v>1365</v>
      </c>
      <c r="H1196" s="34" t="s">
        <v>925</v>
      </c>
    </row>
    <row r="1197" spans="1:8" ht="33">
      <c r="A1197" s="1289">
        <v>2</v>
      </c>
      <c r="B1197" s="1289" t="s">
        <v>1366</v>
      </c>
      <c r="C1197" s="1288" t="s">
        <v>14</v>
      </c>
      <c r="D1197" s="1287">
        <v>1</v>
      </c>
      <c r="E1197" s="1287">
        <v>596.12</v>
      </c>
      <c r="F1197" s="1287">
        <v>596.12</v>
      </c>
      <c r="G1197" s="1286" t="s">
        <v>1367</v>
      </c>
      <c r="H1197" s="34" t="s">
        <v>925</v>
      </c>
    </row>
    <row r="1198" spans="1:8" ht="42.75">
      <c r="A1198" s="1289">
        <v>3</v>
      </c>
      <c r="B1198" s="1289" t="s">
        <v>4930</v>
      </c>
      <c r="C1198" s="1288" t="s">
        <v>927</v>
      </c>
      <c r="D1198" s="1287">
        <v>8.2799999999999994</v>
      </c>
      <c r="E1198" s="1287">
        <v>814.7</v>
      </c>
      <c r="F1198" s="1287">
        <v>6745.72</v>
      </c>
      <c r="G1198" s="1286" t="s">
        <v>4931</v>
      </c>
      <c r="H1198" s="34" t="s">
        <v>925</v>
      </c>
    </row>
    <row r="1199" spans="1:8" ht="42.75">
      <c r="A1199" s="1289">
        <v>4</v>
      </c>
      <c r="B1199" s="1289" t="s">
        <v>4874</v>
      </c>
      <c r="C1199" s="1288" t="s">
        <v>927</v>
      </c>
      <c r="D1199" s="1287">
        <v>18.399999999999999</v>
      </c>
      <c r="E1199" s="1287">
        <v>558.37</v>
      </c>
      <c r="F1199" s="1287">
        <v>10274.01</v>
      </c>
      <c r="G1199" s="1286" t="s">
        <v>4875</v>
      </c>
    </row>
    <row r="1200" spans="1:8" ht="33">
      <c r="A1200" s="1289">
        <v>5</v>
      </c>
      <c r="B1200" s="1289" t="s">
        <v>931</v>
      </c>
      <c r="C1200" s="1288" t="s">
        <v>14</v>
      </c>
      <c r="D1200" s="1287">
        <v>1</v>
      </c>
      <c r="E1200" s="1287">
        <v>550.83000000000004</v>
      </c>
      <c r="F1200" s="1287">
        <v>550.83000000000004</v>
      </c>
      <c r="G1200" s="1286" t="s">
        <v>932</v>
      </c>
      <c r="H1200" s="34" t="s">
        <v>925</v>
      </c>
    </row>
    <row r="1201" spans="1:8" ht="33">
      <c r="A1201" s="1289"/>
      <c r="B1201" s="1289" t="s">
        <v>933</v>
      </c>
      <c r="C1201" s="1288" t="s">
        <v>17</v>
      </c>
      <c r="D1201" s="1287">
        <v>10</v>
      </c>
      <c r="E1201" s="1287"/>
      <c r="F1201" s="1287">
        <v>18911.830000000002</v>
      </c>
      <c r="G1201" s="1286"/>
      <c r="H1201" s="34" t="s">
        <v>925</v>
      </c>
    </row>
    <row r="1202" spans="1:8" ht="33">
      <c r="A1202" s="1289"/>
      <c r="B1202" s="1289" t="s">
        <v>934</v>
      </c>
      <c r="C1202" s="1288" t="s">
        <v>17</v>
      </c>
      <c r="D1202" s="1287"/>
      <c r="E1202" s="1287"/>
      <c r="F1202" s="1287">
        <v>1891.18</v>
      </c>
      <c r="G1202" s="1286"/>
      <c r="H1202" s="34" t="s">
        <v>925</v>
      </c>
    </row>
    <row r="1203" spans="1:8" ht="33">
      <c r="A1203" s="1289"/>
      <c r="B1203" s="1289"/>
      <c r="C1203" s="1288"/>
      <c r="D1203" s="1287"/>
      <c r="E1203" s="1287"/>
      <c r="F1203" s="1287"/>
      <c r="G1203" s="1286"/>
      <c r="H1203" s="34" t="s">
        <v>925</v>
      </c>
    </row>
    <row r="1204" spans="1:8" ht="33">
      <c r="A1204" s="1289" t="s">
        <v>1563</v>
      </c>
      <c r="B1204" s="1289" t="s">
        <v>4561</v>
      </c>
      <c r="C1204" s="1288" t="s">
        <v>3</v>
      </c>
      <c r="D1204" s="1287">
        <v>10</v>
      </c>
      <c r="E1204" s="1287">
        <v>1076.3900000000001</v>
      </c>
      <c r="F1204" s="1287"/>
      <c r="G1204" s="1286" t="s">
        <v>4938</v>
      </c>
      <c r="H1204" s="34" t="s">
        <v>925</v>
      </c>
    </row>
    <row r="1205" spans="1:8" ht="33">
      <c r="A1205" s="1289">
        <v>1</v>
      </c>
      <c r="B1205" s="1289" t="s">
        <v>1364</v>
      </c>
      <c r="C1205" s="1288" t="s">
        <v>3</v>
      </c>
      <c r="D1205" s="1287">
        <v>0.25</v>
      </c>
      <c r="E1205" s="1287">
        <v>2980.61</v>
      </c>
      <c r="F1205" s="1287">
        <v>745.15</v>
      </c>
      <c r="G1205" s="1286" t="s">
        <v>1365</v>
      </c>
      <c r="H1205" s="34" t="s">
        <v>925</v>
      </c>
    </row>
    <row r="1206" spans="1:8" ht="33">
      <c r="A1206" s="1289">
        <v>2</v>
      </c>
      <c r="B1206" s="1289" t="s">
        <v>1366</v>
      </c>
      <c r="C1206" s="1288" t="s">
        <v>14</v>
      </c>
      <c r="D1206" s="1287">
        <v>1</v>
      </c>
      <c r="E1206" s="1287">
        <v>397.42</v>
      </c>
      <c r="F1206" s="1287">
        <v>397.42</v>
      </c>
      <c r="G1206" s="1286" t="s">
        <v>1367</v>
      </c>
      <c r="H1206" s="34" t="s">
        <v>925</v>
      </c>
    </row>
    <row r="1207" spans="1:8" ht="42.75">
      <c r="A1207" s="1289">
        <v>3</v>
      </c>
      <c r="B1207" s="1289" t="s">
        <v>4930</v>
      </c>
      <c r="C1207" s="1288" t="s">
        <v>927</v>
      </c>
      <c r="D1207" s="1287">
        <v>5.75</v>
      </c>
      <c r="E1207" s="1287">
        <v>814.7</v>
      </c>
      <c r="F1207" s="1287">
        <v>4684.53</v>
      </c>
      <c r="G1207" s="1286" t="s">
        <v>4931</v>
      </c>
    </row>
    <row r="1208" spans="1:8" ht="42.75">
      <c r="A1208" s="1289">
        <v>4</v>
      </c>
      <c r="B1208" s="1289" t="s">
        <v>4874</v>
      </c>
      <c r="C1208" s="1288" t="s">
        <v>927</v>
      </c>
      <c r="D1208" s="1287">
        <v>8.2799999999999994</v>
      </c>
      <c r="E1208" s="1287">
        <v>558.37</v>
      </c>
      <c r="F1208" s="1287">
        <v>4623.3</v>
      </c>
      <c r="G1208" s="1286" t="s">
        <v>4875</v>
      </c>
      <c r="H1208" s="34" t="s">
        <v>925</v>
      </c>
    </row>
    <row r="1209" spans="1:8" ht="33">
      <c r="A1209" s="1289">
        <v>5</v>
      </c>
      <c r="B1209" s="1289" t="s">
        <v>931</v>
      </c>
      <c r="C1209" s="1288" t="s">
        <v>14</v>
      </c>
      <c r="D1209" s="1287">
        <v>1</v>
      </c>
      <c r="E1209" s="1287">
        <v>313.51</v>
      </c>
      <c r="F1209" s="1287">
        <v>313.51</v>
      </c>
      <c r="G1209" s="1286" t="s">
        <v>932</v>
      </c>
      <c r="H1209" s="34" t="s">
        <v>925</v>
      </c>
    </row>
    <row r="1210" spans="1:8" ht="33">
      <c r="A1210" s="1289"/>
      <c r="B1210" s="1289" t="s">
        <v>933</v>
      </c>
      <c r="C1210" s="1288" t="s">
        <v>3</v>
      </c>
      <c r="D1210" s="1287">
        <v>10</v>
      </c>
      <c r="E1210" s="1287"/>
      <c r="F1210" s="1287">
        <v>10763.91</v>
      </c>
      <c r="G1210" s="1286"/>
      <c r="H1210" s="34" t="s">
        <v>925</v>
      </c>
    </row>
    <row r="1211" spans="1:8" ht="33">
      <c r="A1211" s="1289"/>
      <c r="B1211" s="1289" t="s">
        <v>934</v>
      </c>
      <c r="C1211" s="1288" t="s">
        <v>3</v>
      </c>
      <c r="D1211" s="1287"/>
      <c r="E1211" s="1287"/>
      <c r="F1211" s="1287">
        <v>1076.3900000000001</v>
      </c>
      <c r="G1211" s="1286"/>
      <c r="H1211" s="34" t="s">
        <v>925</v>
      </c>
    </row>
    <row r="1212" spans="1:8" ht="33">
      <c r="A1212" s="1289"/>
      <c r="B1212" s="1289"/>
      <c r="C1212" s="1288"/>
      <c r="D1212" s="1287"/>
      <c r="E1212" s="1287"/>
      <c r="F1212" s="1287"/>
      <c r="G1212" s="1286"/>
      <c r="H1212" s="34" t="s">
        <v>925</v>
      </c>
    </row>
    <row r="1213" spans="1:8" ht="33">
      <c r="A1213" s="1289" t="s">
        <v>1570</v>
      </c>
      <c r="B1213" s="1289" t="s">
        <v>1472</v>
      </c>
      <c r="C1213" s="1288" t="s">
        <v>4563</v>
      </c>
      <c r="D1213" s="1287">
        <v>10</v>
      </c>
      <c r="E1213" s="1287">
        <v>265.05</v>
      </c>
      <c r="F1213" s="1287"/>
      <c r="G1213" s="1286" t="s">
        <v>1473</v>
      </c>
      <c r="H1213" s="34" t="s">
        <v>925</v>
      </c>
    </row>
    <row r="1214" spans="1:8" ht="28.5">
      <c r="A1214" s="1289">
        <v>1</v>
      </c>
      <c r="B1214" s="1289" t="s">
        <v>1364</v>
      </c>
      <c r="C1214" s="1288" t="s">
        <v>3</v>
      </c>
      <c r="D1214" s="1287">
        <v>0.25</v>
      </c>
      <c r="E1214" s="1287">
        <v>2980.61</v>
      </c>
      <c r="F1214" s="1287">
        <v>745.15</v>
      </c>
      <c r="G1214" s="1286" t="s">
        <v>1365</v>
      </c>
    </row>
    <row r="1215" spans="1:8" ht="33">
      <c r="A1215" s="1289">
        <v>2</v>
      </c>
      <c r="B1215" s="1289" t="s">
        <v>1366</v>
      </c>
      <c r="C1215" s="1288" t="s">
        <v>14</v>
      </c>
      <c r="D1215" s="1287">
        <v>1</v>
      </c>
      <c r="E1215" s="1287">
        <v>198.71</v>
      </c>
      <c r="F1215" s="1287">
        <v>198.71</v>
      </c>
      <c r="G1215" s="1286" t="s">
        <v>1367</v>
      </c>
      <c r="H1215" s="34" t="s">
        <v>925</v>
      </c>
    </row>
    <row r="1216" spans="1:8" ht="42.75">
      <c r="A1216" s="1289">
        <v>3</v>
      </c>
      <c r="B1216" s="1289" t="s">
        <v>4927</v>
      </c>
      <c r="C1216" s="1288" t="s">
        <v>927</v>
      </c>
      <c r="D1216" s="1287">
        <v>4</v>
      </c>
      <c r="E1216" s="1287">
        <v>407.35</v>
      </c>
      <c r="F1216" s="1287">
        <v>1629.4</v>
      </c>
      <c r="G1216" s="1286" t="s">
        <v>4928</v>
      </c>
      <c r="H1216" s="34" t="s">
        <v>925</v>
      </c>
    </row>
    <row r="1217" spans="1:8" ht="33">
      <c r="A1217" s="1289">
        <v>4</v>
      </c>
      <c r="B1217" s="1289" t="s">
        <v>931</v>
      </c>
      <c r="C1217" s="1288" t="s">
        <v>14</v>
      </c>
      <c r="D1217" s="1287">
        <v>1</v>
      </c>
      <c r="E1217" s="1287">
        <v>77.2</v>
      </c>
      <c r="F1217" s="1287">
        <v>77.2</v>
      </c>
      <c r="G1217" s="1286" t="s">
        <v>932</v>
      </c>
      <c r="H1217" s="34" t="s">
        <v>925</v>
      </c>
    </row>
    <row r="1218" spans="1:8" ht="33">
      <c r="A1218" s="1289"/>
      <c r="B1218" s="1289" t="s">
        <v>933</v>
      </c>
      <c r="C1218" s="1288" t="s">
        <v>4563</v>
      </c>
      <c r="D1218" s="1287">
        <v>10</v>
      </c>
      <c r="E1218" s="1287"/>
      <c r="F1218" s="1287">
        <v>2650.46</v>
      </c>
      <c r="G1218" s="1286"/>
      <c r="H1218" s="34" t="s">
        <v>925</v>
      </c>
    </row>
    <row r="1219" spans="1:8" ht="33">
      <c r="A1219" s="1289"/>
      <c r="B1219" s="1289" t="s">
        <v>934</v>
      </c>
      <c r="C1219" s="1288" t="s">
        <v>4563</v>
      </c>
      <c r="D1219" s="1287"/>
      <c r="E1219" s="1287"/>
      <c r="F1219" s="1287">
        <v>265.05</v>
      </c>
      <c r="G1219" s="1286"/>
      <c r="H1219" s="34" t="s">
        <v>925</v>
      </c>
    </row>
    <row r="1220" spans="1:8" ht="33">
      <c r="A1220" s="1289"/>
      <c r="B1220" s="1289"/>
      <c r="C1220" s="1288"/>
      <c r="D1220" s="1287"/>
      <c r="E1220" s="1287"/>
      <c r="F1220" s="1287"/>
      <c r="G1220" s="1286"/>
      <c r="H1220" s="34" t="s">
        <v>925</v>
      </c>
    </row>
    <row r="1221" spans="1:8" ht="28.5">
      <c r="A1221" s="1289" t="s">
        <v>1577</v>
      </c>
      <c r="B1221" s="1289" t="s">
        <v>4565</v>
      </c>
      <c r="C1221" s="1288" t="s">
        <v>4563</v>
      </c>
      <c r="D1221" s="1287">
        <v>10</v>
      </c>
      <c r="E1221" s="1287">
        <v>483.22</v>
      </c>
      <c r="F1221" s="1287"/>
      <c r="G1221" s="1286" t="s">
        <v>4939</v>
      </c>
    </row>
    <row r="1222" spans="1:8" ht="33">
      <c r="A1222" s="1289">
        <v>1</v>
      </c>
      <c r="B1222" s="1289" t="s">
        <v>1364</v>
      </c>
      <c r="C1222" s="1288" t="s">
        <v>3</v>
      </c>
      <c r="D1222" s="1287">
        <v>0.25</v>
      </c>
      <c r="E1222" s="1287">
        <v>2980.61</v>
      </c>
      <c r="F1222" s="1287">
        <v>745.15</v>
      </c>
      <c r="G1222" s="1286" t="s">
        <v>1365</v>
      </c>
      <c r="H1222" s="34" t="s">
        <v>925</v>
      </c>
    </row>
    <row r="1223" spans="1:8" ht="33">
      <c r="A1223" s="1289">
        <v>2</v>
      </c>
      <c r="B1223" s="1289" t="s">
        <v>1366</v>
      </c>
      <c r="C1223" s="1288" t="s">
        <v>14</v>
      </c>
      <c r="D1223" s="1287">
        <v>1</v>
      </c>
      <c r="E1223" s="1287">
        <v>198.71</v>
      </c>
      <c r="F1223" s="1287">
        <v>198.71</v>
      </c>
      <c r="G1223" s="1286" t="s">
        <v>1367</v>
      </c>
      <c r="H1223" s="34" t="s">
        <v>925</v>
      </c>
    </row>
    <row r="1224" spans="1:8" ht="42.75">
      <c r="A1224" s="1289">
        <v>3</v>
      </c>
      <c r="B1224" s="1289" t="s">
        <v>4930</v>
      </c>
      <c r="C1224" s="1288" t="s">
        <v>927</v>
      </c>
      <c r="D1224" s="1287">
        <v>4.5999999999999996</v>
      </c>
      <c r="E1224" s="1287">
        <v>814.7</v>
      </c>
      <c r="F1224" s="1287">
        <v>3747.62</v>
      </c>
      <c r="G1224" s="1286" t="s">
        <v>4931</v>
      </c>
      <c r="H1224" s="34" t="s">
        <v>925</v>
      </c>
    </row>
    <row r="1225" spans="1:8" ht="33">
      <c r="A1225" s="1289">
        <v>4</v>
      </c>
      <c r="B1225" s="1289" t="s">
        <v>931</v>
      </c>
      <c r="C1225" s="1288" t="s">
        <v>14</v>
      </c>
      <c r="D1225" s="1287">
        <v>1</v>
      </c>
      <c r="E1225" s="1287">
        <v>140.74</v>
      </c>
      <c r="F1225" s="1287">
        <v>140.74</v>
      </c>
      <c r="G1225" s="1286" t="s">
        <v>932</v>
      </c>
      <c r="H1225" s="34" t="s">
        <v>925</v>
      </c>
    </row>
    <row r="1226" spans="1:8" ht="33">
      <c r="A1226" s="1289"/>
      <c r="B1226" s="1289" t="s">
        <v>933</v>
      </c>
      <c r="C1226" s="1288" t="s">
        <v>4563</v>
      </c>
      <c r="D1226" s="1287">
        <v>10</v>
      </c>
      <c r="E1226" s="1287"/>
      <c r="F1226" s="1287">
        <v>4832.2199999999993</v>
      </c>
      <c r="G1226" s="1286"/>
      <c r="H1226" s="34" t="s">
        <v>925</v>
      </c>
    </row>
    <row r="1227" spans="1:8" ht="33">
      <c r="A1227" s="1289"/>
      <c r="B1227" s="1289" t="s">
        <v>934</v>
      </c>
      <c r="C1227" s="1288" t="s">
        <v>4563</v>
      </c>
      <c r="D1227" s="1287"/>
      <c r="E1227" s="1287"/>
      <c r="F1227" s="1287">
        <v>483.22</v>
      </c>
      <c r="G1227" s="1286"/>
      <c r="H1227" s="34" t="s">
        <v>925</v>
      </c>
    </row>
    <row r="1228" spans="1:8" ht="16.5">
      <c r="A1228" s="1289"/>
      <c r="B1228" s="1289"/>
      <c r="C1228" s="1288"/>
      <c r="D1228" s="1287"/>
      <c r="E1228" s="1287"/>
      <c r="F1228" s="1287"/>
      <c r="G1228" s="1286"/>
    </row>
    <row r="1229" spans="1:8" ht="42.75">
      <c r="A1229" s="1289" t="s">
        <v>1584</v>
      </c>
      <c r="B1229" s="1289" t="s">
        <v>513</v>
      </c>
      <c r="C1229" s="1288" t="s">
        <v>18</v>
      </c>
      <c r="D1229" s="1287">
        <v>1000</v>
      </c>
      <c r="E1229" s="1287">
        <v>31.93</v>
      </c>
      <c r="F1229" s="1287"/>
      <c r="G1229" s="1286" t="s">
        <v>1410</v>
      </c>
      <c r="H1229" s="34" t="s">
        <v>925</v>
      </c>
    </row>
    <row r="1230" spans="1:8" ht="42.75">
      <c r="A1230" s="1289">
        <v>1</v>
      </c>
      <c r="B1230" s="1289" t="s">
        <v>1411</v>
      </c>
      <c r="C1230" s="1288" t="s">
        <v>1412</v>
      </c>
      <c r="D1230" s="1287">
        <v>1.05</v>
      </c>
      <c r="E1230" s="1287">
        <v>21311.39</v>
      </c>
      <c r="F1230" s="1287">
        <v>22376.959999999999</v>
      </c>
      <c r="G1230" s="1286" t="s">
        <v>1413</v>
      </c>
      <c r="H1230" s="34" t="s">
        <v>925</v>
      </c>
    </row>
    <row r="1231" spans="1:8" ht="42.75">
      <c r="A1231" s="1289">
        <v>2</v>
      </c>
      <c r="B1231" s="1289" t="s">
        <v>4940</v>
      </c>
      <c r="C1231" s="1288" t="s">
        <v>927</v>
      </c>
      <c r="D1231" s="1287">
        <v>10.4</v>
      </c>
      <c r="E1231" s="1287">
        <v>407.35</v>
      </c>
      <c r="F1231" s="1287">
        <v>4236.4399999999996</v>
      </c>
      <c r="G1231" s="1286" t="s">
        <v>4941</v>
      </c>
      <c r="H1231" s="34" t="s">
        <v>925</v>
      </c>
    </row>
    <row r="1232" spans="1:8" ht="42.75">
      <c r="A1232" s="1289">
        <v>3</v>
      </c>
      <c r="B1232" s="1289" t="s">
        <v>4942</v>
      </c>
      <c r="C1232" s="1288" t="s">
        <v>927</v>
      </c>
      <c r="D1232" s="1287">
        <v>10.4</v>
      </c>
      <c r="E1232" s="1287">
        <v>407.35</v>
      </c>
      <c r="F1232" s="1287">
        <v>4236.4399999999996</v>
      </c>
      <c r="G1232" s="1286" t="s">
        <v>4943</v>
      </c>
      <c r="H1232" s="34" t="s">
        <v>925</v>
      </c>
    </row>
    <row r="1233" spans="1:8" ht="33">
      <c r="A1233" s="1289">
        <v>4</v>
      </c>
      <c r="B1233" s="1289" t="s">
        <v>1414</v>
      </c>
      <c r="C1233" s="1288" t="s">
        <v>18</v>
      </c>
      <c r="D1233" s="1287">
        <v>4</v>
      </c>
      <c r="E1233" s="1287">
        <v>38.15</v>
      </c>
      <c r="F1233" s="1287">
        <v>152.6</v>
      </c>
      <c r="G1233" s="1286" t="s">
        <v>1415</v>
      </c>
      <c r="H1233" s="34" t="s">
        <v>925</v>
      </c>
    </row>
    <row r="1234" spans="1:8" ht="33">
      <c r="A1234" s="1289">
        <v>5</v>
      </c>
      <c r="B1234" s="1289" t="s">
        <v>931</v>
      </c>
      <c r="C1234" s="1288" t="s">
        <v>14</v>
      </c>
      <c r="D1234" s="1287">
        <v>1</v>
      </c>
      <c r="E1234" s="1287">
        <v>930.07</v>
      </c>
      <c r="F1234" s="1287">
        <v>930.07</v>
      </c>
      <c r="G1234" s="1286" t="s">
        <v>932</v>
      </c>
      <c r="H1234" s="34" t="s">
        <v>925</v>
      </c>
    </row>
    <row r="1235" spans="1:8" ht="16.5">
      <c r="A1235" s="1289"/>
      <c r="B1235" s="1289" t="s">
        <v>933</v>
      </c>
      <c r="C1235" s="1288" t="s">
        <v>18</v>
      </c>
      <c r="D1235" s="1287">
        <v>1000</v>
      </c>
      <c r="E1235" s="1287"/>
      <c r="F1235" s="1287">
        <v>31932.509999999995</v>
      </c>
      <c r="G1235" s="1286"/>
    </row>
    <row r="1236" spans="1:8" ht="33">
      <c r="A1236" s="1289"/>
      <c r="B1236" s="1289" t="s">
        <v>934</v>
      </c>
      <c r="C1236" s="1288" t="s">
        <v>18</v>
      </c>
      <c r="D1236" s="1287"/>
      <c r="E1236" s="1287"/>
      <c r="F1236" s="1287">
        <v>31.93</v>
      </c>
      <c r="G1236" s="1286"/>
      <c r="H1236" s="34" t="s">
        <v>925</v>
      </c>
    </row>
    <row r="1237" spans="1:8" ht="33">
      <c r="A1237" s="1289"/>
      <c r="B1237" s="1289"/>
      <c r="C1237" s="1288"/>
      <c r="D1237" s="1287"/>
      <c r="E1237" s="1287"/>
      <c r="F1237" s="1287"/>
      <c r="G1237" s="1286"/>
      <c r="H1237" s="34" t="s">
        <v>925</v>
      </c>
    </row>
    <row r="1238" spans="1:8" ht="42.75">
      <c r="A1238" s="1289" t="s">
        <v>1591</v>
      </c>
      <c r="B1238" s="1289" t="s">
        <v>1417</v>
      </c>
      <c r="C1238" s="1288" t="s">
        <v>18</v>
      </c>
      <c r="D1238" s="1287">
        <v>1000</v>
      </c>
      <c r="E1238" s="1287">
        <v>31.55</v>
      </c>
      <c r="F1238" s="1287"/>
      <c r="G1238" s="1286" t="s">
        <v>4022</v>
      </c>
      <c r="H1238" s="34" t="s">
        <v>925</v>
      </c>
    </row>
    <row r="1239" spans="1:8" ht="42.75">
      <c r="A1239" s="1289">
        <v>1</v>
      </c>
      <c r="B1239" s="1289" t="s">
        <v>1418</v>
      </c>
      <c r="C1239" s="1288" t="s">
        <v>1412</v>
      </c>
      <c r="D1239" s="1287">
        <v>1.05</v>
      </c>
      <c r="E1239" s="1287">
        <v>20953.72</v>
      </c>
      <c r="F1239" s="1287">
        <v>22001.41</v>
      </c>
      <c r="G1239" s="1286" t="s">
        <v>4944</v>
      </c>
      <c r="H1239" s="34" t="s">
        <v>925</v>
      </c>
    </row>
    <row r="1240" spans="1:8" ht="42.75">
      <c r="A1240" s="1289">
        <v>2</v>
      </c>
      <c r="B1240" s="1289" t="s">
        <v>4940</v>
      </c>
      <c r="C1240" s="1288" t="s">
        <v>927</v>
      </c>
      <c r="D1240" s="1287">
        <v>10.4</v>
      </c>
      <c r="E1240" s="1287">
        <v>407.35</v>
      </c>
      <c r="F1240" s="1287">
        <v>4236.4399999999996</v>
      </c>
      <c r="G1240" s="1286" t="s">
        <v>4941</v>
      </c>
      <c r="H1240" s="34" t="s">
        <v>925</v>
      </c>
    </row>
    <row r="1241" spans="1:8" ht="42.75">
      <c r="A1241" s="1289">
        <v>3</v>
      </c>
      <c r="B1241" s="1289" t="s">
        <v>4942</v>
      </c>
      <c r="C1241" s="1288" t="s">
        <v>927</v>
      </c>
      <c r="D1241" s="1287">
        <v>10.4</v>
      </c>
      <c r="E1241" s="1287">
        <v>407.35</v>
      </c>
      <c r="F1241" s="1287">
        <v>4236.4399999999996</v>
      </c>
      <c r="G1241" s="1286" t="s">
        <v>4943</v>
      </c>
      <c r="H1241" s="34" t="s">
        <v>925</v>
      </c>
    </row>
    <row r="1242" spans="1:8" ht="33">
      <c r="A1242" s="1289">
        <v>4</v>
      </c>
      <c r="B1242" s="1289" t="s">
        <v>1414</v>
      </c>
      <c r="C1242" s="1288" t="s">
        <v>18</v>
      </c>
      <c r="D1242" s="1287">
        <v>4</v>
      </c>
      <c r="E1242" s="1287">
        <v>38.15</v>
      </c>
      <c r="F1242" s="1287">
        <v>152.6</v>
      </c>
      <c r="G1242" s="1286" t="s">
        <v>1415</v>
      </c>
      <c r="H1242" s="34" t="s">
        <v>925</v>
      </c>
    </row>
    <row r="1243" spans="1:8" ht="28.5">
      <c r="A1243" s="1289">
        <v>5</v>
      </c>
      <c r="B1243" s="1289" t="s">
        <v>931</v>
      </c>
      <c r="C1243" s="1288" t="s">
        <v>14</v>
      </c>
      <c r="D1243" s="1287">
        <v>1</v>
      </c>
      <c r="E1243" s="1287">
        <v>918.81</v>
      </c>
      <c r="F1243" s="1287">
        <v>918.81</v>
      </c>
      <c r="G1243" s="1286" t="s">
        <v>932</v>
      </c>
    </row>
    <row r="1244" spans="1:8" ht="33">
      <c r="A1244" s="1289"/>
      <c r="B1244" s="1289" t="s">
        <v>933</v>
      </c>
      <c r="C1244" s="1288" t="s">
        <v>18</v>
      </c>
      <c r="D1244" s="1287">
        <v>1000</v>
      </c>
      <c r="E1244" s="1287"/>
      <c r="F1244" s="1287">
        <v>31545.699999999997</v>
      </c>
      <c r="G1244" s="1286"/>
      <c r="H1244" s="34" t="s">
        <v>925</v>
      </c>
    </row>
    <row r="1245" spans="1:8" ht="33">
      <c r="A1245" s="1289"/>
      <c r="B1245" s="1289" t="s">
        <v>934</v>
      </c>
      <c r="C1245" s="1288" t="s">
        <v>18</v>
      </c>
      <c r="D1245" s="1287"/>
      <c r="E1245" s="1287"/>
      <c r="F1245" s="1287">
        <v>31.55</v>
      </c>
      <c r="G1245" s="1286"/>
      <c r="H1245" s="34" t="s">
        <v>925</v>
      </c>
    </row>
    <row r="1246" spans="1:8" ht="33">
      <c r="A1246" s="1289"/>
      <c r="B1246" s="1289"/>
      <c r="C1246" s="1288"/>
      <c r="D1246" s="1287"/>
      <c r="E1246" s="1287"/>
      <c r="F1246" s="1287"/>
      <c r="G1246" s="1286"/>
      <c r="H1246" s="34" t="s">
        <v>925</v>
      </c>
    </row>
    <row r="1247" spans="1:8" ht="33">
      <c r="A1247" s="1289" t="s">
        <v>1598</v>
      </c>
      <c r="B1247" s="1289" t="s">
        <v>1420</v>
      </c>
      <c r="C1247" s="1288" t="s">
        <v>18</v>
      </c>
      <c r="D1247" s="1287">
        <v>1000</v>
      </c>
      <c r="E1247" s="1287">
        <v>33.54</v>
      </c>
      <c r="F1247" s="1287"/>
      <c r="G1247" s="1286" t="s">
        <v>1421</v>
      </c>
      <c r="H1247" s="34" t="s">
        <v>925</v>
      </c>
    </row>
    <row r="1248" spans="1:8" ht="33">
      <c r="A1248" s="1289">
        <v>1</v>
      </c>
      <c r="B1248" s="1289" t="s">
        <v>1422</v>
      </c>
      <c r="C1248" s="1288" t="s">
        <v>1412</v>
      </c>
      <c r="D1248" s="1287">
        <v>1.1000000000000001</v>
      </c>
      <c r="E1248" s="1287">
        <v>22056.55</v>
      </c>
      <c r="F1248" s="1287">
        <v>24262.21</v>
      </c>
      <c r="G1248" s="1286" t="s">
        <v>1423</v>
      </c>
      <c r="H1248" s="34" t="s">
        <v>925</v>
      </c>
    </row>
    <row r="1249" spans="1:8" ht="42.75">
      <c r="A1249" s="1289">
        <v>2</v>
      </c>
      <c r="B1249" s="1289" t="s">
        <v>4940</v>
      </c>
      <c r="C1249" s="1288" t="s">
        <v>927</v>
      </c>
      <c r="D1249" s="1287">
        <v>10</v>
      </c>
      <c r="E1249" s="1287">
        <v>407.35</v>
      </c>
      <c r="F1249" s="1287">
        <v>4073.5</v>
      </c>
      <c r="G1249" s="1286" t="s">
        <v>4941</v>
      </c>
      <c r="H1249" s="34" t="s">
        <v>925</v>
      </c>
    </row>
    <row r="1250" spans="1:8" ht="42.75">
      <c r="A1250" s="1289">
        <v>3</v>
      </c>
      <c r="B1250" s="1289" t="s">
        <v>4942</v>
      </c>
      <c r="C1250" s="1288" t="s">
        <v>927</v>
      </c>
      <c r="D1250" s="1287">
        <v>10</v>
      </c>
      <c r="E1250" s="1287">
        <v>407.35</v>
      </c>
      <c r="F1250" s="1287">
        <v>4073.5</v>
      </c>
      <c r="G1250" s="1286" t="s">
        <v>4943</v>
      </c>
      <c r="H1250" s="34" t="s">
        <v>925</v>
      </c>
    </row>
    <row r="1251" spans="1:8" ht="28.5">
      <c r="A1251" s="1289">
        <v>4</v>
      </c>
      <c r="B1251" s="1289" t="s">
        <v>1414</v>
      </c>
      <c r="C1251" s="1288" t="s">
        <v>18</v>
      </c>
      <c r="D1251" s="1287">
        <v>4</v>
      </c>
      <c r="E1251" s="1287">
        <v>38.15</v>
      </c>
      <c r="F1251" s="1287">
        <v>152.6</v>
      </c>
      <c r="G1251" s="1286" t="s">
        <v>1415</v>
      </c>
    </row>
    <row r="1252" spans="1:8" ht="33">
      <c r="A1252" s="1289">
        <v>5</v>
      </c>
      <c r="B1252" s="1289" t="s">
        <v>931</v>
      </c>
      <c r="C1252" s="1288" t="s">
        <v>14</v>
      </c>
      <c r="D1252" s="1287">
        <v>1</v>
      </c>
      <c r="E1252" s="1287">
        <v>976.85</v>
      </c>
      <c r="F1252" s="1287">
        <v>976.85</v>
      </c>
      <c r="G1252" s="1286" t="s">
        <v>932</v>
      </c>
      <c r="H1252" s="34" t="s">
        <v>925</v>
      </c>
    </row>
    <row r="1253" spans="1:8" ht="33">
      <c r="A1253" s="1289"/>
      <c r="B1253" s="1289" t="s">
        <v>933</v>
      </c>
      <c r="C1253" s="1288" t="s">
        <v>18</v>
      </c>
      <c r="D1253" s="1287">
        <v>1000</v>
      </c>
      <c r="E1253" s="1287"/>
      <c r="F1253" s="1287">
        <v>33538.659999999996</v>
      </c>
      <c r="G1253" s="1286"/>
      <c r="H1253" s="34" t="s">
        <v>925</v>
      </c>
    </row>
    <row r="1254" spans="1:8" ht="33">
      <c r="A1254" s="1289"/>
      <c r="B1254" s="1289" t="s">
        <v>934</v>
      </c>
      <c r="C1254" s="1288" t="s">
        <v>18</v>
      </c>
      <c r="D1254" s="1287"/>
      <c r="E1254" s="1287"/>
      <c r="F1254" s="1287">
        <v>33.54</v>
      </c>
      <c r="G1254" s="1286"/>
      <c r="H1254" s="34" t="s">
        <v>925</v>
      </c>
    </row>
    <row r="1255" spans="1:8" ht="33">
      <c r="A1255" s="1289"/>
      <c r="B1255" s="1289"/>
      <c r="C1255" s="1288"/>
      <c r="D1255" s="1287"/>
      <c r="E1255" s="1287"/>
      <c r="F1255" s="1287"/>
      <c r="G1255" s="1286"/>
      <c r="H1255" s="34" t="s">
        <v>925</v>
      </c>
    </row>
    <row r="1256" spans="1:8" ht="33">
      <c r="A1256" s="1289" t="s">
        <v>1605</v>
      </c>
      <c r="B1256" s="1289" t="s">
        <v>1425</v>
      </c>
      <c r="C1256" s="1288" t="s">
        <v>18</v>
      </c>
      <c r="D1256" s="1287">
        <v>1000</v>
      </c>
      <c r="E1256" s="1287">
        <v>33.74</v>
      </c>
      <c r="F1256" s="1287"/>
      <c r="G1256" s="1286" t="s">
        <v>1426</v>
      </c>
      <c r="H1256" s="34" t="s">
        <v>925</v>
      </c>
    </row>
    <row r="1257" spans="1:8" ht="33">
      <c r="A1257" s="1289">
        <v>1</v>
      </c>
      <c r="B1257" s="1289" t="s">
        <v>1427</v>
      </c>
      <c r="C1257" s="1288" t="s">
        <v>1412</v>
      </c>
      <c r="D1257" s="1287">
        <v>1.1000000000000001</v>
      </c>
      <c r="E1257" s="1287">
        <v>22235.38</v>
      </c>
      <c r="F1257" s="1287">
        <v>24458.92</v>
      </c>
      <c r="G1257" s="1286" t="s">
        <v>1428</v>
      </c>
      <c r="H1257" s="34" t="s">
        <v>925</v>
      </c>
    </row>
    <row r="1258" spans="1:8" ht="42.75">
      <c r="A1258" s="1289">
        <v>2</v>
      </c>
      <c r="B1258" s="1289" t="s">
        <v>4940</v>
      </c>
      <c r="C1258" s="1288" t="s">
        <v>927</v>
      </c>
      <c r="D1258" s="1287">
        <v>10</v>
      </c>
      <c r="E1258" s="1287">
        <v>407.35</v>
      </c>
      <c r="F1258" s="1287">
        <v>4073.5</v>
      </c>
      <c r="G1258" s="1286" t="s">
        <v>4941</v>
      </c>
    </row>
    <row r="1259" spans="1:8" ht="42.75">
      <c r="A1259" s="1289">
        <v>3</v>
      </c>
      <c r="B1259" s="1289" t="s">
        <v>4942</v>
      </c>
      <c r="C1259" s="1288" t="s">
        <v>927</v>
      </c>
      <c r="D1259" s="1287">
        <v>10</v>
      </c>
      <c r="E1259" s="1287">
        <v>407.35</v>
      </c>
      <c r="F1259" s="1287">
        <v>4073.5</v>
      </c>
      <c r="G1259" s="1286" t="s">
        <v>4943</v>
      </c>
      <c r="H1259" s="34" t="s">
        <v>925</v>
      </c>
    </row>
    <row r="1260" spans="1:8" ht="33">
      <c r="A1260" s="1289">
        <v>4</v>
      </c>
      <c r="B1260" s="1289" t="s">
        <v>1414</v>
      </c>
      <c r="C1260" s="1288" t="s">
        <v>18</v>
      </c>
      <c r="D1260" s="1287">
        <v>4</v>
      </c>
      <c r="E1260" s="1287">
        <v>38.15</v>
      </c>
      <c r="F1260" s="1287">
        <v>152.6</v>
      </c>
      <c r="G1260" s="1286" t="s">
        <v>1415</v>
      </c>
      <c r="H1260" s="34" t="s">
        <v>925</v>
      </c>
    </row>
    <row r="1261" spans="1:8" ht="33">
      <c r="A1261" s="1289">
        <v>5</v>
      </c>
      <c r="B1261" s="1289" t="s">
        <v>931</v>
      </c>
      <c r="C1261" s="1288" t="s">
        <v>14</v>
      </c>
      <c r="D1261" s="1287">
        <v>1</v>
      </c>
      <c r="E1261" s="1287">
        <v>982.76</v>
      </c>
      <c r="F1261" s="1287">
        <v>982.76</v>
      </c>
      <c r="G1261" s="1286" t="s">
        <v>932</v>
      </c>
      <c r="H1261" s="34" t="s">
        <v>925</v>
      </c>
    </row>
    <row r="1262" spans="1:8" ht="33">
      <c r="A1262" s="1289"/>
      <c r="B1262" s="1289" t="s">
        <v>933</v>
      </c>
      <c r="C1262" s="1288" t="s">
        <v>18</v>
      </c>
      <c r="D1262" s="1287">
        <v>1000</v>
      </c>
      <c r="E1262" s="1287"/>
      <c r="F1262" s="1287">
        <v>33741.279999999999</v>
      </c>
      <c r="G1262" s="1286"/>
      <c r="H1262" s="34" t="s">
        <v>925</v>
      </c>
    </row>
    <row r="1263" spans="1:8" ht="33">
      <c r="A1263" s="1289"/>
      <c r="B1263" s="1289" t="s">
        <v>934</v>
      </c>
      <c r="C1263" s="1288" t="s">
        <v>18</v>
      </c>
      <c r="D1263" s="1287"/>
      <c r="E1263" s="1287"/>
      <c r="F1263" s="1287">
        <v>33.74</v>
      </c>
      <c r="G1263" s="1286"/>
      <c r="H1263" s="34" t="s">
        <v>925</v>
      </c>
    </row>
    <row r="1264" spans="1:8" ht="33">
      <c r="A1264" s="1289"/>
      <c r="B1264" s="1289"/>
      <c r="C1264" s="1288"/>
      <c r="D1264" s="1287"/>
      <c r="E1264" s="1287"/>
      <c r="F1264" s="1287"/>
      <c r="G1264" s="1286"/>
      <c r="H1264" s="34" t="s">
        <v>925</v>
      </c>
    </row>
    <row r="1265" spans="1:8" ht="85.5">
      <c r="A1265" s="1289" t="s">
        <v>1612</v>
      </c>
      <c r="B1265" s="1289" t="s">
        <v>1417</v>
      </c>
      <c r="C1265" s="1288" t="s">
        <v>18</v>
      </c>
      <c r="D1265" s="1287">
        <v>1000</v>
      </c>
      <c r="E1265" s="1287">
        <v>34.42</v>
      </c>
      <c r="F1265" s="1287"/>
      <c r="G1265" s="1286" t="s">
        <v>4024</v>
      </c>
    </row>
    <row r="1266" spans="1:8" ht="42.75">
      <c r="A1266" s="1289">
        <v>1</v>
      </c>
      <c r="B1266" s="1289" t="s">
        <v>1418</v>
      </c>
      <c r="C1266" s="1288" t="s">
        <v>1412</v>
      </c>
      <c r="D1266" s="1287">
        <v>1.05</v>
      </c>
      <c r="E1266" s="1287">
        <v>20953.72</v>
      </c>
      <c r="F1266" s="1287">
        <v>22001.41</v>
      </c>
      <c r="G1266" s="1286" t="s">
        <v>4944</v>
      </c>
      <c r="H1266" s="34" t="s">
        <v>925</v>
      </c>
    </row>
    <row r="1267" spans="1:8" ht="42.75">
      <c r="A1267" s="1289">
        <v>2</v>
      </c>
      <c r="B1267" s="1289" t="s">
        <v>4940</v>
      </c>
      <c r="C1267" s="1288" t="s">
        <v>927</v>
      </c>
      <c r="D1267" s="1287">
        <v>13.83</v>
      </c>
      <c r="E1267" s="1287">
        <v>407.35</v>
      </c>
      <c r="F1267" s="1287">
        <v>5633.65</v>
      </c>
      <c r="G1267" s="1286" t="s">
        <v>4941</v>
      </c>
      <c r="H1267" s="34" t="s">
        <v>925</v>
      </c>
    </row>
    <row r="1268" spans="1:8" ht="42.75">
      <c r="A1268" s="1289">
        <v>3</v>
      </c>
      <c r="B1268" s="1289" t="s">
        <v>4942</v>
      </c>
      <c r="C1268" s="1288" t="s">
        <v>927</v>
      </c>
      <c r="D1268" s="1287">
        <v>13.83</v>
      </c>
      <c r="E1268" s="1287">
        <v>407.35</v>
      </c>
      <c r="F1268" s="1287">
        <v>5633.65</v>
      </c>
      <c r="G1268" s="1286" t="s">
        <v>4943</v>
      </c>
      <c r="H1268" s="34" t="s">
        <v>925</v>
      </c>
    </row>
    <row r="1269" spans="1:8" ht="33">
      <c r="A1269" s="1289">
        <v>4</v>
      </c>
      <c r="B1269" s="1289" t="s">
        <v>1414</v>
      </c>
      <c r="C1269" s="1288" t="s">
        <v>18</v>
      </c>
      <c r="D1269" s="1287">
        <v>4</v>
      </c>
      <c r="E1269" s="1287">
        <v>38.15</v>
      </c>
      <c r="F1269" s="1287">
        <v>152.6</v>
      </c>
      <c r="G1269" s="1286" t="s">
        <v>1415</v>
      </c>
      <c r="H1269" s="34" t="s">
        <v>925</v>
      </c>
    </row>
    <row r="1270" spans="1:8" ht="33">
      <c r="A1270" s="1289">
        <v>5</v>
      </c>
      <c r="B1270" s="1289" t="s">
        <v>931</v>
      </c>
      <c r="C1270" s="1288" t="s">
        <v>14</v>
      </c>
      <c r="D1270" s="1287">
        <v>1</v>
      </c>
      <c r="E1270" s="1287">
        <v>1002.64</v>
      </c>
      <c r="F1270" s="1287">
        <v>1002.64</v>
      </c>
      <c r="G1270" s="1286" t="s">
        <v>932</v>
      </c>
      <c r="H1270" s="34" t="s">
        <v>925</v>
      </c>
    </row>
    <row r="1271" spans="1:8" ht="33">
      <c r="A1271" s="1289"/>
      <c r="B1271" s="1289" t="s">
        <v>933</v>
      </c>
      <c r="C1271" s="1288" t="s">
        <v>18</v>
      </c>
      <c r="D1271" s="1287">
        <v>1000</v>
      </c>
      <c r="E1271" s="1287"/>
      <c r="F1271" s="1287">
        <v>34423.949999999997</v>
      </c>
      <c r="G1271" s="1286"/>
      <c r="H1271" s="34" t="s">
        <v>925</v>
      </c>
    </row>
    <row r="1272" spans="1:8" ht="33">
      <c r="A1272" s="1289"/>
      <c r="B1272" s="1289" t="s">
        <v>934</v>
      </c>
      <c r="C1272" s="1288" t="s">
        <v>18</v>
      </c>
      <c r="D1272" s="1287"/>
      <c r="E1272" s="1287"/>
      <c r="F1272" s="1287">
        <v>34.42</v>
      </c>
      <c r="G1272" s="1286"/>
      <c r="H1272" s="34" t="s">
        <v>925</v>
      </c>
    </row>
    <row r="1273" spans="1:8" ht="16.5">
      <c r="A1273" s="1289"/>
      <c r="B1273" s="1289"/>
      <c r="C1273" s="1288"/>
      <c r="D1273" s="1287"/>
      <c r="E1273" s="1287"/>
      <c r="F1273" s="1287"/>
      <c r="G1273" s="1286"/>
    </row>
    <row r="1274" spans="1:8" ht="85.5">
      <c r="A1274" s="1289" t="s">
        <v>1619</v>
      </c>
      <c r="B1274" s="1289" t="s">
        <v>513</v>
      </c>
      <c r="C1274" s="1288" t="s">
        <v>18</v>
      </c>
      <c r="D1274" s="1287">
        <v>1000</v>
      </c>
      <c r="E1274" s="1287">
        <v>34.81</v>
      </c>
      <c r="F1274" s="1287"/>
      <c r="G1274" s="1286" t="s">
        <v>1431</v>
      </c>
      <c r="H1274" s="34" t="s">
        <v>925</v>
      </c>
    </row>
    <row r="1275" spans="1:8" ht="42.75">
      <c r="A1275" s="1289">
        <v>1</v>
      </c>
      <c r="B1275" s="1289" t="s">
        <v>1411</v>
      </c>
      <c r="C1275" s="1288" t="s">
        <v>1412</v>
      </c>
      <c r="D1275" s="1287">
        <v>1.05</v>
      </c>
      <c r="E1275" s="1287">
        <v>21311.39</v>
      </c>
      <c r="F1275" s="1287">
        <v>22376.959999999999</v>
      </c>
      <c r="G1275" s="1286" t="s">
        <v>1413</v>
      </c>
      <c r="H1275" s="34" t="s">
        <v>925</v>
      </c>
    </row>
    <row r="1276" spans="1:8" ht="42.75">
      <c r="A1276" s="1289">
        <v>2</v>
      </c>
      <c r="B1276" s="1289" t="s">
        <v>4940</v>
      </c>
      <c r="C1276" s="1288" t="s">
        <v>927</v>
      </c>
      <c r="D1276" s="1287">
        <v>13.83</v>
      </c>
      <c r="E1276" s="1287">
        <v>407.35</v>
      </c>
      <c r="F1276" s="1287">
        <v>5633.65</v>
      </c>
      <c r="G1276" s="1286" t="s">
        <v>4941</v>
      </c>
      <c r="H1276" s="34" t="s">
        <v>925</v>
      </c>
    </row>
    <row r="1277" spans="1:8" ht="42.75">
      <c r="A1277" s="1289">
        <v>3</v>
      </c>
      <c r="B1277" s="1289" t="s">
        <v>4942</v>
      </c>
      <c r="C1277" s="1288" t="s">
        <v>927</v>
      </c>
      <c r="D1277" s="1287">
        <v>13.83</v>
      </c>
      <c r="E1277" s="1287">
        <v>407.35</v>
      </c>
      <c r="F1277" s="1287">
        <v>5633.65</v>
      </c>
      <c r="G1277" s="1286" t="s">
        <v>4943</v>
      </c>
      <c r="H1277" s="34" t="s">
        <v>925</v>
      </c>
    </row>
    <row r="1278" spans="1:8" ht="33">
      <c r="A1278" s="1289">
        <v>4</v>
      </c>
      <c r="B1278" s="1289" t="s">
        <v>1414</v>
      </c>
      <c r="C1278" s="1288" t="s">
        <v>18</v>
      </c>
      <c r="D1278" s="1287">
        <v>4</v>
      </c>
      <c r="E1278" s="1287">
        <v>38.15</v>
      </c>
      <c r="F1278" s="1287">
        <v>152.6</v>
      </c>
      <c r="G1278" s="1286" t="s">
        <v>1415</v>
      </c>
      <c r="H1278" s="34" t="s">
        <v>925</v>
      </c>
    </row>
    <row r="1279" spans="1:8" ht="33">
      <c r="A1279" s="1289">
        <v>5</v>
      </c>
      <c r="B1279" s="1289" t="s">
        <v>931</v>
      </c>
      <c r="C1279" s="1288" t="s">
        <v>14</v>
      </c>
      <c r="D1279" s="1287">
        <v>1</v>
      </c>
      <c r="E1279" s="1287">
        <v>1013.91</v>
      </c>
      <c r="F1279" s="1287">
        <v>1013.91</v>
      </c>
      <c r="G1279" s="1286" t="s">
        <v>932</v>
      </c>
      <c r="H1279" s="34" t="s">
        <v>925</v>
      </c>
    </row>
    <row r="1280" spans="1:8" ht="33">
      <c r="A1280" s="1289"/>
      <c r="B1280" s="1289" t="s">
        <v>933</v>
      </c>
      <c r="C1280" s="1288" t="s">
        <v>18</v>
      </c>
      <c r="D1280" s="1287">
        <v>1000</v>
      </c>
      <c r="E1280" s="1287"/>
      <c r="F1280" s="1287">
        <v>34810.770000000004</v>
      </c>
      <c r="G1280" s="1286"/>
      <c r="H1280" s="34" t="s">
        <v>925</v>
      </c>
    </row>
    <row r="1281" spans="1:8" ht="16.5">
      <c r="A1281" s="1289"/>
      <c r="B1281" s="1289" t="s">
        <v>934</v>
      </c>
      <c r="C1281" s="1288" t="s">
        <v>18</v>
      </c>
      <c r="D1281" s="1287"/>
      <c r="E1281" s="1287"/>
      <c r="F1281" s="1287">
        <v>34.81</v>
      </c>
      <c r="G1281" s="1286"/>
    </row>
    <row r="1282" spans="1:8" ht="33">
      <c r="A1282" s="1289"/>
      <c r="B1282" s="1289"/>
      <c r="C1282" s="1288"/>
      <c r="D1282" s="1287"/>
      <c r="E1282" s="1287"/>
      <c r="F1282" s="1287"/>
      <c r="G1282" s="1286"/>
      <c r="H1282" s="34" t="s">
        <v>925</v>
      </c>
    </row>
    <row r="1283" spans="1:8" ht="57">
      <c r="A1283" s="1289" t="s">
        <v>1624</v>
      </c>
      <c r="B1283" s="1289" t="s">
        <v>1420</v>
      </c>
      <c r="C1283" s="1288" t="s">
        <v>18</v>
      </c>
      <c r="D1283" s="1287">
        <v>1000</v>
      </c>
      <c r="E1283" s="1287">
        <v>36.31</v>
      </c>
      <c r="F1283" s="1287"/>
      <c r="G1283" s="1286" t="s">
        <v>1433</v>
      </c>
      <c r="H1283" s="34" t="s">
        <v>925</v>
      </c>
    </row>
    <row r="1284" spans="1:8" ht="33">
      <c r="A1284" s="1289">
        <v>1</v>
      </c>
      <c r="B1284" s="1289" t="s">
        <v>1422</v>
      </c>
      <c r="C1284" s="1288" t="s">
        <v>1412</v>
      </c>
      <c r="D1284" s="1287">
        <v>1.1000000000000001</v>
      </c>
      <c r="E1284" s="1287">
        <v>22056.55</v>
      </c>
      <c r="F1284" s="1287">
        <v>24262.21</v>
      </c>
      <c r="G1284" s="1286" t="s">
        <v>1423</v>
      </c>
      <c r="H1284" s="34" t="s">
        <v>925</v>
      </c>
    </row>
    <row r="1285" spans="1:8" ht="42.75">
      <c r="A1285" s="1289">
        <v>2</v>
      </c>
      <c r="B1285" s="1289" t="s">
        <v>4940</v>
      </c>
      <c r="C1285" s="1288" t="s">
        <v>927</v>
      </c>
      <c r="D1285" s="1287">
        <v>13.3</v>
      </c>
      <c r="E1285" s="1287">
        <v>407.35</v>
      </c>
      <c r="F1285" s="1287">
        <v>5417.76</v>
      </c>
      <c r="G1285" s="1286" t="s">
        <v>4941</v>
      </c>
      <c r="H1285" s="34" t="s">
        <v>925</v>
      </c>
    </row>
    <row r="1286" spans="1:8" ht="42.75">
      <c r="A1286" s="1289">
        <v>3</v>
      </c>
      <c r="B1286" s="1289" t="s">
        <v>4942</v>
      </c>
      <c r="C1286" s="1288" t="s">
        <v>927</v>
      </c>
      <c r="D1286" s="1287">
        <v>13.3</v>
      </c>
      <c r="E1286" s="1287">
        <v>407.35</v>
      </c>
      <c r="F1286" s="1287">
        <v>5417.76</v>
      </c>
      <c r="G1286" s="1286" t="s">
        <v>4943</v>
      </c>
      <c r="H1286" s="34" t="s">
        <v>925</v>
      </c>
    </row>
    <row r="1287" spans="1:8" ht="33">
      <c r="A1287" s="1289">
        <v>4</v>
      </c>
      <c r="B1287" s="1289" t="s">
        <v>1414</v>
      </c>
      <c r="C1287" s="1288" t="s">
        <v>18</v>
      </c>
      <c r="D1287" s="1287">
        <v>4</v>
      </c>
      <c r="E1287" s="1287">
        <v>38.15</v>
      </c>
      <c r="F1287" s="1287">
        <v>152.6</v>
      </c>
      <c r="G1287" s="1286" t="s">
        <v>1415</v>
      </c>
      <c r="H1287" s="34" t="s">
        <v>925</v>
      </c>
    </row>
    <row r="1288" spans="1:8" ht="33">
      <c r="A1288" s="1289">
        <v>5</v>
      </c>
      <c r="B1288" s="1289" t="s">
        <v>931</v>
      </c>
      <c r="C1288" s="1288" t="s">
        <v>14</v>
      </c>
      <c r="D1288" s="1287">
        <v>1</v>
      </c>
      <c r="E1288" s="1287">
        <v>1057.51</v>
      </c>
      <c r="F1288" s="1287">
        <v>1057.51</v>
      </c>
      <c r="G1288" s="1286" t="s">
        <v>932</v>
      </c>
      <c r="H1288" s="34" t="s">
        <v>925</v>
      </c>
    </row>
    <row r="1289" spans="1:8" ht="16.5">
      <c r="A1289" s="1289"/>
      <c r="B1289" s="1289" t="s">
        <v>933</v>
      </c>
      <c r="C1289" s="1288" t="s">
        <v>18</v>
      </c>
      <c r="D1289" s="1287">
        <v>1000</v>
      </c>
      <c r="E1289" s="1287"/>
      <c r="F1289" s="1287">
        <v>36307.840000000004</v>
      </c>
      <c r="G1289" s="1286"/>
    </row>
    <row r="1290" spans="1:8" ht="33">
      <c r="A1290" s="1289"/>
      <c r="B1290" s="1289" t="s">
        <v>934</v>
      </c>
      <c r="C1290" s="1288" t="s">
        <v>18</v>
      </c>
      <c r="D1290" s="1287"/>
      <c r="E1290" s="1287"/>
      <c r="F1290" s="1287">
        <v>36.31</v>
      </c>
      <c r="G1290" s="1286"/>
      <c r="H1290" s="34" t="s">
        <v>925</v>
      </c>
    </row>
    <row r="1291" spans="1:8" ht="33">
      <c r="A1291" s="1289"/>
      <c r="B1291" s="1289"/>
      <c r="C1291" s="1288"/>
      <c r="D1291" s="1287"/>
      <c r="E1291" s="1287"/>
      <c r="F1291" s="1287"/>
      <c r="G1291" s="1286"/>
      <c r="H1291" s="34" t="s">
        <v>925</v>
      </c>
    </row>
    <row r="1292" spans="1:8" ht="57">
      <c r="A1292" s="1289" t="s">
        <v>1629</v>
      </c>
      <c r="B1292" s="1289" t="s">
        <v>1425</v>
      </c>
      <c r="C1292" s="1288" t="s">
        <v>18</v>
      </c>
      <c r="D1292" s="1287">
        <v>1000</v>
      </c>
      <c r="E1292" s="1287">
        <v>36.51</v>
      </c>
      <c r="F1292" s="1287"/>
      <c r="G1292" s="1286" t="s">
        <v>1435</v>
      </c>
      <c r="H1292" s="34" t="s">
        <v>925</v>
      </c>
    </row>
    <row r="1293" spans="1:8" ht="33">
      <c r="A1293" s="1289">
        <v>1</v>
      </c>
      <c r="B1293" s="1289" t="s">
        <v>1427</v>
      </c>
      <c r="C1293" s="1288" t="s">
        <v>1412</v>
      </c>
      <c r="D1293" s="1287">
        <v>1.1000000000000001</v>
      </c>
      <c r="E1293" s="1287">
        <v>22235.38</v>
      </c>
      <c r="F1293" s="1287">
        <v>24458.92</v>
      </c>
      <c r="G1293" s="1286" t="s">
        <v>4023</v>
      </c>
      <c r="H1293" s="34" t="s">
        <v>925</v>
      </c>
    </row>
    <row r="1294" spans="1:8" ht="42.75">
      <c r="A1294" s="1289">
        <v>2</v>
      </c>
      <c r="B1294" s="1289" t="s">
        <v>4940</v>
      </c>
      <c r="C1294" s="1288" t="s">
        <v>927</v>
      </c>
      <c r="D1294" s="1287">
        <v>13.3</v>
      </c>
      <c r="E1294" s="1287">
        <v>407.35</v>
      </c>
      <c r="F1294" s="1287">
        <v>5417.76</v>
      </c>
      <c r="G1294" s="1286" t="s">
        <v>4941</v>
      </c>
      <c r="H1294" s="34" t="s">
        <v>925</v>
      </c>
    </row>
    <row r="1295" spans="1:8" ht="42.75">
      <c r="A1295" s="1289">
        <v>3</v>
      </c>
      <c r="B1295" s="1289" t="s">
        <v>4942</v>
      </c>
      <c r="C1295" s="1288" t="s">
        <v>927</v>
      </c>
      <c r="D1295" s="1287">
        <v>13.3</v>
      </c>
      <c r="E1295" s="1287">
        <v>407.35</v>
      </c>
      <c r="F1295" s="1287">
        <v>5417.76</v>
      </c>
      <c r="G1295" s="1286" t="s">
        <v>4943</v>
      </c>
      <c r="H1295" s="34" t="s">
        <v>925</v>
      </c>
    </row>
    <row r="1296" spans="1:8" ht="33">
      <c r="A1296" s="1289">
        <v>4</v>
      </c>
      <c r="B1296" s="1289" t="s">
        <v>1414</v>
      </c>
      <c r="C1296" s="1288" t="s">
        <v>18</v>
      </c>
      <c r="D1296" s="1287">
        <v>4</v>
      </c>
      <c r="E1296" s="1287">
        <v>38.15</v>
      </c>
      <c r="F1296" s="1287">
        <v>152.6</v>
      </c>
      <c r="G1296" s="1286" t="s">
        <v>1415</v>
      </c>
      <c r="H1296" s="34" t="s">
        <v>925</v>
      </c>
    </row>
    <row r="1297" spans="1:8" ht="28.5">
      <c r="A1297" s="1289">
        <v>5</v>
      </c>
      <c r="B1297" s="1289" t="s">
        <v>931</v>
      </c>
      <c r="C1297" s="1288" t="s">
        <v>14</v>
      </c>
      <c r="D1297" s="1287">
        <v>1</v>
      </c>
      <c r="E1297" s="1287">
        <v>1063.4100000000001</v>
      </c>
      <c r="F1297" s="1287">
        <v>1063.4100000000001</v>
      </c>
      <c r="G1297" s="1286" t="s">
        <v>932</v>
      </c>
    </row>
    <row r="1298" spans="1:8" ht="33">
      <c r="A1298" s="1289"/>
      <c r="B1298" s="1289" t="s">
        <v>933</v>
      </c>
      <c r="C1298" s="1288" t="s">
        <v>18</v>
      </c>
      <c r="D1298" s="1287">
        <v>1000</v>
      </c>
      <c r="E1298" s="1287"/>
      <c r="F1298" s="1287">
        <v>36510.450000000004</v>
      </c>
      <c r="G1298" s="1286"/>
      <c r="H1298" s="34" t="s">
        <v>925</v>
      </c>
    </row>
    <row r="1299" spans="1:8" ht="33">
      <c r="A1299" s="1289"/>
      <c r="B1299" s="1289" t="s">
        <v>934</v>
      </c>
      <c r="C1299" s="1288" t="s">
        <v>18</v>
      </c>
      <c r="D1299" s="1287"/>
      <c r="E1299" s="1287"/>
      <c r="F1299" s="1287">
        <v>36.51</v>
      </c>
      <c r="G1299" s="1286"/>
      <c r="H1299" s="34" t="s">
        <v>925</v>
      </c>
    </row>
    <row r="1300" spans="1:8" ht="33">
      <c r="A1300" s="1289"/>
      <c r="B1300" s="1289"/>
      <c r="C1300" s="1288"/>
      <c r="D1300" s="1287"/>
      <c r="E1300" s="1287"/>
      <c r="F1300" s="1287"/>
      <c r="G1300" s="1286"/>
      <c r="H1300" s="34" t="s">
        <v>925</v>
      </c>
    </row>
    <row r="1301" spans="1:8" ht="42.75">
      <c r="A1301" s="1289" t="s">
        <v>1634</v>
      </c>
      <c r="B1301" s="1289" t="s">
        <v>4575</v>
      </c>
      <c r="C1301" s="1288" t="s">
        <v>18</v>
      </c>
      <c r="D1301" s="1287">
        <v>1000</v>
      </c>
      <c r="E1301" s="1287">
        <v>43.28</v>
      </c>
      <c r="F1301" s="1287"/>
      <c r="G1301" s="1286" t="s">
        <v>4945</v>
      </c>
      <c r="H1301" s="34" t="s">
        <v>925</v>
      </c>
    </row>
    <row r="1302" spans="1:8" ht="42.75">
      <c r="A1302" s="1289">
        <v>1</v>
      </c>
      <c r="B1302" s="1289" t="s">
        <v>1411</v>
      </c>
      <c r="C1302" s="1288" t="s">
        <v>1412</v>
      </c>
      <c r="D1302" s="1287">
        <v>1.05</v>
      </c>
      <c r="E1302" s="1287">
        <v>21311.39</v>
      </c>
      <c r="F1302" s="1287">
        <v>22376.959999999999</v>
      </c>
      <c r="G1302" s="1286" t="s">
        <v>1413</v>
      </c>
      <c r="H1302" s="34" t="s">
        <v>925</v>
      </c>
    </row>
    <row r="1303" spans="1:8" ht="42.75">
      <c r="A1303" s="1289">
        <v>2</v>
      </c>
      <c r="B1303" s="1289" t="s">
        <v>4946</v>
      </c>
      <c r="C1303" s="1288" t="s">
        <v>927</v>
      </c>
      <c r="D1303" s="1287">
        <v>11.96</v>
      </c>
      <c r="E1303" s="1287">
        <v>814.7</v>
      </c>
      <c r="F1303" s="1287">
        <v>9743.81</v>
      </c>
      <c r="G1303" s="1286" t="s">
        <v>4947</v>
      </c>
      <c r="H1303" s="34" t="s">
        <v>925</v>
      </c>
    </row>
    <row r="1304" spans="1:8" ht="42.75">
      <c r="A1304" s="1289">
        <v>3</v>
      </c>
      <c r="B1304" s="1289" t="s">
        <v>4948</v>
      </c>
      <c r="C1304" s="1288" t="s">
        <v>927</v>
      </c>
      <c r="D1304" s="1287">
        <v>11.96</v>
      </c>
      <c r="E1304" s="1287">
        <v>814.7</v>
      </c>
      <c r="F1304" s="1287">
        <v>9743.81</v>
      </c>
      <c r="G1304" s="1286" t="s">
        <v>4949</v>
      </c>
      <c r="H1304" s="34" t="s">
        <v>925</v>
      </c>
    </row>
    <row r="1305" spans="1:8" ht="33">
      <c r="A1305" s="1289">
        <v>4</v>
      </c>
      <c r="B1305" s="1289" t="s">
        <v>1414</v>
      </c>
      <c r="C1305" s="1288" t="s">
        <v>18</v>
      </c>
      <c r="D1305" s="1287">
        <v>4</v>
      </c>
      <c r="E1305" s="1287">
        <v>38.15</v>
      </c>
      <c r="F1305" s="1287">
        <v>152.6</v>
      </c>
      <c r="G1305" s="1286" t="s">
        <v>1415</v>
      </c>
      <c r="H1305" s="34" t="s">
        <v>925</v>
      </c>
    </row>
    <row r="1306" spans="1:8" ht="33">
      <c r="A1306" s="1289">
        <v>5</v>
      </c>
      <c r="B1306" s="1289" t="s">
        <v>931</v>
      </c>
      <c r="C1306" s="1288" t="s">
        <v>14</v>
      </c>
      <c r="D1306" s="1287">
        <v>1</v>
      </c>
      <c r="E1306" s="1287">
        <v>1260.52</v>
      </c>
      <c r="F1306" s="1287">
        <v>1260.52</v>
      </c>
      <c r="G1306" s="1286" t="s">
        <v>932</v>
      </c>
      <c r="H1306" s="34" t="s">
        <v>925</v>
      </c>
    </row>
    <row r="1307" spans="1:8" ht="16.5">
      <c r="A1307" s="1289"/>
      <c r="B1307" s="1289" t="s">
        <v>933</v>
      </c>
      <c r="C1307" s="1288" t="s">
        <v>18</v>
      </c>
      <c r="D1307" s="1287">
        <v>1000</v>
      </c>
      <c r="E1307" s="1287"/>
      <c r="F1307" s="1287">
        <v>43277.69999999999</v>
      </c>
      <c r="G1307" s="1286"/>
    </row>
    <row r="1308" spans="1:8" ht="33">
      <c r="A1308" s="1289"/>
      <c r="B1308" s="1289" t="s">
        <v>934</v>
      </c>
      <c r="C1308" s="1288" t="s">
        <v>18</v>
      </c>
      <c r="D1308" s="1287"/>
      <c r="E1308" s="1287"/>
      <c r="F1308" s="1287">
        <v>43.28</v>
      </c>
      <c r="G1308" s="1286"/>
      <c r="H1308" s="34" t="s">
        <v>925</v>
      </c>
    </row>
    <row r="1309" spans="1:8" ht="33">
      <c r="A1309" s="1289"/>
      <c r="B1309" s="1289"/>
      <c r="C1309" s="1288"/>
      <c r="D1309" s="1287"/>
      <c r="E1309" s="1287"/>
      <c r="F1309" s="1287"/>
      <c r="G1309" s="1286"/>
      <c r="H1309" s="34" t="s">
        <v>925</v>
      </c>
    </row>
    <row r="1310" spans="1:8" ht="33">
      <c r="A1310" s="1289" t="s">
        <v>1640</v>
      </c>
      <c r="B1310" s="1289" t="s">
        <v>4577</v>
      </c>
      <c r="C1310" s="1288" t="s">
        <v>18</v>
      </c>
      <c r="D1310" s="1287">
        <v>1000</v>
      </c>
      <c r="E1310" s="1287">
        <v>44.65</v>
      </c>
      <c r="F1310" s="1287"/>
      <c r="G1310" s="1286" t="s">
        <v>4950</v>
      </c>
      <c r="H1310" s="34" t="s">
        <v>925</v>
      </c>
    </row>
    <row r="1311" spans="1:8" ht="33">
      <c r="A1311" s="1289">
        <v>1</v>
      </c>
      <c r="B1311" s="1289" t="s">
        <v>1427</v>
      </c>
      <c r="C1311" s="1288" t="s">
        <v>1412</v>
      </c>
      <c r="D1311" s="1287">
        <v>1.1000000000000001</v>
      </c>
      <c r="E1311" s="1287">
        <v>22235.38</v>
      </c>
      <c r="F1311" s="1287">
        <v>24458.92</v>
      </c>
      <c r="G1311" s="1286" t="s">
        <v>1428</v>
      </c>
      <c r="H1311" s="34" t="s">
        <v>925</v>
      </c>
    </row>
    <row r="1312" spans="1:8" ht="42.75">
      <c r="A1312" s="1289">
        <v>2</v>
      </c>
      <c r="B1312" s="1289" t="s">
        <v>4948</v>
      </c>
      <c r="C1312" s="1288" t="s">
        <v>927</v>
      </c>
      <c r="D1312" s="1287">
        <v>11.5</v>
      </c>
      <c r="E1312" s="1287">
        <v>814.7</v>
      </c>
      <c r="F1312" s="1287">
        <v>9369.0499999999993</v>
      </c>
      <c r="G1312" s="1286" t="s">
        <v>4949</v>
      </c>
      <c r="H1312" s="34" t="s">
        <v>925</v>
      </c>
    </row>
    <row r="1313" spans="1:8" ht="42.75">
      <c r="A1313" s="1289">
        <v>3</v>
      </c>
      <c r="B1313" s="1289" t="s">
        <v>4946</v>
      </c>
      <c r="C1313" s="1288" t="s">
        <v>927</v>
      </c>
      <c r="D1313" s="1287">
        <v>11.5</v>
      </c>
      <c r="E1313" s="1287">
        <v>814.7</v>
      </c>
      <c r="F1313" s="1287">
        <v>9369.0499999999993</v>
      </c>
      <c r="G1313" s="1286" t="s">
        <v>4947</v>
      </c>
      <c r="H1313" s="34" t="s">
        <v>925</v>
      </c>
    </row>
    <row r="1314" spans="1:8" ht="33">
      <c r="A1314" s="1289">
        <v>4</v>
      </c>
      <c r="B1314" s="1289" t="s">
        <v>1414</v>
      </c>
      <c r="C1314" s="1288" t="s">
        <v>18</v>
      </c>
      <c r="D1314" s="1287">
        <v>4</v>
      </c>
      <c r="E1314" s="1287">
        <v>38.15</v>
      </c>
      <c r="F1314" s="1287">
        <v>152.6</v>
      </c>
      <c r="G1314" s="1286" t="s">
        <v>1415</v>
      </c>
      <c r="H1314" s="34" t="s">
        <v>925</v>
      </c>
    </row>
    <row r="1315" spans="1:8" ht="28.5">
      <c r="A1315" s="1289">
        <v>5</v>
      </c>
      <c r="B1315" s="1289" t="s">
        <v>931</v>
      </c>
      <c r="C1315" s="1288" t="s">
        <v>14</v>
      </c>
      <c r="D1315" s="1287">
        <v>1</v>
      </c>
      <c r="E1315" s="1287">
        <v>1300.49</v>
      </c>
      <c r="F1315" s="1287">
        <v>1300.49</v>
      </c>
      <c r="G1315" s="1286" t="s">
        <v>932</v>
      </c>
    </row>
    <row r="1316" spans="1:8" ht="33">
      <c r="A1316" s="1289"/>
      <c r="B1316" s="1289" t="s">
        <v>933</v>
      </c>
      <c r="C1316" s="1288" t="s">
        <v>18</v>
      </c>
      <c r="D1316" s="1287">
        <v>1000</v>
      </c>
      <c r="E1316" s="1287"/>
      <c r="F1316" s="1287">
        <v>44650.11</v>
      </c>
      <c r="G1316" s="1286"/>
      <c r="H1316" s="34" t="s">
        <v>925</v>
      </c>
    </row>
    <row r="1317" spans="1:8" ht="33">
      <c r="A1317" s="1289"/>
      <c r="B1317" s="1289" t="s">
        <v>934</v>
      </c>
      <c r="C1317" s="1288" t="s">
        <v>18</v>
      </c>
      <c r="D1317" s="1287"/>
      <c r="E1317" s="1287"/>
      <c r="F1317" s="1287">
        <v>44.65</v>
      </c>
      <c r="G1317" s="1286"/>
      <c r="H1317" s="34" t="s">
        <v>925</v>
      </c>
    </row>
    <row r="1318" spans="1:8" ht="33">
      <c r="A1318" s="1289"/>
      <c r="B1318" s="1289"/>
      <c r="C1318" s="1288"/>
      <c r="D1318" s="1287"/>
      <c r="E1318" s="1287"/>
      <c r="F1318" s="1287"/>
      <c r="G1318" s="1286"/>
      <c r="H1318" s="34" t="s">
        <v>925</v>
      </c>
    </row>
    <row r="1319" spans="1:8" ht="33">
      <c r="A1319" s="1289" t="s">
        <v>1646</v>
      </c>
      <c r="B1319" s="1289" t="s">
        <v>1437</v>
      </c>
      <c r="C1319" s="1288" t="s">
        <v>18</v>
      </c>
      <c r="D1319" s="1287">
        <v>1000</v>
      </c>
      <c r="E1319" s="1287">
        <v>35.340000000000003</v>
      </c>
      <c r="F1319" s="1287"/>
      <c r="G1319" s="1286" t="s">
        <v>1438</v>
      </c>
      <c r="H1319" s="34" t="s">
        <v>925</v>
      </c>
    </row>
    <row r="1320" spans="1:8" ht="33">
      <c r="A1320" s="1289">
        <v>1</v>
      </c>
      <c r="B1320" s="1289" t="s">
        <v>1439</v>
      </c>
      <c r="C1320" s="1288" t="s">
        <v>14</v>
      </c>
      <c r="D1320" s="1287">
        <v>1</v>
      </c>
      <c r="E1320" s="1287">
        <v>8941.84</v>
      </c>
      <c r="F1320" s="1287">
        <v>8941.84</v>
      </c>
      <c r="G1320" s="1286" t="s">
        <v>1440</v>
      </c>
      <c r="H1320" s="34" t="s">
        <v>925</v>
      </c>
    </row>
    <row r="1321" spans="1:8" ht="33">
      <c r="A1321" s="1289">
        <v>2</v>
      </c>
      <c r="B1321" s="1289" t="s">
        <v>1441</v>
      </c>
      <c r="C1321" s="1288" t="s">
        <v>927</v>
      </c>
      <c r="D1321" s="1287">
        <v>2</v>
      </c>
      <c r="E1321" s="1287">
        <v>1356.18</v>
      </c>
      <c r="F1321" s="1287">
        <v>2712.36</v>
      </c>
      <c r="G1321" s="1286" t="s">
        <v>1442</v>
      </c>
      <c r="H1321" s="34" t="s">
        <v>925</v>
      </c>
    </row>
    <row r="1322" spans="1:8" ht="33">
      <c r="A1322" s="1289">
        <v>3</v>
      </c>
      <c r="B1322" s="1289" t="s">
        <v>1443</v>
      </c>
      <c r="C1322" s="1288" t="s">
        <v>927</v>
      </c>
      <c r="D1322" s="1287">
        <v>2</v>
      </c>
      <c r="E1322" s="1287">
        <v>398.41</v>
      </c>
      <c r="F1322" s="1287">
        <v>796.82</v>
      </c>
      <c r="G1322" s="1286" t="s">
        <v>1444</v>
      </c>
      <c r="H1322" s="34" t="s">
        <v>925</v>
      </c>
    </row>
    <row r="1323" spans="1:8" ht="28.5">
      <c r="A1323" s="1289">
        <v>4</v>
      </c>
      <c r="B1323" s="1289" t="s">
        <v>1445</v>
      </c>
      <c r="C1323" s="1288" t="s">
        <v>18</v>
      </c>
      <c r="D1323" s="1287">
        <v>1000</v>
      </c>
      <c r="E1323" s="1287">
        <v>21.86</v>
      </c>
      <c r="F1323" s="1287">
        <v>21860</v>
      </c>
      <c r="G1323" s="1286" t="s">
        <v>1446</v>
      </c>
    </row>
    <row r="1324" spans="1:8" ht="33">
      <c r="A1324" s="1289">
        <v>5</v>
      </c>
      <c r="B1324" s="1289" t="s">
        <v>931</v>
      </c>
      <c r="C1324" s="1288" t="s">
        <v>14</v>
      </c>
      <c r="D1324" s="1287">
        <v>1</v>
      </c>
      <c r="E1324" s="1287">
        <v>1029.33</v>
      </c>
      <c r="F1324" s="1287">
        <v>1029.33</v>
      </c>
      <c r="G1324" s="1286" t="s">
        <v>932</v>
      </c>
      <c r="H1324" s="34" t="s">
        <v>925</v>
      </c>
    </row>
    <row r="1325" spans="1:8" ht="33">
      <c r="A1325" s="1289"/>
      <c r="B1325" s="1289" t="s">
        <v>933</v>
      </c>
      <c r="C1325" s="1288" t="s">
        <v>18</v>
      </c>
      <c r="D1325" s="1287">
        <v>1000</v>
      </c>
      <c r="E1325" s="1287"/>
      <c r="F1325" s="1287">
        <v>35340.350000000006</v>
      </c>
      <c r="G1325" s="1286"/>
      <c r="H1325" s="34" t="s">
        <v>925</v>
      </c>
    </row>
    <row r="1326" spans="1:8" ht="33">
      <c r="A1326" s="1289"/>
      <c r="B1326" s="1289" t="s">
        <v>934</v>
      </c>
      <c r="C1326" s="1288" t="s">
        <v>18</v>
      </c>
      <c r="D1326" s="1287"/>
      <c r="E1326" s="1287"/>
      <c r="F1326" s="1287">
        <v>35.340000000000003</v>
      </c>
      <c r="G1326" s="1286"/>
      <c r="H1326" s="34" t="s">
        <v>925</v>
      </c>
    </row>
    <row r="1327" spans="1:8" ht="33">
      <c r="A1327" s="1289"/>
      <c r="B1327" s="1289"/>
      <c r="C1327" s="1288"/>
      <c r="D1327" s="1287"/>
      <c r="E1327" s="1287"/>
      <c r="F1327" s="1287"/>
      <c r="G1327" s="1286"/>
      <c r="H1327" s="34" t="s">
        <v>925</v>
      </c>
    </row>
    <row r="1328" spans="1:8" ht="33">
      <c r="A1328" s="1289" t="s">
        <v>1650</v>
      </c>
      <c r="B1328" s="1289" t="s">
        <v>1448</v>
      </c>
      <c r="C1328" s="1288" t="s">
        <v>18</v>
      </c>
      <c r="D1328" s="1287">
        <v>1</v>
      </c>
      <c r="E1328" s="1287">
        <v>276.3</v>
      </c>
      <c r="F1328" s="1287"/>
      <c r="G1328" s="1286" t="s">
        <v>1449</v>
      </c>
      <c r="H1328" s="34" t="s">
        <v>925</v>
      </c>
    </row>
    <row r="1329" spans="1:8" ht="33">
      <c r="A1329" s="1289">
        <v>1</v>
      </c>
      <c r="B1329" s="1289" t="s">
        <v>1450</v>
      </c>
      <c r="C1329" s="1288" t="s">
        <v>18</v>
      </c>
      <c r="D1329" s="1287">
        <v>1</v>
      </c>
      <c r="E1329" s="1287">
        <v>119.22</v>
      </c>
      <c r="F1329" s="1287">
        <v>119.22</v>
      </c>
      <c r="G1329" s="1286" t="s">
        <v>1451</v>
      </c>
      <c r="H1329" s="34" t="s">
        <v>925</v>
      </c>
    </row>
    <row r="1330" spans="1:8" ht="33">
      <c r="A1330" s="1289">
        <v>2</v>
      </c>
      <c r="B1330" s="1289" t="s">
        <v>1452</v>
      </c>
      <c r="C1330" s="1288" t="s">
        <v>14</v>
      </c>
      <c r="D1330" s="1287">
        <v>1</v>
      </c>
      <c r="E1330" s="1287">
        <v>149.03</v>
      </c>
      <c r="F1330" s="1287">
        <v>149.03</v>
      </c>
      <c r="G1330" s="1286" t="s">
        <v>1453</v>
      </c>
      <c r="H1330" s="34" t="s">
        <v>925</v>
      </c>
    </row>
    <row r="1331" spans="1:8" ht="28.5">
      <c r="A1331" s="1289">
        <v>3</v>
      </c>
      <c r="B1331" s="1289" t="s">
        <v>931</v>
      </c>
      <c r="C1331" s="1288" t="s">
        <v>14</v>
      </c>
      <c r="D1331" s="1287">
        <v>1</v>
      </c>
      <c r="E1331" s="1287">
        <v>8.0500000000000007</v>
      </c>
      <c r="F1331" s="1287">
        <v>8.0500000000000007</v>
      </c>
      <c r="G1331" s="1286" t="s">
        <v>932</v>
      </c>
    </row>
    <row r="1332" spans="1:8" ht="33">
      <c r="A1332" s="1289"/>
      <c r="B1332" s="1289" t="s">
        <v>933</v>
      </c>
      <c r="C1332" s="1288" t="s">
        <v>18</v>
      </c>
      <c r="D1332" s="1287">
        <v>1</v>
      </c>
      <c r="E1332" s="1287"/>
      <c r="F1332" s="1287">
        <v>276.3</v>
      </c>
      <c r="G1332" s="1286"/>
      <c r="H1332" s="34" t="s">
        <v>925</v>
      </c>
    </row>
    <row r="1333" spans="1:8" ht="33">
      <c r="A1333" s="1289"/>
      <c r="B1333" s="1289" t="s">
        <v>934</v>
      </c>
      <c r="C1333" s="1288" t="s">
        <v>18</v>
      </c>
      <c r="D1333" s="1287"/>
      <c r="E1333" s="1287"/>
      <c r="F1333" s="1287">
        <v>276.3</v>
      </c>
      <c r="G1333" s="1286"/>
      <c r="H1333" s="34" t="s">
        <v>925</v>
      </c>
    </row>
    <row r="1334" spans="1:8" ht="33">
      <c r="A1334" s="1289"/>
      <c r="B1334" s="1289"/>
      <c r="C1334" s="1288"/>
      <c r="D1334" s="1287"/>
      <c r="E1334" s="1287"/>
      <c r="F1334" s="1287"/>
      <c r="G1334" s="1286"/>
      <c r="H1334" s="34" t="s">
        <v>925</v>
      </c>
    </row>
    <row r="1335" spans="1:8" ht="33">
      <c r="A1335" s="1289" t="s">
        <v>1657</v>
      </c>
      <c r="B1335" s="1289" t="s">
        <v>1455</v>
      </c>
      <c r="C1335" s="1288" t="s">
        <v>18</v>
      </c>
      <c r="D1335" s="1287">
        <v>1</v>
      </c>
      <c r="E1335" s="1287">
        <v>317.24</v>
      </c>
      <c r="F1335" s="1287"/>
      <c r="G1335" s="1286" t="s">
        <v>1456</v>
      </c>
      <c r="H1335" s="34" t="s">
        <v>925</v>
      </c>
    </row>
    <row r="1336" spans="1:8" ht="33">
      <c r="A1336" s="1289">
        <v>1</v>
      </c>
      <c r="B1336" s="1289" t="s">
        <v>1457</v>
      </c>
      <c r="C1336" s="1288" t="s">
        <v>18</v>
      </c>
      <c r="D1336" s="1287">
        <v>1</v>
      </c>
      <c r="E1336" s="1287">
        <v>158.97</v>
      </c>
      <c r="F1336" s="1287">
        <v>158.97</v>
      </c>
      <c r="G1336" s="1286" t="s">
        <v>1458</v>
      </c>
      <c r="H1336" s="34" t="s">
        <v>925</v>
      </c>
    </row>
    <row r="1337" spans="1:8" ht="33">
      <c r="A1337" s="1289">
        <v>2</v>
      </c>
      <c r="B1337" s="1289" t="s">
        <v>1452</v>
      </c>
      <c r="C1337" s="1288" t="s">
        <v>14</v>
      </c>
      <c r="D1337" s="1287">
        <v>1</v>
      </c>
      <c r="E1337" s="1287">
        <v>149.03</v>
      </c>
      <c r="F1337" s="1287">
        <v>149.03</v>
      </c>
      <c r="G1337" s="1286" t="s">
        <v>1453</v>
      </c>
      <c r="H1337" s="34" t="s">
        <v>925</v>
      </c>
    </row>
    <row r="1338" spans="1:8" ht="33">
      <c r="A1338" s="1289">
        <v>3</v>
      </c>
      <c r="B1338" s="1289" t="s">
        <v>931</v>
      </c>
      <c r="C1338" s="1288" t="s">
        <v>14</v>
      </c>
      <c r="D1338" s="1287">
        <v>1</v>
      </c>
      <c r="E1338" s="1287">
        <v>9.24</v>
      </c>
      <c r="F1338" s="1287">
        <v>9.24</v>
      </c>
      <c r="G1338" s="1286" t="s">
        <v>932</v>
      </c>
      <c r="H1338" s="34" t="s">
        <v>925</v>
      </c>
    </row>
    <row r="1339" spans="1:8" ht="33">
      <c r="A1339" s="1289"/>
      <c r="B1339" s="1289" t="s">
        <v>933</v>
      </c>
      <c r="C1339" s="1288" t="s">
        <v>18</v>
      </c>
      <c r="D1339" s="1287">
        <v>1</v>
      </c>
      <c r="E1339" s="1287"/>
      <c r="F1339" s="1287">
        <v>317.24</v>
      </c>
      <c r="G1339" s="1286"/>
      <c r="H1339" s="34" t="s">
        <v>925</v>
      </c>
    </row>
    <row r="1340" spans="1:8" ht="33">
      <c r="A1340" s="1289"/>
      <c r="B1340" s="1289" t="s">
        <v>934</v>
      </c>
      <c r="C1340" s="1288" t="s">
        <v>18</v>
      </c>
      <c r="D1340" s="1287"/>
      <c r="E1340" s="1287"/>
      <c r="F1340" s="1287">
        <v>317.24</v>
      </c>
      <c r="G1340" s="1286"/>
      <c r="H1340" s="34" t="s">
        <v>925</v>
      </c>
    </row>
    <row r="1341" spans="1:8" ht="33">
      <c r="A1341" s="1289"/>
      <c r="B1341" s="1289"/>
      <c r="C1341" s="1288"/>
      <c r="D1341" s="1287"/>
      <c r="E1341" s="1287"/>
      <c r="F1341" s="1287"/>
      <c r="G1341" s="1286"/>
      <c r="H1341" s="34" t="s">
        <v>925</v>
      </c>
    </row>
    <row r="1342" spans="1:8" ht="28.5">
      <c r="A1342" s="1289" t="s">
        <v>1661</v>
      </c>
      <c r="B1342" s="1289" t="s">
        <v>1460</v>
      </c>
      <c r="C1342" s="1288" t="s">
        <v>3</v>
      </c>
      <c r="D1342" s="1287">
        <v>1</v>
      </c>
      <c r="E1342" s="1287">
        <v>863.21</v>
      </c>
      <c r="F1342" s="1287"/>
      <c r="G1342" s="1286" t="s">
        <v>1461</v>
      </c>
    </row>
    <row r="1343" spans="1:8" ht="33">
      <c r="A1343" s="1289">
        <v>1</v>
      </c>
      <c r="B1343" s="1289" t="s">
        <v>1462</v>
      </c>
      <c r="C1343" s="1288" t="s">
        <v>14</v>
      </c>
      <c r="D1343" s="1287">
        <v>1</v>
      </c>
      <c r="E1343" s="1287">
        <v>29.81</v>
      </c>
      <c r="F1343" s="1287">
        <v>29.81</v>
      </c>
      <c r="G1343" s="1286" t="s">
        <v>1463</v>
      </c>
      <c r="H1343" s="34" t="s">
        <v>925</v>
      </c>
    </row>
    <row r="1344" spans="1:8" ht="33">
      <c r="A1344" s="1289">
        <v>2</v>
      </c>
      <c r="B1344" s="1289" t="s">
        <v>1464</v>
      </c>
      <c r="C1344" s="1288" t="s">
        <v>18</v>
      </c>
      <c r="D1344" s="1287">
        <v>23.55</v>
      </c>
      <c r="E1344" s="1287">
        <v>31.79</v>
      </c>
      <c r="F1344" s="1287">
        <v>748.65</v>
      </c>
      <c r="G1344" s="1286" t="s">
        <v>1465</v>
      </c>
      <c r="H1344" s="34" t="s">
        <v>925</v>
      </c>
    </row>
    <row r="1345" spans="1:8" ht="33">
      <c r="A1345" s="1289">
        <v>3</v>
      </c>
      <c r="B1345" s="1289" t="s">
        <v>1466</v>
      </c>
      <c r="C1345" s="1288" t="s">
        <v>14</v>
      </c>
      <c r="D1345" s="1287">
        <v>1</v>
      </c>
      <c r="E1345" s="1287">
        <v>59.61</v>
      </c>
      <c r="F1345" s="1287">
        <v>59.61</v>
      </c>
      <c r="G1345" s="1286" t="s">
        <v>1467</v>
      </c>
      <c r="H1345" s="34" t="s">
        <v>925</v>
      </c>
    </row>
    <row r="1346" spans="1:8" ht="33">
      <c r="A1346" s="1289">
        <v>4</v>
      </c>
      <c r="B1346" s="1289" t="s">
        <v>931</v>
      </c>
      <c r="C1346" s="1288" t="s">
        <v>14</v>
      </c>
      <c r="D1346" s="1287">
        <v>1</v>
      </c>
      <c r="E1346" s="1287">
        <v>25.14</v>
      </c>
      <c r="F1346" s="1287">
        <v>25.14</v>
      </c>
      <c r="G1346" s="1286" t="s">
        <v>932</v>
      </c>
      <c r="H1346" s="34" t="s">
        <v>925</v>
      </c>
    </row>
    <row r="1347" spans="1:8" ht="33">
      <c r="A1347" s="1289"/>
      <c r="B1347" s="1289" t="s">
        <v>933</v>
      </c>
      <c r="C1347" s="1288" t="s">
        <v>3</v>
      </c>
      <c r="D1347" s="1287">
        <v>1</v>
      </c>
      <c r="E1347" s="1287"/>
      <c r="F1347" s="1287">
        <v>863.20999999999992</v>
      </c>
      <c r="G1347" s="1286"/>
      <c r="H1347" s="34" t="s">
        <v>925</v>
      </c>
    </row>
    <row r="1348" spans="1:8" ht="33">
      <c r="A1348" s="1289"/>
      <c r="B1348" s="1289" t="s">
        <v>934</v>
      </c>
      <c r="C1348" s="1288" t="s">
        <v>3</v>
      </c>
      <c r="D1348" s="1287"/>
      <c r="E1348" s="1287"/>
      <c r="F1348" s="1287">
        <v>863.21</v>
      </c>
      <c r="G1348" s="1286"/>
      <c r="H1348" s="34" t="s">
        <v>925</v>
      </c>
    </row>
    <row r="1349" spans="1:8" ht="33">
      <c r="A1349" s="1289"/>
      <c r="B1349" s="1289"/>
      <c r="C1349" s="1288"/>
      <c r="D1349" s="1287"/>
      <c r="E1349" s="1287"/>
      <c r="F1349" s="1287"/>
      <c r="G1349" s="1286"/>
      <c r="H1349" s="34" t="s">
        <v>925</v>
      </c>
    </row>
    <row r="1350" spans="1:8" ht="33">
      <c r="A1350" s="1289" t="s">
        <v>1663</v>
      </c>
      <c r="B1350" s="1289" t="s">
        <v>1469</v>
      </c>
      <c r="C1350" s="1288" t="s">
        <v>3</v>
      </c>
      <c r="D1350" s="1287">
        <v>1</v>
      </c>
      <c r="E1350" s="1287">
        <v>1505.97</v>
      </c>
      <c r="F1350" s="1287"/>
      <c r="G1350" s="1286" t="s">
        <v>1470</v>
      </c>
      <c r="H1350" s="34" t="s">
        <v>925</v>
      </c>
    </row>
    <row r="1351" spans="1:8" ht="33">
      <c r="A1351" s="1289">
        <v>1</v>
      </c>
      <c r="B1351" s="1289" t="s">
        <v>1462</v>
      </c>
      <c r="C1351" s="1288" t="s">
        <v>14</v>
      </c>
      <c r="D1351" s="1287">
        <v>1</v>
      </c>
      <c r="E1351" s="1287">
        <v>29.81</v>
      </c>
      <c r="F1351" s="1287">
        <v>29.81</v>
      </c>
      <c r="G1351" s="1286" t="s">
        <v>1463</v>
      </c>
      <c r="H1351" s="34" t="s">
        <v>925</v>
      </c>
    </row>
    <row r="1352" spans="1:8" ht="33">
      <c r="A1352" s="1289">
        <v>2</v>
      </c>
      <c r="B1352" s="1289" t="s">
        <v>1464</v>
      </c>
      <c r="C1352" s="1288" t="s">
        <v>18</v>
      </c>
      <c r="D1352" s="1287">
        <v>43.18</v>
      </c>
      <c r="E1352" s="1287">
        <v>31.79</v>
      </c>
      <c r="F1352" s="1287">
        <v>1372.69</v>
      </c>
      <c r="G1352" s="1286" t="s">
        <v>1465</v>
      </c>
      <c r="H1352" s="34" t="s">
        <v>925</v>
      </c>
    </row>
    <row r="1353" spans="1:8" ht="28.5">
      <c r="A1353" s="1289">
        <v>3</v>
      </c>
      <c r="B1353" s="1289" t="s">
        <v>1466</v>
      </c>
      <c r="C1353" s="1288" t="s">
        <v>14</v>
      </c>
      <c r="D1353" s="1287">
        <v>1</v>
      </c>
      <c r="E1353" s="1287">
        <v>59.61</v>
      </c>
      <c r="F1353" s="1287">
        <v>59.61</v>
      </c>
      <c r="G1353" s="1286" t="s">
        <v>1467</v>
      </c>
    </row>
    <row r="1354" spans="1:8" ht="33">
      <c r="A1354" s="1289">
        <v>4</v>
      </c>
      <c r="B1354" s="1289" t="s">
        <v>931</v>
      </c>
      <c r="C1354" s="1288" t="s">
        <v>14</v>
      </c>
      <c r="D1354" s="1287">
        <v>1</v>
      </c>
      <c r="E1354" s="1287">
        <v>43.86</v>
      </c>
      <c r="F1354" s="1287">
        <v>43.86</v>
      </c>
      <c r="G1354" s="1286" t="s">
        <v>932</v>
      </c>
      <c r="H1354" s="34" t="s">
        <v>925</v>
      </c>
    </row>
    <row r="1355" spans="1:8" ht="33">
      <c r="A1355" s="1289"/>
      <c r="B1355" s="1289" t="s">
        <v>933</v>
      </c>
      <c r="C1355" s="1288" t="s">
        <v>3</v>
      </c>
      <c r="D1355" s="1287">
        <v>1</v>
      </c>
      <c r="E1355" s="1287"/>
      <c r="F1355" s="1287">
        <v>1505.9699999999998</v>
      </c>
      <c r="G1355" s="1286"/>
      <c r="H1355" s="34" t="s">
        <v>925</v>
      </c>
    </row>
    <row r="1356" spans="1:8" ht="33">
      <c r="A1356" s="1289"/>
      <c r="B1356" s="1289" t="s">
        <v>934</v>
      </c>
      <c r="C1356" s="1288" t="s">
        <v>3</v>
      </c>
      <c r="D1356" s="1287"/>
      <c r="E1356" s="1287"/>
      <c r="F1356" s="1287">
        <v>1505.97</v>
      </c>
      <c r="G1356" s="1286"/>
      <c r="H1356" s="34" t="s">
        <v>925</v>
      </c>
    </row>
    <row r="1357" spans="1:8" ht="33">
      <c r="A1357" s="1289"/>
      <c r="B1357" s="1289"/>
      <c r="C1357" s="1288"/>
      <c r="D1357" s="1287"/>
      <c r="E1357" s="1287"/>
      <c r="F1357" s="1287"/>
      <c r="G1357" s="1286"/>
      <c r="H1357" s="34" t="s">
        <v>925</v>
      </c>
    </row>
    <row r="1358" spans="1:8" ht="57">
      <c r="A1358" s="1289" t="s">
        <v>1665</v>
      </c>
      <c r="B1358" s="1289" t="s">
        <v>1475</v>
      </c>
      <c r="C1358" s="1288" t="s">
        <v>17</v>
      </c>
      <c r="D1358" s="1287">
        <v>1</v>
      </c>
      <c r="E1358" s="1287">
        <v>1564.33</v>
      </c>
      <c r="F1358" s="1287"/>
      <c r="G1358" s="1286" t="s">
        <v>1476</v>
      </c>
      <c r="H1358" s="34" t="s">
        <v>925</v>
      </c>
    </row>
    <row r="1359" spans="1:8" ht="33">
      <c r="A1359" s="1289">
        <v>1</v>
      </c>
      <c r="B1359" s="1289" t="s">
        <v>1477</v>
      </c>
      <c r="C1359" s="1288" t="s">
        <v>0</v>
      </c>
      <c r="D1359" s="1287">
        <v>0.1</v>
      </c>
      <c r="E1359" s="1287">
        <v>3245.89</v>
      </c>
      <c r="F1359" s="1287">
        <v>324.58999999999997</v>
      </c>
      <c r="G1359" s="1286" t="s">
        <v>1478</v>
      </c>
      <c r="H1359" s="34" t="s">
        <v>925</v>
      </c>
    </row>
    <row r="1360" spans="1:8" ht="33">
      <c r="A1360" s="1289">
        <v>2</v>
      </c>
      <c r="B1360" s="1289" t="s">
        <v>1479</v>
      </c>
      <c r="C1360" s="1288" t="s">
        <v>17</v>
      </c>
      <c r="D1360" s="1287">
        <v>1</v>
      </c>
      <c r="E1360" s="1287">
        <v>353.7</v>
      </c>
      <c r="F1360" s="1287">
        <v>353.7</v>
      </c>
      <c r="G1360" s="1286" t="s">
        <v>1480</v>
      </c>
      <c r="H1360" s="34" t="s">
        <v>925</v>
      </c>
    </row>
    <row r="1361" spans="1:8" ht="33">
      <c r="A1361" s="1289">
        <v>3</v>
      </c>
      <c r="B1361" s="1289" t="s">
        <v>1104</v>
      </c>
      <c r="C1361" s="1288" t="s">
        <v>0</v>
      </c>
      <c r="D1361" s="1287">
        <v>0.1</v>
      </c>
      <c r="E1361" s="1287">
        <v>1479.26</v>
      </c>
      <c r="F1361" s="1287">
        <v>147.93</v>
      </c>
      <c r="G1361" s="1286" t="s">
        <v>4951</v>
      </c>
      <c r="H1361" s="34" t="s">
        <v>925</v>
      </c>
    </row>
    <row r="1362" spans="1:8" ht="57">
      <c r="A1362" s="1289">
        <v>4</v>
      </c>
      <c r="B1362" s="1289" t="s">
        <v>513</v>
      </c>
      <c r="C1362" s="1288" t="s">
        <v>18</v>
      </c>
      <c r="D1362" s="1287">
        <v>19</v>
      </c>
      <c r="E1362" s="1287">
        <v>31.93</v>
      </c>
      <c r="F1362" s="1287">
        <v>606.66999999999996</v>
      </c>
      <c r="G1362" s="1286" t="s">
        <v>4952</v>
      </c>
      <c r="H1362" s="34" t="s">
        <v>925</v>
      </c>
    </row>
    <row r="1363" spans="1:8" ht="33">
      <c r="A1363" s="1289">
        <v>5</v>
      </c>
      <c r="B1363" s="1289" t="s">
        <v>1481</v>
      </c>
      <c r="C1363" s="1288" t="s">
        <v>18</v>
      </c>
      <c r="D1363" s="1287">
        <v>19</v>
      </c>
      <c r="E1363" s="1287">
        <v>4.5199999999999996</v>
      </c>
      <c r="F1363" s="1287">
        <v>85.88</v>
      </c>
      <c r="G1363" s="1286" t="s">
        <v>1482</v>
      </c>
      <c r="H1363" s="34" t="s">
        <v>925</v>
      </c>
    </row>
    <row r="1364" spans="1:8" ht="28.5">
      <c r="A1364" s="1289">
        <v>6</v>
      </c>
      <c r="B1364" s="1289" t="s">
        <v>931</v>
      </c>
      <c r="C1364" s="1288" t="s">
        <v>14</v>
      </c>
      <c r="D1364" s="1287">
        <v>1</v>
      </c>
      <c r="E1364" s="1287">
        <v>45.56</v>
      </c>
      <c r="F1364" s="1287">
        <v>45.56</v>
      </c>
      <c r="G1364" s="1286" t="s">
        <v>932</v>
      </c>
    </row>
    <row r="1365" spans="1:8" ht="33">
      <c r="A1365" s="1289"/>
      <c r="B1365" s="1289" t="s">
        <v>933</v>
      </c>
      <c r="C1365" s="1288" t="s">
        <v>17</v>
      </c>
      <c r="D1365" s="1287">
        <v>1</v>
      </c>
      <c r="E1365" s="1287"/>
      <c r="F1365" s="1287">
        <v>1564.33</v>
      </c>
      <c r="G1365" s="1286"/>
      <c r="H1365" s="34" t="s">
        <v>925</v>
      </c>
    </row>
    <row r="1366" spans="1:8" ht="33">
      <c r="A1366" s="1289"/>
      <c r="B1366" s="1289" t="s">
        <v>934</v>
      </c>
      <c r="C1366" s="1288" t="s">
        <v>17</v>
      </c>
      <c r="D1366" s="1287"/>
      <c r="E1366" s="1287"/>
      <c r="F1366" s="1287">
        <v>1564.33</v>
      </c>
      <c r="G1366" s="1286"/>
      <c r="H1366" s="34" t="s">
        <v>925</v>
      </c>
    </row>
    <row r="1367" spans="1:8" ht="33">
      <c r="A1367" s="1289"/>
      <c r="B1367" s="1289"/>
      <c r="C1367" s="1288"/>
      <c r="D1367" s="1287"/>
      <c r="E1367" s="1287"/>
      <c r="F1367" s="1287"/>
      <c r="G1367" s="1286"/>
      <c r="H1367" s="34" t="s">
        <v>925</v>
      </c>
    </row>
    <row r="1368" spans="1:8" ht="57">
      <c r="A1368" s="1289" t="s">
        <v>1674</v>
      </c>
      <c r="B1368" s="1289" t="s">
        <v>1484</v>
      </c>
      <c r="C1368" s="1288" t="s">
        <v>17</v>
      </c>
      <c r="D1368" s="1287">
        <v>1</v>
      </c>
      <c r="E1368" s="1287">
        <v>1918.27</v>
      </c>
      <c r="F1368" s="1287"/>
      <c r="G1368" s="1286" t="s">
        <v>1485</v>
      </c>
      <c r="H1368" s="34" t="s">
        <v>925</v>
      </c>
    </row>
    <row r="1369" spans="1:8" ht="33">
      <c r="A1369" s="1289">
        <v>1</v>
      </c>
      <c r="B1369" s="1289" t="s">
        <v>1477</v>
      </c>
      <c r="C1369" s="1288" t="s">
        <v>0</v>
      </c>
      <c r="D1369" s="1287">
        <v>0.14000000000000001</v>
      </c>
      <c r="E1369" s="1287">
        <v>3245.89</v>
      </c>
      <c r="F1369" s="1287">
        <v>454.42</v>
      </c>
      <c r="G1369" s="1286" t="s">
        <v>1478</v>
      </c>
      <c r="H1369" s="34" t="s">
        <v>925</v>
      </c>
    </row>
    <row r="1370" spans="1:8" ht="33">
      <c r="A1370" s="1289">
        <v>2</v>
      </c>
      <c r="B1370" s="1289" t="s">
        <v>1486</v>
      </c>
      <c r="C1370" s="1288" t="s">
        <v>17</v>
      </c>
      <c r="D1370" s="1287">
        <v>1</v>
      </c>
      <c r="E1370" s="1287">
        <v>397.42</v>
      </c>
      <c r="F1370" s="1287">
        <v>397.42</v>
      </c>
      <c r="G1370" s="1286" t="s">
        <v>1487</v>
      </c>
      <c r="H1370" s="34" t="s">
        <v>925</v>
      </c>
    </row>
    <row r="1371" spans="1:8" ht="33">
      <c r="A1371" s="1289">
        <v>3</v>
      </c>
      <c r="B1371" s="1289" t="s">
        <v>1104</v>
      </c>
      <c r="C1371" s="1288" t="s">
        <v>0</v>
      </c>
      <c r="D1371" s="1287">
        <v>0.14000000000000001</v>
      </c>
      <c r="E1371" s="1287">
        <v>1479.26</v>
      </c>
      <c r="F1371" s="1287">
        <v>207.1</v>
      </c>
      <c r="G1371" s="1286" t="s">
        <v>4951</v>
      </c>
      <c r="H1371" s="34" t="s">
        <v>925</v>
      </c>
    </row>
    <row r="1372" spans="1:8" ht="28.5">
      <c r="A1372" s="1289">
        <v>4</v>
      </c>
      <c r="B1372" s="1289" t="s">
        <v>1425</v>
      </c>
      <c r="C1372" s="1288" t="s">
        <v>18</v>
      </c>
      <c r="D1372" s="1287">
        <v>21</v>
      </c>
      <c r="E1372" s="1287">
        <v>33.74</v>
      </c>
      <c r="F1372" s="1287">
        <v>708.54</v>
      </c>
      <c r="G1372" s="1286" t="s">
        <v>4953</v>
      </c>
    </row>
    <row r="1373" spans="1:8" ht="33">
      <c r="A1373" s="1289">
        <v>5</v>
      </c>
      <c r="B1373" s="1289" t="s">
        <v>1481</v>
      </c>
      <c r="C1373" s="1288" t="s">
        <v>18</v>
      </c>
      <c r="D1373" s="1287">
        <v>21</v>
      </c>
      <c r="E1373" s="1287">
        <v>4.5199999999999996</v>
      </c>
      <c r="F1373" s="1287">
        <v>94.92</v>
      </c>
      <c r="G1373" s="1286" t="s">
        <v>1482</v>
      </c>
      <c r="H1373" s="34" t="s">
        <v>925</v>
      </c>
    </row>
    <row r="1374" spans="1:8" ht="33">
      <c r="A1374" s="1289">
        <v>6</v>
      </c>
      <c r="B1374" s="1289" t="s">
        <v>931</v>
      </c>
      <c r="C1374" s="1288" t="s">
        <v>14</v>
      </c>
      <c r="D1374" s="1287">
        <v>1</v>
      </c>
      <c r="E1374" s="1287">
        <v>55.87</v>
      </c>
      <c r="F1374" s="1287">
        <v>55.87</v>
      </c>
      <c r="G1374" s="1286" t="s">
        <v>932</v>
      </c>
      <c r="H1374" s="34" t="s">
        <v>925</v>
      </c>
    </row>
    <row r="1375" spans="1:8" ht="33">
      <c r="A1375" s="1289"/>
      <c r="B1375" s="1289" t="s">
        <v>933</v>
      </c>
      <c r="C1375" s="1288" t="s">
        <v>17</v>
      </c>
      <c r="D1375" s="1287">
        <v>1</v>
      </c>
      <c r="E1375" s="1287"/>
      <c r="F1375" s="1287">
        <v>1918.27</v>
      </c>
      <c r="G1375" s="1286"/>
      <c r="H1375" s="34" t="s">
        <v>925</v>
      </c>
    </row>
    <row r="1376" spans="1:8" ht="33">
      <c r="A1376" s="1289"/>
      <c r="B1376" s="1289" t="s">
        <v>934</v>
      </c>
      <c r="C1376" s="1288" t="s">
        <v>17</v>
      </c>
      <c r="D1376" s="1287"/>
      <c r="E1376" s="1287"/>
      <c r="F1376" s="1287">
        <v>1918.27</v>
      </c>
      <c r="G1376" s="1286"/>
      <c r="H1376" s="34" t="s">
        <v>925</v>
      </c>
    </row>
    <row r="1377" spans="1:8" ht="33">
      <c r="A1377" s="1289"/>
      <c r="B1377" s="1289"/>
      <c r="C1377" s="1288"/>
      <c r="D1377" s="1287"/>
      <c r="E1377" s="1287"/>
      <c r="F1377" s="1287"/>
      <c r="G1377" s="1286"/>
      <c r="H1377" s="34" t="s">
        <v>925</v>
      </c>
    </row>
    <row r="1378" spans="1:8" ht="57">
      <c r="A1378" s="1289" t="s">
        <v>1679</v>
      </c>
      <c r="B1378" s="1289" t="s">
        <v>1489</v>
      </c>
      <c r="C1378" s="1288" t="s">
        <v>17</v>
      </c>
      <c r="D1378" s="1287">
        <v>1</v>
      </c>
      <c r="E1378" s="1287">
        <v>2237.81</v>
      </c>
      <c r="F1378" s="1287"/>
      <c r="G1378" s="1286" t="s">
        <v>1490</v>
      </c>
      <c r="H1378" s="34" t="s">
        <v>925</v>
      </c>
    </row>
    <row r="1379" spans="1:8" ht="33">
      <c r="A1379" s="1289">
        <v>1</v>
      </c>
      <c r="B1379" s="1289" t="s">
        <v>1477</v>
      </c>
      <c r="C1379" s="1288" t="s">
        <v>0</v>
      </c>
      <c r="D1379" s="1287">
        <v>0.18</v>
      </c>
      <c r="E1379" s="1287">
        <v>3245.89</v>
      </c>
      <c r="F1379" s="1287">
        <v>584.26</v>
      </c>
      <c r="G1379" s="1286" t="s">
        <v>1478</v>
      </c>
      <c r="H1379" s="34" t="s">
        <v>925</v>
      </c>
    </row>
    <row r="1380" spans="1:8" ht="33">
      <c r="A1380" s="1289">
        <v>2</v>
      </c>
      <c r="B1380" s="1289" t="s">
        <v>1491</v>
      </c>
      <c r="C1380" s="1288" t="s">
        <v>17</v>
      </c>
      <c r="D1380" s="1287">
        <v>1</v>
      </c>
      <c r="E1380" s="1287">
        <v>442.12</v>
      </c>
      <c r="F1380" s="1287">
        <v>442.12</v>
      </c>
      <c r="G1380" s="1286" t="s">
        <v>1492</v>
      </c>
      <c r="H1380" s="34" t="s">
        <v>925</v>
      </c>
    </row>
    <row r="1381" spans="1:8" ht="33">
      <c r="A1381" s="1289">
        <v>3</v>
      </c>
      <c r="B1381" s="1289" t="s">
        <v>1104</v>
      </c>
      <c r="C1381" s="1288" t="s">
        <v>0</v>
      </c>
      <c r="D1381" s="1287">
        <v>0.18</v>
      </c>
      <c r="E1381" s="1287">
        <v>1479.26</v>
      </c>
      <c r="F1381" s="1287">
        <v>266.27</v>
      </c>
      <c r="G1381" s="1286" t="s">
        <v>4951</v>
      </c>
      <c r="H1381" s="34" t="s">
        <v>925</v>
      </c>
    </row>
    <row r="1382" spans="1:8" ht="28.5">
      <c r="A1382" s="1289">
        <v>4</v>
      </c>
      <c r="B1382" s="1289" t="s">
        <v>1425</v>
      </c>
      <c r="C1382" s="1288" t="s">
        <v>18</v>
      </c>
      <c r="D1382" s="1287">
        <v>23</v>
      </c>
      <c r="E1382" s="1287">
        <v>33.74</v>
      </c>
      <c r="F1382" s="1287">
        <v>776.02</v>
      </c>
      <c r="G1382" s="1286" t="s">
        <v>4953</v>
      </c>
    </row>
    <row r="1383" spans="1:8" ht="33">
      <c r="A1383" s="1289">
        <v>5</v>
      </c>
      <c r="B1383" s="1289" t="s">
        <v>1481</v>
      </c>
      <c r="C1383" s="1288" t="s">
        <v>18</v>
      </c>
      <c r="D1383" s="1287">
        <v>23</v>
      </c>
      <c r="E1383" s="1287">
        <v>4.5199999999999996</v>
      </c>
      <c r="F1383" s="1287">
        <v>103.96</v>
      </c>
      <c r="G1383" s="1286" t="s">
        <v>1482</v>
      </c>
      <c r="H1383" s="34" t="s">
        <v>925</v>
      </c>
    </row>
    <row r="1384" spans="1:8" ht="33">
      <c r="A1384" s="1289">
        <v>6</v>
      </c>
      <c r="B1384" s="1289" t="s">
        <v>931</v>
      </c>
      <c r="C1384" s="1288" t="s">
        <v>14</v>
      </c>
      <c r="D1384" s="1287">
        <v>1</v>
      </c>
      <c r="E1384" s="1287">
        <v>65.180000000000007</v>
      </c>
      <c r="F1384" s="1287">
        <v>65.180000000000007</v>
      </c>
      <c r="G1384" s="1286" t="s">
        <v>932</v>
      </c>
      <c r="H1384" s="34" t="s">
        <v>925</v>
      </c>
    </row>
    <row r="1385" spans="1:8" ht="33">
      <c r="A1385" s="1289"/>
      <c r="B1385" s="1289" t="s">
        <v>933</v>
      </c>
      <c r="C1385" s="1288" t="s">
        <v>17</v>
      </c>
      <c r="D1385" s="1287">
        <v>1</v>
      </c>
      <c r="E1385" s="1287"/>
      <c r="F1385" s="1287">
        <v>2237.81</v>
      </c>
      <c r="G1385" s="1286"/>
      <c r="H1385" s="34" t="s">
        <v>925</v>
      </c>
    </row>
    <row r="1386" spans="1:8" ht="33">
      <c r="A1386" s="1289"/>
      <c r="B1386" s="1289" t="s">
        <v>934</v>
      </c>
      <c r="C1386" s="1288" t="s">
        <v>17</v>
      </c>
      <c r="D1386" s="1287"/>
      <c r="E1386" s="1287"/>
      <c r="F1386" s="1287">
        <v>2237.81</v>
      </c>
      <c r="G1386" s="1286"/>
      <c r="H1386" s="34" t="s">
        <v>925</v>
      </c>
    </row>
    <row r="1387" spans="1:8" ht="33">
      <c r="A1387" s="1289"/>
      <c r="B1387" s="1289"/>
      <c r="C1387" s="1288"/>
      <c r="D1387" s="1287"/>
      <c r="E1387" s="1287"/>
      <c r="F1387" s="1287"/>
      <c r="G1387" s="1286"/>
      <c r="H1387" s="34" t="s">
        <v>925</v>
      </c>
    </row>
    <row r="1388" spans="1:8" ht="57">
      <c r="A1388" s="1289" t="s">
        <v>1684</v>
      </c>
      <c r="B1388" s="1289" t="s">
        <v>1494</v>
      </c>
      <c r="C1388" s="1288" t="s">
        <v>17</v>
      </c>
      <c r="D1388" s="1287">
        <v>100</v>
      </c>
      <c r="E1388" s="1287">
        <v>1516.94</v>
      </c>
      <c r="F1388" s="1287"/>
      <c r="G1388" s="1286" t="s">
        <v>1495</v>
      </c>
      <c r="H1388" s="34" t="s">
        <v>925</v>
      </c>
    </row>
    <row r="1389" spans="1:8" ht="42.75">
      <c r="A1389" s="1289">
        <v>1</v>
      </c>
      <c r="B1389" s="1289" t="s">
        <v>1496</v>
      </c>
      <c r="C1389" s="1288" t="s">
        <v>1497</v>
      </c>
      <c r="D1389" s="1287">
        <v>400</v>
      </c>
      <c r="E1389" s="1287">
        <v>39.74</v>
      </c>
      <c r="F1389" s="1287">
        <v>15896</v>
      </c>
      <c r="G1389" s="1286" t="s">
        <v>1498</v>
      </c>
      <c r="H1389" s="34" t="s">
        <v>925</v>
      </c>
    </row>
    <row r="1390" spans="1:8" ht="28.5">
      <c r="A1390" s="1289">
        <v>2</v>
      </c>
      <c r="B1390" s="1289" t="s">
        <v>1499</v>
      </c>
      <c r="C1390" s="1288" t="s">
        <v>0</v>
      </c>
      <c r="D1390" s="1287">
        <v>4.5</v>
      </c>
      <c r="E1390" s="1287">
        <v>16704.36</v>
      </c>
      <c r="F1390" s="1287">
        <v>75169.62</v>
      </c>
      <c r="G1390" s="1286" t="s">
        <v>1500</v>
      </c>
    </row>
    <row r="1391" spans="1:8" ht="33">
      <c r="A1391" s="1289">
        <v>3</v>
      </c>
      <c r="B1391" s="1289" t="s">
        <v>1501</v>
      </c>
      <c r="C1391" s="1288" t="s">
        <v>0</v>
      </c>
      <c r="D1391" s="1287">
        <v>0.34</v>
      </c>
      <c r="E1391" s="1287">
        <v>16704.36</v>
      </c>
      <c r="F1391" s="1287">
        <v>5679.48</v>
      </c>
      <c r="G1391" s="1286" t="s">
        <v>1502</v>
      </c>
      <c r="H1391" s="34" t="s">
        <v>925</v>
      </c>
    </row>
    <row r="1392" spans="1:8" ht="33">
      <c r="A1392" s="1289">
        <v>4</v>
      </c>
      <c r="B1392" s="1289" t="s">
        <v>1503</v>
      </c>
      <c r="C1392" s="1288" t="s">
        <v>927</v>
      </c>
      <c r="D1392" s="1287">
        <v>10</v>
      </c>
      <c r="E1392" s="1287">
        <v>407.35</v>
      </c>
      <c r="F1392" s="1287">
        <v>4073.5</v>
      </c>
      <c r="G1392" s="1286" t="s">
        <v>1504</v>
      </c>
      <c r="H1392" s="34" t="s">
        <v>925</v>
      </c>
    </row>
    <row r="1393" spans="1:8" ht="33">
      <c r="A1393" s="1289">
        <v>5</v>
      </c>
      <c r="B1393" s="1289" t="s">
        <v>4871</v>
      </c>
      <c r="C1393" s="1288" t="s">
        <v>927</v>
      </c>
      <c r="D1393" s="1287">
        <v>160</v>
      </c>
      <c r="E1393" s="1287">
        <v>279.18</v>
      </c>
      <c r="F1393" s="1287">
        <v>44668.800000000003</v>
      </c>
      <c r="G1393" s="1286" t="s">
        <v>4872</v>
      </c>
      <c r="H1393" s="34" t="s">
        <v>925</v>
      </c>
    </row>
    <row r="1394" spans="1:8" ht="33">
      <c r="A1394" s="1289">
        <v>6</v>
      </c>
      <c r="B1394" s="1289" t="s">
        <v>1505</v>
      </c>
      <c r="C1394" s="1288" t="s">
        <v>18</v>
      </c>
      <c r="D1394" s="1287">
        <v>50</v>
      </c>
      <c r="E1394" s="1287">
        <v>35.770000000000003</v>
      </c>
      <c r="F1394" s="1287">
        <v>1788.5</v>
      </c>
      <c r="G1394" s="1286" t="s">
        <v>1506</v>
      </c>
      <c r="H1394" s="34" t="s">
        <v>925</v>
      </c>
    </row>
    <row r="1395" spans="1:8" ht="33">
      <c r="A1395" s="1289">
        <v>7</v>
      </c>
      <c r="B1395" s="1289" t="s">
        <v>931</v>
      </c>
      <c r="C1395" s="1288" t="s">
        <v>14</v>
      </c>
      <c r="D1395" s="1287">
        <v>1</v>
      </c>
      <c r="E1395" s="1287">
        <v>4418.28</v>
      </c>
      <c r="F1395" s="1287">
        <v>4418.28</v>
      </c>
      <c r="G1395" s="1286" t="s">
        <v>932</v>
      </c>
      <c r="H1395" s="34" t="s">
        <v>925</v>
      </c>
    </row>
    <row r="1396" spans="1:8" ht="33">
      <c r="A1396" s="1289"/>
      <c r="B1396" s="1289" t="s">
        <v>933</v>
      </c>
      <c r="C1396" s="1288" t="s">
        <v>17</v>
      </c>
      <c r="D1396" s="1287">
        <v>100</v>
      </c>
      <c r="E1396" s="1287"/>
      <c r="F1396" s="1287">
        <v>151694.18</v>
      </c>
      <c r="G1396" s="1286"/>
      <c r="H1396" s="34" t="s">
        <v>925</v>
      </c>
    </row>
    <row r="1397" spans="1:8" ht="16.5">
      <c r="A1397" s="1289"/>
      <c r="B1397" s="1289" t="s">
        <v>934</v>
      </c>
      <c r="C1397" s="1288" t="s">
        <v>17</v>
      </c>
      <c r="D1397" s="1287"/>
      <c r="E1397" s="1287"/>
      <c r="F1397" s="1287">
        <v>1516.94</v>
      </c>
      <c r="G1397" s="1286"/>
    </row>
    <row r="1398" spans="1:8" ht="33">
      <c r="A1398" s="1289"/>
      <c r="B1398" s="1289"/>
      <c r="C1398" s="1288"/>
      <c r="D1398" s="1287"/>
      <c r="E1398" s="1287"/>
      <c r="F1398" s="1287"/>
      <c r="G1398" s="1286"/>
      <c r="H1398" s="34" t="s">
        <v>925</v>
      </c>
    </row>
    <row r="1399" spans="1:8" ht="57">
      <c r="A1399" s="1289" t="s">
        <v>1687</v>
      </c>
      <c r="B1399" s="1289" t="s">
        <v>1508</v>
      </c>
      <c r="C1399" s="1288" t="s">
        <v>17</v>
      </c>
      <c r="D1399" s="1287">
        <v>100</v>
      </c>
      <c r="E1399" s="1287">
        <v>1215.92</v>
      </c>
      <c r="F1399" s="1287"/>
      <c r="G1399" s="1286" t="s">
        <v>1509</v>
      </c>
      <c r="H1399" s="34" t="s">
        <v>925</v>
      </c>
    </row>
    <row r="1400" spans="1:8" ht="42.75">
      <c r="A1400" s="1289">
        <v>1</v>
      </c>
      <c r="B1400" s="1289" t="s">
        <v>1510</v>
      </c>
      <c r="C1400" s="1288" t="s">
        <v>1497</v>
      </c>
      <c r="D1400" s="1287">
        <v>400</v>
      </c>
      <c r="E1400" s="1287">
        <v>34.770000000000003</v>
      </c>
      <c r="F1400" s="1287">
        <v>13908</v>
      </c>
      <c r="G1400" s="1286" t="s">
        <v>1511</v>
      </c>
      <c r="H1400" s="34" t="s">
        <v>925</v>
      </c>
    </row>
    <row r="1401" spans="1:8" ht="33">
      <c r="A1401" s="1289">
        <v>2</v>
      </c>
      <c r="B1401" s="1289" t="s">
        <v>1499</v>
      </c>
      <c r="C1401" s="1288" t="s">
        <v>0</v>
      </c>
      <c r="D1401" s="1287">
        <v>3.2</v>
      </c>
      <c r="E1401" s="1287">
        <v>16704.36</v>
      </c>
      <c r="F1401" s="1287">
        <v>53453.95</v>
      </c>
      <c r="G1401" s="1286" t="s">
        <v>1500</v>
      </c>
      <c r="H1401" s="34" t="s">
        <v>925</v>
      </c>
    </row>
    <row r="1402" spans="1:8" ht="33">
      <c r="A1402" s="1289">
        <v>3</v>
      </c>
      <c r="B1402" s="1289" t="s">
        <v>1501</v>
      </c>
      <c r="C1402" s="1288" t="s">
        <v>0</v>
      </c>
      <c r="D1402" s="1287">
        <v>0.17</v>
      </c>
      <c r="E1402" s="1287">
        <v>16704.36</v>
      </c>
      <c r="F1402" s="1287">
        <v>2839.74</v>
      </c>
      <c r="G1402" s="1286" t="s">
        <v>1502</v>
      </c>
      <c r="H1402" s="34" t="s">
        <v>925</v>
      </c>
    </row>
    <row r="1403" spans="1:8" ht="33">
      <c r="A1403" s="1289">
        <v>4</v>
      </c>
      <c r="B1403" s="1289" t="s">
        <v>1503</v>
      </c>
      <c r="C1403" s="1288" t="s">
        <v>927</v>
      </c>
      <c r="D1403" s="1287">
        <v>60</v>
      </c>
      <c r="E1403" s="1287">
        <v>407.35</v>
      </c>
      <c r="F1403" s="1287">
        <v>24441</v>
      </c>
      <c r="G1403" s="1286" t="s">
        <v>1504</v>
      </c>
      <c r="H1403" s="34" t="s">
        <v>925</v>
      </c>
    </row>
    <row r="1404" spans="1:8" ht="33">
      <c r="A1404" s="1289">
        <v>5</v>
      </c>
      <c r="B1404" s="1289" t="s">
        <v>4871</v>
      </c>
      <c r="C1404" s="1288" t="s">
        <v>927</v>
      </c>
      <c r="D1404" s="1287">
        <v>80</v>
      </c>
      <c r="E1404" s="1287">
        <v>279.18</v>
      </c>
      <c r="F1404" s="1287">
        <v>22334.400000000001</v>
      </c>
      <c r="G1404" s="1286" t="s">
        <v>4872</v>
      </c>
      <c r="H1404" s="34" t="s">
        <v>925</v>
      </c>
    </row>
    <row r="1405" spans="1:8" ht="33">
      <c r="A1405" s="1289">
        <v>6</v>
      </c>
      <c r="B1405" s="1289" t="s">
        <v>1505</v>
      </c>
      <c r="C1405" s="1288" t="s">
        <v>18</v>
      </c>
      <c r="D1405" s="1287">
        <v>30</v>
      </c>
      <c r="E1405" s="1287">
        <v>35.770000000000003</v>
      </c>
      <c r="F1405" s="1287">
        <v>1073.0999999999999</v>
      </c>
      <c r="G1405" s="1286" t="s">
        <v>1506</v>
      </c>
      <c r="H1405" s="34" t="s">
        <v>925</v>
      </c>
    </row>
    <row r="1406" spans="1:8" ht="33">
      <c r="A1406" s="1289">
        <v>7</v>
      </c>
      <c r="B1406" s="1289" t="s">
        <v>931</v>
      </c>
      <c r="C1406" s="1288" t="s">
        <v>14</v>
      </c>
      <c r="D1406" s="1287">
        <v>1</v>
      </c>
      <c r="E1406" s="1287">
        <v>3541.51</v>
      </c>
      <c r="F1406" s="1287">
        <v>3541.51</v>
      </c>
      <c r="G1406" s="1286" t="s">
        <v>932</v>
      </c>
      <c r="H1406" s="34" t="s">
        <v>925</v>
      </c>
    </row>
    <row r="1407" spans="1:8" ht="33">
      <c r="A1407" s="1289"/>
      <c r="B1407" s="1289" t="s">
        <v>933</v>
      </c>
      <c r="C1407" s="1288" t="s">
        <v>17</v>
      </c>
      <c r="D1407" s="1287">
        <v>100</v>
      </c>
      <c r="E1407" s="1287"/>
      <c r="F1407" s="1287">
        <v>121591.7</v>
      </c>
      <c r="G1407" s="1286"/>
      <c r="H1407" s="34" t="s">
        <v>925</v>
      </c>
    </row>
    <row r="1408" spans="1:8" ht="33">
      <c r="A1408" s="1289"/>
      <c r="B1408" s="1289" t="s">
        <v>934</v>
      </c>
      <c r="C1408" s="1288" t="s">
        <v>17</v>
      </c>
      <c r="D1408" s="1287"/>
      <c r="E1408" s="1287"/>
      <c r="F1408" s="1287">
        <v>1215.92</v>
      </c>
      <c r="G1408" s="1286"/>
      <c r="H1408" s="34" t="s">
        <v>925</v>
      </c>
    </row>
    <row r="1409" spans="1:8" ht="33">
      <c r="A1409" s="1289"/>
      <c r="B1409" s="1289"/>
      <c r="C1409" s="1288"/>
      <c r="D1409" s="1287"/>
      <c r="E1409" s="1287"/>
      <c r="F1409" s="1287"/>
      <c r="G1409" s="1286"/>
      <c r="H1409" s="34" t="s">
        <v>925</v>
      </c>
    </row>
    <row r="1410" spans="1:8" ht="57">
      <c r="A1410" s="1289" t="s">
        <v>1699</v>
      </c>
      <c r="B1410" s="1289" t="s">
        <v>1513</v>
      </c>
      <c r="C1410" s="1288" t="s">
        <v>17</v>
      </c>
      <c r="D1410" s="1287">
        <v>100</v>
      </c>
      <c r="E1410" s="1287">
        <v>920.47</v>
      </c>
      <c r="F1410" s="1287"/>
      <c r="G1410" s="1286" t="s">
        <v>1514</v>
      </c>
    </row>
    <row r="1411" spans="1:8" ht="42.75">
      <c r="A1411" s="1289">
        <v>1</v>
      </c>
      <c r="B1411" s="1289" t="s">
        <v>1515</v>
      </c>
      <c r="C1411" s="1288" t="s">
        <v>1497</v>
      </c>
      <c r="D1411" s="1287">
        <v>400</v>
      </c>
      <c r="E1411" s="1287">
        <v>29.81</v>
      </c>
      <c r="F1411" s="1287">
        <v>11924</v>
      </c>
      <c r="G1411" s="1286" t="s">
        <v>1516</v>
      </c>
      <c r="H1411" s="34" t="s">
        <v>925</v>
      </c>
    </row>
    <row r="1412" spans="1:8" ht="33">
      <c r="A1412" s="1289">
        <v>2</v>
      </c>
      <c r="B1412" s="1289" t="s">
        <v>1499</v>
      </c>
      <c r="C1412" s="1288" t="s">
        <v>0</v>
      </c>
      <c r="D1412" s="1287">
        <v>2.1</v>
      </c>
      <c r="E1412" s="1287">
        <v>16704.36</v>
      </c>
      <c r="F1412" s="1287">
        <v>35079.160000000003</v>
      </c>
      <c r="G1412" s="1286" t="s">
        <v>1500</v>
      </c>
      <c r="H1412" s="34" t="s">
        <v>925</v>
      </c>
    </row>
    <row r="1413" spans="1:8" ht="33">
      <c r="A1413" s="1289">
        <v>3</v>
      </c>
      <c r="B1413" s="1289" t="s">
        <v>1501</v>
      </c>
      <c r="C1413" s="1288" t="s">
        <v>0</v>
      </c>
      <c r="D1413" s="1287">
        <v>0.17</v>
      </c>
      <c r="E1413" s="1287">
        <v>16704.36</v>
      </c>
      <c r="F1413" s="1287">
        <v>2839.74</v>
      </c>
      <c r="G1413" s="1286" t="s">
        <v>1502</v>
      </c>
      <c r="H1413" s="34" t="s">
        <v>925</v>
      </c>
    </row>
    <row r="1414" spans="1:8" ht="33">
      <c r="A1414" s="1289">
        <v>4</v>
      </c>
      <c r="B1414" s="1289" t="s">
        <v>1503</v>
      </c>
      <c r="C1414" s="1288" t="s">
        <v>927</v>
      </c>
      <c r="D1414" s="1287">
        <v>40</v>
      </c>
      <c r="E1414" s="1287">
        <v>407.35</v>
      </c>
      <c r="F1414" s="1287">
        <v>16294</v>
      </c>
      <c r="G1414" s="1286" t="s">
        <v>1504</v>
      </c>
      <c r="H1414" s="34" t="s">
        <v>925</v>
      </c>
    </row>
    <row r="1415" spans="1:8" ht="33">
      <c r="A1415" s="1289">
        <v>5</v>
      </c>
      <c r="B1415" s="1289" t="s">
        <v>4871</v>
      </c>
      <c r="C1415" s="1288" t="s">
        <v>927</v>
      </c>
      <c r="D1415" s="1287">
        <v>80</v>
      </c>
      <c r="E1415" s="1287">
        <v>279.18</v>
      </c>
      <c r="F1415" s="1287">
        <v>22334.400000000001</v>
      </c>
      <c r="G1415" s="1286" t="s">
        <v>4872</v>
      </c>
      <c r="H1415" s="34" t="s">
        <v>925</v>
      </c>
    </row>
    <row r="1416" spans="1:8" ht="33">
      <c r="A1416" s="1289">
        <v>6</v>
      </c>
      <c r="B1416" s="1289" t="s">
        <v>1505</v>
      </c>
      <c r="C1416" s="1288" t="s">
        <v>18</v>
      </c>
      <c r="D1416" s="1287">
        <v>25</v>
      </c>
      <c r="E1416" s="1287">
        <v>35.770000000000003</v>
      </c>
      <c r="F1416" s="1287">
        <v>894.25</v>
      </c>
      <c r="G1416" s="1286" t="s">
        <v>1506</v>
      </c>
      <c r="H1416" s="34" t="s">
        <v>925</v>
      </c>
    </row>
    <row r="1417" spans="1:8" ht="33">
      <c r="A1417" s="1289">
        <v>7</v>
      </c>
      <c r="B1417" s="1289" t="s">
        <v>931</v>
      </c>
      <c r="C1417" s="1288" t="s">
        <v>14</v>
      </c>
      <c r="D1417" s="1287">
        <v>1</v>
      </c>
      <c r="E1417" s="1287">
        <v>2680.97</v>
      </c>
      <c r="F1417" s="1287">
        <v>2680.97</v>
      </c>
      <c r="G1417" s="1286" t="s">
        <v>932</v>
      </c>
      <c r="H1417" s="34" t="s">
        <v>925</v>
      </c>
    </row>
    <row r="1418" spans="1:8" ht="33">
      <c r="A1418" s="1289"/>
      <c r="B1418" s="1289" t="s">
        <v>933</v>
      </c>
      <c r="C1418" s="1288" t="s">
        <v>17</v>
      </c>
      <c r="D1418" s="1287">
        <v>100</v>
      </c>
      <c r="E1418" s="1287"/>
      <c r="F1418" s="1287">
        <v>92046.51999999999</v>
      </c>
      <c r="G1418" s="1286"/>
      <c r="H1418" s="34" t="s">
        <v>925</v>
      </c>
    </row>
    <row r="1419" spans="1:8" ht="33">
      <c r="A1419" s="1289"/>
      <c r="B1419" s="1289" t="s">
        <v>934</v>
      </c>
      <c r="C1419" s="1288" t="s">
        <v>17</v>
      </c>
      <c r="D1419" s="1287"/>
      <c r="E1419" s="1287"/>
      <c r="F1419" s="1287">
        <v>920.47</v>
      </c>
      <c r="G1419" s="1286"/>
      <c r="H1419" s="34" t="s">
        <v>925</v>
      </c>
    </row>
    <row r="1420" spans="1:8" ht="16.5">
      <c r="A1420" s="1289"/>
      <c r="B1420" s="1289"/>
      <c r="C1420" s="1288"/>
      <c r="D1420" s="1287"/>
      <c r="E1420" s="1287"/>
      <c r="F1420" s="1287"/>
      <c r="G1420" s="1286"/>
    </row>
    <row r="1421" spans="1:8" ht="33">
      <c r="A1421" s="1289" t="s">
        <v>1706</v>
      </c>
      <c r="B1421" s="1289" t="s">
        <v>1518</v>
      </c>
      <c r="C1421" s="1288" t="s">
        <v>17</v>
      </c>
      <c r="D1421" s="1287">
        <v>12</v>
      </c>
      <c r="E1421" s="1287">
        <v>3070.04</v>
      </c>
      <c r="F1421" s="1287"/>
      <c r="G1421" s="1286" t="s">
        <v>1519</v>
      </c>
      <c r="H1421" s="34" t="s">
        <v>925</v>
      </c>
    </row>
    <row r="1422" spans="1:8" ht="33">
      <c r="A1422" s="1289">
        <v>1</v>
      </c>
      <c r="B1422" s="1289" t="s">
        <v>1520</v>
      </c>
      <c r="C1422" s="1288" t="s">
        <v>17</v>
      </c>
      <c r="D1422" s="1287">
        <v>12</v>
      </c>
      <c r="E1422" s="1287">
        <v>1987.08</v>
      </c>
      <c r="F1422" s="1287">
        <v>23844.959999999999</v>
      </c>
      <c r="G1422" s="1286" t="s">
        <v>1521</v>
      </c>
      <c r="H1422" s="34" t="s">
        <v>925</v>
      </c>
    </row>
    <row r="1423" spans="1:8" ht="33">
      <c r="A1423" s="1289">
        <v>2</v>
      </c>
      <c r="B1423" s="1289" t="s">
        <v>1522</v>
      </c>
      <c r="C1423" s="1288" t="s">
        <v>17</v>
      </c>
      <c r="D1423" s="1287">
        <v>12</v>
      </c>
      <c r="E1423" s="1287">
        <v>993.54</v>
      </c>
      <c r="F1423" s="1287">
        <v>11922.48</v>
      </c>
      <c r="G1423" s="1286" t="s">
        <v>1523</v>
      </c>
      <c r="H1423" s="34" t="s">
        <v>925</v>
      </c>
    </row>
    <row r="1424" spans="1:8" ht="33">
      <c r="A1424" s="1289">
        <v>3</v>
      </c>
      <c r="B1424" s="1289" t="s">
        <v>931</v>
      </c>
      <c r="C1424" s="1288" t="s">
        <v>14</v>
      </c>
      <c r="D1424" s="1287">
        <v>1</v>
      </c>
      <c r="E1424" s="1287">
        <v>1073.02</v>
      </c>
      <c r="F1424" s="1287">
        <v>1073.02</v>
      </c>
      <c r="G1424" s="1286" t="s">
        <v>932</v>
      </c>
      <c r="H1424" s="34" t="s">
        <v>925</v>
      </c>
    </row>
    <row r="1425" spans="1:8" ht="33">
      <c r="A1425" s="1289"/>
      <c r="B1425" s="1289" t="s">
        <v>933</v>
      </c>
      <c r="C1425" s="1288" t="s">
        <v>17</v>
      </c>
      <c r="D1425" s="1287">
        <v>12</v>
      </c>
      <c r="E1425" s="1287"/>
      <c r="F1425" s="1287">
        <v>36840.46</v>
      </c>
      <c r="G1425" s="1286"/>
      <c r="H1425" s="34" t="s">
        <v>925</v>
      </c>
    </row>
    <row r="1426" spans="1:8" ht="33">
      <c r="A1426" s="1289"/>
      <c r="B1426" s="1289" t="s">
        <v>934</v>
      </c>
      <c r="C1426" s="1288" t="s">
        <v>17</v>
      </c>
      <c r="D1426" s="1287"/>
      <c r="E1426" s="1287"/>
      <c r="F1426" s="1287">
        <v>3070.04</v>
      </c>
      <c r="G1426" s="1286"/>
      <c r="H1426" s="34" t="s">
        <v>925</v>
      </c>
    </row>
    <row r="1427" spans="1:8" ht="33">
      <c r="A1427" s="1289"/>
      <c r="B1427" s="1289"/>
      <c r="C1427" s="1288"/>
      <c r="D1427" s="1287"/>
      <c r="E1427" s="1287"/>
      <c r="F1427" s="1287"/>
      <c r="G1427" s="1286"/>
      <c r="H1427" s="34" t="s">
        <v>925</v>
      </c>
    </row>
    <row r="1428" spans="1:8" ht="42.75">
      <c r="A1428" s="1289" t="s">
        <v>1710</v>
      </c>
      <c r="B1428" s="1289" t="s">
        <v>1525</v>
      </c>
      <c r="C1428" s="1288" t="s">
        <v>3</v>
      </c>
      <c r="D1428" s="1287">
        <v>1000</v>
      </c>
      <c r="E1428" s="1287">
        <v>632.55999999999995</v>
      </c>
      <c r="F1428" s="1287"/>
      <c r="G1428" s="1286" t="s">
        <v>1526</v>
      </c>
      <c r="H1428" s="34" t="s">
        <v>925</v>
      </c>
    </row>
    <row r="1429" spans="1:8" ht="33">
      <c r="A1429" s="1289">
        <v>1</v>
      </c>
      <c r="B1429" s="1289" t="s">
        <v>1527</v>
      </c>
      <c r="C1429" s="1288" t="s">
        <v>1528</v>
      </c>
      <c r="D1429" s="1287">
        <v>875</v>
      </c>
      <c r="E1429" s="1287">
        <v>134.13</v>
      </c>
      <c r="F1429" s="1287">
        <v>117363.75</v>
      </c>
      <c r="G1429" s="1286" t="s">
        <v>1529</v>
      </c>
      <c r="H1429" s="34" t="s">
        <v>925</v>
      </c>
    </row>
    <row r="1430" spans="1:8" ht="33">
      <c r="A1430" s="1289">
        <v>2</v>
      </c>
      <c r="B1430" s="1289" t="s">
        <v>1530</v>
      </c>
      <c r="C1430" s="1288" t="s">
        <v>3</v>
      </c>
      <c r="D1430" s="1287">
        <v>1000</v>
      </c>
      <c r="E1430" s="1287">
        <v>496.77</v>
      </c>
      <c r="F1430" s="1287">
        <v>496770</v>
      </c>
      <c r="G1430" s="1286" t="s">
        <v>1531</v>
      </c>
      <c r="H1430" s="34" t="s">
        <v>925</v>
      </c>
    </row>
    <row r="1431" spans="1:8" ht="33">
      <c r="A1431" s="1289">
        <v>3</v>
      </c>
      <c r="B1431" s="1289" t="s">
        <v>931</v>
      </c>
      <c r="C1431" s="1288" t="s">
        <v>14</v>
      </c>
      <c r="D1431" s="1287">
        <v>1</v>
      </c>
      <c r="E1431" s="1287">
        <v>18424.009999999998</v>
      </c>
      <c r="F1431" s="1287">
        <v>18424.009999999998</v>
      </c>
      <c r="G1431" s="1286" t="s">
        <v>932</v>
      </c>
      <c r="H1431" s="34" t="s">
        <v>925</v>
      </c>
    </row>
    <row r="1432" spans="1:8" ht="16.5">
      <c r="A1432" s="1289"/>
      <c r="B1432" s="1289" t="s">
        <v>933</v>
      </c>
      <c r="C1432" s="1288" t="s">
        <v>3</v>
      </c>
      <c r="D1432" s="1287">
        <v>1000</v>
      </c>
      <c r="E1432" s="1287"/>
      <c r="F1432" s="1287">
        <v>632557.76</v>
      </c>
      <c r="G1432" s="1286"/>
    </row>
    <row r="1433" spans="1:8" ht="33">
      <c r="A1433" s="1289"/>
      <c r="B1433" s="1289" t="s">
        <v>934</v>
      </c>
      <c r="C1433" s="1288" t="s">
        <v>3</v>
      </c>
      <c r="D1433" s="1287"/>
      <c r="E1433" s="1287"/>
      <c r="F1433" s="1287">
        <v>632.55999999999995</v>
      </c>
      <c r="G1433" s="1286"/>
      <c r="H1433" s="34" t="s">
        <v>925</v>
      </c>
    </row>
    <row r="1434" spans="1:8" ht="33">
      <c r="A1434" s="1289"/>
      <c r="B1434" s="1289"/>
      <c r="C1434" s="1288"/>
      <c r="D1434" s="1287"/>
      <c r="E1434" s="1287"/>
      <c r="F1434" s="1287"/>
      <c r="G1434" s="1286"/>
      <c r="H1434" s="34" t="s">
        <v>925</v>
      </c>
    </row>
    <row r="1435" spans="1:8" ht="42.75">
      <c r="A1435" s="1289" t="s">
        <v>1722</v>
      </c>
      <c r="B1435" s="1289" t="s">
        <v>1533</v>
      </c>
      <c r="C1435" s="1288" t="s">
        <v>17</v>
      </c>
      <c r="D1435" s="1287">
        <v>10</v>
      </c>
      <c r="E1435" s="1287">
        <v>2338.34</v>
      </c>
      <c r="F1435" s="1287"/>
      <c r="G1435" s="1286" t="s">
        <v>1534</v>
      </c>
      <c r="H1435" s="34" t="s">
        <v>925</v>
      </c>
    </row>
    <row r="1436" spans="1:8" ht="33">
      <c r="A1436" s="1289">
        <v>1</v>
      </c>
      <c r="B1436" s="1289" t="s">
        <v>1535</v>
      </c>
      <c r="C1436" s="1288" t="s">
        <v>1536</v>
      </c>
      <c r="D1436" s="1287">
        <v>25</v>
      </c>
      <c r="E1436" s="1287">
        <v>268.26</v>
      </c>
      <c r="F1436" s="1287">
        <v>6706.5</v>
      </c>
      <c r="G1436" s="1286" t="s">
        <v>1537</v>
      </c>
      <c r="H1436" s="34" t="s">
        <v>925</v>
      </c>
    </row>
    <row r="1437" spans="1:8" ht="33">
      <c r="A1437" s="1289">
        <v>2</v>
      </c>
      <c r="B1437" s="1289" t="s">
        <v>1538</v>
      </c>
      <c r="C1437" s="1288" t="s">
        <v>1220</v>
      </c>
      <c r="D1437" s="1287">
        <v>25</v>
      </c>
      <c r="E1437" s="1287">
        <v>615.99</v>
      </c>
      <c r="F1437" s="1287">
        <v>15399.75</v>
      </c>
      <c r="G1437" s="1286" t="s">
        <v>1539</v>
      </c>
      <c r="H1437" s="34" t="s">
        <v>925</v>
      </c>
    </row>
    <row r="1438" spans="1:8" ht="33">
      <c r="A1438" s="1289">
        <v>3</v>
      </c>
      <c r="B1438" s="1289" t="s">
        <v>1540</v>
      </c>
      <c r="C1438" s="1288" t="s">
        <v>14</v>
      </c>
      <c r="D1438" s="1287">
        <v>1</v>
      </c>
      <c r="E1438" s="1287">
        <v>596.12</v>
      </c>
      <c r="F1438" s="1287">
        <v>596.12</v>
      </c>
      <c r="G1438" s="1286" t="s">
        <v>1541</v>
      </c>
      <c r="H1438" s="34" t="s">
        <v>925</v>
      </c>
    </row>
    <row r="1439" spans="1:8" ht="33">
      <c r="A1439" s="1289">
        <v>4</v>
      </c>
      <c r="B1439" s="1289" t="s">
        <v>931</v>
      </c>
      <c r="C1439" s="1288" t="s">
        <v>14</v>
      </c>
      <c r="D1439" s="1287">
        <v>1</v>
      </c>
      <c r="E1439" s="1287">
        <v>681.07</v>
      </c>
      <c r="F1439" s="1287">
        <v>681.07</v>
      </c>
      <c r="G1439" s="1286" t="s">
        <v>932</v>
      </c>
      <c r="H1439" s="34" t="s">
        <v>925</v>
      </c>
    </row>
    <row r="1440" spans="1:8" ht="33">
      <c r="A1440" s="1289"/>
      <c r="B1440" s="1289" t="s">
        <v>933</v>
      </c>
      <c r="C1440" s="1288" t="s">
        <v>17</v>
      </c>
      <c r="D1440" s="1287">
        <v>10</v>
      </c>
      <c r="E1440" s="1287"/>
      <c r="F1440" s="1287">
        <v>23383.439999999999</v>
      </c>
      <c r="G1440" s="1286"/>
      <c r="H1440" s="34" t="s">
        <v>925</v>
      </c>
    </row>
    <row r="1441" spans="1:8" ht="16.5">
      <c r="A1441" s="1289"/>
      <c r="B1441" s="1289" t="s">
        <v>934</v>
      </c>
      <c r="C1441" s="1288" t="s">
        <v>17</v>
      </c>
      <c r="D1441" s="1287"/>
      <c r="E1441" s="1287"/>
      <c r="F1441" s="1287">
        <v>2338.34</v>
      </c>
      <c r="G1441" s="1286"/>
    </row>
    <row r="1442" spans="1:8" ht="33">
      <c r="A1442" s="1289"/>
      <c r="B1442" s="1289"/>
      <c r="C1442" s="1288"/>
      <c r="D1442" s="1287"/>
      <c r="E1442" s="1287"/>
      <c r="F1442" s="1287"/>
      <c r="G1442" s="1286"/>
      <c r="H1442" s="34" t="s">
        <v>925</v>
      </c>
    </row>
    <row r="1443" spans="1:8" ht="42.75">
      <c r="A1443" s="1289" t="s">
        <v>1728</v>
      </c>
      <c r="B1443" s="1289" t="s">
        <v>1543</v>
      </c>
      <c r="C1443" s="1288" t="s">
        <v>17</v>
      </c>
      <c r="D1443" s="1287">
        <v>10</v>
      </c>
      <c r="E1443" s="1287">
        <v>2599.3000000000002</v>
      </c>
      <c r="F1443" s="1287"/>
      <c r="G1443" s="1286" t="s">
        <v>1544</v>
      </c>
      <c r="H1443" s="34" t="s">
        <v>925</v>
      </c>
    </row>
    <row r="1444" spans="1:8" ht="33">
      <c r="A1444" s="1289">
        <v>1</v>
      </c>
      <c r="B1444" s="1289" t="s">
        <v>1545</v>
      </c>
      <c r="C1444" s="1288" t="s">
        <v>1536</v>
      </c>
      <c r="D1444" s="1287">
        <v>25</v>
      </c>
      <c r="E1444" s="1287">
        <v>270.24</v>
      </c>
      <c r="F1444" s="1287">
        <v>6756</v>
      </c>
      <c r="G1444" s="1286" t="s">
        <v>1546</v>
      </c>
      <c r="H1444" s="34" t="s">
        <v>925</v>
      </c>
    </row>
    <row r="1445" spans="1:8" ht="33">
      <c r="A1445" s="1289">
        <v>2</v>
      </c>
      <c r="B1445" s="1289" t="s">
        <v>1547</v>
      </c>
      <c r="C1445" s="1288" t="s">
        <v>1220</v>
      </c>
      <c r="D1445" s="1287">
        <v>25</v>
      </c>
      <c r="E1445" s="1287">
        <v>715.35</v>
      </c>
      <c r="F1445" s="1287">
        <v>17883.75</v>
      </c>
      <c r="G1445" s="1286" t="s">
        <v>1548</v>
      </c>
      <c r="H1445" s="34" t="s">
        <v>925</v>
      </c>
    </row>
    <row r="1446" spans="1:8" ht="33">
      <c r="A1446" s="1289">
        <v>3</v>
      </c>
      <c r="B1446" s="1289" t="s">
        <v>1540</v>
      </c>
      <c r="C1446" s="1288" t="s">
        <v>14</v>
      </c>
      <c r="D1446" s="1287">
        <v>1</v>
      </c>
      <c r="E1446" s="1287">
        <v>596.12</v>
      </c>
      <c r="F1446" s="1287">
        <v>596.12</v>
      </c>
      <c r="G1446" s="1286" t="s">
        <v>1541</v>
      </c>
      <c r="H1446" s="34" t="s">
        <v>925</v>
      </c>
    </row>
    <row r="1447" spans="1:8" ht="33">
      <c r="A1447" s="1289">
        <v>4</v>
      </c>
      <c r="B1447" s="1289" t="s">
        <v>931</v>
      </c>
      <c r="C1447" s="1288" t="s">
        <v>14</v>
      </c>
      <c r="D1447" s="1287">
        <v>1</v>
      </c>
      <c r="E1447" s="1287">
        <v>757.08</v>
      </c>
      <c r="F1447" s="1287">
        <v>757.08</v>
      </c>
      <c r="G1447" s="1286" t="s">
        <v>932</v>
      </c>
      <c r="H1447" s="34" t="s">
        <v>925</v>
      </c>
    </row>
    <row r="1448" spans="1:8" ht="33">
      <c r="A1448" s="1289"/>
      <c r="B1448" s="1289" t="s">
        <v>933</v>
      </c>
      <c r="C1448" s="1288" t="s">
        <v>17</v>
      </c>
      <c r="D1448" s="1287">
        <v>10</v>
      </c>
      <c r="E1448" s="1287"/>
      <c r="F1448" s="1287">
        <v>25992.95</v>
      </c>
      <c r="G1448" s="1286"/>
      <c r="H1448" s="34" t="s">
        <v>925</v>
      </c>
    </row>
    <row r="1449" spans="1:8" ht="33">
      <c r="A1449" s="1289"/>
      <c r="B1449" s="1289" t="s">
        <v>934</v>
      </c>
      <c r="C1449" s="1288" t="s">
        <v>17</v>
      </c>
      <c r="D1449" s="1287"/>
      <c r="E1449" s="1287"/>
      <c r="F1449" s="1287">
        <v>2599.3000000000002</v>
      </c>
      <c r="G1449" s="1286"/>
      <c r="H1449" s="34" t="s">
        <v>925</v>
      </c>
    </row>
    <row r="1450" spans="1:8" ht="33">
      <c r="A1450" s="1289"/>
      <c r="B1450" s="1289"/>
      <c r="C1450" s="1288"/>
      <c r="D1450" s="1287"/>
      <c r="E1450" s="1287"/>
      <c r="F1450" s="1287"/>
      <c r="G1450" s="1286"/>
      <c r="H1450" s="34" t="s">
        <v>925</v>
      </c>
    </row>
    <row r="1451" spans="1:8" ht="42.75">
      <c r="A1451" s="1289" t="s">
        <v>1740</v>
      </c>
      <c r="B1451" s="1289" t="s">
        <v>1550</v>
      </c>
      <c r="C1451" s="1288" t="s">
        <v>17</v>
      </c>
      <c r="D1451" s="1287">
        <v>10</v>
      </c>
      <c r="E1451" s="1287">
        <v>2765.59</v>
      </c>
      <c r="F1451" s="1287"/>
      <c r="G1451" s="1286" t="s">
        <v>1551</v>
      </c>
      <c r="H1451" s="34" t="s">
        <v>925</v>
      </c>
    </row>
    <row r="1452" spans="1:8" ht="33">
      <c r="A1452" s="1289">
        <v>1</v>
      </c>
      <c r="B1452" s="1289" t="s">
        <v>1552</v>
      </c>
      <c r="C1452" s="1288" t="s">
        <v>1536</v>
      </c>
      <c r="D1452" s="1287">
        <v>25</v>
      </c>
      <c r="E1452" s="1287">
        <v>255.34</v>
      </c>
      <c r="F1452" s="1287">
        <v>6383.5</v>
      </c>
      <c r="G1452" s="1286" t="s">
        <v>1553</v>
      </c>
      <c r="H1452" s="34" t="s">
        <v>925</v>
      </c>
    </row>
    <row r="1453" spans="1:8" ht="33">
      <c r="A1453" s="1289">
        <v>2</v>
      </c>
      <c r="B1453" s="1289" t="s">
        <v>1554</v>
      </c>
      <c r="C1453" s="1288" t="s">
        <v>1220</v>
      </c>
      <c r="D1453" s="1287">
        <v>25</v>
      </c>
      <c r="E1453" s="1287">
        <v>794.83</v>
      </c>
      <c r="F1453" s="1287">
        <v>19870.75</v>
      </c>
      <c r="G1453" s="1286" t="s">
        <v>1555</v>
      </c>
      <c r="H1453" s="34" t="s">
        <v>925</v>
      </c>
    </row>
    <row r="1454" spans="1:8" ht="28.5">
      <c r="A1454" s="1289">
        <v>3</v>
      </c>
      <c r="B1454" s="1289" t="s">
        <v>1540</v>
      </c>
      <c r="C1454" s="1288" t="s">
        <v>14</v>
      </c>
      <c r="D1454" s="1287">
        <v>1</v>
      </c>
      <c r="E1454" s="1287">
        <v>596.12</v>
      </c>
      <c r="F1454" s="1287">
        <v>596.12</v>
      </c>
      <c r="G1454" s="1286" t="s">
        <v>1541</v>
      </c>
    </row>
    <row r="1455" spans="1:8" ht="33">
      <c r="A1455" s="1289">
        <v>4</v>
      </c>
      <c r="B1455" s="1289" t="s">
        <v>931</v>
      </c>
      <c r="C1455" s="1288" t="s">
        <v>14</v>
      </c>
      <c r="D1455" s="1287">
        <v>1</v>
      </c>
      <c r="E1455" s="1287">
        <v>805.51</v>
      </c>
      <c r="F1455" s="1287">
        <v>805.51</v>
      </c>
      <c r="G1455" s="1286" t="s">
        <v>932</v>
      </c>
      <c r="H1455" s="34" t="s">
        <v>925</v>
      </c>
    </row>
    <row r="1456" spans="1:8" ht="33">
      <c r="A1456" s="1289"/>
      <c r="B1456" s="1289" t="s">
        <v>933</v>
      </c>
      <c r="C1456" s="1288" t="s">
        <v>17</v>
      </c>
      <c r="D1456" s="1287">
        <v>10</v>
      </c>
      <c r="E1456" s="1287"/>
      <c r="F1456" s="1287">
        <v>27655.879999999997</v>
      </c>
      <c r="G1456" s="1286"/>
      <c r="H1456" s="34" t="s">
        <v>925</v>
      </c>
    </row>
    <row r="1457" spans="1:8" ht="33">
      <c r="A1457" s="1289"/>
      <c r="B1457" s="1289" t="s">
        <v>934</v>
      </c>
      <c r="C1457" s="1288" t="s">
        <v>17</v>
      </c>
      <c r="D1457" s="1287"/>
      <c r="E1457" s="1287"/>
      <c r="F1457" s="1287">
        <v>2765.59</v>
      </c>
      <c r="G1457" s="1286"/>
      <c r="H1457" s="34" t="s">
        <v>925</v>
      </c>
    </row>
    <row r="1458" spans="1:8" ht="33">
      <c r="A1458" s="1289"/>
      <c r="B1458" s="1289"/>
      <c r="C1458" s="1288"/>
      <c r="D1458" s="1287"/>
      <c r="E1458" s="1287"/>
      <c r="F1458" s="1287"/>
      <c r="G1458" s="1286"/>
      <c r="H1458" s="34" t="s">
        <v>925</v>
      </c>
    </row>
    <row r="1459" spans="1:8" ht="42.75">
      <c r="A1459" s="1289" t="s">
        <v>1750</v>
      </c>
      <c r="B1459" s="1289" t="s">
        <v>1557</v>
      </c>
      <c r="C1459" s="1288" t="s">
        <v>17</v>
      </c>
      <c r="D1459" s="1287">
        <v>10</v>
      </c>
      <c r="E1459" s="1287">
        <v>3888.7</v>
      </c>
      <c r="F1459" s="1287"/>
      <c r="G1459" s="1286" t="s">
        <v>1558</v>
      </c>
      <c r="H1459" s="34" t="s">
        <v>925</v>
      </c>
    </row>
    <row r="1460" spans="1:8" ht="33">
      <c r="A1460" s="1289">
        <v>1</v>
      </c>
      <c r="B1460" s="1289" t="s">
        <v>1559</v>
      </c>
      <c r="C1460" s="1288" t="s">
        <v>1536</v>
      </c>
      <c r="D1460" s="1287">
        <v>25</v>
      </c>
      <c r="E1460" s="1287">
        <v>333.83</v>
      </c>
      <c r="F1460" s="1287">
        <v>8345.75</v>
      </c>
      <c r="G1460" s="1286" t="s">
        <v>1560</v>
      </c>
      <c r="H1460" s="34" t="s">
        <v>925</v>
      </c>
    </row>
    <row r="1461" spans="1:8" ht="33">
      <c r="A1461" s="1289">
        <v>2</v>
      </c>
      <c r="B1461" s="1289" t="s">
        <v>1561</v>
      </c>
      <c r="C1461" s="1288" t="s">
        <v>1220</v>
      </c>
      <c r="D1461" s="1287">
        <v>25</v>
      </c>
      <c r="E1461" s="1287">
        <v>1152.5</v>
      </c>
      <c r="F1461" s="1287">
        <v>28812.5</v>
      </c>
      <c r="G1461" s="1286" t="s">
        <v>1562</v>
      </c>
      <c r="H1461" s="34" t="s">
        <v>925</v>
      </c>
    </row>
    <row r="1462" spans="1:8" ht="33">
      <c r="A1462" s="1289">
        <v>3</v>
      </c>
      <c r="B1462" s="1289" t="s">
        <v>1540</v>
      </c>
      <c r="C1462" s="1288" t="s">
        <v>14</v>
      </c>
      <c r="D1462" s="1287">
        <v>1</v>
      </c>
      <c r="E1462" s="1287">
        <v>596.12</v>
      </c>
      <c r="F1462" s="1287">
        <v>596.12</v>
      </c>
      <c r="G1462" s="1286" t="s">
        <v>1541</v>
      </c>
      <c r="H1462" s="34" t="s">
        <v>925</v>
      </c>
    </row>
    <row r="1463" spans="1:8" ht="33">
      <c r="A1463" s="1289">
        <v>4</v>
      </c>
      <c r="B1463" s="1289" t="s">
        <v>931</v>
      </c>
      <c r="C1463" s="1288" t="s">
        <v>14</v>
      </c>
      <c r="D1463" s="1287">
        <v>1</v>
      </c>
      <c r="E1463" s="1287">
        <v>1132.6300000000001</v>
      </c>
      <c r="F1463" s="1287">
        <v>1132.6300000000001</v>
      </c>
      <c r="G1463" s="1286" t="s">
        <v>932</v>
      </c>
      <c r="H1463" s="34" t="s">
        <v>925</v>
      </c>
    </row>
    <row r="1464" spans="1:8" ht="16.5">
      <c r="A1464" s="1289"/>
      <c r="B1464" s="1289" t="s">
        <v>933</v>
      </c>
      <c r="C1464" s="1288" t="s">
        <v>17</v>
      </c>
      <c r="D1464" s="1287">
        <v>10</v>
      </c>
      <c r="E1464" s="1287"/>
      <c r="F1464" s="1287">
        <v>38887</v>
      </c>
      <c r="G1464" s="1286"/>
    </row>
    <row r="1465" spans="1:8" ht="33">
      <c r="A1465" s="1289"/>
      <c r="B1465" s="1289" t="s">
        <v>934</v>
      </c>
      <c r="C1465" s="1288" t="s">
        <v>17</v>
      </c>
      <c r="D1465" s="1287"/>
      <c r="E1465" s="1287"/>
      <c r="F1465" s="1287">
        <v>3888.7</v>
      </c>
      <c r="G1465" s="1286"/>
      <c r="H1465" s="34" t="s">
        <v>925</v>
      </c>
    </row>
    <row r="1466" spans="1:8" ht="33">
      <c r="A1466" s="1289"/>
      <c r="B1466" s="1289"/>
      <c r="C1466" s="1288"/>
      <c r="D1466" s="1287"/>
      <c r="E1466" s="1287"/>
      <c r="F1466" s="1287"/>
      <c r="G1466" s="1286"/>
      <c r="H1466" s="34" t="s">
        <v>925</v>
      </c>
    </row>
    <row r="1467" spans="1:8" ht="42.75">
      <c r="A1467" s="1289" t="s">
        <v>1769</v>
      </c>
      <c r="B1467" s="1289" t="s">
        <v>1564</v>
      </c>
      <c r="C1467" s="1288" t="s">
        <v>17</v>
      </c>
      <c r="D1467" s="1287">
        <v>10</v>
      </c>
      <c r="E1467" s="1287">
        <v>5687.24</v>
      </c>
      <c r="F1467" s="1287"/>
      <c r="G1467" s="1286" t="s">
        <v>1565</v>
      </c>
      <c r="H1467" s="34" t="s">
        <v>925</v>
      </c>
    </row>
    <row r="1468" spans="1:8" ht="33">
      <c r="A1468" s="1289">
        <v>1</v>
      </c>
      <c r="B1468" s="1289" t="s">
        <v>1566</v>
      </c>
      <c r="C1468" s="1288" t="s">
        <v>1536</v>
      </c>
      <c r="D1468" s="1287">
        <v>25</v>
      </c>
      <c r="E1468" s="1287">
        <v>465.97</v>
      </c>
      <c r="F1468" s="1287">
        <v>11649.25</v>
      </c>
      <c r="G1468" s="1286" t="s">
        <v>1567</v>
      </c>
      <c r="H1468" s="34" t="s">
        <v>925</v>
      </c>
    </row>
    <row r="1469" spans="1:8" ht="33">
      <c r="A1469" s="1289">
        <v>2</v>
      </c>
      <c r="B1469" s="1289" t="s">
        <v>1568</v>
      </c>
      <c r="C1469" s="1288" t="s">
        <v>1220</v>
      </c>
      <c r="D1469" s="1287">
        <v>25</v>
      </c>
      <c r="E1469" s="1287">
        <v>1718.82</v>
      </c>
      <c r="F1469" s="1287">
        <v>42970.5</v>
      </c>
      <c r="G1469" s="1286" t="s">
        <v>1569</v>
      </c>
      <c r="H1469" s="34" t="s">
        <v>925</v>
      </c>
    </row>
    <row r="1470" spans="1:8" ht="33">
      <c r="A1470" s="1289">
        <v>3</v>
      </c>
      <c r="B1470" s="1289" t="s">
        <v>1540</v>
      </c>
      <c r="C1470" s="1288" t="s">
        <v>14</v>
      </c>
      <c r="D1470" s="1287">
        <v>1</v>
      </c>
      <c r="E1470" s="1287">
        <v>596.12</v>
      </c>
      <c r="F1470" s="1287">
        <v>596.12</v>
      </c>
      <c r="G1470" s="1286" t="s">
        <v>1541</v>
      </c>
      <c r="H1470" s="34" t="s">
        <v>925</v>
      </c>
    </row>
    <row r="1471" spans="1:8" ht="33">
      <c r="A1471" s="1289">
        <v>4</v>
      </c>
      <c r="B1471" s="1289" t="s">
        <v>931</v>
      </c>
      <c r="C1471" s="1288" t="s">
        <v>14</v>
      </c>
      <c r="D1471" s="1287">
        <v>1</v>
      </c>
      <c r="E1471" s="1287">
        <v>1656.48</v>
      </c>
      <c r="F1471" s="1287">
        <v>1656.48</v>
      </c>
      <c r="G1471" s="1286" t="s">
        <v>932</v>
      </c>
      <c r="H1471" s="34" t="s">
        <v>925</v>
      </c>
    </row>
    <row r="1472" spans="1:8" ht="33">
      <c r="A1472" s="1289"/>
      <c r="B1472" s="1289" t="s">
        <v>933</v>
      </c>
      <c r="C1472" s="1288" t="s">
        <v>17</v>
      </c>
      <c r="D1472" s="1287">
        <v>10</v>
      </c>
      <c r="E1472" s="1287"/>
      <c r="F1472" s="1287">
        <v>56872.350000000006</v>
      </c>
      <c r="G1472" s="1286"/>
      <c r="H1472" s="34" t="s">
        <v>925</v>
      </c>
    </row>
    <row r="1473" spans="1:8" ht="33">
      <c r="A1473" s="1289"/>
      <c r="B1473" s="1289" t="s">
        <v>934</v>
      </c>
      <c r="C1473" s="1288" t="s">
        <v>17</v>
      </c>
      <c r="D1473" s="1287"/>
      <c r="E1473" s="1287"/>
      <c r="F1473" s="1287">
        <v>5687.24</v>
      </c>
      <c r="G1473" s="1286"/>
      <c r="H1473" s="34" t="s">
        <v>925</v>
      </c>
    </row>
    <row r="1474" spans="1:8" ht="16.5">
      <c r="A1474" s="1289"/>
      <c r="B1474" s="1289"/>
      <c r="C1474" s="1288"/>
      <c r="D1474" s="1287"/>
      <c r="E1474" s="1287"/>
      <c r="F1474" s="1287"/>
      <c r="G1474" s="1286"/>
    </row>
    <row r="1475" spans="1:8" ht="42.75">
      <c r="A1475" s="1289" t="s">
        <v>1776</v>
      </c>
      <c r="B1475" s="1289" t="s">
        <v>1571</v>
      </c>
      <c r="C1475" s="1288" t="s">
        <v>17</v>
      </c>
      <c r="D1475" s="1287">
        <v>10</v>
      </c>
      <c r="E1475" s="1287">
        <v>8915.9</v>
      </c>
      <c r="F1475" s="1287"/>
      <c r="G1475" s="1286" t="s">
        <v>1572</v>
      </c>
      <c r="H1475" s="34" t="s">
        <v>925</v>
      </c>
    </row>
    <row r="1476" spans="1:8" ht="33">
      <c r="A1476" s="1289">
        <v>1</v>
      </c>
      <c r="B1476" s="1289" t="s">
        <v>1573</v>
      </c>
      <c r="C1476" s="1288" t="s">
        <v>1536</v>
      </c>
      <c r="D1476" s="1287">
        <v>25</v>
      </c>
      <c r="E1476" s="1287">
        <v>527.57000000000005</v>
      </c>
      <c r="F1476" s="1287">
        <v>13189.25</v>
      </c>
      <c r="G1476" s="1286" t="s">
        <v>1574</v>
      </c>
      <c r="H1476" s="34" t="s">
        <v>925</v>
      </c>
    </row>
    <row r="1477" spans="1:8" ht="33">
      <c r="A1477" s="1289">
        <v>2</v>
      </c>
      <c r="B1477" s="1289" t="s">
        <v>1575</v>
      </c>
      <c r="C1477" s="1288" t="s">
        <v>1220</v>
      </c>
      <c r="D1477" s="1287">
        <v>25</v>
      </c>
      <c r="E1477" s="1287">
        <v>2911.07</v>
      </c>
      <c r="F1477" s="1287">
        <v>72776.75</v>
      </c>
      <c r="G1477" s="1286" t="s">
        <v>1576</v>
      </c>
      <c r="H1477" s="34" t="s">
        <v>925</v>
      </c>
    </row>
    <row r="1478" spans="1:8" ht="33">
      <c r="A1478" s="1289">
        <v>3</v>
      </c>
      <c r="B1478" s="1289" t="s">
        <v>1540</v>
      </c>
      <c r="C1478" s="1288" t="s">
        <v>14</v>
      </c>
      <c r="D1478" s="1287">
        <v>1</v>
      </c>
      <c r="E1478" s="1287">
        <v>596.12</v>
      </c>
      <c r="F1478" s="1287">
        <v>596.12</v>
      </c>
      <c r="G1478" s="1286" t="s">
        <v>1541</v>
      </c>
      <c r="H1478" s="34" t="s">
        <v>925</v>
      </c>
    </row>
    <row r="1479" spans="1:8" ht="33">
      <c r="A1479" s="1289">
        <v>4</v>
      </c>
      <c r="B1479" s="1289" t="s">
        <v>931</v>
      </c>
      <c r="C1479" s="1288" t="s">
        <v>14</v>
      </c>
      <c r="D1479" s="1287">
        <v>1</v>
      </c>
      <c r="E1479" s="1287">
        <v>2596.86</v>
      </c>
      <c r="F1479" s="1287">
        <v>2596.86</v>
      </c>
      <c r="G1479" s="1286" t="s">
        <v>932</v>
      </c>
      <c r="H1479" s="34" t="s">
        <v>925</v>
      </c>
    </row>
    <row r="1480" spans="1:8" ht="33">
      <c r="A1480" s="1289"/>
      <c r="B1480" s="1289" t="s">
        <v>933</v>
      </c>
      <c r="C1480" s="1288" t="s">
        <v>17</v>
      </c>
      <c r="D1480" s="1287">
        <v>10</v>
      </c>
      <c r="E1480" s="1287"/>
      <c r="F1480" s="1287">
        <v>89158.98</v>
      </c>
      <c r="G1480" s="1286"/>
      <c r="H1480" s="34" t="s">
        <v>925</v>
      </c>
    </row>
    <row r="1481" spans="1:8" ht="33">
      <c r="A1481" s="1289"/>
      <c r="B1481" s="1289" t="s">
        <v>934</v>
      </c>
      <c r="C1481" s="1288" t="s">
        <v>17</v>
      </c>
      <c r="D1481" s="1287"/>
      <c r="E1481" s="1287"/>
      <c r="F1481" s="1287">
        <v>8915.9</v>
      </c>
      <c r="G1481" s="1286"/>
      <c r="H1481" s="34" t="s">
        <v>925</v>
      </c>
    </row>
    <row r="1482" spans="1:8" ht="33">
      <c r="A1482" s="1289"/>
      <c r="B1482" s="1289"/>
      <c r="C1482" s="1288"/>
      <c r="D1482" s="1287"/>
      <c r="E1482" s="1287"/>
      <c r="F1482" s="1287"/>
      <c r="G1482" s="1286"/>
      <c r="H1482" s="34" t="s">
        <v>925</v>
      </c>
    </row>
    <row r="1483" spans="1:8" ht="33">
      <c r="A1483" s="1289" t="s">
        <v>1781</v>
      </c>
      <c r="B1483" s="1289" t="s">
        <v>1578</v>
      </c>
      <c r="C1483" s="1288" t="s">
        <v>17</v>
      </c>
      <c r="D1483" s="1287">
        <v>9</v>
      </c>
      <c r="E1483" s="1287">
        <v>168.85</v>
      </c>
      <c r="F1483" s="1287"/>
      <c r="G1483" s="1286" t="s">
        <v>1579</v>
      </c>
      <c r="H1483" s="34" t="s">
        <v>925</v>
      </c>
    </row>
    <row r="1484" spans="1:8" ht="28.5">
      <c r="A1484" s="1289">
        <v>1</v>
      </c>
      <c r="B1484" s="1289" t="s">
        <v>1580</v>
      </c>
      <c r="C1484" s="1288" t="s">
        <v>17</v>
      </c>
      <c r="D1484" s="1287">
        <v>9</v>
      </c>
      <c r="E1484" s="1287">
        <v>109.29</v>
      </c>
      <c r="F1484" s="1287">
        <v>983.61</v>
      </c>
      <c r="G1484" s="1286" t="s">
        <v>1581</v>
      </c>
    </row>
    <row r="1485" spans="1:8" ht="33">
      <c r="A1485" s="1289">
        <v>2</v>
      </c>
      <c r="B1485" s="1289" t="s">
        <v>1582</v>
      </c>
      <c r="C1485" s="1288" t="s">
        <v>17</v>
      </c>
      <c r="D1485" s="1287">
        <v>9</v>
      </c>
      <c r="E1485" s="1287">
        <v>54.64</v>
      </c>
      <c r="F1485" s="1287">
        <v>491.76</v>
      </c>
      <c r="G1485" s="1286" t="s">
        <v>1583</v>
      </c>
      <c r="H1485" s="34" t="s">
        <v>925</v>
      </c>
    </row>
    <row r="1486" spans="1:8" ht="33">
      <c r="A1486" s="1289">
        <v>3</v>
      </c>
      <c r="B1486" s="1289" t="s">
        <v>931</v>
      </c>
      <c r="C1486" s="1288" t="s">
        <v>14</v>
      </c>
      <c r="D1486" s="1287">
        <v>1</v>
      </c>
      <c r="E1486" s="1287">
        <v>44.26</v>
      </c>
      <c r="F1486" s="1287">
        <v>44.26</v>
      </c>
      <c r="G1486" s="1286" t="s">
        <v>932</v>
      </c>
      <c r="H1486" s="34" t="s">
        <v>925</v>
      </c>
    </row>
    <row r="1487" spans="1:8" ht="33">
      <c r="A1487" s="1289"/>
      <c r="B1487" s="1289" t="s">
        <v>933</v>
      </c>
      <c r="C1487" s="1288" t="s">
        <v>17</v>
      </c>
      <c r="D1487" s="1287">
        <v>9</v>
      </c>
      <c r="E1487" s="1287"/>
      <c r="F1487" s="1287">
        <v>1519.6299999999999</v>
      </c>
      <c r="G1487" s="1286"/>
      <c r="H1487" s="34" t="s">
        <v>925</v>
      </c>
    </row>
    <row r="1488" spans="1:8" ht="33">
      <c r="A1488" s="1289"/>
      <c r="B1488" s="1289" t="s">
        <v>934</v>
      </c>
      <c r="C1488" s="1288" t="s">
        <v>17</v>
      </c>
      <c r="D1488" s="1287"/>
      <c r="E1488" s="1287"/>
      <c r="F1488" s="1287">
        <v>168.85</v>
      </c>
      <c r="G1488" s="1286"/>
      <c r="H1488" s="34" t="s">
        <v>925</v>
      </c>
    </row>
    <row r="1489" spans="1:8" ht="33">
      <c r="A1489" s="1289"/>
      <c r="B1489" s="1289"/>
      <c r="C1489" s="1288"/>
      <c r="D1489" s="1287"/>
      <c r="E1489" s="1287"/>
      <c r="F1489" s="1287"/>
      <c r="G1489" s="1286"/>
      <c r="H1489" s="34" t="s">
        <v>925</v>
      </c>
    </row>
    <row r="1490" spans="1:8" ht="33">
      <c r="A1490" s="1289" t="s">
        <v>1786</v>
      </c>
      <c r="B1490" s="1289" t="s">
        <v>1585</v>
      </c>
      <c r="C1490" s="1288" t="s">
        <v>17</v>
      </c>
      <c r="D1490" s="1287">
        <v>13</v>
      </c>
      <c r="E1490" s="1287">
        <v>245.6</v>
      </c>
      <c r="F1490" s="1287"/>
      <c r="G1490" s="1286" t="s">
        <v>1586</v>
      </c>
      <c r="H1490" s="34" t="s">
        <v>925</v>
      </c>
    </row>
    <row r="1491" spans="1:8" ht="33">
      <c r="A1491" s="1289">
        <v>1</v>
      </c>
      <c r="B1491" s="1289" t="s">
        <v>1587</v>
      </c>
      <c r="C1491" s="1288" t="s">
        <v>17</v>
      </c>
      <c r="D1491" s="1287">
        <v>13</v>
      </c>
      <c r="E1491" s="1287">
        <v>173.87</v>
      </c>
      <c r="F1491" s="1287">
        <v>2260.31</v>
      </c>
      <c r="G1491" s="1286" t="s">
        <v>1588</v>
      </c>
      <c r="H1491" s="34" t="s">
        <v>925</v>
      </c>
    </row>
    <row r="1492" spans="1:8" ht="33">
      <c r="A1492" s="1289">
        <v>2</v>
      </c>
      <c r="B1492" s="1289" t="s">
        <v>1589</v>
      </c>
      <c r="C1492" s="1288" t="s">
        <v>17</v>
      </c>
      <c r="D1492" s="1287">
        <v>13</v>
      </c>
      <c r="E1492" s="1287">
        <v>64.58</v>
      </c>
      <c r="F1492" s="1287">
        <v>839.54</v>
      </c>
      <c r="G1492" s="1286" t="s">
        <v>1590</v>
      </c>
      <c r="H1492" s="34" t="s">
        <v>925</v>
      </c>
    </row>
    <row r="1493" spans="1:8" ht="33">
      <c r="A1493" s="1289">
        <v>3</v>
      </c>
      <c r="B1493" s="1289" t="s">
        <v>931</v>
      </c>
      <c r="C1493" s="1288" t="s">
        <v>14</v>
      </c>
      <c r="D1493" s="1287">
        <v>1</v>
      </c>
      <c r="E1493" s="1287">
        <v>93</v>
      </c>
      <c r="F1493" s="1287">
        <v>93</v>
      </c>
      <c r="G1493" s="1286" t="s">
        <v>932</v>
      </c>
      <c r="H1493" s="34" t="s">
        <v>925</v>
      </c>
    </row>
    <row r="1494" spans="1:8" ht="16.5">
      <c r="A1494" s="1289"/>
      <c r="B1494" s="1289" t="s">
        <v>933</v>
      </c>
      <c r="C1494" s="1288" t="s">
        <v>17</v>
      </c>
      <c r="D1494" s="1287">
        <v>13</v>
      </c>
      <c r="E1494" s="1287"/>
      <c r="F1494" s="1287">
        <v>3192.85</v>
      </c>
      <c r="G1494" s="1286"/>
    </row>
    <row r="1495" spans="1:8" ht="33">
      <c r="A1495" s="1289"/>
      <c r="B1495" s="1289" t="s">
        <v>934</v>
      </c>
      <c r="C1495" s="1288" t="s">
        <v>17</v>
      </c>
      <c r="D1495" s="1287"/>
      <c r="E1495" s="1287"/>
      <c r="F1495" s="1287">
        <v>245.6</v>
      </c>
      <c r="G1495" s="1286"/>
      <c r="H1495" s="34" t="s">
        <v>925</v>
      </c>
    </row>
    <row r="1496" spans="1:8" ht="33">
      <c r="A1496" s="1289"/>
      <c r="B1496" s="1289"/>
      <c r="C1496" s="1288"/>
      <c r="D1496" s="1287"/>
      <c r="E1496" s="1287"/>
      <c r="F1496" s="1287"/>
      <c r="G1496" s="1286"/>
      <c r="H1496" s="34" t="s">
        <v>925</v>
      </c>
    </row>
    <row r="1497" spans="1:8" ht="33">
      <c r="A1497" s="1289" t="s">
        <v>1791</v>
      </c>
      <c r="B1497" s="1289" t="s">
        <v>1592</v>
      </c>
      <c r="C1497" s="1288" t="s">
        <v>17</v>
      </c>
      <c r="D1497" s="1287">
        <v>9</v>
      </c>
      <c r="E1497" s="1287">
        <v>869.85</v>
      </c>
      <c r="F1497" s="1287"/>
      <c r="G1497" s="1286" t="s">
        <v>1593</v>
      </c>
      <c r="H1497" s="34" t="s">
        <v>925</v>
      </c>
    </row>
    <row r="1498" spans="1:8" ht="33">
      <c r="A1498" s="1289">
        <v>1</v>
      </c>
      <c r="B1498" s="1289" t="s">
        <v>1594</v>
      </c>
      <c r="C1498" s="1288" t="s">
        <v>17</v>
      </c>
      <c r="D1498" s="1287">
        <v>9</v>
      </c>
      <c r="E1498" s="1287">
        <v>69.55</v>
      </c>
      <c r="F1498" s="1287">
        <v>625.95000000000005</v>
      </c>
      <c r="G1498" s="1286" t="s">
        <v>1595</v>
      </c>
      <c r="H1498" s="34" t="s">
        <v>925</v>
      </c>
    </row>
    <row r="1499" spans="1:8" ht="33">
      <c r="A1499" s="1289">
        <v>2</v>
      </c>
      <c r="B1499" s="1289" t="s">
        <v>1596</v>
      </c>
      <c r="C1499" s="1288" t="s">
        <v>17</v>
      </c>
      <c r="D1499" s="1287">
        <v>9</v>
      </c>
      <c r="E1499" s="1287">
        <v>774.96</v>
      </c>
      <c r="F1499" s="1287">
        <v>6974.64</v>
      </c>
      <c r="G1499" s="1286" t="s">
        <v>1597</v>
      </c>
      <c r="H1499" s="34" t="s">
        <v>925</v>
      </c>
    </row>
    <row r="1500" spans="1:8" ht="33">
      <c r="A1500" s="1289">
        <v>3</v>
      </c>
      <c r="B1500" s="1289" t="s">
        <v>931</v>
      </c>
      <c r="C1500" s="1288" t="s">
        <v>14</v>
      </c>
      <c r="D1500" s="1287">
        <v>1</v>
      </c>
      <c r="E1500" s="1287">
        <v>228.02</v>
      </c>
      <c r="F1500" s="1287">
        <v>228.02</v>
      </c>
      <c r="G1500" s="1286" t="s">
        <v>932</v>
      </c>
      <c r="H1500" s="34" t="s">
        <v>925</v>
      </c>
    </row>
    <row r="1501" spans="1:8" ht="33">
      <c r="A1501" s="1289"/>
      <c r="B1501" s="1289" t="s">
        <v>933</v>
      </c>
      <c r="C1501" s="1288" t="s">
        <v>17</v>
      </c>
      <c r="D1501" s="1287">
        <v>9</v>
      </c>
      <c r="E1501" s="1287"/>
      <c r="F1501" s="1287">
        <v>7828.6100000000006</v>
      </c>
      <c r="G1501" s="1286"/>
      <c r="H1501" s="34" t="s">
        <v>925</v>
      </c>
    </row>
    <row r="1502" spans="1:8" ht="33">
      <c r="A1502" s="1289"/>
      <c r="B1502" s="1289" t="s">
        <v>934</v>
      </c>
      <c r="C1502" s="1288" t="s">
        <v>17</v>
      </c>
      <c r="D1502" s="1287"/>
      <c r="E1502" s="1287"/>
      <c r="F1502" s="1287">
        <v>869.85</v>
      </c>
      <c r="G1502" s="1286"/>
      <c r="H1502" s="34" t="s">
        <v>925</v>
      </c>
    </row>
    <row r="1503" spans="1:8" ht="33">
      <c r="A1503" s="1289"/>
      <c r="B1503" s="1289"/>
      <c r="C1503" s="1288"/>
      <c r="D1503" s="1287"/>
      <c r="E1503" s="1287"/>
      <c r="F1503" s="1287"/>
      <c r="G1503" s="1286"/>
      <c r="H1503" s="34" t="s">
        <v>925</v>
      </c>
    </row>
    <row r="1504" spans="1:8" ht="28.5">
      <c r="A1504" s="1289" t="s">
        <v>1796</v>
      </c>
      <c r="B1504" s="1289" t="s">
        <v>1599</v>
      </c>
      <c r="C1504" s="1288" t="s">
        <v>17</v>
      </c>
      <c r="D1504" s="1287">
        <v>13</v>
      </c>
      <c r="E1504" s="1287">
        <v>1192.2</v>
      </c>
      <c r="F1504" s="1287"/>
      <c r="G1504" s="1286" t="s">
        <v>1600</v>
      </c>
    </row>
    <row r="1505" spans="1:8" ht="33">
      <c r="A1505" s="1289">
        <v>1</v>
      </c>
      <c r="B1505" s="1289" t="s">
        <v>1601</v>
      </c>
      <c r="C1505" s="1288" t="s">
        <v>17</v>
      </c>
      <c r="D1505" s="1287">
        <v>13</v>
      </c>
      <c r="E1505" s="1287">
        <v>114.26</v>
      </c>
      <c r="F1505" s="1287">
        <v>1485.38</v>
      </c>
      <c r="G1505" s="1286" t="s">
        <v>1602</v>
      </c>
      <c r="H1505" s="34" t="s">
        <v>925</v>
      </c>
    </row>
    <row r="1506" spans="1:8" ht="33">
      <c r="A1506" s="1289">
        <v>2</v>
      </c>
      <c r="B1506" s="1289" t="s">
        <v>1603</v>
      </c>
      <c r="C1506" s="1288" t="s">
        <v>17</v>
      </c>
      <c r="D1506" s="1287">
        <v>13</v>
      </c>
      <c r="E1506" s="1287">
        <v>1043.22</v>
      </c>
      <c r="F1506" s="1287">
        <v>13561.86</v>
      </c>
      <c r="G1506" s="1286" t="s">
        <v>1604</v>
      </c>
      <c r="H1506" s="34" t="s">
        <v>925</v>
      </c>
    </row>
    <row r="1507" spans="1:8" ht="33">
      <c r="A1507" s="1289">
        <v>3</v>
      </c>
      <c r="B1507" s="1289" t="s">
        <v>931</v>
      </c>
      <c r="C1507" s="1288" t="s">
        <v>14</v>
      </c>
      <c r="D1507" s="1287">
        <v>1</v>
      </c>
      <c r="E1507" s="1287">
        <v>451.42</v>
      </c>
      <c r="F1507" s="1287">
        <v>451.42</v>
      </c>
      <c r="G1507" s="1286" t="s">
        <v>932</v>
      </c>
      <c r="H1507" s="34" t="s">
        <v>925</v>
      </c>
    </row>
    <row r="1508" spans="1:8" ht="33">
      <c r="A1508" s="1289"/>
      <c r="B1508" s="1289" t="s">
        <v>933</v>
      </c>
      <c r="C1508" s="1288" t="s">
        <v>17</v>
      </c>
      <c r="D1508" s="1287">
        <v>13</v>
      </c>
      <c r="E1508" s="1287"/>
      <c r="F1508" s="1287">
        <v>15498.660000000002</v>
      </c>
      <c r="G1508" s="1286"/>
      <c r="H1508" s="34" t="s">
        <v>925</v>
      </c>
    </row>
    <row r="1509" spans="1:8" ht="33">
      <c r="A1509" s="1289"/>
      <c r="B1509" s="1289" t="s">
        <v>934</v>
      </c>
      <c r="C1509" s="1288" t="s">
        <v>17</v>
      </c>
      <c r="D1509" s="1287"/>
      <c r="E1509" s="1287"/>
      <c r="F1509" s="1287">
        <v>1192.2</v>
      </c>
      <c r="G1509" s="1286"/>
      <c r="H1509" s="34" t="s">
        <v>925</v>
      </c>
    </row>
    <row r="1510" spans="1:8" ht="33">
      <c r="A1510" s="1289"/>
      <c r="B1510" s="1289"/>
      <c r="C1510" s="1288"/>
      <c r="D1510" s="1287"/>
      <c r="E1510" s="1287"/>
      <c r="F1510" s="1287"/>
      <c r="G1510" s="1286"/>
      <c r="H1510" s="34" t="s">
        <v>925</v>
      </c>
    </row>
    <row r="1511" spans="1:8" ht="33">
      <c r="A1511" s="1289" t="s">
        <v>1801</v>
      </c>
      <c r="B1511" s="1289" t="s">
        <v>1606</v>
      </c>
      <c r="C1511" s="1288" t="s">
        <v>17</v>
      </c>
      <c r="D1511" s="1287">
        <v>9</v>
      </c>
      <c r="E1511" s="1287">
        <v>370.12</v>
      </c>
      <c r="F1511" s="1287"/>
      <c r="G1511" s="1286" t="s">
        <v>1607</v>
      </c>
      <c r="H1511" s="34" t="s">
        <v>925</v>
      </c>
    </row>
    <row r="1512" spans="1:8" ht="33">
      <c r="A1512" s="1289">
        <v>1</v>
      </c>
      <c r="B1512" s="1289" t="s">
        <v>1608</v>
      </c>
      <c r="C1512" s="1288" t="s">
        <v>17</v>
      </c>
      <c r="D1512" s="1287">
        <v>9</v>
      </c>
      <c r="E1512" s="1287">
        <v>198.71</v>
      </c>
      <c r="F1512" s="1287">
        <v>1788.39</v>
      </c>
      <c r="G1512" s="1286" t="s">
        <v>1609</v>
      </c>
      <c r="H1512" s="34" t="s">
        <v>925</v>
      </c>
    </row>
    <row r="1513" spans="1:8" ht="33">
      <c r="A1513" s="1289">
        <v>2</v>
      </c>
      <c r="B1513" s="1289" t="s">
        <v>1610</v>
      </c>
      <c r="C1513" s="1288" t="s">
        <v>17</v>
      </c>
      <c r="D1513" s="1287">
        <v>9</v>
      </c>
      <c r="E1513" s="1287">
        <v>94.39</v>
      </c>
      <c r="F1513" s="1287">
        <v>849.51</v>
      </c>
      <c r="G1513" s="1286" t="s">
        <v>1611</v>
      </c>
      <c r="H1513" s="34" t="s">
        <v>925</v>
      </c>
    </row>
    <row r="1514" spans="1:8" ht="28.5">
      <c r="A1514" s="1289">
        <v>3</v>
      </c>
      <c r="B1514" s="1289" t="s">
        <v>1540</v>
      </c>
      <c r="C1514" s="1288" t="s">
        <v>14</v>
      </c>
      <c r="D1514" s="1287">
        <v>1</v>
      </c>
      <c r="E1514" s="1287">
        <v>596.12</v>
      </c>
      <c r="F1514" s="1287">
        <v>596.12</v>
      </c>
      <c r="G1514" s="1286" t="s">
        <v>1541</v>
      </c>
    </row>
    <row r="1515" spans="1:8" ht="33">
      <c r="A1515" s="1289">
        <v>4</v>
      </c>
      <c r="B1515" s="1289" t="s">
        <v>931</v>
      </c>
      <c r="C1515" s="1288" t="s">
        <v>14</v>
      </c>
      <c r="D1515" s="1287">
        <v>1</v>
      </c>
      <c r="E1515" s="1287">
        <v>97.02</v>
      </c>
      <c r="F1515" s="1287">
        <v>97.02</v>
      </c>
      <c r="G1515" s="1286" t="s">
        <v>932</v>
      </c>
      <c r="H1515" s="34" t="s">
        <v>925</v>
      </c>
    </row>
    <row r="1516" spans="1:8" ht="33">
      <c r="A1516" s="1289"/>
      <c r="B1516" s="1289" t="s">
        <v>933</v>
      </c>
      <c r="C1516" s="1288" t="s">
        <v>17</v>
      </c>
      <c r="D1516" s="1287">
        <v>9</v>
      </c>
      <c r="E1516" s="1287"/>
      <c r="F1516" s="1287">
        <v>3331.04</v>
      </c>
      <c r="G1516" s="1286"/>
      <c r="H1516" s="34" t="s">
        <v>925</v>
      </c>
    </row>
    <row r="1517" spans="1:8" ht="33">
      <c r="A1517" s="1289"/>
      <c r="B1517" s="1289" t="s">
        <v>934</v>
      </c>
      <c r="C1517" s="1288" t="s">
        <v>17</v>
      </c>
      <c r="D1517" s="1287"/>
      <c r="E1517" s="1287"/>
      <c r="F1517" s="1287">
        <v>370.12</v>
      </c>
      <c r="G1517" s="1286"/>
      <c r="H1517" s="34" t="s">
        <v>925</v>
      </c>
    </row>
    <row r="1518" spans="1:8" ht="33">
      <c r="A1518" s="1289"/>
      <c r="B1518" s="1289"/>
      <c r="C1518" s="1288"/>
      <c r="D1518" s="1287"/>
      <c r="E1518" s="1287"/>
      <c r="F1518" s="1287"/>
      <c r="G1518" s="1286"/>
      <c r="H1518" s="34" t="s">
        <v>925</v>
      </c>
    </row>
    <row r="1519" spans="1:8" ht="33">
      <c r="A1519" s="1289" t="s">
        <v>1806</v>
      </c>
      <c r="B1519" s="1289" t="s">
        <v>1613</v>
      </c>
      <c r="C1519" s="1288" t="s">
        <v>17</v>
      </c>
      <c r="D1519" s="1287">
        <v>9</v>
      </c>
      <c r="E1519" s="1287">
        <v>1321.82</v>
      </c>
      <c r="F1519" s="1287"/>
      <c r="G1519" s="1286" t="s">
        <v>1614</v>
      </c>
      <c r="H1519" s="34" t="s">
        <v>925</v>
      </c>
    </row>
    <row r="1520" spans="1:8" ht="33">
      <c r="A1520" s="1289">
        <v>1</v>
      </c>
      <c r="B1520" s="1289" t="s">
        <v>1615</v>
      </c>
      <c r="C1520" s="1288" t="s">
        <v>17</v>
      </c>
      <c r="D1520" s="1287">
        <v>9</v>
      </c>
      <c r="E1520" s="1287">
        <v>124.19</v>
      </c>
      <c r="F1520" s="1287">
        <v>1117.71</v>
      </c>
      <c r="G1520" s="1286" t="s">
        <v>1616</v>
      </c>
      <c r="H1520" s="34" t="s">
        <v>925</v>
      </c>
    </row>
    <row r="1521" spans="1:8" ht="33">
      <c r="A1521" s="1289">
        <v>2</v>
      </c>
      <c r="B1521" s="1289" t="s">
        <v>1617</v>
      </c>
      <c r="C1521" s="1288" t="s">
        <v>17</v>
      </c>
      <c r="D1521" s="1287">
        <v>9</v>
      </c>
      <c r="E1521" s="1287">
        <v>1092.8900000000001</v>
      </c>
      <c r="F1521" s="1287">
        <v>9836.01</v>
      </c>
      <c r="G1521" s="1286" t="s">
        <v>1618</v>
      </c>
      <c r="H1521" s="34" t="s">
        <v>925</v>
      </c>
    </row>
    <row r="1522" spans="1:8" ht="33">
      <c r="A1522" s="1289">
        <v>3</v>
      </c>
      <c r="B1522" s="1289" t="s">
        <v>1540</v>
      </c>
      <c r="C1522" s="1288" t="s">
        <v>14</v>
      </c>
      <c r="D1522" s="1287">
        <v>1</v>
      </c>
      <c r="E1522" s="1287">
        <v>596.12</v>
      </c>
      <c r="F1522" s="1287">
        <v>596.12</v>
      </c>
      <c r="G1522" s="1286" t="s">
        <v>1541</v>
      </c>
      <c r="H1522" s="34" t="s">
        <v>925</v>
      </c>
    </row>
    <row r="1523" spans="1:8" ht="33">
      <c r="A1523" s="1289">
        <v>4</v>
      </c>
      <c r="B1523" s="1289" t="s">
        <v>931</v>
      </c>
      <c r="C1523" s="1288" t="s">
        <v>14</v>
      </c>
      <c r="D1523" s="1287">
        <v>1</v>
      </c>
      <c r="E1523" s="1287">
        <v>346.5</v>
      </c>
      <c r="F1523" s="1287">
        <v>346.5</v>
      </c>
      <c r="G1523" s="1286" t="s">
        <v>932</v>
      </c>
      <c r="H1523" s="34" t="s">
        <v>925</v>
      </c>
    </row>
    <row r="1524" spans="1:8" ht="16.5">
      <c r="A1524" s="1289"/>
      <c r="B1524" s="1289" t="s">
        <v>933</v>
      </c>
      <c r="C1524" s="1288" t="s">
        <v>17</v>
      </c>
      <c r="D1524" s="1287">
        <v>9</v>
      </c>
      <c r="E1524" s="1287"/>
      <c r="F1524" s="1287">
        <v>11896.340000000002</v>
      </c>
      <c r="G1524" s="1286"/>
    </row>
    <row r="1525" spans="1:8" ht="33">
      <c r="A1525" s="1289"/>
      <c r="B1525" s="1289" t="s">
        <v>934</v>
      </c>
      <c r="C1525" s="1288" t="s">
        <v>17</v>
      </c>
      <c r="D1525" s="1287"/>
      <c r="E1525" s="1287"/>
      <c r="F1525" s="1287">
        <v>1321.82</v>
      </c>
      <c r="G1525" s="1286"/>
      <c r="H1525" s="34" t="s">
        <v>925</v>
      </c>
    </row>
    <row r="1526" spans="1:8" ht="33">
      <c r="A1526" s="1289"/>
      <c r="B1526" s="1289"/>
      <c r="C1526" s="1288"/>
      <c r="D1526" s="1287"/>
      <c r="E1526" s="1287"/>
      <c r="F1526" s="1287"/>
      <c r="G1526" s="1286"/>
      <c r="H1526" s="34" t="s">
        <v>925</v>
      </c>
    </row>
    <row r="1527" spans="1:8" ht="33">
      <c r="A1527" s="1289" t="s">
        <v>1811</v>
      </c>
      <c r="B1527" s="1289" t="s">
        <v>1620</v>
      </c>
      <c r="C1527" s="1288" t="s">
        <v>17</v>
      </c>
      <c r="D1527" s="1287">
        <v>9</v>
      </c>
      <c r="E1527" s="1287">
        <v>163.74</v>
      </c>
      <c r="F1527" s="1287"/>
      <c r="G1527" s="1286" t="s">
        <v>1621</v>
      </c>
      <c r="H1527" s="34" t="s">
        <v>925</v>
      </c>
    </row>
    <row r="1528" spans="1:8" ht="33">
      <c r="A1528" s="1289">
        <v>1</v>
      </c>
      <c r="B1528" s="1289" t="s">
        <v>1580</v>
      </c>
      <c r="C1528" s="1288" t="s">
        <v>17</v>
      </c>
      <c r="D1528" s="1287">
        <v>9</v>
      </c>
      <c r="E1528" s="1287">
        <v>109.29</v>
      </c>
      <c r="F1528" s="1287">
        <v>983.61</v>
      </c>
      <c r="G1528" s="1286" t="s">
        <v>1581</v>
      </c>
      <c r="H1528" s="34" t="s">
        <v>925</v>
      </c>
    </row>
    <row r="1529" spans="1:8" ht="33">
      <c r="A1529" s="1289">
        <v>2</v>
      </c>
      <c r="B1529" s="1289" t="s">
        <v>1622</v>
      </c>
      <c r="C1529" s="1288" t="s">
        <v>17</v>
      </c>
      <c r="D1529" s="1287">
        <v>9</v>
      </c>
      <c r="E1529" s="1287">
        <v>49.68</v>
      </c>
      <c r="F1529" s="1287">
        <v>447.12</v>
      </c>
      <c r="G1529" s="1286" t="s">
        <v>1623</v>
      </c>
      <c r="H1529" s="34" t="s">
        <v>925</v>
      </c>
    </row>
    <row r="1530" spans="1:8" ht="33">
      <c r="A1530" s="1289">
        <v>3</v>
      </c>
      <c r="B1530" s="1289" t="s">
        <v>931</v>
      </c>
      <c r="C1530" s="1288" t="s">
        <v>14</v>
      </c>
      <c r="D1530" s="1287">
        <v>1</v>
      </c>
      <c r="E1530" s="1287">
        <v>42.92</v>
      </c>
      <c r="F1530" s="1287">
        <v>42.92</v>
      </c>
      <c r="G1530" s="1286" t="s">
        <v>932</v>
      </c>
      <c r="H1530" s="34" t="s">
        <v>925</v>
      </c>
    </row>
    <row r="1531" spans="1:8" ht="33">
      <c r="A1531" s="1289"/>
      <c r="B1531" s="1289" t="s">
        <v>933</v>
      </c>
      <c r="C1531" s="1288" t="s">
        <v>17</v>
      </c>
      <c r="D1531" s="1287">
        <v>9</v>
      </c>
      <c r="E1531" s="1287"/>
      <c r="F1531" s="1287">
        <v>1473.65</v>
      </c>
      <c r="G1531" s="1286"/>
      <c r="H1531" s="34" t="s">
        <v>925</v>
      </c>
    </row>
    <row r="1532" spans="1:8" ht="33">
      <c r="A1532" s="1289"/>
      <c r="B1532" s="1289" t="s">
        <v>934</v>
      </c>
      <c r="C1532" s="1288" t="s">
        <v>17</v>
      </c>
      <c r="D1532" s="1287"/>
      <c r="E1532" s="1287"/>
      <c r="F1532" s="1287">
        <v>163.74</v>
      </c>
      <c r="G1532" s="1286"/>
      <c r="H1532" s="34" t="s">
        <v>925</v>
      </c>
    </row>
    <row r="1533" spans="1:8" ht="33">
      <c r="A1533" s="1289"/>
      <c r="B1533" s="1289"/>
      <c r="C1533" s="1288"/>
      <c r="D1533" s="1287"/>
      <c r="E1533" s="1287"/>
      <c r="F1533" s="1287"/>
      <c r="G1533" s="1286"/>
      <c r="H1533" s="34" t="s">
        <v>925</v>
      </c>
    </row>
    <row r="1534" spans="1:8" ht="28.5">
      <c r="A1534" s="1289" t="s">
        <v>1816</v>
      </c>
      <c r="B1534" s="1289" t="s">
        <v>1625</v>
      </c>
      <c r="C1534" s="1288" t="s">
        <v>17</v>
      </c>
      <c r="D1534" s="1287">
        <v>9</v>
      </c>
      <c r="E1534" s="1287">
        <v>235.37</v>
      </c>
      <c r="F1534" s="1287"/>
      <c r="G1534" s="1286" t="s">
        <v>1626</v>
      </c>
    </row>
    <row r="1535" spans="1:8" ht="33">
      <c r="A1535" s="1289">
        <v>1</v>
      </c>
      <c r="B1535" s="1289" t="s">
        <v>1587</v>
      </c>
      <c r="C1535" s="1288" t="s">
        <v>17</v>
      </c>
      <c r="D1535" s="1287">
        <v>9</v>
      </c>
      <c r="E1535" s="1287">
        <v>173.87</v>
      </c>
      <c r="F1535" s="1287">
        <v>1564.83</v>
      </c>
      <c r="G1535" s="1286" t="s">
        <v>1588</v>
      </c>
      <c r="H1535" s="34" t="s">
        <v>925</v>
      </c>
    </row>
    <row r="1536" spans="1:8" ht="33">
      <c r="A1536" s="1289">
        <v>2</v>
      </c>
      <c r="B1536" s="1289" t="s">
        <v>1627</v>
      </c>
      <c r="C1536" s="1288" t="s">
        <v>17</v>
      </c>
      <c r="D1536" s="1287">
        <v>9</v>
      </c>
      <c r="E1536" s="1287">
        <v>54.64</v>
      </c>
      <c r="F1536" s="1287">
        <v>491.76</v>
      </c>
      <c r="G1536" s="1286" t="s">
        <v>1628</v>
      </c>
      <c r="H1536" s="34" t="s">
        <v>925</v>
      </c>
    </row>
    <row r="1537" spans="1:8" ht="33">
      <c r="A1537" s="1289">
        <v>3</v>
      </c>
      <c r="B1537" s="1289" t="s">
        <v>931</v>
      </c>
      <c r="C1537" s="1288" t="s">
        <v>14</v>
      </c>
      <c r="D1537" s="1287">
        <v>1</v>
      </c>
      <c r="E1537" s="1287">
        <v>61.7</v>
      </c>
      <c r="F1537" s="1287">
        <v>61.7</v>
      </c>
      <c r="G1537" s="1286" t="s">
        <v>932</v>
      </c>
      <c r="H1537" s="34" t="s">
        <v>925</v>
      </c>
    </row>
    <row r="1538" spans="1:8" ht="33">
      <c r="A1538" s="1289"/>
      <c r="B1538" s="1289" t="s">
        <v>933</v>
      </c>
      <c r="C1538" s="1288" t="s">
        <v>17</v>
      </c>
      <c r="D1538" s="1287">
        <v>9</v>
      </c>
      <c r="E1538" s="1287"/>
      <c r="F1538" s="1287">
        <v>2118.29</v>
      </c>
      <c r="G1538" s="1286"/>
      <c r="H1538" s="34" t="s">
        <v>925</v>
      </c>
    </row>
    <row r="1539" spans="1:8" ht="33">
      <c r="A1539" s="1289"/>
      <c r="B1539" s="1289" t="s">
        <v>934</v>
      </c>
      <c r="C1539" s="1288" t="s">
        <v>17</v>
      </c>
      <c r="D1539" s="1287"/>
      <c r="E1539" s="1287"/>
      <c r="F1539" s="1287">
        <v>235.37</v>
      </c>
      <c r="G1539" s="1286"/>
      <c r="H1539" s="34" t="s">
        <v>925</v>
      </c>
    </row>
    <row r="1540" spans="1:8" ht="33">
      <c r="A1540" s="1289"/>
      <c r="B1540" s="1289"/>
      <c r="C1540" s="1288"/>
      <c r="D1540" s="1287"/>
      <c r="E1540" s="1287"/>
      <c r="F1540" s="1287"/>
      <c r="G1540" s="1286"/>
      <c r="H1540" s="34" t="s">
        <v>925</v>
      </c>
    </row>
    <row r="1541" spans="1:8" ht="33">
      <c r="A1541" s="1289" t="s">
        <v>1824</v>
      </c>
      <c r="B1541" s="1289" t="s">
        <v>1630</v>
      </c>
      <c r="C1541" s="1288" t="s">
        <v>17</v>
      </c>
      <c r="D1541" s="1287">
        <v>9</v>
      </c>
      <c r="E1541" s="1287">
        <v>334.29</v>
      </c>
      <c r="F1541" s="1287"/>
      <c r="G1541" s="1286" t="s">
        <v>1631</v>
      </c>
      <c r="H1541" s="34" t="s">
        <v>925</v>
      </c>
    </row>
    <row r="1542" spans="1:8" ht="33">
      <c r="A1542" s="1289">
        <v>1</v>
      </c>
      <c r="B1542" s="1289" t="s">
        <v>1608</v>
      </c>
      <c r="C1542" s="1288" t="s">
        <v>17</v>
      </c>
      <c r="D1542" s="1287">
        <v>9</v>
      </c>
      <c r="E1542" s="1287">
        <v>198.71</v>
      </c>
      <c r="F1542" s="1287">
        <v>1788.39</v>
      </c>
      <c r="G1542" s="1286" t="s">
        <v>1609</v>
      </c>
      <c r="H1542" s="34" t="s">
        <v>925</v>
      </c>
    </row>
    <row r="1543" spans="1:8" ht="33">
      <c r="A1543" s="1289">
        <v>2</v>
      </c>
      <c r="B1543" s="1289" t="s">
        <v>1632</v>
      </c>
      <c r="C1543" s="1288" t="s">
        <v>17</v>
      </c>
      <c r="D1543" s="1287">
        <v>9</v>
      </c>
      <c r="E1543" s="1287">
        <v>59.61</v>
      </c>
      <c r="F1543" s="1287">
        <v>536.49</v>
      </c>
      <c r="G1543" s="1286" t="s">
        <v>1633</v>
      </c>
      <c r="H1543" s="34" t="s">
        <v>925</v>
      </c>
    </row>
    <row r="1544" spans="1:8" ht="28.5">
      <c r="A1544" s="1289">
        <v>3</v>
      </c>
      <c r="B1544" s="1289" t="s">
        <v>1540</v>
      </c>
      <c r="C1544" s="1288" t="s">
        <v>14</v>
      </c>
      <c r="D1544" s="1287">
        <v>1</v>
      </c>
      <c r="E1544" s="1287">
        <v>596.12</v>
      </c>
      <c r="F1544" s="1287">
        <v>596.12</v>
      </c>
      <c r="G1544" s="1286" t="s">
        <v>1541</v>
      </c>
    </row>
    <row r="1545" spans="1:8" ht="33">
      <c r="A1545" s="1289">
        <v>4</v>
      </c>
      <c r="B1545" s="1289" t="s">
        <v>931</v>
      </c>
      <c r="C1545" s="1288" t="s">
        <v>14</v>
      </c>
      <c r="D1545" s="1287">
        <v>1</v>
      </c>
      <c r="E1545" s="1287">
        <v>87.63</v>
      </c>
      <c r="F1545" s="1287">
        <v>87.63</v>
      </c>
      <c r="G1545" s="1286" t="s">
        <v>932</v>
      </c>
      <c r="H1545" s="34" t="s">
        <v>925</v>
      </c>
    </row>
    <row r="1546" spans="1:8" ht="33">
      <c r="A1546" s="1289"/>
      <c r="B1546" s="1289" t="s">
        <v>933</v>
      </c>
      <c r="C1546" s="1288" t="s">
        <v>17</v>
      </c>
      <c r="D1546" s="1287">
        <v>9</v>
      </c>
      <c r="E1546" s="1287"/>
      <c r="F1546" s="1287">
        <v>3008.63</v>
      </c>
      <c r="G1546" s="1286"/>
      <c r="H1546" s="34" t="s">
        <v>925</v>
      </c>
    </row>
    <row r="1547" spans="1:8" ht="33">
      <c r="A1547" s="1289"/>
      <c r="B1547" s="1289" t="s">
        <v>934</v>
      </c>
      <c r="C1547" s="1288" t="s">
        <v>17</v>
      </c>
      <c r="D1547" s="1287"/>
      <c r="E1547" s="1287"/>
      <c r="F1547" s="1287">
        <v>334.29</v>
      </c>
      <c r="G1547" s="1286"/>
      <c r="H1547" s="34" t="s">
        <v>925</v>
      </c>
    </row>
    <row r="1548" spans="1:8" ht="33">
      <c r="A1548" s="1289"/>
      <c r="B1548" s="1289"/>
      <c r="C1548" s="1288"/>
      <c r="D1548" s="1287"/>
      <c r="E1548" s="1287"/>
      <c r="F1548" s="1287"/>
      <c r="G1548" s="1286"/>
      <c r="H1548" s="34" t="s">
        <v>925</v>
      </c>
    </row>
    <row r="1549" spans="1:8" ht="33">
      <c r="A1549" s="1289" t="s">
        <v>1831</v>
      </c>
      <c r="B1549" s="1289" t="s">
        <v>1635</v>
      </c>
      <c r="C1549" s="1288" t="s">
        <v>3</v>
      </c>
      <c r="D1549" s="1287">
        <v>10</v>
      </c>
      <c r="E1549" s="1287">
        <v>337.65</v>
      </c>
      <c r="F1549" s="1287"/>
      <c r="G1549" s="1286" t="s">
        <v>1636</v>
      </c>
      <c r="H1549" s="34" t="s">
        <v>925</v>
      </c>
    </row>
    <row r="1550" spans="1:8" ht="33">
      <c r="A1550" s="1289">
        <v>1</v>
      </c>
      <c r="B1550" s="1289" t="s">
        <v>1637</v>
      </c>
      <c r="C1550" s="1288" t="s">
        <v>0</v>
      </c>
      <c r="D1550" s="1287">
        <v>0.15</v>
      </c>
      <c r="E1550" s="1287">
        <v>3547.09</v>
      </c>
      <c r="F1550" s="1287">
        <v>532.05999999999995</v>
      </c>
      <c r="G1550" s="1286" t="s">
        <v>4954</v>
      </c>
      <c r="H1550" s="34" t="s">
        <v>925</v>
      </c>
    </row>
    <row r="1551" spans="1:8" ht="28.5">
      <c r="A1551" s="1289">
        <v>2</v>
      </c>
      <c r="B1551" s="1289" t="s">
        <v>1638</v>
      </c>
      <c r="C1551" s="1288" t="s">
        <v>927</v>
      </c>
      <c r="D1551" s="1287">
        <v>4</v>
      </c>
      <c r="E1551" s="1287">
        <v>407.35</v>
      </c>
      <c r="F1551" s="1287">
        <v>1629.4</v>
      </c>
      <c r="G1551" s="1286" t="s">
        <v>1639</v>
      </c>
    </row>
    <row r="1552" spans="1:8" ht="33">
      <c r="A1552" s="1289">
        <v>3</v>
      </c>
      <c r="B1552" s="1289" t="s">
        <v>4871</v>
      </c>
      <c r="C1552" s="1288" t="s">
        <v>927</v>
      </c>
      <c r="D1552" s="1287">
        <v>4</v>
      </c>
      <c r="E1552" s="1287">
        <v>279.18</v>
      </c>
      <c r="F1552" s="1287">
        <v>1116.72</v>
      </c>
      <c r="G1552" s="1286" t="s">
        <v>4872</v>
      </c>
      <c r="H1552" s="34" t="s">
        <v>925</v>
      </c>
    </row>
    <row r="1553" spans="1:8" ht="33">
      <c r="A1553" s="1289">
        <v>4</v>
      </c>
      <c r="B1553" s="1289" t="s">
        <v>955</v>
      </c>
      <c r="C1553" s="1288" t="s">
        <v>14</v>
      </c>
      <c r="D1553" s="1287">
        <v>1</v>
      </c>
      <c r="E1553" s="1287">
        <v>98.35</v>
      </c>
      <c r="F1553" s="1287">
        <v>98.35</v>
      </c>
      <c r="G1553" s="1286" t="s">
        <v>956</v>
      </c>
      <c r="H1553" s="34" t="s">
        <v>925</v>
      </c>
    </row>
    <row r="1554" spans="1:8" ht="33">
      <c r="A1554" s="1289"/>
      <c r="B1554" s="1289" t="s">
        <v>933</v>
      </c>
      <c r="C1554" s="1288" t="s">
        <v>3</v>
      </c>
      <c r="D1554" s="1287">
        <v>10</v>
      </c>
      <c r="E1554" s="1287"/>
      <c r="F1554" s="1287">
        <v>3376.53</v>
      </c>
      <c r="G1554" s="1286"/>
      <c r="H1554" s="34" t="s">
        <v>925</v>
      </c>
    </row>
    <row r="1555" spans="1:8" ht="33">
      <c r="A1555" s="1289"/>
      <c r="B1555" s="1289" t="s">
        <v>934</v>
      </c>
      <c r="C1555" s="1288" t="s">
        <v>3</v>
      </c>
      <c r="D1555" s="1287"/>
      <c r="E1555" s="1287"/>
      <c r="F1555" s="1287">
        <v>337.65</v>
      </c>
      <c r="G1555" s="1286"/>
      <c r="H1555" s="34" t="s">
        <v>925</v>
      </c>
    </row>
    <row r="1556" spans="1:8" ht="33">
      <c r="A1556" s="1289"/>
      <c r="B1556" s="1289"/>
      <c r="C1556" s="1288"/>
      <c r="D1556" s="1287"/>
      <c r="E1556" s="1287"/>
      <c r="F1556" s="1287"/>
      <c r="G1556" s="1286"/>
      <c r="H1556" s="34" t="s">
        <v>925</v>
      </c>
    </row>
    <row r="1557" spans="1:8" ht="33">
      <c r="A1557" s="1289" t="s">
        <v>1838</v>
      </c>
      <c r="B1557" s="1289" t="s">
        <v>1641</v>
      </c>
      <c r="C1557" s="1288" t="s">
        <v>3</v>
      </c>
      <c r="D1557" s="1287">
        <v>1</v>
      </c>
      <c r="E1557" s="1287">
        <v>508.62</v>
      </c>
      <c r="F1557" s="1287"/>
      <c r="G1557" s="1286" t="s">
        <v>1642</v>
      </c>
      <c r="H1557" s="34" t="s">
        <v>925</v>
      </c>
    </row>
    <row r="1558" spans="1:8" ht="28.5">
      <c r="A1558" s="1289">
        <v>1</v>
      </c>
      <c r="B1558" s="1289" t="s">
        <v>1643</v>
      </c>
      <c r="C1558" s="1288" t="s">
        <v>0</v>
      </c>
      <c r="D1558" s="1287">
        <v>0.02</v>
      </c>
      <c r="E1558" s="1287">
        <v>5106.05</v>
      </c>
      <c r="F1558" s="1287">
        <v>102.12</v>
      </c>
      <c r="G1558" s="1286" t="s">
        <v>4955</v>
      </c>
    </row>
    <row r="1559" spans="1:8" ht="33">
      <c r="A1559" s="1289">
        <v>2</v>
      </c>
      <c r="B1559" s="1289" t="s">
        <v>1638</v>
      </c>
      <c r="C1559" s="1288" t="s">
        <v>927</v>
      </c>
      <c r="D1559" s="1287">
        <v>0.66</v>
      </c>
      <c r="E1559" s="1287">
        <v>407.35</v>
      </c>
      <c r="F1559" s="1287">
        <v>268.85000000000002</v>
      </c>
      <c r="G1559" s="1286" t="s">
        <v>1639</v>
      </c>
      <c r="H1559" s="34" t="s">
        <v>925</v>
      </c>
    </row>
    <row r="1560" spans="1:8" ht="33">
      <c r="A1560" s="1289">
        <v>3</v>
      </c>
      <c r="B1560" s="1289" t="s">
        <v>1644</v>
      </c>
      <c r="C1560" s="1288" t="s">
        <v>927</v>
      </c>
      <c r="D1560" s="1287">
        <v>0.44</v>
      </c>
      <c r="E1560" s="1287">
        <v>279.18</v>
      </c>
      <c r="F1560" s="1287">
        <v>122.84</v>
      </c>
      <c r="G1560" s="1286" t="s">
        <v>1645</v>
      </c>
      <c r="H1560" s="34" t="s">
        <v>925</v>
      </c>
    </row>
    <row r="1561" spans="1:8" ht="33">
      <c r="A1561" s="1289">
        <v>4</v>
      </c>
      <c r="B1561" s="1289" t="s">
        <v>955</v>
      </c>
      <c r="C1561" s="1288" t="s">
        <v>14</v>
      </c>
      <c r="D1561" s="1287">
        <v>1</v>
      </c>
      <c r="E1561" s="1287">
        <v>14.81</v>
      </c>
      <c r="F1561" s="1287">
        <v>14.81</v>
      </c>
      <c r="G1561" s="1286" t="s">
        <v>956</v>
      </c>
      <c r="H1561" s="34" t="s">
        <v>925</v>
      </c>
    </row>
    <row r="1562" spans="1:8" ht="33">
      <c r="A1562" s="1289"/>
      <c r="B1562" s="1289" t="s">
        <v>933</v>
      </c>
      <c r="C1562" s="1288" t="s">
        <v>3</v>
      </c>
      <c r="D1562" s="1287">
        <v>1</v>
      </c>
      <c r="E1562" s="1287"/>
      <c r="F1562" s="1287">
        <v>508.62000000000006</v>
      </c>
      <c r="G1562" s="1286"/>
      <c r="H1562" s="34" t="s">
        <v>925</v>
      </c>
    </row>
    <row r="1563" spans="1:8" ht="33">
      <c r="A1563" s="1289"/>
      <c r="B1563" s="1289" t="s">
        <v>934</v>
      </c>
      <c r="C1563" s="1288" t="s">
        <v>3</v>
      </c>
      <c r="D1563" s="1287"/>
      <c r="E1563" s="1287"/>
      <c r="F1563" s="1287">
        <v>508.62</v>
      </c>
      <c r="G1563" s="1286"/>
      <c r="H1563" s="34" t="s">
        <v>925</v>
      </c>
    </row>
    <row r="1564" spans="1:8" ht="33">
      <c r="A1564" s="1289"/>
      <c r="B1564" s="1289"/>
      <c r="C1564" s="1288"/>
      <c r="D1564" s="1287"/>
      <c r="E1564" s="1287"/>
      <c r="F1564" s="1287"/>
      <c r="G1564" s="1286"/>
      <c r="H1564" s="34" t="s">
        <v>925</v>
      </c>
    </row>
    <row r="1565" spans="1:8" ht="28.5">
      <c r="A1565" s="1289" t="s">
        <v>1845</v>
      </c>
      <c r="B1565" s="1289" t="s">
        <v>1647</v>
      </c>
      <c r="C1565" s="1288" t="s">
        <v>3</v>
      </c>
      <c r="D1565" s="1287">
        <v>1</v>
      </c>
      <c r="E1565" s="1287">
        <v>480.44</v>
      </c>
      <c r="F1565" s="1287"/>
      <c r="G1565" s="1286" t="s">
        <v>1648</v>
      </c>
    </row>
    <row r="1566" spans="1:8" ht="33">
      <c r="A1566" s="1289">
        <v>1</v>
      </c>
      <c r="B1566" s="1289" t="s">
        <v>1649</v>
      </c>
      <c r="C1566" s="1288" t="s">
        <v>0</v>
      </c>
      <c r="D1566" s="1287">
        <v>0.02</v>
      </c>
      <c r="E1566" s="1287">
        <v>3737.85</v>
      </c>
      <c r="F1566" s="1287">
        <v>74.760000000000005</v>
      </c>
      <c r="G1566" s="1286" t="s">
        <v>4956</v>
      </c>
      <c r="H1566" s="34" t="s">
        <v>925</v>
      </c>
    </row>
    <row r="1567" spans="1:8" ht="33">
      <c r="A1567" s="1289">
        <v>2</v>
      </c>
      <c r="B1567" s="1289" t="s">
        <v>1638</v>
      </c>
      <c r="C1567" s="1288" t="s">
        <v>927</v>
      </c>
      <c r="D1567" s="1287">
        <v>0.66</v>
      </c>
      <c r="E1567" s="1287">
        <v>407.35</v>
      </c>
      <c r="F1567" s="1287">
        <v>268.85000000000002</v>
      </c>
      <c r="G1567" s="1286" t="s">
        <v>1639</v>
      </c>
      <c r="H1567" s="34" t="s">
        <v>925</v>
      </c>
    </row>
    <row r="1568" spans="1:8" ht="33">
      <c r="A1568" s="1289">
        <v>3</v>
      </c>
      <c r="B1568" s="1289" t="s">
        <v>1644</v>
      </c>
      <c r="C1568" s="1288" t="s">
        <v>927</v>
      </c>
      <c r="D1568" s="1287">
        <v>0.44</v>
      </c>
      <c r="E1568" s="1287">
        <v>279.18</v>
      </c>
      <c r="F1568" s="1287">
        <v>122.84</v>
      </c>
      <c r="G1568" s="1286" t="s">
        <v>1645</v>
      </c>
      <c r="H1568" s="34" t="s">
        <v>925</v>
      </c>
    </row>
    <row r="1569" spans="1:8" ht="33">
      <c r="A1569" s="1289">
        <v>4</v>
      </c>
      <c r="B1569" s="1289" t="s">
        <v>955</v>
      </c>
      <c r="C1569" s="1288" t="s">
        <v>14</v>
      </c>
      <c r="D1569" s="1287">
        <v>1</v>
      </c>
      <c r="E1569" s="1287">
        <v>13.99</v>
      </c>
      <c r="F1569" s="1287">
        <v>13.99</v>
      </c>
      <c r="G1569" s="1286" t="s">
        <v>956</v>
      </c>
      <c r="H1569" s="34" t="s">
        <v>925</v>
      </c>
    </row>
    <row r="1570" spans="1:8" ht="33">
      <c r="A1570" s="1289"/>
      <c r="B1570" s="1289" t="s">
        <v>933</v>
      </c>
      <c r="C1570" s="1288" t="s">
        <v>3</v>
      </c>
      <c r="D1570" s="1287">
        <v>1</v>
      </c>
      <c r="E1570" s="1287"/>
      <c r="F1570" s="1287">
        <v>480.44000000000005</v>
      </c>
      <c r="G1570" s="1286"/>
      <c r="H1570" s="34" t="s">
        <v>925</v>
      </c>
    </row>
    <row r="1571" spans="1:8" ht="33">
      <c r="A1571" s="1289"/>
      <c r="B1571" s="1289" t="s">
        <v>934</v>
      </c>
      <c r="C1571" s="1288" t="s">
        <v>3</v>
      </c>
      <c r="D1571" s="1287"/>
      <c r="E1571" s="1287"/>
      <c r="F1571" s="1287">
        <v>480.44</v>
      </c>
      <c r="G1571" s="1286"/>
      <c r="H1571" s="34" t="s">
        <v>925</v>
      </c>
    </row>
    <row r="1572" spans="1:8" ht="16.5">
      <c r="A1572" s="1289"/>
      <c r="B1572" s="1289"/>
      <c r="C1572" s="1288"/>
      <c r="D1572" s="1287"/>
      <c r="E1572" s="1287"/>
      <c r="F1572" s="1287"/>
      <c r="G1572" s="1286"/>
    </row>
    <row r="1573" spans="1:8" ht="42.75">
      <c r="A1573" s="1289" t="s">
        <v>1852</v>
      </c>
      <c r="B1573" s="1289" t="s">
        <v>1651</v>
      </c>
      <c r="C1573" s="1288" t="s">
        <v>3</v>
      </c>
      <c r="D1573" s="1287">
        <v>200</v>
      </c>
      <c r="E1573" s="1287">
        <v>105.34</v>
      </c>
      <c r="F1573" s="1287"/>
      <c r="G1573" s="1286" t="s">
        <v>1652</v>
      </c>
      <c r="H1573" s="34" t="s">
        <v>925</v>
      </c>
    </row>
    <row r="1574" spans="1:8" ht="33">
      <c r="A1574" s="1289">
        <v>1</v>
      </c>
      <c r="B1574" s="1289" t="s">
        <v>1637</v>
      </c>
      <c r="C1574" s="1288" t="s">
        <v>0</v>
      </c>
      <c r="D1574" s="1287">
        <v>1</v>
      </c>
      <c r="E1574" s="1287">
        <v>3547.09</v>
      </c>
      <c r="F1574" s="1287">
        <v>3547.09</v>
      </c>
      <c r="G1574" s="1286" t="s">
        <v>4954</v>
      </c>
      <c r="H1574" s="34" t="s">
        <v>925</v>
      </c>
    </row>
    <row r="1575" spans="1:8" ht="33">
      <c r="A1575" s="1289">
        <v>2</v>
      </c>
      <c r="B1575" s="1289" t="s">
        <v>1653</v>
      </c>
      <c r="C1575" s="1288" t="s">
        <v>14</v>
      </c>
      <c r="D1575" s="1287">
        <v>1</v>
      </c>
      <c r="E1575" s="1287">
        <v>5961.23</v>
      </c>
      <c r="F1575" s="1287">
        <v>5961.23</v>
      </c>
      <c r="G1575" s="1286" t="s">
        <v>1654</v>
      </c>
      <c r="H1575" s="34" t="s">
        <v>925</v>
      </c>
    </row>
    <row r="1576" spans="1:8" ht="33">
      <c r="A1576" s="1289">
        <v>3</v>
      </c>
      <c r="B1576" s="1289" t="s">
        <v>1638</v>
      </c>
      <c r="C1576" s="1288" t="s">
        <v>927</v>
      </c>
      <c r="D1576" s="1287">
        <v>12</v>
      </c>
      <c r="E1576" s="1287">
        <v>407.35</v>
      </c>
      <c r="F1576" s="1287">
        <v>4888.2</v>
      </c>
      <c r="G1576" s="1286" t="s">
        <v>1639</v>
      </c>
      <c r="H1576" s="34" t="s">
        <v>925</v>
      </c>
    </row>
    <row r="1577" spans="1:8" ht="33">
      <c r="A1577" s="1289">
        <v>4</v>
      </c>
      <c r="B1577" s="1289" t="s">
        <v>1644</v>
      </c>
      <c r="C1577" s="1288" t="s">
        <v>927</v>
      </c>
      <c r="D1577" s="1287">
        <v>16</v>
      </c>
      <c r="E1577" s="1287">
        <v>279.18</v>
      </c>
      <c r="F1577" s="1287">
        <v>4466.88</v>
      </c>
      <c r="G1577" s="1286" t="s">
        <v>1645</v>
      </c>
      <c r="H1577" s="34" t="s">
        <v>925</v>
      </c>
    </row>
    <row r="1578" spans="1:8" ht="33">
      <c r="A1578" s="1289">
        <v>5</v>
      </c>
      <c r="B1578" s="1289" t="s">
        <v>1655</v>
      </c>
      <c r="C1578" s="1288" t="s">
        <v>3</v>
      </c>
      <c r="D1578" s="1287">
        <v>200</v>
      </c>
      <c r="E1578" s="1287">
        <v>7.95</v>
      </c>
      <c r="F1578" s="1287">
        <v>1590</v>
      </c>
      <c r="G1578" s="1286" t="s">
        <v>1656</v>
      </c>
      <c r="H1578" s="34" t="s">
        <v>925</v>
      </c>
    </row>
    <row r="1579" spans="1:8" ht="28.5">
      <c r="A1579" s="1289">
        <v>6</v>
      </c>
      <c r="B1579" s="1289" t="s">
        <v>931</v>
      </c>
      <c r="C1579" s="1288" t="s">
        <v>14</v>
      </c>
      <c r="D1579" s="1287">
        <v>1</v>
      </c>
      <c r="E1579" s="1287">
        <v>613.6</v>
      </c>
      <c r="F1579" s="1287">
        <v>613.6</v>
      </c>
      <c r="G1579" s="1286" t="s">
        <v>932</v>
      </c>
    </row>
    <row r="1580" spans="1:8" ht="33">
      <c r="A1580" s="1289"/>
      <c r="B1580" s="1289" t="s">
        <v>933</v>
      </c>
      <c r="C1580" s="1288" t="s">
        <v>3</v>
      </c>
      <c r="D1580" s="1287">
        <v>200</v>
      </c>
      <c r="E1580" s="1287"/>
      <c r="F1580" s="1287">
        <v>21067</v>
      </c>
      <c r="G1580" s="1286"/>
      <c r="H1580" s="34" t="s">
        <v>925</v>
      </c>
    </row>
    <row r="1581" spans="1:8" ht="33">
      <c r="A1581" s="1289"/>
      <c r="B1581" s="1289" t="s">
        <v>934</v>
      </c>
      <c r="C1581" s="1288" t="s">
        <v>3</v>
      </c>
      <c r="D1581" s="1287"/>
      <c r="E1581" s="1287"/>
      <c r="F1581" s="1287">
        <v>105.34</v>
      </c>
      <c r="G1581" s="1286"/>
      <c r="H1581" s="34" t="s">
        <v>925</v>
      </c>
    </row>
    <row r="1582" spans="1:8" ht="33">
      <c r="A1582" s="1289"/>
      <c r="B1582" s="1289"/>
      <c r="C1582" s="1288"/>
      <c r="D1582" s="1287"/>
      <c r="E1582" s="1287"/>
      <c r="F1582" s="1287"/>
      <c r="G1582" s="1286"/>
      <c r="H1582" s="34" t="s">
        <v>925</v>
      </c>
    </row>
    <row r="1583" spans="1:8" ht="33">
      <c r="A1583" s="1289" t="s">
        <v>1859</v>
      </c>
      <c r="B1583" s="1289" t="s">
        <v>1643</v>
      </c>
      <c r="C1583" s="1288" t="s">
        <v>0</v>
      </c>
      <c r="D1583" s="1287">
        <v>1</v>
      </c>
      <c r="E1583" s="1287">
        <v>5106.05</v>
      </c>
      <c r="F1583" s="1287"/>
      <c r="G1583" s="1286" t="s">
        <v>1658</v>
      </c>
      <c r="H1583" s="34" t="s">
        <v>925</v>
      </c>
    </row>
    <row r="1584" spans="1:8" ht="33">
      <c r="A1584" s="1289">
        <v>1</v>
      </c>
      <c r="B1584" s="1289" t="s">
        <v>1294</v>
      </c>
      <c r="C1584" s="1288" t="s">
        <v>1295</v>
      </c>
      <c r="D1584" s="1287">
        <v>20</v>
      </c>
      <c r="E1584" s="1287">
        <v>165.92</v>
      </c>
      <c r="F1584" s="1287">
        <v>3318.4</v>
      </c>
      <c r="G1584" s="1286" t="s">
        <v>1296</v>
      </c>
      <c r="H1584" s="34" t="s">
        <v>925</v>
      </c>
    </row>
    <row r="1585" spans="1:8" ht="33">
      <c r="A1585" s="1289">
        <v>2</v>
      </c>
      <c r="B1585" s="1289" t="s">
        <v>1659</v>
      </c>
      <c r="C1585" s="1288" t="s">
        <v>1121</v>
      </c>
      <c r="D1585" s="1287">
        <v>0.67</v>
      </c>
      <c r="E1585" s="1287">
        <v>1112.76</v>
      </c>
      <c r="F1585" s="1287">
        <v>745.55</v>
      </c>
      <c r="G1585" s="1286" t="s">
        <v>1660</v>
      </c>
      <c r="H1585" s="34" t="s">
        <v>925</v>
      </c>
    </row>
    <row r="1586" spans="1:8" ht="28.5">
      <c r="A1586" s="1289">
        <v>3</v>
      </c>
      <c r="B1586" s="1289" t="s">
        <v>4871</v>
      </c>
      <c r="C1586" s="1288" t="s">
        <v>927</v>
      </c>
      <c r="D1586" s="1287">
        <v>3.2</v>
      </c>
      <c r="E1586" s="1287">
        <v>279.18</v>
      </c>
      <c r="F1586" s="1287">
        <v>893.38</v>
      </c>
      <c r="G1586" s="1286" t="s">
        <v>4876</v>
      </c>
    </row>
    <row r="1587" spans="1:8" ht="33">
      <c r="A1587" s="1289">
        <v>4</v>
      </c>
      <c r="B1587" s="1289" t="s">
        <v>955</v>
      </c>
      <c r="C1587" s="1288" t="s">
        <v>14</v>
      </c>
      <c r="D1587" s="1287">
        <v>1</v>
      </c>
      <c r="E1587" s="1287">
        <v>148.72</v>
      </c>
      <c r="F1587" s="1287">
        <v>148.72</v>
      </c>
      <c r="G1587" s="1286" t="s">
        <v>956</v>
      </c>
      <c r="H1587" s="34" t="s">
        <v>925</v>
      </c>
    </row>
    <row r="1588" spans="1:8" ht="33">
      <c r="A1588" s="1289"/>
      <c r="B1588" s="1289" t="s">
        <v>933</v>
      </c>
      <c r="C1588" s="1288" t="s">
        <v>0</v>
      </c>
      <c r="D1588" s="1287">
        <v>1</v>
      </c>
      <c r="E1588" s="1287"/>
      <c r="F1588" s="1287">
        <v>5106.05</v>
      </c>
      <c r="G1588" s="1286"/>
      <c r="H1588" s="34" t="s">
        <v>925</v>
      </c>
    </row>
    <row r="1589" spans="1:8" ht="33">
      <c r="A1589" s="1289"/>
      <c r="B1589" s="1289" t="s">
        <v>934</v>
      </c>
      <c r="C1589" s="1288" t="s">
        <v>0</v>
      </c>
      <c r="D1589" s="1287"/>
      <c r="E1589" s="1287"/>
      <c r="F1589" s="1287">
        <v>5106.05</v>
      </c>
      <c r="G1589" s="1286"/>
      <c r="H1589" s="34" t="s">
        <v>925</v>
      </c>
    </row>
    <row r="1590" spans="1:8" ht="33">
      <c r="A1590" s="1289"/>
      <c r="B1590" s="1289"/>
      <c r="C1590" s="1288"/>
      <c r="D1590" s="1287"/>
      <c r="E1590" s="1287"/>
      <c r="F1590" s="1287"/>
      <c r="G1590" s="1286"/>
      <c r="H1590" s="34" t="s">
        <v>925</v>
      </c>
    </row>
    <row r="1591" spans="1:8" ht="33">
      <c r="A1591" s="1289" t="s">
        <v>1866</v>
      </c>
      <c r="B1591" s="1289" t="s">
        <v>1649</v>
      </c>
      <c r="C1591" s="1288" t="s">
        <v>0</v>
      </c>
      <c r="D1591" s="1287">
        <v>1</v>
      </c>
      <c r="E1591" s="1287">
        <v>3737.85</v>
      </c>
      <c r="F1591" s="1287"/>
      <c r="G1591" s="1286" t="s">
        <v>1662</v>
      </c>
      <c r="H1591" s="34" t="s">
        <v>925</v>
      </c>
    </row>
    <row r="1592" spans="1:8" ht="33">
      <c r="A1592" s="1289">
        <v>1</v>
      </c>
      <c r="B1592" s="1289" t="s">
        <v>1294</v>
      </c>
      <c r="C1592" s="1288" t="s">
        <v>1295</v>
      </c>
      <c r="D1592" s="1287">
        <v>13</v>
      </c>
      <c r="E1592" s="1287">
        <v>165.92</v>
      </c>
      <c r="F1592" s="1287">
        <v>2156.96</v>
      </c>
      <c r="G1592" s="1286" t="s">
        <v>1296</v>
      </c>
      <c r="H1592" s="34" t="s">
        <v>925</v>
      </c>
    </row>
    <row r="1593" spans="1:8" ht="28.5">
      <c r="A1593" s="1289">
        <v>2</v>
      </c>
      <c r="B1593" s="1289" t="s">
        <v>1299</v>
      </c>
      <c r="C1593" s="1288" t="s">
        <v>1121</v>
      </c>
      <c r="D1593" s="1287">
        <v>0.8</v>
      </c>
      <c r="E1593" s="1287">
        <v>723.3</v>
      </c>
      <c r="F1593" s="1287">
        <v>578.64</v>
      </c>
      <c r="G1593" s="1286" t="s">
        <v>1300</v>
      </c>
    </row>
    <row r="1594" spans="1:8" ht="33">
      <c r="A1594" s="1289">
        <v>3</v>
      </c>
      <c r="B1594" s="1289" t="s">
        <v>4871</v>
      </c>
      <c r="C1594" s="1288" t="s">
        <v>927</v>
      </c>
      <c r="D1594" s="1287">
        <v>3.2</v>
      </c>
      <c r="E1594" s="1287">
        <v>279.18</v>
      </c>
      <c r="F1594" s="1287">
        <v>893.38</v>
      </c>
      <c r="G1594" s="1286" t="s">
        <v>4872</v>
      </c>
      <c r="H1594" s="34" t="s">
        <v>925</v>
      </c>
    </row>
    <row r="1595" spans="1:8" ht="33">
      <c r="A1595" s="1289">
        <v>4</v>
      </c>
      <c r="B1595" s="1289" t="s">
        <v>955</v>
      </c>
      <c r="C1595" s="1288" t="s">
        <v>14</v>
      </c>
      <c r="D1595" s="1287">
        <v>1</v>
      </c>
      <c r="E1595" s="1287">
        <v>108.87</v>
      </c>
      <c r="F1595" s="1287">
        <v>108.87</v>
      </c>
      <c r="G1595" s="1286" t="s">
        <v>956</v>
      </c>
      <c r="H1595" s="34" t="s">
        <v>925</v>
      </c>
    </row>
    <row r="1596" spans="1:8" ht="33">
      <c r="A1596" s="1289"/>
      <c r="B1596" s="1289" t="s">
        <v>933</v>
      </c>
      <c r="C1596" s="1288" t="s">
        <v>0</v>
      </c>
      <c r="D1596" s="1287">
        <v>1</v>
      </c>
      <c r="E1596" s="1287"/>
      <c r="F1596" s="1287">
        <v>3737.85</v>
      </c>
      <c r="G1596" s="1286"/>
      <c r="H1596" s="34" t="s">
        <v>925</v>
      </c>
    </row>
    <row r="1597" spans="1:8" ht="33">
      <c r="A1597" s="1289"/>
      <c r="B1597" s="1289" t="s">
        <v>934</v>
      </c>
      <c r="C1597" s="1288" t="s">
        <v>0</v>
      </c>
      <c r="D1597" s="1287"/>
      <c r="E1597" s="1287"/>
      <c r="F1597" s="1287">
        <v>3737.85</v>
      </c>
      <c r="G1597" s="1286"/>
      <c r="H1597" s="34" t="s">
        <v>925</v>
      </c>
    </row>
    <row r="1598" spans="1:8" ht="33">
      <c r="A1598" s="1289"/>
      <c r="B1598" s="1289"/>
      <c r="C1598" s="1288"/>
      <c r="D1598" s="1287"/>
      <c r="E1598" s="1287"/>
      <c r="F1598" s="1287"/>
      <c r="G1598" s="1286"/>
      <c r="H1598" s="34" t="s">
        <v>925</v>
      </c>
    </row>
    <row r="1599" spans="1:8" ht="33">
      <c r="A1599" s="1289" t="s">
        <v>1873</v>
      </c>
      <c r="B1599" s="1289" t="s">
        <v>1637</v>
      </c>
      <c r="C1599" s="1288" t="s">
        <v>0</v>
      </c>
      <c r="D1599" s="1287">
        <v>1</v>
      </c>
      <c r="E1599" s="1287">
        <v>3547.09</v>
      </c>
      <c r="F1599" s="1287"/>
      <c r="G1599" s="1286" t="s">
        <v>1664</v>
      </c>
      <c r="H1599" s="34" t="s">
        <v>925</v>
      </c>
    </row>
    <row r="1600" spans="1:8" ht="28.5">
      <c r="A1600" s="1289">
        <v>1</v>
      </c>
      <c r="B1600" s="1289" t="s">
        <v>1294</v>
      </c>
      <c r="C1600" s="1288" t="s">
        <v>1295</v>
      </c>
      <c r="D1600" s="1287">
        <v>9</v>
      </c>
      <c r="E1600" s="1287">
        <v>165.92</v>
      </c>
      <c r="F1600" s="1287">
        <v>1493.28</v>
      </c>
      <c r="G1600" s="1286" t="s">
        <v>1296</v>
      </c>
    </row>
    <row r="1601" spans="1:8" ht="33">
      <c r="A1601" s="1289">
        <v>2</v>
      </c>
      <c r="B1601" s="1289" t="s">
        <v>1659</v>
      </c>
      <c r="C1601" s="1288" t="s">
        <v>1121</v>
      </c>
      <c r="D1601" s="1287">
        <v>0.95</v>
      </c>
      <c r="E1601" s="1287">
        <v>1112.76</v>
      </c>
      <c r="F1601" s="1287">
        <v>1057.1199999999999</v>
      </c>
      <c r="G1601" s="1286" t="s">
        <v>1660</v>
      </c>
      <c r="H1601" s="34" t="s">
        <v>925</v>
      </c>
    </row>
    <row r="1602" spans="1:8" ht="33">
      <c r="A1602" s="1289">
        <v>3</v>
      </c>
      <c r="B1602" s="1289" t="s">
        <v>4871</v>
      </c>
      <c r="C1602" s="1288" t="s">
        <v>927</v>
      </c>
      <c r="D1602" s="1287">
        <v>3.2</v>
      </c>
      <c r="E1602" s="1287">
        <v>279.18</v>
      </c>
      <c r="F1602" s="1287">
        <v>893.38</v>
      </c>
      <c r="G1602" s="1286" t="s">
        <v>4876</v>
      </c>
      <c r="H1602" s="34" t="s">
        <v>925</v>
      </c>
    </row>
    <row r="1603" spans="1:8" ht="33">
      <c r="A1603" s="1289">
        <v>4</v>
      </c>
      <c r="B1603" s="1289" t="s">
        <v>955</v>
      </c>
      <c r="C1603" s="1288" t="s">
        <v>14</v>
      </c>
      <c r="D1603" s="1287">
        <v>1</v>
      </c>
      <c r="E1603" s="1287">
        <v>103.31</v>
      </c>
      <c r="F1603" s="1287">
        <v>103.31</v>
      </c>
      <c r="G1603" s="1286" t="s">
        <v>956</v>
      </c>
      <c r="H1603" s="34" t="s">
        <v>925</v>
      </c>
    </row>
    <row r="1604" spans="1:8" ht="33">
      <c r="A1604" s="1289"/>
      <c r="B1604" s="1289" t="s">
        <v>933</v>
      </c>
      <c r="C1604" s="1288" t="s">
        <v>0</v>
      </c>
      <c r="D1604" s="1287">
        <v>1</v>
      </c>
      <c r="E1604" s="1287"/>
      <c r="F1604" s="1287">
        <v>3547.0899999999997</v>
      </c>
      <c r="G1604" s="1286"/>
      <c r="H1604" s="34" t="s">
        <v>925</v>
      </c>
    </row>
    <row r="1605" spans="1:8" ht="33">
      <c r="A1605" s="1289"/>
      <c r="B1605" s="1289" t="s">
        <v>934</v>
      </c>
      <c r="C1605" s="1288" t="s">
        <v>0</v>
      </c>
      <c r="D1605" s="1287"/>
      <c r="E1605" s="1287"/>
      <c r="F1605" s="1287">
        <v>3547.09</v>
      </c>
      <c r="G1605" s="1286"/>
      <c r="H1605" s="34" t="s">
        <v>925</v>
      </c>
    </row>
    <row r="1606" spans="1:8" ht="33">
      <c r="A1606" s="1289"/>
      <c r="B1606" s="1289"/>
      <c r="C1606" s="1288"/>
      <c r="D1606" s="1287"/>
      <c r="E1606" s="1287"/>
      <c r="F1606" s="1287"/>
      <c r="G1606" s="1286"/>
      <c r="H1606" s="34" t="s">
        <v>925</v>
      </c>
    </row>
    <row r="1607" spans="1:8" ht="28.5">
      <c r="A1607" s="1289" t="s">
        <v>1881</v>
      </c>
      <c r="B1607" s="1289" t="s">
        <v>1666</v>
      </c>
      <c r="C1607" s="1288" t="s">
        <v>3</v>
      </c>
      <c r="D1607" s="1287">
        <v>1</v>
      </c>
      <c r="E1607" s="1287">
        <v>1215.8399999999999</v>
      </c>
      <c r="F1607" s="1287"/>
      <c r="G1607" s="1286" t="s">
        <v>1667</v>
      </c>
    </row>
    <row r="1608" spans="1:8" ht="33">
      <c r="A1608" s="1289">
        <v>1</v>
      </c>
      <c r="B1608" s="1289" t="s">
        <v>464</v>
      </c>
      <c r="C1608" s="1288" t="s">
        <v>0</v>
      </c>
      <c r="D1608" s="1287">
        <v>0.04</v>
      </c>
      <c r="E1608" s="1287">
        <v>3319</v>
      </c>
      <c r="F1608" s="1287">
        <v>132.76</v>
      </c>
      <c r="G1608" s="1286" t="s">
        <v>4957</v>
      </c>
      <c r="H1608" s="34" t="s">
        <v>925</v>
      </c>
    </row>
    <row r="1609" spans="1:8" ht="33">
      <c r="A1609" s="1289">
        <v>2</v>
      </c>
      <c r="B1609" s="1289" t="s">
        <v>1668</v>
      </c>
      <c r="C1609" s="1288" t="s">
        <v>1121</v>
      </c>
      <c r="D1609" s="1287">
        <v>0.2</v>
      </c>
      <c r="E1609" s="1287">
        <v>645.79999999999995</v>
      </c>
      <c r="F1609" s="1287">
        <v>129.16</v>
      </c>
      <c r="G1609" s="1286" t="s">
        <v>1669</v>
      </c>
      <c r="H1609" s="34" t="s">
        <v>925</v>
      </c>
    </row>
    <row r="1610" spans="1:8" ht="33">
      <c r="A1610" s="1289">
        <v>3</v>
      </c>
      <c r="B1610" s="1289" t="s">
        <v>1670</v>
      </c>
      <c r="C1610" s="1288" t="s">
        <v>927</v>
      </c>
      <c r="D1610" s="1287">
        <v>0.64</v>
      </c>
      <c r="E1610" s="1287">
        <v>407.35</v>
      </c>
      <c r="F1610" s="1287">
        <v>260.7</v>
      </c>
      <c r="G1610" s="1286" t="s">
        <v>1671</v>
      </c>
      <c r="H1610" s="34" t="s">
        <v>925</v>
      </c>
    </row>
    <row r="1611" spans="1:8" ht="33">
      <c r="A1611" s="1289">
        <v>4</v>
      </c>
      <c r="B1611" s="1289" t="s">
        <v>4871</v>
      </c>
      <c r="C1611" s="1288" t="s">
        <v>927</v>
      </c>
      <c r="D1611" s="1287">
        <v>1.04</v>
      </c>
      <c r="E1611" s="1287">
        <v>279.18</v>
      </c>
      <c r="F1611" s="1287">
        <v>290.35000000000002</v>
      </c>
      <c r="G1611" s="1286" t="s">
        <v>4872</v>
      </c>
      <c r="H1611" s="34" t="s">
        <v>925</v>
      </c>
    </row>
    <row r="1612" spans="1:8" ht="33">
      <c r="A1612" s="1289">
        <v>5</v>
      </c>
      <c r="B1612" s="1289" t="s">
        <v>1635</v>
      </c>
      <c r="C1612" s="1288" t="s">
        <v>3</v>
      </c>
      <c r="D1612" s="1287">
        <v>1</v>
      </c>
      <c r="E1612" s="1287">
        <v>337.65</v>
      </c>
      <c r="F1612" s="1287">
        <v>337.65</v>
      </c>
      <c r="G1612" s="1286" t="s">
        <v>4958</v>
      </c>
      <c r="H1612" s="34" t="s">
        <v>925</v>
      </c>
    </row>
    <row r="1613" spans="1:8" ht="33">
      <c r="A1613" s="1289">
        <v>6</v>
      </c>
      <c r="B1613" s="1289" t="s">
        <v>1672</v>
      </c>
      <c r="C1613" s="1288" t="s">
        <v>14</v>
      </c>
      <c r="D1613" s="1287">
        <v>1</v>
      </c>
      <c r="E1613" s="1287">
        <v>29.81</v>
      </c>
      <c r="F1613" s="1287">
        <v>29.81</v>
      </c>
      <c r="G1613" s="1286" t="s">
        <v>1673</v>
      </c>
      <c r="H1613" s="34" t="s">
        <v>925</v>
      </c>
    </row>
    <row r="1614" spans="1:8" ht="28.5">
      <c r="A1614" s="1289">
        <v>7</v>
      </c>
      <c r="B1614" s="1289" t="s">
        <v>931</v>
      </c>
      <c r="C1614" s="1288" t="s">
        <v>14</v>
      </c>
      <c r="D1614" s="1287">
        <v>1</v>
      </c>
      <c r="E1614" s="1287">
        <v>35.409999999999997</v>
      </c>
      <c r="F1614" s="1287">
        <v>35.409999999999997</v>
      </c>
      <c r="G1614" s="1286" t="s">
        <v>932</v>
      </c>
    </row>
    <row r="1615" spans="1:8" ht="33">
      <c r="A1615" s="1289"/>
      <c r="B1615" s="1289" t="s">
        <v>933</v>
      </c>
      <c r="C1615" s="1288" t="s">
        <v>3</v>
      </c>
      <c r="D1615" s="1287">
        <v>1</v>
      </c>
      <c r="E1615" s="1287"/>
      <c r="F1615" s="1287">
        <v>1215.8399999999999</v>
      </c>
      <c r="G1615" s="1286"/>
      <c r="H1615" s="34" t="s">
        <v>925</v>
      </c>
    </row>
    <row r="1616" spans="1:8" ht="33">
      <c r="A1616" s="1289"/>
      <c r="B1616" s="1289" t="s">
        <v>934</v>
      </c>
      <c r="C1616" s="1288" t="s">
        <v>3</v>
      </c>
      <c r="D1616" s="1287"/>
      <c r="E1616" s="1287"/>
      <c r="F1616" s="1287">
        <v>1215.8399999999999</v>
      </c>
      <c r="G1616" s="1286"/>
      <c r="H1616" s="34" t="s">
        <v>925</v>
      </c>
    </row>
    <row r="1617" spans="1:8" ht="33">
      <c r="A1617" s="1289"/>
      <c r="B1617" s="1289"/>
      <c r="C1617" s="1288"/>
      <c r="D1617" s="1287"/>
      <c r="E1617" s="1287"/>
      <c r="F1617" s="1287"/>
      <c r="G1617" s="1286"/>
      <c r="H1617" s="34" t="s">
        <v>925</v>
      </c>
    </row>
    <row r="1618" spans="1:8" ht="33">
      <c r="A1618" s="1289" t="s">
        <v>1888</v>
      </c>
      <c r="B1618" s="1289" t="s">
        <v>1675</v>
      </c>
      <c r="C1618" s="1288" t="s">
        <v>3</v>
      </c>
      <c r="D1618" s="1287">
        <v>1</v>
      </c>
      <c r="E1618" s="1287">
        <v>1398.66</v>
      </c>
      <c r="F1618" s="1287"/>
      <c r="G1618" s="1286" t="s">
        <v>1676</v>
      </c>
      <c r="H1618" s="34" t="s">
        <v>925</v>
      </c>
    </row>
    <row r="1619" spans="1:8" ht="33">
      <c r="A1619" s="1289">
        <v>1</v>
      </c>
      <c r="B1619" s="1289" t="s">
        <v>464</v>
      </c>
      <c r="C1619" s="1288" t="s">
        <v>0</v>
      </c>
      <c r="D1619" s="1287">
        <v>0.05</v>
      </c>
      <c r="E1619" s="1287">
        <v>3319</v>
      </c>
      <c r="F1619" s="1287">
        <v>165.95</v>
      </c>
      <c r="G1619" s="1286" t="s">
        <v>4957</v>
      </c>
      <c r="H1619" s="34" t="s">
        <v>925</v>
      </c>
    </row>
    <row r="1620" spans="1:8" ht="33">
      <c r="A1620" s="1289">
        <v>2</v>
      </c>
      <c r="B1620" s="1289" t="s">
        <v>1677</v>
      </c>
      <c r="C1620" s="1288" t="s">
        <v>1121</v>
      </c>
      <c r="D1620" s="1287">
        <v>0.25</v>
      </c>
      <c r="E1620" s="1287">
        <v>695.48</v>
      </c>
      <c r="F1620" s="1287">
        <v>173.87</v>
      </c>
      <c r="G1620" s="1286" t="s">
        <v>1678</v>
      </c>
      <c r="H1620" s="34" t="s">
        <v>925</v>
      </c>
    </row>
    <row r="1621" spans="1:8" ht="28.5">
      <c r="A1621" s="1289">
        <v>3</v>
      </c>
      <c r="B1621" s="1289" t="s">
        <v>1670</v>
      </c>
      <c r="C1621" s="1288" t="s">
        <v>927</v>
      </c>
      <c r="D1621" s="1287">
        <v>0.72</v>
      </c>
      <c r="E1621" s="1287">
        <v>407.35</v>
      </c>
      <c r="F1621" s="1287">
        <v>293.29000000000002</v>
      </c>
      <c r="G1621" s="1286" t="s">
        <v>1671</v>
      </c>
    </row>
    <row r="1622" spans="1:8" ht="33">
      <c r="A1622" s="1289">
        <v>4</v>
      </c>
      <c r="B1622" s="1289" t="s">
        <v>4871</v>
      </c>
      <c r="C1622" s="1288" t="s">
        <v>927</v>
      </c>
      <c r="D1622" s="1287">
        <v>1.28</v>
      </c>
      <c r="E1622" s="1287">
        <v>279.18</v>
      </c>
      <c r="F1622" s="1287">
        <v>357.35</v>
      </c>
      <c r="G1622" s="1286" t="s">
        <v>4872</v>
      </c>
      <c r="H1622" s="34" t="s">
        <v>925</v>
      </c>
    </row>
    <row r="1623" spans="1:8" ht="33">
      <c r="A1623" s="1289">
        <v>5</v>
      </c>
      <c r="B1623" s="1289" t="s">
        <v>1672</v>
      </c>
      <c r="C1623" s="1288" t="s">
        <v>14</v>
      </c>
      <c r="D1623" s="1287">
        <v>1</v>
      </c>
      <c r="E1623" s="1287">
        <v>29.81</v>
      </c>
      <c r="F1623" s="1287">
        <v>29.81</v>
      </c>
      <c r="G1623" s="1286" t="s">
        <v>1673</v>
      </c>
      <c r="H1623" s="34" t="s">
        <v>925</v>
      </c>
    </row>
    <row r="1624" spans="1:8" ht="33">
      <c r="A1624" s="1289">
        <v>6</v>
      </c>
      <c r="B1624" s="1289" t="s">
        <v>1635</v>
      </c>
      <c r="C1624" s="1288" t="s">
        <v>3</v>
      </c>
      <c r="D1624" s="1287">
        <v>1</v>
      </c>
      <c r="E1624" s="1287">
        <v>337.65</v>
      </c>
      <c r="F1624" s="1287">
        <v>337.65</v>
      </c>
      <c r="G1624" s="1286" t="s">
        <v>4958</v>
      </c>
      <c r="H1624" s="34" t="s">
        <v>925</v>
      </c>
    </row>
    <row r="1625" spans="1:8" ht="33">
      <c r="A1625" s="1289">
        <v>7</v>
      </c>
      <c r="B1625" s="1289" t="s">
        <v>931</v>
      </c>
      <c r="C1625" s="1288" t="s">
        <v>14</v>
      </c>
      <c r="D1625" s="1287">
        <v>1</v>
      </c>
      <c r="E1625" s="1287">
        <v>40.74</v>
      </c>
      <c r="F1625" s="1287">
        <v>40.74</v>
      </c>
      <c r="G1625" s="1286" t="s">
        <v>932</v>
      </c>
      <c r="H1625" s="34" t="s">
        <v>925</v>
      </c>
    </row>
    <row r="1626" spans="1:8" ht="33">
      <c r="A1626" s="1289"/>
      <c r="B1626" s="1289" t="s">
        <v>933</v>
      </c>
      <c r="C1626" s="1288" t="s">
        <v>3</v>
      </c>
      <c r="D1626" s="1287">
        <v>1</v>
      </c>
      <c r="E1626" s="1287"/>
      <c r="F1626" s="1287">
        <v>1398.66</v>
      </c>
      <c r="G1626" s="1286"/>
      <c r="H1626" s="34" t="s">
        <v>925</v>
      </c>
    </row>
    <row r="1627" spans="1:8" ht="33">
      <c r="A1627" s="1289"/>
      <c r="B1627" s="1289" t="s">
        <v>934</v>
      </c>
      <c r="C1627" s="1288" t="s">
        <v>3</v>
      </c>
      <c r="D1627" s="1287"/>
      <c r="E1627" s="1287"/>
      <c r="F1627" s="1287">
        <v>1398.66</v>
      </c>
      <c r="G1627" s="1286"/>
      <c r="H1627" s="34" t="s">
        <v>925</v>
      </c>
    </row>
    <row r="1628" spans="1:8" ht="16.5">
      <c r="A1628" s="1289"/>
      <c r="B1628" s="1289"/>
      <c r="C1628" s="1288"/>
      <c r="D1628" s="1287"/>
      <c r="E1628" s="1287"/>
      <c r="F1628" s="1287"/>
      <c r="G1628" s="1286"/>
    </row>
    <row r="1629" spans="1:8" ht="33">
      <c r="A1629" s="1289" t="s">
        <v>1895</v>
      </c>
      <c r="B1629" s="1289" t="s">
        <v>1680</v>
      </c>
      <c r="C1629" s="1288" t="s">
        <v>3</v>
      </c>
      <c r="D1629" s="1287">
        <v>1</v>
      </c>
      <c r="E1629" s="1287">
        <v>1563.59</v>
      </c>
      <c r="F1629" s="1287"/>
      <c r="G1629" s="1286" t="s">
        <v>1681</v>
      </c>
      <c r="H1629" s="34" t="s">
        <v>925</v>
      </c>
    </row>
    <row r="1630" spans="1:8" ht="33">
      <c r="A1630" s="1289">
        <v>1</v>
      </c>
      <c r="B1630" s="1289" t="s">
        <v>464</v>
      </c>
      <c r="C1630" s="1288" t="s">
        <v>0</v>
      </c>
      <c r="D1630" s="1287">
        <v>0.06</v>
      </c>
      <c r="E1630" s="1287">
        <v>3319</v>
      </c>
      <c r="F1630" s="1287">
        <v>199.14</v>
      </c>
      <c r="G1630" s="1286" t="s">
        <v>4957</v>
      </c>
      <c r="H1630" s="34" t="s">
        <v>925</v>
      </c>
    </row>
    <row r="1631" spans="1:8" ht="33">
      <c r="A1631" s="1289">
        <v>2</v>
      </c>
      <c r="B1631" s="1289" t="s">
        <v>1682</v>
      </c>
      <c r="C1631" s="1288" t="s">
        <v>1121</v>
      </c>
      <c r="D1631" s="1287">
        <v>0.3</v>
      </c>
      <c r="E1631" s="1287">
        <v>745.15</v>
      </c>
      <c r="F1631" s="1287">
        <v>223.55</v>
      </c>
      <c r="G1631" s="1286" t="s">
        <v>1683</v>
      </c>
      <c r="H1631" s="34" t="s">
        <v>925</v>
      </c>
    </row>
    <row r="1632" spans="1:8" ht="33">
      <c r="A1632" s="1289">
        <v>3</v>
      </c>
      <c r="B1632" s="1289" t="s">
        <v>1670</v>
      </c>
      <c r="C1632" s="1288" t="s">
        <v>927</v>
      </c>
      <c r="D1632" s="1287">
        <v>0.8</v>
      </c>
      <c r="E1632" s="1287">
        <v>407.35</v>
      </c>
      <c r="F1632" s="1287">
        <v>325.88</v>
      </c>
      <c r="G1632" s="1286" t="s">
        <v>1671</v>
      </c>
      <c r="H1632" s="34" t="s">
        <v>925</v>
      </c>
    </row>
    <row r="1633" spans="1:8" ht="33">
      <c r="A1633" s="1289">
        <v>4</v>
      </c>
      <c r="B1633" s="1289" t="s">
        <v>4871</v>
      </c>
      <c r="C1633" s="1288" t="s">
        <v>927</v>
      </c>
      <c r="D1633" s="1287">
        <v>1.44</v>
      </c>
      <c r="E1633" s="1287">
        <v>279.18</v>
      </c>
      <c r="F1633" s="1287">
        <v>402.02</v>
      </c>
      <c r="G1633" s="1286" t="s">
        <v>4872</v>
      </c>
      <c r="H1633" s="34" t="s">
        <v>925</v>
      </c>
    </row>
    <row r="1634" spans="1:8" ht="33">
      <c r="A1634" s="1289">
        <v>5</v>
      </c>
      <c r="B1634" s="1289" t="s">
        <v>1635</v>
      </c>
      <c r="C1634" s="1288" t="s">
        <v>3</v>
      </c>
      <c r="D1634" s="1287">
        <v>1</v>
      </c>
      <c r="E1634" s="1287">
        <v>337.65</v>
      </c>
      <c r="F1634" s="1287">
        <v>337.65</v>
      </c>
      <c r="G1634" s="1286" t="s">
        <v>4958</v>
      </c>
      <c r="H1634" s="34" t="s">
        <v>925</v>
      </c>
    </row>
    <row r="1635" spans="1:8" ht="28.5">
      <c r="A1635" s="1289">
        <v>6</v>
      </c>
      <c r="B1635" s="1289" t="s">
        <v>1672</v>
      </c>
      <c r="C1635" s="1288" t="s">
        <v>14</v>
      </c>
      <c r="D1635" s="1287">
        <v>1</v>
      </c>
      <c r="E1635" s="1287">
        <v>29.81</v>
      </c>
      <c r="F1635" s="1287">
        <v>29.81</v>
      </c>
      <c r="G1635" s="1286" t="s">
        <v>1673</v>
      </c>
    </row>
    <row r="1636" spans="1:8" ht="33">
      <c r="A1636" s="1289">
        <v>7</v>
      </c>
      <c r="B1636" s="1289" t="s">
        <v>931</v>
      </c>
      <c r="C1636" s="1288" t="s">
        <v>14</v>
      </c>
      <c r="D1636" s="1287">
        <v>1</v>
      </c>
      <c r="E1636" s="1287">
        <v>45.54</v>
      </c>
      <c r="F1636" s="1287">
        <v>45.54</v>
      </c>
      <c r="G1636" s="1286" t="s">
        <v>932</v>
      </c>
      <c r="H1636" s="34" t="s">
        <v>925</v>
      </c>
    </row>
    <row r="1637" spans="1:8" ht="33">
      <c r="A1637" s="1289"/>
      <c r="B1637" s="1289" t="s">
        <v>933</v>
      </c>
      <c r="C1637" s="1288" t="s">
        <v>3</v>
      </c>
      <c r="D1637" s="1287">
        <v>1</v>
      </c>
      <c r="E1637" s="1287"/>
      <c r="F1637" s="1287">
        <v>1563.5899999999997</v>
      </c>
      <c r="G1637" s="1286"/>
      <c r="H1637" s="34" t="s">
        <v>925</v>
      </c>
    </row>
    <row r="1638" spans="1:8" ht="33">
      <c r="A1638" s="1289"/>
      <c r="B1638" s="1289" t="s">
        <v>934</v>
      </c>
      <c r="C1638" s="1288" t="s">
        <v>3</v>
      </c>
      <c r="D1638" s="1287"/>
      <c r="E1638" s="1287"/>
      <c r="F1638" s="1287">
        <v>1563.59</v>
      </c>
      <c r="G1638" s="1286"/>
      <c r="H1638" s="34" t="s">
        <v>925</v>
      </c>
    </row>
    <row r="1639" spans="1:8" ht="33">
      <c r="A1639" s="1289"/>
      <c r="B1639" s="1289"/>
      <c r="C1639" s="1288"/>
      <c r="D1639" s="1287"/>
      <c r="E1639" s="1287"/>
      <c r="F1639" s="1287"/>
      <c r="G1639" s="1286"/>
      <c r="H1639" s="34" t="s">
        <v>925</v>
      </c>
    </row>
    <row r="1640" spans="1:8" ht="33">
      <c r="A1640" s="1289" t="s">
        <v>1902</v>
      </c>
      <c r="B1640" s="1289" t="s">
        <v>1685</v>
      </c>
      <c r="C1640" s="1288" t="s">
        <v>3</v>
      </c>
      <c r="D1640" s="1287">
        <v>1</v>
      </c>
      <c r="E1640" s="1287">
        <v>476.51</v>
      </c>
      <c r="F1640" s="1287"/>
      <c r="G1640" s="1286" t="s">
        <v>1686</v>
      </c>
      <c r="H1640" s="34" t="s">
        <v>925</v>
      </c>
    </row>
    <row r="1641" spans="1:8" ht="33">
      <c r="A1641" s="1289">
        <v>1</v>
      </c>
      <c r="B1641" s="1289" t="s">
        <v>1637</v>
      </c>
      <c r="C1641" s="1288" t="s">
        <v>0</v>
      </c>
      <c r="D1641" s="1287">
        <v>0.02</v>
      </c>
      <c r="E1641" s="1287">
        <v>3547.09</v>
      </c>
      <c r="F1641" s="1287">
        <v>70.94</v>
      </c>
      <c r="G1641" s="1286" t="s">
        <v>4954</v>
      </c>
      <c r="H1641" s="34" t="s">
        <v>925</v>
      </c>
    </row>
    <row r="1642" spans="1:8" ht="28.5">
      <c r="A1642" s="1289">
        <v>2</v>
      </c>
      <c r="B1642" s="1289" t="s">
        <v>1638</v>
      </c>
      <c r="C1642" s="1288" t="s">
        <v>927</v>
      </c>
      <c r="D1642" s="1287">
        <v>0.66</v>
      </c>
      <c r="E1642" s="1287">
        <v>407.35</v>
      </c>
      <c r="F1642" s="1287">
        <v>268.85000000000002</v>
      </c>
      <c r="G1642" s="1286" t="s">
        <v>1639</v>
      </c>
    </row>
    <row r="1643" spans="1:8" ht="33">
      <c r="A1643" s="1289">
        <v>3</v>
      </c>
      <c r="B1643" s="1289" t="s">
        <v>1644</v>
      </c>
      <c r="C1643" s="1288" t="s">
        <v>927</v>
      </c>
      <c r="D1643" s="1287">
        <v>0.44</v>
      </c>
      <c r="E1643" s="1287">
        <v>279.18</v>
      </c>
      <c r="F1643" s="1287">
        <v>122.84</v>
      </c>
      <c r="G1643" s="1286" t="s">
        <v>1645</v>
      </c>
      <c r="H1643" s="34" t="s">
        <v>925</v>
      </c>
    </row>
    <row r="1644" spans="1:8" ht="33">
      <c r="A1644" s="1289">
        <v>4</v>
      </c>
      <c r="B1644" s="1289" t="s">
        <v>955</v>
      </c>
      <c r="C1644" s="1288" t="s">
        <v>14</v>
      </c>
      <c r="D1644" s="1287">
        <v>1</v>
      </c>
      <c r="E1644" s="1287">
        <v>13.88</v>
      </c>
      <c r="F1644" s="1287">
        <v>13.88</v>
      </c>
      <c r="G1644" s="1286" t="s">
        <v>956</v>
      </c>
      <c r="H1644" s="34" t="s">
        <v>925</v>
      </c>
    </row>
    <row r="1645" spans="1:8" ht="33">
      <c r="A1645" s="1289"/>
      <c r="B1645" s="1289" t="s">
        <v>933</v>
      </c>
      <c r="C1645" s="1288" t="s">
        <v>3</v>
      </c>
      <c r="D1645" s="1287">
        <v>1</v>
      </c>
      <c r="E1645" s="1287"/>
      <c r="F1645" s="1287">
        <v>476.51</v>
      </c>
      <c r="G1645" s="1286"/>
      <c r="H1645" s="34" t="s">
        <v>925</v>
      </c>
    </row>
    <row r="1646" spans="1:8" ht="33">
      <c r="A1646" s="1289"/>
      <c r="B1646" s="1289" t="s">
        <v>934</v>
      </c>
      <c r="C1646" s="1288" t="s">
        <v>3</v>
      </c>
      <c r="D1646" s="1287"/>
      <c r="E1646" s="1287"/>
      <c r="F1646" s="1287">
        <v>476.51</v>
      </c>
      <c r="G1646" s="1286"/>
      <c r="H1646" s="34" t="s">
        <v>925</v>
      </c>
    </row>
    <row r="1647" spans="1:8" ht="33">
      <c r="A1647" s="1289"/>
      <c r="B1647" s="1289"/>
      <c r="C1647" s="1288"/>
      <c r="D1647" s="1287"/>
      <c r="E1647" s="1287"/>
      <c r="F1647" s="1287"/>
      <c r="G1647" s="1286"/>
      <c r="H1647" s="34" t="s">
        <v>925</v>
      </c>
    </row>
    <row r="1648" spans="1:8" ht="33">
      <c r="A1648" s="1289" t="s">
        <v>1909</v>
      </c>
      <c r="B1648" s="1289" t="s">
        <v>1688</v>
      </c>
      <c r="C1648" s="1288" t="s">
        <v>1689</v>
      </c>
      <c r="D1648" s="1287">
        <v>1</v>
      </c>
      <c r="E1648" s="1287">
        <v>8040.4</v>
      </c>
      <c r="F1648" s="1287"/>
      <c r="G1648" s="1286" t="s">
        <v>1690</v>
      </c>
      <c r="H1648" s="34" t="s">
        <v>925</v>
      </c>
    </row>
    <row r="1649" spans="1:8" ht="42.75">
      <c r="A1649" s="1289">
        <v>1</v>
      </c>
      <c r="B1649" s="1289" t="s">
        <v>1691</v>
      </c>
      <c r="C1649" s="1288" t="s">
        <v>3</v>
      </c>
      <c r="D1649" s="1287">
        <v>15</v>
      </c>
      <c r="E1649" s="1287">
        <v>298.06</v>
      </c>
      <c r="F1649" s="1287">
        <v>4470.8999999999996</v>
      </c>
      <c r="G1649" s="1286" t="s">
        <v>1692</v>
      </c>
    </row>
    <row r="1650" spans="1:8" ht="33">
      <c r="A1650" s="1289">
        <v>2</v>
      </c>
      <c r="B1650" s="1289" t="s">
        <v>1693</v>
      </c>
      <c r="C1650" s="1288" t="s">
        <v>0</v>
      </c>
      <c r="D1650" s="1287">
        <v>2.25</v>
      </c>
      <c r="E1650" s="1287">
        <v>695.48</v>
      </c>
      <c r="F1650" s="1287">
        <v>1564.83</v>
      </c>
      <c r="G1650" s="1286" t="s">
        <v>1694</v>
      </c>
      <c r="H1650" s="34" t="s">
        <v>925</v>
      </c>
    </row>
    <row r="1651" spans="1:8" ht="42.75">
      <c r="A1651" s="1289">
        <v>3</v>
      </c>
      <c r="B1651" s="1289" t="s">
        <v>4942</v>
      </c>
      <c r="C1651" s="1288" t="s">
        <v>927</v>
      </c>
      <c r="D1651" s="1287">
        <v>2</v>
      </c>
      <c r="E1651" s="1287">
        <v>407.35</v>
      </c>
      <c r="F1651" s="1287">
        <v>814.7</v>
      </c>
      <c r="G1651" s="1286" t="s">
        <v>4943</v>
      </c>
      <c r="H1651" s="34" t="s">
        <v>925</v>
      </c>
    </row>
    <row r="1652" spans="1:8" ht="33">
      <c r="A1652" s="1289">
        <v>4</v>
      </c>
      <c r="B1652" s="1289" t="s">
        <v>1695</v>
      </c>
      <c r="C1652" s="1288" t="s">
        <v>927</v>
      </c>
      <c r="D1652" s="1287">
        <v>2</v>
      </c>
      <c r="E1652" s="1287">
        <v>279.18</v>
      </c>
      <c r="F1652" s="1287">
        <v>558.36</v>
      </c>
      <c r="G1652" s="1286" t="s">
        <v>1696</v>
      </c>
      <c r="H1652" s="34" t="s">
        <v>925</v>
      </c>
    </row>
    <row r="1653" spans="1:8" ht="33">
      <c r="A1653" s="1289">
        <v>5</v>
      </c>
      <c r="B1653" s="1289" t="s">
        <v>1697</v>
      </c>
      <c r="C1653" s="1288" t="s">
        <v>14</v>
      </c>
      <c r="D1653" s="1287">
        <v>1</v>
      </c>
      <c r="E1653" s="1287">
        <v>397.42</v>
      </c>
      <c r="F1653" s="1287">
        <v>397.42</v>
      </c>
      <c r="G1653" s="1286" t="s">
        <v>1698</v>
      </c>
      <c r="H1653" s="34" t="s">
        <v>925</v>
      </c>
    </row>
    <row r="1654" spans="1:8" ht="33">
      <c r="A1654" s="1289">
        <v>6</v>
      </c>
      <c r="B1654" s="1289" t="s">
        <v>931</v>
      </c>
      <c r="C1654" s="1288" t="s">
        <v>14</v>
      </c>
      <c r="D1654" s="1287">
        <v>1</v>
      </c>
      <c r="E1654" s="1287">
        <v>234.19</v>
      </c>
      <c r="F1654" s="1287">
        <v>234.19</v>
      </c>
      <c r="G1654" s="1286" t="s">
        <v>932</v>
      </c>
      <c r="H1654" s="34" t="s">
        <v>925</v>
      </c>
    </row>
    <row r="1655" spans="1:8" ht="33">
      <c r="A1655" s="1289"/>
      <c r="B1655" s="1289" t="s">
        <v>933</v>
      </c>
      <c r="C1655" s="1288" t="s">
        <v>1689</v>
      </c>
      <c r="D1655" s="1287">
        <v>1</v>
      </c>
      <c r="E1655" s="1287"/>
      <c r="F1655" s="1287">
        <v>8040.3999999999987</v>
      </c>
      <c r="G1655" s="1286"/>
      <c r="H1655" s="34" t="s">
        <v>925</v>
      </c>
    </row>
    <row r="1656" spans="1:8" ht="16.5">
      <c r="A1656" s="1289"/>
      <c r="B1656" s="1289" t="s">
        <v>934</v>
      </c>
      <c r="C1656" s="1288" t="s">
        <v>1689</v>
      </c>
      <c r="D1656" s="1287"/>
      <c r="E1656" s="1287"/>
      <c r="F1656" s="1287">
        <v>8040.4</v>
      </c>
      <c r="G1656" s="1286"/>
    </row>
    <row r="1657" spans="1:8" ht="33">
      <c r="A1657" s="1289"/>
      <c r="B1657" s="1289"/>
      <c r="C1657" s="1288"/>
      <c r="D1657" s="1287"/>
      <c r="E1657" s="1287"/>
      <c r="F1657" s="1287"/>
      <c r="G1657" s="1286"/>
      <c r="H1657" s="34" t="s">
        <v>925</v>
      </c>
    </row>
    <row r="1658" spans="1:8" ht="33">
      <c r="A1658" s="1289" t="s">
        <v>1916</v>
      </c>
      <c r="B1658" s="1289" t="s">
        <v>1700</v>
      </c>
      <c r="C1658" s="1288" t="s">
        <v>17</v>
      </c>
      <c r="D1658" s="1287">
        <v>1</v>
      </c>
      <c r="E1658" s="1287">
        <v>1612.01</v>
      </c>
      <c r="F1658" s="1287"/>
      <c r="G1658" s="1286" t="s">
        <v>1701</v>
      </c>
      <c r="H1658" s="34" t="s">
        <v>925</v>
      </c>
    </row>
    <row r="1659" spans="1:8" ht="33">
      <c r="A1659" s="1289">
        <v>1</v>
      </c>
      <c r="B1659" s="1289" t="s">
        <v>1702</v>
      </c>
      <c r="C1659" s="1288" t="s">
        <v>17</v>
      </c>
      <c r="D1659" s="1287">
        <v>1</v>
      </c>
      <c r="E1659" s="1287">
        <v>1390.95</v>
      </c>
      <c r="F1659" s="1287">
        <v>1390.95</v>
      </c>
      <c r="G1659" s="1286" t="s">
        <v>1703</v>
      </c>
      <c r="H1659" s="34" t="s">
        <v>925</v>
      </c>
    </row>
    <row r="1660" spans="1:8" ht="33">
      <c r="A1660" s="1289">
        <v>2</v>
      </c>
      <c r="B1660" s="1289" t="s">
        <v>1649</v>
      </c>
      <c r="C1660" s="1288" t="s">
        <v>0</v>
      </c>
      <c r="D1660" s="1287">
        <v>0.02</v>
      </c>
      <c r="E1660" s="1287">
        <v>3737.85</v>
      </c>
      <c r="F1660" s="1287">
        <v>74.760000000000005</v>
      </c>
      <c r="G1660" s="1286" t="s">
        <v>4956</v>
      </c>
      <c r="H1660" s="34" t="s">
        <v>925</v>
      </c>
    </row>
    <row r="1661" spans="1:8" ht="33">
      <c r="A1661" s="1289">
        <v>3</v>
      </c>
      <c r="B1661" s="1289" t="s">
        <v>1704</v>
      </c>
      <c r="C1661" s="1288" t="s">
        <v>14</v>
      </c>
      <c r="D1661" s="1287">
        <v>1</v>
      </c>
      <c r="E1661" s="1287">
        <v>99.35</v>
      </c>
      <c r="F1661" s="1287">
        <v>99.35</v>
      </c>
      <c r="G1661" s="1286" t="s">
        <v>1705</v>
      </c>
      <c r="H1661" s="34" t="s">
        <v>925</v>
      </c>
    </row>
    <row r="1662" spans="1:8" ht="33">
      <c r="A1662" s="1289">
        <v>4</v>
      </c>
      <c r="B1662" s="1289" t="s">
        <v>931</v>
      </c>
      <c r="C1662" s="1288" t="s">
        <v>14</v>
      </c>
      <c r="D1662" s="1287">
        <v>1</v>
      </c>
      <c r="E1662" s="1287">
        <v>46.95</v>
      </c>
      <c r="F1662" s="1287">
        <v>46.95</v>
      </c>
      <c r="G1662" s="1286" t="s">
        <v>932</v>
      </c>
      <c r="H1662" s="34" t="s">
        <v>925</v>
      </c>
    </row>
    <row r="1663" spans="1:8" ht="16.5">
      <c r="A1663" s="1289"/>
      <c r="B1663" s="1289" t="s">
        <v>933</v>
      </c>
      <c r="C1663" s="1288" t="s">
        <v>17</v>
      </c>
      <c r="D1663" s="1287">
        <v>1</v>
      </c>
      <c r="E1663" s="1287"/>
      <c r="F1663" s="1287">
        <v>1612.01</v>
      </c>
      <c r="G1663" s="1286"/>
    </row>
    <row r="1664" spans="1:8" ht="33">
      <c r="A1664" s="1289"/>
      <c r="B1664" s="1289" t="s">
        <v>934</v>
      </c>
      <c r="C1664" s="1288" t="s">
        <v>17</v>
      </c>
      <c r="D1664" s="1287"/>
      <c r="E1664" s="1287"/>
      <c r="F1664" s="1287">
        <v>1612.01</v>
      </c>
      <c r="G1664" s="1286"/>
      <c r="H1664" s="34" t="s">
        <v>925</v>
      </c>
    </row>
    <row r="1665" spans="1:8" ht="33">
      <c r="A1665" s="1289"/>
      <c r="B1665" s="1289"/>
      <c r="C1665" s="1288"/>
      <c r="D1665" s="1287"/>
      <c r="E1665" s="1287"/>
      <c r="F1665" s="1287"/>
      <c r="G1665" s="1286"/>
      <c r="H1665" s="34" t="s">
        <v>925</v>
      </c>
    </row>
    <row r="1666" spans="1:8" ht="33">
      <c r="A1666" s="1289" t="s">
        <v>1923</v>
      </c>
      <c r="B1666" s="1289" t="s">
        <v>1697</v>
      </c>
      <c r="C1666" s="1288" t="s">
        <v>15</v>
      </c>
      <c r="D1666" s="1287">
        <v>1</v>
      </c>
      <c r="E1666" s="1287">
        <v>1421.82</v>
      </c>
      <c r="F1666" s="1287"/>
      <c r="G1666" s="1286" t="s">
        <v>1707</v>
      </c>
      <c r="H1666" s="34" t="s">
        <v>925</v>
      </c>
    </row>
    <row r="1667" spans="1:8" ht="33">
      <c r="A1667" s="1289">
        <v>1</v>
      </c>
      <c r="B1667" s="1289" t="s">
        <v>1708</v>
      </c>
      <c r="C1667" s="1288" t="s">
        <v>1121</v>
      </c>
      <c r="D1667" s="1287">
        <v>1.1000000000000001</v>
      </c>
      <c r="E1667" s="1287">
        <v>645.79999999999995</v>
      </c>
      <c r="F1667" s="1287">
        <v>710.38</v>
      </c>
      <c r="G1667" s="1286" t="s">
        <v>1709</v>
      </c>
      <c r="H1667" s="34" t="s">
        <v>925</v>
      </c>
    </row>
    <row r="1668" spans="1:8" ht="33">
      <c r="A1668" s="1289">
        <v>2</v>
      </c>
      <c r="B1668" s="1289" t="s">
        <v>4871</v>
      </c>
      <c r="C1668" s="1288" t="s">
        <v>927</v>
      </c>
      <c r="D1668" s="1287">
        <v>2.4</v>
      </c>
      <c r="E1668" s="1287">
        <v>279.18</v>
      </c>
      <c r="F1668" s="1287">
        <v>670.03</v>
      </c>
      <c r="G1668" s="1286" t="s">
        <v>4872</v>
      </c>
      <c r="H1668" s="34" t="s">
        <v>925</v>
      </c>
    </row>
    <row r="1669" spans="1:8" ht="33">
      <c r="A1669" s="1289">
        <v>3</v>
      </c>
      <c r="B1669" s="1289" t="s">
        <v>931</v>
      </c>
      <c r="C1669" s="1288" t="s">
        <v>14</v>
      </c>
      <c r="D1669" s="1287">
        <v>1</v>
      </c>
      <c r="E1669" s="1287">
        <v>41.41</v>
      </c>
      <c r="F1669" s="1287">
        <v>41.41</v>
      </c>
      <c r="G1669" s="1286" t="s">
        <v>932</v>
      </c>
      <c r="H1669" s="34" t="s">
        <v>925</v>
      </c>
    </row>
    <row r="1670" spans="1:8" ht="16.5">
      <c r="A1670" s="1289"/>
      <c r="B1670" s="1289" t="s">
        <v>933</v>
      </c>
      <c r="C1670" s="1288" t="s">
        <v>15</v>
      </c>
      <c r="D1670" s="1287">
        <v>1</v>
      </c>
      <c r="E1670" s="1287"/>
      <c r="F1670" s="1287">
        <v>1421.82</v>
      </c>
      <c r="G1670" s="1286"/>
    </row>
    <row r="1671" spans="1:8" ht="33">
      <c r="A1671" s="1289"/>
      <c r="B1671" s="1289" t="s">
        <v>934</v>
      </c>
      <c r="C1671" s="1288" t="s">
        <v>15</v>
      </c>
      <c r="D1671" s="1287"/>
      <c r="E1671" s="1287"/>
      <c r="F1671" s="1287">
        <v>1421.82</v>
      </c>
      <c r="G1671" s="1286"/>
      <c r="H1671" s="34" t="s">
        <v>925</v>
      </c>
    </row>
    <row r="1672" spans="1:8" ht="33">
      <c r="A1672" s="1289"/>
      <c r="B1672" s="1289"/>
      <c r="C1672" s="1288"/>
      <c r="D1672" s="1287"/>
      <c r="E1672" s="1287"/>
      <c r="F1672" s="1287"/>
      <c r="G1672" s="1286"/>
      <c r="H1672" s="34" t="s">
        <v>925</v>
      </c>
    </row>
    <row r="1673" spans="1:8" ht="33">
      <c r="A1673" s="1289" t="s">
        <v>1930</v>
      </c>
      <c r="B1673" s="1289" t="s">
        <v>1711</v>
      </c>
      <c r="C1673" s="1288" t="s">
        <v>3</v>
      </c>
      <c r="D1673" s="1287">
        <v>1</v>
      </c>
      <c r="E1673" s="1287">
        <v>1643.96</v>
      </c>
      <c r="F1673" s="1287"/>
      <c r="G1673" s="1286" t="s">
        <v>1712</v>
      </c>
      <c r="H1673" s="34" t="s">
        <v>925</v>
      </c>
    </row>
    <row r="1674" spans="1:8" ht="33">
      <c r="A1674" s="1289">
        <v>1</v>
      </c>
      <c r="B1674" s="1289" t="s">
        <v>1713</v>
      </c>
      <c r="C1674" s="1288" t="s">
        <v>0</v>
      </c>
      <c r="D1674" s="1287">
        <v>0.06</v>
      </c>
      <c r="E1674" s="1287">
        <v>2451.42</v>
      </c>
      <c r="F1674" s="1287">
        <v>147.09</v>
      </c>
      <c r="G1674" s="1286" t="s">
        <v>4959</v>
      </c>
      <c r="H1674" s="34" t="s">
        <v>925</v>
      </c>
    </row>
    <row r="1675" spans="1:8" ht="33">
      <c r="A1675" s="1289">
        <v>2</v>
      </c>
      <c r="B1675" s="1289" t="s">
        <v>1714</v>
      </c>
      <c r="C1675" s="1288" t="s">
        <v>3</v>
      </c>
      <c r="D1675" s="1287">
        <v>2</v>
      </c>
      <c r="E1675" s="1287">
        <v>416.21</v>
      </c>
      <c r="F1675" s="1287">
        <v>832.42</v>
      </c>
      <c r="G1675" s="1286" t="s">
        <v>4960</v>
      </c>
      <c r="H1675" s="34" t="s">
        <v>925</v>
      </c>
    </row>
    <row r="1676" spans="1:8" ht="33">
      <c r="A1676" s="1289">
        <v>3</v>
      </c>
      <c r="B1676" s="1289" t="s">
        <v>4871</v>
      </c>
      <c r="C1676" s="1288" t="s">
        <v>927</v>
      </c>
      <c r="D1676" s="1287">
        <v>0.48</v>
      </c>
      <c r="E1676" s="1287">
        <v>279.18</v>
      </c>
      <c r="F1676" s="1287">
        <v>134.01</v>
      </c>
      <c r="G1676" s="1286" t="s">
        <v>4872</v>
      </c>
      <c r="H1676" s="34" t="s">
        <v>925</v>
      </c>
    </row>
    <row r="1677" spans="1:8" ht="28.5">
      <c r="A1677" s="1289">
        <v>4</v>
      </c>
      <c r="B1677" s="1289" t="s">
        <v>1715</v>
      </c>
      <c r="C1677" s="1288" t="s">
        <v>14</v>
      </c>
      <c r="D1677" s="1287">
        <v>1</v>
      </c>
      <c r="E1677" s="1287">
        <v>119.22</v>
      </c>
      <c r="F1677" s="1287">
        <v>119.22</v>
      </c>
      <c r="G1677" s="1286" t="s">
        <v>1716</v>
      </c>
    </row>
    <row r="1678" spans="1:8" ht="33">
      <c r="A1678" s="1289">
        <v>5</v>
      </c>
      <c r="B1678" s="1289" t="s">
        <v>1717</v>
      </c>
      <c r="C1678" s="1288" t="s">
        <v>14</v>
      </c>
      <c r="D1678" s="1287">
        <v>1</v>
      </c>
      <c r="E1678" s="1287">
        <v>29.81</v>
      </c>
      <c r="F1678" s="1287">
        <v>29.81</v>
      </c>
      <c r="G1678" s="1286" t="s">
        <v>1718</v>
      </c>
      <c r="H1678" s="34" t="s">
        <v>925</v>
      </c>
    </row>
    <row r="1679" spans="1:8" ht="33">
      <c r="A1679" s="1289">
        <v>6</v>
      </c>
      <c r="B1679" s="1289" t="s">
        <v>1719</v>
      </c>
      <c r="C1679" s="1288" t="s">
        <v>1497</v>
      </c>
      <c r="D1679" s="1287">
        <v>1</v>
      </c>
      <c r="E1679" s="1287">
        <v>55.34</v>
      </c>
      <c r="F1679" s="1287">
        <v>55.34</v>
      </c>
      <c r="G1679" s="1286" t="s">
        <v>4961</v>
      </c>
      <c r="H1679" s="34" t="s">
        <v>925</v>
      </c>
    </row>
    <row r="1680" spans="1:8" ht="33">
      <c r="A1680" s="1289">
        <v>7</v>
      </c>
      <c r="B1680" s="1289" t="s">
        <v>1720</v>
      </c>
      <c r="C1680" s="1288" t="s">
        <v>3</v>
      </c>
      <c r="D1680" s="1287">
        <v>1</v>
      </c>
      <c r="E1680" s="1287">
        <v>248.38</v>
      </c>
      <c r="F1680" s="1287">
        <v>248.38</v>
      </c>
      <c r="G1680" s="1286" t="s">
        <v>1721</v>
      </c>
      <c r="H1680" s="34" t="s">
        <v>925</v>
      </c>
    </row>
    <row r="1681" spans="1:8" ht="33">
      <c r="A1681" s="1289">
        <v>8</v>
      </c>
      <c r="B1681" s="1289" t="s">
        <v>1672</v>
      </c>
      <c r="C1681" s="1288" t="s">
        <v>14</v>
      </c>
      <c r="D1681" s="1287">
        <v>1</v>
      </c>
      <c r="E1681" s="1287">
        <v>29.81</v>
      </c>
      <c r="F1681" s="1287">
        <v>29.81</v>
      </c>
      <c r="G1681" s="1286" t="s">
        <v>1673</v>
      </c>
      <c r="H1681" s="34" t="s">
        <v>925</v>
      </c>
    </row>
    <row r="1682" spans="1:8" ht="33">
      <c r="A1682" s="1289">
        <v>9</v>
      </c>
      <c r="B1682" s="1289" t="s">
        <v>931</v>
      </c>
      <c r="C1682" s="1288" t="s">
        <v>14</v>
      </c>
      <c r="D1682" s="1287">
        <v>1</v>
      </c>
      <c r="E1682" s="1287">
        <v>47.88</v>
      </c>
      <c r="F1682" s="1287">
        <v>47.88</v>
      </c>
      <c r="G1682" s="1286" t="s">
        <v>932</v>
      </c>
      <c r="H1682" s="34" t="s">
        <v>925</v>
      </c>
    </row>
    <row r="1683" spans="1:8" ht="33">
      <c r="A1683" s="1289"/>
      <c r="B1683" s="1289" t="s">
        <v>933</v>
      </c>
      <c r="C1683" s="1288" t="s">
        <v>3</v>
      </c>
      <c r="D1683" s="1287">
        <v>1</v>
      </c>
      <c r="E1683" s="1287"/>
      <c r="F1683" s="1287">
        <v>1643.96</v>
      </c>
      <c r="G1683" s="1286"/>
      <c r="H1683" s="34" t="s">
        <v>925</v>
      </c>
    </row>
    <row r="1684" spans="1:8" ht="16.5">
      <c r="A1684" s="1289"/>
      <c r="B1684" s="1289" t="s">
        <v>934</v>
      </c>
      <c r="C1684" s="1288" t="s">
        <v>3</v>
      </c>
      <c r="D1684" s="1287"/>
      <c r="E1684" s="1287"/>
      <c r="F1684" s="1287">
        <v>1643.96</v>
      </c>
      <c r="G1684" s="1286"/>
    </row>
    <row r="1685" spans="1:8" ht="33">
      <c r="A1685" s="1289"/>
      <c r="B1685" s="1289"/>
      <c r="C1685" s="1288"/>
      <c r="D1685" s="1287"/>
      <c r="E1685" s="1287"/>
      <c r="F1685" s="1287"/>
      <c r="G1685" s="1286"/>
      <c r="H1685" s="34" t="s">
        <v>925</v>
      </c>
    </row>
    <row r="1686" spans="1:8" ht="33">
      <c r="A1686" s="1289" t="s">
        <v>1937</v>
      </c>
      <c r="B1686" s="1289" t="s">
        <v>1713</v>
      </c>
      <c r="C1686" s="1288" t="s">
        <v>0</v>
      </c>
      <c r="D1686" s="1287">
        <v>1</v>
      </c>
      <c r="E1686" s="1287">
        <v>2451.42</v>
      </c>
      <c r="F1686" s="1287"/>
      <c r="G1686" s="1286" t="s">
        <v>1723</v>
      </c>
      <c r="H1686" s="34" t="s">
        <v>925</v>
      </c>
    </row>
    <row r="1687" spans="1:8" ht="33">
      <c r="A1687" s="1289">
        <v>1</v>
      </c>
      <c r="B1687" s="1289" t="s">
        <v>1294</v>
      </c>
      <c r="C1687" s="1288" t="s">
        <v>1295</v>
      </c>
      <c r="D1687" s="1287">
        <v>8.5</v>
      </c>
      <c r="E1687" s="1287">
        <v>165.92</v>
      </c>
      <c r="F1687" s="1287">
        <v>1410.32</v>
      </c>
      <c r="G1687" s="1286" t="s">
        <v>1296</v>
      </c>
      <c r="H1687" s="34" t="s">
        <v>925</v>
      </c>
    </row>
    <row r="1688" spans="1:8" ht="33">
      <c r="A1688" s="1289">
        <v>2</v>
      </c>
      <c r="B1688" s="1289" t="s">
        <v>1297</v>
      </c>
      <c r="C1688" s="1288" t="s">
        <v>1121</v>
      </c>
      <c r="D1688" s="1287">
        <v>0.2</v>
      </c>
      <c r="E1688" s="1287">
        <v>710.38</v>
      </c>
      <c r="F1688" s="1287">
        <v>142.08000000000001</v>
      </c>
      <c r="G1688" s="1286" t="s">
        <v>1298</v>
      </c>
      <c r="H1688" s="34" t="s">
        <v>925</v>
      </c>
    </row>
    <row r="1689" spans="1:8" ht="33">
      <c r="A1689" s="1289">
        <v>3</v>
      </c>
      <c r="B1689" s="1289" t="s">
        <v>1299</v>
      </c>
      <c r="C1689" s="1288" t="s">
        <v>1121</v>
      </c>
      <c r="D1689" s="1287">
        <v>1</v>
      </c>
      <c r="E1689" s="1287">
        <v>723.3</v>
      </c>
      <c r="F1689" s="1287">
        <v>723.3</v>
      </c>
      <c r="G1689" s="1286" t="s">
        <v>1300</v>
      </c>
      <c r="H1689" s="34" t="s">
        <v>925</v>
      </c>
    </row>
    <row r="1690" spans="1:8" ht="33">
      <c r="A1690" s="1289">
        <v>4</v>
      </c>
      <c r="B1690" s="1289" t="s">
        <v>1724</v>
      </c>
      <c r="C1690" s="1288" t="s">
        <v>14</v>
      </c>
      <c r="D1690" s="1287">
        <v>1</v>
      </c>
      <c r="E1690" s="1287">
        <v>89.42</v>
      </c>
      <c r="F1690" s="1287">
        <v>89.42</v>
      </c>
      <c r="G1690" s="1286" t="s">
        <v>1725</v>
      </c>
      <c r="H1690" s="34" t="s">
        <v>925</v>
      </c>
    </row>
    <row r="1691" spans="1:8" ht="28.5">
      <c r="A1691" s="1289">
        <v>5</v>
      </c>
      <c r="B1691" s="1289" t="s">
        <v>1726</v>
      </c>
      <c r="C1691" s="1288" t="s">
        <v>0</v>
      </c>
      <c r="D1691" s="1287">
        <v>1</v>
      </c>
      <c r="E1691" s="1287">
        <v>14.9</v>
      </c>
      <c r="F1691" s="1287">
        <v>14.9</v>
      </c>
      <c r="G1691" s="1286" t="s">
        <v>1727</v>
      </c>
    </row>
    <row r="1692" spans="1:8" ht="33">
      <c r="A1692" s="1289">
        <v>6</v>
      </c>
      <c r="B1692" s="1289" t="s">
        <v>931</v>
      </c>
      <c r="C1692" s="1288" t="s">
        <v>14</v>
      </c>
      <c r="D1692" s="1287">
        <v>1</v>
      </c>
      <c r="E1692" s="1287">
        <v>71.400000000000006</v>
      </c>
      <c r="F1692" s="1287">
        <v>71.400000000000006</v>
      </c>
      <c r="G1692" s="1286" t="s">
        <v>932</v>
      </c>
      <c r="H1692" s="34" t="s">
        <v>925</v>
      </c>
    </row>
    <row r="1693" spans="1:8" ht="33">
      <c r="A1693" s="1289"/>
      <c r="B1693" s="1289" t="s">
        <v>933</v>
      </c>
      <c r="C1693" s="1288" t="s">
        <v>0</v>
      </c>
      <c r="D1693" s="1287">
        <v>1</v>
      </c>
      <c r="E1693" s="1287"/>
      <c r="F1693" s="1287">
        <v>2451.42</v>
      </c>
      <c r="G1693" s="1286"/>
      <c r="H1693" s="34" t="s">
        <v>925</v>
      </c>
    </row>
    <row r="1694" spans="1:8" ht="33">
      <c r="A1694" s="1289"/>
      <c r="B1694" s="1289" t="s">
        <v>934</v>
      </c>
      <c r="C1694" s="1288" t="s">
        <v>0</v>
      </c>
      <c r="D1694" s="1287"/>
      <c r="E1694" s="1287"/>
      <c r="F1694" s="1287">
        <v>2451.42</v>
      </c>
      <c r="G1694" s="1286"/>
      <c r="H1694" s="34" t="s">
        <v>925</v>
      </c>
    </row>
    <row r="1695" spans="1:8" ht="33">
      <c r="A1695" s="1289"/>
      <c r="B1695" s="1289"/>
      <c r="C1695" s="1288"/>
      <c r="D1695" s="1287"/>
      <c r="E1695" s="1287"/>
      <c r="F1695" s="1287"/>
      <c r="G1695" s="1286"/>
      <c r="H1695" s="34" t="s">
        <v>925</v>
      </c>
    </row>
    <row r="1696" spans="1:8" ht="33">
      <c r="A1696" s="1289" t="s">
        <v>1944</v>
      </c>
      <c r="B1696" s="1289" t="s">
        <v>1714</v>
      </c>
      <c r="C1696" s="1288" t="s">
        <v>3</v>
      </c>
      <c r="D1696" s="1287">
        <v>100</v>
      </c>
      <c r="E1696" s="1287">
        <v>416.21</v>
      </c>
      <c r="F1696" s="1287"/>
      <c r="G1696" s="1286" t="s">
        <v>1729</v>
      </c>
      <c r="H1696" s="34" t="s">
        <v>925</v>
      </c>
    </row>
    <row r="1697" spans="1:8" ht="33">
      <c r="A1697" s="1289">
        <v>1</v>
      </c>
      <c r="B1697" s="1289" t="s">
        <v>1730</v>
      </c>
      <c r="C1697" s="1288" t="s">
        <v>927</v>
      </c>
      <c r="D1697" s="1287">
        <v>8</v>
      </c>
      <c r="E1697" s="1287">
        <v>447.09</v>
      </c>
      <c r="F1697" s="1287">
        <v>3576.72</v>
      </c>
      <c r="G1697" s="1286" t="s">
        <v>1731</v>
      </c>
      <c r="H1697" s="34" t="s">
        <v>925</v>
      </c>
    </row>
    <row r="1698" spans="1:8" ht="28.5">
      <c r="A1698" s="1289">
        <v>2</v>
      </c>
      <c r="B1698" s="1289" t="s">
        <v>1732</v>
      </c>
      <c r="C1698" s="1288" t="s">
        <v>927</v>
      </c>
      <c r="D1698" s="1287">
        <v>8</v>
      </c>
      <c r="E1698" s="1287">
        <v>993.54</v>
      </c>
      <c r="F1698" s="1287">
        <v>7948.32</v>
      </c>
      <c r="G1698" s="1286" t="s">
        <v>1733</v>
      </c>
    </row>
    <row r="1699" spans="1:8" ht="33">
      <c r="A1699" s="1289">
        <v>3</v>
      </c>
      <c r="B1699" s="1289" t="s">
        <v>1734</v>
      </c>
      <c r="C1699" s="1288" t="s">
        <v>927</v>
      </c>
      <c r="D1699" s="1287">
        <v>8</v>
      </c>
      <c r="E1699" s="1287">
        <v>298.06</v>
      </c>
      <c r="F1699" s="1287">
        <v>2384.48</v>
      </c>
      <c r="G1699" s="1286" t="s">
        <v>1735</v>
      </c>
      <c r="H1699" s="34" t="s">
        <v>925</v>
      </c>
    </row>
    <row r="1700" spans="1:8" ht="33">
      <c r="A1700" s="1289">
        <v>4</v>
      </c>
      <c r="B1700" s="1289" t="s">
        <v>1736</v>
      </c>
      <c r="C1700" s="1288" t="s">
        <v>927</v>
      </c>
      <c r="D1700" s="1287">
        <v>8</v>
      </c>
      <c r="E1700" s="1287">
        <v>496.77</v>
      </c>
      <c r="F1700" s="1287">
        <v>3974.16</v>
      </c>
      <c r="G1700" s="1286" t="s">
        <v>1737</v>
      </c>
      <c r="H1700" s="34" t="s">
        <v>925</v>
      </c>
    </row>
    <row r="1701" spans="1:8" ht="33">
      <c r="A1701" s="1289">
        <v>5</v>
      </c>
      <c r="B1701" s="1289" t="s">
        <v>1127</v>
      </c>
      <c r="C1701" s="1288" t="s">
        <v>927</v>
      </c>
      <c r="D1701" s="1287">
        <v>8</v>
      </c>
      <c r="E1701" s="1287">
        <v>454.05</v>
      </c>
      <c r="F1701" s="1287">
        <v>3632.4</v>
      </c>
      <c r="G1701" s="1286" t="s">
        <v>1128</v>
      </c>
      <c r="H1701" s="34" t="s">
        <v>925</v>
      </c>
    </row>
    <row r="1702" spans="1:8" ht="33">
      <c r="A1702" s="1289">
        <v>6</v>
      </c>
      <c r="B1702" s="1289" t="s">
        <v>1738</v>
      </c>
      <c r="C1702" s="1288" t="s">
        <v>927</v>
      </c>
      <c r="D1702" s="1287">
        <v>8</v>
      </c>
      <c r="E1702" s="1287">
        <v>407.35</v>
      </c>
      <c r="F1702" s="1287">
        <v>3258.8</v>
      </c>
      <c r="G1702" s="1286" t="s">
        <v>1739</v>
      </c>
      <c r="H1702" s="34" t="s">
        <v>925</v>
      </c>
    </row>
    <row r="1703" spans="1:8" ht="33">
      <c r="A1703" s="1289">
        <v>7</v>
      </c>
      <c r="B1703" s="1289" t="s">
        <v>4871</v>
      </c>
      <c r="C1703" s="1288" t="s">
        <v>927</v>
      </c>
      <c r="D1703" s="1287">
        <v>56</v>
      </c>
      <c r="E1703" s="1287">
        <v>279.18</v>
      </c>
      <c r="F1703" s="1287">
        <v>15634.08</v>
      </c>
      <c r="G1703" s="1286" t="s">
        <v>4872</v>
      </c>
      <c r="H1703" s="34" t="s">
        <v>925</v>
      </c>
    </row>
    <row r="1704" spans="1:8" ht="33">
      <c r="A1704" s="1289">
        <v>8</v>
      </c>
      <c r="B1704" s="1289" t="s">
        <v>931</v>
      </c>
      <c r="C1704" s="1288" t="s">
        <v>14</v>
      </c>
      <c r="D1704" s="1287">
        <v>1</v>
      </c>
      <c r="E1704" s="1287">
        <v>1212.27</v>
      </c>
      <c r="F1704" s="1287">
        <v>1212.27</v>
      </c>
      <c r="G1704" s="1286" t="s">
        <v>932</v>
      </c>
      <c r="H1704" s="34" t="s">
        <v>925</v>
      </c>
    </row>
    <row r="1705" spans="1:8" ht="16.5">
      <c r="A1705" s="1289"/>
      <c r="B1705" s="1289" t="s">
        <v>933</v>
      </c>
      <c r="C1705" s="1288" t="s">
        <v>3</v>
      </c>
      <c r="D1705" s="1287">
        <v>100</v>
      </c>
      <c r="E1705" s="1287"/>
      <c r="F1705" s="1287">
        <v>41621.229999999996</v>
      </c>
      <c r="G1705" s="1286"/>
    </row>
    <row r="1706" spans="1:8" ht="33">
      <c r="A1706" s="1289"/>
      <c r="B1706" s="1289" t="s">
        <v>934</v>
      </c>
      <c r="C1706" s="1288" t="s">
        <v>3</v>
      </c>
      <c r="D1706" s="1287"/>
      <c r="E1706" s="1287"/>
      <c r="F1706" s="1287">
        <v>416.21</v>
      </c>
      <c r="G1706" s="1286"/>
      <c r="H1706" s="34" t="s">
        <v>925</v>
      </c>
    </row>
    <row r="1707" spans="1:8" ht="33">
      <c r="A1707" s="1289"/>
      <c r="B1707" s="1289"/>
      <c r="C1707" s="1288"/>
      <c r="D1707" s="1287"/>
      <c r="E1707" s="1287"/>
      <c r="F1707" s="1287"/>
      <c r="G1707" s="1286"/>
      <c r="H1707" s="34" t="s">
        <v>925</v>
      </c>
    </row>
    <row r="1708" spans="1:8" ht="33">
      <c r="A1708" s="1289" t="s">
        <v>1951</v>
      </c>
      <c r="B1708" s="1289" t="s">
        <v>1719</v>
      </c>
      <c r="C1708" s="1288" t="s">
        <v>1497</v>
      </c>
      <c r="D1708" s="1287">
        <v>10</v>
      </c>
      <c r="E1708" s="1287">
        <v>55.34</v>
      </c>
      <c r="F1708" s="1287"/>
      <c r="G1708" s="1286" t="s">
        <v>1741</v>
      </c>
      <c r="H1708" s="34" t="s">
        <v>925</v>
      </c>
    </row>
    <row r="1709" spans="1:8" ht="33">
      <c r="A1709" s="1289">
        <v>1</v>
      </c>
      <c r="B1709" s="1289" t="s">
        <v>1742</v>
      </c>
      <c r="C1709" s="1288" t="s">
        <v>1497</v>
      </c>
      <c r="D1709" s="1287">
        <v>10</v>
      </c>
      <c r="E1709" s="1287">
        <v>29.81</v>
      </c>
      <c r="F1709" s="1287">
        <v>298.10000000000002</v>
      </c>
      <c r="G1709" s="1286" t="s">
        <v>1743</v>
      </c>
      <c r="H1709" s="34" t="s">
        <v>925</v>
      </c>
    </row>
    <row r="1710" spans="1:8" ht="33">
      <c r="A1710" s="1289">
        <v>2</v>
      </c>
      <c r="B1710" s="1289" t="s">
        <v>1744</v>
      </c>
      <c r="C1710" s="1288" t="s">
        <v>18</v>
      </c>
      <c r="D1710" s="1287">
        <v>11</v>
      </c>
      <c r="E1710" s="1287">
        <v>20.95</v>
      </c>
      <c r="F1710" s="1287">
        <v>230.45</v>
      </c>
      <c r="G1710" s="1286" t="s">
        <v>1745</v>
      </c>
      <c r="H1710" s="34" t="s">
        <v>925</v>
      </c>
    </row>
    <row r="1711" spans="1:8" ht="33">
      <c r="A1711" s="1289">
        <v>3</v>
      </c>
      <c r="B1711" s="1289" t="s">
        <v>1746</v>
      </c>
      <c r="C1711" s="1288" t="s">
        <v>0</v>
      </c>
      <c r="D1711" s="1287">
        <v>0.03</v>
      </c>
      <c r="E1711" s="1287">
        <v>9.94</v>
      </c>
      <c r="F1711" s="1287">
        <v>0.3</v>
      </c>
      <c r="G1711" s="1286" t="s">
        <v>1747</v>
      </c>
      <c r="H1711" s="34" t="s">
        <v>925</v>
      </c>
    </row>
    <row r="1712" spans="1:8" ht="28.5">
      <c r="A1712" s="1289">
        <v>4</v>
      </c>
      <c r="B1712" s="1289" t="s">
        <v>1748</v>
      </c>
      <c r="C1712" s="1288" t="s">
        <v>1497</v>
      </c>
      <c r="D1712" s="1287">
        <v>1</v>
      </c>
      <c r="E1712" s="1287">
        <v>8.4499999999999993</v>
      </c>
      <c r="F1712" s="1287">
        <v>8.4499999999999993</v>
      </c>
      <c r="G1712" s="1286" t="s">
        <v>1749</v>
      </c>
    </row>
    <row r="1713" spans="1:8" ht="33">
      <c r="A1713" s="1289">
        <v>5</v>
      </c>
      <c r="B1713" s="1289" t="s">
        <v>931</v>
      </c>
      <c r="C1713" s="1288" t="s">
        <v>14</v>
      </c>
      <c r="D1713" s="1287">
        <v>1</v>
      </c>
      <c r="E1713" s="1287">
        <v>16.12</v>
      </c>
      <c r="F1713" s="1287">
        <v>16.12</v>
      </c>
      <c r="G1713" s="1286" t="s">
        <v>932</v>
      </c>
      <c r="H1713" s="34" t="s">
        <v>925</v>
      </c>
    </row>
    <row r="1714" spans="1:8" ht="33">
      <c r="A1714" s="1289"/>
      <c r="B1714" s="1289" t="s">
        <v>933</v>
      </c>
      <c r="C1714" s="1288" t="s">
        <v>1497</v>
      </c>
      <c r="D1714" s="1287">
        <v>10</v>
      </c>
      <c r="E1714" s="1287"/>
      <c r="F1714" s="1287">
        <v>553.41999999999996</v>
      </c>
      <c r="G1714" s="1286"/>
      <c r="H1714" s="34" t="s">
        <v>925</v>
      </c>
    </row>
    <row r="1715" spans="1:8" ht="33">
      <c r="A1715" s="1289"/>
      <c r="B1715" s="1289" t="s">
        <v>934</v>
      </c>
      <c r="C1715" s="1288" t="s">
        <v>1497</v>
      </c>
      <c r="D1715" s="1287"/>
      <c r="E1715" s="1287"/>
      <c r="F1715" s="1287">
        <v>55.34</v>
      </c>
      <c r="G1715" s="1286"/>
      <c r="H1715" s="34" t="s">
        <v>925</v>
      </c>
    </row>
    <row r="1716" spans="1:8" ht="33">
      <c r="A1716" s="1289"/>
      <c r="B1716" s="1289"/>
      <c r="C1716" s="1288"/>
      <c r="D1716" s="1287"/>
      <c r="E1716" s="1287"/>
      <c r="F1716" s="1287"/>
      <c r="G1716" s="1286"/>
      <c r="H1716" s="34" t="s">
        <v>925</v>
      </c>
    </row>
    <row r="1717" spans="1:8" ht="33">
      <c r="A1717" s="1289" t="s">
        <v>1958</v>
      </c>
      <c r="B1717" s="1289" t="s">
        <v>1751</v>
      </c>
      <c r="C1717" s="1288" t="s">
        <v>3</v>
      </c>
      <c r="D1717" s="1287">
        <v>1</v>
      </c>
      <c r="E1717" s="1287">
        <v>5580.08</v>
      </c>
      <c r="F1717" s="1287"/>
      <c r="G1717" s="1286" t="s">
        <v>1752</v>
      </c>
      <c r="H1717" s="34" t="s">
        <v>925</v>
      </c>
    </row>
    <row r="1718" spans="1:8" ht="42.75">
      <c r="A1718" s="1289">
        <v>1</v>
      </c>
      <c r="B1718" s="1289" t="s">
        <v>1753</v>
      </c>
      <c r="C1718" s="1288" t="s">
        <v>0</v>
      </c>
      <c r="D1718" s="1287">
        <v>0.1</v>
      </c>
      <c r="E1718" s="1287">
        <v>6564.5</v>
      </c>
      <c r="F1718" s="1287">
        <v>656.45</v>
      </c>
      <c r="G1718" s="1286" t="s">
        <v>1754</v>
      </c>
      <c r="H1718" s="34" t="s">
        <v>925</v>
      </c>
    </row>
    <row r="1719" spans="1:8" ht="28.5">
      <c r="A1719" s="1289">
        <v>2</v>
      </c>
      <c r="B1719" s="1289" t="s">
        <v>1755</v>
      </c>
      <c r="C1719" s="1288" t="s">
        <v>3</v>
      </c>
      <c r="D1719" s="1287">
        <v>1</v>
      </c>
      <c r="E1719" s="1287">
        <v>89.42</v>
      </c>
      <c r="F1719" s="1287">
        <v>89.42</v>
      </c>
      <c r="G1719" s="1286" t="s">
        <v>1756</v>
      </c>
    </row>
    <row r="1720" spans="1:8" ht="33">
      <c r="A1720" s="1289">
        <v>3</v>
      </c>
      <c r="B1720" s="1289" t="s">
        <v>1757</v>
      </c>
      <c r="C1720" s="1288" t="s">
        <v>14</v>
      </c>
      <c r="D1720" s="1287">
        <v>1</v>
      </c>
      <c r="E1720" s="1287">
        <v>47.69</v>
      </c>
      <c r="F1720" s="1287">
        <v>47.69</v>
      </c>
      <c r="G1720" s="1286" t="s">
        <v>1758</v>
      </c>
      <c r="H1720" s="34" t="s">
        <v>925</v>
      </c>
    </row>
    <row r="1721" spans="1:8" ht="33">
      <c r="A1721" s="1289">
        <v>4</v>
      </c>
      <c r="B1721" s="1289" t="s">
        <v>1759</v>
      </c>
      <c r="C1721" s="1288" t="s">
        <v>14</v>
      </c>
      <c r="D1721" s="1287">
        <v>1</v>
      </c>
      <c r="E1721" s="1287">
        <v>222.35</v>
      </c>
      <c r="F1721" s="1287">
        <v>222.35</v>
      </c>
      <c r="G1721" s="1286" t="s">
        <v>1760</v>
      </c>
      <c r="H1721" s="34" t="s">
        <v>925</v>
      </c>
    </row>
    <row r="1722" spans="1:8" ht="33">
      <c r="A1722" s="1289">
        <v>5</v>
      </c>
      <c r="B1722" s="1289" t="s">
        <v>1761</v>
      </c>
      <c r="C1722" s="1288" t="s">
        <v>0</v>
      </c>
      <c r="D1722" s="1287">
        <v>0.15</v>
      </c>
      <c r="E1722" s="1287">
        <v>26893.49</v>
      </c>
      <c r="F1722" s="1287">
        <v>4034.02</v>
      </c>
      <c r="G1722" s="1286" t="s">
        <v>1762</v>
      </c>
      <c r="H1722" s="34" t="s">
        <v>925</v>
      </c>
    </row>
    <row r="1723" spans="1:8" ht="33">
      <c r="A1723" s="1289">
        <v>6</v>
      </c>
      <c r="B1723" s="1289" t="s">
        <v>1763</v>
      </c>
      <c r="C1723" s="1288" t="s">
        <v>3</v>
      </c>
      <c r="D1723" s="1287">
        <v>1</v>
      </c>
      <c r="E1723" s="1287">
        <v>49.68</v>
      </c>
      <c r="F1723" s="1287">
        <v>49.68</v>
      </c>
      <c r="G1723" s="1286" t="s">
        <v>1764</v>
      </c>
      <c r="H1723" s="34" t="s">
        <v>925</v>
      </c>
    </row>
    <row r="1724" spans="1:8" ht="33">
      <c r="A1724" s="1289">
        <v>7</v>
      </c>
      <c r="B1724" s="1289" t="s">
        <v>1765</v>
      </c>
      <c r="C1724" s="1288" t="s">
        <v>0</v>
      </c>
      <c r="D1724" s="1287">
        <v>0.1</v>
      </c>
      <c r="E1724" s="1287">
        <v>695.61</v>
      </c>
      <c r="F1724" s="1287">
        <v>69.56</v>
      </c>
      <c r="G1724" s="1286" t="s">
        <v>1766</v>
      </c>
      <c r="H1724" s="34" t="s">
        <v>925</v>
      </c>
    </row>
    <row r="1725" spans="1:8" ht="33">
      <c r="A1725" s="1289">
        <v>8</v>
      </c>
      <c r="B1725" s="1289" t="s">
        <v>1767</v>
      </c>
      <c r="C1725" s="1288" t="s">
        <v>14</v>
      </c>
      <c r="D1725" s="1287">
        <v>1</v>
      </c>
      <c r="E1725" s="1287">
        <v>248.38</v>
      </c>
      <c r="F1725" s="1287">
        <v>248.38</v>
      </c>
      <c r="G1725" s="1286" t="s">
        <v>1768</v>
      </c>
      <c r="H1725" s="34" t="s">
        <v>925</v>
      </c>
    </row>
    <row r="1726" spans="1:8" ht="28.5">
      <c r="A1726" s="1289">
        <v>9</v>
      </c>
      <c r="B1726" s="1289" t="s">
        <v>931</v>
      </c>
      <c r="C1726" s="1288" t="s">
        <v>14</v>
      </c>
      <c r="D1726" s="1287">
        <v>1</v>
      </c>
      <c r="E1726" s="1287">
        <v>162.53</v>
      </c>
      <c r="F1726" s="1287">
        <v>162.53</v>
      </c>
      <c r="G1726" s="1286" t="s">
        <v>932</v>
      </c>
    </row>
    <row r="1727" spans="1:8" ht="33">
      <c r="A1727" s="1289"/>
      <c r="B1727" s="1289" t="s">
        <v>933</v>
      </c>
      <c r="C1727" s="1288" t="s">
        <v>3</v>
      </c>
      <c r="D1727" s="1287">
        <v>1</v>
      </c>
      <c r="E1727" s="1287"/>
      <c r="F1727" s="1287">
        <v>5580.0800000000008</v>
      </c>
      <c r="G1727" s="1286"/>
      <c r="H1727" s="34" t="s">
        <v>925</v>
      </c>
    </row>
    <row r="1728" spans="1:8" ht="33">
      <c r="A1728" s="1289"/>
      <c r="B1728" s="1289" t="s">
        <v>934</v>
      </c>
      <c r="C1728" s="1288" t="s">
        <v>3</v>
      </c>
      <c r="D1728" s="1287"/>
      <c r="E1728" s="1287"/>
      <c r="F1728" s="1287">
        <v>5580.08</v>
      </c>
      <c r="G1728" s="1286"/>
      <c r="H1728" s="34" t="s">
        <v>925</v>
      </c>
    </row>
    <row r="1729" spans="1:8" ht="33">
      <c r="A1729" s="1289"/>
      <c r="B1729" s="1289"/>
      <c r="C1729" s="1288"/>
      <c r="D1729" s="1287"/>
      <c r="E1729" s="1287"/>
      <c r="F1729" s="1287"/>
      <c r="G1729" s="1286"/>
      <c r="H1729" s="34" t="s">
        <v>925</v>
      </c>
    </row>
    <row r="1730" spans="1:8" ht="33">
      <c r="A1730" s="1289" t="s">
        <v>1965</v>
      </c>
      <c r="B1730" s="1289" t="s">
        <v>1770</v>
      </c>
      <c r="C1730" s="1288" t="s">
        <v>17</v>
      </c>
      <c r="D1730" s="1287">
        <v>2.4</v>
      </c>
      <c r="E1730" s="1287">
        <v>3676.81</v>
      </c>
      <c r="F1730" s="1287"/>
      <c r="G1730" s="1286" t="s">
        <v>1771</v>
      </c>
      <c r="H1730" s="34" t="s">
        <v>925</v>
      </c>
    </row>
    <row r="1731" spans="1:8" ht="33">
      <c r="A1731" s="1289">
        <v>1</v>
      </c>
      <c r="B1731" s="1289" t="s">
        <v>1772</v>
      </c>
      <c r="C1731" s="1288" t="s">
        <v>1497</v>
      </c>
      <c r="D1731" s="1287">
        <v>1</v>
      </c>
      <c r="E1731" s="1287">
        <v>6207.63</v>
      </c>
      <c r="F1731" s="1287">
        <v>6207.63</v>
      </c>
      <c r="G1731" s="1286" t="s">
        <v>1773</v>
      </c>
      <c r="H1731" s="34" t="s">
        <v>925</v>
      </c>
    </row>
    <row r="1732" spans="1:8" ht="42.75">
      <c r="A1732" s="1289">
        <v>2</v>
      </c>
      <c r="B1732" s="1289" t="s">
        <v>4962</v>
      </c>
      <c r="C1732" s="1288" t="s">
        <v>927</v>
      </c>
      <c r="D1732" s="1287">
        <v>0.56999999999999995</v>
      </c>
      <c r="E1732" s="1287">
        <v>407.35</v>
      </c>
      <c r="F1732" s="1287">
        <v>232.19</v>
      </c>
      <c r="G1732" s="1286" t="s">
        <v>4963</v>
      </c>
      <c r="H1732" s="34" t="s">
        <v>925</v>
      </c>
    </row>
    <row r="1733" spans="1:8" ht="28.5">
      <c r="A1733" s="1289">
        <v>3</v>
      </c>
      <c r="B1733" s="1289" t="s">
        <v>4871</v>
      </c>
      <c r="C1733" s="1288" t="s">
        <v>927</v>
      </c>
      <c r="D1733" s="1287">
        <v>1.1399999999999999</v>
      </c>
      <c r="E1733" s="1287">
        <v>279.18</v>
      </c>
      <c r="F1733" s="1287">
        <v>318.27</v>
      </c>
      <c r="G1733" s="1286" t="s">
        <v>4872</v>
      </c>
    </row>
    <row r="1734" spans="1:8" ht="33">
      <c r="A1734" s="1289">
        <v>4</v>
      </c>
      <c r="B1734" s="1289" t="s">
        <v>1774</v>
      </c>
      <c r="C1734" s="1288" t="s">
        <v>927</v>
      </c>
      <c r="D1734" s="1287">
        <v>1</v>
      </c>
      <c r="E1734" s="1287">
        <v>1410.82</v>
      </c>
      <c r="F1734" s="1287">
        <v>1410.82</v>
      </c>
      <c r="G1734" s="1286" t="s">
        <v>1775</v>
      </c>
      <c r="H1734" s="34" t="s">
        <v>925</v>
      </c>
    </row>
    <row r="1735" spans="1:8" ht="42.75">
      <c r="A1735" s="1289">
        <v>5</v>
      </c>
      <c r="B1735" s="1289" t="s">
        <v>4964</v>
      </c>
      <c r="C1735" s="1288" t="s">
        <v>927</v>
      </c>
      <c r="D1735" s="1287">
        <v>1</v>
      </c>
      <c r="E1735" s="1287">
        <v>398.41</v>
      </c>
      <c r="F1735" s="1287">
        <v>398.41</v>
      </c>
      <c r="G1735" s="1286" t="s">
        <v>4965</v>
      </c>
      <c r="H1735" s="34" t="s">
        <v>925</v>
      </c>
    </row>
    <row r="1736" spans="1:8" ht="33">
      <c r="A1736" s="1289">
        <v>6</v>
      </c>
      <c r="B1736" s="1289" t="s">
        <v>931</v>
      </c>
      <c r="C1736" s="1288" t="s">
        <v>14</v>
      </c>
      <c r="D1736" s="1287">
        <v>1</v>
      </c>
      <c r="E1736" s="1287">
        <v>257.02</v>
      </c>
      <c r="F1736" s="1287">
        <v>257.02</v>
      </c>
      <c r="G1736" s="1286" t="s">
        <v>932</v>
      </c>
      <c r="H1736" s="34" t="s">
        <v>925</v>
      </c>
    </row>
    <row r="1737" spans="1:8" ht="33">
      <c r="A1737" s="1289"/>
      <c r="B1737" s="1289" t="s">
        <v>933</v>
      </c>
      <c r="C1737" s="1288" t="s">
        <v>17</v>
      </c>
      <c r="D1737" s="1287">
        <v>2.4</v>
      </c>
      <c r="E1737" s="1287"/>
      <c r="F1737" s="1287">
        <v>8824.34</v>
      </c>
      <c r="G1737" s="1286"/>
      <c r="H1737" s="34" t="s">
        <v>925</v>
      </c>
    </row>
    <row r="1738" spans="1:8" ht="33">
      <c r="A1738" s="1289"/>
      <c r="B1738" s="1289" t="s">
        <v>934</v>
      </c>
      <c r="C1738" s="1288" t="s">
        <v>17</v>
      </c>
      <c r="D1738" s="1287"/>
      <c r="E1738" s="1287"/>
      <c r="F1738" s="1287">
        <v>3676.81</v>
      </c>
      <c r="G1738" s="1286"/>
      <c r="H1738" s="34" t="s">
        <v>925</v>
      </c>
    </row>
    <row r="1739" spans="1:8" ht="33">
      <c r="A1739" s="1289"/>
      <c r="B1739" s="1289"/>
      <c r="C1739" s="1288"/>
      <c r="D1739" s="1287"/>
      <c r="E1739" s="1287"/>
      <c r="F1739" s="1287"/>
      <c r="G1739" s="1286"/>
      <c r="H1739" s="34" t="s">
        <v>925</v>
      </c>
    </row>
    <row r="1740" spans="1:8" ht="28.5">
      <c r="A1740" s="1289" t="s">
        <v>1972</v>
      </c>
      <c r="B1740" s="1289" t="s">
        <v>1777</v>
      </c>
      <c r="C1740" s="1288" t="s">
        <v>17</v>
      </c>
      <c r="D1740" s="1287">
        <v>2.4</v>
      </c>
      <c r="E1740" s="1287">
        <v>4786.3500000000004</v>
      </c>
      <c r="F1740" s="1287"/>
      <c r="G1740" s="1286" t="s">
        <v>1778</v>
      </c>
    </row>
    <row r="1741" spans="1:8" ht="33">
      <c r="A1741" s="1289">
        <v>1</v>
      </c>
      <c r="B1741" s="1289" t="s">
        <v>1779</v>
      </c>
      <c r="C1741" s="1288" t="s">
        <v>1497</v>
      </c>
      <c r="D1741" s="1287">
        <v>1</v>
      </c>
      <c r="E1741" s="1287">
        <v>8633.85</v>
      </c>
      <c r="F1741" s="1287">
        <v>8633.85</v>
      </c>
      <c r="G1741" s="1286" t="s">
        <v>1780</v>
      </c>
      <c r="H1741" s="34" t="s">
        <v>925</v>
      </c>
    </row>
    <row r="1742" spans="1:8" ht="42.75">
      <c r="A1742" s="1289">
        <v>2</v>
      </c>
      <c r="B1742" s="1289" t="s">
        <v>4962</v>
      </c>
      <c r="C1742" s="1288" t="s">
        <v>927</v>
      </c>
      <c r="D1742" s="1287">
        <v>0.56999999999999995</v>
      </c>
      <c r="E1742" s="1287">
        <v>407.35</v>
      </c>
      <c r="F1742" s="1287">
        <v>232.19</v>
      </c>
      <c r="G1742" s="1286" t="s">
        <v>4963</v>
      </c>
      <c r="H1742" s="34" t="s">
        <v>925</v>
      </c>
    </row>
    <row r="1743" spans="1:8" ht="33">
      <c r="A1743" s="1289">
        <v>3</v>
      </c>
      <c r="B1743" s="1289" t="s">
        <v>4871</v>
      </c>
      <c r="C1743" s="1288" t="s">
        <v>927</v>
      </c>
      <c r="D1743" s="1287">
        <v>1.71</v>
      </c>
      <c r="E1743" s="1287">
        <v>279.18</v>
      </c>
      <c r="F1743" s="1287">
        <v>477.4</v>
      </c>
      <c r="G1743" s="1286" t="s">
        <v>4872</v>
      </c>
      <c r="H1743" s="34" t="s">
        <v>925</v>
      </c>
    </row>
    <row r="1744" spans="1:8" ht="33">
      <c r="A1744" s="1289">
        <v>4</v>
      </c>
      <c r="B1744" s="1289" t="s">
        <v>1774</v>
      </c>
      <c r="C1744" s="1288" t="s">
        <v>927</v>
      </c>
      <c r="D1744" s="1287">
        <v>1</v>
      </c>
      <c r="E1744" s="1287">
        <v>1410.82</v>
      </c>
      <c r="F1744" s="1287">
        <v>1410.82</v>
      </c>
      <c r="G1744" s="1286" t="s">
        <v>1775</v>
      </c>
      <c r="H1744" s="34" t="s">
        <v>925</v>
      </c>
    </row>
    <row r="1745" spans="1:8" ht="42.75">
      <c r="A1745" s="1289">
        <v>5</v>
      </c>
      <c r="B1745" s="1289" t="s">
        <v>4964</v>
      </c>
      <c r="C1745" s="1288" t="s">
        <v>927</v>
      </c>
      <c r="D1745" s="1287">
        <v>1</v>
      </c>
      <c r="E1745" s="1287">
        <v>398.41</v>
      </c>
      <c r="F1745" s="1287">
        <v>398.41</v>
      </c>
      <c r="G1745" s="1286" t="s">
        <v>4965</v>
      </c>
      <c r="H1745" s="34" t="s">
        <v>925</v>
      </c>
    </row>
    <row r="1746" spans="1:8" ht="33">
      <c r="A1746" s="1289">
        <v>6</v>
      </c>
      <c r="B1746" s="1289" t="s">
        <v>931</v>
      </c>
      <c r="C1746" s="1288" t="s">
        <v>14</v>
      </c>
      <c r="D1746" s="1287">
        <v>1</v>
      </c>
      <c r="E1746" s="1287">
        <v>334.58</v>
      </c>
      <c r="F1746" s="1287">
        <v>334.58</v>
      </c>
      <c r="G1746" s="1286" t="s">
        <v>932</v>
      </c>
      <c r="H1746" s="34" t="s">
        <v>925</v>
      </c>
    </row>
    <row r="1747" spans="1:8" ht="16.5">
      <c r="A1747" s="1289"/>
      <c r="B1747" s="1289" t="s">
        <v>933</v>
      </c>
      <c r="C1747" s="1288" t="s">
        <v>17</v>
      </c>
      <c r="D1747" s="1287">
        <v>2.4</v>
      </c>
      <c r="E1747" s="1287"/>
      <c r="F1747" s="1287">
        <v>11487.25</v>
      </c>
      <c r="G1747" s="1286"/>
    </row>
    <row r="1748" spans="1:8" ht="33">
      <c r="A1748" s="1289"/>
      <c r="B1748" s="1289" t="s">
        <v>934</v>
      </c>
      <c r="C1748" s="1288" t="s">
        <v>17</v>
      </c>
      <c r="D1748" s="1287"/>
      <c r="E1748" s="1287"/>
      <c r="F1748" s="1287">
        <v>4786.3500000000004</v>
      </c>
      <c r="G1748" s="1286"/>
      <c r="H1748" s="34" t="s">
        <v>925</v>
      </c>
    </row>
    <row r="1749" spans="1:8" ht="33">
      <c r="A1749" s="1289"/>
      <c r="B1749" s="1289"/>
      <c r="C1749" s="1288"/>
      <c r="D1749" s="1287"/>
      <c r="E1749" s="1287"/>
      <c r="F1749" s="1287"/>
      <c r="G1749" s="1286"/>
      <c r="H1749" s="34" t="s">
        <v>925</v>
      </c>
    </row>
    <row r="1750" spans="1:8" ht="33">
      <c r="A1750" s="1289" t="s">
        <v>1979</v>
      </c>
      <c r="B1750" s="1289" t="s">
        <v>1782</v>
      </c>
      <c r="C1750" s="1288" t="s">
        <v>17</v>
      </c>
      <c r="D1750" s="1287">
        <v>2.4</v>
      </c>
      <c r="E1750" s="1287">
        <v>6631.86</v>
      </c>
      <c r="F1750" s="1287"/>
      <c r="G1750" s="1286" t="s">
        <v>1783</v>
      </c>
      <c r="H1750" s="34" t="s">
        <v>925</v>
      </c>
    </row>
    <row r="1751" spans="1:8" ht="33">
      <c r="A1751" s="1289">
        <v>1</v>
      </c>
      <c r="B1751" s="1289" t="s">
        <v>1784</v>
      </c>
      <c r="C1751" s="1288" t="s">
        <v>1497</v>
      </c>
      <c r="D1751" s="1287">
        <v>1</v>
      </c>
      <c r="E1751" s="1287">
        <v>12647.74</v>
      </c>
      <c r="F1751" s="1287">
        <v>12647.74</v>
      </c>
      <c r="G1751" s="1286" t="s">
        <v>1785</v>
      </c>
      <c r="H1751" s="34" t="s">
        <v>925</v>
      </c>
    </row>
    <row r="1752" spans="1:8" ht="42.75">
      <c r="A1752" s="1289">
        <v>2</v>
      </c>
      <c r="B1752" s="1289" t="s">
        <v>4962</v>
      </c>
      <c r="C1752" s="1288" t="s">
        <v>927</v>
      </c>
      <c r="D1752" s="1287">
        <v>0.8</v>
      </c>
      <c r="E1752" s="1287">
        <v>407.35</v>
      </c>
      <c r="F1752" s="1287">
        <v>325.88</v>
      </c>
      <c r="G1752" s="1286" t="s">
        <v>4963</v>
      </c>
      <c r="H1752" s="34" t="s">
        <v>925</v>
      </c>
    </row>
    <row r="1753" spans="1:8" ht="33">
      <c r="A1753" s="1289">
        <v>3</v>
      </c>
      <c r="B1753" s="1289" t="s">
        <v>4871</v>
      </c>
      <c r="C1753" s="1288" t="s">
        <v>927</v>
      </c>
      <c r="D1753" s="1287">
        <v>2.4</v>
      </c>
      <c r="E1753" s="1287">
        <v>279.18</v>
      </c>
      <c r="F1753" s="1287">
        <v>670.03</v>
      </c>
      <c r="G1753" s="1286" t="s">
        <v>4872</v>
      </c>
      <c r="H1753" s="34" t="s">
        <v>925</v>
      </c>
    </row>
    <row r="1754" spans="1:8" ht="28.5">
      <c r="A1754" s="1289">
        <v>4</v>
      </c>
      <c r="B1754" s="1289" t="s">
        <v>1774</v>
      </c>
      <c r="C1754" s="1288" t="s">
        <v>927</v>
      </c>
      <c r="D1754" s="1287">
        <v>1</v>
      </c>
      <c r="E1754" s="1287">
        <v>1410.82</v>
      </c>
      <c r="F1754" s="1287">
        <v>1410.82</v>
      </c>
      <c r="G1754" s="1286" t="s">
        <v>1775</v>
      </c>
    </row>
    <row r="1755" spans="1:8" ht="42.75">
      <c r="A1755" s="1289">
        <v>5</v>
      </c>
      <c r="B1755" s="1289" t="s">
        <v>4964</v>
      </c>
      <c r="C1755" s="1288" t="s">
        <v>927</v>
      </c>
      <c r="D1755" s="1287">
        <v>1</v>
      </c>
      <c r="E1755" s="1287">
        <v>398.41</v>
      </c>
      <c r="F1755" s="1287">
        <v>398.41</v>
      </c>
      <c r="G1755" s="1286" t="s">
        <v>4965</v>
      </c>
      <c r="H1755" s="34" t="s">
        <v>925</v>
      </c>
    </row>
    <row r="1756" spans="1:8" ht="33">
      <c r="A1756" s="1289">
        <v>6</v>
      </c>
      <c r="B1756" s="1289" t="s">
        <v>931</v>
      </c>
      <c r="C1756" s="1288" t="s">
        <v>14</v>
      </c>
      <c r="D1756" s="1287">
        <v>1</v>
      </c>
      <c r="E1756" s="1287">
        <v>463.59</v>
      </c>
      <c r="F1756" s="1287">
        <v>463.59</v>
      </c>
      <c r="G1756" s="1286" t="s">
        <v>932</v>
      </c>
      <c r="H1756" s="34" t="s">
        <v>925</v>
      </c>
    </row>
    <row r="1757" spans="1:8" ht="33">
      <c r="A1757" s="1289"/>
      <c r="B1757" s="1289" t="s">
        <v>933</v>
      </c>
      <c r="C1757" s="1288" t="s">
        <v>17</v>
      </c>
      <c r="D1757" s="1287">
        <v>2.4</v>
      </c>
      <c r="E1757" s="1287"/>
      <c r="F1757" s="1287">
        <v>15916.47</v>
      </c>
      <c r="G1757" s="1286"/>
      <c r="H1757" s="34" t="s">
        <v>925</v>
      </c>
    </row>
    <row r="1758" spans="1:8" ht="33">
      <c r="A1758" s="1289"/>
      <c r="B1758" s="1289" t="s">
        <v>934</v>
      </c>
      <c r="C1758" s="1288" t="s">
        <v>17</v>
      </c>
      <c r="D1758" s="1287"/>
      <c r="E1758" s="1287"/>
      <c r="F1758" s="1287">
        <v>6631.86</v>
      </c>
      <c r="G1758" s="1286"/>
      <c r="H1758" s="34" t="s">
        <v>925</v>
      </c>
    </row>
    <row r="1759" spans="1:8" ht="33">
      <c r="A1759" s="1289"/>
      <c r="B1759" s="1289"/>
      <c r="C1759" s="1288"/>
      <c r="D1759" s="1287"/>
      <c r="E1759" s="1287"/>
      <c r="F1759" s="1287"/>
      <c r="G1759" s="1286"/>
      <c r="H1759" s="34" t="s">
        <v>925</v>
      </c>
    </row>
    <row r="1760" spans="1:8" ht="33">
      <c r="A1760" s="1289" t="s">
        <v>1986</v>
      </c>
      <c r="B1760" s="1289" t="s">
        <v>1787</v>
      </c>
      <c r="C1760" s="1288" t="s">
        <v>17</v>
      </c>
      <c r="D1760" s="1287">
        <v>2.4</v>
      </c>
      <c r="E1760" s="1287">
        <v>8642.57</v>
      </c>
      <c r="F1760" s="1287"/>
      <c r="G1760" s="1286" t="s">
        <v>1788</v>
      </c>
      <c r="H1760" s="34" t="s">
        <v>925</v>
      </c>
    </row>
    <row r="1761" spans="1:8" ht="28.5">
      <c r="A1761" s="1289">
        <v>1</v>
      </c>
      <c r="B1761" s="1289" t="s">
        <v>1789</v>
      </c>
      <c r="C1761" s="1288" t="s">
        <v>1497</v>
      </c>
      <c r="D1761" s="1287">
        <v>1</v>
      </c>
      <c r="E1761" s="1287">
        <v>18400.330000000002</v>
      </c>
      <c r="F1761" s="1287">
        <v>18400.330000000002</v>
      </c>
      <c r="G1761" s="1286" t="s">
        <v>1790</v>
      </c>
    </row>
    <row r="1762" spans="1:8" ht="42.75">
      <c r="A1762" s="1289">
        <v>2</v>
      </c>
      <c r="B1762" s="1289" t="s">
        <v>4962</v>
      </c>
      <c r="C1762" s="1288" t="s">
        <v>927</v>
      </c>
      <c r="D1762" s="1287">
        <v>0.53</v>
      </c>
      <c r="E1762" s="1287">
        <v>407.35</v>
      </c>
      <c r="F1762" s="1287">
        <v>215.9</v>
      </c>
      <c r="G1762" s="1286" t="s">
        <v>4963</v>
      </c>
      <c r="H1762" s="34" t="s">
        <v>925</v>
      </c>
    </row>
    <row r="1763" spans="1:8" ht="33">
      <c r="A1763" s="1289">
        <v>3</v>
      </c>
      <c r="B1763" s="1289" t="s">
        <v>4871</v>
      </c>
      <c r="C1763" s="1288" t="s">
        <v>927</v>
      </c>
      <c r="D1763" s="1287">
        <v>2.12</v>
      </c>
      <c r="E1763" s="1287">
        <v>279.18</v>
      </c>
      <c r="F1763" s="1287">
        <v>591.86</v>
      </c>
      <c r="G1763" s="1286" t="s">
        <v>4872</v>
      </c>
      <c r="H1763" s="34" t="s">
        <v>925</v>
      </c>
    </row>
    <row r="1764" spans="1:8" ht="33">
      <c r="A1764" s="1289">
        <v>4</v>
      </c>
      <c r="B1764" s="1289" t="s">
        <v>1441</v>
      </c>
      <c r="C1764" s="1288" t="s">
        <v>927</v>
      </c>
      <c r="D1764" s="1287">
        <v>0.53</v>
      </c>
      <c r="E1764" s="1287">
        <v>1356.18</v>
      </c>
      <c r="F1764" s="1287">
        <v>718.78</v>
      </c>
      <c r="G1764" s="1286" t="s">
        <v>1442</v>
      </c>
      <c r="H1764" s="34" t="s">
        <v>925</v>
      </c>
    </row>
    <row r="1765" spans="1:8" ht="33">
      <c r="A1765" s="1289">
        <v>5</v>
      </c>
      <c r="B1765" s="1289" t="s">
        <v>1443</v>
      </c>
      <c r="C1765" s="1288" t="s">
        <v>927</v>
      </c>
      <c r="D1765" s="1287">
        <v>0.53</v>
      </c>
      <c r="E1765" s="1287">
        <v>398.41</v>
      </c>
      <c r="F1765" s="1287">
        <v>211.16</v>
      </c>
      <c r="G1765" s="1286" t="s">
        <v>1444</v>
      </c>
      <c r="H1765" s="34" t="s">
        <v>925</v>
      </c>
    </row>
    <row r="1766" spans="1:8" ht="33">
      <c r="A1766" s="1289">
        <v>6</v>
      </c>
      <c r="B1766" s="1289" t="s">
        <v>931</v>
      </c>
      <c r="C1766" s="1288" t="s">
        <v>14</v>
      </c>
      <c r="D1766" s="1287">
        <v>1</v>
      </c>
      <c r="E1766" s="1287">
        <v>604.14</v>
      </c>
      <c r="F1766" s="1287">
        <v>604.14</v>
      </c>
      <c r="G1766" s="1286" t="s">
        <v>932</v>
      </c>
      <c r="H1766" s="34" t="s">
        <v>925</v>
      </c>
    </row>
    <row r="1767" spans="1:8" ht="33">
      <c r="A1767" s="1289"/>
      <c r="B1767" s="1289" t="s">
        <v>933</v>
      </c>
      <c r="C1767" s="1288" t="s">
        <v>17</v>
      </c>
      <c r="D1767" s="1287">
        <v>2.4</v>
      </c>
      <c r="E1767" s="1287"/>
      <c r="F1767" s="1287">
        <v>20742.170000000002</v>
      </c>
      <c r="G1767" s="1286"/>
      <c r="H1767" s="34" t="s">
        <v>925</v>
      </c>
    </row>
    <row r="1768" spans="1:8" ht="16.5">
      <c r="A1768" s="1289"/>
      <c r="B1768" s="1289" t="s">
        <v>934</v>
      </c>
      <c r="C1768" s="1288" t="s">
        <v>17</v>
      </c>
      <c r="D1768" s="1287"/>
      <c r="E1768" s="1287"/>
      <c r="F1768" s="1287">
        <v>8642.57</v>
      </c>
      <c r="G1768" s="1286"/>
    </row>
    <row r="1769" spans="1:8" ht="33">
      <c r="A1769" s="1289"/>
      <c r="B1769" s="1289"/>
      <c r="C1769" s="1288"/>
      <c r="D1769" s="1287"/>
      <c r="E1769" s="1287"/>
      <c r="F1769" s="1287"/>
      <c r="G1769" s="1286"/>
      <c r="H1769" s="34" t="s">
        <v>925</v>
      </c>
    </row>
    <row r="1770" spans="1:8" ht="33">
      <c r="A1770" s="1289" t="s">
        <v>1993</v>
      </c>
      <c r="B1770" s="1289" t="s">
        <v>1792</v>
      </c>
      <c r="C1770" s="1288" t="s">
        <v>17</v>
      </c>
      <c r="D1770" s="1287">
        <v>2.4</v>
      </c>
      <c r="E1770" s="1287">
        <v>10707.15</v>
      </c>
      <c r="F1770" s="1287"/>
      <c r="G1770" s="1286" t="s">
        <v>1793</v>
      </c>
      <c r="H1770" s="34" t="s">
        <v>925</v>
      </c>
    </row>
    <row r="1771" spans="1:8" ht="33">
      <c r="A1771" s="1289">
        <v>1</v>
      </c>
      <c r="B1771" s="1289" t="s">
        <v>1794</v>
      </c>
      <c r="C1771" s="1288" t="s">
        <v>1497</v>
      </c>
      <c r="D1771" s="1287">
        <v>1</v>
      </c>
      <c r="E1771" s="1287">
        <v>22752.02</v>
      </c>
      <c r="F1771" s="1287">
        <v>22752.02</v>
      </c>
      <c r="G1771" s="1286" t="s">
        <v>1795</v>
      </c>
      <c r="H1771" s="34" t="s">
        <v>925</v>
      </c>
    </row>
    <row r="1772" spans="1:8" ht="42.75">
      <c r="A1772" s="1289">
        <v>2</v>
      </c>
      <c r="B1772" s="1289" t="s">
        <v>4962</v>
      </c>
      <c r="C1772" s="1288" t="s">
        <v>927</v>
      </c>
      <c r="D1772" s="1287">
        <v>0.67</v>
      </c>
      <c r="E1772" s="1287">
        <v>407.35</v>
      </c>
      <c r="F1772" s="1287">
        <v>272.92</v>
      </c>
      <c r="G1772" s="1286" t="s">
        <v>4963</v>
      </c>
      <c r="H1772" s="34" t="s">
        <v>925</v>
      </c>
    </row>
    <row r="1773" spans="1:8" ht="33">
      <c r="A1773" s="1289">
        <v>3</v>
      </c>
      <c r="B1773" s="1289" t="s">
        <v>4871</v>
      </c>
      <c r="C1773" s="1288" t="s">
        <v>927</v>
      </c>
      <c r="D1773" s="1287">
        <v>2.68</v>
      </c>
      <c r="E1773" s="1287">
        <v>279.18</v>
      </c>
      <c r="F1773" s="1287">
        <v>748.2</v>
      </c>
      <c r="G1773" s="1286" t="s">
        <v>4872</v>
      </c>
      <c r="H1773" s="34" t="s">
        <v>925</v>
      </c>
    </row>
    <row r="1774" spans="1:8" ht="33">
      <c r="A1774" s="1289">
        <v>4</v>
      </c>
      <c r="B1774" s="1289" t="s">
        <v>1441</v>
      </c>
      <c r="C1774" s="1288" t="s">
        <v>927</v>
      </c>
      <c r="D1774" s="1287">
        <v>0.67</v>
      </c>
      <c r="E1774" s="1287">
        <v>1356.18</v>
      </c>
      <c r="F1774" s="1287">
        <v>908.64</v>
      </c>
      <c r="G1774" s="1286" t="s">
        <v>1442</v>
      </c>
      <c r="H1774" s="34" t="s">
        <v>925</v>
      </c>
    </row>
    <row r="1775" spans="1:8" ht="28.5">
      <c r="A1775" s="1289">
        <v>5</v>
      </c>
      <c r="B1775" s="1289" t="s">
        <v>1443</v>
      </c>
      <c r="C1775" s="1288" t="s">
        <v>927</v>
      </c>
      <c r="D1775" s="1287">
        <v>0.67</v>
      </c>
      <c r="E1775" s="1287">
        <v>398.41</v>
      </c>
      <c r="F1775" s="1287">
        <v>266.93</v>
      </c>
      <c r="G1775" s="1286" t="s">
        <v>1444</v>
      </c>
    </row>
    <row r="1776" spans="1:8" ht="33">
      <c r="A1776" s="1289">
        <v>6</v>
      </c>
      <c r="B1776" s="1289" t="s">
        <v>931</v>
      </c>
      <c r="C1776" s="1288" t="s">
        <v>14</v>
      </c>
      <c r="D1776" s="1287">
        <v>1</v>
      </c>
      <c r="E1776" s="1287">
        <v>748.46</v>
      </c>
      <c r="F1776" s="1287">
        <v>748.46</v>
      </c>
      <c r="G1776" s="1286" t="s">
        <v>932</v>
      </c>
      <c r="H1776" s="34" t="s">
        <v>925</v>
      </c>
    </row>
    <row r="1777" spans="1:8" ht="33">
      <c r="A1777" s="1289"/>
      <c r="B1777" s="1289" t="s">
        <v>933</v>
      </c>
      <c r="C1777" s="1288" t="s">
        <v>17</v>
      </c>
      <c r="D1777" s="1287">
        <v>2.4</v>
      </c>
      <c r="E1777" s="1287"/>
      <c r="F1777" s="1287">
        <v>25697.17</v>
      </c>
      <c r="G1777" s="1286"/>
      <c r="H1777" s="34" t="s">
        <v>925</v>
      </c>
    </row>
    <row r="1778" spans="1:8" ht="33">
      <c r="A1778" s="1289"/>
      <c r="B1778" s="1289" t="s">
        <v>934</v>
      </c>
      <c r="C1778" s="1288" t="s">
        <v>17</v>
      </c>
      <c r="D1778" s="1287"/>
      <c r="E1778" s="1287"/>
      <c r="F1778" s="1287">
        <v>10707.15</v>
      </c>
      <c r="G1778" s="1286"/>
      <c r="H1778" s="34" t="s">
        <v>925</v>
      </c>
    </row>
    <row r="1779" spans="1:8" ht="33">
      <c r="A1779" s="1289"/>
      <c r="B1779" s="1289"/>
      <c r="C1779" s="1288"/>
      <c r="D1779" s="1287"/>
      <c r="E1779" s="1287"/>
      <c r="F1779" s="1287"/>
      <c r="G1779" s="1286"/>
      <c r="H1779" s="34" t="s">
        <v>925</v>
      </c>
    </row>
    <row r="1780" spans="1:8" ht="33">
      <c r="A1780" s="1289" t="s">
        <v>2000</v>
      </c>
      <c r="B1780" s="1289" t="s">
        <v>1797</v>
      </c>
      <c r="C1780" s="1288" t="s">
        <v>17</v>
      </c>
      <c r="D1780" s="1287">
        <v>2.4</v>
      </c>
      <c r="E1780" s="1287">
        <v>12894.13</v>
      </c>
      <c r="F1780" s="1287"/>
      <c r="G1780" s="1286" t="s">
        <v>1798</v>
      </c>
      <c r="H1780" s="34" t="s">
        <v>925</v>
      </c>
    </row>
    <row r="1781" spans="1:8" ht="33">
      <c r="A1781" s="1289">
        <v>1</v>
      </c>
      <c r="B1781" s="1289" t="s">
        <v>1799</v>
      </c>
      <c r="C1781" s="1288" t="s">
        <v>1497</v>
      </c>
      <c r="D1781" s="1287">
        <v>1</v>
      </c>
      <c r="E1781" s="1287">
        <v>27421.65</v>
      </c>
      <c r="F1781" s="1287">
        <v>27421.65</v>
      </c>
      <c r="G1781" s="1286" t="s">
        <v>1800</v>
      </c>
      <c r="H1781" s="34" t="s">
        <v>925</v>
      </c>
    </row>
    <row r="1782" spans="1:8" ht="42.75">
      <c r="A1782" s="1289">
        <v>2</v>
      </c>
      <c r="B1782" s="1289" t="s">
        <v>4962</v>
      </c>
      <c r="C1782" s="1288" t="s">
        <v>927</v>
      </c>
      <c r="D1782" s="1287">
        <v>0.8</v>
      </c>
      <c r="E1782" s="1287">
        <v>407.35</v>
      </c>
      <c r="F1782" s="1287">
        <v>325.88</v>
      </c>
      <c r="G1782" s="1286" t="s">
        <v>4963</v>
      </c>
    </row>
    <row r="1783" spans="1:8" ht="33">
      <c r="A1783" s="1289">
        <v>3</v>
      </c>
      <c r="B1783" s="1289" t="s">
        <v>4871</v>
      </c>
      <c r="C1783" s="1288" t="s">
        <v>927</v>
      </c>
      <c r="D1783" s="1287">
        <v>3.2</v>
      </c>
      <c r="E1783" s="1287">
        <v>279.18</v>
      </c>
      <c r="F1783" s="1287">
        <v>893.38</v>
      </c>
      <c r="G1783" s="1286" t="s">
        <v>4872</v>
      </c>
      <c r="H1783" s="34" t="s">
        <v>925</v>
      </c>
    </row>
    <row r="1784" spans="1:8" ht="33">
      <c r="A1784" s="1289">
        <v>4</v>
      </c>
      <c r="B1784" s="1289" t="s">
        <v>1441</v>
      </c>
      <c r="C1784" s="1288" t="s">
        <v>927</v>
      </c>
      <c r="D1784" s="1287">
        <v>0.8</v>
      </c>
      <c r="E1784" s="1287">
        <v>1356.18</v>
      </c>
      <c r="F1784" s="1287">
        <v>1084.94</v>
      </c>
      <c r="G1784" s="1286" t="s">
        <v>1442</v>
      </c>
      <c r="H1784" s="34" t="s">
        <v>925</v>
      </c>
    </row>
    <row r="1785" spans="1:8" ht="33">
      <c r="A1785" s="1289">
        <v>5</v>
      </c>
      <c r="B1785" s="1289" t="s">
        <v>1443</v>
      </c>
      <c r="C1785" s="1288" t="s">
        <v>927</v>
      </c>
      <c r="D1785" s="1287">
        <v>0.8</v>
      </c>
      <c r="E1785" s="1287">
        <v>398.41</v>
      </c>
      <c r="F1785" s="1287">
        <v>318.73</v>
      </c>
      <c r="G1785" s="1286" t="s">
        <v>1444</v>
      </c>
      <c r="H1785" s="34" t="s">
        <v>925</v>
      </c>
    </row>
    <row r="1786" spans="1:8" ht="33">
      <c r="A1786" s="1289">
        <v>6</v>
      </c>
      <c r="B1786" s="1289" t="s">
        <v>931</v>
      </c>
      <c r="C1786" s="1288" t="s">
        <v>14</v>
      </c>
      <c r="D1786" s="1287">
        <v>1</v>
      </c>
      <c r="E1786" s="1287">
        <v>901.34</v>
      </c>
      <c r="F1786" s="1287">
        <v>901.34</v>
      </c>
      <c r="G1786" s="1286" t="s">
        <v>932</v>
      </c>
      <c r="H1786" s="34" t="s">
        <v>925</v>
      </c>
    </row>
    <row r="1787" spans="1:8" ht="33">
      <c r="A1787" s="1289"/>
      <c r="B1787" s="1289" t="s">
        <v>933</v>
      </c>
      <c r="C1787" s="1288" t="s">
        <v>17</v>
      </c>
      <c r="D1787" s="1287">
        <v>2.4</v>
      </c>
      <c r="E1787" s="1287"/>
      <c r="F1787" s="1287">
        <v>30945.920000000002</v>
      </c>
      <c r="G1787" s="1286"/>
      <c r="H1787" s="34" t="s">
        <v>925</v>
      </c>
    </row>
    <row r="1788" spans="1:8" ht="33">
      <c r="A1788" s="1289"/>
      <c r="B1788" s="1289" t="s">
        <v>934</v>
      </c>
      <c r="C1788" s="1288" t="s">
        <v>17</v>
      </c>
      <c r="D1788" s="1287"/>
      <c r="E1788" s="1287"/>
      <c r="F1788" s="1287">
        <v>12894.13</v>
      </c>
      <c r="G1788" s="1286"/>
      <c r="H1788" s="34" t="s">
        <v>925</v>
      </c>
    </row>
    <row r="1789" spans="1:8" ht="33">
      <c r="A1789" s="1289"/>
      <c r="B1789" s="1289"/>
      <c r="C1789" s="1288"/>
      <c r="D1789" s="1287"/>
      <c r="E1789" s="1287"/>
      <c r="F1789" s="1287"/>
      <c r="G1789" s="1286"/>
      <c r="H1789" s="34" t="s">
        <v>925</v>
      </c>
    </row>
    <row r="1790" spans="1:8" ht="33">
      <c r="A1790" s="1289" t="s">
        <v>2007</v>
      </c>
      <c r="B1790" s="1289" t="s">
        <v>1802</v>
      </c>
      <c r="C1790" s="1288" t="s">
        <v>17</v>
      </c>
      <c r="D1790" s="1287">
        <v>2.4</v>
      </c>
      <c r="E1790" s="1287">
        <v>16283.96</v>
      </c>
      <c r="F1790" s="1287"/>
      <c r="G1790" s="1286" t="s">
        <v>1803</v>
      </c>
      <c r="H1790" s="34" t="s">
        <v>925</v>
      </c>
    </row>
    <row r="1791" spans="1:8" ht="28.5">
      <c r="A1791" s="1289">
        <v>1</v>
      </c>
      <c r="B1791" s="1289" t="s">
        <v>1804</v>
      </c>
      <c r="C1791" s="1288" t="s">
        <v>1497</v>
      </c>
      <c r="D1791" s="1287">
        <v>1</v>
      </c>
      <c r="E1791" s="1287">
        <v>34992.410000000003</v>
      </c>
      <c r="F1791" s="1287">
        <v>34992.410000000003</v>
      </c>
      <c r="G1791" s="1286" t="s">
        <v>1805</v>
      </c>
    </row>
    <row r="1792" spans="1:8" ht="42.75">
      <c r="A1792" s="1289">
        <v>2</v>
      </c>
      <c r="B1792" s="1289" t="s">
        <v>4962</v>
      </c>
      <c r="C1792" s="1288" t="s">
        <v>927</v>
      </c>
      <c r="D1792" s="1287">
        <v>0.9</v>
      </c>
      <c r="E1792" s="1287">
        <v>407.35</v>
      </c>
      <c r="F1792" s="1287">
        <v>366.62</v>
      </c>
      <c r="G1792" s="1286" t="s">
        <v>4963</v>
      </c>
      <c r="H1792" s="34" t="s">
        <v>925</v>
      </c>
    </row>
    <row r="1793" spans="1:8" ht="33">
      <c r="A1793" s="1289">
        <v>3</v>
      </c>
      <c r="B1793" s="1289" t="s">
        <v>4871</v>
      </c>
      <c r="C1793" s="1288" t="s">
        <v>927</v>
      </c>
      <c r="D1793" s="1287">
        <v>3.6</v>
      </c>
      <c r="E1793" s="1287">
        <v>279.18</v>
      </c>
      <c r="F1793" s="1287">
        <v>1005.05</v>
      </c>
      <c r="G1793" s="1286" t="s">
        <v>4872</v>
      </c>
      <c r="H1793" s="34" t="s">
        <v>925</v>
      </c>
    </row>
    <row r="1794" spans="1:8" ht="33">
      <c r="A1794" s="1289">
        <v>4</v>
      </c>
      <c r="B1794" s="1289" t="s">
        <v>1441</v>
      </c>
      <c r="C1794" s="1288" t="s">
        <v>927</v>
      </c>
      <c r="D1794" s="1287">
        <v>0.9</v>
      </c>
      <c r="E1794" s="1287">
        <v>1356.18</v>
      </c>
      <c r="F1794" s="1287">
        <v>1220.56</v>
      </c>
      <c r="G1794" s="1286" t="s">
        <v>1442</v>
      </c>
      <c r="H1794" s="34" t="s">
        <v>925</v>
      </c>
    </row>
    <row r="1795" spans="1:8" ht="33">
      <c r="A1795" s="1289">
        <v>5</v>
      </c>
      <c r="B1795" s="1289" t="s">
        <v>1443</v>
      </c>
      <c r="C1795" s="1288" t="s">
        <v>927</v>
      </c>
      <c r="D1795" s="1287">
        <v>0.9</v>
      </c>
      <c r="E1795" s="1287">
        <v>398.41</v>
      </c>
      <c r="F1795" s="1287">
        <v>358.57</v>
      </c>
      <c r="G1795" s="1286" t="s">
        <v>1444</v>
      </c>
      <c r="H1795" s="34" t="s">
        <v>925</v>
      </c>
    </row>
    <row r="1796" spans="1:8" ht="33">
      <c r="A1796" s="1289">
        <v>6</v>
      </c>
      <c r="B1796" s="1289" t="s">
        <v>931</v>
      </c>
      <c r="C1796" s="1288" t="s">
        <v>14</v>
      </c>
      <c r="D1796" s="1287">
        <v>1</v>
      </c>
      <c r="E1796" s="1287">
        <v>1138.3</v>
      </c>
      <c r="F1796" s="1287">
        <v>1138.3</v>
      </c>
      <c r="G1796" s="1286" t="s">
        <v>932</v>
      </c>
      <c r="H1796" s="34" t="s">
        <v>925</v>
      </c>
    </row>
    <row r="1797" spans="1:8" ht="33">
      <c r="A1797" s="1289"/>
      <c r="B1797" s="1289" t="s">
        <v>933</v>
      </c>
      <c r="C1797" s="1288" t="s">
        <v>17</v>
      </c>
      <c r="D1797" s="1287">
        <v>2.4</v>
      </c>
      <c r="E1797" s="1287"/>
      <c r="F1797" s="1287">
        <v>39081.510000000009</v>
      </c>
      <c r="G1797" s="1286"/>
      <c r="H1797" s="34" t="s">
        <v>925</v>
      </c>
    </row>
    <row r="1798" spans="1:8" ht="16.5">
      <c r="A1798" s="1289"/>
      <c r="B1798" s="1289" t="s">
        <v>934</v>
      </c>
      <c r="C1798" s="1288" t="s">
        <v>17</v>
      </c>
      <c r="D1798" s="1287"/>
      <c r="E1798" s="1287"/>
      <c r="F1798" s="1287">
        <v>16283.96</v>
      </c>
      <c r="G1798" s="1286"/>
    </row>
    <row r="1799" spans="1:8" ht="33">
      <c r="A1799" s="1289"/>
      <c r="B1799" s="1289"/>
      <c r="C1799" s="1288"/>
      <c r="D1799" s="1287"/>
      <c r="E1799" s="1287"/>
      <c r="F1799" s="1287"/>
      <c r="G1799" s="1286"/>
      <c r="H1799" s="34" t="s">
        <v>925</v>
      </c>
    </row>
    <row r="1800" spans="1:8" ht="33">
      <c r="A1800" s="1289" t="s">
        <v>2014</v>
      </c>
      <c r="B1800" s="1289" t="s">
        <v>1807</v>
      </c>
      <c r="C1800" s="1288" t="s">
        <v>17</v>
      </c>
      <c r="D1800" s="1287">
        <v>2.4</v>
      </c>
      <c r="E1800" s="1287">
        <v>20172.669999999998</v>
      </c>
      <c r="F1800" s="1287"/>
      <c r="G1800" s="1286" t="s">
        <v>1808</v>
      </c>
      <c r="H1800" s="34" t="s">
        <v>925</v>
      </c>
    </row>
    <row r="1801" spans="1:8" ht="33">
      <c r="A1801" s="1289">
        <v>1</v>
      </c>
      <c r="B1801" s="1289" t="s">
        <v>1809</v>
      </c>
      <c r="C1801" s="1288" t="s">
        <v>1497</v>
      </c>
      <c r="D1801" s="1287">
        <v>1</v>
      </c>
      <c r="E1801" s="1287">
        <v>43725.61</v>
      </c>
      <c r="F1801" s="1287">
        <v>43725.61</v>
      </c>
      <c r="G1801" s="1286" t="s">
        <v>1810</v>
      </c>
      <c r="H1801" s="34" t="s">
        <v>925</v>
      </c>
    </row>
    <row r="1802" spans="1:8" ht="42.75">
      <c r="A1802" s="1289">
        <v>2</v>
      </c>
      <c r="B1802" s="1289" t="s">
        <v>4962</v>
      </c>
      <c r="C1802" s="1288" t="s">
        <v>927</v>
      </c>
      <c r="D1802" s="1287">
        <v>1</v>
      </c>
      <c r="E1802" s="1287">
        <v>407.35</v>
      </c>
      <c r="F1802" s="1287">
        <v>407.35</v>
      </c>
      <c r="G1802" s="1286" t="s">
        <v>4963</v>
      </c>
      <c r="H1802" s="34" t="s">
        <v>925</v>
      </c>
    </row>
    <row r="1803" spans="1:8" ht="33">
      <c r="A1803" s="1289">
        <v>3</v>
      </c>
      <c r="B1803" s="1289" t="s">
        <v>4871</v>
      </c>
      <c r="C1803" s="1288" t="s">
        <v>927</v>
      </c>
      <c r="D1803" s="1287">
        <v>4</v>
      </c>
      <c r="E1803" s="1287">
        <v>279.18</v>
      </c>
      <c r="F1803" s="1287">
        <v>1116.72</v>
      </c>
      <c r="G1803" s="1286" t="s">
        <v>4872</v>
      </c>
      <c r="H1803" s="34" t="s">
        <v>925</v>
      </c>
    </row>
    <row r="1804" spans="1:8" ht="33">
      <c r="A1804" s="1289">
        <v>4</v>
      </c>
      <c r="B1804" s="1289" t="s">
        <v>1441</v>
      </c>
      <c r="C1804" s="1288" t="s">
        <v>927</v>
      </c>
      <c r="D1804" s="1287">
        <v>1</v>
      </c>
      <c r="E1804" s="1287">
        <v>1356.18</v>
      </c>
      <c r="F1804" s="1287">
        <v>1356.18</v>
      </c>
      <c r="G1804" s="1286" t="s">
        <v>1442</v>
      </c>
      <c r="H1804" s="34" t="s">
        <v>925</v>
      </c>
    </row>
    <row r="1805" spans="1:8" ht="28.5">
      <c r="A1805" s="1289">
        <v>5</v>
      </c>
      <c r="B1805" s="1289" t="s">
        <v>1443</v>
      </c>
      <c r="C1805" s="1288" t="s">
        <v>927</v>
      </c>
      <c r="D1805" s="1287">
        <v>1</v>
      </c>
      <c r="E1805" s="1287">
        <v>398.41</v>
      </c>
      <c r="F1805" s="1287">
        <v>398.41</v>
      </c>
      <c r="G1805" s="1286" t="s">
        <v>1444</v>
      </c>
    </row>
    <row r="1806" spans="1:8" ht="33">
      <c r="A1806" s="1289">
        <v>6</v>
      </c>
      <c r="B1806" s="1289" t="s">
        <v>931</v>
      </c>
      <c r="C1806" s="1288" t="s">
        <v>14</v>
      </c>
      <c r="D1806" s="1287">
        <v>1</v>
      </c>
      <c r="E1806" s="1287">
        <v>1410.13</v>
      </c>
      <c r="F1806" s="1287">
        <v>1410.13</v>
      </c>
      <c r="G1806" s="1286" t="s">
        <v>932</v>
      </c>
      <c r="H1806" s="34" t="s">
        <v>925</v>
      </c>
    </row>
    <row r="1807" spans="1:8" ht="33">
      <c r="A1807" s="1289"/>
      <c r="B1807" s="1289" t="s">
        <v>933</v>
      </c>
      <c r="C1807" s="1288" t="s">
        <v>17</v>
      </c>
      <c r="D1807" s="1287">
        <v>2.4</v>
      </c>
      <c r="E1807" s="1287"/>
      <c r="F1807" s="1287">
        <v>48414.400000000001</v>
      </c>
      <c r="G1807" s="1286"/>
      <c r="H1807" s="34" t="s">
        <v>925</v>
      </c>
    </row>
    <row r="1808" spans="1:8" ht="33">
      <c r="A1808" s="1289"/>
      <c r="B1808" s="1289" t="s">
        <v>934</v>
      </c>
      <c r="C1808" s="1288" t="s">
        <v>17</v>
      </c>
      <c r="D1808" s="1287"/>
      <c r="E1808" s="1287"/>
      <c r="F1808" s="1287">
        <v>20172.669999999998</v>
      </c>
      <c r="G1808" s="1286"/>
      <c r="H1808" s="34" t="s">
        <v>925</v>
      </c>
    </row>
    <row r="1809" spans="1:8" ht="33">
      <c r="A1809" s="1289"/>
      <c r="B1809" s="1289"/>
      <c r="C1809" s="1288"/>
      <c r="D1809" s="1287"/>
      <c r="E1809" s="1287"/>
      <c r="F1809" s="1287"/>
      <c r="G1809" s="1286"/>
      <c r="H1809" s="34" t="s">
        <v>925</v>
      </c>
    </row>
    <row r="1810" spans="1:8" ht="33">
      <c r="A1810" s="1289" t="s">
        <v>2021</v>
      </c>
      <c r="B1810" s="1289" t="s">
        <v>1812</v>
      </c>
      <c r="C1810" s="1288" t="s">
        <v>17</v>
      </c>
      <c r="D1810" s="1287">
        <v>2.4</v>
      </c>
      <c r="E1810" s="1287">
        <v>24205.97</v>
      </c>
      <c r="F1810" s="1287"/>
      <c r="G1810" s="1286" t="s">
        <v>1813</v>
      </c>
      <c r="H1810" s="34" t="s">
        <v>925</v>
      </c>
    </row>
    <row r="1811" spans="1:8" ht="33">
      <c r="A1811" s="1289">
        <v>1</v>
      </c>
      <c r="B1811" s="1289" t="s">
        <v>1814</v>
      </c>
      <c r="C1811" s="1288" t="s">
        <v>1497</v>
      </c>
      <c r="D1811" s="1287">
        <v>1</v>
      </c>
      <c r="E1811" s="1287">
        <v>52488.62</v>
      </c>
      <c r="F1811" s="1287">
        <v>52488.62</v>
      </c>
      <c r="G1811" s="1286" t="s">
        <v>1815</v>
      </c>
      <c r="H1811" s="34" t="s">
        <v>925</v>
      </c>
    </row>
    <row r="1812" spans="1:8" ht="42.75">
      <c r="A1812" s="1289">
        <v>2</v>
      </c>
      <c r="B1812" s="1289" t="s">
        <v>4962</v>
      </c>
      <c r="C1812" s="1288" t="s">
        <v>927</v>
      </c>
      <c r="D1812" s="1287">
        <v>1.1000000000000001</v>
      </c>
      <c r="E1812" s="1287">
        <v>407.35</v>
      </c>
      <c r="F1812" s="1287">
        <v>448.09</v>
      </c>
      <c r="G1812" s="1286" t="s">
        <v>4963</v>
      </c>
    </row>
    <row r="1813" spans="1:8" ht="33">
      <c r="A1813" s="1289">
        <v>3</v>
      </c>
      <c r="B1813" s="1289" t="s">
        <v>4871</v>
      </c>
      <c r="C1813" s="1288" t="s">
        <v>927</v>
      </c>
      <c r="D1813" s="1287">
        <v>5.5</v>
      </c>
      <c r="E1813" s="1287">
        <v>279.18</v>
      </c>
      <c r="F1813" s="1287">
        <v>1535.49</v>
      </c>
      <c r="G1813" s="1286" t="s">
        <v>4872</v>
      </c>
      <c r="H1813" s="34" t="s">
        <v>925</v>
      </c>
    </row>
    <row r="1814" spans="1:8" ht="33">
      <c r="A1814" s="1289">
        <v>4</v>
      </c>
      <c r="B1814" s="1289" t="s">
        <v>1441</v>
      </c>
      <c r="C1814" s="1288" t="s">
        <v>927</v>
      </c>
      <c r="D1814" s="1287">
        <v>1.1000000000000001</v>
      </c>
      <c r="E1814" s="1287">
        <v>1356.18</v>
      </c>
      <c r="F1814" s="1287">
        <v>1491.8</v>
      </c>
      <c r="G1814" s="1286" t="s">
        <v>1442</v>
      </c>
      <c r="H1814" s="34" t="s">
        <v>925</v>
      </c>
    </row>
    <row r="1815" spans="1:8" ht="33">
      <c r="A1815" s="1289">
        <v>5</v>
      </c>
      <c r="B1815" s="1289" t="s">
        <v>1443</v>
      </c>
      <c r="C1815" s="1288" t="s">
        <v>927</v>
      </c>
      <c r="D1815" s="1287">
        <v>1.1000000000000001</v>
      </c>
      <c r="E1815" s="1287">
        <v>398.41</v>
      </c>
      <c r="F1815" s="1287">
        <v>438.25</v>
      </c>
      <c r="G1815" s="1286" t="s">
        <v>1444</v>
      </c>
      <c r="H1815" s="34" t="s">
        <v>925</v>
      </c>
    </row>
    <row r="1816" spans="1:8" ht="33">
      <c r="A1816" s="1289">
        <v>6</v>
      </c>
      <c r="B1816" s="1289" t="s">
        <v>931</v>
      </c>
      <c r="C1816" s="1288" t="s">
        <v>14</v>
      </c>
      <c r="D1816" s="1287">
        <v>1</v>
      </c>
      <c r="E1816" s="1287">
        <v>1692.07</v>
      </c>
      <c r="F1816" s="1287">
        <v>1692.07</v>
      </c>
      <c r="G1816" s="1286" t="s">
        <v>932</v>
      </c>
      <c r="H1816" s="34" t="s">
        <v>925</v>
      </c>
    </row>
    <row r="1817" spans="1:8" ht="33">
      <c r="A1817" s="1289"/>
      <c r="B1817" s="1289" t="s">
        <v>933</v>
      </c>
      <c r="C1817" s="1288" t="s">
        <v>17</v>
      </c>
      <c r="D1817" s="1287">
        <v>2.4</v>
      </c>
      <c r="E1817" s="1287"/>
      <c r="F1817" s="1287">
        <v>58094.32</v>
      </c>
      <c r="G1817" s="1286"/>
      <c r="H1817" s="34" t="s">
        <v>925</v>
      </c>
    </row>
    <row r="1818" spans="1:8" ht="33">
      <c r="A1818" s="1289"/>
      <c r="B1818" s="1289" t="s">
        <v>934</v>
      </c>
      <c r="C1818" s="1288" t="s">
        <v>17</v>
      </c>
      <c r="D1818" s="1287"/>
      <c r="E1818" s="1287"/>
      <c r="F1818" s="1287">
        <v>24205.97</v>
      </c>
      <c r="G1818" s="1286"/>
      <c r="H1818" s="34" t="s">
        <v>925</v>
      </c>
    </row>
    <row r="1819" spans="1:8" ht="16.5">
      <c r="A1819" s="1289"/>
      <c r="B1819" s="1289"/>
      <c r="C1819" s="1288"/>
      <c r="D1819" s="1287"/>
      <c r="E1819" s="1287"/>
      <c r="F1819" s="1287"/>
      <c r="G1819" s="1286"/>
    </row>
    <row r="1820" spans="1:8" ht="33">
      <c r="A1820" s="1289" t="s">
        <v>2028</v>
      </c>
      <c r="B1820" s="1289" t="s">
        <v>1817</v>
      </c>
      <c r="C1820" s="1288" t="s">
        <v>1818</v>
      </c>
      <c r="D1820" s="1287">
        <v>1</v>
      </c>
      <c r="E1820" s="1287">
        <v>1167.6400000000001</v>
      </c>
      <c r="F1820" s="1287"/>
      <c r="G1820" s="1286" t="s">
        <v>1819</v>
      </c>
      <c r="H1820" s="34" t="s">
        <v>925</v>
      </c>
    </row>
    <row r="1821" spans="1:8" ht="33">
      <c r="A1821" s="1289">
        <v>1</v>
      </c>
      <c r="B1821" s="1289" t="s">
        <v>1820</v>
      </c>
      <c r="C1821" s="1288" t="s">
        <v>1818</v>
      </c>
      <c r="D1821" s="1287">
        <v>1</v>
      </c>
      <c r="E1821" s="1287">
        <v>1088.92</v>
      </c>
      <c r="F1821" s="1287">
        <v>1088.92</v>
      </c>
      <c r="G1821" s="1286" t="s">
        <v>1821</v>
      </c>
      <c r="H1821" s="34" t="s">
        <v>925</v>
      </c>
    </row>
    <row r="1822" spans="1:8" ht="33">
      <c r="A1822" s="1289">
        <v>2</v>
      </c>
      <c r="B1822" s="1289" t="s">
        <v>1822</v>
      </c>
      <c r="C1822" s="1288" t="s">
        <v>1818</v>
      </c>
      <c r="D1822" s="1287">
        <v>1</v>
      </c>
      <c r="E1822" s="1287">
        <v>44.71</v>
      </c>
      <c r="F1822" s="1287">
        <v>44.71</v>
      </c>
      <c r="G1822" s="1286" t="s">
        <v>1823</v>
      </c>
      <c r="H1822" s="34" t="s">
        <v>925</v>
      </c>
    </row>
    <row r="1823" spans="1:8" ht="33">
      <c r="A1823" s="1289">
        <v>3</v>
      </c>
      <c r="B1823" s="1289" t="s">
        <v>931</v>
      </c>
      <c r="C1823" s="1288" t="s">
        <v>14</v>
      </c>
      <c r="D1823" s="1287">
        <v>1</v>
      </c>
      <c r="E1823" s="1287">
        <v>34.01</v>
      </c>
      <c r="F1823" s="1287">
        <v>34.01</v>
      </c>
      <c r="G1823" s="1286" t="s">
        <v>932</v>
      </c>
      <c r="H1823" s="34" t="s">
        <v>925</v>
      </c>
    </row>
    <row r="1824" spans="1:8" ht="33">
      <c r="A1824" s="1289"/>
      <c r="B1824" s="1289" t="s">
        <v>933</v>
      </c>
      <c r="C1824" s="1288" t="s">
        <v>1818</v>
      </c>
      <c r="D1824" s="1287">
        <v>1</v>
      </c>
      <c r="E1824" s="1287"/>
      <c r="F1824" s="1287">
        <v>1167.6400000000001</v>
      </c>
      <c r="G1824" s="1286"/>
      <c r="H1824" s="34" t="s">
        <v>925</v>
      </c>
    </row>
    <row r="1825" spans="1:8" ht="33">
      <c r="A1825" s="1289"/>
      <c r="B1825" s="1289" t="s">
        <v>934</v>
      </c>
      <c r="C1825" s="1288" t="s">
        <v>1818</v>
      </c>
      <c r="D1825" s="1287"/>
      <c r="E1825" s="1287"/>
      <c r="F1825" s="1287">
        <v>1167.6400000000001</v>
      </c>
      <c r="G1825" s="1286"/>
      <c r="H1825" s="34" t="s">
        <v>925</v>
      </c>
    </row>
    <row r="1826" spans="1:8" ht="16.5">
      <c r="A1826" s="1289"/>
      <c r="B1826" s="1289"/>
      <c r="C1826" s="1288"/>
      <c r="D1826" s="1287"/>
      <c r="E1826" s="1287"/>
      <c r="F1826" s="1287"/>
      <c r="G1826" s="1286"/>
    </row>
    <row r="1827" spans="1:8" ht="33">
      <c r="A1827" s="1289" t="s">
        <v>2031</v>
      </c>
      <c r="B1827" s="1289" t="s">
        <v>1825</v>
      </c>
      <c r="C1827" s="1288" t="s">
        <v>1818</v>
      </c>
      <c r="D1827" s="1287">
        <v>1</v>
      </c>
      <c r="E1827" s="1287">
        <v>1303.74</v>
      </c>
      <c r="F1827" s="1287"/>
      <c r="G1827" s="1286" t="s">
        <v>1826</v>
      </c>
      <c r="H1827" s="34" t="s">
        <v>925</v>
      </c>
    </row>
    <row r="1828" spans="1:8" ht="33">
      <c r="A1828" s="1289">
        <v>1</v>
      </c>
      <c r="B1828" s="1289" t="s">
        <v>1827</v>
      </c>
      <c r="C1828" s="1288" t="s">
        <v>1818</v>
      </c>
      <c r="D1828" s="1287">
        <v>1</v>
      </c>
      <c r="E1828" s="1287">
        <v>1216.0899999999999</v>
      </c>
      <c r="F1828" s="1287">
        <v>1216.0899999999999</v>
      </c>
      <c r="G1828" s="1286" t="s">
        <v>1828</v>
      </c>
      <c r="H1828" s="34" t="s">
        <v>925</v>
      </c>
    </row>
    <row r="1829" spans="1:8" ht="33">
      <c r="A1829" s="1289">
        <v>2</v>
      </c>
      <c r="B1829" s="1289" t="s">
        <v>1829</v>
      </c>
      <c r="C1829" s="1288" t="s">
        <v>1818</v>
      </c>
      <c r="D1829" s="1287">
        <v>1</v>
      </c>
      <c r="E1829" s="1287">
        <v>49.68</v>
      </c>
      <c r="F1829" s="1287">
        <v>49.68</v>
      </c>
      <c r="G1829" s="1286" t="s">
        <v>1830</v>
      </c>
      <c r="H1829" s="34" t="s">
        <v>925</v>
      </c>
    </row>
    <row r="1830" spans="1:8" ht="33">
      <c r="A1830" s="1289">
        <v>3</v>
      </c>
      <c r="B1830" s="1289" t="s">
        <v>931</v>
      </c>
      <c r="C1830" s="1288" t="s">
        <v>14</v>
      </c>
      <c r="D1830" s="1287">
        <v>1</v>
      </c>
      <c r="E1830" s="1287">
        <v>37.97</v>
      </c>
      <c r="F1830" s="1287">
        <v>37.97</v>
      </c>
      <c r="G1830" s="1286" t="s">
        <v>932</v>
      </c>
      <c r="H1830" s="34" t="s">
        <v>925</v>
      </c>
    </row>
    <row r="1831" spans="1:8" ht="33">
      <c r="A1831" s="1289"/>
      <c r="B1831" s="1289" t="s">
        <v>933</v>
      </c>
      <c r="C1831" s="1288" t="s">
        <v>1818</v>
      </c>
      <c r="D1831" s="1287">
        <v>1</v>
      </c>
      <c r="E1831" s="1287"/>
      <c r="F1831" s="1287">
        <v>1303.74</v>
      </c>
      <c r="G1831" s="1286"/>
      <c r="H1831" s="34" t="s">
        <v>925</v>
      </c>
    </row>
    <row r="1832" spans="1:8" ht="33">
      <c r="A1832" s="1289"/>
      <c r="B1832" s="1289" t="s">
        <v>934</v>
      </c>
      <c r="C1832" s="1288" t="s">
        <v>1818</v>
      </c>
      <c r="D1832" s="1287"/>
      <c r="E1832" s="1287"/>
      <c r="F1832" s="1287">
        <v>1303.74</v>
      </c>
      <c r="G1832" s="1286"/>
      <c r="H1832" s="34" t="s">
        <v>925</v>
      </c>
    </row>
    <row r="1833" spans="1:8" ht="16.5">
      <c r="A1833" s="1289"/>
      <c r="B1833" s="1289"/>
      <c r="C1833" s="1288"/>
      <c r="D1833" s="1287"/>
      <c r="E1833" s="1287"/>
      <c r="F1833" s="1287"/>
      <c r="G1833" s="1286"/>
    </row>
    <row r="1834" spans="1:8" ht="33">
      <c r="A1834" s="1289" t="s">
        <v>2036</v>
      </c>
      <c r="B1834" s="1289" t="s">
        <v>1832</v>
      </c>
      <c r="C1834" s="1288" t="s">
        <v>1818</v>
      </c>
      <c r="D1834" s="1287">
        <v>1</v>
      </c>
      <c r="E1834" s="1287">
        <v>1587.2</v>
      </c>
      <c r="F1834" s="1287"/>
      <c r="G1834" s="1286" t="s">
        <v>1833</v>
      </c>
      <c r="H1834" s="34" t="s">
        <v>925</v>
      </c>
    </row>
    <row r="1835" spans="1:8" ht="33">
      <c r="A1835" s="1289">
        <v>1</v>
      </c>
      <c r="B1835" s="1289" t="s">
        <v>1834</v>
      </c>
      <c r="C1835" s="1288" t="s">
        <v>1818</v>
      </c>
      <c r="D1835" s="1287">
        <v>1</v>
      </c>
      <c r="E1835" s="1287">
        <v>1486.33</v>
      </c>
      <c r="F1835" s="1287">
        <v>1486.33</v>
      </c>
      <c r="G1835" s="1286" t="s">
        <v>1835</v>
      </c>
      <c r="H1835" s="34" t="s">
        <v>925</v>
      </c>
    </row>
    <row r="1836" spans="1:8" ht="33">
      <c r="A1836" s="1289">
        <v>2</v>
      </c>
      <c r="B1836" s="1289" t="s">
        <v>1836</v>
      </c>
      <c r="C1836" s="1288" t="s">
        <v>1818</v>
      </c>
      <c r="D1836" s="1287">
        <v>1</v>
      </c>
      <c r="E1836" s="1287">
        <v>54.64</v>
      </c>
      <c r="F1836" s="1287">
        <v>54.64</v>
      </c>
      <c r="G1836" s="1286" t="s">
        <v>1837</v>
      </c>
      <c r="H1836" s="34" t="s">
        <v>925</v>
      </c>
    </row>
    <row r="1837" spans="1:8" ht="33">
      <c r="A1837" s="1289">
        <v>3</v>
      </c>
      <c r="B1837" s="1289" t="s">
        <v>931</v>
      </c>
      <c r="C1837" s="1288" t="s">
        <v>14</v>
      </c>
      <c r="D1837" s="1287">
        <v>1</v>
      </c>
      <c r="E1837" s="1287">
        <v>46.23</v>
      </c>
      <c r="F1837" s="1287">
        <v>46.23</v>
      </c>
      <c r="G1837" s="1286" t="s">
        <v>932</v>
      </c>
      <c r="H1837" s="34" t="s">
        <v>925</v>
      </c>
    </row>
    <row r="1838" spans="1:8" ht="33">
      <c r="A1838" s="1289"/>
      <c r="B1838" s="1289" t="s">
        <v>933</v>
      </c>
      <c r="C1838" s="1288" t="s">
        <v>1818</v>
      </c>
      <c r="D1838" s="1287">
        <v>1</v>
      </c>
      <c r="E1838" s="1287"/>
      <c r="F1838" s="1287">
        <v>1587.2</v>
      </c>
      <c r="G1838" s="1286"/>
      <c r="H1838" s="34" t="s">
        <v>925</v>
      </c>
    </row>
    <row r="1839" spans="1:8" ht="33">
      <c r="A1839" s="1289"/>
      <c r="B1839" s="1289" t="s">
        <v>934</v>
      </c>
      <c r="C1839" s="1288" t="s">
        <v>1818</v>
      </c>
      <c r="D1839" s="1287"/>
      <c r="E1839" s="1287"/>
      <c r="F1839" s="1287">
        <v>1587.2</v>
      </c>
      <c r="G1839" s="1286"/>
      <c r="H1839" s="34" t="s">
        <v>925</v>
      </c>
    </row>
    <row r="1840" spans="1:8" ht="16.5">
      <c r="A1840" s="1289"/>
      <c r="B1840" s="1289"/>
      <c r="C1840" s="1288"/>
      <c r="D1840" s="1287"/>
      <c r="E1840" s="1287"/>
      <c r="F1840" s="1287"/>
      <c r="G1840" s="1286"/>
    </row>
    <row r="1841" spans="1:8" ht="33">
      <c r="A1841" s="1289" t="s">
        <v>2041</v>
      </c>
      <c r="B1841" s="1289" t="s">
        <v>1839</v>
      </c>
      <c r="C1841" s="1288" t="s">
        <v>1818</v>
      </c>
      <c r="D1841" s="1287">
        <v>1</v>
      </c>
      <c r="E1841" s="1287">
        <v>1628.14</v>
      </c>
      <c r="F1841" s="1287"/>
      <c r="G1841" s="1286" t="s">
        <v>1840</v>
      </c>
      <c r="H1841" s="34" t="s">
        <v>925</v>
      </c>
    </row>
    <row r="1842" spans="1:8" ht="33">
      <c r="A1842" s="1289">
        <v>1</v>
      </c>
      <c r="B1842" s="1289" t="s">
        <v>1841</v>
      </c>
      <c r="C1842" s="1288" t="s">
        <v>1818</v>
      </c>
      <c r="D1842" s="1287">
        <v>1</v>
      </c>
      <c r="E1842" s="1287">
        <v>1521.11</v>
      </c>
      <c r="F1842" s="1287">
        <v>1521.11</v>
      </c>
      <c r="G1842" s="1286" t="s">
        <v>1842</v>
      </c>
      <c r="H1842" s="34" t="s">
        <v>925</v>
      </c>
    </row>
    <row r="1843" spans="1:8" ht="33">
      <c r="A1843" s="1289">
        <v>2</v>
      </c>
      <c r="B1843" s="1289" t="s">
        <v>1843</v>
      </c>
      <c r="C1843" s="1288" t="s">
        <v>1818</v>
      </c>
      <c r="D1843" s="1287">
        <v>1</v>
      </c>
      <c r="E1843" s="1287">
        <v>59.61</v>
      </c>
      <c r="F1843" s="1287">
        <v>59.61</v>
      </c>
      <c r="G1843" s="1286" t="s">
        <v>1844</v>
      </c>
      <c r="H1843" s="34" t="s">
        <v>925</v>
      </c>
    </row>
    <row r="1844" spans="1:8" ht="33">
      <c r="A1844" s="1289">
        <v>3</v>
      </c>
      <c r="B1844" s="1289" t="s">
        <v>931</v>
      </c>
      <c r="C1844" s="1288" t="s">
        <v>14</v>
      </c>
      <c r="D1844" s="1287">
        <v>1</v>
      </c>
      <c r="E1844" s="1287">
        <v>47.42</v>
      </c>
      <c r="F1844" s="1287">
        <v>47.42</v>
      </c>
      <c r="G1844" s="1286" t="s">
        <v>932</v>
      </c>
      <c r="H1844" s="34" t="s">
        <v>925</v>
      </c>
    </row>
    <row r="1845" spans="1:8" ht="33">
      <c r="A1845" s="1289"/>
      <c r="B1845" s="1289" t="s">
        <v>933</v>
      </c>
      <c r="C1845" s="1288" t="s">
        <v>1818</v>
      </c>
      <c r="D1845" s="1287">
        <v>1</v>
      </c>
      <c r="E1845" s="1287"/>
      <c r="F1845" s="1287">
        <v>1628.1399999999999</v>
      </c>
      <c r="G1845" s="1286"/>
      <c r="H1845" s="34" t="s">
        <v>925</v>
      </c>
    </row>
    <row r="1846" spans="1:8" ht="33">
      <c r="A1846" s="1289"/>
      <c r="B1846" s="1289" t="s">
        <v>934</v>
      </c>
      <c r="C1846" s="1288" t="s">
        <v>1818</v>
      </c>
      <c r="D1846" s="1287"/>
      <c r="E1846" s="1287"/>
      <c r="F1846" s="1287">
        <v>1628.14</v>
      </c>
      <c r="G1846" s="1286"/>
      <c r="H1846" s="34" t="s">
        <v>925</v>
      </c>
    </row>
    <row r="1847" spans="1:8" ht="16.5">
      <c r="A1847" s="1289"/>
      <c r="B1847" s="1289"/>
      <c r="C1847" s="1288"/>
      <c r="D1847" s="1287"/>
      <c r="E1847" s="1287"/>
      <c r="F1847" s="1287"/>
      <c r="G1847" s="1286"/>
    </row>
    <row r="1848" spans="1:8" ht="33">
      <c r="A1848" s="1289" t="s">
        <v>2046</v>
      </c>
      <c r="B1848" s="1289" t="s">
        <v>1846</v>
      </c>
      <c r="C1848" s="1288" t="s">
        <v>1818</v>
      </c>
      <c r="D1848" s="1287">
        <v>1</v>
      </c>
      <c r="E1848" s="1287">
        <v>1831.78</v>
      </c>
      <c r="F1848" s="1287"/>
      <c r="G1848" s="1286" t="s">
        <v>1847</v>
      </c>
      <c r="H1848" s="34" t="s">
        <v>925</v>
      </c>
    </row>
    <row r="1849" spans="1:8" ht="33">
      <c r="A1849" s="1289">
        <v>1</v>
      </c>
      <c r="B1849" s="1289" t="s">
        <v>1848</v>
      </c>
      <c r="C1849" s="1288" t="s">
        <v>1818</v>
      </c>
      <c r="D1849" s="1287">
        <v>1</v>
      </c>
      <c r="E1849" s="1287">
        <v>1713.85</v>
      </c>
      <c r="F1849" s="1287">
        <v>1713.85</v>
      </c>
      <c r="G1849" s="1286" t="s">
        <v>1849</v>
      </c>
      <c r="H1849" s="34" t="s">
        <v>925</v>
      </c>
    </row>
    <row r="1850" spans="1:8" ht="33">
      <c r="A1850" s="1289">
        <v>2</v>
      </c>
      <c r="B1850" s="1289" t="s">
        <v>1850</v>
      </c>
      <c r="C1850" s="1288" t="s">
        <v>1818</v>
      </c>
      <c r="D1850" s="1287">
        <v>1</v>
      </c>
      <c r="E1850" s="1287">
        <v>64.58</v>
      </c>
      <c r="F1850" s="1287">
        <v>64.58</v>
      </c>
      <c r="G1850" s="1286" t="s">
        <v>1851</v>
      </c>
      <c r="H1850" s="34" t="s">
        <v>925</v>
      </c>
    </row>
    <row r="1851" spans="1:8" ht="33">
      <c r="A1851" s="1289">
        <v>3</v>
      </c>
      <c r="B1851" s="1289" t="s">
        <v>931</v>
      </c>
      <c r="C1851" s="1288" t="s">
        <v>14</v>
      </c>
      <c r="D1851" s="1287">
        <v>1</v>
      </c>
      <c r="E1851" s="1287">
        <v>53.35</v>
      </c>
      <c r="F1851" s="1287">
        <v>53.35</v>
      </c>
      <c r="G1851" s="1286" t="s">
        <v>932</v>
      </c>
      <c r="H1851" s="34" t="s">
        <v>925</v>
      </c>
    </row>
    <row r="1852" spans="1:8" ht="33">
      <c r="A1852" s="1289"/>
      <c r="B1852" s="1289" t="s">
        <v>933</v>
      </c>
      <c r="C1852" s="1288" t="s">
        <v>1818</v>
      </c>
      <c r="D1852" s="1287">
        <v>1</v>
      </c>
      <c r="E1852" s="1287"/>
      <c r="F1852" s="1287">
        <v>1831.7799999999997</v>
      </c>
      <c r="G1852" s="1286"/>
      <c r="H1852" s="34" t="s">
        <v>925</v>
      </c>
    </row>
    <row r="1853" spans="1:8" ht="33">
      <c r="A1853" s="1289"/>
      <c r="B1853" s="1289" t="s">
        <v>934</v>
      </c>
      <c r="C1853" s="1288" t="s">
        <v>1818</v>
      </c>
      <c r="D1853" s="1287"/>
      <c r="E1853" s="1287"/>
      <c r="F1853" s="1287">
        <v>1831.78</v>
      </c>
      <c r="G1853" s="1286"/>
      <c r="H1853" s="34" t="s">
        <v>925</v>
      </c>
    </row>
    <row r="1854" spans="1:8" ht="33">
      <c r="A1854" s="1289"/>
      <c r="B1854" s="1289"/>
      <c r="C1854" s="1288"/>
      <c r="D1854" s="1287"/>
      <c r="E1854" s="1287"/>
      <c r="F1854" s="1287"/>
      <c r="G1854" s="1286"/>
      <c r="H1854" s="34" t="s">
        <v>925</v>
      </c>
    </row>
    <row r="1855" spans="1:8" ht="33">
      <c r="A1855" s="1289" t="s">
        <v>2053</v>
      </c>
      <c r="B1855" s="1289" t="s">
        <v>1853</v>
      </c>
      <c r="C1855" s="1288" t="s">
        <v>1818</v>
      </c>
      <c r="D1855" s="1287">
        <v>1</v>
      </c>
      <c r="E1855" s="1287">
        <v>2118.33</v>
      </c>
      <c r="F1855" s="1287"/>
      <c r="G1855" s="1286" t="s">
        <v>1854</v>
      </c>
      <c r="H1855" s="34" t="s">
        <v>925</v>
      </c>
    </row>
    <row r="1856" spans="1:8" ht="28.5">
      <c r="A1856" s="1289">
        <v>1</v>
      </c>
      <c r="B1856" s="1289" t="s">
        <v>1855</v>
      </c>
      <c r="C1856" s="1288" t="s">
        <v>1818</v>
      </c>
      <c r="D1856" s="1287">
        <v>1</v>
      </c>
      <c r="E1856" s="1287">
        <v>1987.08</v>
      </c>
      <c r="F1856" s="1287">
        <v>1987.08</v>
      </c>
      <c r="G1856" s="1286" t="s">
        <v>1856</v>
      </c>
    </row>
    <row r="1857" spans="1:8" ht="33">
      <c r="A1857" s="1289">
        <v>2</v>
      </c>
      <c r="B1857" s="1289" t="s">
        <v>1857</v>
      </c>
      <c r="C1857" s="1288" t="s">
        <v>1818</v>
      </c>
      <c r="D1857" s="1287">
        <v>1</v>
      </c>
      <c r="E1857" s="1287">
        <v>69.55</v>
      </c>
      <c r="F1857" s="1287">
        <v>69.55</v>
      </c>
      <c r="G1857" s="1286" t="s">
        <v>1858</v>
      </c>
      <c r="H1857" s="34" t="s">
        <v>925</v>
      </c>
    </row>
    <row r="1858" spans="1:8" ht="33">
      <c r="A1858" s="1289">
        <v>3</v>
      </c>
      <c r="B1858" s="1289" t="s">
        <v>931</v>
      </c>
      <c r="C1858" s="1288" t="s">
        <v>14</v>
      </c>
      <c r="D1858" s="1287">
        <v>1</v>
      </c>
      <c r="E1858" s="1287">
        <v>61.7</v>
      </c>
      <c r="F1858" s="1287">
        <v>61.7</v>
      </c>
      <c r="G1858" s="1286" t="s">
        <v>932</v>
      </c>
      <c r="H1858" s="34" t="s">
        <v>925</v>
      </c>
    </row>
    <row r="1859" spans="1:8" ht="33">
      <c r="A1859" s="1289"/>
      <c r="B1859" s="1289" t="s">
        <v>933</v>
      </c>
      <c r="C1859" s="1288" t="s">
        <v>1818</v>
      </c>
      <c r="D1859" s="1287">
        <v>1</v>
      </c>
      <c r="E1859" s="1287"/>
      <c r="F1859" s="1287">
        <v>2118.33</v>
      </c>
      <c r="G1859" s="1286"/>
      <c r="H1859" s="34" t="s">
        <v>925</v>
      </c>
    </row>
    <row r="1860" spans="1:8" ht="33">
      <c r="A1860" s="1289"/>
      <c r="B1860" s="1289" t="s">
        <v>934</v>
      </c>
      <c r="C1860" s="1288" t="s">
        <v>1818</v>
      </c>
      <c r="D1860" s="1287"/>
      <c r="E1860" s="1287"/>
      <c r="F1860" s="1287">
        <v>2118.33</v>
      </c>
      <c r="G1860" s="1286"/>
      <c r="H1860" s="34" t="s">
        <v>925</v>
      </c>
    </row>
    <row r="1861" spans="1:8" ht="33">
      <c r="A1861" s="1289"/>
      <c r="B1861" s="1289"/>
      <c r="C1861" s="1288"/>
      <c r="D1861" s="1287"/>
      <c r="E1861" s="1287"/>
      <c r="F1861" s="1287"/>
      <c r="G1861" s="1286"/>
      <c r="H1861" s="34" t="s">
        <v>925</v>
      </c>
    </row>
    <row r="1862" spans="1:8" ht="33">
      <c r="A1862" s="1289" t="s">
        <v>2058</v>
      </c>
      <c r="B1862" s="1289" t="s">
        <v>1860</v>
      </c>
      <c r="C1862" s="1288" t="s">
        <v>1818</v>
      </c>
      <c r="D1862" s="1287">
        <v>1</v>
      </c>
      <c r="E1862" s="1287">
        <v>2273.88</v>
      </c>
      <c r="F1862" s="1287"/>
      <c r="G1862" s="1286" t="s">
        <v>1861</v>
      </c>
      <c r="H1862" s="34" t="s">
        <v>925</v>
      </c>
    </row>
    <row r="1863" spans="1:8" ht="33">
      <c r="A1863" s="1289">
        <v>1</v>
      </c>
      <c r="B1863" s="1289" t="s">
        <v>1862</v>
      </c>
      <c r="C1863" s="1288" t="s">
        <v>1818</v>
      </c>
      <c r="D1863" s="1287">
        <v>1</v>
      </c>
      <c r="E1863" s="1287">
        <v>2133.13</v>
      </c>
      <c r="F1863" s="1287">
        <v>2133.13</v>
      </c>
      <c r="G1863" s="1286" t="s">
        <v>1863</v>
      </c>
      <c r="H1863" s="34" t="s">
        <v>925</v>
      </c>
    </row>
    <row r="1864" spans="1:8" ht="33">
      <c r="A1864" s="1289">
        <v>2</v>
      </c>
      <c r="B1864" s="1289" t="s">
        <v>1864</v>
      </c>
      <c r="C1864" s="1288" t="s">
        <v>1818</v>
      </c>
      <c r="D1864" s="1287">
        <v>1</v>
      </c>
      <c r="E1864" s="1287">
        <v>74.52</v>
      </c>
      <c r="F1864" s="1287">
        <v>74.52</v>
      </c>
      <c r="G1864" s="1286" t="s">
        <v>1865</v>
      </c>
      <c r="H1864" s="34" t="s">
        <v>925</v>
      </c>
    </row>
    <row r="1865" spans="1:8" ht="33">
      <c r="A1865" s="1289">
        <v>3</v>
      </c>
      <c r="B1865" s="1289" t="s">
        <v>931</v>
      </c>
      <c r="C1865" s="1288" t="s">
        <v>14</v>
      </c>
      <c r="D1865" s="1287">
        <v>1</v>
      </c>
      <c r="E1865" s="1287">
        <v>66.23</v>
      </c>
      <c r="F1865" s="1287">
        <v>66.23</v>
      </c>
      <c r="G1865" s="1286" t="s">
        <v>932</v>
      </c>
      <c r="H1865" s="34" t="s">
        <v>925</v>
      </c>
    </row>
    <row r="1866" spans="1:8" ht="33">
      <c r="A1866" s="1289"/>
      <c r="B1866" s="1289" t="s">
        <v>933</v>
      </c>
      <c r="C1866" s="1288" t="s">
        <v>1818</v>
      </c>
      <c r="D1866" s="1287">
        <v>1</v>
      </c>
      <c r="E1866" s="1287"/>
      <c r="F1866" s="1287">
        <v>2273.88</v>
      </c>
      <c r="G1866" s="1286"/>
      <c r="H1866" s="34" t="s">
        <v>925</v>
      </c>
    </row>
    <row r="1867" spans="1:8" ht="16.5">
      <c r="A1867" s="1289"/>
      <c r="B1867" s="1289" t="s">
        <v>934</v>
      </c>
      <c r="C1867" s="1288" t="s">
        <v>1818</v>
      </c>
      <c r="D1867" s="1287"/>
      <c r="E1867" s="1287"/>
      <c r="F1867" s="1287">
        <v>2273.88</v>
      </c>
      <c r="G1867" s="1286"/>
    </row>
    <row r="1868" spans="1:8" ht="33">
      <c r="A1868" s="1289"/>
      <c r="B1868" s="1289"/>
      <c r="C1868" s="1288"/>
      <c r="D1868" s="1287"/>
      <c r="E1868" s="1287"/>
      <c r="F1868" s="1287"/>
      <c r="G1868" s="1286"/>
      <c r="H1868" s="34" t="s">
        <v>925</v>
      </c>
    </row>
    <row r="1869" spans="1:8" ht="33">
      <c r="A1869" s="1289" t="s">
        <v>2063</v>
      </c>
      <c r="B1869" s="1289" t="s">
        <v>1867</v>
      </c>
      <c r="C1869" s="1288" t="s">
        <v>1818</v>
      </c>
      <c r="D1869" s="1287">
        <v>1</v>
      </c>
      <c r="E1869" s="1287">
        <v>2409.9699999999998</v>
      </c>
      <c r="F1869" s="1287"/>
      <c r="G1869" s="1286" t="s">
        <v>1868</v>
      </c>
      <c r="H1869" s="34" t="s">
        <v>925</v>
      </c>
    </row>
    <row r="1870" spans="1:8" ht="33">
      <c r="A1870" s="1289">
        <v>1</v>
      </c>
      <c r="B1870" s="1289" t="s">
        <v>1869</v>
      </c>
      <c r="C1870" s="1288" t="s">
        <v>1818</v>
      </c>
      <c r="D1870" s="1287">
        <v>1</v>
      </c>
      <c r="E1870" s="1287">
        <v>2260.3000000000002</v>
      </c>
      <c r="F1870" s="1287">
        <v>2260.3000000000002</v>
      </c>
      <c r="G1870" s="1286" t="s">
        <v>1870</v>
      </c>
      <c r="H1870" s="34" t="s">
        <v>925</v>
      </c>
    </row>
    <row r="1871" spans="1:8" ht="33">
      <c r="A1871" s="1289">
        <v>2</v>
      </c>
      <c r="B1871" s="1289" t="s">
        <v>1871</v>
      </c>
      <c r="C1871" s="1288" t="s">
        <v>1818</v>
      </c>
      <c r="D1871" s="1287">
        <v>1</v>
      </c>
      <c r="E1871" s="1287">
        <v>79.48</v>
      </c>
      <c r="F1871" s="1287">
        <v>79.48</v>
      </c>
      <c r="G1871" s="1286" t="s">
        <v>1872</v>
      </c>
      <c r="H1871" s="34" t="s">
        <v>925</v>
      </c>
    </row>
    <row r="1872" spans="1:8" ht="33">
      <c r="A1872" s="1289">
        <v>3</v>
      </c>
      <c r="B1872" s="1289" t="s">
        <v>931</v>
      </c>
      <c r="C1872" s="1288" t="s">
        <v>14</v>
      </c>
      <c r="D1872" s="1287">
        <v>1</v>
      </c>
      <c r="E1872" s="1287">
        <v>70.19</v>
      </c>
      <c r="F1872" s="1287">
        <v>70.19</v>
      </c>
      <c r="G1872" s="1286" t="s">
        <v>932</v>
      </c>
      <c r="H1872" s="34" t="s">
        <v>925</v>
      </c>
    </row>
    <row r="1873" spans="1:8" ht="33">
      <c r="A1873" s="1289"/>
      <c r="B1873" s="1289" t="s">
        <v>933</v>
      </c>
      <c r="C1873" s="1288" t="s">
        <v>1818</v>
      </c>
      <c r="D1873" s="1287">
        <v>1</v>
      </c>
      <c r="E1873" s="1287"/>
      <c r="F1873" s="1287">
        <v>2409.9700000000003</v>
      </c>
      <c r="G1873" s="1286"/>
      <c r="H1873" s="34" t="s">
        <v>925</v>
      </c>
    </row>
    <row r="1874" spans="1:8" ht="33">
      <c r="A1874" s="1289"/>
      <c r="B1874" s="1289" t="s">
        <v>934</v>
      </c>
      <c r="C1874" s="1288" t="s">
        <v>1818</v>
      </c>
      <c r="D1874" s="1287"/>
      <c r="E1874" s="1287"/>
      <c r="F1874" s="1287">
        <v>2409.9699999999998</v>
      </c>
      <c r="G1874" s="1286"/>
      <c r="H1874" s="34" t="s">
        <v>925</v>
      </c>
    </row>
    <row r="1875" spans="1:8" ht="16.5">
      <c r="A1875" s="1289"/>
      <c r="B1875" s="1289"/>
      <c r="C1875" s="1288"/>
      <c r="D1875" s="1287"/>
      <c r="E1875" s="1287"/>
      <c r="F1875" s="1287"/>
      <c r="G1875" s="1286"/>
    </row>
    <row r="1876" spans="1:8" ht="33">
      <c r="A1876" s="1289" t="s">
        <v>2068</v>
      </c>
      <c r="B1876" s="1289" t="s">
        <v>1874</v>
      </c>
      <c r="C1876" s="1288" t="s">
        <v>1875</v>
      </c>
      <c r="D1876" s="1287">
        <v>1</v>
      </c>
      <c r="E1876" s="1287">
        <v>857.57</v>
      </c>
      <c r="F1876" s="1287"/>
      <c r="G1876" s="1286" t="s">
        <v>1876</v>
      </c>
      <c r="H1876" s="34" t="s">
        <v>925</v>
      </c>
    </row>
    <row r="1877" spans="1:8" ht="33">
      <c r="A1877" s="1289">
        <v>1</v>
      </c>
      <c r="B1877" s="1289" t="s">
        <v>1877</v>
      </c>
      <c r="C1877" s="1288" t="s">
        <v>1875</v>
      </c>
      <c r="D1877" s="1287">
        <v>1</v>
      </c>
      <c r="E1877" s="1287">
        <v>758.07</v>
      </c>
      <c r="F1877" s="1287">
        <v>758.07</v>
      </c>
      <c r="G1877" s="1286" t="s">
        <v>1878</v>
      </c>
      <c r="H1877" s="34" t="s">
        <v>925</v>
      </c>
    </row>
    <row r="1878" spans="1:8" ht="33">
      <c r="A1878" s="1289">
        <v>2</v>
      </c>
      <c r="B1878" s="1289" t="s">
        <v>1879</v>
      </c>
      <c r="C1878" s="1288" t="s">
        <v>1875</v>
      </c>
      <c r="D1878" s="1287">
        <v>1</v>
      </c>
      <c r="E1878" s="1287">
        <v>74.52</v>
      </c>
      <c r="F1878" s="1287">
        <v>74.52</v>
      </c>
      <c r="G1878" s="1286" t="s">
        <v>1880</v>
      </c>
      <c r="H1878" s="34" t="s">
        <v>925</v>
      </c>
    </row>
    <row r="1879" spans="1:8" ht="33">
      <c r="A1879" s="1289">
        <v>3</v>
      </c>
      <c r="B1879" s="1289" t="s">
        <v>931</v>
      </c>
      <c r="C1879" s="1288" t="s">
        <v>14</v>
      </c>
      <c r="D1879" s="1287">
        <v>1</v>
      </c>
      <c r="E1879" s="1287">
        <v>24.98</v>
      </c>
      <c r="F1879" s="1287">
        <v>24.98</v>
      </c>
      <c r="G1879" s="1286" t="s">
        <v>932</v>
      </c>
      <c r="H1879" s="34" t="s">
        <v>925</v>
      </c>
    </row>
    <row r="1880" spans="1:8" ht="33">
      <c r="A1880" s="1289"/>
      <c r="B1880" s="1289" t="s">
        <v>933</v>
      </c>
      <c r="C1880" s="1288" t="s">
        <v>1875</v>
      </c>
      <c r="D1880" s="1287">
        <v>1</v>
      </c>
      <c r="E1880" s="1287"/>
      <c r="F1880" s="1287">
        <v>857.57</v>
      </c>
      <c r="G1880" s="1286"/>
      <c r="H1880" s="34" t="s">
        <v>925</v>
      </c>
    </row>
    <row r="1881" spans="1:8" ht="33">
      <c r="A1881" s="1289"/>
      <c r="B1881" s="1289" t="s">
        <v>934</v>
      </c>
      <c r="C1881" s="1288" t="s">
        <v>1875</v>
      </c>
      <c r="D1881" s="1287"/>
      <c r="E1881" s="1287"/>
      <c r="F1881" s="1287">
        <v>857.57</v>
      </c>
      <c r="G1881" s="1286"/>
      <c r="H1881" s="34" t="s">
        <v>925</v>
      </c>
    </row>
    <row r="1882" spans="1:8" ht="33">
      <c r="A1882" s="1289"/>
      <c r="B1882" s="1289"/>
      <c r="C1882" s="1288"/>
      <c r="D1882" s="1287"/>
      <c r="E1882" s="1287"/>
      <c r="F1882" s="1287"/>
      <c r="G1882" s="1286"/>
      <c r="H1882" s="34" t="s">
        <v>925</v>
      </c>
    </row>
    <row r="1883" spans="1:8" ht="28.5">
      <c r="A1883" s="1289" t="s">
        <v>2075</v>
      </c>
      <c r="B1883" s="1289" t="s">
        <v>1882</v>
      </c>
      <c r="C1883" s="1288" t="s">
        <v>1875</v>
      </c>
      <c r="D1883" s="1287">
        <v>1</v>
      </c>
      <c r="E1883" s="1287">
        <v>941.47</v>
      </c>
      <c r="F1883" s="1287"/>
      <c r="G1883" s="1286" t="s">
        <v>1883</v>
      </c>
    </row>
    <row r="1884" spans="1:8" ht="33">
      <c r="A1884" s="1289">
        <v>1</v>
      </c>
      <c r="B1884" s="1289" t="s">
        <v>1884</v>
      </c>
      <c r="C1884" s="1288" t="s">
        <v>1875</v>
      </c>
      <c r="D1884" s="1287">
        <v>1</v>
      </c>
      <c r="E1884" s="1287">
        <v>829.6</v>
      </c>
      <c r="F1884" s="1287">
        <v>829.6</v>
      </c>
      <c r="G1884" s="1286" t="s">
        <v>1885</v>
      </c>
      <c r="H1884" s="34" t="s">
        <v>925</v>
      </c>
    </row>
    <row r="1885" spans="1:8" ht="33">
      <c r="A1885" s="1289">
        <v>2</v>
      </c>
      <c r="B1885" s="1289" t="s">
        <v>1886</v>
      </c>
      <c r="C1885" s="1288" t="s">
        <v>1875</v>
      </c>
      <c r="D1885" s="1287">
        <v>1</v>
      </c>
      <c r="E1885" s="1287">
        <v>84.45</v>
      </c>
      <c r="F1885" s="1287">
        <v>84.45</v>
      </c>
      <c r="G1885" s="1286" t="s">
        <v>1887</v>
      </c>
      <c r="H1885" s="34" t="s">
        <v>925</v>
      </c>
    </row>
    <row r="1886" spans="1:8" ht="33">
      <c r="A1886" s="1289">
        <v>3</v>
      </c>
      <c r="B1886" s="1289" t="s">
        <v>931</v>
      </c>
      <c r="C1886" s="1288" t="s">
        <v>14</v>
      </c>
      <c r="D1886" s="1287">
        <v>1</v>
      </c>
      <c r="E1886" s="1287">
        <v>27.42</v>
      </c>
      <c r="F1886" s="1287">
        <v>27.42</v>
      </c>
      <c r="G1886" s="1286" t="s">
        <v>932</v>
      </c>
      <c r="H1886" s="34" t="s">
        <v>925</v>
      </c>
    </row>
    <row r="1887" spans="1:8" ht="33">
      <c r="A1887" s="1289"/>
      <c r="B1887" s="1289" t="s">
        <v>933</v>
      </c>
      <c r="C1887" s="1288" t="s">
        <v>1875</v>
      </c>
      <c r="D1887" s="1287">
        <v>1</v>
      </c>
      <c r="E1887" s="1287"/>
      <c r="F1887" s="1287">
        <v>941.47</v>
      </c>
      <c r="G1887" s="1286"/>
      <c r="H1887" s="34" t="s">
        <v>925</v>
      </c>
    </row>
    <row r="1888" spans="1:8" ht="33">
      <c r="A1888" s="1289"/>
      <c r="B1888" s="1289" t="s">
        <v>934</v>
      </c>
      <c r="C1888" s="1288" t="s">
        <v>1875</v>
      </c>
      <c r="D1888" s="1287"/>
      <c r="E1888" s="1287"/>
      <c r="F1888" s="1287">
        <v>941.47</v>
      </c>
      <c r="G1888" s="1286"/>
      <c r="H1888" s="34" t="s">
        <v>925</v>
      </c>
    </row>
    <row r="1889" spans="1:8" ht="33">
      <c r="A1889" s="1289"/>
      <c r="B1889" s="1289"/>
      <c r="C1889" s="1288"/>
      <c r="D1889" s="1287"/>
      <c r="E1889" s="1287"/>
      <c r="F1889" s="1287"/>
      <c r="G1889" s="1286"/>
      <c r="H1889" s="34" t="s">
        <v>925</v>
      </c>
    </row>
    <row r="1890" spans="1:8" ht="33">
      <c r="A1890" s="1289" t="s">
        <v>2082</v>
      </c>
      <c r="B1890" s="1289" t="s">
        <v>1889</v>
      </c>
      <c r="C1890" s="1288" t="s">
        <v>1875</v>
      </c>
      <c r="D1890" s="1287">
        <v>1</v>
      </c>
      <c r="E1890" s="1287">
        <v>1057.1199999999999</v>
      </c>
      <c r="F1890" s="1287"/>
      <c r="G1890" s="1286" t="s">
        <v>1890</v>
      </c>
      <c r="H1890" s="34" t="s">
        <v>925</v>
      </c>
    </row>
    <row r="1891" spans="1:8" ht="28.5">
      <c r="A1891" s="1289">
        <v>1</v>
      </c>
      <c r="B1891" s="1289" t="s">
        <v>1891</v>
      </c>
      <c r="C1891" s="1288" t="s">
        <v>1875</v>
      </c>
      <c r="D1891" s="1287">
        <v>1</v>
      </c>
      <c r="E1891" s="1287">
        <v>931.94</v>
      </c>
      <c r="F1891" s="1287">
        <v>931.94</v>
      </c>
      <c r="G1891" s="1286" t="s">
        <v>1892</v>
      </c>
    </row>
    <row r="1892" spans="1:8" ht="33">
      <c r="A1892" s="1289">
        <v>2</v>
      </c>
      <c r="B1892" s="1289" t="s">
        <v>1893</v>
      </c>
      <c r="C1892" s="1288" t="s">
        <v>1875</v>
      </c>
      <c r="D1892" s="1287">
        <v>1</v>
      </c>
      <c r="E1892" s="1287">
        <v>94.39</v>
      </c>
      <c r="F1892" s="1287">
        <v>94.39</v>
      </c>
      <c r="G1892" s="1286" t="s">
        <v>1894</v>
      </c>
      <c r="H1892" s="34" t="s">
        <v>925</v>
      </c>
    </row>
    <row r="1893" spans="1:8" ht="33">
      <c r="A1893" s="1289">
        <v>3</v>
      </c>
      <c r="B1893" s="1289" t="s">
        <v>931</v>
      </c>
      <c r="C1893" s="1288" t="s">
        <v>14</v>
      </c>
      <c r="D1893" s="1287">
        <v>1</v>
      </c>
      <c r="E1893" s="1287">
        <v>30.79</v>
      </c>
      <c r="F1893" s="1287">
        <v>30.79</v>
      </c>
      <c r="G1893" s="1286" t="s">
        <v>932</v>
      </c>
      <c r="H1893" s="34" t="s">
        <v>925</v>
      </c>
    </row>
    <row r="1894" spans="1:8" ht="33">
      <c r="A1894" s="1289"/>
      <c r="B1894" s="1289" t="s">
        <v>933</v>
      </c>
      <c r="C1894" s="1288" t="s">
        <v>1875</v>
      </c>
      <c r="D1894" s="1287">
        <v>1</v>
      </c>
      <c r="E1894" s="1287"/>
      <c r="F1894" s="1287">
        <v>1057.1200000000001</v>
      </c>
      <c r="G1894" s="1286"/>
      <c r="H1894" s="34" t="s">
        <v>925</v>
      </c>
    </row>
    <row r="1895" spans="1:8" ht="33">
      <c r="A1895" s="1289"/>
      <c r="B1895" s="1289" t="s">
        <v>934</v>
      </c>
      <c r="C1895" s="1288" t="s">
        <v>1875</v>
      </c>
      <c r="D1895" s="1287"/>
      <c r="E1895" s="1287"/>
      <c r="F1895" s="1287">
        <v>1057.1199999999999</v>
      </c>
      <c r="G1895" s="1286"/>
      <c r="H1895" s="34" t="s">
        <v>925</v>
      </c>
    </row>
    <row r="1896" spans="1:8" ht="33">
      <c r="A1896" s="1289"/>
      <c r="B1896" s="1289"/>
      <c r="C1896" s="1288"/>
      <c r="D1896" s="1287"/>
      <c r="E1896" s="1287"/>
      <c r="F1896" s="1287"/>
      <c r="G1896" s="1286"/>
      <c r="H1896" s="34" t="s">
        <v>925</v>
      </c>
    </row>
    <row r="1897" spans="1:8" ht="33">
      <c r="A1897" s="1289" t="s">
        <v>2089</v>
      </c>
      <c r="B1897" s="1289" t="s">
        <v>1896</v>
      </c>
      <c r="C1897" s="1288" t="s">
        <v>1875</v>
      </c>
      <c r="D1897" s="1287">
        <v>1</v>
      </c>
      <c r="E1897" s="1287">
        <v>1141.02</v>
      </c>
      <c r="F1897" s="1287"/>
      <c r="G1897" s="1286" t="s">
        <v>1897</v>
      </c>
      <c r="H1897" s="34" t="s">
        <v>925</v>
      </c>
    </row>
    <row r="1898" spans="1:8" ht="33">
      <c r="A1898" s="1289">
        <v>1</v>
      </c>
      <c r="B1898" s="1289" t="s">
        <v>1898</v>
      </c>
      <c r="C1898" s="1288" t="s">
        <v>1875</v>
      </c>
      <c r="D1898" s="1287">
        <v>1</v>
      </c>
      <c r="E1898" s="1287">
        <v>1003.47</v>
      </c>
      <c r="F1898" s="1287">
        <v>1003.47</v>
      </c>
      <c r="G1898" s="1286" t="s">
        <v>1899</v>
      </c>
      <c r="H1898" s="34" t="s">
        <v>925</v>
      </c>
    </row>
    <row r="1899" spans="1:8" ht="28.5">
      <c r="A1899" s="1289">
        <v>2</v>
      </c>
      <c r="B1899" s="1289" t="s">
        <v>1900</v>
      </c>
      <c r="C1899" s="1288" t="s">
        <v>1875</v>
      </c>
      <c r="D1899" s="1287">
        <v>1</v>
      </c>
      <c r="E1899" s="1287">
        <v>104.32</v>
      </c>
      <c r="F1899" s="1287">
        <v>104.32</v>
      </c>
      <c r="G1899" s="1286" t="s">
        <v>1901</v>
      </c>
    </row>
    <row r="1900" spans="1:8" ht="33">
      <c r="A1900" s="1289">
        <v>3</v>
      </c>
      <c r="B1900" s="1289" t="s">
        <v>931</v>
      </c>
      <c r="C1900" s="1288" t="s">
        <v>14</v>
      </c>
      <c r="D1900" s="1287">
        <v>1</v>
      </c>
      <c r="E1900" s="1287">
        <v>33.229999999999997</v>
      </c>
      <c r="F1900" s="1287">
        <v>33.229999999999997</v>
      </c>
      <c r="G1900" s="1286" t="s">
        <v>932</v>
      </c>
      <c r="H1900" s="34" t="s">
        <v>925</v>
      </c>
    </row>
    <row r="1901" spans="1:8" ht="33">
      <c r="A1901" s="1289"/>
      <c r="B1901" s="1289" t="s">
        <v>933</v>
      </c>
      <c r="C1901" s="1288" t="s">
        <v>1875</v>
      </c>
      <c r="D1901" s="1287">
        <v>1</v>
      </c>
      <c r="E1901" s="1287"/>
      <c r="F1901" s="1287">
        <v>1141.02</v>
      </c>
      <c r="G1901" s="1286"/>
      <c r="H1901" s="34" t="s">
        <v>925</v>
      </c>
    </row>
    <row r="1902" spans="1:8" ht="33">
      <c r="A1902" s="1289"/>
      <c r="B1902" s="1289" t="s">
        <v>934</v>
      </c>
      <c r="C1902" s="1288" t="s">
        <v>1875</v>
      </c>
      <c r="D1902" s="1287"/>
      <c r="E1902" s="1287"/>
      <c r="F1902" s="1287">
        <v>1141.02</v>
      </c>
      <c r="G1902" s="1286"/>
      <c r="H1902" s="34" t="s">
        <v>925</v>
      </c>
    </row>
    <row r="1903" spans="1:8" ht="33">
      <c r="A1903" s="1289"/>
      <c r="B1903" s="1289"/>
      <c r="C1903" s="1288"/>
      <c r="D1903" s="1287"/>
      <c r="E1903" s="1287"/>
      <c r="F1903" s="1287"/>
      <c r="G1903" s="1286"/>
      <c r="H1903" s="34" t="s">
        <v>925</v>
      </c>
    </row>
    <row r="1904" spans="1:8" ht="33">
      <c r="A1904" s="1289" t="s">
        <v>2096</v>
      </c>
      <c r="B1904" s="1289" t="s">
        <v>1903</v>
      </c>
      <c r="C1904" s="1288" t="s">
        <v>1875</v>
      </c>
      <c r="D1904" s="1287">
        <v>1</v>
      </c>
      <c r="E1904" s="1287">
        <v>2056.92</v>
      </c>
      <c r="F1904" s="1287"/>
      <c r="G1904" s="1286" t="s">
        <v>1904</v>
      </c>
      <c r="H1904" s="34" t="s">
        <v>925</v>
      </c>
    </row>
    <row r="1905" spans="1:8" ht="33">
      <c r="A1905" s="1289">
        <v>1</v>
      </c>
      <c r="B1905" s="1289" t="s">
        <v>1905</v>
      </c>
      <c r="C1905" s="1288" t="s">
        <v>1875</v>
      </c>
      <c r="D1905" s="1287">
        <v>1</v>
      </c>
      <c r="E1905" s="1287">
        <v>1798.3</v>
      </c>
      <c r="F1905" s="1287">
        <v>1798.3</v>
      </c>
      <c r="G1905" s="1286" t="s">
        <v>1906</v>
      </c>
      <c r="H1905" s="34" t="s">
        <v>925</v>
      </c>
    </row>
    <row r="1906" spans="1:8" ht="33">
      <c r="A1906" s="1289">
        <v>2</v>
      </c>
      <c r="B1906" s="1289" t="s">
        <v>1907</v>
      </c>
      <c r="C1906" s="1288" t="s">
        <v>1875</v>
      </c>
      <c r="D1906" s="1287">
        <v>1</v>
      </c>
      <c r="E1906" s="1287">
        <v>198.71</v>
      </c>
      <c r="F1906" s="1287">
        <v>198.71</v>
      </c>
      <c r="G1906" s="1286" t="s">
        <v>1908</v>
      </c>
      <c r="H1906" s="34" t="s">
        <v>925</v>
      </c>
    </row>
    <row r="1907" spans="1:8" ht="33">
      <c r="A1907" s="1289">
        <v>3</v>
      </c>
      <c r="B1907" s="1289" t="s">
        <v>931</v>
      </c>
      <c r="C1907" s="1288" t="s">
        <v>14</v>
      </c>
      <c r="D1907" s="1287">
        <v>1</v>
      </c>
      <c r="E1907" s="1287">
        <v>59.91</v>
      </c>
      <c r="F1907" s="1287">
        <v>59.91</v>
      </c>
      <c r="G1907" s="1286" t="s">
        <v>932</v>
      </c>
      <c r="H1907" s="34" t="s">
        <v>925</v>
      </c>
    </row>
    <row r="1908" spans="1:8" ht="16.5">
      <c r="A1908" s="1289"/>
      <c r="B1908" s="1289" t="s">
        <v>933</v>
      </c>
      <c r="C1908" s="1288" t="s">
        <v>1875</v>
      </c>
      <c r="D1908" s="1287">
        <v>1</v>
      </c>
      <c r="E1908" s="1287"/>
      <c r="F1908" s="1287">
        <v>2056.92</v>
      </c>
      <c r="G1908" s="1286"/>
    </row>
    <row r="1909" spans="1:8" ht="33">
      <c r="A1909" s="1289"/>
      <c r="B1909" s="1289" t="s">
        <v>934</v>
      </c>
      <c r="C1909" s="1288" t="s">
        <v>1875</v>
      </c>
      <c r="D1909" s="1287"/>
      <c r="E1909" s="1287"/>
      <c r="F1909" s="1287">
        <v>2056.92</v>
      </c>
      <c r="G1909" s="1286"/>
      <c r="H1909" s="34" t="s">
        <v>925</v>
      </c>
    </row>
    <row r="1910" spans="1:8" ht="33">
      <c r="A1910" s="1289"/>
      <c r="B1910" s="1289"/>
      <c r="C1910" s="1288"/>
      <c r="D1910" s="1287"/>
      <c r="E1910" s="1287"/>
      <c r="F1910" s="1287"/>
      <c r="G1910" s="1286"/>
      <c r="H1910" s="34" t="s">
        <v>925</v>
      </c>
    </row>
    <row r="1911" spans="1:8" ht="33">
      <c r="A1911" s="1289" t="s">
        <v>2101</v>
      </c>
      <c r="B1911" s="1289" t="s">
        <v>1910</v>
      </c>
      <c r="C1911" s="1288" t="s">
        <v>1875</v>
      </c>
      <c r="D1911" s="1287">
        <v>1</v>
      </c>
      <c r="E1911" s="1287">
        <v>3863.13</v>
      </c>
      <c r="F1911" s="1287"/>
      <c r="G1911" s="1286" t="s">
        <v>1911</v>
      </c>
      <c r="H1911" s="34" t="s">
        <v>925</v>
      </c>
    </row>
    <row r="1912" spans="1:8" ht="33">
      <c r="A1912" s="1289">
        <v>1</v>
      </c>
      <c r="B1912" s="1289" t="s">
        <v>1912</v>
      </c>
      <c r="C1912" s="1288" t="s">
        <v>1875</v>
      </c>
      <c r="D1912" s="1287">
        <v>1</v>
      </c>
      <c r="E1912" s="1287">
        <v>3616.48</v>
      </c>
      <c r="F1912" s="1287">
        <v>3616.48</v>
      </c>
      <c r="G1912" s="1286" t="s">
        <v>1913</v>
      </c>
      <c r="H1912" s="34" t="s">
        <v>925</v>
      </c>
    </row>
    <row r="1913" spans="1:8" ht="33">
      <c r="A1913" s="1289">
        <v>2</v>
      </c>
      <c r="B1913" s="1289" t="s">
        <v>1914</v>
      </c>
      <c r="C1913" s="1288" t="s">
        <v>1875</v>
      </c>
      <c r="D1913" s="1287">
        <v>1</v>
      </c>
      <c r="E1913" s="1287">
        <v>134.13</v>
      </c>
      <c r="F1913" s="1287">
        <v>134.13</v>
      </c>
      <c r="G1913" s="1286" t="s">
        <v>1915</v>
      </c>
      <c r="H1913" s="34" t="s">
        <v>925</v>
      </c>
    </row>
    <row r="1914" spans="1:8" ht="33">
      <c r="A1914" s="1289">
        <v>3</v>
      </c>
      <c r="B1914" s="1289" t="s">
        <v>931</v>
      </c>
      <c r="C1914" s="1288" t="s">
        <v>14</v>
      </c>
      <c r="D1914" s="1287">
        <v>1</v>
      </c>
      <c r="E1914" s="1287">
        <v>112.52</v>
      </c>
      <c r="F1914" s="1287">
        <v>112.52</v>
      </c>
      <c r="G1914" s="1286" t="s">
        <v>932</v>
      </c>
      <c r="H1914" s="34" t="s">
        <v>925</v>
      </c>
    </row>
    <row r="1915" spans="1:8" ht="33">
      <c r="A1915" s="1289"/>
      <c r="B1915" s="1289" t="s">
        <v>933</v>
      </c>
      <c r="C1915" s="1288" t="s">
        <v>1875</v>
      </c>
      <c r="D1915" s="1287">
        <v>1</v>
      </c>
      <c r="E1915" s="1287"/>
      <c r="F1915" s="1287">
        <v>3863.13</v>
      </c>
      <c r="G1915" s="1286"/>
      <c r="H1915" s="34" t="s">
        <v>925</v>
      </c>
    </row>
    <row r="1916" spans="1:8" ht="33">
      <c r="A1916" s="1289"/>
      <c r="B1916" s="1289" t="s">
        <v>934</v>
      </c>
      <c r="C1916" s="1288" t="s">
        <v>1875</v>
      </c>
      <c r="D1916" s="1287"/>
      <c r="E1916" s="1287"/>
      <c r="F1916" s="1287">
        <v>3863.13</v>
      </c>
      <c r="G1916" s="1286"/>
      <c r="H1916" s="34" t="s">
        <v>925</v>
      </c>
    </row>
    <row r="1917" spans="1:8" ht="16.5">
      <c r="A1917" s="1289"/>
      <c r="B1917" s="1289"/>
      <c r="C1917" s="1288"/>
      <c r="D1917" s="1287"/>
      <c r="E1917" s="1287"/>
      <c r="F1917" s="1287"/>
      <c r="G1917" s="1286"/>
    </row>
    <row r="1918" spans="1:8" ht="33">
      <c r="A1918" s="1289" t="s">
        <v>2111</v>
      </c>
      <c r="B1918" s="1289" t="s">
        <v>1917</v>
      </c>
      <c r="C1918" s="1288" t="s">
        <v>1875</v>
      </c>
      <c r="D1918" s="1287">
        <v>1</v>
      </c>
      <c r="E1918" s="1287">
        <v>4487.3599999999997</v>
      </c>
      <c r="F1918" s="1287"/>
      <c r="G1918" s="1286" t="s">
        <v>1918</v>
      </c>
      <c r="H1918" s="34" t="s">
        <v>925</v>
      </c>
    </row>
    <row r="1919" spans="1:8" ht="33">
      <c r="A1919" s="1289">
        <v>1</v>
      </c>
      <c r="B1919" s="1289" t="s">
        <v>1919</v>
      </c>
      <c r="C1919" s="1288" t="s">
        <v>1875</v>
      </c>
      <c r="D1919" s="1287">
        <v>1</v>
      </c>
      <c r="E1919" s="1287">
        <v>4212.6000000000004</v>
      </c>
      <c r="F1919" s="1287">
        <v>4212.6000000000004</v>
      </c>
      <c r="G1919" s="1286" t="s">
        <v>1920</v>
      </c>
      <c r="H1919" s="34" t="s">
        <v>925</v>
      </c>
    </row>
    <row r="1920" spans="1:8" ht="33">
      <c r="A1920" s="1289">
        <v>2</v>
      </c>
      <c r="B1920" s="1289" t="s">
        <v>1921</v>
      </c>
      <c r="C1920" s="1288" t="s">
        <v>1875</v>
      </c>
      <c r="D1920" s="1287">
        <v>1</v>
      </c>
      <c r="E1920" s="1287">
        <v>144.06</v>
      </c>
      <c r="F1920" s="1287">
        <v>144.06</v>
      </c>
      <c r="G1920" s="1286" t="s">
        <v>1922</v>
      </c>
      <c r="H1920" s="34" t="s">
        <v>925</v>
      </c>
    </row>
    <row r="1921" spans="1:8" ht="33">
      <c r="A1921" s="1289">
        <v>3</v>
      </c>
      <c r="B1921" s="1289" t="s">
        <v>931</v>
      </c>
      <c r="C1921" s="1288" t="s">
        <v>14</v>
      </c>
      <c r="D1921" s="1287">
        <v>1</v>
      </c>
      <c r="E1921" s="1287">
        <v>130.69999999999999</v>
      </c>
      <c r="F1921" s="1287">
        <v>130.69999999999999</v>
      </c>
      <c r="G1921" s="1286" t="s">
        <v>932</v>
      </c>
      <c r="H1921" s="34" t="s">
        <v>925</v>
      </c>
    </row>
    <row r="1922" spans="1:8" ht="33">
      <c r="A1922" s="1289"/>
      <c r="B1922" s="1289" t="s">
        <v>933</v>
      </c>
      <c r="C1922" s="1288" t="s">
        <v>1875</v>
      </c>
      <c r="D1922" s="1287">
        <v>1</v>
      </c>
      <c r="E1922" s="1287"/>
      <c r="F1922" s="1287">
        <v>4487.3600000000006</v>
      </c>
      <c r="G1922" s="1286"/>
      <c r="H1922" s="34" t="s">
        <v>925</v>
      </c>
    </row>
    <row r="1923" spans="1:8" ht="33">
      <c r="A1923" s="1289"/>
      <c r="B1923" s="1289" t="s">
        <v>934</v>
      </c>
      <c r="C1923" s="1288" t="s">
        <v>1875</v>
      </c>
      <c r="D1923" s="1287"/>
      <c r="E1923" s="1287"/>
      <c r="F1923" s="1287">
        <v>4487.3599999999997</v>
      </c>
      <c r="G1923" s="1286"/>
      <c r="H1923" s="34" t="s">
        <v>925</v>
      </c>
    </row>
    <row r="1924" spans="1:8" ht="33">
      <c r="A1924" s="1289"/>
      <c r="B1924" s="1289"/>
      <c r="C1924" s="1288"/>
      <c r="D1924" s="1287"/>
      <c r="E1924" s="1287"/>
      <c r="F1924" s="1287"/>
      <c r="G1924" s="1286"/>
      <c r="H1924" s="34" t="s">
        <v>925</v>
      </c>
    </row>
    <row r="1925" spans="1:8" ht="33">
      <c r="A1925" s="1289" t="s">
        <v>2114</v>
      </c>
      <c r="B1925" s="1289" t="s">
        <v>1924</v>
      </c>
      <c r="C1925" s="1288" t="s">
        <v>1875</v>
      </c>
      <c r="D1925" s="1287">
        <v>1</v>
      </c>
      <c r="E1925" s="1287">
        <v>5705.14</v>
      </c>
      <c r="F1925" s="1287"/>
      <c r="G1925" s="1286" t="s">
        <v>1925</v>
      </c>
      <c r="H1925" s="34" t="s">
        <v>925</v>
      </c>
    </row>
    <row r="1926" spans="1:8" ht="28.5">
      <c r="A1926" s="1289">
        <v>1</v>
      </c>
      <c r="B1926" s="1289" t="s">
        <v>1926</v>
      </c>
      <c r="C1926" s="1288" t="s">
        <v>1875</v>
      </c>
      <c r="D1926" s="1287">
        <v>1</v>
      </c>
      <c r="E1926" s="1287">
        <v>5375.04</v>
      </c>
      <c r="F1926" s="1287">
        <v>5375.04</v>
      </c>
      <c r="G1926" s="1286" t="s">
        <v>1927</v>
      </c>
    </row>
    <row r="1927" spans="1:8" ht="33">
      <c r="A1927" s="1289">
        <v>2</v>
      </c>
      <c r="B1927" s="1289" t="s">
        <v>1928</v>
      </c>
      <c r="C1927" s="1288" t="s">
        <v>1875</v>
      </c>
      <c r="D1927" s="1287">
        <v>1</v>
      </c>
      <c r="E1927" s="1287">
        <v>163.93</v>
      </c>
      <c r="F1927" s="1287">
        <v>163.93</v>
      </c>
      <c r="G1927" s="1286" t="s">
        <v>1929</v>
      </c>
      <c r="H1927" s="34" t="s">
        <v>925</v>
      </c>
    </row>
    <row r="1928" spans="1:8" ht="33">
      <c r="A1928" s="1289">
        <v>3</v>
      </c>
      <c r="B1928" s="1289" t="s">
        <v>931</v>
      </c>
      <c r="C1928" s="1288" t="s">
        <v>14</v>
      </c>
      <c r="D1928" s="1287">
        <v>1</v>
      </c>
      <c r="E1928" s="1287">
        <v>166.17</v>
      </c>
      <c r="F1928" s="1287">
        <v>166.17</v>
      </c>
      <c r="G1928" s="1286" t="s">
        <v>932</v>
      </c>
      <c r="H1928" s="34" t="s">
        <v>925</v>
      </c>
    </row>
    <row r="1929" spans="1:8" ht="33">
      <c r="A1929" s="1289"/>
      <c r="B1929" s="1289" t="s">
        <v>933</v>
      </c>
      <c r="C1929" s="1288" t="s">
        <v>1875</v>
      </c>
      <c r="D1929" s="1287">
        <v>1</v>
      </c>
      <c r="E1929" s="1287"/>
      <c r="F1929" s="1287">
        <v>5705.14</v>
      </c>
      <c r="G1929" s="1286"/>
      <c r="H1929" s="34" t="s">
        <v>925</v>
      </c>
    </row>
    <row r="1930" spans="1:8" ht="33">
      <c r="A1930" s="1289"/>
      <c r="B1930" s="1289" t="s">
        <v>934</v>
      </c>
      <c r="C1930" s="1288" t="s">
        <v>1875</v>
      </c>
      <c r="D1930" s="1287"/>
      <c r="E1930" s="1287"/>
      <c r="F1930" s="1287">
        <v>5705.14</v>
      </c>
      <c r="G1930" s="1286"/>
      <c r="H1930" s="34" t="s">
        <v>925</v>
      </c>
    </row>
    <row r="1931" spans="1:8" ht="33">
      <c r="A1931" s="1289"/>
      <c r="B1931" s="1289"/>
      <c r="C1931" s="1288"/>
      <c r="D1931" s="1287"/>
      <c r="E1931" s="1287"/>
      <c r="F1931" s="1287"/>
      <c r="G1931" s="1286"/>
      <c r="H1931" s="34" t="s">
        <v>925</v>
      </c>
    </row>
    <row r="1932" spans="1:8" ht="33">
      <c r="A1932" s="1289" t="s">
        <v>2123</v>
      </c>
      <c r="B1932" s="1289" t="s">
        <v>1931</v>
      </c>
      <c r="C1932" s="1288" t="s">
        <v>1875</v>
      </c>
      <c r="D1932" s="1287">
        <v>1</v>
      </c>
      <c r="E1932" s="1287">
        <v>5091.1400000000003</v>
      </c>
      <c r="F1932" s="1287"/>
      <c r="G1932" s="1286" t="s">
        <v>1932</v>
      </c>
      <c r="H1932" s="34" t="s">
        <v>925</v>
      </c>
    </row>
    <row r="1933" spans="1:8" ht="33">
      <c r="A1933" s="1289">
        <v>1</v>
      </c>
      <c r="B1933" s="1289" t="s">
        <v>1933</v>
      </c>
      <c r="C1933" s="1288" t="s">
        <v>1875</v>
      </c>
      <c r="D1933" s="1287">
        <v>1</v>
      </c>
      <c r="E1933" s="1287">
        <v>4788.8500000000004</v>
      </c>
      <c r="F1933" s="1287">
        <v>4788.8500000000004</v>
      </c>
      <c r="G1933" s="1286" t="s">
        <v>1934</v>
      </c>
      <c r="H1933" s="34" t="s">
        <v>925</v>
      </c>
    </row>
    <row r="1934" spans="1:8" ht="28.5">
      <c r="A1934" s="1289">
        <v>2</v>
      </c>
      <c r="B1934" s="1289" t="s">
        <v>1935</v>
      </c>
      <c r="C1934" s="1288" t="s">
        <v>1875</v>
      </c>
      <c r="D1934" s="1287">
        <v>1</v>
      </c>
      <c r="E1934" s="1287">
        <v>154</v>
      </c>
      <c r="F1934" s="1287">
        <v>154</v>
      </c>
      <c r="G1934" s="1286" t="s">
        <v>1936</v>
      </c>
    </row>
    <row r="1935" spans="1:8" ht="33">
      <c r="A1935" s="1289">
        <v>3</v>
      </c>
      <c r="B1935" s="1289" t="s">
        <v>931</v>
      </c>
      <c r="C1935" s="1288" t="s">
        <v>14</v>
      </c>
      <c r="D1935" s="1287">
        <v>1</v>
      </c>
      <c r="E1935" s="1287">
        <v>148.29</v>
      </c>
      <c r="F1935" s="1287">
        <v>148.29</v>
      </c>
      <c r="G1935" s="1286" t="s">
        <v>932</v>
      </c>
      <c r="H1935" s="34" t="s">
        <v>925</v>
      </c>
    </row>
    <row r="1936" spans="1:8" ht="33">
      <c r="A1936" s="1289"/>
      <c r="B1936" s="1289" t="s">
        <v>933</v>
      </c>
      <c r="C1936" s="1288" t="s">
        <v>1875</v>
      </c>
      <c r="D1936" s="1287">
        <v>1</v>
      </c>
      <c r="E1936" s="1287"/>
      <c r="F1936" s="1287">
        <v>5091.1400000000003</v>
      </c>
      <c r="G1936" s="1286"/>
      <c r="H1936" s="34" t="s">
        <v>925</v>
      </c>
    </row>
    <row r="1937" spans="1:8" ht="33">
      <c r="A1937" s="1289"/>
      <c r="B1937" s="1289" t="s">
        <v>934</v>
      </c>
      <c r="C1937" s="1288" t="s">
        <v>1875</v>
      </c>
      <c r="D1937" s="1287"/>
      <c r="E1937" s="1287"/>
      <c r="F1937" s="1287">
        <v>5091.1400000000003</v>
      </c>
      <c r="G1937" s="1286"/>
      <c r="H1937" s="34" t="s">
        <v>925</v>
      </c>
    </row>
    <row r="1938" spans="1:8" ht="33">
      <c r="A1938" s="1289"/>
      <c r="B1938" s="1289"/>
      <c r="C1938" s="1288"/>
      <c r="D1938" s="1287"/>
      <c r="E1938" s="1287"/>
      <c r="F1938" s="1287"/>
      <c r="G1938" s="1286"/>
      <c r="H1938" s="34" t="s">
        <v>925</v>
      </c>
    </row>
    <row r="1939" spans="1:8" ht="42.75">
      <c r="A1939" s="1289" t="s">
        <v>2128</v>
      </c>
      <c r="B1939" s="1289" t="s">
        <v>1938</v>
      </c>
      <c r="C1939" s="1288" t="s">
        <v>1875</v>
      </c>
      <c r="D1939" s="1287">
        <v>1</v>
      </c>
      <c r="E1939" s="1287">
        <v>2236.0100000000002</v>
      </c>
      <c r="F1939" s="1287"/>
      <c r="G1939" s="1286" t="s">
        <v>1939</v>
      </c>
      <c r="H1939" s="34" t="s">
        <v>925</v>
      </c>
    </row>
    <row r="1940" spans="1:8" ht="33">
      <c r="A1940" s="1289">
        <v>1</v>
      </c>
      <c r="B1940" s="1289" t="s">
        <v>1940</v>
      </c>
      <c r="C1940" s="1288" t="s">
        <v>1875</v>
      </c>
      <c r="D1940" s="1287">
        <v>1</v>
      </c>
      <c r="E1940" s="1287">
        <v>1977.14</v>
      </c>
      <c r="F1940" s="1287">
        <v>1977.14</v>
      </c>
      <c r="G1940" s="1286" t="s">
        <v>1941</v>
      </c>
      <c r="H1940" s="34" t="s">
        <v>925</v>
      </c>
    </row>
    <row r="1941" spans="1:8" ht="33">
      <c r="A1941" s="1289">
        <v>2</v>
      </c>
      <c r="B1941" s="1289" t="s">
        <v>1942</v>
      </c>
      <c r="C1941" s="1288" t="s">
        <v>1875</v>
      </c>
      <c r="D1941" s="1287">
        <v>1</v>
      </c>
      <c r="E1941" s="1287">
        <v>193.74</v>
      </c>
      <c r="F1941" s="1287">
        <v>193.74</v>
      </c>
      <c r="G1941" s="1286" t="s">
        <v>1943</v>
      </c>
      <c r="H1941" s="34" t="s">
        <v>925</v>
      </c>
    </row>
    <row r="1942" spans="1:8" ht="33">
      <c r="A1942" s="1289">
        <v>3</v>
      </c>
      <c r="B1942" s="1289" t="s">
        <v>931</v>
      </c>
      <c r="C1942" s="1288" t="s">
        <v>14</v>
      </c>
      <c r="D1942" s="1287">
        <v>1</v>
      </c>
      <c r="E1942" s="1287">
        <v>65.13</v>
      </c>
      <c r="F1942" s="1287">
        <v>65.13</v>
      </c>
      <c r="G1942" s="1286" t="s">
        <v>932</v>
      </c>
      <c r="H1942" s="34" t="s">
        <v>925</v>
      </c>
    </row>
    <row r="1943" spans="1:8" ht="33">
      <c r="A1943" s="1289"/>
      <c r="B1943" s="1289" t="s">
        <v>933</v>
      </c>
      <c r="C1943" s="1288" t="s">
        <v>1875</v>
      </c>
      <c r="D1943" s="1287">
        <v>1</v>
      </c>
      <c r="E1943" s="1287"/>
      <c r="F1943" s="1287">
        <v>2236.0100000000002</v>
      </c>
      <c r="G1943" s="1286"/>
      <c r="H1943" s="34" t="s">
        <v>925</v>
      </c>
    </row>
    <row r="1944" spans="1:8" ht="16.5">
      <c r="A1944" s="1289"/>
      <c r="B1944" s="1289" t="s">
        <v>934</v>
      </c>
      <c r="C1944" s="1288" t="s">
        <v>1875</v>
      </c>
      <c r="D1944" s="1287"/>
      <c r="E1944" s="1287"/>
      <c r="F1944" s="1287">
        <v>2236.0100000000002</v>
      </c>
      <c r="G1944" s="1286"/>
    </row>
    <row r="1945" spans="1:8" ht="33">
      <c r="A1945" s="1289"/>
      <c r="B1945" s="1289"/>
      <c r="C1945" s="1288"/>
      <c r="D1945" s="1287"/>
      <c r="E1945" s="1287"/>
      <c r="F1945" s="1287"/>
      <c r="G1945" s="1286"/>
      <c r="H1945" s="34" t="s">
        <v>925</v>
      </c>
    </row>
    <row r="1946" spans="1:8" ht="42.75">
      <c r="A1946" s="1289" t="s">
        <v>2133</v>
      </c>
      <c r="B1946" s="1289" t="s">
        <v>1945</v>
      </c>
      <c r="C1946" s="1288" t="s">
        <v>1875</v>
      </c>
      <c r="D1946" s="1287">
        <v>1</v>
      </c>
      <c r="E1946" s="1287">
        <v>2461.14</v>
      </c>
      <c r="F1946" s="1287"/>
      <c r="G1946" s="1286" t="s">
        <v>1946</v>
      </c>
      <c r="H1946" s="34" t="s">
        <v>925</v>
      </c>
    </row>
    <row r="1947" spans="1:8" ht="33">
      <c r="A1947" s="1289">
        <v>1</v>
      </c>
      <c r="B1947" s="1289" t="s">
        <v>1947</v>
      </c>
      <c r="C1947" s="1288" t="s">
        <v>1875</v>
      </c>
      <c r="D1947" s="1287">
        <v>1</v>
      </c>
      <c r="E1947" s="1287">
        <v>2185.7800000000002</v>
      </c>
      <c r="F1947" s="1287">
        <v>2185.7800000000002</v>
      </c>
      <c r="G1947" s="1286" t="s">
        <v>1948</v>
      </c>
      <c r="H1947" s="34" t="s">
        <v>925</v>
      </c>
    </row>
    <row r="1948" spans="1:8" ht="33">
      <c r="A1948" s="1289">
        <v>2</v>
      </c>
      <c r="B1948" s="1289" t="s">
        <v>1949</v>
      </c>
      <c r="C1948" s="1288" t="s">
        <v>1875</v>
      </c>
      <c r="D1948" s="1287">
        <v>1</v>
      </c>
      <c r="E1948" s="1287">
        <v>203.68</v>
      </c>
      <c r="F1948" s="1287">
        <v>203.68</v>
      </c>
      <c r="G1948" s="1286" t="s">
        <v>1950</v>
      </c>
      <c r="H1948" s="34" t="s">
        <v>925</v>
      </c>
    </row>
    <row r="1949" spans="1:8" ht="33">
      <c r="A1949" s="1289">
        <v>3</v>
      </c>
      <c r="B1949" s="1289" t="s">
        <v>931</v>
      </c>
      <c r="C1949" s="1288" t="s">
        <v>14</v>
      </c>
      <c r="D1949" s="1287">
        <v>1</v>
      </c>
      <c r="E1949" s="1287">
        <v>71.680000000000007</v>
      </c>
      <c r="F1949" s="1287">
        <v>71.680000000000007</v>
      </c>
      <c r="G1949" s="1286" t="s">
        <v>932</v>
      </c>
      <c r="H1949" s="34" t="s">
        <v>925</v>
      </c>
    </row>
    <row r="1950" spans="1:8" ht="33">
      <c r="A1950" s="1289"/>
      <c r="B1950" s="1289" t="s">
        <v>933</v>
      </c>
      <c r="C1950" s="1288" t="s">
        <v>1875</v>
      </c>
      <c r="D1950" s="1287">
        <v>1</v>
      </c>
      <c r="E1950" s="1287"/>
      <c r="F1950" s="1287">
        <v>2461.14</v>
      </c>
      <c r="G1950" s="1286"/>
      <c r="H1950" s="34" t="s">
        <v>925</v>
      </c>
    </row>
    <row r="1951" spans="1:8" ht="33">
      <c r="A1951" s="1289"/>
      <c r="B1951" s="1289" t="s">
        <v>934</v>
      </c>
      <c r="C1951" s="1288" t="s">
        <v>1875</v>
      </c>
      <c r="D1951" s="1287"/>
      <c r="E1951" s="1287"/>
      <c r="F1951" s="1287">
        <v>2461.14</v>
      </c>
      <c r="G1951" s="1286"/>
      <c r="H1951" s="34" t="s">
        <v>925</v>
      </c>
    </row>
    <row r="1952" spans="1:8" ht="33">
      <c r="A1952" s="1289"/>
      <c r="B1952" s="1289"/>
      <c r="C1952" s="1288"/>
      <c r="D1952" s="1287"/>
      <c r="E1952" s="1287"/>
      <c r="F1952" s="1287"/>
      <c r="G1952" s="1286"/>
      <c r="H1952" s="34" t="s">
        <v>925</v>
      </c>
    </row>
    <row r="1953" spans="1:8" ht="42.75">
      <c r="A1953" s="1289" t="s">
        <v>2140</v>
      </c>
      <c r="B1953" s="1289" t="s">
        <v>1952</v>
      </c>
      <c r="C1953" s="1288" t="s">
        <v>1875</v>
      </c>
      <c r="D1953" s="1287">
        <v>1</v>
      </c>
      <c r="E1953" s="1287">
        <v>2481.61</v>
      </c>
      <c r="F1953" s="1287"/>
      <c r="G1953" s="1286" t="s">
        <v>1953</v>
      </c>
      <c r="H1953" s="34" t="s">
        <v>925</v>
      </c>
    </row>
    <row r="1954" spans="1:8" ht="42.75">
      <c r="A1954" s="1289">
        <v>1</v>
      </c>
      <c r="B1954" s="1289" t="s">
        <v>1954</v>
      </c>
      <c r="C1954" s="1288" t="s">
        <v>1875</v>
      </c>
      <c r="D1954" s="1287">
        <v>1</v>
      </c>
      <c r="E1954" s="1287">
        <v>2195.7199999999998</v>
      </c>
      <c r="F1954" s="1287">
        <v>2195.7199999999998</v>
      </c>
      <c r="G1954" s="1286" t="s">
        <v>1955</v>
      </c>
      <c r="H1954" s="34" t="s">
        <v>925</v>
      </c>
    </row>
    <row r="1955" spans="1:8" ht="42.75">
      <c r="A1955" s="1289">
        <v>2</v>
      </c>
      <c r="B1955" s="1289" t="s">
        <v>1956</v>
      </c>
      <c r="C1955" s="1288" t="s">
        <v>1875</v>
      </c>
      <c r="D1955" s="1287">
        <v>1</v>
      </c>
      <c r="E1955" s="1287">
        <v>213.61</v>
      </c>
      <c r="F1955" s="1287">
        <v>213.61</v>
      </c>
      <c r="G1955" s="1286" t="s">
        <v>1957</v>
      </c>
      <c r="H1955" s="34" t="s">
        <v>925</v>
      </c>
    </row>
    <row r="1956" spans="1:8" ht="28.5">
      <c r="A1956" s="1289">
        <v>3</v>
      </c>
      <c r="B1956" s="1289" t="s">
        <v>931</v>
      </c>
      <c r="C1956" s="1288" t="s">
        <v>14</v>
      </c>
      <c r="D1956" s="1287">
        <v>1</v>
      </c>
      <c r="E1956" s="1287">
        <v>72.28</v>
      </c>
      <c r="F1956" s="1287">
        <v>72.28</v>
      </c>
      <c r="G1956" s="1286" t="s">
        <v>932</v>
      </c>
    </row>
    <row r="1957" spans="1:8" ht="33">
      <c r="A1957" s="1289"/>
      <c r="B1957" s="1289" t="s">
        <v>933</v>
      </c>
      <c r="C1957" s="1288" t="s">
        <v>1875</v>
      </c>
      <c r="D1957" s="1287">
        <v>1</v>
      </c>
      <c r="E1957" s="1287"/>
      <c r="F1957" s="1287">
        <v>2481.61</v>
      </c>
      <c r="G1957" s="1286"/>
      <c r="H1957" s="34" t="s">
        <v>925</v>
      </c>
    </row>
    <row r="1958" spans="1:8" ht="33">
      <c r="A1958" s="1289"/>
      <c r="B1958" s="1289" t="s">
        <v>934</v>
      </c>
      <c r="C1958" s="1288" t="s">
        <v>1875</v>
      </c>
      <c r="D1958" s="1287"/>
      <c r="E1958" s="1287"/>
      <c r="F1958" s="1287">
        <v>2481.61</v>
      </c>
      <c r="G1958" s="1286"/>
      <c r="H1958" s="34" t="s">
        <v>925</v>
      </c>
    </row>
    <row r="1959" spans="1:8" ht="33">
      <c r="A1959" s="1289"/>
      <c r="B1959" s="1289"/>
      <c r="C1959" s="1288"/>
      <c r="D1959" s="1287"/>
      <c r="E1959" s="1287"/>
      <c r="F1959" s="1287"/>
      <c r="G1959" s="1286"/>
      <c r="H1959" s="34" t="s">
        <v>925</v>
      </c>
    </row>
    <row r="1960" spans="1:8" ht="42.75">
      <c r="A1960" s="1289" t="s">
        <v>2145</v>
      </c>
      <c r="B1960" s="1289" t="s">
        <v>1959</v>
      </c>
      <c r="C1960" s="1288" t="s">
        <v>1875</v>
      </c>
      <c r="D1960" s="1287">
        <v>1</v>
      </c>
      <c r="E1960" s="1287">
        <v>2358.81</v>
      </c>
      <c r="F1960" s="1287"/>
      <c r="G1960" s="1286" t="s">
        <v>1960</v>
      </c>
      <c r="H1960" s="34" t="s">
        <v>925</v>
      </c>
    </row>
    <row r="1961" spans="1:8" ht="33">
      <c r="A1961" s="1289">
        <v>1</v>
      </c>
      <c r="B1961" s="1289" t="s">
        <v>1961</v>
      </c>
      <c r="C1961" s="1288" t="s">
        <v>1875</v>
      </c>
      <c r="D1961" s="1287">
        <v>1</v>
      </c>
      <c r="E1961" s="1287">
        <v>2096.37</v>
      </c>
      <c r="F1961" s="1287">
        <v>2096.37</v>
      </c>
      <c r="G1961" s="1286" t="s">
        <v>1962</v>
      </c>
      <c r="H1961" s="34" t="s">
        <v>925</v>
      </c>
    </row>
    <row r="1962" spans="1:8" ht="33">
      <c r="A1962" s="1289">
        <v>2</v>
      </c>
      <c r="B1962" s="1289" t="s">
        <v>1963</v>
      </c>
      <c r="C1962" s="1288" t="s">
        <v>1875</v>
      </c>
      <c r="D1962" s="1287">
        <v>1</v>
      </c>
      <c r="E1962" s="1287">
        <v>193.74</v>
      </c>
      <c r="F1962" s="1287">
        <v>193.74</v>
      </c>
      <c r="G1962" s="1286" t="s">
        <v>1964</v>
      </c>
      <c r="H1962" s="34" t="s">
        <v>925</v>
      </c>
    </row>
    <row r="1963" spans="1:8" ht="33">
      <c r="A1963" s="1289">
        <v>3</v>
      </c>
      <c r="B1963" s="1289" t="s">
        <v>931</v>
      </c>
      <c r="C1963" s="1288" t="s">
        <v>14</v>
      </c>
      <c r="D1963" s="1287">
        <v>1</v>
      </c>
      <c r="E1963" s="1287">
        <v>68.7</v>
      </c>
      <c r="F1963" s="1287">
        <v>68.7</v>
      </c>
      <c r="G1963" s="1286" t="s">
        <v>932</v>
      </c>
      <c r="H1963" s="34" t="s">
        <v>925</v>
      </c>
    </row>
    <row r="1964" spans="1:8" ht="33">
      <c r="A1964" s="1289"/>
      <c r="B1964" s="1289" t="s">
        <v>933</v>
      </c>
      <c r="C1964" s="1288" t="s">
        <v>1875</v>
      </c>
      <c r="D1964" s="1287">
        <v>1</v>
      </c>
      <c r="E1964" s="1287"/>
      <c r="F1964" s="1287">
        <v>2358.8099999999995</v>
      </c>
      <c r="G1964" s="1286"/>
      <c r="H1964" s="34" t="s">
        <v>925</v>
      </c>
    </row>
    <row r="1965" spans="1:8" ht="33">
      <c r="A1965" s="1289"/>
      <c r="B1965" s="1289" t="s">
        <v>934</v>
      </c>
      <c r="C1965" s="1288" t="s">
        <v>1875</v>
      </c>
      <c r="D1965" s="1287"/>
      <c r="E1965" s="1287"/>
      <c r="F1965" s="1287">
        <v>2358.81</v>
      </c>
      <c r="G1965" s="1286"/>
      <c r="H1965" s="34" t="s">
        <v>925</v>
      </c>
    </row>
    <row r="1966" spans="1:8" ht="33">
      <c r="A1966" s="1289"/>
      <c r="B1966" s="1289"/>
      <c r="C1966" s="1288"/>
      <c r="D1966" s="1287"/>
      <c r="E1966" s="1287"/>
      <c r="F1966" s="1287"/>
      <c r="G1966" s="1286"/>
      <c r="H1966" s="34" t="s">
        <v>925</v>
      </c>
    </row>
    <row r="1967" spans="1:8" ht="42.75">
      <c r="A1967" s="1289" t="s">
        <v>2157</v>
      </c>
      <c r="B1967" s="1289" t="s">
        <v>1966</v>
      </c>
      <c r="C1967" s="1288" t="s">
        <v>1875</v>
      </c>
      <c r="D1967" s="1287">
        <v>1</v>
      </c>
      <c r="E1967" s="1287">
        <v>2522.5500000000002</v>
      </c>
      <c r="F1967" s="1287"/>
      <c r="G1967" s="1286" t="s">
        <v>1967</v>
      </c>
      <c r="H1967" s="34" t="s">
        <v>925</v>
      </c>
    </row>
    <row r="1968" spans="1:8" ht="33">
      <c r="A1968" s="1289">
        <v>1</v>
      </c>
      <c r="B1968" s="1289" t="s">
        <v>1968</v>
      </c>
      <c r="C1968" s="1288" t="s">
        <v>1875</v>
      </c>
      <c r="D1968" s="1287">
        <v>1</v>
      </c>
      <c r="E1968" s="1287">
        <v>2245.4</v>
      </c>
      <c r="F1968" s="1287">
        <v>2245.4</v>
      </c>
      <c r="G1968" s="1286" t="s">
        <v>1969</v>
      </c>
      <c r="H1968" s="34" t="s">
        <v>925</v>
      </c>
    </row>
    <row r="1969" spans="1:8" ht="28.5">
      <c r="A1969" s="1289">
        <v>2</v>
      </c>
      <c r="B1969" s="1289" t="s">
        <v>1970</v>
      </c>
      <c r="C1969" s="1288" t="s">
        <v>1875</v>
      </c>
      <c r="D1969" s="1287">
        <v>1</v>
      </c>
      <c r="E1969" s="1287">
        <v>203.68</v>
      </c>
      <c r="F1969" s="1287">
        <v>203.68</v>
      </c>
      <c r="G1969" s="1286" t="s">
        <v>1971</v>
      </c>
    </row>
    <row r="1970" spans="1:8" ht="33">
      <c r="A1970" s="1289">
        <v>3</v>
      </c>
      <c r="B1970" s="1289" t="s">
        <v>931</v>
      </c>
      <c r="C1970" s="1288" t="s">
        <v>14</v>
      </c>
      <c r="D1970" s="1287">
        <v>1</v>
      </c>
      <c r="E1970" s="1287">
        <v>73.47</v>
      </c>
      <c r="F1970" s="1287">
        <v>73.47</v>
      </c>
      <c r="G1970" s="1286" t="s">
        <v>932</v>
      </c>
      <c r="H1970" s="34" t="s">
        <v>925</v>
      </c>
    </row>
    <row r="1971" spans="1:8" ht="33">
      <c r="A1971" s="1289"/>
      <c r="B1971" s="1289" t="s">
        <v>933</v>
      </c>
      <c r="C1971" s="1288" t="s">
        <v>1875</v>
      </c>
      <c r="D1971" s="1287">
        <v>1</v>
      </c>
      <c r="E1971" s="1287"/>
      <c r="F1971" s="1287">
        <v>2522.5499999999997</v>
      </c>
      <c r="G1971" s="1286"/>
      <c r="H1971" s="34" t="s">
        <v>925</v>
      </c>
    </row>
    <row r="1972" spans="1:8" ht="33">
      <c r="A1972" s="1289"/>
      <c r="B1972" s="1289" t="s">
        <v>934</v>
      </c>
      <c r="C1972" s="1288" t="s">
        <v>1875</v>
      </c>
      <c r="D1972" s="1287"/>
      <c r="E1972" s="1287"/>
      <c r="F1972" s="1287">
        <v>2522.5500000000002</v>
      </c>
      <c r="G1972" s="1286"/>
      <c r="H1972" s="34" t="s">
        <v>925</v>
      </c>
    </row>
    <row r="1973" spans="1:8" ht="33">
      <c r="A1973" s="1289"/>
      <c r="B1973" s="1289"/>
      <c r="C1973" s="1288"/>
      <c r="D1973" s="1287"/>
      <c r="E1973" s="1287"/>
      <c r="F1973" s="1287"/>
      <c r="G1973" s="1286"/>
      <c r="H1973" s="34" t="s">
        <v>925</v>
      </c>
    </row>
    <row r="1974" spans="1:8" ht="42.75">
      <c r="A1974" s="1289" t="s">
        <v>2160</v>
      </c>
      <c r="B1974" s="1289" t="s">
        <v>1973</v>
      </c>
      <c r="C1974" s="1288" t="s">
        <v>1875</v>
      </c>
      <c r="D1974" s="1287">
        <v>1</v>
      </c>
      <c r="E1974" s="1287">
        <v>2645.35</v>
      </c>
      <c r="F1974" s="1287"/>
      <c r="G1974" s="1286" t="s">
        <v>1974</v>
      </c>
      <c r="H1974" s="34" t="s">
        <v>925</v>
      </c>
    </row>
    <row r="1975" spans="1:8" ht="42.75">
      <c r="A1975" s="1289">
        <v>1</v>
      </c>
      <c r="B1975" s="1289" t="s">
        <v>1975</v>
      </c>
      <c r="C1975" s="1288" t="s">
        <v>1875</v>
      </c>
      <c r="D1975" s="1287">
        <v>1</v>
      </c>
      <c r="E1975" s="1287">
        <v>2354.69</v>
      </c>
      <c r="F1975" s="1287">
        <v>2354.69</v>
      </c>
      <c r="G1975" s="1286" t="s">
        <v>1976</v>
      </c>
      <c r="H1975" s="34" t="s">
        <v>925</v>
      </c>
    </row>
    <row r="1976" spans="1:8" ht="42.75">
      <c r="A1976" s="1289">
        <v>2</v>
      </c>
      <c r="B1976" s="1289" t="s">
        <v>1977</v>
      </c>
      <c r="C1976" s="1288" t="s">
        <v>1875</v>
      </c>
      <c r="D1976" s="1287">
        <v>1</v>
      </c>
      <c r="E1976" s="1287">
        <v>213.61</v>
      </c>
      <c r="F1976" s="1287">
        <v>213.61</v>
      </c>
      <c r="G1976" s="1286" t="s">
        <v>1978</v>
      </c>
      <c r="H1976" s="34" t="s">
        <v>925</v>
      </c>
    </row>
    <row r="1977" spans="1:8" ht="33">
      <c r="A1977" s="1289">
        <v>3</v>
      </c>
      <c r="B1977" s="1289" t="s">
        <v>931</v>
      </c>
      <c r="C1977" s="1288" t="s">
        <v>14</v>
      </c>
      <c r="D1977" s="1287">
        <v>1</v>
      </c>
      <c r="E1977" s="1287">
        <v>77.05</v>
      </c>
      <c r="F1977" s="1287">
        <v>77.05</v>
      </c>
      <c r="G1977" s="1286" t="s">
        <v>932</v>
      </c>
      <c r="H1977" s="34" t="s">
        <v>925</v>
      </c>
    </row>
    <row r="1978" spans="1:8" ht="33">
      <c r="A1978" s="1289"/>
      <c r="B1978" s="1289" t="s">
        <v>933</v>
      </c>
      <c r="C1978" s="1288" t="s">
        <v>1875</v>
      </c>
      <c r="D1978" s="1287">
        <v>1</v>
      </c>
      <c r="E1978" s="1287"/>
      <c r="F1978" s="1287">
        <v>2645.3500000000004</v>
      </c>
      <c r="G1978" s="1286"/>
      <c r="H1978" s="34" t="s">
        <v>925</v>
      </c>
    </row>
    <row r="1979" spans="1:8" ht="33">
      <c r="A1979" s="1289"/>
      <c r="B1979" s="1289" t="s">
        <v>934</v>
      </c>
      <c r="C1979" s="1288" t="s">
        <v>1875</v>
      </c>
      <c r="D1979" s="1287"/>
      <c r="E1979" s="1287"/>
      <c r="F1979" s="1287">
        <v>2645.35</v>
      </c>
      <c r="G1979" s="1286"/>
      <c r="H1979" s="34" t="s">
        <v>925</v>
      </c>
    </row>
    <row r="1980" spans="1:8" ht="33">
      <c r="A1980" s="1289"/>
      <c r="B1980" s="1289"/>
      <c r="C1980" s="1288"/>
      <c r="D1980" s="1287"/>
      <c r="E1980" s="1287"/>
      <c r="F1980" s="1287"/>
      <c r="G1980" s="1286"/>
      <c r="H1980" s="34" t="s">
        <v>925</v>
      </c>
    </row>
    <row r="1981" spans="1:8" ht="42.75">
      <c r="A1981" s="1289" t="s">
        <v>2168</v>
      </c>
      <c r="B1981" s="1289" t="s">
        <v>1980</v>
      </c>
      <c r="C1981" s="1288" t="s">
        <v>1875</v>
      </c>
      <c r="D1981" s="1287">
        <v>1</v>
      </c>
      <c r="E1981" s="1287">
        <v>4599.93</v>
      </c>
      <c r="F1981" s="1287"/>
      <c r="G1981" s="1286" t="s">
        <v>1981</v>
      </c>
      <c r="H1981" s="34" t="s">
        <v>925</v>
      </c>
    </row>
    <row r="1982" spans="1:8" ht="28.5">
      <c r="A1982" s="1289">
        <v>1</v>
      </c>
      <c r="B1982" s="1289" t="s">
        <v>1982</v>
      </c>
      <c r="C1982" s="1288" t="s">
        <v>1875</v>
      </c>
      <c r="D1982" s="1287">
        <v>1</v>
      </c>
      <c r="E1982" s="1287">
        <v>4292.08</v>
      </c>
      <c r="F1982" s="1287">
        <v>4292.08</v>
      </c>
      <c r="G1982" s="1286" t="s">
        <v>1983</v>
      </c>
    </row>
    <row r="1983" spans="1:8" ht="33">
      <c r="A1983" s="1289">
        <v>2</v>
      </c>
      <c r="B1983" s="1289" t="s">
        <v>1984</v>
      </c>
      <c r="C1983" s="1288" t="s">
        <v>1875</v>
      </c>
      <c r="D1983" s="1287">
        <v>1</v>
      </c>
      <c r="E1983" s="1287">
        <v>173.87</v>
      </c>
      <c r="F1983" s="1287">
        <v>173.87</v>
      </c>
      <c r="G1983" s="1286" t="s">
        <v>1985</v>
      </c>
      <c r="H1983" s="34" t="s">
        <v>925</v>
      </c>
    </row>
    <row r="1984" spans="1:8" ht="33">
      <c r="A1984" s="1289">
        <v>3</v>
      </c>
      <c r="B1984" s="1289" t="s">
        <v>931</v>
      </c>
      <c r="C1984" s="1288" t="s">
        <v>14</v>
      </c>
      <c r="D1984" s="1287">
        <v>1</v>
      </c>
      <c r="E1984" s="1287">
        <v>133.97999999999999</v>
      </c>
      <c r="F1984" s="1287">
        <v>133.97999999999999</v>
      </c>
      <c r="G1984" s="1286" t="s">
        <v>932</v>
      </c>
      <c r="H1984" s="34" t="s">
        <v>925</v>
      </c>
    </row>
    <row r="1985" spans="1:8" ht="33">
      <c r="A1985" s="1289"/>
      <c r="B1985" s="1289" t="s">
        <v>933</v>
      </c>
      <c r="C1985" s="1288" t="s">
        <v>1875</v>
      </c>
      <c r="D1985" s="1287">
        <v>1</v>
      </c>
      <c r="E1985" s="1287"/>
      <c r="F1985" s="1287">
        <v>4599.9299999999994</v>
      </c>
      <c r="G1985" s="1286"/>
      <c r="H1985" s="34" t="s">
        <v>925</v>
      </c>
    </row>
    <row r="1986" spans="1:8" ht="33">
      <c r="A1986" s="1289"/>
      <c r="B1986" s="1289" t="s">
        <v>934</v>
      </c>
      <c r="C1986" s="1288" t="s">
        <v>1875</v>
      </c>
      <c r="D1986" s="1287"/>
      <c r="E1986" s="1287"/>
      <c r="F1986" s="1287">
        <v>4599.93</v>
      </c>
      <c r="G1986" s="1286"/>
      <c r="H1986" s="34" t="s">
        <v>925</v>
      </c>
    </row>
    <row r="1987" spans="1:8" ht="33">
      <c r="A1987" s="1289"/>
      <c r="B1987" s="1289"/>
      <c r="C1987" s="1288"/>
      <c r="D1987" s="1287"/>
      <c r="E1987" s="1287"/>
      <c r="F1987" s="1287"/>
      <c r="G1987" s="1286"/>
      <c r="H1987" s="34" t="s">
        <v>925</v>
      </c>
    </row>
    <row r="1988" spans="1:8" ht="42.75">
      <c r="A1988" s="1289" t="s">
        <v>2179</v>
      </c>
      <c r="B1988" s="1289" t="s">
        <v>1987</v>
      </c>
      <c r="C1988" s="1288" t="s">
        <v>1875</v>
      </c>
      <c r="D1988" s="1287">
        <v>1</v>
      </c>
      <c r="E1988" s="1287">
        <v>5101.3599999999997</v>
      </c>
      <c r="F1988" s="1287"/>
      <c r="G1988" s="1286" t="s">
        <v>1988</v>
      </c>
      <c r="H1988" s="34" t="s">
        <v>925</v>
      </c>
    </row>
    <row r="1989" spans="1:8" ht="33">
      <c r="A1989" s="1289">
        <v>1</v>
      </c>
      <c r="B1989" s="1289" t="s">
        <v>1989</v>
      </c>
      <c r="C1989" s="1288" t="s">
        <v>1875</v>
      </c>
      <c r="D1989" s="1287">
        <v>1</v>
      </c>
      <c r="E1989" s="1287">
        <v>4768.9799999999996</v>
      </c>
      <c r="F1989" s="1287">
        <v>4768.9799999999996</v>
      </c>
      <c r="G1989" s="1286" t="s">
        <v>1990</v>
      </c>
      <c r="H1989" s="34" t="s">
        <v>925</v>
      </c>
    </row>
    <row r="1990" spans="1:8" ht="33">
      <c r="A1990" s="1289">
        <v>2</v>
      </c>
      <c r="B1990" s="1289" t="s">
        <v>1991</v>
      </c>
      <c r="C1990" s="1288" t="s">
        <v>1875</v>
      </c>
      <c r="D1990" s="1287">
        <v>1</v>
      </c>
      <c r="E1990" s="1287">
        <v>183.8</v>
      </c>
      <c r="F1990" s="1287">
        <v>183.8</v>
      </c>
      <c r="G1990" s="1286" t="s">
        <v>1992</v>
      </c>
      <c r="H1990" s="34" t="s">
        <v>925</v>
      </c>
    </row>
    <row r="1991" spans="1:8" ht="33">
      <c r="A1991" s="1289">
        <v>3</v>
      </c>
      <c r="B1991" s="1289" t="s">
        <v>931</v>
      </c>
      <c r="C1991" s="1288" t="s">
        <v>14</v>
      </c>
      <c r="D1991" s="1287">
        <v>1</v>
      </c>
      <c r="E1991" s="1287">
        <v>148.58000000000001</v>
      </c>
      <c r="F1991" s="1287">
        <v>148.58000000000001</v>
      </c>
      <c r="G1991" s="1286" t="s">
        <v>932</v>
      </c>
      <c r="H1991" s="34" t="s">
        <v>925</v>
      </c>
    </row>
    <row r="1992" spans="1:8" ht="33">
      <c r="A1992" s="1289"/>
      <c r="B1992" s="1289" t="s">
        <v>933</v>
      </c>
      <c r="C1992" s="1288" t="s">
        <v>1875</v>
      </c>
      <c r="D1992" s="1287">
        <v>1</v>
      </c>
      <c r="E1992" s="1287"/>
      <c r="F1992" s="1287">
        <v>5101.3599999999997</v>
      </c>
      <c r="G1992" s="1286"/>
      <c r="H1992" s="34" t="s">
        <v>925</v>
      </c>
    </row>
    <row r="1993" spans="1:8" ht="33">
      <c r="A1993" s="1289"/>
      <c r="B1993" s="1289" t="s">
        <v>934</v>
      </c>
      <c r="C1993" s="1288" t="s">
        <v>1875</v>
      </c>
      <c r="D1993" s="1287"/>
      <c r="E1993" s="1287"/>
      <c r="F1993" s="1287">
        <v>5101.3599999999997</v>
      </c>
      <c r="G1993" s="1286"/>
      <c r="H1993" s="34" t="s">
        <v>925</v>
      </c>
    </row>
    <row r="1994" spans="1:8" ht="16.5">
      <c r="A1994" s="1289"/>
      <c r="B1994" s="1289"/>
      <c r="C1994" s="1288"/>
      <c r="D1994" s="1287"/>
      <c r="E1994" s="1287"/>
      <c r="F1994" s="1287"/>
      <c r="G1994" s="1286"/>
    </row>
    <row r="1995" spans="1:8" ht="42.75">
      <c r="A1995" s="1289" t="s">
        <v>2190</v>
      </c>
      <c r="B1995" s="1289" t="s">
        <v>1994</v>
      </c>
      <c r="C1995" s="1288" t="s">
        <v>1875</v>
      </c>
      <c r="D1995" s="1287">
        <v>1</v>
      </c>
      <c r="E1995" s="1287">
        <v>5705.15</v>
      </c>
      <c r="F1995" s="1287"/>
      <c r="G1995" s="1286" t="s">
        <v>1995</v>
      </c>
      <c r="H1995" s="34" t="s">
        <v>925</v>
      </c>
    </row>
    <row r="1996" spans="1:8" ht="42.75">
      <c r="A1996" s="1289">
        <v>1</v>
      </c>
      <c r="B1996" s="1289" t="s">
        <v>1996</v>
      </c>
      <c r="C1996" s="1288" t="s">
        <v>1875</v>
      </c>
      <c r="D1996" s="1287">
        <v>1</v>
      </c>
      <c r="E1996" s="1287">
        <v>5345.24</v>
      </c>
      <c r="F1996" s="1287">
        <v>5345.24</v>
      </c>
      <c r="G1996" s="1286" t="s">
        <v>1997</v>
      </c>
      <c r="H1996" s="34" t="s">
        <v>925</v>
      </c>
    </row>
    <row r="1997" spans="1:8" ht="42.75">
      <c r="A1997" s="1289">
        <v>2</v>
      </c>
      <c r="B1997" s="1289" t="s">
        <v>1998</v>
      </c>
      <c r="C1997" s="1288" t="s">
        <v>1875</v>
      </c>
      <c r="D1997" s="1287">
        <v>1</v>
      </c>
      <c r="E1997" s="1287">
        <v>193.74</v>
      </c>
      <c r="F1997" s="1287">
        <v>193.74</v>
      </c>
      <c r="G1997" s="1286" t="s">
        <v>1999</v>
      </c>
      <c r="H1997" s="34" t="s">
        <v>925</v>
      </c>
    </row>
    <row r="1998" spans="1:8" ht="33">
      <c r="A1998" s="1289">
        <v>3</v>
      </c>
      <c r="B1998" s="1289" t="s">
        <v>931</v>
      </c>
      <c r="C1998" s="1288" t="s">
        <v>14</v>
      </c>
      <c r="D1998" s="1287">
        <v>1</v>
      </c>
      <c r="E1998" s="1287">
        <v>166.17</v>
      </c>
      <c r="F1998" s="1287">
        <v>166.17</v>
      </c>
      <c r="G1998" s="1286" t="s">
        <v>932</v>
      </c>
      <c r="H1998" s="34" t="s">
        <v>925</v>
      </c>
    </row>
    <row r="1999" spans="1:8" ht="33">
      <c r="A1999" s="1289"/>
      <c r="B1999" s="1289" t="s">
        <v>933</v>
      </c>
      <c r="C1999" s="1288" t="s">
        <v>1875</v>
      </c>
      <c r="D1999" s="1287">
        <v>1</v>
      </c>
      <c r="E1999" s="1287"/>
      <c r="F1999" s="1287">
        <v>5705.15</v>
      </c>
      <c r="G1999" s="1286"/>
      <c r="H1999" s="34" t="s">
        <v>925</v>
      </c>
    </row>
    <row r="2000" spans="1:8" ht="33">
      <c r="A2000" s="1289"/>
      <c r="B2000" s="1289" t="s">
        <v>934</v>
      </c>
      <c r="C2000" s="1288" t="s">
        <v>1875</v>
      </c>
      <c r="D2000" s="1287"/>
      <c r="E2000" s="1287"/>
      <c r="F2000" s="1287">
        <v>5705.15</v>
      </c>
      <c r="G2000" s="1286"/>
      <c r="H2000" s="34" t="s">
        <v>925</v>
      </c>
    </row>
    <row r="2001" spans="1:8" ht="33">
      <c r="A2001" s="1289"/>
      <c r="B2001" s="1289"/>
      <c r="C2001" s="1288"/>
      <c r="D2001" s="1287"/>
      <c r="E2001" s="1287"/>
      <c r="F2001" s="1287"/>
      <c r="G2001" s="1286"/>
      <c r="H2001" s="34" t="s">
        <v>925</v>
      </c>
    </row>
    <row r="2002" spans="1:8" ht="42.75">
      <c r="A2002" s="1289" t="s">
        <v>2194</v>
      </c>
      <c r="B2002" s="1289" t="s">
        <v>2001</v>
      </c>
      <c r="C2002" s="1288" t="s">
        <v>1875</v>
      </c>
      <c r="D2002" s="1287">
        <v>1</v>
      </c>
      <c r="E2002" s="1287">
        <v>4651.1000000000004</v>
      </c>
      <c r="F2002" s="1287"/>
      <c r="G2002" s="1286" t="s">
        <v>2002</v>
      </c>
      <c r="H2002" s="34" t="s">
        <v>925</v>
      </c>
    </row>
    <row r="2003" spans="1:8" ht="33">
      <c r="A2003" s="1289">
        <v>1</v>
      </c>
      <c r="B2003" s="1289" t="s">
        <v>2003</v>
      </c>
      <c r="C2003" s="1288" t="s">
        <v>1875</v>
      </c>
      <c r="D2003" s="1287">
        <v>1</v>
      </c>
      <c r="E2003" s="1287">
        <v>4341.76</v>
      </c>
      <c r="F2003" s="1287">
        <v>4341.76</v>
      </c>
      <c r="G2003" s="1286" t="s">
        <v>2004</v>
      </c>
      <c r="H2003" s="34" t="s">
        <v>925</v>
      </c>
    </row>
    <row r="2004" spans="1:8" ht="33">
      <c r="A2004" s="1289">
        <v>2</v>
      </c>
      <c r="B2004" s="1289" t="s">
        <v>2005</v>
      </c>
      <c r="C2004" s="1288" t="s">
        <v>1875</v>
      </c>
      <c r="D2004" s="1287">
        <v>1</v>
      </c>
      <c r="E2004" s="1287">
        <v>173.87</v>
      </c>
      <c r="F2004" s="1287">
        <v>173.87</v>
      </c>
      <c r="G2004" s="1286" t="s">
        <v>2006</v>
      </c>
      <c r="H2004" s="34" t="s">
        <v>925</v>
      </c>
    </row>
    <row r="2005" spans="1:8" ht="33">
      <c r="A2005" s="1289">
        <v>3</v>
      </c>
      <c r="B2005" s="1289" t="s">
        <v>931</v>
      </c>
      <c r="C2005" s="1288" t="s">
        <v>14</v>
      </c>
      <c r="D2005" s="1287">
        <v>1</v>
      </c>
      <c r="E2005" s="1287">
        <v>135.47</v>
      </c>
      <c r="F2005" s="1287">
        <v>135.47</v>
      </c>
      <c r="G2005" s="1286" t="s">
        <v>932</v>
      </c>
      <c r="H2005" s="34" t="s">
        <v>925</v>
      </c>
    </row>
    <row r="2006" spans="1:8" ht="16.5">
      <c r="A2006" s="1289"/>
      <c r="B2006" s="1289" t="s">
        <v>933</v>
      </c>
      <c r="C2006" s="1288" t="s">
        <v>1875</v>
      </c>
      <c r="D2006" s="1287">
        <v>1</v>
      </c>
      <c r="E2006" s="1287"/>
      <c r="F2006" s="1287">
        <v>4651.1000000000004</v>
      </c>
      <c r="G2006" s="1286"/>
    </row>
    <row r="2007" spans="1:8" ht="33">
      <c r="A2007" s="1289"/>
      <c r="B2007" s="1289" t="s">
        <v>934</v>
      </c>
      <c r="C2007" s="1288" t="s">
        <v>1875</v>
      </c>
      <c r="D2007" s="1287"/>
      <c r="E2007" s="1287"/>
      <c r="F2007" s="1287">
        <v>4651.1000000000004</v>
      </c>
      <c r="G2007" s="1286"/>
      <c r="H2007" s="34" t="s">
        <v>925</v>
      </c>
    </row>
    <row r="2008" spans="1:8" ht="33">
      <c r="A2008" s="1289"/>
      <c r="B2008" s="1289"/>
      <c r="C2008" s="1288"/>
      <c r="D2008" s="1287"/>
      <c r="E2008" s="1287"/>
      <c r="F2008" s="1287"/>
      <c r="G2008" s="1286"/>
      <c r="H2008" s="34" t="s">
        <v>925</v>
      </c>
    </row>
    <row r="2009" spans="1:8" ht="42.75">
      <c r="A2009" s="1289" t="s">
        <v>2203</v>
      </c>
      <c r="B2009" s="1289" t="s">
        <v>2008</v>
      </c>
      <c r="C2009" s="1288" t="s">
        <v>1875</v>
      </c>
      <c r="D2009" s="1287">
        <v>1</v>
      </c>
      <c r="E2009" s="1287">
        <v>5224.17</v>
      </c>
      <c r="F2009" s="1287"/>
      <c r="G2009" s="1286" t="s">
        <v>2009</v>
      </c>
      <c r="H2009" s="34" t="s">
        <v>925</v>
      </c>
    </row>
    <row r="2010" spans="1:8" ht="33">
      <c r="A2010" s="1289">
        <v>1</v>
      </c>
      <c r="B2010" s="1289" t="s">
        <v>2012</v>
      </c>
      <c r="C2010" s="1288" t="s">
        <v>1875</v>
      </c>
      <c r="D2010" s="1287">
        <v>1</v>
      </c>
      <c r="E2010" s="1287">
        <v>183.8</v>
      </c>
      <c r="F2010" s="1287">
        <v>183.8</v>
      </c>
      <c r="G2010" s="1286" t="s">
        <v>2013</v>
      </c>
      <c r="H2010" s="34" t="s">
        <v>925</v>
      </c>
    </row>
    <row r="2011" spans="1:8" ht="33">
      <c r="A2011" s="1289">
        <v>2</v>
      </c>
      <c r="B2011" s="1289" t="s">
        <v>2010</v>
      </c>
      <c r="C2011" s="1288" t="s">
        <v>1875</v>
      </c>
      <c r="D2011" s="1287">
        <v>1</v>
      </c>
      <c r="E2011" s="1287">
        <v>4888.21</v>
      </c>
      <c r="F2011" s="1287">
        <v>4888.21</v>
      </c>
      <c r="G2011" s="1286" t="s">
        <v>2011</v>
      </c>
      <c r="H2011" s="34" t="s">
        <v>925</v>
      </c>
    </row>
    <row r="2012" spans="1:8" ht="33">
      <c r="A2012" s="1289">
        <v>3</v>
      </c>
      <c r="B2012" s="1289" t="s">
        <v>931</v>
      </c>
      <c r="C2012" s="1288" t="s">
        <v>14</v>
      </c>
      <c r="D2012" s="1287">
        <v>1</v>
      </c>
      <c r="E2012" s="1287">
        <v>152.16</v>
      </c>
      <c r="F2012" s="1287">
        <v>152.16</v>
      </c>
      <c r="G2012" s="1286" t="s">
        <v>932</v>
      </c>
      <c r="H2012" s="34" t="s">
        <v>925</v>
      </c>
    </row>
    <row r="2013" spans="1:8" ht="33">
      <c r="A2013" s="1289"/>
      <c r="B2013" s="1289" t="s">
        <v>933</v>
      </c>
      <c r="C2013" s="1288" t="s">
        <v>1875</v>
      </c>
      <c r="D2013" s="1287">
        <v>1</v>
      </c>
      <c r="E2013" s="1287"/>
      <c r="F2013" s="1287">
        <v>5224.17</v>
      </c>
      <c r="G2013" s="1286"/>
      <c r="H2013" s="34" t="s">
        <v>925</v>
      </c>
    </row>
    <row r="2014" spans="1:8" ht="33">
      <c r="A2014" s="1289"/>
      <c r="B2014" s="1289" t="s">
        <v>934</v>
      </c>
      <c r="C2014" s="1288" t="s">
        <v>1875</v>
      </c>
      <c r="D2014" s="1287"/>
      <c r="E2014" s="1287"/>
      <c r="F2014" s="1287">
        <v>5224.17</v>
      </c>
      <c r="G2014" s="1286"/>
      <c r="H2014" s="34" t="s">
        <v>925</v>
      </c>
    </row>
    <row r="2015" spans="1:8" ht="33">
      <c r="A2015" s="1289"/>
      <c r="B2015" s="1289"/>
      <c r="C2015" s="1288"/>
      <c r="D2015" s="1287"/>
      <c r="E2015" s="1287"/>
      <c r="F2015" s="1287"/>
      <c r="G2015" s="1286"/>
      <c r="H2015" s="34" t="s">
        <v>925</v>
      </c>
    </row>
    <row r="2016" spans="1:8" ht="42.75">
      <c r="A2016" s="1289" t="s">
        <v>2211</v>
      </c>
      <c r="B2016" s="1289" t="s">
        <v>2015</v>
      </c>
      <c r="C2016" s="1288" t="s">
        <v>1875</v>
      </c>
      <c r="D2016" s="1287">
        <v>1</v>
      </c>
      <c r="E2016" s="1287">
        <v>6042.85</v>
      </c>
      <c r="F2016" s="1287"/>
      <c r="G2016" s="1286" t="s">
        <v>2016</v>
      </c>
      <c r="H2016" s="34" t="s">
        <v>925</v>
      </c>
    </row>
    <row r="2017" spans="1:8" ht="42.75">
      <c r="A2017" s="1289">
        <v>1</v>
      </c>
      <c r="B2017" s="1289" t="s">
        <v>2017</v>
      </c>
      <c r="C2017" s="1288" t="s">
        <v>1875</v>
      </c>
      <c r="D2017" s="1287">
        <v>1</v>
      </c>
      <c r="E2017" s="1287">
        <v>5673.1</v>
      </c>
      <c r="F2017" s="1287">
        <v>5673.1</v>
      </c>
      <c r="G2017" s="1286" t="s">
        <v>2018</v>
      </c>
      <c r="H2017" s="34" t="s">
        <v>925</v>
      </c>
    </row>
    <row r="2018" spans="1:8" ht="42.75">
      <c r="A2018" s="1289">
        <v>2</v>
      </c>
      <c r="B2018" s="1289" t="s">
        <v>2019</v>
      </c>
      <c r="C2018" s="1288" t="s">
        <v>1875</v>
      </c>
      <c r="D2018" s="1287">
        <v>1</v>
      </c>
      <c r="E2018" s="1287">
        <v>193.74</v>
      </c>
      <c r="F2018" s="1287">
        <v>193.74</v>
      </c>
      <c r="G2018" s="1286" t="s">
        <v>2020</v>
      </c>
      <c r="H2018" s="34" t="s">
        <v>925</v>
      </c>
    </row>
    <row r="2019" spans="1:8" ht="28.5">
      <c r="A2019" s="1289">
        <v>3</v>
      </c>
      <c r="B2019" s="1289" t="s">
        <v>931</v>
      </c>
      <c r="C2019" s="1288" t="s">
        <v>14</v>
      </c>
      <c r="D2019" s="1287">
        <v>1</v>
      </c>
      <c r="E2019" s="1287">
        <v>176.01</v>
      </c>
      <c r="F2019" s="1287">
        <v>176.01</v>
      </c>
      <c r="G2019" s="1286" t="s">
        <v>932</v>
      </c>
    </row>
    <row r="2020" spans="1:8" ht="33">
      <c r="A2020" s="1289"/>
      <c r="B2020" s="1289" t="s">
        <v>933</v>
      </c>
      <c r="C2020" s="1288" t="s">
        <v>1875</v>
      </c>
      <c r="D2020" s="1287">
        <v>1</v>
      </c>
      <c r="E2020" s="1287"/>
      <c r="F2020" s="1287">
        <v>6042.85</v>
      </c>
      <c r="G2020" s="1286"/>
      <c r="H2020" s="34" t="s">
        <v>925</v>
      </c>
    </row>
    <row r="2021" spans="1:8" ht="33">
      <c r="A2021" s="1289"/>
      <c r="B2021" s="1289" t="s">
        <v>934</v>
      </c>
      <c r="C2021" s="1288" t="s">
        <v>1875</v>
      </c>
      <c r="D2021" s="1287"/>
      <c r="E2021" s="1287"/>
      <c r="F2021" s="1287">
        <v>6042.85</v>
      </c>
      <c r="G2021" s="1286"/>
      <c r="H2021" s="34" t="s">
        <v>925</v>
      </c>
    </row>
    <row r="2022" spans="1:8" ht="33">
      <c r="A2022" s="1289"/>
      <c r="B2022" s="1289"/>
      <c r="C2022" s="1288"/>
      <c r="D2022" s="1287"/>
      <c r="E2022" s="1287"/>
      <c r="F2022" s="1287"/>
      <c r="G2022" s="1286"/>
      <c r="H2022" s="34" t="s">
        <v>925</v>
      </c>
    </row>
    <row r="2023" spans="1:8" ht="42.75">
      <c r="A2023" s="1289" t="s">
        <v>2218</v>
      </c>
      <c r="B2023" s="1289" t="s">
        <v>4664</v>
      </c>
      <c r="C2023" s="1288" t="s">
        <v>1689</v>
      </c>
      <c r="D2023" s="1287">
        <v>1</v>
      </c>
      <c r="E2023" s="1287">
        <v>6606.72</v>
      </c>
      <c r="F2023" s="1287"/>
      <c r="G2023" s="1286" t="s">
        <v>4966</v>
      </c>
      <c r="H2023" s="34" t="s">
        <v>925</v>
      </c>
    </row>
    <row r="2024" spans="1:8" ht="42.75">
      <c r="A2024" s="1289">
        <v>1</v>
      </c>
      <c r="B2024" s="1289" t="s">
        <v>4967</v>
      </c>
      <c r="C2024" s="1288" t="s">
        <v>1875</v>
      </c>
      <c r="D2024" s="1287">
        <v>1</v>
      </c>
      <c r="E2024" s="1287">
        <v>6255.32</v>
      </c>
      <c r="F2024" s="1287">
        <v>6255.32</v>
      </c>
      <c r="G2024" s="1286" t="s">
        <v>4968</v>
      </c>
      <c r="H2024" s="34" t="s">
        <v>925</v>
      </c>
    </row>
    <row r="2025" spans="1:8" ht="33">
      <c r="A2025" s="1289">
        <v>2</v>
      </c>
      <c r="B2025" s="1289" t="s">
        <v>2026</v>
      </c>
      <c r="C2025" s="1288" t="s">
        <v>14</v>
      </c>
      <c r="D2025" s="1287">
        <v>1</v>
      </c>
      <c r="E2025" s="1287">
        <v>158.97</v>
      </c>
      <c r="F2025" s="1287">
        <v>158.97</v>
      </c>
      <c r="G2025" s="1286" t="s">
        <v>2027</v>
      </c>
      <c r="H2025" s="34" t="s">
        <v>925</v>
      </c>
    </row>
    <row r="2026" spans="1:8" ht="33">
      <c r="A2026" s="1289">
        <v>3</v>
      </c>
      <c r="B2026" s="1289" t="s">
        <v>931</v>
      </c>
      <c r="C2026" s="1288" t="s">
        <v>14</v>
      </c>
      <c r="D2026" s="1287">
        <v>1</v>
      </c>
      <c r="E2026" s="1287">
        <v>192.43</v>
      </c>
      <c r="F2026" s="1287">
        <v>192.43</v>
      </c>
      <c r="G2026" s="1286" t="s">
        <v>932</v>
      </c>
      <c r="H2026" s="34" t="s">
        <v>925</v>
      </c>
    </row>
    <row r="2027" spans="1:8" ht="33">
      <c r="A2027" s="1289"/>
      <c r="B2027" s="1289" t="s">
        <v>933</v>
      </c>
      <c r="C2027" s="1288" t="s">
        <v>1689</v>
      </c>
      <c r="D2027" s="1287">
        <v>1</v>
      </c>
      <c r="E2027" s="1287"/>
      <c r="F2027" s="1287">
        <v>6606.72</v>
      </c>
      <c r="G2027" s="1286"/>
      <c r="H2027" s="34" t="s">
        <v>925</v>
      </c>
    </row>
    <row r="2028" spans="1:8" ht="33">
      <c r="A2028" s="1289"/>
      <c r="B2028" s="1289" t="s">
        <v>934</v>
      </c>
      <c r="C2028" s="1288" t="s">
        <v>1689</v>
      </c>
      <c r="D2028" s="1287"/>
      <c r="E2028" s="1287"/>
      <c r="F2028" s="1287">
        <v>6606.72</v>
      </c>
      <c r="G2028" s="1286"/>
      <c r="H2028" s="34" t="s">
        <v>925</v>
      </c>
    </row>
    <row r="2029" spans="1:8" ht="33">
      <c r="A2029" s="1289"/>
      <c r="B2029" s="1289"/>
      <c r="C2029" s="1288"/>
      <c r="D2029" s="1287"/>
      <c r="E2029" s="1287"/>
      <c r="F2029" s="1287"/>
      <c r="G2029" s="1286"/>
      <c r="H2029" s="34" t="s">
        <v>925</v>
      </c>
    </row>
    <row r="2030" spans="1:8" ht="42.75">
      <c r="A2030" s="1289" t="s">
        <v>2225</v>
      </c>
      <c r="B2030" s="1289" t="s">
        <v>4666</v>
      </c>
      <c r="C2030" s="1288" t="s">
        <v>1689</v>
      </c>
      <c r="D2030" s="1287">
        <v>1</v>
      </c>
      <c r="E2030" s="1287">
        <v>7785.61</v>
      </c>
      <c r="F2030" s="1287"/>
      <c r="G2030" s="1286" t="s">
        <v>4969</v>
      </c>
      <c r="H2030" s="34" t="s">
        <v>925</v>
      </c>
    </row>
    <row r="2031" spans="1:8" ht="42.75">
      <c r="A2031" s="1289">
        <v>1</v>
      </c>
      <c r="B2031" s="1289" t="s">
        <v>4970</v>
      </c>
      <c r="C2031" s="1288" t="s">
        <v>1875</v>
      </c>
      <c r="D2031" s="1287">
        <v>1</v>
      </c>
      <c r="E2031" s="1287">
        <v>7399.87</v>
      </c>
      <c r="F2031" s="1287">
        <v>7399.87</v>
      </c>
      <c r="G2031" s="1286" t="s">
        <v>4971</v>
      </c>
      <c r="H2031" s="34" t="s">
        <v>925</v>
      </c>
    </row>
    <row r="2032" spans="1:8" ht="28.5">
      <c r="A2032" s="1289">
        <v>2</v>
      </c>
      <c r="B2032" s="1289" t="s">
        <v>2026</v>
      </c>
      <c r="C2032" s="1288" t="s">
        <v>14</v>
      </c>
      <c r="D2032" s="1287">
        <v>1</v>
      </c>
      <c r="E2032" s="1287">
        <v>158.97</v>
      </c>
      <c r="F2032" s="1287">
        <v>158.97</v>
      </c>
      <c r="G2032" s="1286" t="s">
        <v>2027</v>
      </c>
    </row>
    <row r="2033" spans="1:8" ht="33">
      <c r="A2033" s="1289">
        <v>3</v>
      </c>
      <c r="B2033" s="1289" t="s">
        <v>931</v>
      </c>
      <c r="C2033" s="1288" t="s">
        <v>14</v>
      </c>
      <c r="D2033" s="1287">
        <v>1</v>
      </c>
      <c r="E2033" s="1287">
        <v>226.77</v>
      </c>
      <c r="F2033" s="1287">
        <v>226.77</v>
      </c>
      <c r="G2033" s="1286" t="s">
        <v>932</v>
      </c>
      <c r="H2033" s="34" t="s">
        <v>925</v>
      </c>
    </row>
    <row r="2034" spans="1:8" ht="33">
      <c r="A2034" s="1289"/>
      <c r="B2034" s="1289" t="s">
        <v>933</v>
      </c>
      <c r="C2034" s="1288" t="s">
        <v>1689</v>
      </c>
      <c r="D2034" s="1287">
        <v>1</v>
      </c>
      <c r="E2034" s="1287"/>
      <c r="F2034" s="1287">
        <v>7785.6100000000006</v>
      </c>
      <c r="G2034" s="1286"/>
      <c r="H2034" s="34" t="s">
        <v>925</v>
      </c>
    </row>
    <row r="2035" spans="1:8" ht="33">
      <c r="A2035" s="1289"/>
      <c r="B2035" s="1289" t="s">
        <v>934</v>
      </c>
      <c r="C2035" s="1288" t="s">
        <v>1689</v>
      </c>
      <c r="D2035" s="1287"/>
      <c r="E2035" s="1287"/>
      <c r="F2035" s="1287">
        <v>7785.61</v>
      </c>
      <c r="G2035" s="1286"/>
      <c r="H2035" s="34" t="s">
        <v>925</v>
      </c>
    </row>
    <row r="2036" spans="1:8" ht="33">
      <c r="A2036" s="1289"/>
      <c r="B2036" s="1289"/>
      <c r="C2036" s="1288"/>
      <c r="D2036" s="1287"/>
      <c r="E2036" s="1287"/>
      <c r="F2036" s="1287"/>
      <c r="G2036" s="1286"/>
      <c r="H2036" s="34" t="s">
        <v>925</v>
      </c>
    </row>
    <row r="2037" spans="1:8" ht="42.75">
      <c r="A2037" s="1289" t="s">
        <v>2228</v>
      </c>
      <c r="B2037" s="1289" t="s">
        <v>4668</v>
      </c>
      <c r="C2037" s="1288" t="s">
        <v>1689</v>
      </c>
      <c r="D2037" s="1287">
        <v>1</v>
      </c>
      <c r="E2037" s="1287">
        <v>8964.5</v>
      </c>
      <c r="F2037" s="1287"/>
      <c r="G2037" s="1286" t="s">
        <v>4972</v>
      </c>
      <c r="H2037" s="34" t="s">
        <v>925</v>
      </c>
    </row>
    <row r="2038" spans="1:8" ht="42.75">
      <c r="A2038" s="1289">
        <v>1</v>
      </c>
      <c r="B2038" s="1289" t="s">
        <v>4973</v>
      </c>
      <c r="C2038" s="1288" t="s">
        <v>1875</v>
      </c>
      <c r="D2038" s="1287">
        <v>1</v>
      </c>
      <c r="E2038" s="1287">
        <v>8544.43</v>
      </c>
      <c r="F2038" s="1287">
        <v>8544.43</v>
      </c>
      <c r="G2038" s="1286" t="s">
        <v>4974</v>
      </c>
      <c r="H2038" s="34" t="s">
        <v>925</v>
      </c>
    </row>
    <row r="2039" spans="1:8" ht="33">
      <c r="A2039" s="1289">
        <v>2</v>
      </c>
      <c r="B2039" s="1289" t="s">
        <v>2026</v>
      </c>
      <c r="C2039" s="1288" t="s">
        <v>14</v>
      </c>
      <c r="D2039" s="1287">
        <v>1</v>
      </c>
      <c r="E2039" s="1287">
        <v>158.97</v>
      </c>
      <c r="F2039" s="1287">
        <v>158.97</v>
      </c>
      <c r="G2039" s="1286" t="s">
        <v>2027</v>
      </c>
      <c r="H2039" s="34" t="s">
        <v>925</v>
      </c>
    </row>
    <row r="2040" spans="1:8" ht="33">
      <c r="A2040" s="1289">
        <v>3</v>
      </c>
      <c r="B2040" s="1289" t="s">
        <v>931</v>
      </c>
      <c r="C2040" s="1288" t="s">
        <v>14</v>
      </c>
      <c r="D2040" s="1287">
        <v>1</v>
      </c>
      <c r="E2040" s="1287">
        <v>261.10000000000002</v>
      </c>
      <c r="F2040" s="1287">
        <v>261.10000000000002</v>
      </c>
      <c r="G2040" s="1286" t="s">
        <v>932</v>
      </c>
      <c r="H2040" s="34" t="s">
        <v>925</v>
      </c>
    </row>
    <row r="2041" spans="1:8" ht="33">
      <c r="A2041" s="1289"/>
      <c r="B2041" s="1289" t="s">
        <v>933</v>
      </c>
      <c r="C2041" s="1288" t="s">
        <v>1689</v>
      </c>
      <c r="D2041" s="1287">
        <v>1</v>
      </c>
      <c r="E2041" s="1287"/>
      <c r="F2041" s="1287">
        <v>8964.5</v>
      </c>
      <c r="G2041" s="1286"/>
      <c r="H2041" s="34" t="s">
        <v>925</v>
      </c>
    </row>
    <row r="2042" spans="1:8" ht="33">
      <c r="A2042" s="1289"/>
      <c r="B2042" s="1289" t="s">
        <v>934</v>
      </c>
      <c r="C2042" s="1288" t="s">
        <v>1689</v>
      </c>
      <c r="D2042" s="1287"/>
      <c r="E2042" s="1287"/>
      <c r="F2042" s="1287">
        <v>8964.5</v>
      </c>
      <c r="G2042" s="1286"/>
      <c r="H2042" s="34" t="s">
        <v>925</v>
      </c>
    </row>
    <row r="2043" spans="1:8" ht="33">
      <c r="A2043" s="1289"/>
      <c r="B2043" s="1289"/>
      <c r="C2043" s="1288"/>
      <c r="D2043" s="1287"/>
      <c r="E2043" s="1287"/>
      <c r="F2043" s="1287"/>
      <c r="G2043" s="1286"/>
      <c r="H2043" s="34" t="s">
        <v>925</v>
      </c>
    </row>
    <row r="2044" spans="1:8" ht="33">
      <c r="A2044" s="1289" t="s">
        <v>2231</v>
      </c>
      <c r="B2044" s="1289" t="s">
        <v>2022</v>
      </c>
      <c r="C2044" s="1288" t="s">
        <v>1689</v>
      </c>
      <c r="D2044" s="1287">
        <v>1</v>
      </c>
      <c r="E2044" s="1287">
        <v>2256.02</v>
      </c>
      <c r="F2044" s="1287"/>
      <c r="G2044" s="1286" t="s">
        <v>2023</v>
      </c>
      <c r="H2044" s="34" t="s">
        <v>925</v>
      </c>
    </row>
    <row r="2045" spans="1:8" ht="28.5">
      <c r="A2045" s="1289">
        <v>1</v>
      </c>
      <c r="B2045" s="1289" t="s">
        <v>2024</v>
      </c>
      <c r="C2045" s="1288" t="s">
        <v>18</v>
      </c>
      <c r="D2045" s="1287">
        <v>23.5</v>
      </c>
      <c r="E2045" s="1287">
        <v>86.44</v>
      </c>
      <c r="F2045" s="1287">
        <v>2031.34</v>
      </c>
      <c r="G2045" s="1286" t="s">
        <v>2025</v>
      </c>
    </row>
    <row r="2046" spans="1:8" ht="33">
      <c r="A2046" s="1289">
        <v>2</v>
      </c>
      <c r="B2046" s="1289" t="s">
        <v>2026</v>
      </c>
      <c r="C2046" s="1288" t="s">
        <v>14</v>
      </c>
      <c r="D2046" s="1287">
        <v>1</v>
      </c>
      <c r="E2046" s="1287">
        <v>158.97</v>
      </c>
      <c r="F2046" s="1287">
        <v>158.97</v>
      </c>
      <c r="G2046" s="1286" t="s">
        <v>2027</v>
      </c>
      <c r="H2046" s="34" t="s">
        <v>925</v>
      </c>
    </row>
    <row r="2047" spans="1:8" ht="33">
      <c r="A2047" s="1289">
        <v>3</v>
      </c>
      <c r="B2047" s="1289" t="s">
        <v>931</v>
      </c>
      <c r="C2047" s="1288" t="s">
        <v>14</v>
      </c>
      <c r="D2047" s="1287">
        <v>1</v>
      </c>
      <c r="E2047" s="1287">
        <v>65.709999999999994</v>
      </c>
      <c r="F2047" s="1287">
        <v>65.709999999999994</v>
      </c>
      <c r="G2047" s="1286" t="s">
        <v>932</v>
      </c>
      <c r="H2047" s="34" t="s">
        <v>925</v>
      </c>
    </row>
    <row r="2048" spans="1:8" ht="33">
      <c r="A2048" s="1289"/>
      <c r="B2048" s="1289" t="s">
        <v>933</v>
      </c>
      <c r="C2048" s="1288" t="s">
        <v>1689</v>
      </c>
      <c r="D2048" s="1287">
        <v>1</v>
      </c>
      <c r="E2048" s="1287"/>
      <c r="F2048" s="1287">
        <v>2256.02</v>
      </c>
      <c r="G2048" s="1286"/>
      <c r="H2048" s="34" t="s">
        <v>925</v>
      </c>
    </row>
    <row r="2049" spans="1:8" ht="33">
      <c r="A2049" s="1289"/>
      <c r="B2049" s="1289" t="s">
        <v>934</v>
      </c>
      <c r="C2049" s="1288" t="s">
        <v>1689</v>
      </c>
      <c r="D2049" s="1287"/>
      <c r="E2049" s="1287"/>
      <c r="F2049" s="1287">
        <v>2256.02</v>
      </c>
      <c r="G2049" s="1286"/>
      <c r="H2049" s="34" t="s">
        <v>925</v>
      </c>
    </row>
    <row r="2050" spans="1:8" ht="33">
      <c r="A2050" s="1289"/>
      <c r="B2050" s="1289"/>
      <c r="C2050" s="1288"/>
      <c r="D2050" s="1287"/>
      <c r="E2050" s="1287"/>
      <c r="F2050" s="1287"/>
      <c r="G2050" s="1286"/>
      <c r="H2050" s="34" t="s">
        <v>925</v>
      </c>
    </row>
    <row r="2051" spans="1:8" ht="33">
      <c r="A2051" s="1289" t="s">
        <v>2236</v>
      </c>
      <c r="B2051" s="1289" t="s">
        <v>2029</v>
      </c>
      <c r="C2051" s="1288" t="s">
        <v>1689</v>
      </c>
      <c r="D2051" s="1287">
        <v>1</v>
      </c>
      <c r="E2051" s="1287">
        <v>2843.63</v>
      </c>
      <c r="F2051" s="1287"/>
      <c r="G2051" s="1286" t="s">
        <v>2030</v>
      </c>
      <c r="H2051" s="34" t="s">
        <v>925</v>
      </c>
    </row>
    <row r="2052" spans="1:8" ht="33">
      <c r="A2052" s="1289">
        <v>1</v>
      </c>
      <c r="B2052" s="1289" t="s">
        <v>2024</v>
      </c>
      <c r="C2052" s="1288" t="s">
        <v>18</v>
      </c>
      <c r="D2052" s="1287">
        <v>30.1</v>
      </c>
      <c r="E2052" s="1287">
        <v>86.44</v>
      </c>
      <c r="F2052" s="1287">
        <v>2601.84</v>
      </c>
      <c r="G2052" s="1286" t="s">
        <v>2025</v>
      </c>
      <c r="H2052" s="34" t="s">
        <v>925</v>
      </c>
    </row>
    <row r="2053" spans="1:8" ht="33">
      <c r="A2053" s="1289">
        <v>2</v>
      </c>
      <c r="B2053" s="1289" t="s">
        <v>2026</v>
      </c>
      <c r="C2053" s="1288" t="s">
        <v>14</v>
      </c>
      <c r="D2053" s="1287">
        <v>1</v>
      </c>
      <c r="E2053" s="1287">
        <v>158.97</v>
      </c>
      <c r="F2053" s="1287">
        <v>158.97</v>
      </c>
      <c r="G2053" s="1286" t="s">
        <v>2027</v>
      </c>
      <c r="H2053" s="34" t="s">
        <v>925</v>
      </c>
    </row>
    <row r="2054" spans="1:8" ht="33">
      <c r="A2054" s="1289">
        <v>3</v>
      </c>
      <c r="B2054" s="1289" t="s">
        <v>931</v>
      </c>
      <c r="C2054" s="1288" t="s">
        <v>14</v>
      </c>
      <c r="D2054" s="1287">
        <v>1</v>
      </c>
      <c r="E2054" s="1287">
        <v>82.82</v>
      </c>
      <c r="F2054" s="1287">
        <v>82.82</v>
      </c>
      <c r="G2054" s="1286" t="s">
        <v>932</v>
      </c>
      <c r="H2054" s="34" t="s">
        <v>925</v>
      </c>
    </row>
    <row r="2055" spans="1:8" ht="33">
      <c r="A2055" s="1289"/>
      <c r="B2055" s="1289" t="s">
        <v>933</v>
      </c>
      <c r="C2055" s="1288" t="s">
        <v>1689</v>
      </c>
      <c r="D2055" s="1287">
        <v>1</v>
      </c>
      <c r="E2055" s="1287"/>
      <c r="F2055" s="1287">
        <v>2843.63</v>
      </c>
      <c r="G2055" s="1286"/>
      <c r="H2055" s="34" t="s">
        <v>925</v>
      </c>
    </row>
    <row r="2056" spans="1:8" ht="33">
      <c r="A2056" s="1289"/>
      <c r="B2056" s="1289" t="s">
        <v>934</v>
      </c>
      <c r="C2056" s="1288" t="s">
        <v>1689</v>
      </c>
      <c r="D2056" s="1287"/>
      <c r="E2056" s="1287"/>
      <c r="F2056" s="1287">
        <v>2843.63</v>
      </c>
      <c r="G2056" s="1286"/>
      <c r="H2056" s="34" t="s">
        <v>925</v>
      </c>
    </row>
    <row r="2057" spans="1:8" ht="33">
      <c r="A2057" s="1289"/>
      <c r="B2057" s="1289"/>
      <c r="C2057" s="1288"/>
      <c r="D2057" s="1287"/>
      <c r="E2057" s="1287"/>
      <c r="F2057" s="1287"/>
      <c r="G2057" s="1286"/>
      <c r="H2057" s="34" t="s">
        <v>925</v>
      </c>
    </row>
    <row r="2058" spans="1:8" ht="28.5">
      <c r="A2058" s="1289" t="s">
        <v>2244</v>
      </c>
      <c r="B2058" s="1289" t="s">
        <v>2032</v>
      </c>
      <c r="C2058" s="1288" t="s">
        <v>1689</v>
      </c>
      <c r="D2058" s="1287">
        <v>1</v>
      </c>
      <c r="E2058" s="1287">
        <v>3110.97</v>
      </c>
      <c r="F2058" s="1287"/>
      <c r="G2058" s="1286" t="s">
        <v>2033</v>
      </c>
    </row>
    <row r="2059" spans="1:8" ht="42.75">
      <c r="A2059" s="1289">
        <v>1</v>
      </c>
      <c r="B2059" s="1289" t="s">
        <v>2034</v>
      </c>
      <c r="C2059" s="1288" t="s">
        <v>1875</v>
      </c>
      <c r="D2059" s="1287">
        <v>1</v>
      </c>
      <c r="E2059" s="1287">
        <v>2861.39</v>
      </c>
      <c r="F2059" s="1287">
        <v>2861.39</v>
      </c>
      <c r="G2059" s="1286" t="s">
        <v>2035</v>
      </c>
      <c r="H2059" s="34" t="s">
        <v>925</v>
      </c>
    </row>
    <row r="2060" spans="1:8" ht="33">
      <c r="A2060" s="1289">
        <v>2</v>
      </c>
      <c r="B2060" s="1289" t="s">
        <v>2026</v>
      </c>
      <c r="C2060" s="1288" t="s">
        <v>14</v>
      </c>
      <c r="D2060" s="1287">
        <v>1</v>
      </c>
      <c r="E2060" s="1287">
        <v>158.97</v>
      </c>
      <c r="F2060" s="1287">
        <v>158.97</v>
      </c>
      <c r="G2060" s="1286" t="s">
        <v>2027</v>
      </c>
      <c r="H2060" s="34" t="s">
        <v>925</v>
      </c>
    </row>
    <row r="2061" spans="1:8" ht="33">
      <c r="A2061" s="1289">
        <v>3</v>
      </c>
      <c r="B2061" s="1289" t="s">
        <v>931</v>
      </c>
      <c r="C2061" s="1288" t="s">
        <v>14</v>
      </c>
      <c r="D2061" s="1287">
        <v>1</v>
      </c>
      <c r="E2061" s="1287">
        <v>90.61</v>
      </c>
      <c r="F2061" s="1287">
        <v>90.61</v>
      </c>
      <c r="G2061" s="1286" t="s">
        <v>932</v>
      </c>
      <c r="H2061" s="34" t="s">
        <v>925</v>
      </c>
    </row>
    <row r="2062" spans="1:8" ht="33">
      <c r="A2062" s="1289"/>
      <c r="B2062" s="1289" t="s">
        <v>933</v>
      </c>
      <c r="C2062" s="1288" t="s">
        <v>1689</v>
      </c>
      <c r="D2062" s="1287">
        <v>1</v>
      </c>
      <c r="E2062" s="1287"/>
      <c r="F2062" s="1287">
        <v>3110.97</v>
      </c>
      <c r="G2062" s="1286"/>
      <c r="H2062" s="34" t="s">
        <v>925</v>
      </c>
    </row>
    <row r="2063" spans="1:8" ht="33">
      <c r="A2063" s="1289"/>
      <c r="B2063" s="1289" t="s">
        <v>934</v>
      </c>
      <c r="C2063" s="1288" t="s">
        <v>1689</v>
      </c>
      <c r="D2063" s="1287"/>
      <c r="E2063" s="1287"/>
      <c r="F2063" s="1287">
        <v>3110.97</v>
      </c>
      <c r="G2063" s="1286"/>
      <c r="H2063" s="34" t="s">
        <v>925</v>
      </c>
    </row>
    <row r="2064" spans="1:8" ht="33">
      <c r="A2064" s="1289"/>
      <c r="B2064" s="1289"/>
      <c r="C2064" s="1288"/>
      <c r="D2064" s="1287"/>
      <c r="E2064" s="1287"/>
      <c r="F2064" s="1287"/>
      <c r="G2064" s="1286"/>
      <c r="H2064" s="34" t="s">
        <v>925</v>
      </c>
    </row>
    <row r="2065" spans="1:8" ht="33">
      <c r="A2065" s="1289" t="s">
        <v>2255</v>
      </c>
      <c r="B2065" s="1289" t="s">
        <v>2037</v>
      </c>
      <c r="C2065" s="1288" t="s">
        <v>1689</v>
      </c>
      <c r="D2065" s="1287">
        <v>1</v>
      </c>
      <c r="E2065" s="1287">
        <v>3581.71</v>
      </c>
      <c r="F2065" s="1287"/>
      <c r="G2065" s="1286" t="s">
        <v>2038</v>
      </c>
      <c r="H2065" s="34" t="s">
        <v>925</v>
      </c>
    </row>
    <row r="2066" spans="1:8" ht="42.75">
      <c r="A2066" s="1289">
        <v>1</v>
      </c>
      <c r="B2066" s="1289" t="s">
        <v>2039</v>
      </c>
      <c r="C2066" s="1288" t="s">
        <v>1875</v>
      </c>
      <c r="D2066" s="1287">
        <v>1</v>
      </c>
      <c r="E2066" s="1287">
        <v>3318.42</v>
      </c>
      <c r="F2066" s="1287">
        <v>3318.42</v>
      </c>
      <c r="G2066" s="1286" t="s">
        <v>2040</v>
      </c>
    </row>
    <row r="2067" spans="1:8" ht="33">
      <c r="A2067" s="1289">
        <v>2</v>
      </c>
      <c r="B2067" s="1289" t="s">
        <v>2026</v>
      </c>
      <c r="C2067" s="1288" t="s">
        <v>14</v>
      </c>
      <c r="D2067" s="1287">
        <v>1</v>
      </c>
      <c r="E2067" s="1287">
        <v>158.97</v>
      </c>
      <c r="F2067" s="1287">
        <v>158.97</v>
      </c>
      <c r="G2067" s="1286" t="s">
        <v>2027</v>
      </c>
      <c r="H2067" s="34" t="s">
        <v>925</v>
      </c>
    </row>
    <row r="2068" spans="1:8" ht="33">
      <c r="A2068" s="1289">
        <v>3</v>
      </c>
      <c r="B2068" s="1289" t="s">
        <v>931</v>
      </c>
      <c r="C2068" s="1288" t="s">
        <v>14</v>
      </c>
      <c r="D2068" s="1287">
        <v>1</v>
      </c>
      <c r="E2068" s="1287">
        <v>104.32</v>
      </c>
      <c r="F2068" s="1287">
        <v>104.32</v>
      </c>
      <c r="G2068" s="1286" t="s">
        <v>932</v>
      </c>
      <c r="H2068" s="34" t="s">
        <v>925</v>
      </c>
    </row>
    <row r="2069" spans="1:8" ht="33">
      <c r="A2069" s="1289"/>
      <c r="B2069" s="1289" t="s">
        <v>933</v>
      </c>
      <c r="C2069" s="1288" t="s">
        <v>1689</v>
      </c>
      <c r="D2069" s="1287">
        <v>1</v>
      </c>
      <c r="E2069" s="1287"/>
      <c r="F2069" s="1287">
        <v>3581.71</v>
      </c>
      <c r="G2069" s="1286"/>
      <c r="H2069" s="34" t="s">
        <v>925</v>
      </c>
    </row>
    <row r="2070" spans="1:8" ht="33">
      <c r="A2070" s="1289"/>
      <c r="B2070" s="1289" t="s">
        <v>934</v>
      </c>
      <c r="C2070" s="1288" t="s">
        <v>1689</v>
      </c>
      <c r="D2070" s="1287"/>
      <c r="E2070" s="1287"/>
      <c r="F2070" s="1287">
        <v>3581.71</v>
      </c>
      <c r="G2070" s="1286"/>
      <c r="H2070" s="34" t="s">
        <v>925</v>
      </c>
    </row>
    <row r="2071" spans="1:8" ht="33">
      <c r="A2071" s="1289"/>
      <c r="B2071" s="1289"/>
      <c r="C2071" s="1288"/>
      <c r="D2071" s="1287"/>
      <c r="E2071" s="1287"/>
      <c r="F2071" s="1287"/>
      <c r="G2071" s="1286"/>
      <c r="H2071" s="34" t="s">
        <v>925</v>
      </c>
    </row>
    <row r="2072" spans="1:8" ht="33">
      <c r="A2072" s="1289" t="s">
        <v>2258</v>
      </c>
      <c r="B2072" s="1289" t="s">
        <v>2042</v>
      </c>
      <c r="C2072" s="1288" t="s">
        <v>1689</v>
      </c>
      <c r="D2072" s="1287">
        <v>1</v>
      </c>
      <c r="E2072" s="1287">
        <v>3919.42</v>
      </c>
      <c r="F2072" s="1287"/>
      <c r="G2072" s="1286" t="s">
        <v>2043</v>
      </c>
      <c r="H2072" s="34" t="s">
        <v>925</v>
      </c>
    </row>
    <row r="2073" spans="1:8" ht="33">
      <c r="A2073" s="1289">
        <v>1</v>
      </c>
      <c r="B2073" s="1289" t="s">
        <v>2026</v>
      </c>
      <c r="C2073" s="1288" t="s">
        <v>14</v>
      </c>
      <c r="D2073" s="1287">
        <v>1</v>
      </c>
      <c r="E2073" s="1287">
        <v>158.97</v>
      </c>
      <c r="F2073" s="1287">
        <v>158.97</v>
      </c>
      <c r="G2073" s="1286" t="s">
        <v>2027</v>
      </c>
      <c r="H2073" s="34" t="s">
        <v>925</v>
      </c>
    </row>
    <row r="2074" spans="1:8" ht="42.75">
      <c r="A2074" s="1289">
        <v>2</v>
      </c>
      <c r="B2074" s="1289" t="s">
        <v>2044</v>
      </c>
      <c r="C2074" s="1288" t="s">
        <v>1875</v>
      </c>
      <c r="D2074" s="1287">
        <v>1</v>
      </c>
      <c r="E2074" s="1287">
        <v>3646.29</v>
      </c>
      <c r="F2074" s="1287">
        <v>3646.29</v>
      </c>
      <c r="G2074" s="1286" t="s">
        <v>2045</v>
      </c>
      <c r="H2074" s="34" t="s">
        <v>925</v>
      </c>
    </row>
    <row r="2075" spans="1:8" ht="33">
      <c r="A2075" s="1289">
        <v>3</v>
      </c>
      <c r="B2075" s="1289" t="s">
        <v>931</v>
      </c>
      <c r="C2075" s="1288" t="s">
        <v>14</v>
      </c>
      <c r="D2075" s="1287">
        <v>1</v>
      </c>
      <c r="E2075" s="1287">
        <v>114.16</v>
      </c>
      <c r="F2075" s="1287">
        <v>114.16</v>
      </c>
      <c r="G2075" s="1286" t="s">
        <v>932</v>
      </c>
      <c r="H2075" s="34" t="s">
        <v>925</v>
      </c>
    </row>
    <row r="2076" spans="1:8" ht="33">
      <c r="A2076" s="1289"/>
      <c r="B2076" s="1289" t="s">
        <v>933</v>
      </c>
      <c r="C2076" s="1288" t="s">
        <v>1689</v>
      </c>
      <c r="D2076" s="1287">
        <v>1</v>
      </c>
      <c r="E2076" s="1287"/>
      <c r="F2076" s="1287">
        <v>3919.4199999999996</v>
      </c>
      <c r="G2076" s="1286"/>
      <c r="H2076" s="34" t="s">
        <v>925</v>
      </c>
    </row>
    <row r="2077" spans="1:8" ht="33">
      <c r="A2077" s="1289"/>
      <c r="B2077" s="1289" t="s">
        <v>934</v>
      </c>
      <c r="C2077" s="1288" t="s">
        <v>1689</v>
      </c>
      <c r="D2077" s="1287"/>
      <c r="E2077" s="1287"/>
      <c r="F2077" s="1287">
        <v>3919.42</v>
      </c>
      <c r="G2077" s="1286"/>
      <c r="H2077" s="34" t="s">
        <v>925</v>
      </c>
    </row>
    <row r="2078" spans="1:8" ht="16.5">
      <c r="A2078" s="1289"/>
      <c r="B2078" s="1289"/>
      <c r="C2078" s="1288"/>
      <c r="D2078" s="1287"/>
      <c r="E2078" s="1287"/>
      <c r="F2078" s="1287"/>
      <c r="G2078" s="1286"/>
    </row>
    <row r="2079" spans="1:8" ht="33">
      <c r="A2079" s="1289" t="s">
        <v>2261</v>
      </c>
      <c r="B2079" s="1289" t="s">
        <v>2047</v>
      </c>
      <c r="C2079" s="1288" t="s">
        <v>18</v>
      </c>
      <c r="D2079" s="1287">
        <v>1000</v>
      </c>
      <c r="E2079" s="1287">
        <v>88.24</v>
      </c>
      <c r="F2079" s="1287"/>
      <c r="G2079" s="1286" t="s">
        <v>2048</v>
      </c>
      <c r="H2079" s="34" t="s">
        <v>925</v>
      </c>
    </row>
    <row r="2080" spans="1:8" ht="33">
      <c r="A2080" s="1289">
        <v>1</v>
      </c>
      <c r="B2080" s="1289" t="s">
        <v>2049</v>
      </c>
      <c r="C2080" s="1288" t="s">
        <v>18</v>
      </c>
      <c r="D2080" s="1287">
        <v>1000</v>
      </c>
      <c r="E2080" s="1287">
        <v>31.79</v>
      </c>
      <c r="F2080" s="1287">
        <v>31790</v>
      </c>
      <c r="G2080" s="1286" t="s">
        <v>2050</v>
      </c>
      <c r="H2080" s="34" t="s">
        <v>925</v>
      </c>
    </row>
    <row r="2081" spans="1:8" ht="33">
      <c r="A2081" s="1289">
        <v>2</v>
      </c>
      <c r="B2081" s="1289" t="s">
        <v>1437</v>
      </c>
      <c r="C2081" s="1288" t="s">
        <v>18</v>
      </c>
      <c r="D2081" s="1287">
        <v>1000</v>
      </c>
      <c r="E2081" s="1287">
        <v>35.340000000000003</v>
      </c>
      <c r="F2081" s="1287">
        <v>35340</v>
      </c>
      <c r="G2081" s="1286" t="s">
        <v>4975</v>
      </c>
      <c r="H2081" s="34" t="s">
        <v>925</v>
      </c>
    </row>
    <row r="2082" spans="1:8" ht="42.75">
      <c r="A2082" s="1289">
        <v>3</v>
      </c>
      <c r="B2082" s="1289" t="s">
        <v>2051</v>
      </c>
      <c r="C2082" s="1288" t="s">
        <v>18</v>
      </c>
      <c r="D2082" s="1287">
        <v>1000</v>
      </c>
      <c r="E2082" s="1287">
        <v>18.38</v>
      </c>
      <c r="F2082" s="1287">
        <v>18380</v>
      </c>
      <c r="G2082" s="1286" t="s">
        <v>2052</v>
      </c>
      <c r="H2082" s="34" t="s">
        <v>925</v>
      </c>
    </row>
    <row r="2083" spans="1:8" ht="33">
      <c r="A2083" s="1289">
        <v>4</v>
      </c>
      <c r="B2083" s="1289" t="s">
        <v>2026</v>
      </c>
      <c r="C2083" s="1288" t="s">
        <v>14</v>
      </c>
      <c r="D2083" s="1287">
        <v>1</v>
      </c>
      <c r="E2083" s="1287">
        <v>158.97</v>
      </c>
      <c r="F2083" s="1287">
        <v>158.97</v>
      </c>
      <c r="G2083" s="1286" t="s">
        <v>2027</v>
      </c>
      <c r="H2083" s="34" t="s">
        <v>925</v>
      </c>
    </row>
    <row r="2084" spans="1:8" ht="33">
      <c r="A2084" s="1289">
        <v>5</v>
      </c>
      <c r="B2084" s="1289" t="s">
        <v>931</v>
      </c>
      <c r="C2084" s="1288" t="s">
        <v>14</v>
      </c>
      <c r="D2084" s="1287">
        <v>1</v>
      </c>
      <c r="E2084" s="1287">
        <v>2570.0700000000002</v>
      </c>
      <c r="F2084" s="1287">
        <v>2570.0700000000002</v>
      </c>
      <c r="G2084" s="1286" t="s">
        <v>932</v>
      </c>
      <c r="H2084" s="34" t="s">
        <v>925</v>
      </c>
    </row>
    <row r="2085" spans="1:8" ht="33">
      <c r="A2085" s="1289"/>
      <c r="B2085" s="1289" t="s">
        <v>933</v>
      </c>
      <c r="C2085" s="1288" t="s">
        <v>18</v>
      </c>
      <c r="D2085" s="1287">
        <v>1000</v>
      </c>
      <c r="E2085" s="1287"/>
      <c r="F2085" s="1287">
        <v>88239.040000000008</v>
      </c>
      <c r="G2085" s="1286"/>
      <c r="H2085" s="34" t="s">
        <v>925</v>
      </c>
    </row>
    <row r="2086" spans="1:8" ht="33">
      <c r="A2086" s="1289"/>
      <c r="B2086" s="1289" t="s">
        <v>934</v>
      </c>
      <c r="C2086" s="1288" t="s">
        <v>18</v>
      </c>
      <c r="D2086" s="1287"/>
      <c r="E2086" s="1287"/>
      <c r="F2086" s="1287">
        <v>88.24</v>
      </c>
      <c r="G2086" s="1286"/>
      <c r="H2086" s="34" t="s">
        <v>925</v>
      </c>
    </row>
    <row r="2087" spans="1:8" ht="33">
      <c r="A2087" s="1289"/>
      <c r="B2087" s="1289"/>
      <c r="C2087" s="1288"/>
      <c r="D2087" s="1287"/>
      <c r="E2087" s="1287"/>
      <c r="F2087" s="1287"/>
      <c r="G2087" s="1286"/>
      <c r="H2087" s="34" t="s">
        <v>925</v>
      </c>
    </row>
    <row r="2088" spans="1:8" ht="33">
      <c r="A2088" s="1289" t="s">
        <v>2264</v>
      </c>
      <c r="B2088" s="1289" t="s">
        <v>2054</v>
      </c>
      <c r="C2088" s="1288" t="s">
        <v>1689</v>
      </c>
      <c r="D2088" s="1287">
        <v>1</v>
      </c>
      <c r="E2088" s="1287">
        <v>3591.94</v>
      </c>
      <c r="F2088" s="1287"/>
      <c r="G2088" s="1286" t="s">
        <v>2055</v>
      </c>
      <c r="H2088" s="34" t="s">
        <v>925</v>
      </c>
    </row>
    <row r="2089" spans="1:8" ht="42.75">
      <c r="A2089" s="1289">
        <v>1</v>
      </c>
      <c r="B2089" s="1289" t="s">
        <v>2056</v>
      </c>
      <c r="C2089" s="1288" t="s">
        <v>1689</v>
      </c>
      <c r="D2089" s="1287">
        <v>1</v>
      </c>
      <c r="E2089" s="1287">
        <v>3328.35</v>
      </c>
      <c r="F2089" s="1287">
        <v>3328.35</v>
      </c>
      <c r="G2089" s="1286" t="s">
        <v>2057</v>
      </c>
      <c r="H2089" s="34" t="s">
        <v>925</v>
      </c>
    </row>
    <row r="2090" spans="1:8" ht="28.5">
      <c r="A2090" s="1289">
        <v>2</v>
      </c>
      <c r="B2090" s="1289" t="s">
        <v>2026</v>
      </c>
      <c r="C2090" s="1288" t="s">
        <v>14</v>
      </c>
      <c r="D2090" s="1287">
        <v>1</v>
      </c>
      <c r="E2090" s="1287">
        <v>158.97</v>
      </c>
      <c r="F2090" s="1287">
        <v>158.97</v>
      </c>
      <c r="G2090" s="1286" t="s">
        <v>2027</v>
      </c>
    </row>
    <row r="2091" spans="1:8" ht="33">
      <c r="A2091" s="1289">
        <v>3</v>
      </c>
      <c r="B2091" s="1289" t="s">
        <v>931</v>
      </c>
      <c r="C2091" s="1288" t="s">
        <v>14</v>
      </c>
      <c r="D2091" s="1287">
        <v>1</v>
      </c>
      <c r="E2091" s="1287">
        <v>104.62</v>
      </c>
      <c r="F2091" s="1287">
        <v>104.62</v>
      </c>
      <c r="G2091" s="1286" t="s">
        <v>932</v>
      </c>
      <c r="H2091" s="34" t="s">
        <v>925</v>
      </c>
    </row>
    <row r="2092" spans="1:8" ht="33">
      <c r="A2092" s="1289"/>
      <c r="B2092" s="1289" t="s">
        <v>933</v>
      </c>
      <c r="C2092" s="1288" t="s">
        <v>1689</v>
      </c>
      <c r="D2092" s="1287">
        <v>1</v>
      </c>
      <c r="E2092" s="1287"/>
      <c r="F2092" s="1287">
        <v>3591.9399999999996</v>
      </c>
      <c r="G2092" s="1286"/>
      <c r="H2092" s="34" t="s">
        <v>925</v>
      </c>
    </row>
    <row r="2093" spans="1:8" ht="33">
      <c r="A2093" s="1289"/>
      <c r="B2093" s="1289" t="s">
        <v>934</v>
      </c>
      <c r="C2093" s="1288" t="s">
        <v>1689</v>
      </c>
      <c r="D2093" s="1287"/>
      <c r="E2093" s="1287"/>
      <c r="F2093" s="1287">
        <v>3591.94</v>
      </c>
      <c r="G2093" s="1286"/>
      <c r="H2093" s="34" t="s">
        <v>925</v>
      </c>
    </row>
    <row r="2094" spans="1:8" ht="33">
      <c r="A2094" s="1289"/>
      <c r="B2094" s="1289"/>
      <c r="C2094" s="1288"/>
      <c r="D2094" s="1287"/>
      <c r="E2094" s="1287"/>
      <c r="F2094" s="1287"/>
      <c r="G2094" s="1286"/>
      <c r="H2094" s="34" t="s">
        <v>925</v>
      </c>
    </row>
    <row r="2095" spans="1:8" ht="33">
      <c r="A2095" s="1289" t="s">
        <v>2273</v>
      </c>
      <c r="B2095" s="1289" t="s">
        <v>2059</v>
      </c>
      <c r="C2095" s="1288" t="s">
        <v>1689</v>
      </c>
      <c r="D2095" s="1287">
        <v>1</v>
      </c>
      <c r="E2095" s="1287">
        <v>4103.6099999999997</v>
      </c>
      <c r="F2095" s="1287"/>
      <c r="G2095" s="1286" t="s">
        <v>2060</v>
      </c>
      <c r="H2095" s="34" t="s">
        <v>925</v>
      </c>
    </row>
    <row r="2096" spans="1:8" ht="42.75">
      <c r="A2096" s="1289">
        <v>1</v>
      </c>
      <c r="B2096" s="1289" t="s">
        <v>2061</v>
      </c>
      <c r="C2096" s="1288" t="s">
        <v>1875</v>
      </c>
      <c r="D2096" s="1287">
        <v>1</v>
      </c>
      <c r="E2096" s="1287">
        <v>3825.12</v>
      </c>
      <c r="F2096" s="1287">
        <v>3825.12</v>
      </c>
      <c r="G2096" s="1286" t="s">
        <v>2062</v>
      </c>
      <c r="H2096" s="34" t="s">
        <v>925</v>
      </c>
    </row>
    <row r="2097" spans="1:8" ht="33">
      <c r="A2097" s="1289">
        <v>2</v>
      </c>
      <c r="B2097" s="1289" t="s">
        <v>2026</v>
      </c>
      <c r="C2097" s="1288" t="s">
        <v>14</v>
      </c>
      <c r="D2097" s="1287">
        <v>1</v>
      </c>
      <c r="E2097" s="1287">
        <v>158.97</v>
      </c>
      <c r="F2097" s="1287">
        <v>158.97</v>
      </c>
      <c r="G2097" s="1286" t="s">
        <v>2027</v>
      </c>
      <c r="H2097" s="34" t="s">
        <v>925</v>
      </c>
    </row>
    <row r="2098" spans="1:8" ht="33">
      <c r="A2098" s="1289">
        <v>3</v>
      </c>
      <c r="B2098" s="1289" t="s">
        <v>931</v>
      </c>
      <c r="C2098" s="1288" t="s">
        <v>14</v>
      </c>
      <c r="D2098" s="1287">
        <v>1</v>
      </c>
      <c r="E2098" s="1287">
        <v>119.52</v>
      </c>
      <c r="F2098" s="1287">
        <v>119.52</v>
      </c>
      <c r="G2098" s="1286" t="s">
        <v>932</v>
      </c>
      <c r="H2098" s="34" t="s">
        <v>925</v>
      </c>
    </row>
    <row r="2099" spans="1:8" ht="33">
      <c r="A2099" s="1289"/>
      <c r="B2099" s="1289" t="s">
        <v>933</v>
      </c>
      <c r="C2099" s="1288" t="s">
        <v>1689</v>
      </c>
      <c r="D2099" s="1287">
        <v>1</v>
      </c>
      <c r="E2099" s="1287"/>
      <c r="F2099" s="1287">
        <v>4103.6099999999997</v>
      </c>
      <c r="G2099" s="1286"/>
      <c r="H2099" s="34" t="s">
        <v>925</v>
      </c>
    </row>
    <row r="2100" spans="1:8" ht="33">
      <c r="A2100" s="1289"/>
      <c r="B2100" s="1289" t="s">
        <v>934</v>
      </c>
      <c r="C2100" s="1288" t="s">
        <v>1689</v>
      </c>
      <c r="D2100" s="1287"/>
      <c r="E2100" s="1287"/>
      <c r="F2100" s="1287">
        <v>4103.6099999999997</v>
      </c>
      <c r="G2100" s="1286"/>
      <c r="H2100" s="34" t="s">
        <v>925</v>
      </c>
    </row>
    <row r="2101" spans="1:8" ht="33">
      <c r="A2101" s="1289"/>
      <c r="B2101" s="1289"/>
      <c r="C2101" s="1288"/>
      <c r="D2101" s="1287"/>
      <c r="E2101" s="1287"/>
      <c r="F2101" s="1287"/>
      <c r="G2101" s="1286"/>
      <c r="H2101" s="34" t="s">
        <v>925</v>
      </c>
    </row>
    <row r="2102" spans="1:8" ht="28.5">
      <c r="A2102" s="1289" t="s">
        <v>2280</v>
      </c>
      <c r="B2102" s="1289" t="s">
        <v>2064</v>
      </c>
      <c r="C2102" s="1288" t="s">
        <v>1689</v>
      </c>
      <c r="D2102" s="1287">
        <v>1</v>
      </c>
      <c r="E2102" s="1287">
        <v>4717.62</v>
      </c>
      <c r="F2102" s="1287"/>
      <c r="G2102" s="1286" t="s">
        <v>2065</v>
      </c>
    </row>
    <row r="2103" spans="1:8" ht="42.75">
      <c r="A2103" s="1289">
        <v>1</v>
      </c>
      <c r="B2103" s="1289" t="s">
        <v>2066</v>
      </c>
      <c r="C2103" s="1288" t="s">
        <v>1875</v>
      </c>
      <c r="D2103" s="1287">
        <v>1</v>
      </c>
      <c r="E2103" s="1287">
        <v>4421.24</v>
      </c>
      <c r="F2103" s="1287">
        <v>4421.24</v>
      </c>
      <c r="G2103" s="1286" t="s">
        <v>2067</v>
      </c>
      <c r="H2103" s="34" t="s">
        <v>925</v>
      </c>
    </row>
    <row r="2104" spans="1:8" ht="33">
      <c r="A2104" s="1289">
        <v>2</v>
      </c>
      <c r="B2104" s="1289" t="s">
        <v>2026</v>
      </c>
      <c r="C2104" s="1288" t="s">
        <v>14</v>
      </c>
      <c r="D2104" s="1287">
        <v>1</v>
      </c>
      <c r="E2104" s="1287">
        <v>158.97</v>
      </c>
      <c r="F2104" s="1287">
        <v>158.97</v>
      </c>
      <c r="G2104" s="1286" t="s">
        <v>2027</v>
      </c>
      <c r="H2104" s="34" t="s">
        <v>925</v>
      </c>
    </row>
    <row r="2105" spans="1:8" ht="33">
      <c r="A2105" s="1289">
        <v>3</v>
      </c>
      <c r="B2105" s="1289" t="s">
        <v>931</v>
      </c>
      <c r="C2105" s="1288" t="s">
        <v>14</v>
      </c>
      <c r="D2105" s="1287">
        <v>1</v>
      </c>
      <c r="E2105" s="1287">
        <v>137.41</v>
      </c>
      <c r="F2105" s="1287">
        <v>137.41</v>
      </c>
      <c r="G2105" s="1286" t="s">
        <v>932</v>
      </c>
      <c r="H2105" s="34" t="s">
        <v>925</v>
      </c>
    </row>
    <row r="2106" spans="1:8" ht="33">
      <c r="A2106" s="1289"/>
      <c r="B2106" s="1289" t="s">
        <v>933</v>
      </c>
      <c r="C2106" s="1288" t="s">
        <v>1689</v>
      </c>
      <c r="D2106" s="1287">
        <v>1</v>
      </c>
      <c r="E2106" s="1287"/>
      <c r="F2106" s="1287">
        <v>4717.62</v>
      </c>
      <c r="G2106" s="1286"/>
      <c r="H2106" s="34" t="s">
        <v>925</v>
      </c>
    </row>
    <row r="2107" spans="1:8" ht="33">
      <c r="A2107" s="1289"/>
      <c r="B2107" s="1289" t="s">
        <v>934</v>
      </c>
      <c r="C2107" s="1288" t="s">
        <v>1689</v>
      </c>
      <c r="D2107" s="1287"/>
      <c r="E2107" s="1287"/>
      <c r="F2107" s="1287">
        <v>4717.62</v>
      </c>
      <c r="G2107" s="1286"/>
      <c r="H2107" s="34" t="s">
        <v>925</v>
      </c>
    </row>
    <row r="2108" spans="1:8" ht="33">
      <c r="A2108" s="1289"/>
      <c r="B2108" s="1289"/>
      <c r="C2108" s="1288"/>
      <c r="D2108" s="1287"/>
      <c r="E2108" s="1287"/>
      <c r="F2108" s="1287"/>
      <c r="G2108" s="1286"/>
      <c r="H2108" s="34" t="s">
        <v>925</v>
      </c>
    </row>
    <row r="2109" spans="1:8" ht="42.75">
      <c r="A2109" s="1289" t="s">
        <v>2291</v>
      </c>
      <c r="B2109" s="1289" t="s">
        <v>2069</v>
      </c>
      <c r="C2109" s="1288" t="s">
        <v>1875</v>
      </c>
      <c r="D2109" s="1287">
        <v>1</v>
      </c>
      <c r="E2109" s="1287">
        <v>6713.14</v>
      </c>
      <c r="F2109" s="1287"/>
      <c r="G2109" s="1286" t="s">
        <v>2070</v>
      </c>
      <c r="H2109" s="34" t="s">
        <v>925</v>
      </c>
    </row>
    <row r="2110" spans="1:8" ht="33">
      <c r="A2110" s="1289">
        <v>1</v>
      </c>
      <c r="B2110" s="1289" t="s">
        <v>2071</v>
      </c>
      <c r="C2110" s="1288" t="s">
        <v>1875</v>
      </c>
      <c r="D2110" s="1287">
        <v>1</v>
      </c>
      <c r="E2110" s="1287">
        <v>6169.87</v>
      </c>
      <c r="F2110" s="1287">
        <v>6169.87</v>
      </c>
      <c r="G2110" s="1286" t="s">
        <v>2072</v>
      </c>
      <c r="H2110" s="34" t="s">
        <v>925</v>
      </c>
    </row>
    <row r="2111" spans="1:8" ht="33">
      <c r="A2111" s="1289">
        <v>2</v>
      </c>
      <c r="B2111" s="1289" t="s">
        <v>2073</v>
      </c>
      <c r="C2111" s="1288" t="s">
        <v>14</v>
      </c>
      <c r="D2111" s="1287">
        <v>1</v>
      </c>
      <c r="E2111" s="1287">
        <v>347.74</v>
      </c>
      <c r="F2111" s="1287">
        <v>347.74</v>
      </c>
      <c r="G2111" s="1286" t="s">
        <v>2074</v>
      </c>
      <c r="H2111" s="34" t="s">
        <v>925</v>
      </c>
    </row>
    <row r="2112" spans="1:8" ht="33">
      <c r="A2112" s="1289">
        <v>3</v>
      </c>
      <c r="B2112" s="1289" t="s">
        <v>931</v>
      </c>
      <c r="C2112" s="1288" t="s">
        <v>14</v>
      </c>
      <c r="D2112" s="1287">
        <v>1</v>
      </c>
      <c r="E2112" s="1287">
        <v>195.53</v>
      </c>
      <c r="F2112" s="1287">
        <v>195.53</v>
      </c>
      <c r="G2112" s="1286" t="s">
        <v>932</v>
      </c>
      <c r="H2112" s="34" t="s">
        <v>925</v>
      </c>
    </row>
    <row r="2113" spans="1:8" ht="16.5">
      <c r="A2113" s="1289"/>
      <c r="B2113" s="1289" t="s">
        <v>933</v>
      </c>
      <c r="C2113" s="1288" t="s">
        <v>1875</v>
      </c>
      <c r="D2113" s="1287">
        <v>1</v>
      </c>
      <c r="E2113" s="1287"/>
      <c r="F2113" s="1287">
        <v>6713.1399999999994</v>
      </c>
      <c r="G2113" s="1286"/>
    </row>
    <row r="2114" spans="1:8" ht="33">
      <c r="A2114" s="1289"/>
      <c r="B2114" s="1289" t="s">
        <v>934</v>
      </c>
      <c r="C2114" s="1288" t="s">
        <v>1875</v>
      </c>
      <c r="D2114" s="1287"/>
      <c r="E2114" s="1287"/>
      <c r="F2114" s="1287">
        <v>6713.14</v>
      </c>
      <c r="G2114" s="1286"/>
      <c r="H2114" s="34" t="s">
        <v>925</v>
      </c>
    </row>
    <row r="2115" spans="1:8" ht="33">
      <c r="A2115" s="1289"/>
      <c r="B2115" s="1289"/>
      <c r="C2115" s="1288"/>
      <c r="D2115" s="1287"/>
      <c r="E2115" s="1287"/>
      <c r="F2115" s="1287"/>
      <c r="G2115" s="1286"/>
      <c r="H2115" s="34" t="s">
        <v>925</v>
      </c>
    </row>
    <row r="2116" spans="1:8" ht="42.75">
      <c r="A2116" s="1289" t="s">
        <v>2296</v>
      </c>
      <c r="B2116" s="1289" t="s">
        <v>2076</v>
      </c>
      <c r="C2116" s="1288" t="s">
        <v>1875</v>
      </c>
      <c r="D2116" s="1287">
        <v>1</v>
      </c>
      <c r="E2116" s="1287">
        <v>4165.01</v>
      </c>
      <c r="F2116" s="1287"/>
      <c r="G2116" s="1286" t="s">
        <v>2077</v>
      </c>
      <c r="H2116" s="34" t="s">
        <v>925</v>
      </c>
    </row>
    <row r="2117" spans="1:8" ht="33">
      <c r="A2117" s="1289">
        <v>1</v>
      </c>
      <c r="B2117" s="1289" t="s">
        <v>2078</v>
      </c>
      <c r="C2117" s="1288" t="s">
        <v>1875</v>
      </c>
      <c r="D2117" s="1287">
        <v>1</v>
      </c>
      <c r="E2117" s="1287">
        <v>3795.32</v>
      </c>
      <c r="F2117" s="1287">
        <v>3795.32</v>
      </c>
      <c r="G2117" s="1286" t="s">
        <v>2079</v>
      </c>
      <c r="H2117" s="34" t="s">
        <v>925</v>
      </c>
    </row>
    <row r="2118" spans="1:8" ht="33">
      <c r="A2118" s="1289">
        <v>2</v>
      </c>
      <c r="B2118" s="1289" t="s">
        <v>2080</v>
      </c>
      <c r="C2118" s="1288" t="s">
        <v>14</v>
      </c>
      <c r="D2118" s="1287">
        <v>1</v>
      </c>
      <c r="E2118" s="1287">
        <v>248.38</v>
      </c>
      <c r="F2118" s="1287">
        <v>248.38</v>
      </c>
      <c r="G2118" s="1286" t="s">
        <v>2081</v>
      </c>
      <c r="H2118" s="34" t="s">
        <v>925</v>
      </c>
    </row>
    <row r="2119" spans="1:8" ht="33">
      <c r="A2119" s="1289">
        <v>3</v>
      </c>
      <c r="B2119" s="1289" t="s">
        <v>931</v>
      </c>
      <c r="C2119" s="1288" t="s">
        <v>14</v>
      </c>
      <c r="D2119" s="1287">
        <v>1</v>
      </c>
      <c r="E2119" s="1287">
        <v>121.31</v>
      </c>
      <c r="F2119" s="1287">
        <v>121.31</v>
      </c>
      <c r="G2119" s="1286" t="s">
        <v>932</v>
      </c>
      <c r="H2119" s="34" t="s">
        <v>925</v>
      </c>
    </row>
    <row r="2120" spans="1:8" ht="33">
      <c r="A2120" s="1289"/>
      <c r="B2120" s="1289" t="s">
        <v>933</v>
      </c>
      <c r="C2120" s="1288" t="s">
        <v>1875</v>
      </c>
      <c r="D2120" s="1287">
        <v>1</v>
      </c>
      <c r="E2120" s="1287"/>
      <c r="F2120" s="1287">
        <v>4165.01</v>
      </c>
      <c r="G2120" s="1286"/>
      <c r="H2120" s="34" t="s">
        <v>925</v>
      </c>
    </row>
    <row r="2121" spans="1:8" ht="16.5">
      <c r="A2121" s="1289"/>
      <c r="B2121" s="1289" t="s">
        <v>934</v>
      </c>
      <c r="C2121" s="1288" t="s">
        <v>1875</v>
      </c>
      <c r="D2121" s="1287"/>
      <c r="E2121" s="1287"/>
      <c r="F2121" s="1287">
        <v>4165.01</v>
      </c>
      <c r="G2121" s="1286"/>
    </row>
    <row r="2122" spans="1:8" ht="33">
      <c r="A2122" s="1289"/>
      <c r="B2122" s="1289"/>
      <c r="C2122" s="1288"/>
      <c r="D2122" s="1287"/>
      <c r="E2122" s="1287"/>
      <c r="F2122" s="1287"/>
      <c r="G2122" s="1286"/>
      <c r="H2122" s="34" t="s">
        <v>925</v>
      </c>
    </row>
    <row r="2123" spans="1:8" ht="33">
      <c r="A2123" s="1289" t="s">
        <v>2298</v>
      </c>
      <c r="B2123" s="1289" t="s">
        <v>2083</v>
      </c>
      <c r="C2123" s="1288" t="s">
        <v>1875</v>
      </c>
      <c r="D2123" s="1287">
        <v>1</v>
      </c>
      <c r="E2123" s="1287">
        <v>15994.87</v>
      </c>
      <c r="F2123" s="1287"/>
      <c r="G2123" s="1286" t="s">
        <v>2084</v>
      </c>
      <c r="H2123" s="34" t="s">
        <v>925</v>
      </c>
    </row>
    <row r="2124" spans="1:8" ht="33">
      <c r="A2124" s="1289">
        <v>1</v>
      </c>
      <c r="B2124" s="1289" t="s">
        <v>2085</v>
      </c>
      <c r="C2124" s="1288" t="s">
        <v>1875</v>
      </c>
      <c r="D2124" s="1287">
        <v>1</v>
      </c>
      <c r="E2124" s="1287">
        <v>15201.13</v>
      </c>
      <c r="F2124" s="1287">
        <v>15201.13</v>
      </c>
      <c r="G2124" s="1286" t="s">
        <v>2086</v>
      </c>
      <c r="H2124" s="34" t="s">
        <v>925</v>
      </c>
    </row>
    <row r="2125" spans="1:8" ht="33">
      <c r="A2125" s="1289">
        <v>2</v>
      </c>
      <c r="B2125" s="1289" t="s">
        <v>2087</v>
      </c>
      <c r="C2125" s="1288" t="s">
        <v>14</v>
      </c>
      <c r="D2125" s="1287">
        <v>1</v>
      </c>
      <c r="E2125" s="1287">
        <v>327.87</v>
      </c>
      <c r="F2125" s="1287">
        <v>327.87</v>
      </c>
      <c r="G2125" s="1286" t="s">
        <v>2088</v>
      </c>
      <c r="H2125" s="34" t="s">
        <v>925</v>
      </c>
    </row>
    <row r="2126" spans="1:8" ht="33">
      <c r="A2126" s="1289">
        <v>3</v>
      </c>
      <c r="B2126" s="1289" t="s">
        <v>931</v>
      </c>
      <c r="C2126" s="1288" t="s">
        <v>14</v>
      </c>
      <c r="D2126" s="1287">
        <v>1</v>
      </c>
      <c r="E2126" s="1287">
        <v>465.87</v>
      </c>
      <c r="F2126" s="1287">
        <v>465.87</v>
      </c>
      <c r="G2126" s="1286" t="s">
        <v>932</v>
      </c>
      <c r="H2126" s="34" t="s">
        <v>925</v>
      </c>
    </row>
    <row r="2127" spans="1:8" ht="33">
      <c r="A2127" s="1289"/>
      <c r="B2127" s="1289" t="s">
        <v>933</v>
      </c>
      <c r="C2127" s="1288" t="s">
        <v>1875</v>
      </c>
      <c r="D2127" s="1287">
        <v>1</v>
      </c>
      <c r="E2127" s="1287"/>
      <c r="F2127" s="1287">
        <v>15994.87</v>
      </c>
      <c r="G2127" s="1286"/>
      <c r="H2127" s="34" t="s">
        <v>925</v>
      </c>
    </row>
    <row r="2128" spans="1:8" ht="33">
      <c r="A2128" s="1289"/>
      <c r="B2128" s="1289" t="s">
        <v>934</v>
      </c>
      <c r="C2128" s="1288" t="s">
        <v>1875</v>
      </c>
      <c r="D2128" s="1287"/>
      <c r="E2128" s="1287"/>
      <c r="F2128" s="1287">
        <v>15994.87</v>
      </c>
      <c r="G2128" s="1286"/>
      <c r="H2128" s="34" t="s">
        <v>925</v>
      </c>
    </row>
    <row r="2129" spans="1:8" ht="16.5">
      <c r="A2129" s="1289"/>
      <c r="B2129" s="1289"/>
      <c r="C2129" s="1288"/>
      <c r="D2129" s="1287"/>
      <c r="E2129" s="1287"/>
      <c r="F2129" s="1287"/>
      <c r="G2129" s="1286"/>
    </row>
    <row r="2130" spans="1:8" ht="33">
      <c r="A2130" s="1289" t="s">
        <v>2305</v>
      </c>
      <c r="B2130" s="1289" t="s">
        <v>2090</v>
      </c>
      <c r="C2130" s="1288" t="s">
        <v>1875</v>
      </c>
      <c r="D2130" s="1287">
        <v>1</v>
      </c>
      <c r="E2130" s="1287">
        <v>10734.88</v>
      </c>
      <c r="F2130" s="1287"/>
      <c r="G2130" s="1286" t="s">
        <v>2091</v>
      </c>
      <c r="H2130" s="34" t="s">
        <v>925</v>
      </c>
    </row>
    <row r="2131" spans="1:8" ht="33">
      <c r="A2131" s="1289">
        <v>1</v>
      </c>
      <c r="B2131" s="1289" t="s">
        <v>2092</v>
      </c>
      <c r="C2131" s="1288" t="s">
        <v>1875</v>
      </c>
      <c r="D2131" s="1287">
        <v>1</v>
      </c>
      <c r="E2131" s="1287">
        <v>10144.02</v>
      </c>
      <c r="F2131" s="1287">
        <v>10144.02</v>
      </c>
      <c r="G2131" s="1286" t="s">
        <v>2093</v>
      </c>
      <c r="H2131" s="34" t="s">
        <v>925</v>
      </c>
    </row>
    <row r="2132" spans="1:8" ht="33">
      <c r="A2132" s="1289">
        <v>2</v>
      </c>
      <c r="B2132" s="1289" t="s">
        <v>2094</v>
      </c>
      <c r="C2132" s="1288" t="s">
        <v>14</v>
      </c>
      <c r="D2132" s="1287">
        <v>1</v>
      </c>
      <c r="E2132" s="1287">
        <v>278.19</v>
      </c>
      <c r="F2132" s="1287">
        <v>278.19</v>
      </c>
      <c r="G2132" s="1286" t="s">
        <v>2095</v>
      </c>
      <c r="H2132" s="34" t="s">
        <v>925</v>
      </c>
    </row>
    <row r="2133" spans="1:8" ht="33">
      <c r="A2133" s="1289">
        <v>3</v>
      </c>
      <c r="B2133" s="1289" t="s">
        <v>931</v>
      </c>
      <c r="C2133" s="1288" t="s">
        <v>14</v>
      </c>
      <c r="D2133" s="1287">
        <v>1</v>
      </c>
      <c r="E2133" s="1287">
        <v>312.67</v>
      </c>
      <c r="F2133" s="1287">
        <v>312.67</v>
      </c>
      <c r="G2133" s="1286" t="s">
        <v>932</v>
      </c>
      <c r="H2133" s="34" t="s">
        <v>925</v>
      </c>
    </row>
    <row r="2134" spans="1:8" ht="33">
      <c r="A2134" s="1289"/>
      <c r="B2134" s="1289" t="s">
        <v>933</v>
      </c>
      <c r="C2134" s="1288" t="s">
        <v>1875</v>
      </c>
      <c r="D2134" s="1287">
        <v>1</v>
      </c>
      <c r="E2134" s="1287"/>
      <c r="F2134" s="1287">
        <v>10734.880000000001</v>
      </c>
      <c r="G2134" s="1286"/>
      <c r="H2134" s="34" t="s">
        <v>925</v>
      </c>
    </row>
    <row r="2135" spans="1:8" ht="33">
      <c r="A2135" s="1289"/>
      <c r="B2135" s="1289" t="s">
        <v>934</v>
      </c>
      <c r="C2135" s="1288" t="s">
        <v>1875</v>
      </c>
      <c r="D2135" s="1287"/>
      <c r="E2135" s="1287"/>
      <c r="F2135" s="1287">
        <v>10734.88</v>
      </c>
      <c r="G2135" s="1286"/>
      <c r="H2135" s="34" t="s">
        <v>925</v>
      </c>
    </row>
    <row r="2136" spans="1:8" ht="33">
      <c r="A2136" s="1289"/>
      <c r="B2136" s="1289"/>
      <c r="C2136" s="1288"/>
      <c r="D2136" s="1287"/>
      <c r="E2136" s="1287"/>
      <c r="F2136" s="1287"/>
      <c r="G2136" s="1286"/>
      <c r="H2136" s="34" t="s">
        <v>925</v>
      </c>
    </row>
    <row r="2137" spans="1:8" ht="33">
      <c r="A2137" s="1289" t="s">
        <v>2312</v>
      </c>
      <c r="B2137" s="1289" t="s">
        <v>2097</v>
      </c>
      <c r="C2137" s="1288" t="s">
        <v>1875</v>
      </c>
      <c r="D2137" s="1287">
        <v>1</v>
      </c>
      <c r="E2137" s="1287">
        <v>10059.469999999999</v>
      </c>
      <c r="F2137" s="1287"/>
      <c r="G2137" s="1286" t="s">
        <v>2098</v>
      </c>
      <c r="H2137" s="34" t="s">
        <v>925</v>
      </c>
    </row>
    <row r="2138" spans="1:8" ht="28.5">
      <c r="A2138" s="1289">
        <v>1</v>
      </c>
      <c r="B2138" s="1289" t="s">
        <v>2099</v>
      </c>
      <c r="C2138" s="1288" t="s">
        <v>1875</v>
      </c>
      <c r="D2138" s="1287">
        <v>1</v>
      </c>
      <c r="E2138" s="1287">
        <v>9488.2900000000009</v>
      </c>
      <c r="F2138" s="1287">
        <v>9488.2900000000009</v>
      </c>
      <c r="G2138" s="1286" t="s">
        <v>2100</v>
      </c>
    </row>
    <row r="2139" spans="1:8" ht="33">
      <c r="A2139" s="1289">
        <v>2</v>
      </c>
      <c r="B2139" s="1289" t="s">
        <v>2094</v>
      </c>
      <c r="C2139" s="1288" t="s">
        <v>14</v>
      </c>
      <c r="D2139" s="1287">
        <v>1</v>
      </c>
      <c r="E2139" s="1287">
        <v>278.19</v>
      </c>
      <c r="F2139" s="1287">
        <v>278.19</v>
      </c>
      <c r="G2139" s="1286" t="s">
        <v>2095</v>
      </c>
      <c r="H2139" s="34" t="s">
        <v>925</v>
      </c>
    </row>
    <row r="2140" spans="1:8" ht="33">
      <c r="A2140" s="1289">
        <v>3</v>
      </c>
      <c r="B2140" s="1289" t="s">
        <v>931</v>
      </c>
      <c r="C2140" s="1288" t="s">
        <v>14</v>
      </c>
      <c r="D2140" s="1287">
        <v>1</v>
      </c>
      <c r="E2140" s="1287">
        <v>292.99</v>
      </c>
      <c r="F2140" s="1287">
        <v>292.99</v>
      </c>
      <c r="G2140" s="1286" t="s">
        <v>932</v>
      </c>
      <c r="H2140" s="34" t="s">
        <v>925</v>
      </c>
    </row>
    <row r="2141" spans="1:8" ht="33">
      <c r="A2141" s="1289"/>
      <c r="B2141" s="1289" t="s">
        <v>933</v>
      </c>
      <c r="C2141" s="1288" t="s">
        <v>1875</v>
      </c>
      <c r="D2141" s="1287">
        <v>1</v>
      </c>
      <c r="E2141" s="1287"/>
      <c r="F2141" s="1287">
        <v>10059.470000000001</v>
      </c>
      <c r="G2141" s="1286"/>
      <c r="H2141" s="34" t="s">
        <v>925</v>
      </c>
    </row>
    <row r="2142" spans="1:8" ht="33">
      <c r="A2142" s="1289"/>
      <c r="B2142" s="1289" t="s">
        <v>934</v>
      </c>
      <c r="C2142" s="1288" t="s">
        <v>1875</v>
      </c>
      <c r="D2142" s="1287"/>
      <c r="E2142" s="1287"/>
      <c r="F2142" s="1287">
        <v>10059.469999999999</v>
      </c>
      <c r="G2142" s="1286"/>
      <c r="H2142" s="34" t="s">
        <v>925</v>
      </c>
    </row>
    <row r="2143" spans="1:8" ht="33">
      <c r="A2143" s="1289"/>
      <c r="B2143" s="1289"/>
      <c r="C2143" s="1288"/>
      <c r="D2143" s="1287"/>
      <c r="E2143" s="1287"/>
      <c r="F2143" s="1287"/>
      <c r="G2143" s="1286"/>
      <c r="H2143" s="34" t="s">
        <v>925</v>
      </c>
    </row>
    <row r="2144" spans="1:8" ht="42.75">
      <c r="A2144" s="1289" t="s">
        <v>2317</v>
      </c>
      <c r="B2144" s="1289" t="s">
        <v>2102</v>
      </c>
      <c r="C2144" s="1288" t="s">
        <v>1818</v>
      </c>
      <c r="D2144" s="1287">
        <v>1</v>
      </c>
      <c r="E2144" s="1287">
        <v>24182.720000000001</v>
      </c>
      <c r="F2144" s="1287"/>
      <c r="G2144" s="1286" t="s">
        <v>2103</v>
      </c>
      <c r="H2144" s="34" t="s">
        <v>925</v>
      </c>
    </row>
    <row r="2145" spans="1:8" ht="42.75">
      <c r="A2145" s="1289">
        <v>1</v>
      </c>
      <c r="B2145" s="1289" t="s">
        <v>2104</v>
      </c>
      <c r="C2145" s="1288" t="s">
        <v>1818</v>
      </c>
      <c r="D2145" s="1287">
        <v>1</v>
      </c>
      <c r="E2145" s="1287">
        <v>22851.38</v>
      </c>
      <c r="F2145" s="1287">
        <v>22851.38</v>
      </c>
      <c r="G2145" s="1286" t="s">
        <v>2105</v>
      </c>
    </row>
    <row r="2146" spans="1:8" ht="33">
      <c r="A2146" s="1289">
        <v>2</v>
      </c>
      <c r="B2146" s="1289" t="s">
        <v>2106</v>
      </c>
      <c r="C2146" s="1288" t="s">
        <v>14</v>
      </c>
      <c r="D2146" s="1287">
        <v>1</v>
      </c>
      <c r="E2146" s="1287">
        <v>198.71</v>
      </c>
      <c r="F2146" s="1287">
        <v>198.71</v>
      </c>
      <c r="G2146" s="1286" t="s">
        <v>2107</v>
      </c>
      <c r="H2146" s="34" t="s">
        <v>925</v>
      </c>
    </row>
    <row r="2147" spans="1:8" ht="33">
      <c r="A2147" s="1289">
        <v>3</v>
      </c>
      <c r="B2147" s="1289" t="s">
        <v>2108</v>
      </c>
      <c r="C2147" s="1288" t="s">
        <v>14</v>
      </c>
      <c r="D2147" s="1287">
        <v>1</v>
      </c>
      <c r="E2147" s="1287">
        <v>496.77</v>
      </c>
      <c r="F2147" s="1287">
        <v>496.77</v>
      </c>
      <c r="G2147" s="1286" t="s">
        <v>2109</v>
      </c>
      <c r="H2147" s="34" t="s">
        <v>925</v>
      </c>
    </row>
    <row r="2148" spans="1:8" ht="33">
      <c r="A2148" s="1289">
        <v>4</v>
      </c>
      <c r="B2148" s="1289" t="s">
        <v>4871</v>
      </c>
      <c r="C2148" s="1288" t="s">
        <v>927</v>
      </c>
      <c r="D2148" s="1287">
        <v>1</v>
      </c>
      <c r="E2148" s="1287">
        <v>279.18</v>
      </c>
      <c r="F2148" s="1287">
        <v>279.18</v>
      </c>
      <c r="G2148" s="1286" t="s">
        <v>4872</v>
      </c>
      <c r="H2148" s="34" t="s">
        <v>925</v>
      </c>
    </row>
    <row r="2149" spans="1:8" ht="33">
      <c r="A2149" s="1289">
        <v>5</v>
      </c>
      <c r="B2149" s="1289" t="s">
        <v>931</v>
      </c>
      <c r="C2149" s="1288" t="s">
        <v>14</v>
      </c>
      <c r="D2149" s="1287">
        <v>1</v>
      </c>
      <c r="E2149" s="1287">
        <v>356.68</v>
      </c>
      <c r="F2149" s="1287">
        <v>356.68</v>
      </c>
      <c r="G2149" s="1286" t="s">
        <v>2110</v>
      </c>
      <c r="H2149" s="34" t="s">
        <v>925</v>
      </c>
    </row>
    <row r="2150" spans="1:8" ht="33">
      <c r="A2150" s="1289"/>
      <c r="B2150" s="1289" t="s">
        <v>933</v>
      </c>
      <c r="C2150" s="1288" t="s">
        <v>1818</v>
      </c>
      <c r="D2150" s="1287">
        <v>1</v>
      </c>
      <c r="E2150" s="1287"/>
      <c r="F2150" s="1287">
        <v>24182.720000000001</v>
      </c>
      <c r="G2150" s="1286"/>
      <c r="H2150" s="34" t="s">
        <v>925</v>
      </c>
    </row>
    <row r="2151" spans="1:8" ht="33">
      <c r="A2151" s="1289"/>
      <c r="B2151" s="1289" t="s">
        <v>934</v>
      </c>
      <c r="C2151" s="1288" t="s">
        <v>1818</v>
      </c>
      <c r="D2151" s="1287"/>
      <c r="E2151" s="1287"/>
      <c r="F2151" s="1287">
        <v>24182.720000000001</v>
      </c>
      <c r="G2151" s="1286"/>
      <c r="H2151" s="34" t="s">
        <v>925</v>
      </c>
    </row>
    <row r="2152" spans="1:8" ht="16.5">
      <c r="A2152" s="1289"/>
      <c r="B2152" s="1289"/>
      <c r="C2152" s="1288"/>
      <c r="D2152" s="1287"/>
      <c r="E2152" s="1287"/>
      <c r="F2152" s="1287"/>
      <c r="G2152" s="1286"/>
    </row>
    <row r="2153" spans="1:8" ht="33">
      <c r="A2153" s="1289" t="s">
        <v>2326</v>
      </c>
      <c r="B2153" s="1289" t="s">
        <v>2112</v>
      </c>
      <c r="C2153" s="1288" t="s">
        <v>1818</v>
      </c>
      <c r="D2153" s="1287">
        <v>1</v>
      </c>
      <c r="E2153" s="1287">
        <v>23395.84</v>
      </c>
      <c r="F2153" s="1287"/>
      <c r="G2153" s="1286" t="s">
        <v>2113</v>
      </c>
      <c r="H2153" s="34" t="s">
        <v>925</v>
      </c>
    </row>
    <row r="2154" spans="1:8" ht="42.75">
      <c r="A2154" s="1289">
        <v>1</v>
      </c>
      <c r="B2154" s="1289" t="s">
        <v>2104</v>
      </c>
      <c r="C2154" s="1288" t="s">
        <v>1818</v>
      </c>
      <c r="D2154" s="1287">
        <v>1</v>
      </c>
      <c r="E2154" s="1287">
        <v>22851.38</v>
      </c>
      <c r="F2154" s="1287">
        <v>22851.38</v>
      </c>
      <c r="G2154" s="1286" t="s">
        <v>2105</v>
      </c>
      <c r="H2154" s="34" t="s">
        <v>925</v>
      </c>
    </row>
    <row r="2155" spans="1:8" ht="33">
      <c r="A2155" s="1289">
        <v>2</v>
      </c>
      <c r="B2155" s="1289" t="s">
        <v>2106</v>
      </c>
      <c r="C2155" s="1288" t="s">
        <v>14</v>
      </c>
      <c r="D2155" s="1287">
        <v>1</v>
      </c>
      <c r="E2155" s="1287">
        <v>198.71</v>
      </c>
      <c r="F2155" s="1287">
        <v>198.71</v>
      </c>
      <c r="G2155" s="1286" t="s">
        <v>2107</v>
      </c>
      <c r="H2155" s="34" t="s">
        <v>925</v>
      </c>
    </row>
    <row r="2156" spans="1:8" ht="33">
      <c r="A2156" s="1289">
        <v>3</v>
      </c>
      <c r="B2156" s="1289" t="s">
        <v>931</v>
      </c>
      <c r="C2156" s="1288" t="s">
        <v>14</v>
      </c>
      <c r="D2156" s="1287">
        <v>1</v>
      </c>
      <c r="E2156" s="1287">
        <v>345.75</v>
      </c>
      <c r="F2156" s="1287">
        <v>345.75</v>
      </c>
      <c r="G2156" s="1286" t="s">
        <v>2110</v>
      </c>
      <c r="H2156" s="34" t="s">
        <v>925</v>
      </c>
    </row>
    <row r="2157" spans="1:8" ht="33">
      <c r="A2157" s="1289"/>
      <c r="B2157" s="1289" t="s">
        <v>933</v>
      </c>
      <c r="C2157" s="1288" t="s">
        <v>1818</v>
      </c>
      <c r="D2157" s="1287">
        <v>1</v>
      </c>
      <c r="E2157" s="1287"/>
      <c r="F2157" s="1287">
        <v>23395.84</v>
      </c>
      <c r="G2157" s="1286"/>
      <c r="H2157" s="34" t="s">
        <v>925</v>
      </c>
    </row>
    <row r="2158" spans="1:8" ht="33">
      <c r="A2158" s="1289"/>
      <c r="B2158" s="1289" t="s">
        <v>934</v>
      </c>
      <c r="C2158" s="1288" t="s">
        <v>1818</v>
      </c>
      <c r="D2158" s="1287"/>
      <c r="E2158" s="1287"/>
      <c r="F2158" s="1287">
        <v>23395.84</v>
      </c>
      <c r="G2158" s="1286"/>
      <c r="H2158" s="34" t="s">
        <v>925</v>
      </c>
    </row>
    <row r="2159" spans="1:8" ht="16.5">
      <c r="A2159" s="1289"/>
      <c r="B2159" s="1289"/>
      <c r="C2159" s="1288"/>
      <c r="D2159" s="1287"/>
      <c r="E2159" s="1287"/>
      <c r="F2159" s="1287"/>
      <c r="G2159" s="1286"/>
    </row>
    <row r="2160" spans="1:8" ht="33">
      <c r="A2160" s="1289" t="s">
        <v>2337</v>
      </c>
      <c r="B2160" s="1289" t="s">
        <v>2115</v>
      </c>
      <c r="C2160" s="1288" t="s">
        <v>1875</v>
      </c>
      <c r="D2160" s="1287">
        <v>1</v>
      </c>
      <c r="E2160" s="1287">
        <v>4629.6099999999997</v>
      </c>
      <c r="F2160" s="1287"/>
      <c r="G2160" s="1286" t="s">
        <v>2116</v>
      </c>
      <c r="H2160" s="34" t="s">
        <v>925</v>
      </c>
    </row>
    <row r="2161" spans="1:8" ht="33">
      <c r="A2161" s="1289">
        <v>1</v>
      </c>
      <c r="B2161" s="1289" t="s">
        <v>2117</v>
      </c>
      <c r="C2161" s="1288" t="s">
        <v>1875</v>
      </c>
      <c r="D2161" s="1287">
        <v>1</v>
      </c>
      <c r="E2161" s="1287">
        <v>3248.87</v>
      </c>
      <c r="F2161" s="1287">
        <v>3248.87</v>
      </c>
      <c r="G2161" s="1286" t="s">
        <v>2118</v>
      </c>
      <c r="H2161" s="34" t="s">
        <v>925</v>
      </c>
    </row>
    <row r="2162" spans="1:8" ht="33">
      <c r="A2162" s="1289">
        <v>2</v>
      </c>
      <c r="B2162" s="1289" t="s">
        <v>2119</v>
      </c>
      <c r="C2162" s="1288" t="s">
        <v>1497</v>
      </c>
      <c r="D2162" s="1287">
        <v>1</v>
      </c>
      <c r="E2162" s="1287">
        <v>461</v>
      </c>
      <c r="F2162" s="1287">
        <v>461</v>
      </c>
      <c r="G2162" s="1286" t="s">
        <v>2120</v>
      </c>
      <c r="H2162" s="34" t="s">
        <v>925</v>
      </c>
    </row>
    <row r="2163" spans="1:8" ht="33">
      <c r="A2163" s="1289">
        <v>3</v>
      </c>
      <c r="B2163" s="1289" t="s">
        <v>2121</v>
      </c>
      <c r="C2163" s="1288" t="s">
        <v>14</v>
      </c>
      <c r="D2163" s="1287">
        <v>1</v>
      </c>
      <c r="E2163" s="1287">
        <v>784.9</v>
      </c>
      <c r="F2163" s="1287">
        <v>784.9</v>
      </c>
      <c r="G2163" s="1286" t="s">
        <v>2122</v>
      </c>
      <c r="H2163" s="34" t="s">
        <v>925</v>
      </c>
    </row>
    <row r="2164" spans="1:8" ht="33">
      <c r="A2164" s="1289">
        <v>4</v>
      </c>
      <c r="B2164" s="1289" t="s">
        <v>931</v>
      </c>
      <c r="C2164" s="1288" t="s">
        <v>14</v>
      </c>
      <c r="D2164" s="1287">
        <v>1</v>
      </c>
      <c r="E2164" s="1287">
        <v>134.84</v>
      </c>
      <c r="F2164" s="1287">
        <v>134.84</v>
      </c>
      <c r="G2164" s="1286" t="s">
        <v>932</v>
      </c>
      <c r="H2164" s="34" t="s">
        <v>925</v>
      </c>
    </row>
    <row r="2165" spans="1:8" ht="33">
      <c r="A2165" s="1289"/>
      <c r="B2165" s="1289" t="s">
        <v>933</v>
      </c>
      <c r="C2165" s="1288" t="s">
        <v>1875</v>
      </c>
      <c r="D2165" s="1287">
        <v>1</v>
      </c>
      <c r="E2165" s="1287"/>
      <c r="F2165" s="1287">
        <v>4629.6099999999997</v>
      </c>
      <c r="G2165" s="1286"/>
      <c r="H2165" s="34" t="s">
        <v>925</v>
      </c>
    </row>
    <row r="2166" spans="1:8" ht="16.5">
      <c r="A2166" s="1289"/>
      <c r="B2166" s="1289" t="s">
        <v>934</v>
      </c>
      <c r="C2166" s="1288" t="s">
        <v>1875</v>
      </c>
      <c r="D2166" s="1287"/>
      <c r="E2166" s="1287"/>
      <c r="F2166" s="1287">
        <v>4629.6099999999997</v>
      </c>
      <c r="G2166" s="1286"/>
    </row>
    <row r="2167" spans="1:8" ht="33">
      <c r="A2167" s="1289"/>
      <c r="B2167" s="1289"/>
      <c r="C2167" s="1288"/>
      <c r="D2167" s="1287"/>
      <c r="E2167" s="1287"/>
      <c r="F2167" s="1287"/>
      <c r="G2167" s="1286"/>
      <c r="H2167" s="34" t="s">
        <v>925</v>
      </c>
    </row>
    <row r="2168" spans="1:8" ht="33">
      <c r="A2168" s="1289" t="s">
        <v>2340</v>
      </c>
      <c r="B2168" s="1289" t="s">
        <v>2124</v>
      </c>
      <c r="C2168" s="1288" t="s">
        <v>1875</v>
      </c>
      <c r="D2168" s="1287">
        <v>1</v>
      </c>
      <c r="E2168" s="1287">
        <v>7560.47</v>
      </c>
      <c r="F2168" s="1287"/>
      <c r="G2168" s="1286" t="s">
        <v>2125</v>
      </c>
      <c r="H2168" s="34" t="s">
        <v>925</v>
      </c>
    </row>
    <row r="2169" spans="1:8" ht="33">
      <c r="A2169" s="1289">
        <v>1</v>
      </c>
      <c r="B2169" s="1289" t="s">
        <v>2126</v>
      </c>
      <c r="C2169" s="1288" t="s">
        <v>1875</v>
      </c>
      <c r="D2169" s="1287">
        <v>1</v>
      </c>
      <c r="E2169" s="1287">
        <v>5633.36</v>
      </c>
      <c r="F2169" s="1287">
        <v>5633.36</v>
      </c>
      <c r="G2169" s="1286" t="s">
        <v>2127</v>
      </c>
      <c r="H2169" s="34" t="s">
        <v>925</v>
      </c>
    </row>
    <row r="2170" spans="1:8" ht="33">
      <c r="A2170" s="1289">
        <v>2</v>
      </c>
      <c r="B2170" s="1289" t="s">
        <v>2119</v>
      </c>
      <c r="C2170" s="1288" t="s">
        <v>1497</v>
      </c>
      <c r="D2170" s="1287">
        <v>2</v>
      </c>
      <c r="E2170" s="1287">
        <v>461</v>
      </c>
      <c r="F2170" s="1287">
        <v>922</v>
      </c>
      <c r="G2170" s="1286" t="s">
        <v>2120</v>
      </c>
      <c r="H2170" s="34" t="s">
        <v>925</v>
      </c>
    </row>
    <row r="2171" spans="1:8" ht="33">
      <c r="A2171" s="1289">
        <v>3</v>
      </c>
      <c r="B2171" s="1289" t="s">
        <v>2121</v>
      </c>
      <c r="C2171" s="1288" t="s">
        <v>14</v>
      </c>
      <c r="D2171" s="1287">
        <v>1</v>
      </c>
      <c r="E2171" s="1287">
        <v>784.9</v>
      </c>
      <c r="F2171" s="1287">
        <v>784.9</v>
      </c>
      <c r="G2171" s="1286" t="s">
        <v>2122</v>
      </c>
      <c r="H2171" s="34" t="s">
        <v>925</v>
      </c>
    </row>
    <row r="2172" spans="1:8" ht="33">
      <c r="A2172" s="1289">
        <v>4</v>
      </c>
      <c r="B2172" s="1289" t="s">
        <v>931</v>
      </c>
      <c r="C2172" s="1288" t="s">
        <v>14</v>
      </c>
      <c r="D2172" s="1287">
        <v>1</v>
      </c>
      <c r="E2172" s="1287">
        <v>220.21</v>
      </c>
      <c r="F2172" s="1287">
        <v>220.21</v>
      </c>
      <c r="G2172" s="1286" t="s">
        <v>932</v>
      </c>
      <c r="H2172" s="34" t="s">
        <v>925</v>
      </c>
    </row>
    <row r="2173" spans="1:8" ht="16.5">
      <c r="A2173" s="1289"/>
      <c r="B2173" s="1289" t="s">
        <v>933</v>
      </c>
      <c r="C2173" s="1288" t="s">
        <v>1875</v>
      </c>
      <c r="D2173" s="1287">
        <v>1</v>
      </c>
      <c r="E2173" s="1287"/>
      <c r="F2173" s="1287">
        <v>7560.4699999999993</v>
      </c>
      <c r="G2173" s="1286"/>
    </row>
    <row r="2174" spans="1:8" ht="33">
      <c r="A2174" s="1289"/>
      <c r="B2174" s="1289" t="s">
        <v>934</v>
      </c>
      <c r="C2174" s="1288" t="s">
        <v>1875</v>
      </c>
      <c r="D2174" s="1287"/>
      <c r="E2174" s="1287"/>
      <c r="F2174" s="1287">
        <v>7560.47</v>
      </c>
      <c r="G2174" s="1286"/>
      <c r="H2174" s="34" t="s">
        <v>925</v>
      </c>
    </row>
    <row r="2175" spans="1:8" ht="33">
      <c r="A2175" s="1289"/>
      <c r="B2175" s="1289"/>
      <c r="C2175" s="1288"/>
      <c r="D2175" s="1287"/>
      <c r="E2175" s="1287"/>
      <c r="F2175" s="1287"/>
      <c r="G2175" s="1286"/>
      <c r="H2175" s="34" t="s">
        <v>925</v>
      </c>
    </row>
    <row r="2176" spans="1:8" ht="33">
      <c r="A2176" s="1289" t="s">
        <v>2345</v>
      </c>
      <c r="B2176" s="1289" t="s">
        <v>2129</v>
      </c>
      <c r="C2176" s="1288" t="s">
        <v>1875</v>
      </c>
      <c r="D2176" s="1287">
        <v>1</v>
      </c>
      <c r="E2176" s="1287">
        <v>3810.94</v>
      </c>
      <c r="F2176" s="1287"/>
      <c r="G2176" s="1286" t="s">
        <v>2130</v>
      </c>
      <c r="H2176" s="34" t="s">
        <v>925</v>
      </c>
    </row>
    <row r="2177" spans="1:8" ht="33">
      <c r="A2177" s="1289">
        <v>1</v>
      </c>
      <c r="B2177" s="1289" t="s">
        <v>2131</v>
      </c>
      <c r="C2177" s="1288" t="s">
        <v>1875</v>
      </c>
      <c r="D2177" s="1287">
        <v>1</v>
      </c>
      <c r="E2177" s="1287">
        <v>2454.04</v>
      </c>
      <c r="F2177" s="1287">
        <v>2454.04</v>
      </c>
      <c r="G2177" s="1286" t="s">
        <v>2132</v>
      </c>
      <c r="H2177" s="34" t="s">
        <v>925</v>
      </c>
    </row>
    <row r="2178" spans="1:8" ht="33">
      <c r="A2178" s="1289">
        <v>2</v>
      </c>
      <c r="B2178" s="1289" t="s">
        <v>2119</v>
      </c>
      <c r="C2178" s="1288" t="s">
        <v>1497</v>
      </c>
      <c r="D2178" s="1287">
        <v>1</v>
      </c>
      <c r="E2178" s="1287">
        <v>461</v>
      </c>
      <c r="F2178" s="1287">
        <v>461</v>
      </c>
      <c r="G2178" s="1286" t="s">
        <v>2120</v>
      </c>
      <c r="H2178" s="34" t="s">
        <v>925</v>
      </c>
    </row>
    <row r="2179" spans="1:8" ht="33">
      <c r="A2179" s="1289">
        <v>3</v>
      </c>
      <c r="B2179" s="1289" t="s">
        <v>2121</v>
      </c>
      <c r="C2179" s="1288" t="s">
        <v>14</v>
      </c>
      <c r="D2179" s="1287">
        <v>1</v>
      </c>
      <c r="E2179" s="1287">
        <v>784.9</v>
      </c>
      <c r="F2179" s="1287">
        <v>784.9</v>
      </c>
      <c r="G2179" s="1286" t="s">
        <v>2122</v>
      </c>
      <c r="H2179" s="34" t="s">
        <v>925</v>
      </c>
    </row>
    <row r="2180" spans="1:8" ht="33">
      <c r="A2180" s="1289">
        <v>4</v>
      </c>
      <c r="B2180" s="1289" t="s">
        <v>931</v>
      </c>
      <c r="C2180" s="1288" t="s">
        <v>14</v>
      </c>
      <c r="D2180" s="1287">
        <v>1</v>
      </c>
      <c r="E2180" s="1287">
        <v>111</v>
      </c>
      <c r="F2180" s="1287">
        <v>111</v>
      </c>
      <c r="G2180" s="1286" t="s">
        <v>932</v>
      </c>
      <c r="H2180" s="34" t="s">
        <v>925</v>
      </c>
    </row>
    <row r="2181" spans="1:8" ht="33">
      <c r="A2181" s="1289"/>
      <c r="B2181" s="1289" t="s">
        <v>933</v>
      </c>
      <c r="C2181" s="1288" t="s">
        <v>1875</v>
      </c>
      <c r="D2181" s="1287">
        <v>1</v>
      </c>
      <c r="E2181" s="1287"/>
      <c r="F2181" s="1287">
        <v>3810.94</v>
      </c>
      <c r="G2181" s="1286"/>
      <c r="H2181" s="34" t="s">
        <v>925</v>
      </c>
    </row>
    <row r="2182" spans="1:8" ht="16.5">
      <c r="A2182" s="1289"/>
      <c r="B2182" s="1289" t="s">
        <v>934</v>
      </c>
      <c r="C2182" s="1288" t="s">
        <v>1875</v>
      </c>
      <c r="D2182" s="1287"/>
      <c r="E2182" s="1287"/>
      <c r="F2182" s="1287">
        <v>3810.94</v>
      </c>
      <c r="G2182" s="1286"/>
    </row>
    <row r="2183" spans="1:8" ht="33">
      <c r="A2183" s="1289"/>
      <c r="B2183" s="1289"/>
      <c r="C2183" s="1288"/>
      <c r="D2183" s="1287"/>
      <c r="E2183" s="1287"/>
      <c r="F2183" s="1287"/>
      <c r="G2183" s="1286"/>
      <c r="H2183" s="34" t="s">
        <v>925</v>
      </c>
    </row>
    <row r="2184" spans="1:8" ht="33">
      <c r="A2184" s="1289" t="s">
        <v>2359</v>
      </c>
      <c r="B2184" s="1289" t="s">
        <v>2134</v>
      </c>
      <c r="C2184" s="1288" t="s">
        <v>1875</v>
      </c>
      <c r="D2184" s="1287">
        <v>1</v>
      </c>
      <c r="E2184" s="1287">
        <v>4639.84</v>
      </c>
      <c r="F2184" s="1287"/>
      <c r="G2184" s="1286" t="s">
        <v>2135</v>
      </c>
      <c r="H2184" s="34" t="s">
        <v>925</v>
      </c>
    </row>
    <row r="2185" spans="1:8" ht="33">
      <c r="A2185" s="1289">
        <v>1</v>
      </c>
      <c r="B2185" s="1289" t="s">
        <v>2136</v>
      </c>
      <c r="C2185" s="1288" t="s">
        <v>1875</v>
      </c>
      <c r="D2185" s="1287">
        <v>1</v>
      </c>
      <c r="E2185" s="1287">
        <v>3467.45</v>
      </c>
      <c r="F2185" s="1287">
        <v>3467.45</v>
      </c>
      <c r="G2185" s="1286" t="s">
        <v>2137</v>
      </c>
      <c r="H2185" s="34" t="s">
        <v>925</v>
      </c>
    </row>
    <row r="2186" spans="1:8" ht="33">
      <c r="A2186" s="1289">
        <v>2</v>
      </c>
      <c r="B2186" s="1289" t="s">
        <v>2119</v>
      </c>
      <c r="C2186" s="1288" t="s">
        <v>1497</v>
      </c>
      <c r="D2186" s="1287">
        <v>1</v>
      </c>
      <c r="E2186" s="1287">
        <v>461</v>
      </c>
      <c r="F2186" s="1287">
        <v>461</v>
      </c>
      <c r="G2186" s="1286" t="s">
        <v>2120</v>
      </c>
      <c r="H2186" s="34" t="s">
        <v>925</v>
      </c>
    </row>
    <row r="2187" spans="1:8" ht="33">
      <c r="A2187" s="1289">
        <v>3</v>
      </c>
      <c r="B2187" s="1289" t="s">
        <v>2138</v>
      </c>
      <c r="C2187" s="1288" t="s">
        <v>14</v>
      </c>
      <c r="D2187" s="1287">
        <v>1</v>
      </c>
      <c r="E2187" s="1287">
        <v>576.25</v>
      </c>
      <c r="F2187" s="1287">
        <v>576.25</v>
      </c>
      <c r="G2187" s="1286" t="s">
        <v>2139</v>
      </c>
      <c r="H2187" s="34" t="s">
        <v>925</v>
      </c>
    </row>
    <row r="2188" spans="1:8" ht="33">
      <c r="A2188" s="1289">
        <v>4</v>
      </c>
      <c r="B2188" s="1289" t="s">
        <v>931</v>
      </c>
      <c r="C2188" s="1288" t="s">
        <v>14</v>
      </c>
      <c r="D2188" s="1287">
        <v>1</v>
      </c>
      <c r="E2188" s="1287">
        <v>135.13999999999999</v>
      </c>
      <c r="F2188" s="1287">
        <v>135.13999999999999</v>
      </c>
      <c r="G2188" s="1286" t="s">
        <v>932</v>
      </c>
      <c r="H2188" s="34" t="s">
        <v>925</v>
      </c>
    </row>
    <row r="2189" spans="1:8" ht="33">
      <c r="A2189" s="1289"/>
      <c r="B2189" s="1289" t="s">
        <v>933</v>
      </c>
      <c r="C2189" s="1288" t="s">
        <v>1875</v>
      </c>
      <c r="D2189" s="1287">
        <v>1</v>
      </c>
      <c r="E2189" s="1287"/>
      <c r="F2189" s="1287">
        <v>4639.84</v>
      </c>
      <c r="G2189" s="1286"/>
      <c r="H2189" s="34" t="s">
        <v>925</v>
      </c>
    </row>
    <row r="2190" spans="1:8" ht="33">
      <c r="A2190" s="1289"/>
      <c r="B2190" s="1289" t="s">
        <v>934</v>
      </c>
      <c r="C2190" s="1288" t="s">
        <v>1875</v>
      </c>
      <c r="D2190" s="1287"/>
      <c r="E2190" s="1287"/>
      <c r="F2190" s="1287">
        <v>4639.84</v>
      </c>
      <c r="G2190" s="1286"/>
      <c r="H2190" s="34" t="s">
        <v>925</v>
      </c>
    </row>
    <row r="2191" spans="1:8" ht="33">
      <c r="A2191" s="1289"/>
      <c r="B2191" s="1289"/>
      <c r="C2191" s="1288"/>
      <c r="D2191" s="1287"/>
      <c r="E2191" s="1287"/>
      <c r="F2191" s="1287"/>
      <c r="G2191" s="1286"/>
      <c r="H2191" s="34" t="s">
        <v>925</v>
      </c>
    </row>
    <row r="2192" spans="1:8" ht="28.5">
      <c r="A2192" s="1289" t="s">
        <v>2371</v>
      </c>
      <c r="B2192" s="1289" t="s">
        <v>2141</v>
      </c>
      <c r="C2192" s="1288" t="s">
        <v>3</v>
      </c>
      <c r="D2192" s="1287">
        <v>10</v>
      </c>
      <c r="E2192" s="1287">
        <v>1626.81</v>
      </c>
      <c r="F2192" s="1287"/>
      <c r="G2192" s="1286" t="s">
        <v>2142</v>
      </c>
    </row>
    <row r="2193" spans="1:8" ht="33">
      <c r="A2193" s="1289">
        <v>1</v>
      </c>
      <c r="B2193" s="1289" t="s">
        <v>2143</v>
      </c>
      <c r="C2193" s="1288" t="s">
        <v>3</v>
      </c>
      <c r="D2193" s="1287">
        <v>10.5</v>
      </c>
      <c r="E2193" s="1287">
        <v>745.15</v>
      </c>
      <c r="F2193" s="1287">
        <v>7824.08</v>
      </c>
      <c r="G2193" s="1286" t="s">
        <v>2144</v>
      </c>
      <c r="H2193" s="34" t="s">
        <v>925</v>
      </c>
    </row>
    <row r="2194" spans="1:8" ht="33">
      <c r="A2194" s="1289">
        <v>2</v>
      </c>
      <c r="B2194" s="1289" t="s">
        <v>1637</v>
      </c>
      <c r="C2194" s="1288" t="s">
        <v>0</v>
      </c>
      <c r="D2194" s="1287">
        <v>0.2</v>
      </c>
      <c r="E2194" s="1287">
        <v>3547.09</v>
      </c>
      <c r="F2194" s="1287">
        <v>709.42</v>
      </c>
      <c r="G2194" s="1286" t="s">
        <v>4954</v>
      </c>
      <c r="H2194" s="34" t="s">
        <v>925</v>
      </c>
    </row>
    <row r="2195" spans="1:8" ht="33">
      <c r="A2195" s="1289">
        <v>3</v>
      </c>
      <c r="B2195" s="1289" t="s">
        <v>1210</v>
      </c>
      <c r="C2195" s="1288" t="s">
        <v>927</v>
      </c>
      <c r="D2195" s="1287">
        <v>9.6</v>
      </c>
      <c r="E2195" s="1287">
        <v>407.35</v>
      </c>
      <c r="F2195" s="1287">
        <v>3910.56</v>
      </c>
      <c r="G2195" s="1286" t="s">
        <v>1211</v>
      </c>
      <c r="H2195" s="34" t="s">
        <v>925</v>
      </c>
    </row>
    <row r="2196" spans="1:8" ht="33">
      <c r="A2196" s="1289">
        <v>4</v>
      </c>
      <c r="B2196" s="1289" t="s">
        <v>4871</v>
      </c>
      <c r="C2196" s="1288" t="s">
        <v>927</v>
      </c>
      <c r="D2196" s="1287">
        <v>12</v>
      </c>
      <c r="E2196" s="1287">
        <v>279.18</v>
      </c>
      <c r="F2196" s="1287">
        <v>3350.16</v>
      </c>
      <c r="G2196" s="1286" t="s">
        <v>4872</v>
      </c>
      <c r="H2196" s="34" t="s">
        <v>925</v>
      </c>
    </row>
    <row r="2197" spans="1:8" ht="33">
      <c r="A2197" s="1289">
        <v>5</v>
      </c>
      <c r="B2197" s="1289" t="s">
        <v>931</v>
      </c>
      <c r="C2197" s="1288" t="s">
        <v>14</v>
      </c>
      <c r="D2197" s="1287">
        <v>1</v>
      </c>
      <c r="E2197" s="1287">
        <v>473.83</v>
      </c>
      <c r="F2197" s="1287">
        <v>473.83</v>
      </c>
      <c r="G2197" s="1286" t="s">
        <v>932</v>
      </c>
      <c r="H2197" s="34" t="s">
        <v>925</v>
      </c>
    </row>
    <row r="2198" spans="1:8" ht="33">
      <c r="A2198" s="1289"/>
      <c r="B2198" s="1289" t="s">
        <v>933</v>
      </c>
      <c r="C2198" s="1288" t="s">
        <v>3</v>
      </c>
      <c r="D2198" s="1287">
        <v>10</v>
      </c>
      <c r="E2198" s="1287"/>
      <c r="F2198" s="1287">
        <v>16268.05</v>
      </c>
      <c r="G2198" s="1286"/>
      <c r="H2198" s="34" t="s">
        <v>925</v>
      </c>
    </row>
    <row r="2199" spans="1:8" ht="33">
      <c r="A2199" s="1289"/>
      <c r="B2199" s="1289" t="s">
        <v>934</v>
      </c>
      <c r="C2199" s="1288" t="s">
        <v>3</v>
      </c>
      <c r="D2199" s="1287"/>
      <c r="E2199" s="1287"/>
      <c r="F2199" s="1287">
        <v>1626.81</v>
      </c>
      <c r="G2199" s="1286"/>
      <c r="H2199" s="34" t="s">
        <v>925</v>
      </c>
    </row>
    <row r="2200" spans="1:8" ht="33">
      <c r="A2200" s="1289"/>
      <c r="B2200" s="1289"/>
      <c r="C2200" s="1288"/>
      <c r="D2200" s="1287"/>
      <c r="E2200" s="1287"/>
      <c r="F2200" s="1287"/>
      <c r="G2200" s="1286"/>
      <c r="H2200" s="34" t="s">
        <v>925</v>
      </c>
    </row>
    <row r="2201" spans="1:8" ht="33">
      <c r="A2201" s="1289" t="s">
        <v>2378</v>
      </c>
      <c r="B2201" s="1289" t="s">
        <v>3641</v>
      </c>
      <c r="C2201" s="1288" t="s">
        <v>1875</v>
      </c>
      <c r="D2201" s="1287">
        <v>1</v>
      </c>
      <c r="E2201" s="1287">
        <v>3417.96</v>
      </c>
      <c r="F2201" s="1287"/>
      <c r="G2201" s="1286" t="s">
        <v>4976</v>
      </c>
      <c r="H2201" s="34" t="s">
        <v>925</v>
      </c>
    </row>
    <row r="2202" spans="1:8" ht="28.5">
      <c r="A2202" s="1289">
        <v>1</v>
      </c>
      <c r="B2202" s="1289" t="s">
        <v>4025</v>
      </c>
      <c r="C2202" s="1288" t="s">
        <v>1875</v>
      </c>
      <c r="D2202" s="1287">
        <v>1</v>
      </c>
      <c r="E2202" s="1287">
        <v>2980.61</v>
      </c>
      <c r="F2202" s="1287">
        <v>2980.61</v>
      </c>
      <c r="G2202" s="1286" t="s">
        <v>4026</v>
      </c>
    </row>
    <row r="2203" spans="1:8" ht="33">
      <c r="A2203" s="1289">
        <v>2</v>
      </c>
      <c r="B2203" s="1289" t="s">
        <v>4027</v>
      </c>
      <c r="C2203" s="1288" t="s">
        <v>3</v>
      </c>
      <c r="D2203" s="1287">
        <v>0.3</v>
      </c>
      <c r="E2203" s="1287">
        <v>496.77</v>
      </c>
      <c r="F2203" s="1287">
        <v>149.03</v>
      </c>
      <c r="G2203" s="1286" t="s">
        <v>4028</v>
      </c>
      <c r="H2203" s="34" t="s">
        <v>925</v>
      </c>
    </row>
    <row r="2204" spans="1:8" ht="33">
      <c r="A2204" s="1289">
        <v>3</v>
      </c>
      <c r="B2204" s="1289" t="s">
        <v>4029</v>
      </c>
      <c r="C2204" s="1288" t="s">
        <v>14</v>
      </c>
      <c r="D2204" s="1287">
        <v>1</v>
      </c>
      <c r="E2204" s="1287">
        <v>89.42</v>
      </c>
      <c r="F2204" s="1287">
        <v>89.42</v>
      </c>
      <c r="G2204" s="1286" t="s">
        <v>4030</v>
      </c>
      <c r="H2204" s="34" t="s">
        <v>925</v>
      </c>
    </row>
    <row r="2205" spans="1:8" ht="33">
      <c r="A2205" s="1289">
        <v>4</v>
      </c>
      <c r="B2205" s="1289" t="s">
        <v>4031</v>
      </c>
      <c r="C2205" s="1288" t="s">
        <v>14</v>
      </c>
      <c r="D2205" s="1287">
        <v>1</v>
      </c>
      <c r="E2205" s="1287">
        <v>99.35</v>
      </c>
      <c r="F2205" s="1287">
        <v>99.35</v>
      </c>
      <c r="G2205" s="1286" t="s">
        <v>4977</v>
      </c>
      <c r="H2205" s="34" t="s">
        <v>925</v>
      </c>
    </row>
    <row r="2206" spans="1:8" ht="33">
      <c r="A2206" s="1289">
        <v>5</v>
      </c>
      <c r="B2206" s="1289" t="s">
        <v>931</v>
      </c>
      <c r="C2206" s="1288" t="s">
        <v>14</v>
      </c>
      <c r="D2206" s="1287">
        <v>1</v>
      </c>
      <c r="E2206" s="1287">
        <v>99.55</v>
      </c>
      <c r="F2206" s="1287">
        <v>99.55</v>
      </c>
      <c r="G2206" s="1286" t="s">
        <v>932</v>
      </c>
      <c r="H2206" s="34" t="s">
        <v>925</v>
      </c>
    </row>
    <row r="2207" spans="1:8" ht="33">
      <c r="A2207" s="1289"/>
      <c r="B2207" s="1289" t="s">
        <v>933</v>
      </c>
      <c r="C2207" s="1288" t="s">
        <v>1875</v>
      </c>
      <c r="D2207" s="1287">
        <v>1</v>
      </c>
      <c r="E2207" s="1287"/>
      <c r="F2207" s="1287">
        <v>3417.9600000000005</v>
      </c>
      <c r="G2207" s="1286"/>
      <c r="H2207" s="34" t="s">
        <v>925</v>
      </c>
    </row>
    <row r="2208" spans="1:8" ht="33">
      <c r="A2208" s="1289"/>
      <c r="B2208" s="1289" t="s">
        <v>934</v>
      </c>
      <c r="C2208" s="1288" t="s">
        <v>1875</v>
      </c>
      <c r="D2208" s="1287"/>
      <c r="E2208" s="1287"/>
      <c r="F2208" s="1287">
        <v>3417.96</v>
      </c>
      <c r="G2208" s="1286"/>
      <c r="H2208" s="34" t="s">
        <v>925</v>
      </c>
    </row>
    <row r="2209" spans="1:8" ht="16.5">
      <c r="A2209" s="1289"/>
      <c r="B2209" s="1289"/>
      <c r="C2209" s="1288"/>
      <c r="D2209" s="1287"/>
      <c r="E2209" s="1287"/>
      <c r="F2209" s="1287"/>
      <c r="G2209" s="1286"/>
    </row>
    <row r="2210" spans="1:8" ht="33">
      <c r="A2210" s="1289" t="s">
        <v>2382</v>
      </c>
      <c r="B2210" s="1289" t="s">
        <v>2146</v>
      </c>
      <c r="C2210" s="1288" t="s">
        <v>3</v>
      </c>
      <c r="D2210" s="1287">
        <v>1</v>
      </c>
      <c r="E2210" s="1287">
        <v>2479.56</v>
      </c>
      <c r="F2210" s="1287"/>
      <c r="G2210" s="1286" t="s">
        <v>2147</v>
      </c>
      <c r="H2210" s="34" t="s">
        <v>925</v>
      </c>
    </row>
    <row r="2211" spans="1:8" ht="33">
      <c r="A2211" s="1289">
        <v>1</v>
      </c>
      <c r="B2211" s="1289" t="s">
        <v>2148</v>
      </c>
      <c r="C2211" s="1288" t="s">
        <v>2149</v>
      </c>
      <c r="D2211" s="1287">
        <v>15</v>
      </c>
      <c r="E2211" s="1287">
        <v>129.16</v>
      </c>
      <c r="F2211" s="1287">
        <v>1937.4</v>
      </c>
      <c r="G2211" s="1286" t="s">
        <v>2150</v>
      </c>
      <c r="H2211" s="34" t="s">
        <v>925</v>
      </c>
    </row>
    <row r="2212" spans="1:8" ht="33">
      <c r="A2212" s="1289">
        <v>2</v>
      </c>
      <c r="B2212" s="1289" t="s">
        <v>2151</v>
      </c>
      <c r="C2212" s="1288" t="s">
        <v>14</v>
      </c>
      <c r="D2212" s="1287">
        <v>1</v>
      </c>
      <c r="E2212" s="1287">
        <v>208.64</v>
      </c>
      <c r="F2212" s="1287">
        <v>208.64</v>
      </c>
      <c r="G2212" s="1286" t="s">
        <v>2152</v>
      </c>
      <c r="H2212" s="34" t="s">
        <v>925</v>
      </c>
    </row>
    <row r="2213" spans="1:8" ht="33">
      <c r="A2213" s="1289">
        <v>3</v>
      </c>
      <c r="B2213" s="1289" t="s">
        <v>2153</v>
      </c>
      <c r="C2213" s="1288" t="s">
        <v>14</v>
      </c>
      <c r="D2213" s="1287">
        <v>1</v>
      </c>
      <c r="E2213" s="1287">
        <v>238.45</v>
      </c>
      <c r="F2213" s="1287">
        <v>238.45</v>
      </c>
      <c r="G2213" s="1286" t="s">
        <v>2154</v>
      </c>
      <c r="H2213" s="34" t="s">
        <v>925</v>
      </c>
    </row>
    <row r="2214" spans="1:8" ht="33">
      <c r="A2214" s="1289">
        <v>4</v>
      </c>
      <c r="B2214" s="1289" t="s">
        <v>2155</v>
      </c>
      <c r="C2214" s="1288" t="s">
        <v>14</v>
      </c>
      <c r="D2214" s="1287">
        <v>1</v>
      </c>
      <c r="E2214" s="1287">
        <v>22.85</v>
      </c>
      <c r="F2214" s="1287">
        <v>22.85</v>
      </c>
      <c r="G2214" s="1286" t="s">
        <v>2156</v>
      </c>
      <c r="H2214" s="34" t="s">
        <v>925</v>
      </c>
    </row>
    <row r="2215" spans="1:8" ht="33">
      <c r="A2215" s="1289">
        <v>5</v>
      </c>
      <c r="B2215" s="1289" t="s">
        <v>931</v>
      </c>
      <c r="C2215" s="1288" t="s">
        <v>14</v>
      </c>
      <c r="D2215" s="1287">
        <v>1</v>
      </c>
      <c r="E2215" s="1287">
        <v>72.22</v>
      </c>
      <c r="F2215" s="1287">
        <v>72.22</v>
      </c>
      <c r="G2215" s="1286" t="s">
        <v>932</v>
      </c>
      <c r="H2215" s="34" t="s">
        <v>925</v>
      </c>
    </row>
    <row r="2216" spans="1:8" ht="33">
      <c r="A2216" s="1289"/>
      <c r="B2216" s="1289" t="s">
        <v>933</v>
      </c>
      <c r="C2216" s="1288" t="s">
        <v>3</v>
      </c>
      <c r="D2216" s="1287">
        <v>1</v>
      </c>
      <c r="E2216" s="1287"/>
      <c r="F2216" s="1287">
        <v>2479.5599999999995</v>
      </c>
      <c r="G2216" s="1286"/>
      <c r="H2216" s="34" t="s">
        <v>925</v>
      </c>
    </row>
    <row r="2217" spans="1:8" ht="33">
      <c r="A2217" s="1289"/>
      <c r="B2217" s="1289" t="s">
        <v>934</v>
      </c>
      <c r="C2217" s="1288" t="s">
        <v>3</v>
      </c>
      <c r="D2217" s="1287"/>
      <c r="E2217" s="1287"/>
      <c r="F2217" s="1287">
        <v>2479.56</v>
      </c>
      <c r="G2217" s="1286"/>
      <c r="H2217" s="34" t="s">
        <v>925</v>
      </c>
    </row>
    <row r="2218" spans="1:8" ht="33">
      <c r="A2218" s="1289"/>
      <c r="B2218" s="1289"/>
      <c r="C2218" s="1288"/>
      <c r="D2218" s="1287"/>
      <c r="E2218" s="1287"/>
      <c r="F2218" s="1287"/>
      <c r="G2218" s="1286"/>
      <c r="H2218" s="34" t="s">
        <v>925</v>
      </c>
    </row>
    <row r="2219" spans="1:8" ht="33">
      <c r="A2219" s="1289" t="s">
        <v>2389</v>
      </c>
      <c r="B2219" s="1289" t="s">
        <v>2158</v>
      </c>
      <c r="C2219" s="1288" t="s">
        <v>1497</v>
      </c>
      <c r="D2219" s="1287">
        <v>1</v>
      </c>
      <c r="E2219" s="1287">
        <v>270.16000000000003</v>
      </c>
      <c r="F2219" s="1287"/>
      <c r="G2219" s="1286" t="s">
        <v>2159</v>
      </c>
      <c r="H2219" s="34" t="s">
        <v>925</v>
      </c>
    </row>
    <row r="2220" spans="1:8" ht="28.5">
      <c r="A2220" s="1289">
        <v>1</v>
      </c>
      <c r="B2220" s="1289" t="s">
        <v>2148</v>
      </c>
      <c r="C2220" s="1288" t="s">
        <v>2149</v>
      </c>
      <c r="D2220" s="1287">
        <v>0.1</v>
      </c>
      <c r="E2220" s="1287">
        <v>129.16</v>
      </c>
      <c r="F2220" s="1287">
        <v>12.92</v>
      </c>
      <c r="G2220" s="1286" t="s">
        <v>2150</v>
      </c>
    </row>
    <row r="2221" spans="1:8" ht="33">
      <c r="A2221" s="1289">
        <v>2</v>
      </c>
      <c r="B2221" s="1289" t="s">
        <v>2151</v>
      </c>
      <c r="C2221" s="1288" t="s">
        <v>14</v>
      </c>
      <c r="D2221" s="1287">
        <v>1</v>
      </c>
      <c r="E2221" s="1287">
        <v>208.64</v>
      </c>
      <c r="F2221" s="1287">
        <v>208.64</v>
      </c>
      <c r="G2221" s="1286" t="s">
        <v>2152</v>
      </c>
      <c r="H2221" s="34" t="s">
        <v>925</v>
      </c>
    </row>
    <row r="2222" spans="1:8" ht="33">
      <c r="A2222" s="1289">
        <v>3</v>
      </c>
      <c r="B2222" s="1289" t="s">
        <v>2153</v>
      </c>
      <c r="C2222" s="1288" t="s">
        <v>14</v>
      </c>
      <c r="D2222" s="1287">
        <v>1</v>
      </c>
      <c r="E2222" s="1287">
        <v>17.88</v>
      </c>
      <c r="F2222" s="1287">
        <v>17.88</v>
      </c>
      <c r="G2222" s="1286" t="s">
        <v>2154</v>
      </c>
      <c r="H2222" s="34" t="s">
        <v>925</v>
      </c>
    </row>
    <row r="2223" spans="1:8" ht="33">
      <c r="A2223" s="1289">
        <v>4</v>
      </c>
      <c r="B2223" s="1289" t="s">
        <v>2155</v>
      </c>
      <c r="C2223" s="1288" t="s">
        <v>14</v>
      </c>
      <c r="D2223" s="1287">
        <v>1</v>
      </c>
      <c r="E2223" s="1287">
        <v>22.85</v>
      </c>
      <c r="F2223" s="1287">
        <v>22.85</v>
      </c>
      <c r="G2223" s="1286" t="s">
        <v>2156</v>
      </c>
      <c r="H2223" s="34" t="s">
        <v>925</v>
      </c>
    </row>
    <row r="2224" spans="1:8" ht="33">
      <c r="A2224" s="1289">
        <v>5</v>
      </c>
      <c r="B2224" s="1289" t="s">
        <v>931</v>
      </c>
      <c r="C2224" s="1288" t="s">
        <v>14</v>
      </c>
      <c r="D2224" s="1287">
        <v>1</v>
      </c>
      <c r="E2224" s="1287">
        <v>7.87</v>
      </c>
      <c r="F2224" s="1287">
        <v>7.87</v>
      </c>
      <c r="G2224" s="1286" t="s">
        <v>932</v>
      </c>
      <c r="H2224" s="34" t="s">
        <v>925</v>
      </c>
    </row>
    <row r="2225" spans="1:8" ht="33">
      <c r="A2225" s="1289"/>
      <c r="B2225" s="1289" t="s">
        <v>933</v>
      </c>
      <c r="C2225" s="1288" t="s">
        <v>1497</v>
      </c>
      <c r="D2225" s="1287">
        <v>1</v>
      </c>
      <c r="E2225" s="1287"/>
      <c r="F2225" s="1287">
        <v>270.15999999999997</v>
      </c>
      <c r="G2225" s="1286"/>
      <c r="H2225" s="34" t="s">
        <v>925</v>
      </c>
    </row>
    <row r="2226" spans="1:8" ht="33">
      <c r="A2226" s="1289"/>
      <c r="B2226" s="1289" t="s">
        <v>934</v>
      </c>
      <c r="C2226" s="1288" t="s">
        <v>1497</v>
      </c>
      <c r="D2226" s="1287"/>
      <c r="E2226" s="1287"/>
      <c r="F2226" s="1287">
        <v>270.16000000000003</v>
      </c>
      <c r="G2226" s="1286"/>
      <c r="H2226" s="34" t="s">
        <v>925</v>
      </c>
    </row>
    <row r="2227" spans="1:8" ht="33">
      <c r="A2227" s="1289"/>
      <c r="B2227" s="1289"/>
      <c r="C2227" s="1288"/>
      <c r="D2227" s="1287"/>
      <c r="E2227" s="1287"/>
      <c r="F2227" s="1287"/>
      <c r="G2227" s="1286"/>
      <c r="H2227" s="34" t="s">
        <v>925</v>
      </c>
    </row>
    <row r="2228" spans="1:8" ht="33">
      <c r="A2228" s="1289" t="s">
        <v>2392</v>
      </c>
      <c r="B2228" s="1289" t="s">
        <v>912</v>
      </c>
      <c r="C2228" s="1288" t="s">
        <v>3</v>
      </c>
      <c r="D2228" s="1287">
        <v>1</v>
      </c>
      <c r="E2228" s="1287">
        <v>698.94</v>
      </c>
      <c r="F2228" s="1287"/>
      <c r="G2228" s="1286" t="s">
        <v>2161</v>
      </c>
      <c r="H2228" s="34" t="s">
        <v>925</v>
      </c>
    </row>
    <row r="2229" spans="1:8" ht="33">
      <c r="A2229" s="1289">
        <v>1</v>
      </c>
      <c r="B2229" s="1289" t="s">
        <v>2162</v>
      </c>
      <c r="C2229" s="1288" t="s">
        <v>3</v>
      </c>
      <c r="D2229" s="1287">
        <v>1</v>
      </c>
      <c r="E2229" s="1287">
        <v>82.46</v>
      </c>
      <c r="F2229" s="1287">
        <v>82.46</v>
      </c>
      <c r="G2229" s="1286" t="s">
        <v>2163</v>
      </c>
      <c r="H2229" s="34" t="s">
        <v>925</v>
      </c>
    </row>
    <row r="2230" spans="1:8" ht="33">
      <c r="A2230" s="1289">
        <v>2</v>
      </c>
      <c r="B2230" s="1289" t="s">
        <v>2164</v>
      </c>
      <c r="C2230" s="1288" t="s">
        <v>3</v>
      </c>
      <c r="D2230" s="1287">
        <v>1</v>
      </c>
      <c r="E2230" s="1287">
        <v>99.35</v>
      </c>
      <c r="F2230" s="1287">
        <v>99.35</v>
      </c>
      <c r="G2230" s="1286" t="s">
        <v>2165</v>
      </c>
      <c r="H2230" s="34" t="s">
        <v>925</v>
      </c>
    </row>
    <row r="2231" spans="1:8" ht="28.5">
      <c r="A2231" s="1289">
        <v>3</v>
      </c>
      <c r="B2231" s="1289" t="s">
        <v>2166</v>
      </c>
      <c r="C2231" s="1288" t="s">
        <v>3</v>
      </c>
      <c r="D2231" s="1287">
        <v>1</v>
      </c>
      <c r="E2231" s="1287">
        <v>496.77</v>
      </c>
      <c r="F2231" s="1287">
        <v>496.77</v>
      </c>
      <c r="G2231" s="1286" t="s">
        <v>2167</v>
      </c>
    </row>
    <row r="2232" spans="1:8" ht="33">
      <c r="A2232" s="1289">
        <v>4</v>
      </c>
      <c r="B2232" s="1289" t="s">
        <v>931</v>
      </c>
      <c r="C2232" s="1288" t="s">
        <v>14</v>
      </c>
      <c r="D2232" s="1287">
        <v>1</v>
      </c>
      <c r="E2232" s="1287">
        <v>20.36</v>
      </c>
      <c r="F2232" s="1287">
        <v>20.36</v>
      </c>
      <c r="G2232" s="1286" t="s">
        <v>932</v>
      </c>
      <c r="H2232" s="34" t="s">
        <v>925</v>
      </c>
    </row>
    <row r="2233" spans="1:8" ht="33">
      <c r="A2233" s="1289"/>
      <c r="B2233" s="1289" t="s">
        <v>933</v>
      </c>
      <c r="C2233" s="1288" t="s">
        <v>3</v>
      </c>
      <c r="D2233" s="1287">
        <v>1</v>
      </c>
      <c r="E2233" s="1287"/>
      <c r="F2233" s="1287">
        <v>698.93999999999994</v>
      </c>
      <c r="G2233" s="1286"/>
      <c r="H2233" s="34" t="s">
        <v>925</v>
      </c>
    </row>
    <row r="2234" spans="1:8" ht="33">
      <c r="A2234" s="1289"/>
      <c r="B2234" s="1289" t="s">
        <v>934</v>
      </c>
      <c r="C2234" s="1288" t="s">
        <v>3</v>
      </c>
      <c r="D2234" s="1287"/>
      <c r="E2234" s="1287"/>
      <c r="F2234" s="1287">
        <v>698.94</v>
      </c>
      <c r="G2234" s="1286"/>
      <c r="H2234" s="34" t="s">
        <v>925</v>
      </c>
    </row>
    <row r="2235" spans="1:8" ht="33">
      <c r="A2235" s="1289"/>
      <c r="B2235" s="1289"/>
      <c r="C2235" s="1288"/>
      <c r="D2235" s="1287"/>
      <c r="E2235" s="1287"/>
      <c r="F2235" s="1287"/>
      <c r="G2235" s="1286"/>
      <c r="H2235" s="34" t="s">
        <v>925</v>
      </c>
    </row>
    <row r="2236" spans="1:8" ht="33">
      <c r="A2236" s="1289" t="s">
        <v>2398</v>
      </c>
      <c r="B2236" s="1289" t="s">
        <v>2169</v>
      </c>
      <c r="C2236" s="1288" t="s">
        <v>17</v>
      </c>
      <c r="D2236" s="1287">
        <v>10</v>
      </c>
      <c r="E2236" s="1287">
        <v>138.11000000000001</v>
      </c>
      <c r="F2236" s="1287"/>
      <c r="G2236" s="1286" t="s">
        <v>2170</v>
      </c>
      <c r="H2236" s="34" t="s">
        <v>925</v>
      </c>
    </row>
    <row r="2237" spans="1:8" ht="33">
      <c r="A2237" s="1289">
        <v>1</v>
      </c>
      <c r="B2237" s="1289" t="s">
        <v>2171</v>
      </c>
      <c r="C2237" s="1288" t="s">
        <v>14</v>
      </c>
      <c r="D2237" s="1287">
        <v>1</v>
      </c>
      <c r="E2237" s="1287">
        <v>248.38</v>
      </c>
      <c r="F2237" s="1287">
        <v>248.38</v>
      </c>
      <c r="G2237" s="1286" t="s">
        <v>2172</v>
      </c>
      <c r="H2237" s="34" t="s">
        <v>925</v>
      </c>
    </row>
    <row r="2238" spans="1:8" ht="33">
      <c r="A2238" s="1289">
        <v>2</v>
      </c>
      <c r="B2238" s="1289" t="s">
        <v>2173</v>
      </c>
      <c r="C2238" s="1288" t="s">
        <v>14</v>
      </c>
      <c r="D2238" s="1287">
        <v>1</v>
      </c>
      <c r="E2238" s="1287">
        <v>198.71</v>
      </c>
      <c r="F2238" s="1287">
        <v>198.71</v>
      </c>
      <c r="G2238" s="1286" t="s">
        <v>2174</v>
      </c>
      <c r="H2238" s="34" t="s">
        <v>925</v>
      </c>
    </row>
    <row r="2239" spans="1:8" ht="33">
      <c r="A2239" s="1289">
        <v>3</v>
      </c>
      <c r="B2239" s="1289" t="s">
        <v>2175</v>
      </c>
      <c r="C2239" s="1288" t="s">
        <v>14</v>
      </c>
      <c r="D2239" s="1287">
        <v>1</v>
      </c>
      <c r="E2239" s="1287">
        <v>99.35</v>
      </c>
      <c r="F2239" s="1287">
        <v>99.35</v>
      </c>
      <c r="G2239" s="1286" t="s">
        <v>2176</v>
      </c>
      <c r="H2239" s="34" t="s">
        <v>925</v>
      </c>
    </row>
    <row r="2240" spans="1:8" ht="28.5">
      <c r="A2240" s="1289">
        <v>4</v>
      </c>
      <c r="B2240" s="1289" t="s">
        <v>2177</v>
      </c>
      <c r="C2240" s="1288" t="s">
        <v>14</v>
      </c>
      <c r="D2240" s="1287">
        <v>1</v>
      </c>
      <c r="E2240" s="1287">
        <v>347.74</v>
      </c>
      <c r="F2240" s="1287">
        <v>347.74</v>
      </c>
      <c r="G2240" s="1286" t="s">
        <v>2178</v>
      </c>
    </row>
    <row r="2241" spans="1:8" ht="33">
      <c r="A2241" s="1289">
        <v>5</v>
      </c>
      <c r="B2241" s="1289" t="s">
        <v>4871</v>
      </c>
      <c r="C2241" s="1288" t="s">
        <v>927</v>
      </c>
      <c r="D2241" s="1287">
        <v>1.6</v>
      </c>
      <c r="E2241" s="1287">
        <v>279.18</v>
      </c>
      <c r="F2241" s="1287">
        <v>446.69</v>
      </c>
      <c r="G2241" s="1286" t="s">
        <v>4872</v>
      </c>
      <c r="H2241" s="34" t="s">
        <v>925</v>
      </c>
    </row>
    <row r="2242" spans="1:8" ht="33">
      <c r="A2242" s="1289">
        <v>6</v>
      </c>
      <c r="B2242" s="1289" t="s">
        <v>931</v>
      </c>
      <c r="C2242" s="1288" t="s">
        <v>14</v>
      </c>
      <c r="D2242" s="1287">
        <v>1</v>
      </c>
      <c r="E2242" s="1287">
        <v>40.229999999999997</v>
      </c>
      <c r="F2242" s="1287">
        <v>40.229999999999997</v>
      </c>
      <c r="G2242" s="1286" t="s">
        <v>932</v>
      </c>
      <c r="H2242" s="34" t="s">
        <v>925</v>
      </c>
    </row>
    <row r="2243" spans="1:8" ht="33">
      <c r="A2243" s="1289"/>
      <c r="B2243" s="1289" t="s">
        <v>933</v>
      </c>
      <c r="C2243" s="1288" t="s">
        <v>17</v>
      </c>
      <c r="D2243" s="1287">
        <v>10</v>
      </c>
      <c r="E2243" s="1287"/>
      <c r="F2243" s="1287">
        <v>1381.1000000000001</v>
      </c>
      <c r="G2243" s="1286"/>
      <c r="H2243" s="34" t="s">
        <v>925</v>
      </c>
    </row>
    <row r="2244" spans="1:8" ht="33">
      <c r="A2244" s="1289"/>
      <c r="B2244" s="1289" t="s">
        <v>934</v>
      </c>
      <c r="C2244" s="1288" t="s">
        <v>17</v>
      </c>
      <c r="D2244" s="1287"/>
      <c r="E2244" s="1287"/>
      <c r="F2244" s="1287">
        <v>138.11000000000001</v>
      </c>
      <c r="G2244" s="1286"/>
      <c r="H2244" s="34" t="s">
        <v>925</v>
      </c>
    </row>
    <row r="2245" spans="1:8" ht="33">
      <c r="A2245" s="1289"/>
      <c r="B2245" s="1289"/>
      <c r="C2245" s="1288"/>
      <c r="D2245" s="1287"/>
      <c r="E2245" s="1287"/>
      <c r="F2245" s="1287"/>
      <c r="G2245" s="1286"/>
      <c r="H2245" s="34" t="s">
        <v>925</v>
      </c>
    </row>
    <row r="2246" spans="1:8" ht="33">
      <c r="A2246" s="1289" t="s">
        <v>2404</v>
      </c>
      <c r="B2246" s="1289" t="s">
        <v>3642</v>
      </c>
      <c r="C2246" s="1288" t="s">
        <v>17</v>
      </c>
      <c r="D2246" s="1287">
        <v>10</v>
      </c>
      <c r="E2246" s="1287">
        <v>117.64</v>
      </c>
      <c r="F2246" s="1287"/>
      <c r="G2246" s="1286" t="s">
        <v>4032</v>
      </c>
      <c r="H2246" s="34" t="s">
        <v>925</v>
      </c>
    </row>
    <row r="2247" spans="1:8" ht="33">
      <c r="A2247" s="1289">
        <v>1</v>
      </c>
      <c r="B2247" s="1289" t="s">
        <v>2171</v>
      </c>
      <c r="C2247" s="1288" t="s">
        <v>14</v>
      </c>
      <c r="D2247" s="1287">
        <v>1</v>
      </c>
      <c r="E2247" s="1287">
        <v>248.38</v>
      </c>
      <c r="F2247" s="1287">
        <v>248.38</v>
      </c>
      <c r="G2247" s="1286" t="s">
        <v>2172</v>
      </c>
      <c r="H2247" s="34" t="s">
        <v>925</v>
      </c>
    </row>
    <row r="2248" spans="1:8" ht="33">
      <c r="A2248" s="1289">
        <v>2</v>
      </c>
      <c r="B2248" s="1289" t="s">
        <v>2175</v>
      </c>
      <c r="C2248" s="1288" t="s">
        <v>14</v>
      </c>
      <c r="D2248" s="1287">
        <v>1</v>
      </c>
      <c r="E2248" s="1287">
        <v>99.35</v>
      </c>
      <c r="F2248" s="1287">
        <v>99.35</v>
      </c>
      <c r="G2248" s="1286" t="s">
        <v>2176</v>
      </c>
      <c r="H2248" s="34" t="s">
        <v>925</v>
      </c>
    </row>
    <row r="2249" spans="1:8" ht="28.5">
      <c r="A2249" s="1289">
        <v>3</v>
      </c>
      <c r="B2249" s="1289" t="s">
        <v>2177</v>
      </c>
      <c r="C2249" s="1288" t="s">
        <v>14</v>
      </c>
      <c r="D2249" s="1287">
        <v>1</v>
      </c>
      <c r="E2249" s="1287">
        <v>347.74</v>
      </c>
      <c r="F2249" s="1287">
        <v>347.74</v>
      </c>
      <c r="G2249" s="1286" t="s">
        <v>2178</v>
      </c>
    </row>
    <row r="2250" spans="1:8" ht="33">
      <c r="A2250" s="1289">
        <v>4</v>
      </c>
      <c r="B2250" s="1289" t="s">
        <v>4871</v>
      </c>
      <c r="C2250" s="1288" t="s">
        <v>927</v>
      </c>
      <c r="D2250" s="1287">
        <v>1.6</v>
      </c>
      <c r="E2250" s="1287">
        <v>279.18</v>
      </c>
      <c r="F2250" s="1287">
        <v>446.69</v>
      </c>
      <c r="G2250" s="1286" t="s">
        <v>4872</v>
      </c>
      <c r="H2250" s="34" t="s">
        <v>925</v>
      </c>
    </row>
    <row r="2251" spans="1:8" ht="33">
      <c r="A2251" s="1289">
        <v>5</v>
      </c>
      <c r="B2251" s="1289" t="s">
        <v>931</v>
      </c>
      <c r="C2251" s="1288" t="s">
        <v>14</v>
      </c>
      <c r="D2251" s="1287">
        <v>1</v>
      </c>
      <c r="E2251" s="1287">
        <v>34.26</v>
      </c>
      <c r="F2251" s="1287">
        <v>34.26</v>
      </c>
      <c r="G2251" s="1286" t="s">
        <v>932</v>
      </c>
      <c r="H2251" s="34" t="s">
        <v>925</v>
      </c>
    </row>
    <row r="2252" spans="1:8" ht="33">
      <c r="A2252" s="1289"/>
      <c r="B2252" s="1289" t="s">
        <v>933</v>
      </c>
      <c r="C2252" s="1288" t="s">
        <v>17</v>
      </c>
      <c r="D2252" s="1287">
        <v>10</v>
      </c>
      <c r="E2252" s="1287"/>
      <c r="F2252" s="1287">
        <v>1176.42</v>
      </c>
      <c r="G2252" s="1286"/>
      <c r="H2252" s="34" t="s">
        <v>925</v>
      </c>
    </row>
    <row r="2253" spans="1:8" ht="33">
      <c r="A2253" s="1289"/>
      <c r="B2253" s="1289" t="s">
        <v>934</v>
      </c>
      <c r="C2253" s="1288" t="s">
        <v>17</v>
      </c>
      <c r="D2253" s="1287"/>
      <c r="E2253" s="1287"/>
      <c r="F2253" s="1287">
        <v>117.64</v>
      </c>
      <c r="G2253" s="1286"/>
      <c r="H2253" s="34" t="s">
        <v>925</v>
      </c>
    </row>
    <row r="2254" spans="1:8" ht="33">
      <c r="A2254" s="1289"/>
      <c r="B2254" s="1289"/>
      <c r="C2254" s="1288"/>
      <c r="D2254" s="1287"/>
      <c r="E2254" s="1287"/>
      <c r="F2254" s="1287"/>
      <c r="G2254" s="1286"/>
      <c r="H2254" s="34" t="s">
        <v>925</v>
      </c>
    </row>
    <row r="2255" spans="1:8" ht="33">
      <c r="A2255" s="1289" t="s">
        <v>2409</v>
      </c>
      <c r="B2255" s="1289" t="s">
        <v>4697</v>
      </c>
      <c r="C2255" s="1288" t="s">
        <v>17</v>
      </c>
      <c r="D2255" s="1287">
        <v>10</v>
      </c>
      <c r="E2255" s="1287">
        <v>177.46</v>
      </c>
      <c r="F2255" s="1287"/>
      <c r="G2255" s="1286" t="s">
        <v>4978</v>
      </c>
      <c r="H2255" s="34" t="s">
        <v>925</v>
      </c>
    </row>
    <row r="2256" spans="1:8" ht="28.5">
      <c r="A2256" s="1289">
        <v>1</v>
      </c>
      <c r="B2256" s="1289" t="s">
        <v>2171</v>
      </c>
      <c r="C2256" s="1288" t="s">
        <v>14</v>
      </c>
      <c r="D2256" s="1287">
        <v>1</v>
      </c>
      <c r="E2256" s="1287">
        <v>248.38</v>
      </c>
      <c r="F2256" s="1287">
        <v>248.38</v>
      </c>
      <c r="G2256" s="1286" t="s">
        <v>2172</v>
      </c>
    </row>
    <row r="2257" spans="1:8" ht="33">
      <c r="A2257" s="1289">
        <v>2</v>
      </c>
      <c r="B2257" s="1289" t="s">
        <v>2175</v>
      </c>
      <c r="C2257" s="1288" t="s">
        <v>14</v>
      </c>
      <c r="D2257" s="1287">
        <v>1</v>
      </c>
      <c r="E2257" s="1287">
        <v>99.35</v>
      </c>
      <c r="F2257" s="1287">
        <v>99.35</v>
      </c>
      <c r="G2257" s="1286" t="s">
        <v>2176</v>
      </c>
      <c r="H2257" s="34" t="s">
        <v>925</v>
      </c>
    </row>
    <row r="2258" spans="1:8" ht="33">
      <c r="A2258" s="1289">
        <v>3</v>
      </c>
      <c r="B2258" s="1289" t="s">
        <v>2177</v>
      </c>
      <c r="C2258" s="1288" t="s">
        <v>14</v>
      </c>
      <c r="D2258" s="1287">
        <v>1</v>
      </c>
      <c r="E2258" s="1287">
        <v>347.74</v>
      </c>
      <c r="F2258" s="1287">
        <v>347.74</v>
      </c>
      <c r="G2258" s="1286" t="s">
        <v>2178</v>
      </c>
      <c r="H2258" s="34" t="s">
        <v>925</v>
      </c>
    </row>
    <row r="2259" spans="1:8" ht="42.75">
      <c r="A2259" s="1289">
        <v>4</v>
      </c>
      <c r="B2259" s="1289" t="s">
        <v>4874</v>
      </c>
      <c r="C2259" s="1288" t="s">
        <v>927</v>
      </c>
      <c r="D2259" s="1287">
        <v>1.84</v>
      </c>
      <c r="E2259" s="1287">
        <v>558.37</v>
      </c>
      <c r="F2259" s="1287">
        <v>1027.4000000000001</v>
      </c>
      <c r="G2259" s="1286" t="s">
        <v>4875</v>
      </c>
      <c r="H2259" s="34" t="s">
        <v>925</v>
      </c>
    </row>
    <row r="2260" spans="1:8" ht="33">
      <c r="A2260" s="1289">
        <v>5</v>
      </c>
      <c r="B2260" s="1289" t="s">
        <v>931</v>
      </c>
      <c r="C2260" s="1288" t="s">
        <v>14</v>
      </c>
      <c r="D2260" s="1287">
        <v>1</v>
      </c>
      <c r="E2260" s="1287">
        <v>51.69</v>
      </c>
      <c r="F2260" s="1287">
        <v>51.69</v>
      </c>
      <c r="G2260" s="1286" t="s">
        <v>932</v>
      </c>
      <c r="H2260" s="34" t="s">
        <v>925</v>
      </c>
    </row>
    <row r="2261" spans="1:8" ht="33">
      <c r="A2261" s="1289"/>
      <c r="B2261" s="1289" t="s">
        <v>933</v>
      </c>
      <c r="C2261" s="1288" t="s">
        <v>17</v>
      </c>
      <c r="D2261" s="1287">
        <v>10</v>
      </c>
      <c r="E2261" s="1287"/>
      <c r="F2261" s="1287">
        <v>1774.5600000000002</v>
      </c>
      <c r="G2261" s="1286"/>
      <c r="H2261" s="34" t="s">
        <v>925</v>
      </c>
    </row>
    <row r="2262" spans="1:8" ht="16.5">
      <c r="A2262" s="1289"/>
      <c r="B2262" s="1289" t="s">
        <v>934</v>
      </c>
      <c r="C2262" s="1288" t="s">
        <v>17</v>
      </c>
      <c r="D2262" s="1287"/>
      <c r="E2262" s="1287"/>
      <c r="F2262" s="1287">
        <v>177.46</v>
      </c>
      <c r="G2262" s="1286"/>
    </row>
    <row r="2263" spans="1:8" ht="33">
      <c r="A2263" s="1289"/>
      <c r="B2263" s="1289"/>
      <c r="C2263" s="1288"/>
      <c r="D2263" s="1287"/>
      <c r="E2263" s="1287"/>
      <c r="F2263" s="1287"/>
      <c r="G2263" s="1286"/>
      <c r="H2263" s="34" t="s">
        <v>925</v>
      </c>
    </row>
    <row r="2264" spans="1:8" ht="33">
      <c r="A2264" s="1289" t="s">
        <v>2413</v>
      </c>
      <c r="B2264" s="1289" t="s">
        <v>2180</v>
      </c>
      <c r="C2264" s="1288" t="s">
        <v>3</v>
      </c>
      <c r="D2264" s="1287">
        <v>1</v>
      </c>
      <c r="E2264" s="1287">
        <v>1259.93</v>
      </c>
      <c r="F2264" s="1287"/>
      <c r="G2264" s="1286" t="s">
        <v>2181</v>
      </c>
      <c r="H2264" s="34" t="s">
        <v>925</v>
      </c>
    </row>
    <row r="2265" spans="1:8" ht="33">
      <c r="A2265" s="1289">
        <v>1</v>
      </c>
      <c r="B2265" s="1289" t="s">
        <v>2182</v>
      </c>
      <c r="C2265" s="1288" t="s">
        <v>3</v>
      </c>
      <c r="D2265" s="1287">
        <v>1</v>
      </c>
      <c r="E2265" s="1287">
        <v>331.84</v>
      </c>
      <c r="F2265" s="1287">
        <v>331.84</v>
      </c>
      <c r="G2265" s="1286" t="s">
        <v>2183</v>
      </c>
      <c r="H2265" s="34" t="s">
        <v>925</v>
      </c>
    </row>
    <row r="2266" spans="1:8" ht="33">
      <c r="A2266" s="1289">
        <v>2</v>
      </c>
      <c r="B2266" s="1289" t="s">
        <v>1294</v>
      </c>
      <c r="C2266" s="1288" t="s">
        <v>1295</v>
      </c>
      <c r="D2266" s="1287">
        <v>0.12</v>
      </c>
      <c r="E2266" s="1287">
        <v>165.92</v>
      </c>
      <c r="F2266" s="1287">
        <v>19.91</v>
      </c>
      <c r="G2266" s="1286" t="s">
        <v>1296</v>
      </c>
      <c r="H2266" s="34" t="s">
        <v>925</v>
      </c>
    </row>
    <row r="2267" spans="1:8" ht="33">
      <c r="A2267" s="1289">
        <v>3</v>
      </c>
      <c r="B2267" s="1289" t="s">
        <v>2184</v>
      </c>
      <c r="C2267" s="1288" t="s">
        <v>18</v>
      </c>
      <c r="D2267" s="1287">
        <v>12</v>
      </c>
      <c r="E2267" s="1287">
        <v>14.9</v>
      </c>
      <c r="F2267" s="1287">
        <v>178.8</v>
      </c>
      <c r="G2267" s="1286" t="s">
        <v>2185</v>
      </c>
      <c r="H2267" s="34" t="s">
        <v>925</v>
      </c>
    </row>
    <row r="2268" spans="1:8" ht="33">
      <c r="A2268" s="1289">
        <v>4</v>
      </c>
      <c r="B2268" s="1289" t="s">
        <v>2186</v>
      </c>
      <c r="C2268" s="1288" t="s">
        <v>18</v>
      </c>
      <c r="D2268" s="1287">
        <v>3</v>
      </c>
      <c r="E2268" s="1287">
        <v>11.92</v>
      </c>
      <c r="F2268" s="1287">
        <v>35.76</v>
      </c>
      <c r="G2268" s="1286" t="s">
        <v>2187</v>
      </c>
      <c r="H2268" s="34" t="s">
        <v>925</v>
      </c>
    </row>
    <row r="2269" spans="1:8" ht="33">
      <c r="A2269" s="1289">
        <v>5</v>
      </c>
      <c r="B2269" s="1289" t="s">
        <v>2188</v>
      </c>
      <c r="C2269" s="1288" t="s">
        <v>14</v>
      </c>
      <c r="D2269" s="1287">
        <v>1</v>
      </c>
      <c r="E2269" s="1287">
        <v>9.94</v>
      </c>
      <c r="F2269" s="1287">
        <v>9.94</v>
      </c>
      <c r="G2269" s="1286" t="s">
        <v>2189</v>
      </c>
      <c r="H2269" s="34" t="s">
        <v>925</v>
      </c>
    </row>
    <row r="2270" spans="1:8" ht="33">
      <c r="A2270" s="1289">
        <v>6</v>
      </c>
      <c r="B2270" s="1289" t="s">
        <v>1210</v>
      </c>
      <c r="C2270" s="1288" t="s">
        <v>927</v>
      </c>
      <c r="D2270" s="1287">
        <v>1.04</v>
      </c>
      <c r="E2270" s="1287">
        <v>407.35</v>
      </c>
      <c r="F2270" s="1287">
        <v>423.64</v>
      </c>
      <c r="G2270" s="1286" t="s">
        <v>1211</v>
      </c>
      <c r="H2270" s="34" t="s">
        <v>925</v>
      </c>
    </row>
    <row r="2271" spans="1:8" ht="28.5">
      <c r="A2271" s="1289">
        <v>7</v>
      </c>
      <c r="B2271" s="1289" t="s">
        <v>1644</v>
      </c>
      <c r="C2271" s="1288" t="s">
        <v>927</v>
      </c>
      <c r="D2271" s="1287">
        <v>0.8</v>
      </c>
      <c r="E2271" s="1287">
        <v>279.18</v>
      </c>
      <c r="F2271" s="1287">
        <v>223.34</v>
      </c>
      <c r="G2271" s="1286" t="s">
        <v>1645</v>
      </c>
    </row>
    <row r="2272" spans="1:8" ht="33">
      <c r="A2272" s="1289">
        <v>8</v>
      </c>
      <c r="B2272" s="1289" t="s">
        <v>955</v>
      </c>
      <c r="C2272" s="1288" t="s">
        <v>14</v>
      </c>
      <c r="D2272" s="1287">
        <v>1</v>
      </c>
      <c r="E2272" s="1287">
        <v>36.700000000000003</v>
      </c>
      <c r="F2272" s="1287">
        <v>36.700000000000003</v>
      </c>
      <c r="G2272" s="1286" t="s">
        <v>956</v>
      </c>
      <c r="H2272" s="34" t="s">
        <v>925</v>
      </c>
    </row>
    <row r="2273" spans="1:8" ht="33">
      <c r="A2273" s="1289"/>
      <c r="B2273" s="1289" t="s">
        <v>933</v>
      </c>
      <c r="C2273" s="1288" t="s">
        <v>3</v>
      </c>
      <c r="D2273" s="1287">
        <v>1</v>
      </c>
      <c r="E2273" s="1287"/>
      <c r="F2273" s="1287">
        <v>1259.93</v>
      </c>
      <c r="G2273" s="1286"/>
      <c r="H2273" s="34" t="s">
        <v>925</v>
      </c>
    </row>
    <row r="2274" spans="1:8" ht="33">
      <c r="A2274" s="1289"/>
      <c r="B2274" s="1289" t="s">
        <v>934</v>
      </c>
      <c r="C2274" s="1288" t="s">
        <v>3</v>
      </c>
      <c r="D2274" s="1287"/>
      <c r="E2274" s="1287"/>
      <c r="F2274" s="1287">
        <v>1259.93</v>
      </c>
      <c r="G2274" s="1286"/>
      <c r="H2274" s="34" t="s">
        <v>925</v>
      </c>
    </row>
    <row r="2275" spans="1:8" ht="33">
      <c r="A2275" s="1289"/>
      <c r="B2275" s="1289"/>
      <c r="C2275" s="1288"/>
      <c r="D2275" s="1287"/>
      <c r="E2275" s="1287"/>
      <c r="F2275" s="1287"/>
      <c r="G2275" s="1286"/>
      <c r="H2275" s="34" t="s">
        <v>925</v>
      </c>
    </row>
    <row r="2276" spans="1:8" ht="33">
      <c r="A2276" s="1289" t="s">
        <v>2415</v>
      </c>
      <c r="B2276" s="1289" t="s">
        <v>2191</v>
      </c>
      <c r="C2276" s="1288" t="s">
        <v>3</v>
      </c>
      <c r="D2276" s="1287">
        <v>1</v>
      </c>
      <c r="E2276" s="1287">
        <v>1816.22</v>
      </c>
      <c r="F2276" s="1287"/>
      <c r="G2276" s="1286" t="s">
        <v>2192</v>
      </c>
      <c r="H2276" s="34" t="s">
        <v>925</v>
      </c>
    </row>
    <row r="2277" spans="1:8" ht="33">
      <c r="A2277" s="1289">
        <v>1</v>
      </c>
      <c r="B2277" s="1289" t="s">
        <v>2182</v>
      </c>
      <c r="C2277" s="1288" t="s">
        <v>3</v>
      </c>
      <c r="D2277" s="1287">
        <v>1</v>
      </c>
      <c r="E2277" s="1287">
        <v>331.84</v>
      </c>
      <c r="F2277" s="1287">
        <v>331.84</v>
      </c>
      <c r="G2277" s="1286" t="s">
        <v>2183</v>
      </c>
      <c r="H2277" s="34" t="s">
        <v>925</v>
      </c>
    </row>
    <row r="2278" spans="1:8" ht="33">
      <c r="A2278" s="1289">
        <v>2</v>
      </c>
      <c r="B2278" s="1289" t="s">
        <v>1294</v>
      </c>
      <c r="C2278" s="1288" t="s">
        <v>1295</v>
      </c>
      <c r="D2278" s="1287">
        <v>0.12</v>
      </c>
      <c r="E2278" s="1287">
        <v>165.92</v>
      </c>
      <c r="F2278" s="1287">
        <v>19.91</v>
      </c>
      <c r="G2278" s="1286" t="s">
        <v>1296</v>
      </c>
      <c r="H2278" s="34" t="s">
        <v>925</v>
      </c>
    </row>
    <row r="2279" spans="1:8" ht="33">
      <c r="A2279" s="1289">
        <v>3</v>
      </c>
      <c r="B2279" s="1289" t="s">
        <v>2184</v>
      </c>
      <c r="C2279" s="1288" t="s">
        <v>18</v>
      </c>
      <c r="D2279" s="1287">
        <v>12</v>
      </c>
      <c r="E2279" s="1287">
        <v>14.9</v>
      </c>
      <c r="F2279" s="1287">
        <v>178.8</v>
      </c>
      <c r="G2279" s="1286" t="s">
        <v>2185</v>
      </c>
      <c r="H2279" s="34" t="s">
        <v>925</v>
      </c>
    </row>
    <row r="2280" spans="1:8" ht="33">
      <c r="A2280" s="1289">
        <v>4</v>
      </c>
      <c r="B2280" s="1289" t="s">
        <v>2186</v>
      </c>
      <c r="C2280" s="1288" t="s">
        <v>18</v>
      </c>
      <c r="D2280" s="1287">
        <v>3</v>
      </c>
      <c r="E2280" s="1287">
        <v>11.92</v>
      </c>
      <c r="F2280" s="1287">
        <v>35.76</v>
      </c>
      <c r="G2280" s="1286" t="s">
        <v>2187</v>
      </c>
      <c r="H2280" s="34" t="s">
        <v>925</v>
      </c>
    </row>
    <row r="2281" spans="1:8" ht="33">
      <c r="A2281" s="1289">
        <v>5</v>
      </c>
      <c r="B2281" s="1289" t="s">
        <v>2188</v>
      </c>
      <c r="C2281" s="1288" t="s">
        <v>14</v>
      </c>
      <c r="D2281" s="1287">
        <v>1</v>
      </c>
      <c r="E2281" s="1287">
        <v>9.94</v>
      </c>
      <c r="F2281" s="1287">
        <v>9.94</v>
      </c>
      <c r="G2281" s="1286" t="s">
        <v>2189</v>
      </c>
      <c r="H2281" s="34" t="s">
        <v>925</v>
      </c>
    </row>
    <row r="2282" spans="1:8" ht="28.5">
      <c r="A2282" s="1289">
        <v>6</v>
      </c>
      <c r="B2282" s="1289" t="s">
        <v>1210</v>
      </c>
      <c r="C2282" s="1288" t="s">
        <v>927</v>
      </c>
      <c r="D2282" s="1287">
        <v>0.24</v>
      </c>
      <c r="E2282" s="1287">
        <v>407.35</v>
      </c>
      <c r="F2282" s="1287">
        <v>97.76</v>
      </c>
      <c r="G2282" s="1286" t="s">
        <v>1211</v>
      </c>
    </row>
    <row r="2283" spans="1:8" ht="33">
      <c r="A2283" s="1289">
        <v>7</v>
      </c>
      <c r="B2283" s="1289" t="s">
        <v>2193</v>
      </c>
      <c r="C2283" s="1288" t="s">
        <v>927</v>
      </c>
      <c r="D2283" s="1287">
        <v>2.4</v>
      </c>
      <c r="E2283" s="1287">
        <v>407.35</v>
      </c>
      <c r="F2283" s="1287">
        <v>977.64</v>
      </c>
      <c r="G2283" s="1286" t="s">
        <v>4015</v>
      </c>
      <c r="H2283" s="34" t="s">
        <v>925</v>
      </c>
    </row>
    <row r="2284" spans="1:8" ht="33">
      <c r="A2284" s="1289">
        <v>8</v>
      </c>
      <c r="B2284" s="1289" t="s">
        <v>1644</v>
      </c>
      <c r="C2284" s="1288" t="s">
        <v>927</v>
      </c>
      <c r="D2284" s="1287">
        <v>0.4</v>
      </c>
      <c r="E2284" s="1287">
        <v>279.18</v>
      </c>
      <c r="F2284" s="1287">
        <v>111.67</v>
      </c>
      <c r="G2284" s="1286" t="s">
        <v>1645</v>
      </c>
      <c r="H2284" s="34" t="s">
        <v>925</v>
      </c>
    </row>
    <row r="2285" spans="1:8" ht="33">
      <c r="A2285" s="1289">
        <v>9</v>
      </c>
      <c r="B2285" s="1289" t="s">
        <v>955</v>
      </c>
      <c r="C2285" s="1288" t="s">
        <v>14</v>
      </c>
      <c r="D2285" s="1287">
        <v>1</v>
      </c>
      <c r="E2285" s="1287">
        <v>52.9</v>
      </c>
      <c r="F2285" s="1287">
        <v>52.9</v>
      </c>
      <c r="G2285" s="1286" t="s">
        <v>956</v>
      </c>
      <c r="H2285" s="34" t="s">
        <v>925</v>
      </c>
    </row>
    <row r="2286" spans="1:8" ht="33">
      <c r="A2286" s="1289"/>
      <c r="B2286" s="1289" t="s">
        <v>933</v>
      </c>
      <c r="C2286" s="1288" t="s">
        <v>3</v>
      </c>
      <c r="D2286" s="1287">
        <v>1</v>
      </c>
      <c r="E2286" s="1287"/>
      <c r="F2286" s="1287">
        <v>1816.2200000000003</v>
      </c>
      <c r="G2286" s="1286"/>
      <c r="H2286" s="34" t="s">
        <v>925</v>
      </c>
    </row>
    <row r="2287" spans="1:8" ht="33">
      <c r="A2287" s="1289"/>
      <c r="B2287" s="1289" t="s">
        <v>934</v>
      </c>
      <c r="C2287" s="1288" t="s">
        <v>3</v>
      </c>
      <c r="D2287" s="1287"/>
      <c r="E2287" s="1287"/>
      <c r="F2287" s="1287">
        <v>1816.22</v>
      </c>
      <c r="G2287" s="1286"/>
      <c r="H2287" s="34" t="s">
        <v>925</v>
      </c>
    </row>
    <row r="2288" spans="1:8" ht="33">
      <c r="A2288" s="1289"/>
      <c r="B2288" s="1289"/>
      <c r="C2288" s="1288"/>
      <c r="D2288" s="1287"/>
      <c r="E2288" s="1287"/>
      <c r="F2288" s="1287"/>
      <c r="G2288" s="1286"/>
      <c r="H2288" s="34" t="s">
        <v>925</v>
      </c>
    </row>
    <row r="2289" spans="1:8" ht="33">
      <c r="A2289" s="1289" t="s">
        <v>2417</v>
      </c>
      <c r="B2289" s="1289" t="s">
        <v>2195</v>
      </c>
      <c r="C2289" s="1288" t="s">
        <v>3</v>
      </c>
      <c r="D2289" s="1287">
        <v>1</v>
      </c>
      <c r="E2289" s="1287">
        <v>1494.08</v>
      </c>
      <c r="F2289" s="1287"/>
      <c r="G2289" s="1286" t="s">
        <v>2196</v>
      </c>
      <c r="H2289" s="34" t="s">
        <v>925</v>
      </c>
    </row>
    <row r="2290" spans="1:8" ht="33">
      <c r="A2290" s="1289">
        <v>1</v>
      </c>
      <c r="B2290" s="1289" t="s">
        <v>2182</v>
      </c>
      <c r="C2290" s="1288" t="s">
        <v>3</v>
      </c>
      <c r="D2290" s="1287">
        <v>1</v>
      </c>
      <c r="E2290" s="1287">
        <v>331.84</v>
      </c>
      <c r="F2290" s="1287">
        <v>331.84</v>
      </c>
      <c r="G2290" s="1286" t="s">
        <v>2183</v>
      </c>
      <c r="H2290" s="34" t="s">
        <v>925</v>
      </c>
    </row>
    <row r="2291" spans="1:8" ht="33">
      <c r="A2291" s="1289">
        <v>2</v>
      </c>
      <c r="B2291" s="1289" t="s">
        <v>1294</v>
      </c>
      <c r="C2291" s="1288" t="s">
        <v>1295</v>
      </c>
      <c r="D2291" s="1287">
        <v>0.12</v>
      </c>
      <c r="E2291" s="1287">
        <v>165.92</v>
      </c>
      <c r="F2291" s="1287">
        <v>19.91</v>
      </c>
      <c r="G2291" s="1286" t="s">
        <v>1296</v>
      </c>
      <c r="H2291" s="34" t="s">
        <v>925</v>
      </c>
    </row>
    <row r="2292" spans="1:8" ht="28.5">
      <c r="A2292" s="1289">
        <v>3</v>
      </c>
      <c r="B2292" s="1289" t="s">
        <v>2184</v>
      </c>
      <c r="C2292" s="1288" t="s">
        <v>18</v>
      </c>
      <c r="D2292" s="1287">
        <v>12</v>
      </c>
      <c r="E2292" s="1287">
        <v>14.9</v>
      </c>
      <c r="F2292" s="1287">
        <v>178.8</v>
      </c>
      <c r="G2292" s="1286" t="s">
        <v>2185</v>
      </c>
    </row>
    <row r="2293" spans="1:8" ht="33">
      <c r="A2293" s="1289">
        <v>4</v>
      </c>
      <c r="B2293" s="1289" t="s">
        <v>2186</v>
      </c>
      <c r="C2293" s="1288" t="s">
        <v>18</v>
      </c>
      <c r="D2293" s="1287">
        <v>3</v>
      </c>
      <c r="E2293" s="1287">
        <v>11.92</v>
      </c>
      <c r="F2293" s="1287">
        <v>35.76</v>
      </c>
      <c r="G2293" s="1286" t="s">
        <v>2187</v>
      </c>
      <c r="H2293" s="34" t="s">
        <v>925</v>
      </c>
    </row>
    <row r="2294" spans="1:8" ht="33">
      <c r="A2294" s="1289">
        <v>5</v>
      </c>
      <c r="B2294" s="1289" t="s">
        <v>2197</v>
      </c>
      <c r="C2294" s="1288" t="s">
        <v>14</v>
      </c>
      <c r="D2294" s="1287">
        <v>1</v>
      </c>
      <c r="E2294" s="1287">
        <v>4.97</v>
      </c>
      <c r="F2294" s="1287">
        <v>4.97</v>
      </c>
      <c r="G2294" s="1286" t="s">
        <v>2198</v>
      </c>
      <c r="H2294" s="34" t="s">
        <v>925</v>
      </c>
    </row>
    <row r="2295" spans="1:8" ht="33">
      <c r="A2295" s="1289">
        <v>6</v>
      </c>
      <c r="B2295" s="1289" t="s">
        <v>1644</v>
      </c>
      <c r="C2295" s="1288" t="s">
        <v>927</v>
      </c>
      <c r="D2295" s="1287">
        <v>1</v>
      </c>
      <c r="E2295" s="1287">
        <v>279.18</v>
      </c>
      <c r="F2295" s="1287">
        <v>279.18</v>
      </c>
      <c r="G2295" s="1286" t="s">
        <v>1645</v>
      </c>
      <c r="H2295" s="34" t="s">
        <v>925</v>
      </c>
    </row>
    <row r="2296" spans="1:8" ht="33">
      <c r="A2296" s="1289">
        <v>7</v>
      </c>
      <c r="B2296" s="1289" t="s">
        <v>2199</v>
      </c>
      <c r="C2296" s="1288" t="s">
        <v>927</v>
      </c>
      <c r="D2296" s="1287">
        <v>1.4</v>
      </c>
      <c r="E2296" s="1287">
        <v>407.35</v>
      </c>
      <c r="F2296" s="1287">
        <v>570.29</v>
      </c>
      <c r="G2296" s="1286" t="s">
        <v>2200</v>
      </c>
      <c r="H2296" s="34" t="s">
        <v>925</v>
      </c>
    </row>
    <row r="2297" spans="1:8" ht="33">
      <c r="A2297" s="1289">
        <v>8</v>
      </c>
      <c r="B2297" s="1289" t="s">
        <v>2201</v>
      </c>
      <c r="C2297" s="1288" t="s">
        <v>3</v>
      </c>
      <c r="D2297" s="1287">
        <v>1</v>
      </c>
      <c r="E2297" s="1287">
        <v>29.81</v>
      </c>
      <c r="F2297" s="1287">
        <v>29.81</v>
      </c>
      <c r="G2297" s="1286" t="s">
        <v>2202</v>
      </c>
      <c r="H2297" s="34" t="s">
        <v>925</v>
      </c>
    </row>
    <row r="2298" spans="1:8" ht="33">
      <c r="A2298" s="1289">
        <v>9</v>
      </c>
      <c r="B2298" s="1289" t="s">
        <v>955</v>
      </c>
      <c r="C2298" s="1288" t="s">
        <v>14</v>
      </c>
      <c r="D2298" s="1287">
        <v>1</v>
      </c>
      <c r="E2298" s="1287">
        <v>43.52</v>
      </c>
      <c r="F2298" s="1287">
        <v>43.52</v>
      </c>
      <c r="G2298" s="1286" t="s">
        <v>956</v>
      </c>
      <c r="H2298" s="34" t="s">
        <v>925</v>
      </c>
    </row>
    <row r="2299" spans="1:8" ht="33">
      <c r="A2299" s="1289"/>
      <c r="B2299" s="1289" t="s">
        <v>933</v>
      </c>
      <c r="C2299" s="1288" t="s">
        <v>3</v>
      </c>
      <c r="D2299" s="1287">
        <v>1</v>
      </c>
      <c r="E2299" s="1287"/>
      <c r="F2299" s="1287">
        <v>1494.08</v>
      </c>
      <c r="G2299" s="1286"/>
      <c r="H2299" s="34" t="s">
        <v>925</v>
      </c>
    </row>
    <row r="2300" spans="1:8" ht="33">
      <c r="A2300" s="1289"/>
      <c r="B2300" s="1289" t="s">
        <v>934</v>
      </c>
      <c r="C2300" s="1288" t="s">
        <v>3</v>
      </c>
      <c r="D2300" s="1287"/>
      <c r="E2300" s="1287"/>
      <c r="F2300" s="1287">
        <v>1494.08</v>
      </c>
      <c r="G2300" s="1286"/>
      <c r="H2300" s="34" t="s">
        <v>925</v>
      </c>
    </row>
    <row r="2301" spans="1:8" ht="33">
      <c r="A2301" s="1289"/>
      <c r="B2301" s="1289"/>
      <c r="C2301" s="1288"/>
      <c r="D2301" s="1287"/>
      <c r="E2301" s="1287"/>
      <c r="F2301" s="1287"/>
      <c r="G2301" s="1286"/>
      <c r="H2301" s="34" t="s">
        <v>925</v>
      </c>
    </row>
    <row r="2302" spans="1:8" ht="28.5">
      <c r="A2302" s="1289" t="s">
        <v>2421</v>
      </c>
      <c r="B2302" s="1289" t="s">
        <v>2204</v>
      </c>
      <c r="C2302" s="1288" t="s">
        <v>1818</v>
      </c>
      <c r="D2302" s="1287">
        <v>1</v>
      </c>
      <c r="E2302" s="1287">
        <v>2733.17</v>
      </c>
      <c r="F2302" s="1287"/>
      <c r="G2302" s="1286" t="s">
        <v>2205</v>
      </c>
    </row>
    <row r="2303" spans="1:8" ht="33">
      <c r="A2303" s="1289">
        <v>1</v>
      </c>
      <c r="B2303" s="1289" t="s">
        <v>1250</v>
      </c>
      <c r="C2303" s="1288" t="s">
        <v>17</v>
      </c>
      <c r="D2303" s="1287">
        <v>4.4000000000000004</v>
      </c>
      <c r="E2303" s="1287">
        <v>76.73</v>
      </c>
      <c r="F2303" s="1287">
        <v>337.61</v>
      </c>
      <c r="G2303" s="1286" t="s">
        <v>4979</v>
      </c>
      <c r="H2303" s="34" t="s">
        <v>925</v>
      </c>
    </row>
    <row r="2304" spans="1:8" ht="33">
      <c r="A2304" s="1289">
        <v>2</v>
      </c>
      <c r="B2304" s="1289" t="s">
        <v>985</v>
      </c>
      <c r="C2304" s="1288" t="s">
        <v>1</v>
      </c>
      <c r="D2304" s="1287">
        <v>0.19</v>
      </c>
      <c r="E2304" s="1287">
        <v>644.12</v>
      </c>
      <c r="F2304" s="1287">
        <v>122.38</v>
      </c>
      <c r="G2304" s="1286" t="s">
        <v>4980</v>
      </c>
      <c r="H2304" s="34" t="s">
        <v>925</v>
      </c>
    </row>
    <row r="2305" spans="1:8" ht="33">
      <c r="A2305" s="1289">
        <v>3</v>
      </c>
      <c r="B2305" s="1289" t="s">
        <v>26</v>
      </c>
      <c r="C2305" s="1288" t="s">
        <v>1</v>
      </c>
      <c r="D2305" s="1287">
        <v>0.19</v>
      </c>
      <c r="E2305" s="1287">
        <v>711.86</v>
      </c>
      <c r="F2305" s="1287">
        <v>135.25</v>
      </c>
      <c r="G2305" s="1286" t="s">
        <v>4981</v>
      </c>
      <c r="H2305" s="34" t="s">
        <v>925</v>
      </c>
    </row>
    <row r="2306" spans="1:8" ht="33">
      <c r="A2306" s="1289">
        <v>4</v>
      </c>
      <c r="B2306" s="1289" t="s">
        <v>1317</v>
      </c>
      <c r="C2306" s="1288" t="s">
        <v>0</v>
      </c>
      <c r="D2306" s="1287">
        <v>0.19</v>
      </c>
      <c r="E2306" s="1287">
        <v>3954.28</v>
      </c>
      <c r="F2306" s="1287">
        <v>751.31</v>
      </c>
      <c r="G2306" s="1286" t="s">
        <v>1318</v>
      </c>
      <c r="H2306" s="34" t="s">
        <v>925</v>
      </c>
    </row>
    <row r="2307" spans="1:8" ht="33">
      <c r="A2307" s="1289">
        <v>5</v>
      </c>
      <c r="B2307" s="1289" t="s">
        <v>2207</v>
      </c>
      <c r="C2307" s="1288" t="s">
        <v>1689</v>
      </c>
      <c r="D2307" s="1287">
        <v>1</v>
      </c>
      <c r="E2307" s="1287">
        <v>447.09</v>
      </c>
      <c r="F2307" s="1287">
        <v>447.09</v>
      </c>
      <c r="G2307" s="1286" t="s">
        <v>2208</v>
      </c>
      <c r="H2307" s="34" t="s">
        <v>925</v>
      </c>
    </row>
    <row r="2308" spans="1:8" ht="33">
      <c r="A2308" s="1289">
        <v>6</v>
      </c>
      <c r="B2308" s="1289" t="s">
        <v>2209</v>
      </c>
      <c r="C2308" s="1288" t="s">
        <v>14</v>
      </c>
      <c r="D2308" s="1287">
        <v>1</v>
      </c>
      <c r="E2308" s="1287">
        <v>99.35</v>
      </c>
      <c r="F2308" s="1287">
        <v>99.35</v>
      </c>
      <c r="G2308" s="1286" t="s">
        <v>2210</v>
      </c>
      <c r="H2308" s="34" t="s">
        <v>925</v>
      </c>
    </row>
    <row r="2309" spans="1:8" ht="57">
      <c r="A2309" s="1289">
        <v>7</v>
      </c>
      <c r="B2309" s="1289" t="s">
        <v>513</v>
      </c>
      <c r="C2309" s="1288" t="s">
        <v>18</v>
      </c>
      <c r="D2309" s="1287">
        <v>23.82</v>
      </c>
      <c r="E2309" s="1287">
        <v>31.93</v>
      </c>
      <c r="F2309" s="1287">
        <v>760.57</v>
      </c>
      <c r="G2309" s="1286" t="s">
        <v>4952</v>
      </c>
      <c r="H2309" s="34" t="s">
        <v>925</v>
      </c>
    </row>
    <row r="2310" spans="1:8" ht="28.5">
      <c r="A2310" s="1289">
        <v>8</v>
      </c>
      <c r="B2310" s="1289" t="s">
        <v>931</v>
      </c>
      <c r="C2310" s="1288" t="s">
        <v>14</v>
      </c>
      <c r="D2310" s="1287">
        <v>1</v>
      </c>
      <c r="E2310" s="1287">
        <v>79.61</v>
      </c>
      <c r="F2310" s="1287">
        <v>79.61</v>
      </c>
      <c r="G2310" s="1286" t="s">
        <v>932</v>
      </c>
    </row>
    <row r="2311" spans="1:8" ht="33">
      <c r="A2311" s="1289"/>
      <c r="B2311" s="1289" t="s">
        <v>933</v>
      </c>
      <c r="C2311" s="1288" t="s">
        <v>1818</v>
      </c>
      <c r="D2311" s="1287">
        <v>1</v>
      </c>
      <c r="E2311" s="1287"/>
      <c r="F2311" s="1287">
        <v>2733.17</v>
      </c>
      <c r="G2311" s="1286"/>
      <c r="H2311" s="34" t="s">
        <v>925</v>
      </c>
    </row>
    <row r="2312" spans="1:8" ht="33">
      <c r="A2312" s="1289"/>
      <c r="B2312" s="1289" t="s">
        <v>934</v>
      </c>
      <c r="C2312" s="1288" t="s">
        <v>1818</v>
      </c>
      <c r="D2312" s="1287"/>
      <c r="E2312" s="1287"/>
      <c r="F2312" s="1287">
        <v>2733.17</v>
      </c>
      <c r="G2312" s="1286"/>
      <c r="H2312" s="34" t="s">
        <v>925</v>
      </c>
    </row>
    <row r="2313" spans="1:8" ht="33">
      <c r="A2313" s="1289"/>
      <c r="B2313" s="1289"/>
      <c r="C2313" s="1288"/>
      <c r="D2313" s="1287"/>
      <c r="E2313" s="1287"/>
      <c r="F2313" s="1287"/>
      <c r="G2313" s="1286"/>
      <c r="H2313" s="34" t="s">
        <v>925</v>
      </c>
    </row>
    <row r="2314" spans="1:8" ht="33">
      <c r="A2314" s="1289" t="s">
        <v>2426</v>
      </c>
      <c r="B2314" s="1289" t="s">
        <v>2212</v>
      </c>
      <c r="C2314" s="1288" t="s">
        <v>1818</v>
      </c>
      <c r="D2314" s="1287">
        <v>1</v>
      </c>
      <c r="E2314" s="1287">
        <v>2923</v>
      </c>
      <c r="F2314" s="1287"/>
      <c r="G2314" s="1286" t="s">
        <v>2213</v>
      </c>
      <c r="H2314" s="34" t="s">
        <v>925</v>
      </c>
    </row>
    <row r="2315" spans="1:8" ht="33">
      <c r="A2315" s="1289">
        <v>1</v>
      </c>
      <c r="B2315" s="1289" t="s">
        <v>1250</v>
      </c>
      <c r="C2315" s="1288" t="s">
        <v>17</v>
      </c>
      <c r="D2315" s="1287">
        <v>4.4000000000000004</v>
      </c>
      <c r="E2315" s="1287">
        <v>76.73</v>
      </c>
      <c r="F2315" s="1287">
        <v>337.61</v>
      </c>
      <c r="G2315" s="1286" t="s">
        <v>4979</v>
      </c>
      <c r="H2315" s="34" t="s">
        <v>925</v>
      </c>
    </row>
    <row r="2316" spans="1:8" ht="33">
      <c r="A2316" s="1289">
        <v>2</v>
      </c>
      <c r="B2316" s="1289" t="s">
        <v>2214</v>
      </c>
      <c r="C2316" s="1288" t="s">
        <v>1</v>
      </c>
      <c r="D2316" s="1287">
        <v>0.19</v>
      </c>
      <c r="E2316" s="1287">
        <v>1483.81</v>
      </c>
      <c r="F2316" s="1287">
        <v>281.92</v>
      </c>
      <c r="G2316" s="1286" t="s">
        <v>4982</v>
      </c>
      <c r="H2316" s="34" t="s">
        <v>925</v>
      </c>
    </row>
    <row r="2317" spans="1:8" ht="33">
      <c r="A2317" s="1289">
        <v>3</v>
      </c>
      <c r="B2317" s="1289" t="s">
        <v>2216</v>
      </c>
      <c r="C2317" s="1288" t="s">
        <v>1</v>
      </c>
      <c r="D2317" s="1287">
        <v>0.19</v>
      </c>
      <c r="E2317" s="1287">
        <v>842.14</v>
      </c>
      <c r="F2317" s="1287">
        <v>160.01</v>
      </c>
      <c r="G2317" s="1286" t="s">
        <v>2217</v>
      </c>
      <c r="H2317" s="34" t="s">
        <v>925</v>
      </c>
    </row>
    <row r="2318" spans="1:8" ht="28.5">
      <c r="A2318" s="1289">
        <v>4</v>
      </c>
      <c r="B2318" s="1289" t="s">
        <v>1317</v>
      </c>
      <c r="C2318" s="1288" t="s">
        <v>0</v>
      </c>
      <c r="D2318" s="1287">
        <v>0.19</v>
      </c>
      <c r="E2318" s="1287">
        <v>3954.28</v>
      </c>
      <c r="F2318" s="1287">
        <v>751.31</v>
      </c>
      <c r="G2318" s="1286" t="s">
        <v>1318</v>
      </c>
    </row>
    <row r="2319" spans="1:8" ht="33">
      <c r="A2319" s="1289">
        <v>5</v>
      </c>
      <c r="B2319" s="1289" t="s">
        <v>2207</v>
      </c>
      <c r="C2319" s="1288" t="s">
        <v>1689</v>
      </c>
      <c r="D2319" s="1287">
        <v>1</v>
      </c>
      <c r="E2319" s="1287">
        <v>447.09</v>
      </c>
      <c r="F2319" s="1287">
        <v>447.09</v>
      </c>
      <c r="G2319" s="1286" t="s">
        <v>2208</v>
      </c>
      <c r="H2319" s="34" t="s">
        <v>925</v>
      </c>
    </row>
    <row r="2320" spans="1:8" ht="33">
      <c r="A2320" s="1289">
        <v>6</v>
      </c>
      <c r="B2320" s="1289" t="s">
        <v>2209</v>
      </c>
      <c r="C2320" s="1288" t="s">
        <v>14</v>
      </c>
      <c r="D2320" s="1287">
        <v>1</v>
      </c>
      <c r="E2320" s="1287">
        <v>99.35</v>
      </c>
      <c r="F2320" s="1287">
        <v>99.35</v>
      </c>
      <c r="G2320" s="1286" t="s">
        <v>2210</v>
      </c>
      <c r="H2320" s="34" t="s">
        <v>925</v>
      </c>
    </row>
    <row r="2321" spans="1:8" ht="57">
      <c r="A2321" s="1289">
        <v>7</v>
      </c>
      <c r="B2321" s="1289" t="s">
        <v>513</v>
      </c>
      <c r="C2321" s="1288" t="s">
        <v>18</v>
      </c>
      <c r="D2321" s="1287">
        <v>23.82</v>
      </c>
      <c r="E2321" s="1287">
        <v>31.93</v>
      </c>
      <c r="F2321" s="1287">
        <v>760.57</v>
      </c>
      <c r="G2321" s="1286" t="s">
        <v>4952</v>
      </c>
      <c r="H2321" s="34" t="s">
        <v>925</v>
      </c>
    </row>
    <row r="2322" spans="1:8" ht="33">
      <c r="A2322" s="1289">
        <v>8</v>
      </c>
      <c r="B2322" s="1289" t="s">
        <v>931</v>
      </c>
      <c r="C2322" s="1288" t="s">
        <v>14</v>
      </c>
      <c r="D2322" s="1287">
        <v>1</v>
      </c>
      <c r="E2322" s="1287">
        <v>85.14</v>
      </c>
      <c r="F2322" s="1287">
        <v>85.14</v>
      </c>
      <c r="G2322" s="1286" t="s">
        <v>932</v>
      </c>
      <c r="H2322" s="34" t="s">
        <v>925</v>
      </c>
    </row>
    <row r="2323" spans="1:8" ht="33">
      <c r="A2323" s="1289"/>
      <c r="B2323" s="1289" t="s">
        <v>933</v>
      </c>
      <c r="C2323" s="1288" t="s">
        <v>1818</v>
      </c>
      <c r="D2323" s="1287">
        <v>1</v>
      </c>
      <c r="E2323" s="1287"/>
      <c r="F2323" s="1287">
        <v>2923</v>
      </c>
      <c r="G2323" s="1286"/>
      <c r="H2323" s="34" t="s">
        <v>925</v>
      </c>
    </row>
    <row r="2324" spans="1:8" ht="33">
      <c r="A2324" s="1289"/>
      <c r="B2324" s="1289" t="s">
        <v>934</v>
      </c>
      <c r="C2324" s="1288" t="s">
        <v>1818</v>
      </c>
      <c r="D2324" s="1287"/>
      <c r="E2324" s="1287"/>
      <c r="F2324" s="1287">
        <v>2923</v>
      </c>
      <c r="G2324" s="1286"/>
      <c r="H2324" s="34" t="s">
        <v>925</v>
      </c>
    </row>
    <row r="2325" spans="1:8" ht="33">
      <c r="A2325" s="1289"/>
      <c r="B2325" s="1289"/>
      <c r="C2325" s="1288"/>
      <c r="D2325" s="1287"/>
      <c r="E2325" s="1287"/>
      <c r="F2325" s="1287"/>
      <c r="G2325" s="1286"/>
      <c r="H2325" s="34" t="s">
        <v>925</v>
      </c>
    </row>
    <row r="2326" spans="1:8" ht="28.5">
      <c r="A2326" s="1289" t="s">
        <v>2432</v>
      </c>
      <c r="B2326" s="1289" t="s">
        <v>2219</v>
      </c>
      <c r="C2326" s="1288" t="s">
        <v>1818</v>
      </c>
      <c r="D2326" s="1287">
        <v>1</v>
      </c>
      <c r="E2326" s="1287">
        <v>15013.3</v>
      </c>
      <c r="F2326" s="1287"/>
      <c r="G2326" s="1286" t="s">
        <v>2220</v>
      </c>
    </row>
    <row r="2327" spans="1:8" ht="33">
      <c r="A2327" s="1289">
        <v>1</v>
      </c>
      <c r="B2327" s="1289" t="s">
        <v>1250</v>
      </c>
      <c r="C2327" s="1288" t="s">
        <v>17</v>
      </c>
      <c r="D2327" s="1287">
        <v>4.4000000000000004</v>
      </c>
      <c r="E2327" s="1287">
        <v>76.73</v>
      </c>
      <c r="F2327" s="1287">
        <v>337.61</v>
      </c>
      <c r="G2327" s="1286" t="s">
        <v>4979</v>
      </c>
      <c r="H2327" s="34" t="s">
        <v>925</v>
      </c>
    </row>
    <row r="2328" spans="1:8" ht="33">
      <c r="A2328" s="1289">
        <v>2</v>
      </c>
      <c r="B2328" s="1289" t="s">
        <v>985</v>
      </c>
      <c r="C2328" s="1288" t="s">
        <v>1</v>
      </c>
      <c r="D2328" s="1287">
        <v>0.19</v>
      </c>
      <c r="E2328" s="1287">
        <v>644.12</v>
      </c>
      <c r="F2328" s="1287">
        <v>122.38</v>
      </c>
      <c r="G2328" s="1286" t="s">
        <v>4980</v>
      </c>
      <c r="H2328" s="34" t="s">
        <v>925</v>
      </c>
    </row>
    <row r="2329" spans="1:8" ht="33">
      <c r="A2329" s="1289">
        <v>3</v>
      </c>
      <c r="B2329" s="1289" t="s">
        <v>26</v>
      </c>
      <c r="C2329" s="1288" t="s">
        <v>1</v>
      </c>
      <c r="D2329" s="1287">
        <v>0.19</v>
      </c>
      <c r="E2329" s="1287">
        <v>711.86</v>
      </c>
      <c r="F2329" s="1287">
        <v>135.25</v>
      </c>
      <c r="G2329" s="1286" t="s">
        <v>4981</v>
      </c>
      <c r="H2329" s="34" t="s">
        <v>925</v>
      </c>
    </row>
    <row r="2330" spans="1:8" ht="33">
      <c r="A2330" s="1289">
        <v>4</v>
      </c>
      <c r="B2330" s="1289" t="s">
        <v>1317</v>
      </c>
      <c r="C2330" s="1288" t="s">
        <v>0</v>
      </c>
      <c r="D2330" s="1287">
        <v>0.19</v>
      </c>
      <c r="E2330" s="1287">
        <v>3954.28</v>
      </c>
      <c r="F2330" s="1287">
        <v>751.31</v>
      </c>
      <c r="G2330" s="1286" t="s">
        <v>1318</v>
      </c>
      <c r="H2330" s="34" t="s">
        <v>925</v>
      </c>
    </row>
    <row r="2331" spans="1:8" ht="33">
      <c r="A2331" s="1289">
        <v>5</v>
      </c>
      <c r="B2331" s="1289" t="s">
        <v>2207</v>
      </c>
      <c r="C2331" s="1288" t="s">
        <v>1689</v>
      </c>
      <c r="D2331" s="1287">
        <v>1</v>
      </c>
      <c r="E2331" s="1287">
        <v>447.09</v>
      </c>
      <c r="F2331" s="1287">
        <v>447.09</v>
      </c>
      <c r="G2331" s="1286" t="s">
        <v>2208</v>
      </c>
      <c r="H2331" s="34" t="s">
        <v>925</v>
      </c>
    </row>
    <row r="2332" spans="1:8" ht="57">
      <c r="A2332" s="1289">
        <v>6</v>
      </c>
      <c r="B2332" s="1289" t="s">
        <v>513</v>
      </c>
      <c r="C2332" s="1288" t="s">
        <v>18</v>
      </c>
      <c r="D2332" s="1287">
        <v>23.82</v>
      </c>
      <c r="E2332" s="1287">
        <v>31.93</v>
      </c>
      <c r="F2332" s="1287">
        <v>760.57</v>
      </c>
      <c r="G2332" s="1286" t="s">
        <v>4952</v>
      </c>
      <c r="H2332" s="34" t="s">
        <v>925</v>
      </c>
    </row>
    <row r="2333" spans="1:8" ht="33">
      <c r="A2333" s="1289">
        <v>7</v>
      </c>
      <c r="B2333" s="1289" t="s">
        <v>2221</v>
      </c>
      <c r="C2333" s="1288" t="s">
        <v>14</v>
      </c>
      <c r="D2333" s="1287">
        <v>1</v>
      </c>
      <c r="E2333" s="1287">
        <v>99.35</v>
      </c>
      <c r="F2333" s="1287">
        <v>99.35</v>
      </c>
      <c r="G2333" s="1286" t="s">
        <v>2222</v>
      </c>
      <c r="H2333" s="34" t="s">
        <v>925</v>
      </c>
    </row>
    <row r="2334" spans="1:8" ht="28.5">
      <c r="A2334" s="1289">
        <v>8</v>
      </c>
      <c r="B2334" s="1289" t="s">
        <v>2223</v>
      </c>
      <c r="C2334" s="1288" t="s">
        <v>1689</v>
      </c>
      <c r="D2334" s="1287">
        <v>1</v>
      </c>
      <c r="E2334" s="1287">
        <v>11922.46</v>
      </c>
      <c r="F2334" s="1287">
        <v>11922.46</v>
      </c>
      <c r="G2334" s="1286" t="s">
        <v>2224</v>
      </c>
    </row>
    <row r="2335" spans="1:8" ht="33">
      <c r="A2335" s="1289">
        <v>9</v>
      </c>
      <c r="B2335" s="1289" t="s">
        <v>931</v>
      </c>
      <c r="C2335" s="1288" t="s">
        <v>14</v>
      </c>
      <c r="D2335" s="1287">
        <v>1</v>
      </c>
      <c r="E2335" s="1287">
        <v>437.28</v>
      </c>
      <c r="F2335" s="1287">
        <v>437.28</v>
      </c>
      <c r="G2335" s="1286" t="s">
        <v>932</v>
      </c>
      <c r="H2335" s="34" t="s">
        <v>925</v>
      </c>
    </row>
    <row r="2336" spans="1:8" ht="33">
      <c r="A2336" s="1289"/>
      <c r="B2336" s="1289" t="s">
        <v>933</v>
      </c>
      <c r="C2336" s="1288" t="s">
        <v>1818</v>
      </c>
      <c r="D2336" s="1287">
        <v>1</v>
      </c>
      <c r="E2336" s="1287"/>
      <c r="F2336" s="1287">
        <v>15013.3</v>
      </c>
      <c r="G2336" s="1286"/>
      <c r="H2336" s="34" t="s">
        <v>925</v>
      </c>
    </row>
    <row r="2337" spans="1:8" ht="33">
      <c r="A2337" s="1289"/>
      <c r="B2337" s="1289" t="s">
        <v>934</v>
      </c>
      <c r="C2337" s="1288" t="s">
        <v>1818</v>
      </c>
      <c r="D2337" s="1287"/>
      <c r="E2337" s="1287"/>
      <c r="F2337" s="1287">
        <v>15013.3</v>
      </c>
      <c r="G2337" s="1286"/>
      <c r="H2337" s="34" t="s">
        <v>925</v>
      </c>
    </row>
    <row r="2338" spans="1:8" ht="33">
      <c r="A2338" s="1289"/>
      <c r="B2338" s="1289"/>
      <c r="C2338" s="1288"/>
      <c r="D2338" s="1287"/>
      <c r="E2338" s="1287"/>
      <c r="F2338" s="1287"/>
      <c r="G2338" s="1286"/>
      <c r="H2338" s="34" t="s">
        <v>925</v>
      </c>
    </row>
    <row r="2339" spans="1:8" ht="33">
      <c r="A2339" s="1289" t="s">
        <v>2437</v>
      </c>
      <c r="B2339" s="1289" t="s">
        <v>2226</v>
      </c>
      <c r="C2339" s="1288" t="s">
        <v>1818</v>
      </c>
      <c r="D2339" s="1287">
        <v>1</v>
      </c>
      <c r="E2339" s="1287">
        <v>15203.13</v>
      </c>
      <c r="F2339" s="1287"/>
      <c r="G2339" s="1286" t="s">
        <v>2227</v>
      </c>
      <c r="H2339" s="34" t="s">
        <v>925</v>
      </c>
    </row>
    <row r="2340" spans="1:8" ht="33">
      <c r="A2340" s="1289">
        <v>1</v>
      </c>
      <c r="B2340" s="1289" t="s">
        <v>1250</v>
      </c>
      <c r="C2340" s="1288" t="s">
        <v>17</v>
      </c>
      <c r="D2340" s="1287">
        <v>4.4000000000000004</v>
      </c>
      <c r="E2340" s="1287">
        <v>76.73</v>
      </c>
      <c r="F2340" s="1287">
        <v>337.61</v>
      </c>
      <c r="G2340" s="1286" t="s">
        <v>4979</v>
      </c>
      <c r="H2340" s="34" t="s">
        <v>925</v>
      </c>
    </row>
    <row r="2341" spans="1:8" ht="33">
      <c r="A2341" s="1289">
        <v>2</v>
      </c>
      <c r="B2341" s="1289" t="s">
        <v>2214</v>
      </c>
      <c r="C2341" s="1288" t="s">
        <v>1</v>
      </c>
      <c r="D2341" s="1287">
        <v>0.19</v>
      </c>
      <c r="E2341" s="1287">
        <v>1483.81</v>
      </c>
      <c r="F2341" s="1287">
        <v>281.92</v>
      </c>
      <c r="G2341" s="1286" t="s">
        <v>4982</v>
      </c>
      <c r="H2341" s="34" t="s">
        <v>925</v>
      </c>
    </row>
    <row r="2342" spans="1:8" ht="33">
      <c r="A2342" s="1289">
        <v>3</v>
      </c>
      <c r="B2342" s="1289" t="s">
        <v>2216</v>
      </c>
      <c r="C2342" s="1288" t="s">
        <v>1</v>
      </c>
      <c r="D2342" s="1287">
        <v>0.19</v>
      </c>
      <c r="E2342" s="1287">
        <v>842.14</v>
      </c>
      <c r="F2342" s="1287">
        <v>160.01</v>
      </c>
      <c r="G2342" s="1286" t="s">
        <v>2217</v>
      </c>
      <c r="H2342" s="34" t="s">
        <v>925</v>
      </c>
    </row>
    <row r="2343" spans="1:8" ht="28.5">
      <c r="A2343" s="1289">
        <v>4</v>
      </c>
      <c r="B2343" s="1289" t="s">
        <v>1317</v>
      </c>
      <c r="C2343" s="1288" t="s">
        <v>0</v>
      </c>
      <c r="D2343" s="1287">
        <v>0.19</v>
      </c>
      <c r="E2343" s="1287">
        <v>3954.28</v>
      </c>
      <c r="F2343" s="1287">
        <v>751.31</v>
      </c>
      <c r="G2343" s="1286" t="s">
        <v>1318</v>
      </c>
    </row>
    <row r="2344" spans="1:8" ht="33">
      <c r="A2344" s="1289">
        <v>5</v>
      </c>
      <c r="B2344" s="1289" t="s">
        <v>2207</v>
      </c>
      <c r="C2344" s="1288" t="s">
        <v>1689</v>
      </c>
      <c r="D2344" s="1287">
        <v>1</v>
      </c>
      <c r="E2344" s="1287">
        <v>447.09</v>
      </c>
      <c r="F2344" s="1287">
        <v>447.09</v>
      </c>
      <c r="G2344" s="1286" t="s">
        <v>2208</v>
      </c>
      <c r="H2344" s="34" t="s">
        <v>925</v>
      </c>
    </row>
    <row r="2345" spans="1:8" ht="57">
      <c r="A2345" s="1289">
        <v>6</v>
      </c>
      <c r="B2345" s="1289" t="s">
        <v>513</v>
      </c>
      <c r="C2345" s="1288" t="s">
        <v>18</v>
      </c>
      <c r="D2345" s="1287">
        <v>23.82</v>
      </c>
      <c r="E2345" s="1287">
        <v>31.93</v>
      </c>
      <c r="F2345" s="1287">
        <v>760.57</v>
      </c>
      <c r="G2345" s="1286" t="s">
        <v>4952</v>
      </c>
      <c r="H2345" s="34" t="s">
        <v>925</v>
      </c>
    </row>
    <row r="2346" spans="1:8" ht="33">
      <c r="A2346" s="1289">
        <v>7</v>
      </c>
      <c r="B2346" s="1289" t="s">
        <v>2221</v>
      </c>
      <c r="C2346" s="1288" t="s">
        <v>14</v>
      </c>
      <c r="D2346" s="1287">
        <v>1</v>
      </c>
      <c r="E2346" s="1287">
        <v>99.35</v>
      </c>
      <c r="F2346" s="1287">
        <v>99.35</v>
      </c>
      <c r="G2346" s="1286" t="s">
        <v>2222</v>
      </c>
      <c r="H2346" s="34" t="s">
        <v>925</v>
      </c>
    </row>
    <row r="2347" spans="1:8" ht="33">
      <c r="A2347" s="1289">
        <v>8</v>
      </c>
      <c r="B2347" s="1289" t="s">
        <v>2223</v>
      </c>
      <c r="C2347" s="1288" t="s">
        <v>1689</v>
      </c>
      <c r="D2347" s="1287">
        <v>1</v>
      </c>
      <c r="E2347" s="1287">
        <v>11922.46</v>
      </c>
      <c r="F2347" s="1287">
        <v>11922.46</v>
      </c>
      <c r="G2347" s="1286" t="s">
        <v>2224</v>
      </c>
      <c r="H2347" s="34" t="s">
        <v>925</v>
      </c>
    </row>
    <row r="2348" spans="1:8" ht="33">
      <c r="A2348" s="1289">
        <v>9</v>
      </c>
      <c r="B2348" s="1289" t="s">
        <v>931</v>
      </c>
      <c r="C2348" s="1288" t="s">
        <v>14</v>
      </c>
      <c r="D2348" s="1287">
        <v>1</v>
      </c>
      <c r="E2348" s="1287">
        <v>442.81</v>
      </c>
      <c r="F2348" s="1287">
        <v>442.81</v>
      </c>
      <c r="G2348" s="1286" t="s">
        <v>932</v>
      </c>
      <c r="H2348" s="34" t="s">
        <v>925</v>
      </c>
    </row>
    <row r="2349" spans="1:8" ht="33">
      <c r="A2349" s="1289"/>
      <c r="B2349" s="1289" t="s">
        <v>933</v>
      </c>
      <c r="C2349" s="1288" t="s">
        <v>1818</v>
      </c>
      <c r="D2349" s="1287">
        <v>1</v>
      </c>
      <c r="E2349" s="1287"/>
      <c r="F2349" s="1287">
        <v>15203.13</v>
      </c>
      <c r="G2349" s="1286"/>
      <c r="H2349" s="34" t="s">
        <v>925</v>
      </c>
    </row>
    <row r="2350" spans="1:8" ht="33">
      <c r="A2350" s="1289"/>
      <c r="B2350" s="1289" t="s">
        <v>934</v>
      </c>
      <c r="C2350" s="1288" t="s">
        <v>1818</v>
      </c>
      <c r="D2350" s="1287"/>
      <c r="E2350" s="1287"/>
      <c r="F2350" s="1287">
        <v>15203.13</v>
      </c>
      <c r="G2350" s="1286"/>
      <c r="H2350" s="34" t="s">
        <v>925</v>
      </c>
    </row>
    <row r="2351" spans="1:8" ht="33">
      <c r="A2351" s="1289"/>
      <c r="B2351" s="1289"/>
      <c r="C2351" s="1288"/>
      <c r="D2351" s="1287"/>
      <c r="E2351" s="1287"/>
      <c r="F2351" s="1287"/>
      <c r="G2351" s="1286"/>
      <c r="H2351" s="34" t="s">
        <v>925</v>
      </c>
    </row>
    <row r="2352" spans="1:8" ht="42.75">
      <c r="A2352" s="1289" t="s">
        <v>2442</v>
      </c>
      <c r="B2352" s="1289" t="s">
        <v>2229</v>
      </c>
      <c r="C2352" s="1288" t="s">
        <v>1818</v>
      </c>
      <c r="D2352" s="1287">
        <v>1</v>
      </c>
      <c r="E2352" s="1287">
        <v>15990.24</v>
      </c>
      <c r="F2352" s="1287"/>
      <c r="G2352" s="1286" t="s">
        <v>2230</v>
      </c>
    </row>
    <row r="2353" spans="1:8" ht="33">
      <c r="A2353" s="1289">
        <v>1</v>
      </c>
      <c r="B2353" s="1289" t="s">
        <v>1250</v>
      </c>
      <c r="C2353" s="1288" t="s">
        <v>17</v>
      </c>
      <c r="D2353" s="1287">
        <v>4.4000000000000004</v>
      </c>
      <c r="E2353" s="1287">
        <v>76.73</v>
      </c>
      <c r="F2353" s="1287">
        <v>337.61</v>
      </c>
      <c r="G2353" s="1286" t="s">
        <v>4979</v>
      </c>
      <c r="H2353" s="34" t="s">
        <v>925</v>
      </c>
    </row>
    <row r="2354" spans="1:8" ht="33">
      <c r="A2354" s="1289">
        <v>2</v>
      </c>
      <c r="B2354" s="1289" t="s">
        <v>453</v>
      </c>
      <c r="C2354" s="1288" t="s">
        <v>0</v>
      </c>
      <c r="D2354" s="1287">
        <v>0.19</v>
      </c>
      <c r="E2354" s="1287">
        <v>5636.09</v>
      </c>
      <c r="F2354" s="1287">
        <v>1070.8599999999999</v>
      </c>
      <c r="G2354" s="1286" t="s">
        <v>4983</v>
      </c>
      <c r="H2354" s="34" t="s">
        <v>925</v>
      </c>
    </row>
    <row r="2355" spans="1:8" ht="33">
      <c r="A2355" s="1289">
        <v>3</v>
      </c>
      <c r="B2355" s="1289" t="s">
        <v>26</v>
      </c>
      <c r="C2355" s="1288" t="s">
        <v>1</v>
      </c>
      <c r="D2355" s="1287">
        <v>0.19</v>
      </c>
      <c r="E2355" s="1287">
        <v>711.86</v>
      </c>
      <c r="F2355" s="1287">
        <v>135.25</v>
      </c>
      <c r="G2355" s="1286" t="s">
        <v>4981</v>
      </c>
      <c r="H2355" s="34" t="s">
        <v>925</v>
      </c>
    </row>
    <row r="2356" spans="1:8" ht="33">
      <c r="A2356" s="1289">
        <v>4</v>
      </c>
      <c r="B2356" s="1289" t="s">
        <v>1317</v>
      </c>
      <c r="C2356" s="1288" t="s">
        <v>0</v>
      </c>
      <c r="D2356" s="1287">
        <v>0.19</v>
      </c>
      <c r="E2356" s="1287">
        <v>3954.28</v>
      </c>
      <c r="F2356" s="1287">
        <v>751.31</v>
      </c>
      <c r="G2356" s="1286" t="s">
        <v>1318</v>
      </c>
      <c r="H2356" s="34" t="s">
        <v>925</v>
      </c>
    </row>
    <row r="2357" spans="1:8" ht="33">
      <c r="A2357" s="1289">
        <v>5</v>
      </c>
      <c r="B2357" s="1289" t="s">
        <v>2207</v>
      </c>
      <c r="C2357" s="1288" t="s">
        <v>1689</v>
      </c>
      <c r="D2357" s="1287">
        <v>1</v>
      </c>
      <c r="E2357" s="1287">
        <v>447.09</v>
      </c>
      <c r="F2357" s="1287">
        <v>447.09</v>
      </c>
      <c r="G2357" s="1286" t="s">
        <v>2208</v>
      </c>
      <c r="H2357" s="34" t="s">
        <v>925</v>
      </c>
    </row>
    <row r="2358" spans="1:8" ht="57">
      <c r="A2358" s="1289">
        <v>6</v>
      </c>
      <c r="B2358" s="1289" t="s">
        <v>513</v>
      </c>
      <c r="C2358" s="1288" t="s">
        <v>18</v>
      </c>
      <c r="D2358" s="1287">
        <v>23.82</v>
      </c>
      <c r="E2358" s="1287">
        <v>31.93</v>
      </c>
      <c r="F2358" s="1287">
        <v>760.57</v>
      </c>
      <c r="G2358" s="1286" t="s">
        <v>4952</v>
      </c>
      <c r="H2358" s="34" t="s">
        <v>925</v>
      </c>
    </row>
    <row r="2359" spans="1:8" ht="33">
      <c r="A2359" s="1289">
        <v>7</v>
      </c>
      <c r="B2359" s="1289" t="s">
        <v>2221</v>
      </c>
      <c r="C2359" s="1288" t="s">
        <v>14</v>
      </c>
      <c r="D2359" s="1287">
        <v>1</v>
      </c>
      <c r="E2359" s="1287">
        <v>99.35</v>
      </c>
      <c r="F2359" s="1287">
        <v>99.35</v>
      </c>
      <c r="G2359" s="1286" t="s">
        <v>2222</v>
      </c>
      <c r="H2359" s="34" t="s">
        <v>925</v>
      </c>
    </row>
    <row r="2360" spans="1:8" ht="33">
      <c r="A2360" s="1289">
        <v>8</v>
      </c>
      <c r="B2360" s="1289" t="s">
        <v>2223</v>
      </c>
      <c r="C2360" s="1288" t="s">
        <v>1689</v>
      </c>
      <c r="D2360" s="1287">
        <v>1</v>
      </c>
      <c r="E2360" s="1287">
        <v>11922.46</v>
      </c>
      <c r="F2360" s="1287">
        <v>11922.46</v>
      </c>
      <c r="G2360" s="1286" t="s">
        <v>2224</v>
      </c>
      <c r="H2360" s="34" t="s">
        <v>925</v>
      </c>
    </row>
    <row r="2361" spans="1:8" ht="28.5">
      <c r="A2361" s="1289">
        <v>9</v>
      </c>
      <c r="B2361" s="1289" t="s">
        <v>931</v>
      </c>
      <c r="C2361" s="1288" t="s">
        <v>14</v>
      </c>
      <c r="D2361" s="1287">
        <v>1</v>
      </c>
      <c r="E2361" s="1287">
        <v>465.74</v>
      </c>
      <c r="F2361" s="1287">
        <v>465.74</v>
      </c>
      <c r="G2361" s="1286" t="s">
        <v>932</v>
      </c>
    </row>
    <row r="2362" spans="1:8" ht="33">
      <c r="A2362" s="1289"/>
      <c r="B2362" s="1289" t="s">
        <v>933</v>
      </c>
      <c r="C2362" s="1288" t="s">
        <v>1818</v>
      </c>
      <c r="D2362" s="1287">
        <v>1</v>
      </c>
      <c r="E2362" s="1287"/>
      <c r="F2362" s="1287">
        <v>15990.24</v>
      </c>
      <c r="G2362" s="1286"/>
      <c r="H2362" s="34" t="s">
        <v>925</v>
      </c>
    </row>
    <row r="2363" spans="1:8" ht="33">
      <c r="A2363" s="1289"/>
      <c r="B2363" s="1289" t="s">
        <v>934</v>
      </c>
      <c r="C2363" s="1288" t="s">
        <v>1818</v>
      </c>
      <c r="D2363" s="1287"/>
      <c r="E2363" s="1287"/>
      <c r="F2363" s="1287">
        <v>15990.24</v>
      </c>
      <c r="G2363" s="1286"/>
      <c r="H2363" s="34" t="s">
        <v>925</v>
      </c>
    </row>
    <row r="2364" spans="1:8" ht="33">
      <c r="A2364" s="1289"/>
      <c r="B2364" s="1289"/>
      <c r="C2364" s="1288"/>
      <c r="D2364" s="1287"/>
      <c r="E2364" s="1287"/>
      <c r="F2364" s="1287"/>
      <c r="G2364" s="1286"/>
      <c r="H2364" s="34" t="s">
        <v>925</v>
      </c>
    </row>
    <row r="2365" spans="1:8" ht="42.75">
      <c r="A2365" s="1289" t="s">
        <v>2451</v>
      </c>
      <c r="B2365" s="1289" t="s">
        <v>2232</v>
      </c>
      <c r="C2365" s="1288" t="s">
        <v>1818</v>
      </c>
      <c r="D2365" s="1287">
        <v>1</v>
      </c>
      <c r="E2365" s="1287">
        <v>17449.650000000001</v>
      </c>
      <c r="F2365" s="1287"/>
      <c r="G2365" s="1286" t="s">
        <v>2233</v>
      </c>
      <c r="H2365" s="34" t="s">
        <v>925</v>
      </c>
    </row>
    <row r="2366" spans="1:8" ht="33">
      <c r="A2366" s="1289">
        <v>1</v>
      </c>
      <c r="B2366" s="1289" t="s">
        <v>1250</v>
      </c>
      <c r="C2366" s="1288" t="s">
        <v>17</v>
      </c>
      <c r="D2366" s="1287">
        <v>4.4000000000000004</v>
      </c>
      <c r="E2366" s="1287">
        <v>76.73</v>
      </c>
      <c r="F2366" s="1287">
        <v>337.61</v>
      </c>
      <c r="G2366" s="1286" t="s">
        <v>4979</v>
      </c>
      <c r="H2366" s="34" t="s">
        <v>925</v>
      </c>
    </row>
    <row r="2367" spans="1:8" ht="33">
      <c r="A2367" s="1289">
        <v>2</v>
      </c>
      <c r="B2367" s="1289" t="s">
        <v>2234</v>
      </c>
      <c r="C2367" s="1288" t="s">
        <v>0</v>
      </c>
      <c r="D2367" s="1287">
        <v>0.19</v>
      </c>
      <c r="E2367" s="1287">
        <v>12963.23</v>
      </c>
      <c r="F2367" s="1287">
        <v>2463.0100000000002</v>
      </c>
      <c r="G2367" s="1286" t="s">
        <v>4984</v>
      </c>
      <c r="H2367" s="34" t="s">
        <v>925</v>
      </c>
    </row>
    <row r="2368" spans="1:8" ht="33">
      <c r="A2368" s="1289">
        <v>3</v>
      </c>
      <c r="B2368" s="1289" t="s">
        <v>2216</v>
      </c>
      <c r="C2368" s="1288" t="s">
        <v>1</v>
      </c>
      <c r="D2368" s="1287">
        <v>0.19</v>
      </c>
      <c r="E2368" s="1287">
        <v>842.14</v>
      </c>
      <c r="F2368" s="1287">
        <v>160.01</v>
      </c>
      <c r="G2368" s="1286" t="s">
        <v>2217</v>
      </c>
      <c r="H2368" s="34" t="s">
        <v>925</v>
      </c>
    </row>
    <row r="2369" spans="1:8" ht="28.5">
      <c r="A2369" s="1289">
        <v>4</v>
      </c>
      <c r="B2369" s="1289" t="s">
        <v>1317</v>
      </c>
      <c r="C2369" s="1288" t="s">
        <v>0</v>
      </c>
      <c r="D2369" s="1287">
        <v>0.19</v>
      </c>
      <c r="E2369" s="1287">
        <v>3954.28</v>
      </c>
      <c r="F2369" s="1287">
        <v>751.31</v>
      </c>
      <c r="G2369" s="1286" t="s">
        <v>1318</v>
      </c>
    </row>
    <row r="2370" spans="1:8" ht="33">
      <c r="A2370" s="1289">
        <v>5</v>
      </c>
      <c r="B2370" s="1289" t="s">
        <v>2207</v>
      </c>
      <c r="C2370" s="1288" t="s">
        <v>1689</v>
      </c>
      <c r="D2370" s="1287">
        <v>1</v>
      </c>
      <c r="E2370" s="1287">
        <v>447.09</v>
      </c>
      <c r="F2370" s="1287">
        <v>447.09</v>
      </c>
      <c r="G2370" s="1286" t="s">
        <v>2208</v>
      </c>
      <c r="H2370" s="34" t="s">
        <v>925</v>
      </c>
    </row>
    <row r="2371" spans="1:8" ht="57">
      <c r="A2371" s="1289">
        <v>6</v>
      </c>
      <c r="B2371" s="1289" t="s">
        <v>513</v>
      </c>
      <c r="C2371" s="1288" t="s">
        <v>18</v>
      </c>
      <c r="D2371" s="1287">
        <v>23.82</v>
      </c>
      <c r="E2371" s="1287">
        <v>31.93</v>
      </c>
      <c r="F2371" s="1287">
        <v>760.57</v>
      </c>
      <c r="G2371" s="1286" t="s">
        <v>4952</v>
      </c>
      <c r="H2371" s="34" t="s">
        <v>925</v>
      </c>
    </row>
    <row r="2372" spans="1:8" ht="33">
      <c r="A2372" s="1289">
        <v>7</v>
      </c>
      <c r="B2372" s="1289" t="s">
        <v>2221</v>
      </c>
      <c r="C2372" s="1288" t="s">
        <v>14</v>
      </c>
      <c r="D2372" s="1287">
        <v>1</v>
      </c>
      <c r="E2372" s="1287">
        <v>99.35</v>
      </c>
      <c r="F2372" s="1287">
        <v>99.35</v>
      </c>
      <c r="G2372" s="1286" t="s">
        <v>2222</v>
      </c>
      <c r="H2372" s="34" t="s">
        <v>925</v>
      </c>
    </row>
    <row r="2373" spans="1:8" ht="33">
      <c r="A2373" s="1289">
        <v>8</v>
      </c>
      <c r="B2373" s="1289" t="s">
        <v>2223</v>
      </c>
      <c r="C2373" s="1288" t="s">
        <v>1689</v>
      </c>
      <c r="D2373" s="1287">
        <v>1</v>
      </c>
      <c r="E2373" s="1287">
        <v>11922.46</v>
      </c>
      <c r="F2373" s="1287">
        <v>11922.46</v>
      </c>
      <c r="G2373" s="1286" t="s">
        <v>2224</v>
      </c>
      <c r="H2373" s="34" t="s">
        <v>925</v>
      </c>
    </row>
    <row r="2374" spans="1:8" ht="33">
      <c r="A2374" s="1289">
        <v>9</v>
      </c>
      <c r="B2374" s="1289" t="s">
        <v>931</v>
      </c>
      <c r="C2374" s="1288" t="s">
        <v>14</v>
      </c>
      <c r="D2374" s="1287">
        <v>1</v>
      </c>
      <c r="E2374" s="1287">
        <v>508.24</v>
      </c>
      <c r="F2374" s="1287">
        <v>508.24</v>
      </c>
      <c r="G2374" s="1286" t="s">
        <v>932</v>
      </c>
      <c r="H2374" s="34" t="s">
        <v>925</v>
      </c>
    </row>
    <row r="2375" spans="1:8" ht="33">
      <c r="A2375" s="1289"/>
      <c r="B2375" s="1289" t="s">
        <v>933</v>
      </c>
      <c r="C2375" s="1288" t="s">
        <v>1818</v>
      </c>
      <c r="D2375" s="1287">
        <v>1</v>
      </c>
      <c r="E2375" s="1287"/>
      <c r="F2375" s="1287">
        <v>17449.650000000001</v>
      </c>
      <c r="G2375" s="1286"/>
      <c r="H2375" s="34" t="s">
        <v>925</v>
      </c>
    </row>
    <row r="2376" spans="1:8" ht="33">
      <c r="A2376" s="1289"/>
      <c r="B2376" s="1289" t="s">
        <v>934</v>
      </c>
      <c r="C2376" s="1288" t="s">
        <v>1818</v>
      </c>
      <c r="D2376" s="1287"/>
      <c r="E2376" s="1287"/>
      <c r="F2376" s="1287">
        <v>17449.650000000001</v>
      </c>
      <c r="G2376" s="1286"/>
      <c r="H2376" s="34" t="s">
        <v>925</v>
      </c>
    </row>
    <row r="2377" spans="1:8" ht="33">
      <c r="A2377" s="1289"/>
      <c r="B2377" s="1289"/>
      <c r="C2377" s="1288"/>
      <c r="D2377" s="1287"/>
      <c r="E2377" s="1287"/>
      <c r="F2377" s="1287"/>
      <c r="G2377" s="1286"/>
      <c r="H2377" s="34" t="s">
        <v>925</v>
      </c>
    </row>
    <row r="2378" spans="1:8" ht="28.5">
      <c r="A2378" s="1289" t="s">
        <v>2457</v>
      </c>
      <c r="B2378" s="1289" t="s">
        <v>2237</v>
      </c>
      <c r="C2378" s="1288" t="s">
        <v>2238</v>
      </c>
      <c r="D2378" s="1287">
        <v>1</v>
      </c>
      <c r="E2378" s="1287">
        <v>1157.4000000000001</v>
      </c>
      <c r="F2378" s="1287"/>
      <c r="G2378" s="1286" t="s">
        <v>2239</v>
      </c>
    </row>
    <row r="2379" spans="1:8" ht="33">
      <c r="A2379" s="1289">
        <v>1</v>
      </c>
      <c r="B2379" s="1289" t="s">
        <v>2240</v>
      </c>
      <c r="C2379" s="1288" t="s">
        <v>14</v>
      </c>
      <c r="D2379" s="1287">
        <v>1</v>
      </c>
      <c r="E2379" s="1287">
        <v>695.48</v>
      </c>
      <c r="F2379" s="1287">
        <v>695.48</v>
      </c>
      <c r="G2379" s="1286" t="s">
        <v>2241</v>
      </c>
      <c r="H2379" s="34" t="s">
        <v>925</v>
      </c>
    </row>
    <row r="2380" spans="1:8" ht="33">
      <c r="A2380" s="1289">
        <v>2</v>
      </c>
      <c r="B2380" s="1289" t="s">
        <v>2242</v>
      </c>
      <c r="C2380" s="1288" t="s">
        <v>14</v>
      </c>
      <c r="D2380" s="1287">
        <v>1</v>
      </c>
      <c r="E2380" s="1287">
        <v>149.03</v>
      </c>
      <c r="F2380" s="1287">
        <v>149.03</v>
      </c>
      <c r="G2380" s="1286" t="s">
        <v>2243</v>
      </c>
      <c r="H2380" s="34" t="s">
        <v>925</v>
      </c>
    </row>
    <row r="2381" spans="1:8" ht="33">
      <c r="A2381" s="1289">
        <v>3</v>
      </c>
      <c r="B2381" s="1289" t="s">
        <v>4871</v>
      </c>
      <c r="C2381" s="1288" t="s">
        <v>927</v>
      </c>
      <c r="D2381" s="1287">
        <v>1</v>
      </c>
      <c r="E2381" s="1287">
        <v>279.18</v>
      </c>
      <c r="F2381" s="1287">
        <v>279.18</v>
      </c>
      <c r="G2381" s="1286" t="s">
        <v>4872</v>
      </c>
      <c r="H2381" s="34" t="s">
        <v>925</v>
      </c>
    </row>
    <row r="2382" spans="1:8" ht="33">
      <c r="A2382" s="1289">
        <v>4</v>
      </c>
      <c r="B2382" s="1289" t="s">
        <v>931</v>
      </c>
      <c r="C2382" s="1288" t="s">
        <v>14</v>
      </c>
      <c r="D2382" s="1287">
        <v>1</v>
      </c>
      <c r="E2382" s="1287">
        <v>33.71</v>
      </c>
      <c r="F2382" s="1287">
        <v>33.71</v>
      </c>
      <c r="G2382" s="1286" t="s">
        <v>932</v>
      </c>
      <c r="H2382" s="34" t="s">
        <v>925</v>
      </c>
    </row>
    <row r="2383" spans="1:8" ht="33">
      <c r="A2383" s="1289"/>
      <c r="B2383" s="1289" t="s">
        <v>933</v>
      </c>
      <c r="C2383" s="1288" t="s">
        <v>2238</v>
      </c>
      <c r="D2383" s="1287">
        <v>1</v>
      </c>
      <c r="E2383" s="1287"/>
      <c r="F2383" s="1287">
        <v>1157.4000000000001</v>
      </c>
      <c r="G2383" s="1286"/>
      <c r="H2383" s="34" t="s">
        <v>925</v>
      </c>
    </row>
    <row r="2384" spans="1:8" ht="33">
      <c r="A2384" s="1289"/>
      <c r="B2384" s="1289" t="s">
        <v>934</v>
      </c>
      <c r="C2384" s="1288" t="s">
        <v>2238</v>
      </c>
      <c r="D2384" s="1287"/>
      <c r="E2384" s="1287"/>
      <c r="F2384" s="1287">
        <v>1157.4000000000001</v>
      </c>
      <c r="G2384" s="1286"/>
      <c r="H2384" s="34" t="s">
        <v>925</v>
      </c>
    </row>
    <row r="2385" spans="1:8" ht="33">
      <c r="A2385" s="1289"/>
      <c r="B2385" s="1289"/>
      <c r="C2385" s="1288"/>
      <c r="D2385" s="1287"/>
      <c r="E2385" s="1287"/>
      <c r="F2385" s="1287"/>
      <c r="G2385" s="1286"/>
      <c r="H2385" s="34" t="s">
        <v>925</v>
      </c>
    </row>
    <row r="2386" spans="1:8" ht="28.5">
      <c r="A2386" s="1289" t="s">
        <v>2467</v>
      </c>
      <c r="B2386" s="1289" t="s">
        <v>2245</v>
      </c>
      <c r="C2386" s="1288" t="s">
        <v>17</v>
      </c>
      <c r="D2386" s="1287">
        <v>45.5</v>
      </c>
      <c r="E2386" s="1287">
        <v>2926.62</v>
      </c>
      <c r="F2386" s="1287"/>
      <c r="G2386" s="1286" t="s">
        <v>2246</v>
      </c>
    </row>
    <row r="2387" spans="1:8" ht="57">
      <c r="A2387" s="1289">
        <v>1</v>
      </c>
      <c r="B2387" s="1289" t="s">
        <v>513</v>
      </c>
      <c r="C2387" s="1288" t="s">
        <v>18</v>
      </c>
      <c r="D2387" s="1287">
        <v>1089.2</v>
      </c>
      <c r="E2387" s="1287">
        <v>31.93</v>
      </c>
      <c r="F2387" s="1287">
        <v>34778.160000000003</v>
      </c>
      <c r="G2387" s="1286" t="s">
        <v>4952</v>
      </c>
      <c r="H2387" s="34" t="s">
        <v>925</v>
      </c>
    </row>
    <row r="2388" spans="1:8" ht="71.25">
      <c r="A2388" s="1289">
        <v>2</v>
      </c>
      <c r="B2388" s="1289" t="s">
        <v>1275</v>
      </c>
      <c r="C2388" s="1288" t="s">
        <v>0</v>
      </c>
      <c r="D2388" s="1287">
        <v>3.2</v>
      </c>
      <c r="E2388" s="1287">
        <v>3513.44</v>
      </c>
      <c r="F2388" s="1287">
        <v>11243.01</v>
      </c>
      <c r="G2388" s="1286" t="s">
        <v>4985</v>
      </c>
      <c r="H2388" s="34" t="s">
        <v>925</v>
      </c>
    </row>
    <row r="2389" spans="1:8" ht="33">
      <c r="A2389" s="1289">
        <v>3</v>
      </c>
      <c r="B2389" s="1289" t="s">
        <v>2247</v>
      </c>
      <c r="C2389" s="1288" t="s">
        <v>3</v>
      </c>
      <c r="D2389" s="1287">
        <v>13.7</v>
      </c>
      <c r="E2389" s="1287">
        <v>343.54</v>
      </c>
      <c r="F2389" s="1287">
        <v>4706.5</v>
      </c>
      <c r="G2389" s="1286" t="s">
        <v>2248</v>
      </c>
      <c r="H2389" s="34" t="s">
        <v>925</v>
      </c>
    </row>
    <row r="2390" spans="1:8" ht="33">
      <c r="A2390" s="1289">
        <v>4</v>
      </c>
      <c r="B2390" s="1289" t="s">
        <v>2249</v>
      </c>
      <c r="C2390" s="1288" t="s">
        <v>3</v>
      </c>
      <c r="D2390" s="1287">
        <v>48.1</v>
      </c>
      <c r="E2390" s="1287">
        <v>268.26</v>
      </c>
      <c r="F2390" s="1287">
        <v>12903.31</v>
      </c>
      <c r="G2390" s="1286" t="s">
        <v>2250</v>
      </c>
      <c r="H2390" s="34" t="s">
        <v>925</v>
      </c>
    </row>
    <row r="2391" spans="1:8" ht="33">
      <c r="A2391" s="1289">
        <v>5</v>
      </c>
      <c r="B2391" s="1289" t="s">
        <v>2251</v>
      </c>
      <c r="C2391" s="1288" t="s">
        <v>14</v>
      </c>
      <c r="D2391" s="1287">
        <v>1</v>
      </c>
      <c r="E2391" s="1287">
        <v>9289.58</v>
      </c>
      <c r="F2391" s="1287">
        <v>9289.58</v>
      </c>
      <c r="G2391" s="1286" t="s">
        <v>2252</v>
      </c>
      <c r="H2391" s="34" t="s">
        <v>925</v>
      </c>
    </row>
    <row r="2392" spans="1:8" ht="33">
      <c r="A2392" s="1289">
        <v>6</v>
      </c>
      <c r="B2392" s="1289" t="s">
        <v>1685</v>
      </c>
      <c r="C2392" s="1288" t="s">
        <v>3</v>
      </c>
      <c r="D2392" s="1287">
        <v>69.7</v>
      </c>
      <c r="E2392" s="1287">
        <v>476.51</v>
      </c>
      <c r="F2392" s="1287">
        <v>33212.75</v>
      </c>
      <c r="G2392" s="1286" t="s">
        <v>4986</v>
      </c>
      <c r="H2392" s="34" t="s">
        <v>925</v>
      </c>
    </row>
    <row r="2393" spans="1:8" ht="28.5">
      <c r="A2393" s="1289">
        <v>7</v>
      </c>
      <c r="B2393" s="1289" t="s">
        <v>2253</v>
      </c>
      <c r="C2393" s="1288" t="s">
        <v>3</v>
      </c>
      <c r="D2393" s="1287">
        <v>46.6</v>
      </c>
      <c r="E2393" s="1287">
        <v>496.77</v>
      </c>
      <c r="F2393" s="1287">
        <v>23149.48</v>
      </c>
      <c r="G2393" s="1286" t="s">
        <v>2254</v>
      </c>
    </row>
    <row r="2394" spans="1:8" ht="33">
      <c r="A2394" s="1289">
        <v>8</v>
      </c>
      <c r="B2394" s="1289" t="s">
        <v>931</v>
      </c>
      <c r="C2394" s="1288" t="s">
        <v>14</v>
      </c>
      <c r="D2394" s="1287">
        <v>1</v>
      </c>
      <c r="E2394" s="1287">
        <v>3878.48</v>
      </c>
      <c r="F2394" s="1287">
        <v>3878.48</v>
      </c>
      <c r="G2394" s="1286" t="s">
        <v>932</v>
      </c>
      <c r="H2394" s="34" t="s">
        <v>925</v>
      </c>
    </row>
    <row r="2395" spans="1:8" ht="33">
      <c r="A2395" s="1289"/>
      <c r="B2395" s="1289" t="s">
        <v>933</v>
      </c>
      <c r="C2395" s="1288" t="s">
        <v>17</v>
      </c>
      <c r="D2395" s="1287">
        <v>45.5</v>
      </c>
      <c r="E2395" s="1287"/>
      <c r="F2395" s="1287">
        <v>133161.26999999999</v>
      </c>
      <c r="G2395" s="1286"/>
      <c r="H2395" s="34" t="s">
        <v>925</v>
      </c>
    </row>
    <row r="2396" spans="1:8" ht="33">
      <c r="A2396" s="1289"/>
      <c r="B2396" s="1289" t="s">
        <v>934</v>
      </c>
      <c r="C2396" s="1288" t="s">
        <v>17</v>
      </c>
      <c r="D2396" s="1287"/>
      <c r="E2396" s="1287"/>
      <c r="F2396" s="1287">
        <v>2926.62</v>
      </c>
      <c r="G2396" s="1286"/>
      <c r="H2396" s="34" t="s">
        <v>925</v>
      </c>
    </row>
    <row r="2397" spans="1:8" ht="33">
      <c r="A2397" s="1289"/>
      <c r="B2397" s="1289"/>
      <c r="C2397" s="1288"/>
      <c r="D2397" s="1287"/>
      <c r="E2397" s="1287"/>
      <c r="F2397" s="1287"/>
      <c r="G2397" s="1286"/>
      <c r="H2397" s="34" t="s">
        <v>925</v>
      </c>
    </row>
    <row r="2398" spans="1:8" ht="33">
      <c r="A2398" s="1289" t="s">
        <v>2474</v>
      </c>
      <c r="B2398" s="1289" t="s">
        <v>2256</v>
      </c>
      <c r="C2398" s="1288" t="s">
        <v>17</v>
      </c>
      <c r="D2398" s="1287">
        <v>17.899999999999999</v>
      </c>
      <c r="E2398" s="1287">
        <v>3766.75</v>
      </c>
      <c r="F2398" s="1287"/>
      <c r="G2398" s="1286" t="s">
        <v>2257</v>
      </c>
      <c r="H2398" s="34" t="s">
        <v>925</v>
      </c>
    </row>
    <row r="2399" spans="1:8" ht="57">
      <c r="A2399" s="1289">
        <v>1</v>
      </c>
      <c r="B2399" s="1289" t="s">
        <v>513</v>
      </c>
      <c r="C2399" s="1288" t="s">
        <v>18</v>
      </c>
      <c r="D2399" s="1287">
        <v>337.2</v>
      </c>
      <c r="E2399" s="1287">
        <v>31.93</v>
      </c>
      <c r="F2399" s="1287">
        <v>10766.8</v>
      </c>
      <c r="G2399" s="1286" t="s">
        <v>4952</v>
      </c>
      <c r="H2399" s="34" t="s">
        <v>925</v>
      </c>
    </row>
    <row r="2400" spans="1:8" ht="71.25">
      <c r="A2400" s="1289">
        <v>2</v>
      </c>
      <c r="B2400" s="1289" t="s">
        <v>1275</v>
      </c>
      <c r="C2400" s="1288" t="s">
        <v>0</v>
      </c>
      <c r="D2400" s="1287">
        <v>1.3</v>
      </c>
      <c r="E2400" s="1287">
        <v>3513.44</v>
      </c>
      <c r="F2400" s="1287">
        <v>4567.47</v>
      </c>
      <c r="G2400" s="1286" t="s">
        <v>4985</v>
      </c>
      <c r="H2400" s="34" t="s">
        <v>925</v>
      </c>
    </row>
    <row r="2401" spans="1:8" ht="33">
      <c r="A2401" s="1289">
        <v>3</v>
      </c>
      <c r="B2401" s="1289" t="s">
        <v>2247</v>
      </c>
      <c r="C2401" s="1288" t="s">
        <v>3</v>
      </c>
      <c r="D2401" s="1287">
        <v>5.7</v>
      </c>
      <c r="E2401" s="1287">
        <v>343.54</v>
      </c>
      <c r="F2401" s="1287">
        <v>1958.18</v>
      </c>
      <c r="G2401" s="1286" t="s">
        <v>2248</v>
      </c>
      <c r="H2401" s="34" t="s">
        <v>925</v>
      </c>
    </row>
    <row r="2402" spans="1:8" ht="33">
      <c r="A2402" s="1289">
        <v>4</v>
      </c>
      <c r="B2402" s="1289" t="s">
        <v>2249</v>
      </c>
      <c r="C2402" s="1288" t="s">
        <v>3</v>
      </c>
      <c r="D2402" s="1287">
        <v>28.8</v>
      </c>
      <c r="E2402" s="1287">
        <v>268.26</v>
      </c>
      <c r="F2402" s="1287">
        <v>7725.89</v>
      </c>
      <c r="G2402" s="1286" t="s">
        <v>2250</v>
      </c>
      <c r="H2402" s="34" t="s">
        <v>925</v>
      </c>
    </row>
    <row r="2403" spans="1:8" ht="28.5">
      <c r="A2403" s="1289">
        <v>5</v>
      </c>
      <c r="B2403" s="1289" t="s">
        <v>2251</v>
      </c>
      <c r="C2403" s="1288" t="s">
        <v>14</v>
      </c>
      <c r="D2403" s="1287">
        <v>1</v>
      </c>
      <c r="E2403" s="1287">
        <v>9289.58</v>
      </c>
      <c r="F2403" s="1287">
        <v>9289.58</v>
      </c>
      <c r="G2403" s="1286" t="s">
        <v>2252</v>
      </c>
    </row>
    <row r="2404" spans="1:8" ht="33">
      <c r="A2404" s="1289">
        <v>6</v>
      </c>
      <c r="B2404" s="1289" t="s">
        <v>1685</v>
      </c>
      <c r="C2404" s="1288" t="s">
        <v>3</v>
      </c>
      <c r="D2404" s="1287">
        <v>36.5</v>
      </c>
      <c r="E2404" s="1287">
        <v>476.51</v>
      </c>
      <c r="F2404" s="1287">
        <v>17392.62</v>
      </c>
      <c r="G2404" s="1286" t="s">
        <v>4986</v>
      </c>
      <c r="H2404" s="34" t="s">
        <v>925</v>
      </c>
    </row>
    <row r="2405" spans="1:8" ht="33">
      <c r="A2405" s="1289">
        <v>7</v>
      </c>
      <c r="B2405" s="1289" t="s">
        <v>2253</v>
      </c>
      <c r="C2405" s="1288" t="s">
        <v>3</v>
      </c>
      <c r="D2405" s="1287">
        <v>27.7</v>
      </c>
      <c r="E2405" s="1287">
        <v>496.77</v>
      </c>
      <c r="F2405" s="1287">
        <v>13760.53</v>
      </c>
      <c r="G2405" s="1286" t="s">
        <v>2254</v>
      </c>
      <c r="H2405" s="34" t="s">
        <v>925</v>
      </c>
    </row>
    <row r="2406" spans="1:8" ht="33">
      <c r="A2406" s="1289">
        <v>8</v>
      </c>
      <c r="B2406" s="1289" t="s">
        <v>931</v>
      </c>
      <c r="C2406" s="1288" t="s">
        <v>14</v>
      </c>
      <c r="D2406" s="1287">
        <v>1</v>
      </c>
      <c r="E2406" s="1287">
        <v>1963.83</v>
      </c>
      <c r="F2406" s="1287">
        <v>1963.83</v>
      </c>
      <c r="G2406" s="1286" t="s">
        <v>932</v>
      </c>
      <c r="H2406" s="34" t="s">
        <v>925</v>
      </c>
    </row>
    <row r="2407" spans="1:8" ht="33">
      <c r="A2407" s="1289"/>
      <c r="B2407" s="1289" t="s">
        <v>933</v>
      </c>
      <c r="C2407" s="1288" t="s">
        <v>17</v>
      </c>
      <c r="D2407" s="1287">
        <v>17.899999999999999</v>
      </c>
      <c r="E2407" s="1287"/>
      <c r="F2407" s="1287">
        <v>67424.899999999994</v>
      </c>
      <c r="G2407" s="1286"/>
      <c r="H2407" s="34" t="s">
        <v>925</v>
      </c>
    </row>
    <row r="2408" spans="1:8" ht="33">
      <c r="A2408" s="1289"/>
      <c r="B2408" s="1289" t="s">
        <v>934</v>
      </c>
      <c r="C2408" s="1288" t="s">
        <v>17</v>
      </c>
      <c r="D2408" s="1287"/>
      <c r="E2408" s="1287"/>
      <c r="F2408" s="1287">
        <v>3766.75</v>
      </c>
      <c r="G2408" s="1286"/>
      <c r="H2408" s="34" t="s">
        <v>925</v>
      </c>
    </row>
    <row r="2409" spans="1:8" ht="33">
      <c r="A2409" s="1289"/>
      <c r="B2409" s="1289"/>
      <c r="C2409" s="1288"/>
      <c r="D2409" s="1287"/>
      <c r="E2409" s="1287"/>
      <c r="F2409" s="1287"/>
      <c r="G2409" s="1286"/>
      <c r="H2409" s="34" t="s">
        <v>925</v>
      </c>
    </row>
    <row r="2410" spans="1:8" ht="33">
      <c r="A2410" s="1289" t="s">
        <v>2479</v>
      </c>
      <c r="B2410" s="1289" t="s">
        <v>2259</v>
      </c>
      <c r="C2410" s="1288" t="s">
        <v>17</v>
      </c>
      <c r="D2410" s="1287">
        <v>45.5</v>
      </c>
      <c r="E2410" s="1287">
        <v>2926.62</v>
      </c>
      <c r="F2410" s="1287"/>
      <c r="G2410" s="1286" t="s">
        <v>2260</v>
      </c>
      <c r="H2410" s="34" t="s">
        <v>925</v>
      </c>
    </row>
    <row r="2411" spans="1:8" ht="57">
      <c r="A2411" s="1289">
        <v>1</v>
      </c>
      <c r="B2411" s="1289" t="s">
        <v>513</v>
      </c>
      <c r="C2411" s="1288" t="s">
        <v>18</v>
      </c>
      <c r="D2411" s="1287">
        <v>1089.2</v>
      </c>
      <c r="E2411" s="1287">
        <v>31.93</v>
      </c>
      <c r="F2411" s="1287">
        <v>34778.160000000003</v>
      </c>
      <c r="G2411" s="1286" t="s">
        <v>4952</v>
      </c>
      <c r="H2411" s="34" t="s">
        <v>925</v>
      </c>
    </row>
    <row r="2412" spans="1:8" ht="71.25">
      <c r="A2412" s="1289">
        <v>2</v>
      </c>
      <c r="B2412" s="1289" t="s">
        <v>1275</v>
      </c>
      <c r="C2412" s="1288" t="s">
        <v>0</v>
      </c>
      <c r="D2412" s="1287">
        <v>3.2</v>
      </c>
      <c r="E2412" s="1287">
        <v>3513.44</v>
      </c>
      <c r="F2412" s="1287">
        <v>11243.01</v>
      </c>
      <c r="G2412" s="1286" t="s">
        <v>4985</v>
      </c>
      <c r="H2412" s="34" t="s">
        <v>925</v>
      </c>
    </row>
    <row r="2413" spans="1:8" ht="28.5">
      <c r="A2413" s="1289">
        <v>3</v>
      </c>
      <c r="B2413" s="1289" t="s">
        <v>2247</v>
      </c>
      <c r="C2413" s="1288" t="s">
        <v>3</v>
      </c>
      <c r="D2413" s="1287">
        <v>13.7</v>
      </c>
      <c r="E2413" s="1287">
        <v>343.54</v>
      </c>
      <c r="F2413" s="1287">
        <v>4706.5</v>
      </c>
      <c r="G2413" s="1286" t="s">
        <v>2248</v>
      </c>
    </row>
    <row r="2414" spans="1:8" ht="33">
      <c r="A2414" s="1289">
        <v>4</v>
      </c>
      <c r="B2414" s="1289" t="s">
        <v>2249</v>
      </c>
      <c r="C2414" s="1288" t="s">
        <v>3</v>
      </c>
      <c r="D2414" s="1287">
        <v>48.1</v>
      </c>
      <c r="E2414" s="1287">
        <v>268.26</v>
      </c>
      <c r="F2414" s="1287">
        <v>12903.31</v>
      </c>
      <c r="G2414" s="1286" t="s">
        <v>2250</v>
      </c>
      <c r="H2414" s="34" t="s">
        <v>925</v>
      </c>
    </row>
    <row r="2415" spans="1:8" ht="33">
      <c r="A2415" s="1289">
        <v>5</v>
      </c>
      <c r="B2415" s="1289" t="s">
        <v>2251</v>
      </c>
      <c r="C2415" s="1288" t="s">
        <v>14</v>
      </c>
      <c r="D2415" s="1287">
        <v>1</v>
      </c>
      <c r="E2415" s="1287">
        <v>9289.58</v>
      </c>
      <c r="F2415" s="1287">
        <v>9289.58</v>
      </c>
      <c r="G2415" s="1286" t="s">
        <v>2252</v>
      </c>
      <c r="H2415" s="34" t="s">
        <v>925</v>
      </c>
    </row>
    <row r="2416" spans="1:8" ht="33">
      <c r="A2416" s="1289">
        <v>6</v>
      </c>
      <c r="B2416" s="1289" t="s">
        <v>1685</v>
      </c>
      <c r="C2416" s="1288" t="s">
        <v>3</v>
      </c>
      <c r="D2416" s="1287">
        <v>69.7</v>
      </c>
      <c r="E2416" s="1287">
        <v>476.51</v>
      </c>
      <c r="F2416" s="1287">
        <v>33212.75</v>
      </c>
      <c r="G2416" s="1286" t="s">
        <v>4986</v>
      </c>
      <c r="H2416" s="34" t="s">
        <v>925</v>
      </c>
    </row>
    <row r="2417" spans="1:8" ht="33">
      <c r="A2417" s="1289">
        <v>7</v>
      </c>
      <c r="B2417" s="1289" t="s">
        <v>2253</v>
      </c>
      <c r="C2417" s="1288" t="s">
        <v>3</v>
      </c>
      <c r="D2417" s="1287">
        <v>46.6</v>
      </c>
      <c r="E2417" s="1287">
        <v>496.77</v>
      </c>
      <c r="F2417" s="1287">
        <v>23149.48</v>
      </c>
      <c r="G2417" s="1286" t="s">
        <v>2254</v>
      </c>
      <c r="H2417" s="34" t="s">
        <v>925</v>
      </c>
    </row>
    <row r="2418" spans="1:8" ht="33">
      <c r="A2418" s="1289">
        <v>8</v>
      </c>
      <c r="B2418" s="1289" t="s">
        <v>931</v>
      </c>
      <c r="C2418" s="1288" t="s">
        <v>14</v>
      </c>
      <c r="D2418" s="1287">
        <v>1</v>
      </c>
      <c r="E2418" s="1287">
        <v>3878.48</v>
      </c>
      <c r="F2418" s="1287">
        <v>3878.48</v>
      </c>
      <c r="G2418" s="1286" t="s">
        <v>932</v>
      </c>
      <c r="H2418" s="34" t="s">
        <v>925</v>
      </c>
    </row>
    <row r="2419" spans="1:8" ht="33">
      <c r="A2419" s="1289"/>
      <c r="B2419" s="1289" t="s">
        <v>933</v>
      </c>
      <c r="C2419" s="1288" t="s">
        <v>17</v>
      </c>
      <c r="D2419" s="1287">
        <v>45.5</v>
      </c>
      <c r="E2419" s="1287"/>
      <c r="F2419" s="1287">
        <v>133161.26999999999</v>
      </c>
      <c r="G2419" s="1286"/>
      <c r="H2419" s="34" t="s">
        <v>925</v>
      </c>
    </row>
    <row r="2420" spans="1:8" ht="33">
      <c r="A2420" s="1289"/>
      <c r="B2420" s="1289" t="s">
        <v>934</v>
      </c>
      <c r="C2420" s="1288" t="s">
        <v>17</v>
      </c>
      <c r="D2420" s="1287"/>
      <c r="E2420" s="1287"/>
      <c r="F2420" s="1287">
        <v>2926.62</v>
      </c>
      <c r="G2420" s="1286"/>
      <c r="H2420" s="34" t="s">
        <v>925</v>
      </c>
    </row>
    <row r="2421" spans="1:8" ht="33">
      <c r="A2421" s="1289"/>
      <c r="B2421" s="1289"/>
      <c r="C2421" s="1288"/>
      <c r="D2421" s="1287"/>
      <c r="E2421" s="1287"/>
      <c r="F2421" s="1287"/>
      <c r="G2421" s="1286"/>
      <c r="H2421" s="34" t="s">
        <v>925</v>
      </c>
    </row>
    <row r="2422" spans="1:8" ht="33">
      <c r="A2422" s="1289" t="s">
        <v>2482</v>
      </c>
      <c r="B2422" s="1289" t="s">
        <v>2262</v>
      </c>
      <c r="C2422" s="1288" t="s">
        <v>17</v>
      </c>
      <c r="D2422" s="1287">
        <v>32</v>
      </c>
      <c r="E2422" s="1287">
        <v>3271.33</v>
      </c>
      <c r="F2422" s="1287"/>
      <c r="G2422" s="1286" t="s">
        <v>2263</v>
      </c>
      <c r="H2422" s="34" t="s">
        <v>925</v>
      </c>
    </row>
    <row r="2423" spans="1:8" ht="57">
      <c r="A2423" s="1289">
        <v>1</v>
      </c>
      <c r="B2423" s="1289" t="s">
        <v>513</v>
      </c>
      <c r="C2423" s="1288" t="s">
        <v>18</v>
      </c>
      <c r="D2423" s="1287">
        <v>536</v>
      </c>
      <c r="E2423" s="1287">
        <v>31.93</v>
      </c>
      <c r="F2423" s="1287">
        <v>17114.48</v>
      </c>
      <c r="G2423" s="1286" t="s">
        <v>4952</v>
      </c>
    </row>
    <row r="2424" spans="1:8" ht="71.25">
      <c r="A2424" s="1289">
        <v>2</v>
      </c>
      <c r="B2424" s="1289" t="s">
        <v>1275</v>
      </c>
      <c r="C2424" s="1288" t="s">
        <v>0</v>
      </c>
      <c r="D2424" s="1287">
        <v>1.9</v>
      </c>
      <c r="E2424" s="1287">
        <v>3513.44</v>
      </c>
      <c r="F2424" s="1287">
        <v>6675.54</v>
      </c>
      <c r="G2424" s="1286" t="s">
        <v>4985</v>
      </c>
      <c r="H2424" s="34" t="s">
        <v>925</v>
      </c>
    </row>
    <row r="2425" spans="1:8" ht="33">
      <c r="A2425" s="1289">
        <v>3</v>
      </c>
      <c r="B2425" s="1289" t="s">
        <v>2249</v>
      </c>
      <c r="C2425" s="1288" t="s">
        <v>3</v>
      </c>
      <c r="D2425" s="1287">
        <v>52.3</v>
      </c>
      <c r="E2425" s="1287">
        <v>268.26</v>
      </c>
      <c r="F2425" s="1287">
        <v>14030</v>
      </c>
      <c r="G2425" s="1286" t="s">
        <v>2250</v>
      </c>
      <c r="H2425" s="34" t="s">
        <v>925</v>
      </c>
    </row>
    <row r="2426" spans="1:8" ht="33">
      <c r="A2426" s="1289">
        <v>4</v>
      </c>
      <c r="B2426" s="1289" t="s">
        <v>2251</v>
      </c>
      <c r="C2426" s="1288" t="s">
        <v>14</v>
      </c>
      <c r="D2426" s="1287">
        <v>1</v>
      </c>
      <c r="E2426" s="1287">
        <v>9289.58</v>
      </c>
      <c r="F2426" s="1287">
        <v>9289.58</v>
      </c>
      <c r="G2426" s="1286" t="s">
        <v>2252</v>
      </c>
      <c r="H2426" s="34" t="s">
        <v>925</v>
      </c>
    </row>
    <row r="2427" spans="1:8" ht="33">
      <c r="A2427" s="1289">
        <v>5</v>
      </c>
      <c r="B2427" s="1289" t="s">
        <v>1685</v>
      </c>
      <c r="C2427" s="1288" t="s">
        <v>3</v>
      </c>
      <c r="D2427" s="1287">
        <v>59.9</v>
      </c>
      <c r="E2427" s="1287">
        <v>476.51</v>
      </c>
      <c r="F2427" s="1287">
        <v>28542.95</v>
      </c>
      <c r="G2427" s="1286" t="s">
        <v>4986</v>
      </c>
      <c r="H2427" s="34" t="s">
        <v>925</v>
      </c>
    </row>
    <row r="2428" spans="1:8" ht="33">
      <c r="A2428" s="1289">
        <v>6</v>
      </c>
      <c r="B2428" s="1289" t="s">
        <v>2253</v>
      </c>
      <c r="C2428" s="1288" t="s">
        <v>3</v>
      </c>
      <c r="D2428" s="1287">
        <v>52.3</v>
      </c>
      <c r="E2428" s="1287">
        <v>496.77</v>
      </c>
      <c r="F2428" s="1287">
        <v>25981.07</v>
      </c>
      <c r="G2428" s="1286" t="s">
        <v>2254</v>
      </c>
      <c r="H2428" s="34" t="s">
        <v>925</v>
      </c>
    </row>
    <row r="2429" spans="1:8" ht="33">
      <c r="A2429" s="1289">
        <v>7</v>
      </c>
      <c r="B2429" s="1289" t="s">
        <v>931</v>
      </c>
      <c r="C2429" s="1288" t="s">
        <v>14</v>
      </c>
      <c r="D2429" s="1287">
        <v>1</v>
      </c>
      <c r="E2429" s="1287">
        <v>3049.01</v>
      </c>
      <c r="F2429" s="1287">
        <v>3049.01</v>
      </c>
      <c r="G2429" s="1286" t="s">
        <v>932</v>
      </c>
      <c r="H2429" s="34" t="s">
        <v>925</v>
      </c>
    </row>
    <row r="2430" spans="1:8" ht="33">
      <c r="A2430" s="1289"/>
      <c r="B2430" s="1289" t="s">
        <v>933</v>
      </c>
      <c r="C2430" s="1288" t="s">
        <v>17</v>
      </c>
      <c r="D2430" s="1287">
        <v>32</v>
      </c>
      <c r="E2430" s="1287"/>
      <c r="F2430" s="1287">
        <v>104682.62999999999</v>
      </c>
      <c r="G2430" s="1286"/>
      <c r="H2430" s="34" t="s">
        <v>925</v>
      </c>
    </row>
    <row r="2431" spans="1:8" ht="33">
      <c r="A2431" s="1289"/>
      <c r="B2431" s="1289" t="s">
        <v>934</v>
      </c>
      <c r="C2431" s="1288" t="s">
        <v>17</v>
      </c>
      <c r="D2431" s="1287"/>
      <c r="E2431" s="1287"/>
      <c r="F2431" s="1287">
        <v>3271.33</v>
      </c>
      <c r="G2431" s="1286"/>
      <c r="H2431" s="34" t="s">
        <v>925</v>
      </c>
    </row>
    <row r="2432" spans="1:8" ht="33">
      <c r="A2432" s="1289"/>
      <c r="B2432" s="1289"/>
      <c r="C2432" s="1288"/>
      <c r="D2432" s="1287"/>
      <c r="E2432" s="1287"/>
      <c r="F2432" s="1287"/>
      <c r="G2432" s="1286"/>
      <c r="H2432" s="34" t="s">
        <v>925</v>
      </c>
    </row>
    <row r="2433" spans="1:8" ht="28.5">
      <c r="A2433" s="1289" t="s">
        <v>2485</v>
      </c>
      <c r="B2433" s="1289" t="s">
        <v>2265</v>
      </c>
      <c r="C2433" s="1288" t="s">
        <v>3</v>
      </c>
      <c r="D2433" s="1287">
        <v>1</v>
      </c>
      <c r="E2433" s="1287">
        <v>399.09</v>
      </c>
      <c r="F2433" s="1287"/>
      <c r="G2433" s="1286" t="s">
        <v>2266</v>
      </c>
    </row>
    <row r="2434" spans="1:8" ht="33">
      <c r="A2434" s="1289">
        <v>1</v>
      </c>
      <c r="B2434" s="1289" t="s">
        <v>2267</v>
      </c>
      <c r="C2434" s="1288" t="s">
        <v>3</v>
      </c>
      <c r="D2434" s="1287">
        <v>1</v>
      </c>
      <c r="E2434" s="1287">
        <v>119.22</v>
      </c>
      <c r="F2434" s="1287">
        <v>119.22</v>
      </c>
      <c r="G2434" s="1286" t="s">
        <v>2268</v>
      </c>
      <c r="H2434" s="34" t="s">
        <v>925</v>
      </c>
    </row>
    <row r="2435" spans="1:8" ht="33">
      <c r="A2435" s="1289">
        <v>2</v>
      </c>
      <c r="B2435" s="1289" t="s">
        <v>2269</v>
      </c>
      <c r="C2435" s="1288" t="s">
        <v>3</v>
      </c>
      <c r="D2435" s="1287">
        <v>1</v>
      </c>
      <c r="E2435" s="1287">
        <v>119.22</v>
      </c>
      <c r="F2435" s="1287">
        <v>119.22</v>
      </c>
      <c r="G2435" s="1286" t="s">
        <v>2270</v>
      </c>
      <c r="H2435" s="34" t="s">
        <v>925</v>
      </c>
    </row>
    <row r="2436" spans="1:8" ht="33">
      <c r="A2436" s="1289">
        <v>3</v>
      </c>
      <c r="B2436" s="1289" t="s">
        <v>2271</v>
      </c>
      <c r="C2436" s="1288" t="s">
        <v>14</v>
      </c>
      <c r="D2436" s="1287">
        <v>1</v>
      </c>
      <c r="E2436" s="1287">
        <v>149.03</v>
      </c>
      <c r="F2436" s="1287">
        <v>149.03</v>
      </c>
      <c r="G2436" s="1286" t="s">
        <v>2272</v>
      </c>
      <c r="H2436" s="34" t="s">
        <v>925</v>
      </c>
    </row>
    <row r="2437" spans="1:8" ht="33">
      <c r="A2437" s="1289">
        <v>4</v>
      </c>
      <c r="B2437" s="1289" t="s">
        <v>955</v>
      </c>
      <c r="C2437" s="1288" t="s">
        <v>14</v>
      </c>
      <c r="D2437" s="1287">
        <v>1</v>
      </c>
      <c r="E2437" s="1287">
        <v>11.62</v>
      </c>
      <c r="F2437" s="1287">
        <v>11.62</v>
      </c>
      <c r="G2437" s="1286" t="s">
        <v>956</v>
      </c>
      <c r="H2437" s="34" t="s">
        <v>925</v>
      </c>
    </row>
    <row r="2438" spans="1:8" ht="33">
      <c r="A2438" s="1289"/>
      <c r="B2438" s="1289" t="s">
        <v>933</v>
      </c>
      <c r="C2438" s="1288" t="s">
        <v>3</v>
      </c>
      <c r="D2438" s="1287">
        <v>1</v>
      </c>
      <c r="E2438" s="1287"/>
      <c r="F2438" s="1287">
        <v>399.09000000000003</v>
      </c>
      <c r="G2438" s="1286"/>
      <c r="H2438" s="34" t="s">
        <v>925</v>
      </c>
    </row>
    <row r="2439" spans="1:8" ht="16.5">
      <c r="A2439" s="1289"/>
      <c r="B2439" s="1289" t="s">
        <v>934</v>
      </c>
      <c r="C2439" s="1288" t="s">
        <v>3</v>
      </c>
      <c r="D2439" s="1287"/>
      <c r="E2439" s="1287"/>
      <c r="F2439" s="1287">
        <v>399.09</v>
      </c>
      <c r="G2439" s="1286"/>
    </row>
    <row r="2440" spans="1:8" ht="33">
      <c r="A2440" s="1289"/>
      <c r="B2440" s="1289"/>
      <c r="C2440" s="1288"/>
      <c r="D2440" s="1287"/>
      <c r="E2440" s="1287"/>
      <c r="F2440" s="1287"/>
      <c r="G2440" s="1286"/>
      <c r="H2440" s="34" t="s">
        <v>925</v>
      </c>
    </row>
    <row r="2441" spans="1:8" ht="42.75">
      <c r="A2441" s="1289" t="s">
        <v>2488</v>
      </c>
      <c r="B2441" s="1289" t="s">
        <v>2274</v>
      </c>
      <c r="C2441" s="1288" t="s">
        <v>3</v>
      </c>
      <c r="D2441" s="1287">
        <v>1</v>
      </c>
      <c r="E2441" s="1287">
        <v>687.68</v>
      </c>
      <c r="F2441" s="1287"/>
      <c r="G2441" s="1286" t="s">
        <v>2275</v>
      </c>
      <c r="H2441" s="34" t="s">
        <v>925</v>
      </c>
    </row>
    <row r="2442" spans="1:8" ht="33">
      <c r="A2442" s="1289">
        <v>1</v>
      </c>
      <c r="B2442" s="1289" t="s">
        <v>2276</v>
      </c>
      <c r="C2442" s="1288" t="s">
        <v>3</v>
      </c>
      <c r="D2442" s="1287">
        <v>1</v>
      </c>
      <c r="E2442" s="1287">
        <v>419.27</v>
      </c>
      <c r="F2442" s="1287">
        <v>419.27</v>
      </c>
      <c r="G2442" s="1286" t="s">
        <v>2277</v>
      </c>
      <c r="H2442" s="34" t="s">
        <v>925</v>
      </c>
    </row>
    <row r="2443" spans="1:8" ht="33">
      <c r="A2443" s="1289">
        <v>2</v>
      </c>
      <c r="B2443" s="1289" t="s">
        <v>2278</v>
      </c>
      <c r="C2443" s="1288" t="s">
        <v>3</v>
      </c>
      <c r="D2443" s="1287">
        <v>1</v>
      </c>
      <c r="E2443" s="1287">
        <v>99.35</v>
      </c>
      <c r="F2443" s="1287">
        <v>99.35</v>
      </c>
      <c r="G2443" s="1286" t="s">
        <v>2279</v>
      </c>
      <c r="H2443" s="34" t="s">
        <v>925</v>
      </c>
    </row>
    <row r="2444" spans="1:8" ht="33">
      <c r="A2444" s="1289">
        <v>3</v>
      </c>
      <c r="B2444" s="1289" t="s">
        <v>2271</v>
      </c>
      <c r="C2444" s="1288" t="s">
        <v>14</v>
      </c>
      <c r="D2444" s="1287">
        <v>1</v>
      </c>
      <c r="E2444" s="1287">
        <v>149.03</v>
      </c>
      <c r="F2444" s="1287">
        <v>149.03</v>
      </c>
      <c r="G2444" s="1286" t="s">
        <v>2272</v>
      </c>
      <c r="H2444" s="34" t="s">
        <v>925</v>
      </c>
    </row>
    <row r="2445" spans="1:8" ht="33">
      <c r="A2445" s="1289">
        <v>4</v>
      </c>
      <c r="B2445" s="1289" t="s">
        <v>955</v>
      </c>
      <c r="C2445" s="1288" t="s">
        <v>14</v>
      </c>
      <c r="D2445" s="1287">
        <v>1</v>
      </c>
      <c r="E2445" s="1287">
        <v>20.03</v>
      </c>
      <c r="F2445" s="1287">
        <v>20.03</v>
      </c>
      <c r="G2445" s="1286" t="s">
        <v>956</v>
      </c>
      <c r="H2445" s="34" t="s">
        <v>925</v>
      </c>
    </row>
    <row r="2446" spans="1:8" ht="16.5">
      <c r="A2446" s="1289"/>
      <c r="B2446" s="1289" t="s">
        <v>933</v>
      </c>
      <c r="C2446" s="1288" t="s">
        <v>3</v>
      </c>
      <c r="D2446" s="1287">
        <v>1</v>
      </c>
      <c r="E2446" s="1287"/>
      <c r="F2446" s="1287">
        <v>687.68</v>
      </c>
      <c r="G2446" s="1286"/>
    </row>
    <row r="2447" spans="1:8" ht="33">
      <c r="A2447" s="1289"/>
      <c r="B2447" s="1289" t="s">
        <v>934</v>
      </c>
      <c r="C2447" s="1288" t="s">
        <v>3</v>
      </c>
      <c r="D2447" s="1287"/>
      <c r="E2447" s="1287"/>
      <c r="F2447" s="1287">
        <v>687.68</v>
      </c>
      <c r="G2447" s="1286"/>
      <c r="H2447" s="34" t="s">
        <v>925</v>
      </c>
    </row>
    <row r="2448" spans="1:8" ht="33">
      <c r="A2448" s="1289"/>
      <c r="B2448" s="1289"/>
      <c r="C2448" s="1288"/>
      <c r="D2448" s="1287"/>
      <c r="E2448" s="1287"/>
      <c r="F2448" s="1287"/>
      <c r="G2448" s="1286"/>
      <c r="H2448" s="34" t="s">
        <v>925</v>
      </c>
    </row>
    <row r="2449" spans="1:8" ht="42.75">
      <c r="A2449" s="1289" t="s">
        <v>2496</v>
      </c>
      <c r="B2449" s="1289" t="s">
        <v>2281</v>
      </c>
      <c r="C2449" s="1288" t="s">
        <v>3</v>
      </c>
      <c r="D2449" s="1287">
        <v>12</v>
      </c>
      <c r="E2449" s="1287">
        <v>4067.8</v>
      </c>
      <c r="F2449" s="1287"/>
      <c r="G2449" s="1286" t="s">
        <v>2282</v>
      </c>
      <c r="H2449" s="34" t="s">
        <v>925</v>
      </c>
    </row>
    <row r="2450" spans="1:8" ht="33">
      <c r="A2450" s="1289">
        <v>1</v>
      </c>
      <c r="B2450" s="1289" t="s">
        <v>2283</v>
      </c>
      <c r="C2450" s="1288" t="s">
        <v>1875</v>
      </c>
      <c r="D2450" s="1287">
        <v>4</v>
      </c>
      <c r="E2450" s="1287">
        <v>2483.85</v>
      </c>
      <c r="F2450" s="1287">
        <v>9935.4</v>
      </c>
      <c r="G2450" s="1286" t="s">
        <v>2284</v>
      </c>
      <c r="H2450" s="34" t="s">
        <v>925</v>
      </c>
    </row>
    <row r="2451" spans="1:8" ht="57">
      <c r="A2451" s="1289">
        <v>2</v>
      </c>
      <c r="B2451" s="1289" t="s">
        <v>2285</v>
      </c>
      <c r="C2451" s="1288" t="s">
        <v>14</v>
      </c>
      <c r="D2451" s="1287">
        <v>1</v>
      </c>
      <c r="E2451" s="1287">
        <v>14505.66</v>
      </c>
      <c r="F2451" s="1287">
        <v>14505.66</v>
      </c>
      <c r="G2451" s="1286" t="s">
        <v>2286</v>
      </c>
      <c r="H2451" s="34" t="s">
        <v>925</v>
      </c>
    </row>
    <row r="2452" spans="1:8" ht="42.75">
      <c r="A2452" s="1289">
        <v>3</v>
      </c>
      <c r="B2452" s="1289" t="s">
        <v>2287</v>
      </c>
      <c r="C2452" s="1288" t="s">
        <v>14</v>
      </c>
      <c r="D2452" s="1287">
        <v>1</v>
      </c>
      <c r="E2452" s="1287">
        <v>19373.990000000002</v>
      </c>
      <c r="F2452" s="1287">
        <v>19373.990000000002</v>
      </c>
      <c r="G2452" s="1286" t="s">
        <v>2288</v>
      </c>
    </row>
    <row r="2453" spans="1:8" ht="57">
      <c r="A2453" s="1289">
        <v>4</v>
      </c>
      <c r="B2453" s="1289" t="s">
        <v>2289</v>
      </c>
      <c r="C2453" s="1288" t="s">
        <v>14</v>
      </c>
      <c r="D2453" s="1287">
        <v>1</v>
      </c>
      <c r="E2453" s="1287">
        <v>3576.74</v>
      </c>
      <c r="F2453" s="1287">
        <v>3576.74</v>
      </c>
      <c r="G2453" s="1286" t="s">
        <v>2290</v>
      </c>
      <c r="H2453" s="34" t="s">
        <v>925</v>
      </c>
    </row>
    <row r="2454" spans="1:8" ht="33">
      <c r="A2454" s="1289">
        <v>5</v>
      </c>
      <c r="B2454" s="1289" t="s">
        <v>931</v>
      </c>
      <c r="C2454" s="1288" t="s">
        <v>14</v>
      </c>
      <c r="D2454" s="1287">
        <v>1</v>
      </c>
      <c r="E2454" s="1287">
        <v>1421.75</v>
      </c>
      <c r="F2454" s="1287">
        <v>1421.75</v>
      </c>
      <c r="G2454" s="1286" t="s">
        <v>932</v>
      </c>
      <c r="H2454" s="34" t="s">
        <v>925</v>
      </c>
    </row>
    <row r="2455" spans="1:8" ht="33">
      <c r="A2455" s="1289"/>
      <c r="B2455" s="1289" t="s">
        <v>933</v>
      </c>
      <c r="C2455" s="1288" t="s">
        <v>3</v>
      </c>
      <c r="D2455" s="1287">
        <v>12</v>
      </c>
      <c r="E2455" s="1287"/>
      <c r="F2455" s="1287">
        <v>48813.54</v>
      </c>
      <c r="G2455" s="1286"/>
      <c r="H2455" s="34" t="s">
        <v>925</v>
      </c>
    </row>
    <row r="2456" spans="1:8" ht="33">
      <c r="A2456" s="1289"/>
      <c r="B2456" s="1289" t="s">
        <v>934</v>
      </c>
      <c r="C2456" s="1288" t="s">
        <v>3</v>
      </c>
      <c r="D2456" s="1287"/>
      <c r="E2456" s="1287"/>
      <c r="F2456" s="1287">
        <v>4067.8</v>
      </c>
      <c r="G2456" s="1286"/>
      <c r="H2456" s="34" t="s">
        <v>925</v>
      </c>
    </row>
    <row r="2457" spans="1:8" ht="33">
      <c r="A2457" s="1289"/>
      <c r="B2457" s="1289"/>
      <c r="C2457" s="1288"/>
      <c r="D2457" s="1287"/>
      <c r="E2457" s="1287"/>
      <c r="F2457" s="1287"/>
      <c r="G2457" s="1286"/>
      <c r="H2457" s="34" t="s">
        <v>925</v>
      </c>
    </row>
    <row r="2458" spans="1:8" ht="42.75">
      <c r="A2458" s="1289" t="s">
        <v>2505</v>
      </c>
      <c r="B2458" s="1289" t="s">
        <v>2292</v>
      </c>
      <c r="C2458" s="1288" t="s">
        <v>3</v>
      </c>
      <c r="D2458" s="1287">
        <v>1</v>
      </c>
      <c r="E2458" s="1287">
        <v>250.72</v>
      </c>
      <c r="F2458" s="1287"/>
      <c r="G2458" s="1286" t="s">
        <v>2293</v>
      </c>
      <c r="H2458" s="34" t="s">
        <v>925</v>
      </c>
    </row>
    <row r="2459" spans="1:8" ht="42.75">
      <c r="A2459" s="1289">
        <v>1</v>
      </c>
      <c r="B2459" s="1289" t="s">
        <v>2294</v>
      </c>
      <c r="C2459" s="1288" t="s">
        <v>3</v>
      </c>
      <c r="D2459" s="1287">
        <v>1</v>
      </c>
      <c r="E2459" s="1287">
        <v>198.71</v>
      </c>
      <c r="F2459" s="1287">
        <v>198.71</v>
      </c>
      <c r="G2459" s="1286" t="s">
        <v>2295</v>
      </c>
    </row>
    <row r="2460" spans="1:8" ht="42.75">
      <c r="A2460" s="1289">
        <v>2</v>
      </c>
      <c r="B2460" s="1289" t="s">
        <v>2287</v>
      </c>
      <c r="C2460" s="1288" t="s">
        <v>14</v>
      </c>
      <c r="D2460" s="1287">
        <v>1</v>
      </c>
      <c r="E2460" s="1287">
        <v>44.71</v>
      </c>
      <c r="F2460" s="1287">
        <v>44.71</v>
      </c>
      <c r="G2460" s="1286" t="s">
        <v>2288</v>
      </c>
      <c r="H2460" s="34" t="s">
        <v>925</v>
      </c>
    </row>
    <row r="2461" spans="1:8" ht="33">
      <c r="A2461" s="1289">
        <v>3</v>
      </c>
      <c r="B2461" s="1289" t="s">
        <v>931</v>
      </c>
      <c r="C2461" s="1288" t="s">
        <v>14</v>
      </c>
      <c r="D2461" s="1287">
        <v>1</v>
      </c>
      <c r="E2461" s="1287">
        <v>7.3</v>
      </c>
      <c r="F2461" s="1287">
        <v>7.3</v>
      </c>
      <c r="G2461" s="1286" t="s">
        <v>932</v>
      </c>
      <c r="H2461" s="34" t="s">
        <v>925</v>
      </c>
    </row>
    <row r="2462" spans="1:8" ht="33">
      <c r="A2462" s="1289"/>
      <c r="B2462" s="1289" t="s">
        <v>933</v>
      </c>
      <c r="C2462" s="1288" t="s">
        <v>3</v>
      </c>
      <c r="D2462" s="1287">
        <v>1</v>
      </c>
      <c r="E2462" s="1287"/>
      <c r="F2462" s="1287">
        <v>250.72000000000003</v>
      </c>
      <c r="G2462" s="1286"/>
      <c r="H2462" s="34" t="s">
        <v>925</v>
      </c>
    </row>
    <row r="2463" spans="1:8" ht="33">
      <c r="A2463" s="1289"/>
      <c r="B2463" s="1289" t="s">
        <v>934</v>
      </c>
      <c r="C2463" s="1288" t="s">
        <v>3</v>
      </c>
      <c r="D2463" s="1287"/>
      <c r="E2463" s="1287"/>
      <c r="F2463" s="1287">
        <v>250.72</v>
      </c>
      <c r="G2463" s="1286"/>
      <c r="H2463" s="34" t="s">
        <v>925</v>
      </c>
    </row>
    <row r="2464" spans="1:8" ht="33">
      <c r="A2464" s="1289"/>
      <c r="B2464" s="1289"/>
      <c r="C2464" s="1288"/>
      <c r="D2464" s="1287"/>
      <c r="E2464" s="1287"/>
      <c r="F2464" s="1287"/>
      <c r="G2464" s="1286"/>
      <c r="H2464" s="34" t="s">
        <v>925</v>
      </c>
    </row>
    <row r="2465" spans="1:8" ht="33">
      <c r="A2465" s="1289" t="s">
        <v>2508</v>
      </c>
      <c r="B2465" s="1289" t="s">
        <v>3654</v>
      </c>
      <c r="C2465" s="1288" t="s">
        <v>1689</v>
      </c>
      <c r="D2465" s="1287">
        <v>1</v>
      </c>
      <c r="E2465" s="1287">
        <v>495.51</v>
      </c>
      <c r="F2465" s="1287"/>
      <c r="G2465" s="1286" t="s">
        <v>4044</v>
      </c>
      <c r="H2465" s="34" t="s">
        <v>925</v>
      </c>
    </row>
    <row r="2466" spans="1:8" ht="57">
      <c r="A2466" s="1289">
        <v>1</v>
      </c>
      <c r="B2466" s="1289" t="s">
        <v>4987</v>
      </c>
      <c r="C2466" s="1288" t="s">
        <v>1689</v>
      </c>
      <c r="D2466" s="1287">
        <v>1</v>
      </c>
      <c r="E2466" s="1287">
        <v>173.87</v>
      </c>
      <c r="F2466" s="1287">
        <v>173.87</v>
      </c>
      <c r="G2466" s="1286" t="s">
        <v>4988</v>
      </c>
      <c r="H2466" s="34" t="s">
        <v>925</v>
      </c>
    </row>
    <row r="2467" spans="1:8" ht="28.5">
      <c r="A2467" s="1289">
        <v>2</v>
      </c>
      <c r="B2467" s="1289" t="s">
        <v>4036</v>
      </c>
      <c r="C2467" s="1288" t="s">
        <v>14</v>
      </c>
      <c r="D2467" s="1287">
        <v>1</v>
      </c>
      <c r="E2467" s="1287">
        <v>103.53</v>
      </c>
      <c r="F2467" s="1287">
        <v>103.53</v>
      </c>
      <c r="G2467" s="1286" t="s">
        <v>4037</v>
      </c>
    </row>
    <row r="2468" spans="1:8" ht="33">
      <c r="A2468" s="1289">
        <v>3</v>
      </c>
      <c r="B2468" s="1289" t="s">
        <v>4989</v>
      </c>
      <c r="C2468" s="1288" t="s">
        <v>14</v>
      </c>
      <c r="D2468" s="1287">
        <v>1</v>
      </c>
      <c r="E2468" s="1287">
        <v>203.68</v>
      </c>
      <c r="F2468" s="1287">
        <v>203.68</v>
      </c>
      <c r="G2468" s="1286" t="s">
        <v>4045</v>
      </c>
      <c r="H2468" s="34" t="s">
        <v>925</v>
      </c>
    </row>
    <row r="2469" spans="1:8" ht="33">
      <c r="A2469" s="1289">
        <v>4</v>
      </c>
      <c r="B2469" s="1289" t="s">
        <v>931</v>
      </c>
      <c r="C2469" s="1288" t="s">
        <v>14</v>
      </c>
      <c r="D2469" s="1287">
        <v>1</v>
      </c>
      <c r="E2469" s="1287">
        <v>14.43</v>
      </c>
      <c r="F2469" s="1287">
        <v>14.43</v>
      </c>
      <c r="G2469" s="1286" t="s">
        <v>932</v>
      </c>
      <c r="H2469" s="34" t="s">
        <v>925</v>
      </c>
    </row>
    <row r="2470" spans="1:8" ht="33">
      <c r="A2470" s="1289"/>
      <c r="B2470" s="1289" t="s">
        <v>933</v>
      </c>
      <c r="C2470" s="1288" t="s">
        <v>1689</v>
      </c>
      <c r="D2470" s="1287">
        <v>1</v>
      </c>
      <c r="E2470" s="1287"/>
      <c r="F2470" s="1287">
        <v>495.51</v>
      </c>
      <c r="G2470" s="1286"/>
      <c r="H2470" s="34" t="s">
        <v>925</v>
      </c>
    </row>
    <row r="2471" spans="1:8" ht="33">
      <c r="A2471" s="1289"/>
      <c r="B2471" s="1289" t="s">
        <v>934</v>
      </c>
      <c r="C2471" s="1288" t="s">
        <v>1689</v>
      </c>
      <c r="D2471" s="1287"/>
      <c r="E2471" s="1287"/>
      <c r="F2471" s="1287">
        <v>495.51</v>
      </c>
      <c r="G2471" s="1286"/>
      <c r="H2471" s="34" t="s">
        <v>925</v>
      </c>
    </row>
    <row r="2472" spans="1:8" ht="33">
      <c r="A2472" s="1289"/>
      <c r="B2472" s="1289"/>
      <c r="C2472" s="1288"/>
      <c r="D2472" s="1287"/>
      <c r="E2472" s="1287"/>
      <c r="F2472" s="1287"/>
      <c r="G2472" s="1286"/>
      <c r="H2472" s="34" t="s">
        <v>925</v>
      </c>
    </row>
    <row r="2473" spans="1:8" ht="33">
      <c r="A2473" s="1289" t="s">
        <v>2511</v>
      </c>
      <c r="B2473" s="1289" t="s">
        <v>3652</v>
      </c>
      <c r="C2473" s="1288" t="s">
        <v>1689</v>
      </c>
      <c r="D2473" s="1287">
        <v>1</v>
      </c>
      <c r="E2473" s="1287">
        <v>636.42999999999995</v>
      </c>
      <c r="F2473" s="1287"/>
      <c r="G2473" s="1286" t="s">
        <v>3653</v>
      </c>
      <c r="H2473" s="34" t="s">
        <v>925</v>
      </c>
    </row>
    <row r="2474" spans="1:8" ht="57">
      <c r="A2474" s="1289">
        <v>1</v>
      </c>
      <c r="B2474" s="1289" t="s">
        <v>4987</v>
      </c>
      <c r="C2474" s="1288" t="s">
        <v>1689</v>
      </c>
      <c r="D2474" s="1287">
        <v>1</v>
      </c>
      <c r="E2474" s="1287">
        <v>206.57</v>
      </c>
      <c r="F2474" s="1287">
        <v>206.57</v>
      </c>
      <c r="G2474" s="1286" t="s">
        <v>4988</v>
      </c>
      <c r="H2474" s="34" t="s">
        <v>925</v>
      </c>
    </row>
    <row r="2475" spans="1:8" ht="28.5">
      <c r="A2475" s="1289">
        <v>2</v>
      </c>
      <c r="B2475" s="1289" t="s">
        <v>4036</v>
      </c>
      <c r="C2475" s="1288" t="s">
        <v>14</v>
      </c>
      <c r="D2475" s="1287">
        <v>1</v>
      </c>
      <c r="E2475" s="1287">
        <v>138.1</v>
      </c>
      <c r="F2475" s="1287">
        <v>138.1</v>
      </c>
      <c r="G2475" s="1286" t="s">
        <v>4037</v>
      </c>
    </row>
    <row r="2476" spans="1:8" ht="33">
      <c r="A2476" s="1289">
        <v>3</v>
      </c>
      <c r="B2476" s="1289" t="s">
        <v>4989</v>
      </c>
      <c r="C2476" s="1288" t="s">
        <v>14</v>
      </c>
      <c r="D2476" s="1287">
        <v>1</v>
      </c>
      <c r="E2476" s="1287">
        <v>273.22000000000003</v>
      </c>
      <c r="F2476" s="1287">
        <v>273.22000000000003</v>
      </c>
      <c r="G2476" s="1286" t="s">
        <v>4045</v>
      </c>
      <c r="H2476" s="34" t="s">
        <v>925</v>
      </c>
    </row>
    <row r="2477" spans="1:8" ht="33">
      <c r="A2477" s="1289">
        <v>4</v>
      </c>
      <c r="B2477" s="1289" t="s">
        <v>931</v>
      </c>
      <c r="C2477" s="1288" t="s">
        <v>14</v>
      </c>
      <c r="D2477" s="1287">
        <v>1</v>
      </c>
      <c r="E2477" s="1287">
        <v>18.54</v>
      </c>
      <c r="F2477" s="1287">
        <v>18.54</v>
      </c>
      <c r="G2477" s="1286" t="s">
        <v>932</v>
      </c>
      <c r="H2477" s="34" t="s">
        <v>925</v>
      </c>
    </row>
    <row r="2478" spans="1:8" ht="33">
      <c r="A2478" s="1289"/>
      <c r="B2478" s="1289" t="s">
        <v>933</v>
      </c>
      <c r="C2478" s="1288" t="s">
        <v>1689</v>
      </c>
      <c r="D2478" s="1287">
        <v>1</v>
      </c>
      <c r="E2478" s="1287"/>
      <c r="F2478" s="1287">
        <v>636.42999999999995</v>
      </c>
      <c r="G2478" s="1286"/>
      <c r="H2478" s="34" t="s">
        <v>925</v>
      </c>
    </row>
    <row r="2479" spans="1:8" ht="33">
      <c r="A2479" s="1289"/>
      <c r="B2479" s="1289" t="s">
        <v>934</v>
      </c>
      <c r="C2479" s="1288" t="s">
        <v>1689</v>
      </c>
      <c r="D2479" s="1287"/>
      <c r="E2479" s="1287"/>
      <c r="F2479" s="1287">
        <v>636.42999999999995</v>
      </c>
      <c r="G2479" s="1286"/>
      <c r="H2479" s="34" t="s">
        <v>925</v>
      </c>
    </row>
    <row r="2480" spans="1:8" ht="33">
      <c r="A2480" s="1289"/>
      <c r="B2480" s="1289"/>
      <c r="C2480" s="1288"/>
      <c r="D2480" s="1287"/>
      <c r="E2480" s="1287"/>
      <c r="F2480" s="1287"/>
      <c r="G2480" s="1286"/>
      <c r="H2480" s="34" t="s">
        <v>925</v>
      </c>
    </row>
    <row r="2481" spans="1:8" ht="33">
      <c r="A2481" s="1289" t="s">
        <v>2514</v>
      </c>
      <c r="B2481" s="1289" t="s">
        <v>3649</v>
      </c>
      <c r="C2481" s="1288" t="s">
        <v>3</v>
      </c>
      <c r="D2481" s="1287">
        <v>1</v>
      </c>
      <c r="E2481" s="1287">
        <v>781.62</v>
      </c>
      <c r="F2481" s="1287"/>
      <c r="G2481" s="1286" t="s">
        <v>4033</v>
      </c>
      <c r="H2481" s="34" t="s">
        <v>925</v>
      </c>
    </row>
    <row r="2482" spans="1:8" ht="42.75">
      <c r="A2482" s="1289">
        <v>1</v>
      </c>
      <c r="B2482" s="1289" t="s">
        <v>4034</v>
      </c>
      <c r="C2482" s="1288" t="s">
        <v>3</v>
      </c>
      <c r="D2482" s="1287">
        <v>1.1000000000000001</v>
      </c>
      <c r="E2482" s="1287">
        <v>235.37</v>
      </c>
      <c r="F2482" s="1287">
        <v>258.91000000000003</v>
      </c>
      <c r="G2482" s="1286" t="s">
        <v>4035</v>
      </c>
      <c r="H2482" s="34" t="s">
        <v>925</v>
      </c>
    </row>
    <row r="2483" spans="1:8" ht="33">
      <c r="A2483" s="1289">
        <v>2</v>
      </c>
      <c r="B2483" s="1289" t="s">
        <v>4036</v>
      </c>
      <c r="C2483" s="1288" t="s">
        <v>14</v>
      </c>
      <c r="D2483" s="1287">
        <v>1</v>
      </c>
      <c r="E2483" s="1287">
        <v>138.1</v>
      </c>
      <c r="F2483" s="1287">
        <v>138.1</v>
      </c>
      <c r="G2483" s="1286" t="s">
        <v>4037</v>
      </c>
      <c r="H2483" s="34" t="s">
        <v>925</v>
      </c>
    </row>
    <row r="2484" spans="1:8" ht="42.75">
      <c r="A2484" s="1289">
        <v>3</v>
      </c>
      <c r="B2484" s="1289" t="s">
        <v>4964</v>
      </c>
      <c r="C2484" s="1288" t="s">
        <v>927</v>
      </c>
      <c r="D2484" s="1287">
        <v>0.2</v>
      </c>
      <c r="E2484" s="1287">
        <v>398.41</v>
      </c>
      <c r="F2484" s="1287">
        <v>79.680000000000007</v>
      </c>
      <c r="G2484" s="1286" t="s">
        <v>4965</v>
      </c>
      <c r="H2484" s="34" t="s">
        <v>925</v>
      </c>
    </row>
    <row r="2485" spans="1:8" ht="28.5">
      <c r="A2485" s="1289">
        <v>4</v>
      </c>
      <c r="B2485" s="1289" t="s">
        <v>1774</v>
      </c>
      <c r="C2485" s="1288" t="s">
        <v>927</v>
      </c>
      <c r="D2485" s="1287">
        <v>0.2</v>
      </c>
      <c r="E2485" s="1287">
        <v>1410.82</v>
      </c>
      <c r="F2485" s="1287">
        <v>282.16000000000003</v>
      </c>
      <c r="G2485" s="1286" t="s">
        <v>1775</v>
      </c>
    </row>
    <row r="2486" spans="1:8" ht="33">
      <c r="A2486" s="1289">
        <v>5</v>
      </c>
      <c r="B2486" s="1289" t="s">
        <v>931</v>
      </c>
      <c r="C2486" s="1288" t="s">
        <v>14</v>
      </c>
      <c r="D2486" s="1287">
        <v>1</v>
      </c>
      <c r="E2486" s="1287">
        <v>22.77</v>
      </c>
      <c r="F2486" s="1287">
        <v>22.77</v>
      </c>
      <c r="G2486" s="1286" t="s">
        <v>932</v>
      </c>
      <c r="H2486" s="34" t="s">
        <v>925</v>
      </c>
    </row>
    <row r="2487" spans="1:8" ht="33">
      <c r="A2487" s="1289"/>
      <c r="B2487" s="1289" t="s">
        <v>933</v>
      </c>
      <c r="C2487" s="1288" t="s">
        <v>3</v>
      </c>
      <c r="D2487" s="1287">
        <v>1</v>
      </c>
      <c r="E2487" s="1287"/>
      <c r="F2487" s="1287">
        <v>781.62</v>
      </c>
      <c r="G2487" s="1286"/>
      <c r="H2487" s="34" t="s">
        <v>925</v>
      </c>
    </row>
    <row r="2488" spans="1:8" ht="33">
      <c r="A2488" s="1289"/>
      <c r="B2488" s="1289" t="s">
        <v>934</v>
      </c>
      <c r="C2488" s="1288" t="s">
        <v>3</v>
      </c>
      <c r="D2488" s="1287"/>
      <c r="E2488" s="1287"/>
      <c r="F2488" s="1287">
        <v>781.62</v>
      </c>
      <c r="G2488" s="1286"/>
      <c r="H2488" s="34" t="s">
        <v>925</v>
      </c>
    </row>
    <row r="2489" spans="1:8" ht="33">
      <c r="A2489" s="1289"/>
      <c r="B2489" s="1289"/>
      <c r="C2489" s="1288"/>
      <c r="D2489" s="1287"/>
      <c r="E2489" s="1287"/>
      <c r="F2489" s="1287"/>
      <c r="G2489" s="1286"/>
      <c r="H2489" s="34" t="s">
        <v>925</v>
      </c>
    </row>
    <row r="2490" spans="1:8" ht="33">
      <c r="A2490" s="1289" t="s">
        <v>2517</v>
      </c>
      <c r="B2490" s="1289" t="s">
        <v>3650</v>
      </c>
      <c r="C2490" s="1288" t="s">
        <v>3</v>
      </c>
      <c r="D2490" s="1287">
        <v>1</v>
      </c>
      <c r="E2490" s="1287">
        <v>865.83</v>
      </c>
      <c r="F2490" s="1287"/>
      <c r="G2490" s="1286" t="s">
        <v>4038</v>
      </c>
      <c r="H2490" s="34" t="s">
        <v>925</v>
      </c>
    </row>
    <row r="2491" spans="1:8" ht="42.75">
      <c r="A2491" s="1289">
        <v>1</v>
      </c>
      <c r="B2491" s="1289" t="s">
        <v>4039</v>
      </c>
      <c r="C2491" s="1288" t="s">
        <v>3</v>
      </c>
      <c r="D2491" s="1287">
        <v>1.1000000000000001</v>
      </c>
      <c r="E2491" s="1287">
        <v>309.7</v>
      </c>
      <c r="F2491" s="1287">
        <v>340.67</v>
      </c>
      <c r="G2491" s="1286" t="s">
        <v>4040</v>
      </c>
      <c r="H2491" s="34" t="s">
        <v>925</v>
      </c>
    </row>
    <row r="2492" spans="1:8" ht="33">
      <c r="A2492" s="1289">
        <v>2</v>
      </c>
      <c r="B2492" s="1289" t="s">
        <v>4036</v>
      </c>
      <c r="C2492" s="1288" t="s">
        <v>14</v>
      </c>
      <c r="D2492" s="1287">
        <v>1</v>
      </c>
      <c r="E2492" s="1287">
        <v>138.1</v>
      </c>
      <c r="F2492" s="1287">
        <v>138.1</v>
      </c>
      <c r="G2492" s="1286" t="s">
        <v>4037</v>
      </c>
      <c r="H2492" s="34" t="s">
        <v>925</v>
      </c>
    </row>
    <row r="2493" spans="1:8" ht="42.75">
      <c r="A2493" s="1289">
        <v>3</v>
      </c>
      <c r="B2493" s="1289" t="s">
        <v>4964</v>
      </c>
      <c r="C2493" s="1288" t="s">
        <v>927</v>
      </c>
      <c r="D2493" s="1287">
        <v>0.2</v>
      </c>
      <c r="E2493" s="1287">
        <v>398.41</v>
      </c>
      <c r="F2493" s="1287">
        <v>79.680000000000007</v>
      </c>
      <c r="G2493" s="1286" t="s">
        <v>4965</v>
      </c>
      <c r="H2493" s="34" t="s">
        <v>925</v>
      </c>
    </row>
    <row r="2494" spans="1:8" ht="33">
      <c r="A2494" s="1289">
        <v>4</v>
      </c>
      <c r="B2494" s="1289" t="s">
        <v>1774</v>
      </c>
      <c r="C2494" s="1288" t="s">
        <v>927</v>
      </c>
      <c r="D2494" s="1287">
        <v>0.2</v>
      </c>
      <c r="E2494" s="1287">
        <v>1410.82</v>
      </c>
      <c r="F2494" s="1287">
        <v>282.16000000000003</v>
      </c>
      <c r="G2494" s="1286" t="s">
        <v>1775</v>
      </c>
      <c r="H2494" s="34" t="s">
        <v>925</v>
      </c>
    </row>
    <row r="2495" spans="1:8" ht="28.5">
      <c r="A2495" s="1289">
        <v>5</v>
      </c>
      <c r="B2495" s="1289" t="s">
        <v>931</v>
      </c>
      <c r="C2495" s="1288" t="s">
        <v>14</v>
      </c>
      <c r="D2495" s="1287">
        <v>1</v>
      </c>
      <c r="E2495" s="1287">
        <v>25.22</v>
      </c>
      <c r="F2495" s="1287">
        <v>25.22</v>
      </c>
      <c r="G2495" s="1286" t="s">
        <v>932</v>
      </c>
    </row>
    <row r="2496" spans="1:8" ht="33">
      <c r="A2496" s="1289"/>
      <c r="B2496" s="1289" t="s">
        <v>933</v>
      </c>
      <c r="C2496" s="1288" t="s">
        <v>3</v>
      </c>
      <c r="D2496" s="1287">
        <v>1</v>
      </c>
      <c r="E2496" s="1287"/>
      <c r="F2496" s="1287">
        <v>865.83000000000015</v>
      </c>
      <c r="G2496" s="1286"/>
      <c r="H2496" s="34" t="s">
        <v>925</v>
      </c>
    </row>
    <row r="2497" spans="1:8" ht="33">
      <c r="A2497" s="1289"/>
      <c r="B2497" s="1289" t="s">
        <v>934</v>
      </c>
      <c r="C2497" s="1288" t="s">
        <v>3</v>
      </c>
      <c r="D2497" s="1287"/>
      <c r="E2497" s="1287"/>
      <c r="F2497" s="1287">
        <v>865.83</v>
      </c>
      <c r="G2497" s="1286"/>
      <c r="H2497" s="34" t="s">
        <v>925</v>
      </c>
    </row>
    <row r="2498" spans="1:8" ht="33">
      <c r="A2498" s="1289"/>
      <c r="B2498" s="1289"/>
      <c r="C2498" s="1288"/>
      <c r="D2498" s="1287"/>
      <c r="E2498" s="1287"/>
      <c r="F2498" s="1287"/>
      <c r="G2498" s="1286"/>
      <c r="H2498" s="34" t="s">
        <v>925</v>
      </c>
    </row>
    <row r="2499" spans="1:8" ht="33">
      <c r="A2499" s="1289" t="s">
        <v>2526</v>
      </c>
      <c r="B2499" s="1289" t="s">
        <v>3651</v>
      </c>
      <c r="C2499" s="1288" t="s">
        <v>3</v>
      </c>
      <c r="D2499" s="1287">
        <v>1</v>
      </c>
      <c r="E2499" s="1287">
        <v>964.07</v>
      </c>
      <c r="F2499" s="1287"/>
      <c r="G2499" s="1286" t="s">
        <v>4041</v>
      </c>
      <c r="H2499" s="34" t="s">
        <v>925</v>
      </c>
    </row>
    <row r="2500" spans="1:8" ht="42.75">
      <c r="A2500" s="1289">
        <v>1</v>
      </c>
      <c r="B2500" s="1289" t="s">
        <v>4042</v>
      </c>
      <c r="C2500" s="1288" t="s">
        <v>3</v>
      </c>
      <c r="D2500" s="1287">
        <v>1.1000000000000001</v>
      </c>
      <c r="E2500" s="1287">
        <v>396.41</v>
      </c>
      <c r="F2500" s="1287">
        <v>436.05</v>
      </c>
      <c r="G2500" s="1286" t="s">
        <v>4043</v>
      </c>
      <c r="H2500" s="34" t="s">
        <v>925</v>
      </c>
    </row>
    <row r="2501" spans="1:8" ht="33">
      <c r="A2501" s="1289">
        <v>2</v>
      </c>
      <c r="B2501" s="1289" t="s">
        <v>4036</v>
      </c>
      <c r="C2501" s="1288" t="s">
        <v>14</v>
      </c>
      <c r="D2501" s="1287">
        <v>1</v>
      </c>
      <c r="E2501" s="1287">
        <v>138.1</v>
      </c>
      <c r="F2501" s="1287">
        <v>138.1</v>
      </c>
      <c r="G2501" s="1286" t="s">
        <v>4037</v>
      </c>
      <c r="H2501" s="34" t="s">
        <v>925</v>
      </c>
    </row>
    <row r="2502" spans="1:8" ht="42.75">
      <c r="A2502" s="1289">
        <v>3</v>
      </c>
      <c r="B2502" s="1289" t="s">
        <v>4964</v>
      </c>
      <c r="C2502" s="1288" t="s">
        <v>927</v>
      </c>
      <c r="D2502" s="1287">
        <v>0.2</v>
      </c>
      <c r="E2502" s="1287">
        <v>398.41</v>
      </c>
      <c r="F2502" s="1287">
        <v>79.680000000000007</v>
      </c>
      <c r="G2502" s="1286" t="s">
        <v>4965</v>
      </c>
      <c r="H2502" s="34" t="s">
        <v>925</v>
      </c>
    </row>
    <row r="2503" spans="1:8" ht="33">
      <c r="A2503" s="1289">
        <v>4</v>
      </c>
      <c r="B2503" s="1289" t="s">
        <v>1774</v>
      </c>
      <c r="C2503" s="1288" t="s">
        <v>927</v>
      </c>
      <c r="D2503" s="1287">
        <v>0.2</v>
      </c>
      <c r="E2503" s="1287">
        <v>1410.82</v>
      </c>
      <c r="F2503" s="1287">
        <v>282.16000000000003</v>
      </c>
      <c r="G2503" s="1286" t="s">
        <v>1775</v>
      </c>
      <c r="H2503" s="34" t="s">
        <v>925</v>
      </c>
    </row>
    <row r="2504" spans="1:8" ht="33">
      <c r="A2504" s="1289">
        <v>5</v>
      </c>
      <c r="B2504" s="1289" t="s">
        <v>931</v>
      </c>
      <c r="C2504" s="1288" t="s">
        <v>14</v>
      </c>
      <c r="D2504" s="1287">
        <v>1</v>
      </c>
      <c r="E2504" s="1287">
        <v>28.08</v>
      </c>
      <c r="F2504" s="1287">
        <v>28.08</v>
      </c>
      <c r="G2504" s="1286" t="s">
        <v>932</v>
      </c>
      <c r="H2504" s="34" t="s">
        <v>925</v>
      </c>
    </row>
    <row r="2505" spans="1:8" ht="16.5">
      <c r="A2505" s="1289"/>
      <c r="B2505" s="1289" t="s">
        <v>933</v>
      </c>
      <c r="C2505" s="1288" t="s">
        <v>3</v>
      </c>
      <c r="D2505" s="1287">
        <v>1</v>
      </c>
      <c r="E2505" s="1287"/>
      <c r="F2505" s="1287">
        <v>964.07</v>
      </c>
      <c r="G2505" s="1286"/>
    </row>
    <row r="2506" spans="1:8" ht="33">
      <c r="A2506" s="1289"/>
      <c r="B2506" s="1289" t="s">
        <v>934</v>
      </c>
      <c r="C2506" s="1288" t="s">
        <v>3</v>
      </c>
      <c r="D2506" s="1287"/>
      <c r="E2506" s="1287"/>
      <c r="F2506" s="1287">
        <v>964.07</v>
      </c>
      <c r="G2506" s="1286"/>
      <c r="H2506" s="34" t="s">
        <v>925</v>
      </c>
    </row>
    <row r="2507" spans="1:8" ht="33">
      <c r="A2507" s="1289"/>
      <c r="B2507" s="1289"/>
      <c r="C2507" s="1288"/>
      <c r="D2507" s="1287"/>
      <c r="E2507" s="1287"/>
      <c r="F2507" s="1287"/>
      <c r="G2507" s="1286"/>
      <c r="H2507" s="34" t="s">
        <v>925</v>
      </c>
    </row>
    <row r="2508" spans="1:8" ht="33">
      <c r="A2508" s="1289" t="s">
        <v>2529</v>
      </c>
      <c r="B2508" s="1289" t="s">
        <v>2299</v>
      </c>
      <c r="C2508" s="1288" t="s">
        <v>1689</v>
      </c>
      <c r="D2508" s="1287">
        <v>1</v>
      </c>
      <c r="E2508" s="1287">
        <v>73169.119999999995</v>
      </c>
      <c r="F2508" s="1287"/>
      <c r="G2508" s="1286" t="s">
        <v>2300</v>
      </c>
      <c r="H2508" s="34" t="s">
        <v>925</v>
      </c>
    </row>
    <row r="2509" spans="1:8" ht="33">
      <c r="A2509" s="1289">
        <v>1</v>
      </c>
      <c r="B2509" s="1289" t="s">
        <v>2301</v>
      </c>
      <c r="C2509" s="1288" t="s">
        <v>1689</v>
      </c>
      <c r="D2509" s="1287">
        <v>1</v>
      </c>
      <c r="E2509" s="1287">
        <v>67063.83</v>
      </c>
      <c r="F2509" s="1287">
        <v>67063.83</v>
      </c>
      <c r="G2509" s="1286" t="s">
        <v>2302</v>
      </c>
      <c r="H2509" s="34" t="s">
        <v>925</v>
      </c>
    </row>
    <row r="2510" spans="1:8" ht="33">
      <c r="A2510" s="1289">
        <v>2</v>
      </c>
      <c r="B2510" s="1289" t="s">
        <v>2303</v>
      </c>
      <c r="C2510" s="1288" t="s">
        <v>14</v>
      </c>
      <c r="D2510" s="1287">
        <v>1</v>
      </c>
      <c r="E2510" s="1287">
        <v>3974.15</v>
      </c>
      <c r="F2510" s="1287">
        <v>3974.15</v>
      </c>
      <c r="G2510" s="1286" t="s">
        <v>2304</v>
      </c>
      <c r="H2510" s="34" t="s">
        <v>925</v>
      </c>
    </row>
    <row r="2511" spans="1:8" ht="33">
      <c r="A2511" s="1289">
        <v>3</v>
      </c>
      <c r="B2511" s="1289" t="s">
        <v>931</v>
      </c>
      <c r="C2511" s="1288" t="s">
        <v>14</v>
      </c>
      <c r="D2511" s="1287">
        <v>1</v>
      </c>
      <c r="E2511" s="1287">
        <v>2131.14</v>
      </c>
      <c r="F2511" s="1287">
        <v>2131.14</v>
      </c>
      <c r="G2511" s="1286" t="s">
        <v>932</v>
      </c>
      <c r="H2511" s="34" t="s">
        <v>925</v>
      </c>
    </row>
    <row r="2512" spans="1:8" ht="33">
      <c r="A2512" s="1289"/>
      <c r="B2512" s="1289" t="s">
        <v>933</v>
      </c>
      <c r="C2512" s="1288" t="s">
        <v>1689</v>
      </c>
      <c r="D2512" s="1287">
        <v>1</v>
      </c>
      <c r="E2512" s="1287"/>
      <c r="F2512" s="1287">
        <v>73169.119999999995</v>
      </c>
      <c r="G2512" s="1286"/>
      <c r="H2512" s="34" t="s">
        <v>925</v>
      </c>
    </row>
    <row r="2513" spans="1:8" ht="33">
      <c r="A2513" s="1289"/>
      <c r="B2513" s="1289" t="s">
        <v>934</v>
      </c>
      <c r="C2513" s="1288" t="s">
        <v>1689</v>
      </c>
      <c r="D2513" s="1287"/>
      <c r="E2513" s="1287"/>
      <c r="F2513" s="1287">
        <v>73169.119999999995</v>
      </c>
      <c r="G2513" s="1286"/>
      <c r="H2513" s="34" t="s">
        <v>925</v>
      </c>
    </row>
    <row r="2514" spans="1:8" ht="33">
      <c r="A2514" s="1289"/>
      <c r="B2514" s="1289"/>
      <c r="C2514" s="1288"/>
      <c r="D2514" s="1287"/>
      <c r="E2514" s="1287"/>
      <c r="F2514" s="1287"/>
      <c r="G2514" s="1286"/>
      <c r="H2514" s="34" t="s">
        <v>925</v>
      </c>
    </row>
    <row r="2515" spans="1:8" ht="28.5">
      <c r="A2515" s="1289" t="s">
        <v>2536</v>
      </c>
      <c r="B2515" s="1289" t="s">
        <v>2306</v>
      </c>
      <c r="C2515" s="1288" t="s">
        <v>1497</v>
      </c>
      <c r="D2515" s="1287">
        <v>1</v>
      </c>
      <c r="E2515" s="1287">
        <v>527.02</v>
      </c>
      <c r="F2515" s="1287"/>
      <c r="G2515" s="1286" t="s">
        <v>2307</v>
      </c>
    </row>
    <row r="2516" spans="1:8" ht="33">
      <c r="A2516" s="1289">
        <v>1</v>
      </c>
      <c r="B2516" s="1289" t="s">
        <v>2308</v>
      </c>
      <c r="C2516" s="1288" t="s">
        <v>1497</v>
      </c>
      <c r="D2516" s="1287">
        <v>1</v>
      </c>
      <c r="E2516" s="1287">
        <v>491.8</v>
      </c>
      <c r="F2516" s="1287">
        <v>491.8</v>
      </c>
      <c r="G2516" s="1286" t="s">
        <v>2309</v>
      </c>
      <c r="H2516" s="34" t="s">
        <v>925</v>
      </c>
    </row>
    <row r="2517" spans="1:8" ht="33">
      <c r="A2517" s="1289">
        <v>2</v>
      </c>
      <c r="B2517" s="1289" t="s">
        <v>2310</v>
      </c>
      <c r="C2517" s="1288" t="s">
        <v>14</v>
      </c>
      <c r="D2517" s="1287">
        <v>1</v>
      </c>
      <c r="E2517" s="1287">
        <v>19.87</v>
      </c>
      <c r="F2517" s="1287">
        <v>19.87</v>
      </c>
      <c r="G2517" s="1286" t="s">
        <v>2311</v>
      </c>
      <c r="H2517" s="34" t="s">
        <v>925</v>
      </c>
    </row>
    <row r="2518" spans="1:8" ht="33">
      <c r="A2518" s="1289">
        <v>3</v>
      </c>
      <c r="B2518" s="1289" t="s">
        <v>931</v>
      </c>
      <c r="C2518" s="1288" t="s">
        <v>14</v>
      </c>
      <c r="D2518" s="1287">
        <v>1</v>
      </c>
      <c r="E2518" s="1287">
        <v>15.35</v>
      </c>
      <c r="F2518" s="1287">
        <v>15.35</v>
      </c>
      <c r="G2518" s="1286" t="s">
        <v>932</v>
      </c>
      <c r="H2518" s="34" t="s">
        <v>925</v>
      </c>
    </row>
    <row r="2519" spans="1:8" ht="33">
      <c r="A2519" s="1289"/>
      <c r="B2519" s="1289" t="s">
        <v>933</v>
      </c>
      <c r="C2519" s="1288" t="s">
        <v>1497</v>
      </c>
      <c r="D2519" s="1287">
        <v>1</v>
      </c>
      <c r="E2519" s="1287"/>
      <c r="F2519" s="1287">
        <v>527.02</v>
      </c>
      <c r="G2519" s="1286"/>
      <c r="H2519" s="34" t="s">
        <v>925</v>
      </c>
    </row>
    <row r="2520" spans="1:8" ht="33">
      <c r="A2520" s="1289"/>
      <c r="B2520" s="1289" t="s">
        <v>934</v>
      </c>
      <c r="C2520" s="1288" t="s">
        <v>1497</v>
      </c>
      <c r="D2520" s="1287"/>
      <c r="E2520" s="1287"/>
      <c r="F2520" s="1287">
        <v>527.02</v>
      </c>
      <c r="G2520" s="1286"/>
      <c r="H2520" s="34" t="s">
        <v>925</v>
      </c>
    </row>
    <row r="2521" spans="1:8" ht="33">
      <c r="A2521" s="1289"/>
      <c r="B2521" s="1289"/>
      <c r="C2521" s="1288"/>
      <c r="D2521" s="1287"/>
      <c r="E2521" s="1287"/>
      <c r="F2521" s="1287"/>
      <c r="G2521" s="1286"/>
      <c r="H2521" s="34" t="s">
        <v>925</v>
      </c>
    </row>
    <row r="2522" spans="1:8" ht="28.5">
      <c r="A2522" s="1289" t="s">
        <v>2539</v>
      </c>
      <c r="B2522" s="1289" t="s">
        <v>2313</v>
      </c>
      <c r="C2522" s="1288" t="s">
        <v>1497</v>
      </c>
      <c r="D2522" s="1287">
        <v>1</v>
      </c>
      <c r="E2522" s="1287">
        <v>699.97</v>
      </c>
      <c r="F2522" s="1287"/>
      <c r="G2522" s="1286" t="s">
        <v>2314</v>
      </c>
    </row>
    <row r="2523" spans="1:8" ht="33">
      <c r="A2523" s="1289">
        <v>1</v>
      </c>
      <c r="B2523" s="1289" t="s">
        <v>2119</v>
      </c>
      <c r="C2523" s="1288" t="s">
        <v>1497</v>
      </c>
      <c r="D2523" s="1287">
        <v>1</v>
      </c>
      <c r="E2523" s="1287">
        <v>461</v>
      </c>
      <c r="F2523" s="1287">
        <v>461</v>
      </c>
      <c r="G2523" s="1286" t="s">
        <v>2120</v>
      </c>
      <c r="H2523" s="34" t="s">
        <v>925</v>
      </c>
    </row>
    <row r="2524" spans="1:8" ht="33">
      <c r="A2524" s="1289">
        <v>2</v>
      </c>
      <c r="B2524" s="1289" t="s">
        <v>2315</v>
      </c>
      <c r="C2524" s="1288" t="s">
        <v>14</v>
      </c>
      <c r="D2524" s="1287">
        <v>1</v>
      </c>
      <c r="E2524" s="1287">
        <v>218.58</v>
      </c>
      <c r="F2524" s="1287">
        <v>218.58</v>
      </c>
      <c r="G2524" s="1286" t="s">
        <v>2316</v>
      </c>
      <c r="H2524" s="34" t="s">
        <v>925</v>
      </c>
    </row>
    <row r="2525" spans="1:8" ht="33">
      <c r="A2525" s="1289">
        <v>3</v>
      </c>
      <c r="B2525" s="1289" t="s">
        <v>931</v>
      </c>
      <c r="C2525" s="1288" t="s">
        <v>14</v>
      </c>
      <c r="D2525" s="1287">
        <v>1</v>
      </c>
      <c r="E2525" s="1287">
        <v>20.39</v>
      </c>
      <c r="F2525" s="1287">
        <v>20.39</v>
      </c>
      <c r="G2525" s="1286" t="s">
        <v>932</v>
      </c>
      <c r="H2525" s="34" t="s">
        <v>925</v>
      </c>
    </row>
    <row r="2526" spans="1:8" ht="33">
      <c r="A2526" s="1289"/>
      <c r="B2526" s="1289" t="s">
        <v>933</v>
      </c>
      <c r="C2526" s="1288" t="s">
        <v>1497</v>
      </c>
      <c r="D2526" s="1287">
        <v>1</v>
      </c>
      <c r="E2526" s="1287"/>
      <c r="F2526" s="1287">
        <v>699.97</v>
      </c>
      <c r="G2526" s="1286"/>
      <c r="H2526" s="34" t="s">
        <v>925</v>
      </c>
    </row>
    <row r="2527" spans="1:8" ht="33">
      <c r="A2527" s="1289"/>
      <c r="B2527" s="1289" t="s">
        <v>934</v>
      </c>
      <c r="C2527" s="1288" t="s">
        <v>1497</v>
      </c>
      <c r="D2527" s="1287"/>
      <c r="E2527" s="1287"/>
      <c r="F2527" s="1287">
        <v>699.97</v>
      </c>
      <c r="G2527" s="1286"/>
      <c r="H2527" s="34" t="s">
        <v>925</v>
      </c>
    </row>
    <row r="2528" spans="1:8" ht="33">
      <c r="A2528" s="1289"/>
      <c r="B2528" s="1289"/>
      <c r="C2528" s="1288"/>
      <c r="D2528" s="1287"/>
      <c r="E2528" s="1287"/>
      <c r="F2528" s="1287"/>
      <c r="G2528" s="1286"/>
      <c r="H2528" s="34" t="s">
        <v>925</v>
      </c>
    </row>
    <row r="2529" spans="1:8" ht="42.75">
      <c r="A2529" s="1289" t="s">
        <v>2543</v>
      </c>
      <c r="B2529" s="1289" t="s">
        <v>2318</v>
      </c>
      <c r="C2529" s="1288" t="s">
        <v>1497</v>
      </c>
      <c r="D2529" s="1287">
        <v>1</v>
      </c>
      <c r="E2529" s="1287">
        <v>710.21</v>
      </c>
      <c r="F2529" s="1287"/>
      <c r="G2529" s="1286" t="s">
        <v>2319</v>
      </c>
    </row>
    <row r="2530" spans="1:8" ht="33">
      <c r="A2530" s="1289">
        <v>1</v>
      </c>
      <c r="B2530" s="1289" t="s">
        <v>2320</v>
      </c>
      <c r="C2530" s="1288" t="s">
        <v>14</v>
      </c>
      <c r="D2530" s="1287">
        <v>1</v>
      </c>
      <c r="E2530" s="1287">
        <v>29.81</v>
      </c>
      <c r="F2530" s="1287">
        <v>29.81</v>
      </c>
      <c r="G2530" s="1286" t="s">
        <v>2321</v>
      </c>
      <c r="H2530" s="34" t="s">
        <v>925</v>
      </c>
    </row>
    <row r="2531" spans="1:8" ht="33">
      <c r="A2531" s="1289">
        <v>2</v>
      </c>
      <c r="B2531" s="1289" t="s">
        <v>2119</v>
      </c>
      <c r="C2531" s="1288" t="s">
        <v>1497</v>
      </c>
      <c r="D2531" s="1287">
        <v>1</v>
      </c>
      <c r="E2531" s="1287">
        <v>461</v>
      </c>
      <c r="F2531" s="1287">
        <v>461</v>
      </c>
      <c r="G2531" s="1286" t="s">
        <v>2120</v>
      </c>
      <c r="H2531" s="34" t="s">
        <v>925</v>
      </c>
    </row>
    <row r="2532" spans="1:8" ht="33">
      <c r="A2532" s="1289">
        <v>3</v>
      </c>
      <c r="B2532" s="1289" t="s">
        <v>2322</v>
      </c>
      <c r="C2532" s="1288" t="s">
        <v>14</v>
      </c>
      <c r="D2532" s="1287">
        <v>1</v>
      </c>
      <c r="E2532" s="1287">
        <v>149.03</v>
      </c>
      <c r="F2532" s="1287">
        <v>149.03</v>
      </c>
      <c r="G2532" s="1286" t="s">
        <v>2323</v>
      </c>
      <c r="H2532" s="34" t="s">
        <v>925</v>
      </c>
    </row>
    <row r="2533" spans="1:8" ht="33">
      <c r="A2533" s="1289">
        <v>4</v>
      </c>
      <c r="B2533" s="1289" t="s">
        <v>2324</v>
      </c>
      <c r="C2533" s="1288" t="s">
        <v>14</v>
      </c>
      <c r="D2533" s="1287">
        <v>1</v>
      </c>
      <c r="E2533" s="1287">
        <v>49.68</v>
      </c>
      <c r="F2533" s="1287">
        <v>49.68</v>
      </c>
      <c r="G2533" s="1286" t="s">
        <v>2325</v>
      </c>
      <c r="H2533" s="34" t="s">
        <v>925</v>
      </c>
    </row>
    <row r="2534" spans="1:8" ht="33">
      <c r="A2534" s="1289">
        <v>5</v>
      </c>
      <c r="B2534" s="1289" t="s">
        <v>931</v>
      </c>
      <c r="C2534" s="1288" t="s">
        <v>14</v>
      </c>
      <c r="D2534" s="1287">
        <v>1</v>
      </c>
      <c r="E2534" s="1287">
        <v>20.69</v>
      </c>
      <c r="F2534" s="1287">
        <v>20.69</v>
      </c>
      <c r="G2534" s="1286" t="s">
        <v>932</v>
      </c>
      <c r="H2534" s="34" t="s">
        <v>925</v>
      </c>
    </row>
    <row r="2535" spans="1:8" ht="33">
      <c r="A2535" s="1289"/>
      <c r="B2535" s="1289" t="s">
        <v>933</v>
      </c>
      <c r="C2535" s="1288" t="s">
        <v>1497</v>
      </c>
      <c r="D2535" s="1287">
        <v>1</v>
      </c>
      <c r="E2535" s="1287"/>
      <c r="F2535" s="1287">
        <v>710.21</v>
      </c>
      <c r="G2535" s="1286"/>
      <c r="H2535" s="34" t="s">
        <v>925</v>
      </c>
    </row>
    <row r="2536" spans="1:8" ht="16.5">
      <c r="A2536" s="1289"/>
      <c r="B2536" s="1289" t="s">
        <v>934</v>
      </c>
      <c r="C2536" s="1288" t="s">
        <v>1497</v>
      </c>
      <c r="D2536" s="1287"/>
      <c r="E2536" s="1287"/>
      <c r="F2536" s="1287">
        <v>710.21</v>
      </c>
      <c r="G2536" s="1286"/>
    </row>
    <row r="2537" spans="1:8" ht="33">
      <c r="A2537" s="1289"/>
      <c r="B2537" s="1289"/>
      <c r="C2537" s="1288"/>
      <c r="D2537" s="1287"/>
      <c r="E2537" s="1287"/>
      <c r="F2537" s="1287"/>
      <c r="G2537" s="1286"/>
      <c r="H2537" s="34" t="s">
        <v>925</v>
      </c>
    </row>
    <row r="2538" spans="1:8" ht="42.75">
      <c r="A2538" s="1289" t="s">
        <v>2546</v>
      </c>
      <c r="B2538" s="1289" t="s">
        <v>2327</v>
      </c>
      <c r="C2538" s="1288" t="s">
        <v>1497</v>
      </c>
      <c r="D2538" s="1287">
        <v>3.3</v>
      </c>
      <c r="E2538" s="1287">
        <v>488.11</v>
      </c>
      <c r="F2538" s="1287"/>
      <c r="G2538" s="1286" t="s">
        <v>2328</v>
      </c>
      <c r="H2538" s="34" t="s">
        <v>925</v>
      </c>
    </row>
    <row r="2539" spans="1:8" ht="33">
      <c r="A2539" s="1289">
        <v>1</v>
      </c>
      <c r="B2539" s="1289" t="s">
        <v>2320</v>
      </c>
      <c r="C2539" s="1288" t="s">
        <v>14</v>
      </c>
      <c r="D2539" s="1287">
        <v>1</v>
      </c>
      <c r="E2539" s="1287">
        <v>29.81</v>
      </c>
      <c r="F2539" s="1287">
        <v>29.81</v>
      </c>
      <c r="G2539" s="1286" t="s">
        <v>2321</v>
      </c>
      <c r="H2539" s="34" t="s">
        <v>925</v>
      </c>
    </row>
    <row r="2540" spans="1:8" ht="33">
      <c r="A2540" s="1289">
        <v>2</v>
      </c>
      <c r="B2540" s="1289" t="s">
        <v>2329</v>
      </c>
      <c r="C2540" s="1288" t="s">
        <v>14</v>
      </c>
      <c r="D2540" s="1287">
        <v>1</v>
      </c>
      <c r="E2540" s="1287">
        <v>486.83</v>
      </c>
      <c r="F2540" s="1287">
        <v>486.83</v>
      </c>
      <c r="G2540" s="1286" t="s">
        <v>2330</v>
      </c>
      <c r="H2540" s="34" t="s">
        <v>925</v>
      </c>
    </row>
    <row r="2541" spans="1:8" ht="33">
      <c r="A2541" s="1289">
        <v>3</v>
      </c>
      <c r="B2541" s="1289" t="s">
        <v>2331</v>
      </c>
      <c r="C2541" s="1288" t="s">
        <v>14</v>
      </c>
      <c r="D2541" s="1287">
        <v>1</v>
      </c>
      <c r="E2541" s="1287">
        <v>457.03</v>
      </c>
      <c r="F2541" s="1287">
        <v>457.03</v>
      </c>
      <c r="G2541" s="1286" t="s">
        <v>2332</v>
      </c>
      <c r="H2541" s="34" t="s">
        <v>925</v>
      </c>
    </row>
    <row r="2542" spans="1:8" ht="33">
      <c r="A2542" s="1289">
        <v>4</v>
      </c>
      <c r="B2542" s="1289" t="s">
        <v>2333</v>
      </c>
      <c r="C2542" s="1288" t="s">
        <v>1497</v>
      </c>
      <c r="D2542" s="1287">
        <v>4.4000000000000004</v>
      </c>
      <c r="E2542" s="1287">
        <v>69.55</v>
      </c>
      <c r="F2542" s="1287">
        <v>306.02</v>
      </c>
      <c r="G2542" s="1286" t="s">
        <v>2334</v>
      </c>
      <c r="H2542" s="34" t="s">
        <v>925</v>
      </c>
    </row>
    <row r="2543" spans="1:8" ht="28.5">
      <c r="A2543" s="1289">
        <v>5</v>
      </c>
      <c r="B2543" s="1289" t="s">
        <v>2322</v>
      </c>
      <c r="C2543" s="1288" t="s">
        <v>2335</v>
      </c>
      <c r="D2543" s="1287">
        <v>4.4000000000000004</v>
      </c>
      <c r="E2543" s="1287">
        <v>64.58</v>
      </c>
      <c r="F2543" s="1287">
        <v>284.14999999999998</v>
      </c>
      <c r="G2543" s="1286" t="s">
        <v>2336</v>
      </c>
    </row>
    <row r="2544" spans="1:8" ht="33">
      <c r="A2544" s="1289">
        <v>6</v>
      </c>
      <c r="B2544" s="1289" t="s">
        <v>931</v>
      </c>
      <c r="C2544" s="1288" t="s">
        <v>14</v>
      </c>
      <c r="D2544" s="1287">
        <v>1</v>
      </c>
      <c r="E2544" s="1287">
        <v>46.92</v>
      </c>
      <c r="F2544" s="1287">
        <v>46.92</v>
      </c>
      <c r="G2544" s="1286" t="s">
        <v>932</v>
      </c>
      <c r="H2544" s="34" t="s">
        <v>925</v>
      </c>
    </row>
    <row r="2545" spans="1:8" ht="33">
      <c r="A2545" s="1289"/>
      <c r="B2545" s="1289" t="s">
        <v>933</v>
      </c>
      <c r="C2545" s="1288" t="s">
        <v>1497</v>
      </c>
      <c r="D2545" s="1287">
        <v>3.3</v>
      </c>
      <c r="E2545" s="1287"/>
      <c r="F2545" s="1287">
        <v>1610.7600000000002</v>
      </c>
      <c r="G2545" s="1286"/>
      <c r="H2545" s="34" t="s">
        <v>925</v>
      </c>
    </row>
    <row r="2546" spans="1:8" ht="33">
      <c r="A2546" s="1289"/>
      <c r="B2546" s="1289" t="s">
        <v>934</v>
      </c>
      <c r="C2546" s="1288" t="s">
        <v>1497</v>
      </c>
      <c r="D2546" s="1287"/>
      <c r="E2546" s="1287"/>
      <c r="F2546" s="1287">
        <v>488.11</v>
      </c>
      <c r="G2546" s="1286"/>
      <c r="H2546" s="34" t="s">
        <v>925</v>
      </c>
    </row>
    <row r="2547" spans="1:8" ht="33">
      <c r="A2547" s="1289"/>
      <c r="B2547" s="1289"/>
      <c r="C2547" s="1288"/>
      <c r="D2547" s="1287"/>
      <c r="E2547" s="1287"/>
      <c r="F2547" s="1287"/>
      <c r="G2547" s="1286"/>
      <c r="H2547" s="34" t="s">
        <v>925</v>
      </c>
    </row>
    <row r="2548" spans="1:8" ht="42.75">
      <c r="A2548" s="1289" t="s">
        <v>2549</v>
      </c>
      <c r="B2548" s="1289" t="s">
        <v>2338</v>
      </c>
      <c r="C2548" s="1288" t="s">
        <v>2238</v>
      </c>
      <c r="D2548" s="1287">
        <v>1</v>
      </c>
      <c r="E2548" s="1287">
        <v>1299.6500000000001</v>
      </c>
      <c r="F2548" s="1287"/>
      <c r="G2548" s="1286" t="s">
        <v>2339</v>
      </c>
      <c r="H2548" s="34" t="s">
        <v>925</v>
      </c>
    </row>
    <row r="2549" spans="1:8" ht="33">
      <c r="A2549" s="1289">
        <v>1</v>
      </c>
      <c r="B2549" s="1289" t="s">
        <v>2320</v>
      </c>
      <c r="C2549" s="1288" t="s">
        <v>14</v>
      </c>
      <c r="D2549" s="1287">
        <v>1</v>
      </c>
      <c r="E2549" s="1287">
        <v>29.81</v>
      </c>
      <c r="F2549" s="1287">
        <v>29.81</v>
      </c>
      <c r="G2549" s="1286" t="s">
        <v>2321</v>
      </c>
      <c r="H2549" s="34" t="s">
        <v>925</v>
      </c>
    </row>
    <row r="2550" spans="1:8" ht="28.5">
      <c r="A2550" s="1289">
        <v>2</v>
      </c>
      <c r="B2550" s="1289" t="s">
        <v>2329</v>
      </c>
      <c r="C2550" s="1288" t="s">
        <v>14</v>
      </c>
      <c r="D2550" s="1287">
        <v>1</v>
      </c>
      <c r="E2550" s="1287">
        <v>486.83</v>
      </c>
      <c r="F2550" s="1287">
        <v>486.83</v>
      </c>
      <c r="G2550" s="1286" t="s">
        <v>2330</v>
      </c>
    </row>
    <row r="2551" spans="1:8" ht="33">
      <c r="A2551" s="1289">
        <v>3</v>
      </c>
      <c r="B2551" s="1289" t="s">
        <v>2331</v>
      </c>
      <c r="C2551" s="1288" t="s">
        <v>14</v>
      </c>
      <c r="D2551" s="1287">
        <v>1</v>
      </c>
      <c r="E2551" s="1287">
        <v>457.03</v>
      </c>
      <c r="F2551" s="1287">
        <v>457.03</v>
      </c>
      <c r="G2551" s="1286" t="s">
        <v>2332</v>
      </c>
      <c r="H2551" s="34" t="s">
        <v>925</v>
      </c>
    </row>
    <row r="2552" spans="1:8" ht="33">
      <c r="A2552" s="1289">
        <v>4</v>
      </c>
      <c r="B2552" s="1289" t="s">
        <v>2333</v>
      </c>
      <c r="C2552" s="1288" t="s">
        <v>1497</v>
      </c>
      <c r="D2552" s="1287">
        <v>2</v>
      </c>
      <c r="E2552" s="1287">
        <v>69.55</v>
      </c>
      <c r="F2552" s="1287">
        <v>139.1</v>
      </c>
      <c r="G2552" s="1286" t="s">
        <v>2334</v>
      </c>
      <c r="H2552" s="34" t="s">
        <v>925</v>
      </c>
    </row>
    <row r="2553" spans="1:8" ht="33">
      <c r="A2553" s="1289">
        <v>5</v>
      </c>
      <c r="B2553" s="1289" t="s">
        <v>2322</v>
      </c>
      <c r="C2553" s="1288" t="s">
        <v>14</v>
      </c>
      <c r="D2553" s="1287">
        <v>1</v>
      </c>
      <c r="E2553" s="1287">
        <v>149.03</v>
      </c>
      <c r="F2553" s="1287">
        <v>149.03</v>
      </c>
      <c r="G2553" s="1286" t="s">
        <v>2323</v>
      </c>
      <c r="H2553" s="34" t="s">
        <v>925</v>
      </c>
    </row>
    <row r="2554" spans="1:8" ht="33">
      <c r="A2554" s="1289">
        <v>6</v>
      </c>
      <c r="B2554" s="1289" t="s">
        <v>931</v>
      </c>
      <c r="C2554" s="1288" t="s">
        <v>14</v>
      </c>
      <c r="D2554" s="1287">
        <v>1</v>
      </c>
      <c r="E2554" s="1287">
        <v>37.85</v>
      </c>
      <c r="F2554" s="1287">
        <v>37.85</v>
      </c>
      <c r="G2554" s="1286" t="s">
        <v>932</v>
      </c>
      <c r="H2554" s="34" t="s">
        <v>925</v>
      </c>
    </row>
    <row r="2555" spans="1:8" ht="33">
      <c r="A2555" s="1289"/>
      <c r="B2555" s="1289" t="s">
        <v>933</v>
      </c>
      <c r="C2555" s="1288" t="s">
        <v>2238</v>
      </c>
      <c r="D2555" s="1287">
        <v>1</v>
      </c>
      <c r="E2555" s="1287"/>
      <c r="F2555" s="1287">
        <v>1299.6499999999999</v>
      </c>
      <c r="G2555" s="1286"/>
      <c r="H2555" s="34" t="s">
        <v>925</v>
      </c>
    </row>
    <row r="2556" spans="1:8" ht="33">
      <c r="A2556" s="1289"/>
      <c r="B2556" s="1289" t="s">
        <v>934</v>
      </c>
      <c r="C2556" s="1288" t="s">
        <v>2238</v>
      </c>
      <c r="D2556" s="1287"/>
      <c r="E2556" s="1287"/>
      <c r="F2556" s="1287">
        <v>1299.6500000000001</v>
      </c>
      <c r="G2556" s="1286"/>
      <c r="H2556" s="34" t="s">
        <v>925</v>
      </c>
    </row>
    <row r="2557" spans="1:8" ht="33">
      <c r="A2557" s="1289"/>
      <c r="B2557" s="1289"/>
      <c r="C2557" s="1288"/>
      <c r="D2557" s="1287"/>
      <c r="E2557" s="1287"/>
      <c r="F2557" s="1287"/>
      <c r="G2557" s="1286"/>
      <c r="H2557" s="34" t="s">
        <v>925</v>
      </c>
    </row>
    <row r="2558" spans="1:8" ht="42.75">
      <c r="A2558" s="1289" t="s">
        <v>2552</v>
      </c>
      <c r="B2558" s="1289" t="s">
        <v>2341</v>
      </c>
      <c r="C2558" s="1288" t="s">
        <v>15</v>
      </c>
      <c r="D2558" s="1287">
        <v>1</v>
      </c>
      <c r="E2558" s="1287">
        <v>700.69</v>
      </c>
      <c r="F2558" s="1287"/>
      <c r="G2558" s="1286" t="s">
        <v>2342</v>
      </c>
      <c r="H2558" s="34" t="s">
        <v>925</v>
      </c>
    </row>
    <row r="2559" spans="1:8" ht="33">
      <c r="A2559" s="1289">
        <v>1</v>
      </c>
      <c r="B2559" s="1289" t="s">
        <v>2343</v>
      </c>
      <c r="C2559" s="1288" t="s">
        <v>1</v>
      </c>
      <c r="D2559" s="1287">
        <v>1</v>
      </c>
      <c r="E2559" s="1287">
        <v>484.85</v>
      </c>
      <c r="F2559" s="1287">
        <v>484.85</v>
      </c>
      <c r="G2559" s="1286" t="s">
        <v>2344</v>
      </c>
      <c r="H2559" s="34" t="s">
        <v>925</v>
      </c>
    </row>
    <row r="2560" spans="1:8" ht="33">
      <c r="A2560" s="1289">
        <v>2</v>
      </c>
      <c r="B2560" s="1289" t="s">
        <v>4871</v>
      </c>
      <c r="C2560" s="1288" t="s">
        <v>927</v>
      </c>
      <c r="D2560" s="1287">
        <v>0.7</v>
      </c>
      <c r="E2560" s="1287">
        <v>279.18</v>
      </c>
      <c r="F2560" s="1287">
        <v>195.43</v>
      </c>
      <c r="G2560" s="1286" t="s">
        <v>4872</v>
      </c>
      <c r="H2560" s="34" t="s">
        <v>925</v>
      </c>
    </row>
    <row r="2561" spans="1:8" ht="33">
      <c r="A2561" s="1289">
        <v>3</v>
      </c>
      <c r="B2561" s="1289" t="s">
        <v>931</v>
      </c>
      <c r="C2561" s="1288" t="s">
        <v>14</v>
      </c>
      <c r="D2561" s="1287">
        <v>1</v>
      </c>
      <c r="E2561" s="1287">
        <v>20.41</v>
      </c>
      <c r="F2561" s="1287">
        <v>20.41</v>
      </c>
      <c r="G2561" s="1286" t="s">
        <v>932</v>
      </c>
      <c r="H2561" s="34" t="s">
        <v>925</v>
      </c>
    </row>
    <row r="2562" spans="1:8" ht="33">
      <c r="A2562" s="1289"/>
      <c r="B2562" s="1289" t="s">
        <v>933</v>
      </c>
      <c r="C2562" s="1288" t="s">
        <v>15</v>
      </c>
      <c r="D2562" s="1287">
        <v>1</v>
      </c>
      <c r="E2562" s="1287"/>
      <c r="F2562" s="1287">
        <v>700.68999999999994</v>
      </c>
      <c r="G2562" s="1286"/>
      <c r="H2562" s="34" t="s">
        <v>925</v>
      </c>
    </row>
    <row r="2563" spans="1:8" ht="16.5">
      <c r="A2563" s="1289"/>
      <c r="B2563" s="1289" t="s">
        <v>934</v>
      </c>
      <c r="C2563" s="1288" t="s">
        <v>15</v>
      </c>
      <c r="D2563" s="1287"/>
      <c r="E2563" s="1287"/>
      <c r="F2563" s="1287">
        <v>700.69</v>
      </c>
      <c r="G2563" s="1286"/>
    </row>
    <row r="2564" spans="1:8" ht="33">
      <c r="A2564" s="1289"/>
      <c r="B2564" s="1289"/>
      <c r="C2564" s="1288"/>
      <c r="D2564" s="1287"/>
      <c r="E2564" s="1287"/>
      <c r="F2564" s="1287"/>
      <c r="G2564" s="1286"/>
      <c r="H2564" s="34" t="s">
        <v>925</v>
      </c>
    </row>
    <row r="2565" spans="1:8" ht="33">
      <c r="A2565" s="1289" t="s">
        <v>2555</v>
      </c>
      <c r="B2565" s="1289" t="s">
        <v>2346</v>
      </c>
      <c r="C2565" s="1288" t="s">
        <v>3</v>
      </c>
      <c r="D2565" s="1287">
        <v>100</v>
      </c>
      <c r="E2565" s="1287">
        <v>43.52</v>
      </c>
      <c r="F2565" s="1287"/>
      <c r="G2565" s="1286" t="s">
        <v>2347</v>
      </c>
      <c r="H2565" s="34" t="s">
        <v>925</v>
      </c>
    </row>
    <row r="2566" spans="1:8" ht="33">
      <c r="A2566" s="1289">
        <v>1</v>
      </c>
      <c r="B2566" s="1289" t="s">
        <v>2348</v>
      </c>
      <c r="C2566" s="1288" t="s">
        <v>18</v>
      </c>
      <c r="D2566" s="1287">
        <v>2</v>
      </c>
      <c r="E2566" s="1287">
        <v>596.12</v>
      </c>
      <c r="F2566" s="1287">
        <v>1192.24</v>
      </c>
      <c r="G2566" s="1286" t="s">
        <v>2349</v>
      </c>
      <c r="H2566" s="34" t="s">
        <v>925</v>
      </c>
    </row>
    <row r="2567" spans="1:8" ht="33">
      <c r="A2567" s="1289">
        <v>2</v>
      </c>
      <c r="B2567" s="1289" t="s">
        <v>2350</v>
      </c>
      <c r="C2567" s="1288" t="s">
        <v>14</v>
      </c>
      <c r="D2567" s="1287">
        <v>1</v>
      </c>
      <c r="E2567" s="1287">
        <v>49.68</v>
      </c>
      <c r="F2567" s="1287">
        <v>49.68</v>
      </c>
      <c r="G2567" s="1286" t="s">
        <v>2351</v>
      </c>
      <c r="H2567" s="34" t="s">
        <v>925</v>
      </c>
    </row>
    <row r="2568" spans="1:8" ht="33">
      <c r="A2568" s="1289">
        <v>3</v>
      </c>
      <c r="B2568" s="1289" t="s">
        <v>2352</v>
      </c>
      <c r="C2568" s="1288" t="s">
        <v>3</v>
      </c>
      <c r="D2568" s="1287">
        <v>100</v>
      </c>
      <c r="E2568" s="1287">
        <v>4.97</v>
      </c>
      <c r="F2568" s="1287">
        <v>497</v>
      </c>
      <c r="G2568" s="1286" t="s">
        <v>2353</v>
      </c>
      <c r="H2568" s="34" t="s">
        <v>925</v>
      </c>
    </row>
    <row r="2569" spans="1:8" ht="33">
      <c r="A2569" s="1289">
        <v>4</v>
      </c>
      <c r="B2569" s="1289" t="s">
        <v>2354</v>
      </c>
      <c r="C2569" s="1288" t="s">
        <v>3</v>
      </c>
      <c r="D2569" s="1287">
        <v>100</v>
      </c>
      <c r="E2569" s="1287">
        <v>2.98</v>
      </c>
      <c r="F2569" s="1287">
        <v>298</v>
      </c>
      <c r="G2569" s="1286" t="s">
        <v>2355</v>
      </c>
      <c r="H2569" s="34" t="s">
        <v>925</v>
      </c>
    </row>
    <row r="2570" spans="1:8" ht="42.75">
      <c r="A2570" s="1289">
        <v>5</v>
      </c>
      <c r="B2570" s="1289" t="s">
        <v>2356</v>
      </c>
      <c r="C2570" s="1288" t="s">
        <v>3</v>
      </c>
      <c r="D2570" s="1287">
        <v>100</v>
      </c>
      <c r="E2570" s="1287">
        <v>14.9</v>
      </c>
      <c r="F2570" s="1287">
        <v>1490</v>
      </c>
      <c r="G2570" s="1286" t="s">
        <v>2357</v>
      </c>
      <c r="H2570" s="34" t="s">
        <v>925</v>
      </c>
    </row>
    <row r="2571" spans="1:8" ht="33">
      <c r="A2571" s="1289">
        <v>6</v>
      </c>
      <c r="B2571" s="1289" t="s">
        <v>2358</v>
      </c>
      <c r="C2571" s="1288" t="s">
        <v>927</v>
      </c>
      <c r="D2571" s="1287">
        <v>2.5</v>
      </c>
      <c r="E2571" s="1287">
        <v>279.18</v>
      </c>
      <c r="F2571" s="1287">
        <v>697.95</v>
      </c>
      <c r="G2571" s="1286" t="s">
        <v>2364</v>
      </c>
      <c r="H2571" s="34" t="s">
        <v>925</v>
      </c>
    </row>
    <row r="2572" spans="1:8" ht="33">
      <c r="A2572" s="1289">
        <v>7</v>
      </c>
      <c r="B2572" s="1289" t="s">
        <v>931</v>
      </c>
      <c r="C2572" s="1288" t="s">
        <v>14</v>
      </c>
      <c r="D2572" s="1287">
        <v>1</v>
      </c>
      <c r="E2572" s="1287">
        <v>126.75</v>
      </c>
      <c r="F2572" s="1287">
        <v>126.75</v>
      </c>
      <c r="G2572" s="1286" t="s">
        <v>932</v>
      </c>
      <c r="H2572" s="34" t="s">
        <v>925</v>
      </c>
    </row>
    <row r="2573" spans="1:8" ht="33">
      <c r="A2573" s="1289"/>
      <c r="B2573" s="1289" t="s">
        <v>933</v>
      </c>
      <c r="C2573" s="1288" t="s">
        <v>3</v>
      </c>
      <c r="D2573" s="1287">
        <v>100</v>
      </c>
      <c r="E2573" s="1287"/>
      <c r="F2573" s="1287">
        <v>4351.62</v>
      </c>
      <c r="G2573" s="1286"/>
      <c r="H2573" s="34" t="s">
        <v>925</v>
      </c>
    </row>
    <row r="2574" spans="1:8" ht="33">
      <c r="A2574" s="1289"/>
      <c r="B2574" s="1289" t="s">
        <v>934</v>
      </c>
      <c r="C2574" s="1288" t="s">
        <v>3</v>
      </c>
      <c r="D2574" s="1287"/>
      <c r="E2574" s="1287"/>
      <c r="F2574" s="1287">
        <v>43.52</v>
      </c>
      <c r="G2574" s="1286"/>
      <c r="H2574" s="34" t="s">
        <v>925</v>
      </c>
    </row>
    <row r="2575" spans="1:8" ht="33">
      <c r="A2575" s="1289"/>
      <c r="B2575" s="1289"/>
      <c r="C2575" s="1288"/>
      <c r="D2575" s="1287"/>
      <c r="E2575" s="1287"/>
      <c r="F2575" s="1287"/>
      <c r="G2575" s="1286"/>
      <c r="H2575" s="34" t="s">
        <v>925</v>
      </c>
    </row>
    <row r="2576" spans="1:8" ht="28.5">
      <c r="A2576" s="1289" t="s">
        <v>2560</v>
      </c>
      <c r="B2576" s="1289" t="s">
        <v>2360</v>
      </c>
      <c r="C2576" s="1288" t="s">
        <v>3</v>
      </c>
      <c r="D2576" s="1287">
        <v>1</v>
      </c>
      <c r="E2576" s="1287">
        <v>248.53</v>
      </c>
      <c r="F2576" s="1287"/>
      <c r="G2576" s="1286" t="s">
        <v>2361</v>
      </c>
    </row>
    <row r="2577" spans="1:8" ht="42.75">
      <c r="A2577" s="1289">
        <v>1</v>
      </c>
      <c r="B2577" s="1289" t="s">
        <v>2362</v>
      </c>
      <c r="C2577" s="1288" t="s">
        <v>3</v>
      </c>
      <c r="D2577" s="1287">
        <v>1</v>
      </c>
      <c r="E2577" s="1287">
        <v>94.39</v>
      </c>
      <c r="F2577" s="1287">
        <v>94.39</v>
      </c>
      <c r="G2577" s="1286" t="s">
        <v>2363</v>
      </c>
      <c r="H2577" s="34" t="s">
        <v>925</v>
      </c>
    </row>
    <row r="2578" spans="1:8" ht="33">
      <c r="A2578" s="1289">
        <v>2</v>
      </c>
      <c r="B2578" s="1289" t="s">
        <v>2358</v>
      </c>
      <c r="C2578" s="1288" t="s">
        <v>927</v>
      </c>
      <c r="D2578" s="1287">
        <v>0.04</v>
      </c>
      <c r="E2578" s="1287">
        <v>279.18</v>
      </c>
      <c r="F2578" s="1287">
        <v>11.17</v>
      </c>
      <c r="G2578" s="1286" t="s">
        <v>2364</v>
      </c>
      <c r="H2578" s="34" t="s">
        <v>925</v>
      </c>
    </row>
    <row r="2579" spans="1:8" ht="33">
      <c r="A2579" s="1289">
        <v>3</v>
      </c>
      <c r="B2579" s="1289" t="s">
        <v>2365</v>
      </c>
      <c r="C2579" s="1288" t="s">
        <v>15</v>
      </c>
      <c r="D2579" s="1287">
        <v>0.05</v>
      </c>
      <c r="E2579" s="1287">
        <v>1033.32</v>
      </c>
      <c r="F2579" s="1287">
        <v>51.67</v>
      </c>
      <c r="G2579" s="1286" t="s">
        <v>2366</v>
      </c>
      <c r="H2579" s="34" t="s">
        <v>925</v>
      </c>
    </row>
    <row r="2580" spans="1:8" ht="33">
      <c r="A2580" s="1289">
        <v>4</v>
      </c>
      <c r="B2580" s="1289" t="s">
        <v>2367</v>
      </c>
      <c r="C2580" s="1288" t="s">
        <v>18</v>
      </c>
      <c r="D2580" s="1287">
        <v>1</v>
      </c>
      <c r="E2580" s="1287">
        <v>18.88</v>
      </c>
      <c r="F2580" s="1287">
        <v>18.88</v>
      </c>
      <c r="G2580" s="1286" t="s">
        <v>2368</v>
      </c>
      <c r="H2580" s="34" t="s">
        <v>925</v>
      </c>
    </row>
    <row r="2581" spans="1:8" ht="42.75">
      <c r="A2581" s="1289">
        <v>5</v>
      </c>
      <c r="B2581" s="1289" t="s">
        <v>4990</v>
      </c>
      <c r="C2581" s="1288" t="s">
        <v>927</v>
      </c>
      <c r="D2581" s="1287">
        <v>0.08</v>
      </c>
      <c r="E2581" s="1287">
        <v>407.35</v>
      </c>
      <c r="F2581" s="1287">
        <v>32.590000000000003</v>
      </c>
      <c r="G2581" s="1286" t="s">
        <v>4991</v>
      </c>
      <c r="H2581" s="34" t="s">
        <v>925</v>
      </c>
    </row>
    <row r="2582" spans="1:8" ht="85.5">
      <c r="A2582" s="1289">
        <v>6</v>
      </c>
      <c r="B2582" s="1289" t="s">
        <v>4992</v>
      </c>
      <c r="C2582" s="1288" t="s">
        <v>927</v>
      </c>
      <c r="D2582" s="1287">
        <v>0.08</v>
      </c>
      <c r="E2582" s="1287">
        <v>407.35</v>
      </c>
      <c r="F2582" s="1287">
        <v>32.590000000000003</v>
      </c>
      <c r="G2582" s="1286" t="s">
        <v>4993</v>
      </c>
      <c r="H2582" s="34" t="s">
        <v>925</v>
      </c>
    </row>
    <row r="2583" spans="1:8" ht="33">
      <c r="A2583" s="1289">
        <v>7</v>
      </c>
      <c r="B2583" s="1289" t="s">
        <v>931</v>
      </c>
      <c r="C2583" s="1288" t="s">
        <v>14</v>
      </c>
      <c r="D2583" s="1287">
        <v>1</v>
      </c>
      <c r="E2583" s="1287">
        <v>7.24</v>
      </c>
      <c r="F2583" s="1287">
        <v>7.24</v>
      </c>
      <c r="G2583" s="1286" t="s">
        <v>932</v>
      </c>
      <c r="H2583" s="34" t="s">
        <v>925</v>
      </c>
    </row>
    <row r="2584" spans="1:8" ht="33">
      <c r="A2584" s="1289"/>
      <c r="B2584" s="1289" t="s">
        <v>933</v>
      </c>
      <c r="C2584" s="1288" t="s">
        <v>3</v>
      </c>
      <c r="D2584" s="1287">
        <v>1</v>
      </c>
      <c r="E2584" s="1287"/>
      <c r="F2584" s="1287">
        <v>248.53000000000003</v>
      </c>
      <c r="G2584" s="1286"/>
      <c r="H2584" s="34" t="s">
        <v>925</v>
      </c>
    </row>
    <row r="2585" spans="1:8" ht="33">
      <c r="A2585" s="1289"/>
      <c r="B2585" s="1289" t="s">
        <v>934</v>
      </c>
      <c r="C2585" s="1288" t="s">
        <v>3</v>
      </c>
      <c r="D2585" s="1287"/>
      <c r="E2585" s="1287"/>
      <c r="F2585" s="1287">
        <v>248.53</v>
      </c>
      <c r="G2585" s="1286"/>
      <c r="H2585" s="34" t="s">
        <v>925</v>
      </c>
    </row>
    <row r="2586" spans="1:8" ht="33">
      <c r="A2586" s="1289"/>
      <c r="B2586" s="1289"/>
      <c r="C2586" s="1288"/>
      <c r="D2586" s="1287"/>
      <c r="E2586" s="1287"/>
      <c r="F2586" s="1287"/>
      <c r="G2586" s="1286"/>
      <c r="H2586" s="34" t="s">
        <v>925</v>
      </c>
    </row>
    <row r="2587" spans="1:8" ht="33">
      <c r="A2587" s="1289" t="s">
        <v>2569</v>
      </c>
      <c r="B2587" s="1289" t="s">
        <v>2372</v>
      </c>
      <c r="C2587" s="1288" t="s">
        <v>3</v>
      </c>
      <c r="D2587" s="1287">
        <v>1</v>
      </c>
      <c r="E2587" s="1287">
        <v>682.48</v>
      </c>
      <c r="F2587" s="1287"/>
      <c r="G2587" s="1286" t="s">
        <v>2373</v>
      </c>
      <c r="H2587" s="34" t="s">
        <v>925</v>
      </c>
    </row>
    <row r="2588" spans="1:8" ht="33">
      <c r="A2588" s="1289">
        <v>1</v>
      </c>
      <c r="B2588" s="1289" t="s">
        <v>2374</v>
      </c>
      <c r="C2588" s="1288" t="s">
        <v>3</v>
      </c>
      <c r="D2588" s="1287">
        <v>1</v>
      </c>
      <c r="E2588" s="1287">
        <v>437.16</v>
      </c>
      <c r="F2588" s="1287">
        <v>437.16</v>
      </c>
      <c r="G2588" s="1286" t="s">
        <v>2375</v>
      </c>
      <c r="H2588" s="34" t="s">
        <v>925</v>
      </c>
    </row>
    <row r="2589" spans="1:8" ht="33">
      <c r="A2589" s="1289">
        <v>2</v>
      </c>
      <c r="B2589" s="1289" t="s">
        <v>1637</v>
      </c>
      <c r="C2589" s="1288" t="s">
        <v>0</v>
      </c>
      <c r="D2589" s="1287">
        <v>0.05</v>
      </c>
      <c r="E2589" s="1287">
        <v>3547.09</v>
      </c>
      <c r="F2589" s="1287">
        <v>177.35</v>
      </c>
      <c r="G2589" s="1286" t="s">
        <v>4954</v>
      </c>
      <c r="H2589" s="34" t="s">
        <v>925</v>
      </c>
    </row>
    <row r="2590" spans="1:8" ht="33">
      <c r="A2590" s="1289">
        <v>3</v>
      </c>
      <c r="B2590" s="1289" t="s">
        <v>2346</v>
      </c>
      <c r="C2590" s="1288" t="s">
        <v>3</v>
      </c>
      <c r="D2590" s="1287">
        <v>0.3</v>
      </c>
      <c r="E2590" s="1287">
        <v>43.52</v>
      </c>
      <c r="F2590" s="1287">
        <v>13.06</v>
      </c>
      <c r="G2590" s="1286" t="s">
        <v>4994</v>
      </c>
      <c r="H2590" s="34" t="s">
        <v>925</v>
      </c>
    </row>
    <row r="2591" spans="1:8" ht="33">
      <c r="A2591" s="1289">
        <v>4</v>
      </c>
      <c r="B2591" s="1289" t="s">
        <v>2376</v>
      </c>
      <c r="C2591" s="1288" t="s">
        <v>15</v>
      </c>
      <c r="D2591" s="1287">
        <v>0.05</v>
      </c>
      <c r="E2591" s="1287">
        <v>700.68</v>
      </c>
      <c r="F2591" s="1287">
        <v>35.03</v>
      </c>
      <c r="G2591" s="1286" t="s">
        <v>2377</v>
      </c>
      <c r="H2591" s="34" t="s">
        <v>925</v>
      </c>
    </row>
    <row r="2592" spans="1:8" ht="33">
      <c r="A2592" s="1289">
        <v>5</v>
      </c>
      <c r="B2592" s="1289" t="s">
        <v>931</v>
      </c>
      <c r="C2592" s="1288" t="s">
        <v>14</v>
      </c>
      <c r="D2592" s="1287">
        <v>1</v>
      </c>
      <c r="E2592" s="1287">
        <v>19.88</v>
      </c>
      <c r="F2592" s="1287">
        <v>19.88</v>
      </c>
      <c r="G2592" s="1286" t="s">
        <v>932</v>
      </c>
      <c r="H2592" s="34" t="s">
        <v>925</v>
      </c>
    </row>
    <row r="2593" spans="1:8" ht="16.5">
      <c r="A2593" s="1289"/>
      <c r="B2593" s="1289" t="s">
        <v>933</v>
      </c>
      <c r="C2593" s="1288" t="s">
        <v>3</v>
      </c>
      <c r="D2593" s="1287">
        <v>1</v>
      </c>
      <c r="E2593" s="1287"/>
      <c r="F2593" s="1287">
        <v>682.4799999999999</v>
      </c>
      <c r="G2593" s="1286"/>
    </row>
    <row r="2594" spans="1:8" ht="33">
      <c r="A2594" s="1289"/>
      <c r="B2594" s="1289" t="s">
        <v>934</v>
      </c>
      <c r="C2594" s="1288" t="s">
        <v>3</v>
      </c>
      <c r="D2594" s="1287"/>
      <c r="E2594" s="1287"/>
      <c r="F2594" s="1287">
        <v>682.48</v>
      </c>
      <c r="G2594" s="1286"/>
      <c r="H2594" s="34" t="s">
        <v>925</v>
      </c>
    </row>
    <row r="2595" spans="1:8" ht="33">
      <c r="A2595" s="1289"/>
      <c r="B2595" s="1289"/>
      <c r="C2595" s="1288"/>
      <c r="D2595" s="1287"/>
      <c r="E2595" s="1287"/>
      <c r="F2595" s="1287"/>
      <c r="G2595" s="1286"/>
      <c r="H2595" s="34" t="s">
        <v>925</v>
      </c>
    </row>
    <row r="2596" spans="1:8" ht="33">
      <c r="A2596" s="1289" t="s">
        <v>2576</v>
      </c>
      <c r="B2596" s="1289" t="s">
        <v>2379</v>
      </c>
      <c r="C2596" s="1288" t="s">
        <v>3</v>
      </c>
      <c r="D2596" s="1287">
        <v>100</v>
      </c>
      <c r="E2596" s="1287">
        <v>22.37</v>
      </c>
      <c r="F2596" s="1287"/>
      <c r="G2596" s="1286" t="s">
        <v>2380</v>
      </c>
      <c r="H2596" s="34" t="s">
        <v>925</v>
      </c>
    </row>
    <row r="2597" spans="1:8" ht="33">
      <c r="A2597" s="1289">
        <v>1</v>
      </c>
      <c r="B2597" s="1289" t="s">
        <v>997</v>
      </c>
      <c r="C2597" s="1288" t="s">
        <v>927</v>
      </c>
      <c r="D2597" s="1287">
        <v>1</v>
      </c>
      <c r="E2597" s="1287">
        <v>1152.5</v>
      </c>
      <c r="F2597" s="1287">
        <v>1152.5</v>
      </c>
      <c r="G2597" s="1286" t="s">
        <v>998</v>
      </c>
      <c r="H2597" s="34" t="s">
        <v>925</v>
      </c>
    </row>
    <row r="2598" spans="1:8" ht="33">
      <c r="A2598" s="1289">
        <v>2</v>
      </c>
      <c r="B2598" s="1289" t="s">
        <v>1086</v>
      </c>
      <c r="C2598" s="1288" t="s">
        <v>927</v>
      </c>
      <c r="D2598" s="1287">
        <v>1</v>
      </c>
      <c r="E2598" s="1287">
        <v>398.41</v>
      </c>
      <c r="F2598" s="1287">
        <v>398.41</v>
      </c>
      <c r="G2598" s="1286" t="s">
        <v>1087</v>
      </c>
      <c r="H2598" s="34" t="s">
        <v>925</v>
      </c>
    </row>
    <row r="2599" spans="1:8" ht="33">
      <c r="A2599" s="1289">
        <v>3</v>
      </c>
      <c r="B2599" s="1289" t="s">
        <v>2407</v>
      </c>
      <c r="C2599" s="1288" t="s">
        <v>0</v>
      </c>
      <c r="D2599" s="1287">
        <v>0.15</v>
      </c>
      <c r="E2599" s="1287">
        <v>1987.08</v>
      </c>
      <c r="F2599" s="1287">
        <v>298.06</v>
      </c>
      <c r="G2599" s="1286" t="s">
        <v>2412</v>
      </c>
      <c r="H2599" s="34" t="s">
        <v>925</v>
      </c>
    </row>
    <row r="2600" spans="1:8" ht="33">
      <c r="A2600" s="1289">
        <v>4</v>
      </c>
      <c r="B2600" s="1289" t="s">
        <v>2381</v>
      </c>
      <c r="C2600" s="1288" t="s">
        <v>927</v>
      </c>
      <c r="D2600" s="1287">
        <v>0.15</v>
      </c>
      <c r="E2600" s="1287">
        <v>2152.3000000000002</v>
      </c>
      <c r="F2600" s="1287">
        <v>322.85000000000002</v>
      </c>
      <c r="G2600" s="1286" t="s">
        <v>4995</v>
      </c>
      <c r="H2600" s="34" t="s">
        <v>925</v>
      </c>
    </row>
    <row r="2601" spans="1:8" ht="33">
      <c r="A2601" s="1289">
        <v>5</v>
      </c>
      <c r="B2601" s="1289" t="s">
        <v>931</v>
      </c>
      <c r="C2601" s="1288" t="s">
        <v>14</v>
      </c>
      <c r="D2601" s="1287">
        <v>1</v>
      </c>
      <c r="E2601" s="1287">
        <v>65.150000000000006</v>
      </c>
      <c r="F2601" s="1287">
        <v>65.150000000000006</v>
      </c>
      <c r="G2601" s="1286" t="s">
        <v>932</v>
      </c>
      <c r="H2601" s="34" t="s">
        <v>925</v>
      </c>
    </row>
    <row r="2602" spans="1:8" ht="33">
      <c r="A2602" s="1289"/>
      <c r="B2602" s="1289" t="s">
        <v>933</v>
      </c>
      <c r="C2602" s="1288" t="s">
        <v>3</v>
      </c>
      <c r="D2602" s="1287">
        <v>100</v>
      </c>
      <c r="E2602" s="1287"/>
      <c r="F2602" s="1287">
        <v>2236.9700000000003</v>
      </c>
      <c r="G2602" s="1286"/>
      <c r="H2602" s="34" t="s">
        <v>925</v>
      </c>
    </row>
    <row r="2603" spans="1:8" ht="33">
      <c r="A2603" s="1289"/>
      <c r="B2603" s="1289" t="s">
        <v>934</v>
      </c>
      <c r="C2603" s="1288" t="s">
        <v>3</v>
      </c>
      <c r="D2603" s="1287"/>
      <c r="E2603" s="1287"/>
      <c r="F2603" s="1287">
        <v>22.37</v>
      </c>
      <c r="G2603" s="1286"/>
      <c r="H2603" s="34" t="s">
        <v>925</v>
      </c>
    </row>
    <row r="2604" spans="1:8" ht="33">
      <c r="A2604" s="1289"/>
      <c r="B2604" s="1289"/>
      <c r="C2604" s="1288"/>
      <c r="D2604" s="1287"/>
      <c r="E2604" s="1287"/>
      <c r="F2604" s="1287"/>
      <c r="G2604" s="1286"/>
      <c r="H2604" s="34" t="s">
        <v>925</v>
      </c>
    </row>
    <row r="2605" spans="1:8" ht="33">
      <c r="A2605" s="1289" t="s">
        <v>2583</v>
      </c>
      <c r="B2605" s="1289" t="s">
        <v>2383</v>
      </c>
      <c r="C2605" s="1288" t="s">
        <v>3</v>
      </c>
      <c r="D2605" s="1287">
        <v>100</v>
      </c>
      <c r="E2605" s="1287">
        <v>11.54</v>
      </c>
      <c r="F2605" s="1287"/>
      <c r="G2605" s="1286" t="s">
        <v>2384</v>
      </c>
      <c r="H2605" s="34" t="s">
        <v>925</v>
      </c>
    </row>
    <row r="2606" spans="1:8" ht="33">
      <c r="A2606" s="1289">
        <v>1</v>
      </c>
      <c r="B2606" s="1289" t="s">
        <v>2385</v>
      </c>
      <c r="C2606" s="1288" t="s">
        <v>927</v>
      </c>
      <c r="D2606" s="1287">
        <v>1.1499999999999999</v>
      </c>
      <c r="E2606" s="1287">
        <v>695.48</v>
      </c>
      <c r="F2606" s="1287">
        <v>799.8</v>
      </c>
      <c r="G2606" s="1286" t="s">
        <v>2386</v>
      </c>
      <c r="H2606" s="34" t="s">
        <v>925</v>
      </c>
    </row>
    <row r="2607" spans="1:8" ht="33">
      <c r="A2607" s="1289">
        <v>2</v>
      </c>
      <c r="B2607" s="1289" t="s">
        <v>2387</v>
      </c>
      <c r="C2607" s="1288" t="s">
        <v>927</v>
      </c>
      <c r="D2607" s="1287">
        <v>1.1499999999999999</v>
      </c>
      <c r="E2607" s="1287">
        <v>279.18</v>
      </c>
      <c r="F2607" s="1287">
        <v>321.06</v>
      </c>
      <c r="G2607" s="1286" t="s">
        <v>2388</v>
      </c>
      <c r="H2607" s="34" t="s">
        <v>925</v>
      </c>
    </row>
    <row r="2608" spans="1:8" ht="33">
      <c r="A2608" s="1289">
        <v>3</v>
      </c>
      <c r="B2608" s="1289" t="s">
        <v>931</v>
      </c>
      <c r="C2608" s="1288" t="s">
        <v>14</v>
      </c>
      <c r="D2608" s="1287">
        <v>1</v>
      </c>
      <c r="E2608" s="1287">
        <v>33.630000000000003</v>
      </c>
      <c r="F2608" s="1287">
        <v>33.630000000000003</v>
      </c>
      <c r="G2608" s="1286" t="s">
        <v>932</v>
      </c>
      <c r="H2608" s="34" t="s">
        <v>925</v>
      </c>
    </row>
    <row r="2609" spans="1:8" ht="33">
      <c r="A2609" s="1289"/>
      <c r="B2609" s="1289" t="s">
        <v>933</v>
      </c>
      <c r="C2609" s="1288" t="s">
        <v>3</v>
      </c>
      <c r="D2609" s="1287">
        <v>100</v>
      </c>
      <c r="E2609" s="1287"/>
      <c r="F2609" s="1287">
        <v>1154.49</v>
      </c>
      <c r="G2609" s="1286"/>
      <c r="H2609" s="34" t="s">
        <v>925</v>
      </c>
    </row>
    <row r="2610" spans="1:8" ht="16.5">
      <c r="A2610" s="1289"/>
      <c r="B2610" s="1289" t="s">
        <v>934</v>
      </c>
      <c r="C2610" s="1288" t="s">
        <v>3</v>
      </c>
      <c r="D2610" s="1287"/>
      <c r="E2610" s="1287"/>
      <c r="F2610" s="1287">
        <v>11.54</v>
      </c>
      <c r="G2610" s="1286"/>
    </row>
    <row r="2611" spans="1:8" ht="33">
      <c r="A2611" s="1289"/>
      <c r="B2611" s="1289"/>
      <c r="C2611" s="1288"/>
      <c r="D2611" s="1287"/>
      <c r="E2611" s="1287"/>
      <c r="F2611" s="1287"/>
      <c r="G2611" s="1286"/>
      <c r="H2611" s="34" t="s">
        <v>925</v>
      </c>
    </row>
    <row r="2612" spans="1:8" ht="33">
      <c r="A2612" s="1289" t="s">
        <v>2586</v>
      </c>
      <c r="B2612" s="1289" t="s">
        <v>2390</v>
      </c>
      <c r="C2612" s="1288" t="s">
        <v>3</v>
      </c>
      <c r="D2612" s="1287">
        <v>10</v>
      </c>
      <c r="E2612" s="1287">
        <v>20.13</v>
      </c>
      <c r="F2612" s="1287"/>
      <c r="G2612" s="1286" t="s">
        <v>2391</v>
      </c>
      <c r="H2612" s="34" t="s">
        <v>925</v>
      </c>
    </row>
    <row r="2613" spans="1:8" ht="33">
      <c r="A2613" s="1289">
        <v>1</v>
      </c>
      <c r="B2613" s="1289" t="s">
        <v>4871</v>
      </c>
      <c r="C2613" s="1288" t="s">
        <v>927</v>
      </c>
      <c r="D2613" s="1287">
        <v>0.7</v>
      </c>
      <c r="E2613" s="1287">
        <v>279.18</v>
      </c>
      <c r="F2613" s="1287">
        <v>195.43</v>
      </c>
      <c r="G2613" s="1286" t="s">
        <v>1324</v>
      </c>
      <c r="H2613" s="34" t="s">
        <v>925</v>
      </c>
    </row>
    <row r="2614" spans="1:8" ht="33">
      <c r="A2614" s="1289">
        <v>2</v>
      </c>
      <c r="B2614" s="1289" t="s">
        <v>931</v>
      </c>
      <c r="C2614" s="1288" t="s">
        <v>14</v>
      </c>
      <c r="D2614" s="1287">
        <v>1</v>
      </c>
      <c r="E2614" s="1287">
        <v>5.86</v>
      </c>
      <c r="F2614" s="1287">
        <v>5.86</v>
      </c>
      <c r="G2614" s="1286" t="s">
        <v>932</v>
      </c>
      <c r="H2614" s="34" t="s">
        <v>925</v>
      </c>
    </row>
    <row r="2615" spans="1:8" ht="33">
      <c r="A2615" s="1289"/>
      <c r="B2615" s="1289" t="s">
        <v>933</v>
      </c>
      <c r="C2615" s="1288" t="s">
        <v>3</v>
      </c>
      <c r="D2615" s="1287">
        <v>10</v>
      </c>
      <c r="E2615" s="1287"/>
      <c r="F2615" s="1287">
        <v>201.29000000000002</v>
      </c>
      <c r="G2615" s="1286"/>
      <c r="H2615" s="34" t="s">
        <v>925</v>
      </c>
    </row>
    <row r="2616" spans="1:8" ht="33">
      <c r="A2616" s="1289"/>
      <c r="B2616" s="1289" t="s">
        <v>934</v>
      </c>
      <c r="C2616" s="1288" t="s">
        <v>3</v>
      </c>
      <c r="D2616" s="1287"/>
      <c r="E2616" s="1287"/>
      <c r="F2616" s="1287">
        <v>20.13</v>
      </c>
      <c r="G2616" s="1286"/>
      <c r="H2616" s="34" t="s">
        <v>925</v>
      </c>
    </row>
    <row r="2617" spans="1:8" ht="33">
      <c r="A2617" s="1289"/>
      <c r="B2617" s="1289"/>
      <c r="C2617" s="1288"/>
      <c r="D2617" s="1287"/>
      <c r="E2617" s="1287"/>
      <c r="F2617" s="1287"/>
      <c r="G2617" s="1286"/>
      <c r="H2617" s="34" t="s">
        <v>925</v>
      </c>
    </row>
    <row r="2618" spans="1:8" ht="33">
      <c r="A2618" s="1289" t="s">
        <v>2589</v>
      </c>
      <c r="B2618" s="1289" t="s">
        <v>2393</v>
      </c>
      <c r="C2618" s="1288" t="s">
        <v>2394</v>
      </c>
      <c r="D2618" s="1287">
        <v>1</v>
      </c>
      <c r="E2618" s="1287">
        <v>2473.94</v>
      </c>
      <c r="F2618" s="1287"/>
      <c r="G2618" s="1286" t="s">
        <v>2395</v>
      </c>
      <c r="H2618" s="34" t="s">
        <v>925</v>
      </c>
    </row>
    <row r="2619" spans="1:8" ht="33">
      <c r="A2619" s="1289">
        <v>1</v>
      </c>
      <c r="B2619" s="1289" t="s">
        <v>1084</v>
      </c>
      <c r="C2619" s="1288" t="s">
        <v>927</v>
      </c>
      <c r="D2619" s="1287">
        <v>1.5</v>
      </c>
      <c r="E2619" s="1287">
        <v>685.54</v>
      </c>
      <c r="F2619" s="1287">
        <v>1028.31</v>
      </c>
      <c r="G2619" s="1286" t="s">
        <v>1085</v>
      </c>
      <c r="H2619" s="34" t="s">
        <v>925</v>
      </c>
    </row>
    <row r="2620" spans="1:8" ht="33">
      <c r="A2620" s="1289">
        <v>2</v>
      </c>
      <c r="B2620" s="1289" t="s">
        <v>1086</v>
      </c>
      <c r="C2620" s="1288" t="s">
        <v>927</v>
      </c>
      <c r="D2620" s="1287">
        <v>1.5</v>
      </c>
      <c r="E2620" s="1287">
        <v>398.41</v>
      </c>
      <c r="F2620" s="1287">
        <v>597.62</v>
      </c>
      <c r="G2620" s="1286" t="s">
        <v>1087</v>
      </c>
      <c r="H2620" s="34" t="s">
        <v>925</v>
      </c>
    </row>
    <row r="2621" spans="1:8" ht="33">
      <c r="A2621" s="1289">
        <v>3</v>
      </c>
      <c r="B2621" s="1289" t="s">
        <v>4871</v>
      </c>
      <c r="C2621" s="1288" t="s">
        <v>927</v>
      </c>
      <c r="D2621" s="1287">
        <v>1</v>
      </c>
      <c r="E2621" s="1287">
        <v>279.18</v>
      </c>
      <c r="F2621" s="1287">
        <v>279.18</v>
      </c>
      <c r="G2621" s="1286" t="s">
        <v>4872</v>
      </c>
      <c r="H2621" s="34" t="s">
        <v>925</v>
      </c>
    </row>
    <row r="2622" spans="1:8" ht="33">
      <c r="A2622" s="1289">
        <v>4</v>
      </c>
      <c r="B2622" s="1289" t="s">
        <v>2396</v>
      </c>
      <c r="C2622" s="1288" t="s">
        <v>14</v>
      </c>
      <c r="D2622" s="1287">
        <v>1</v>
      </c>
      <c r="E2622" s="1287">
        <v>496.77</v>
      </c>
      <c r="F2622" s="1287">
        <v>496.77</v>
      </c>
      <c r="G2622" s="1286" t="s">
        <v>2397</v>
      </c>
      <c r="H2622" s="34" t="s">
        <v>925</v>
      </c>
    </row>
    <row r="2623" spans="1:8" ht="33">
      <c r="A2623" s="1289">
        <v>5</v>
      </c>
      <c r="B2623" s="1289" t="s">
        <v>931</v>
      </c>
      <c r="C2623" s="1288" t="s">
        <v>14</v>
      </c>
      <c r="D2623" s="1287">
        <v>1</v>
      </c>
      <c r="E2623" s="1287">
        <v>72.06</v>
      </c>
      <c r="F2623" s="1287">
        <v>72.06</v>
      </c>
      <c r="G2623" s="1286" t="s">
        <v>932</v>
      </c>
      <c r="H2623" s="34" t="s">
        <v>925</v>
      </c>
    </row>
    <row r="2624" spans="1:8" ht="33">
      <c r="A2624" s="1289"/>
      <c r="B2624" s="1289" t="s">
        <v>933</v>
      </c>
      <c r="C2624" s="1288" t="s">
        <v>2394</v>
      </c>
      <c r="D2624" s="1287">
        <v>1</v>
      </c>
      <c r="E2624" s="1287"/>
      <c r="F2624" s="1287">
        <v>2473.94</v>
      </c>
      <c r="G2624" s="1286"/>
      <c r="H2624" s="34" t="s">
        <v>925</v>
      </c>
    </row>
    <row r="2625" spans="1:8" ht="33">
      <c r="A2625" s="1289"/>
      <c r="B2625" s="1289" t="s">
        <v>934</v>
      </c>
      <c r="C2625" s="1288" t="s">
        <v>2394</v>
      </c>
      <c r="D2625" s="1287"/>
      <c r="E2625" s="1287"/>
      <c r="F2625" s="1287">
        <v>2473.94</v>
      </c>
      <c r="G2625" s="1286"/>
      <c r="H2625" s="34" t="s">
        <v>925</v>
      </c>
    </row>
    <row r="2626" spans="1:8" ht="33">
      <c r="A2626" s="1289"/>
      <c r="B2626" s="1289"/>
      <c r="C2626" s="1288"/>
      <c r="D2626" s="1287"/>
      <c r="E2626" s="1287"/>
      <c r="F2626" s="1287"/>
      <c r="G2626" s="1286"/>
      <c r="H2626" s="34" t="s">
        <v>925</v>
      </c>
    </row>
    <row r="2627" spans="1:8" ht="42.75">
      <c r="A2627" s="1289" t="s">
        <v>2592</v>
      </c>
      <c r="B2627" s="1289" t="s">
        <v>2399</v>
      </c>
      <c r="C2627" s="1288" t="s">
        <v>2400</v>
      </c>
      <c r="D2627" s="1287">
        <v>1</v>
      </c>
      <c r="E2627" s="1287">
        <v>4542.75</v>
      </c>
      <c r="F2627" s="1287"/>
      <c r="G2627" s="1286" t="s">
        <v>2401</v>
      </c>
    </row>
    <row r="2628" spans="1:8" ht="33">
      <c r="A2628" s="1289">
        <v>1</v>
      </c>
      <c r="B2628" s="1289" t="s">
        <v>2402</v>
      </c>
      <c r="C2628" s="1288" t="s">
        <v>927</v>
      </c>
      <c r="D2628" s="1287">
        <v>1</v>
      </c>
      <c r="E2628" s="1287">
        <v>407.35</v>
      </c>
      <c r="F2628" s="1287">
        <v>407.35</v>
      </c>
      <c r="G2628" s="1286" t="s">
        <v>2403</v>
      </c>
      <c r="H2628" s="34" t="s">
        <v>925</v>
      </c>
    </row>
    <row r="2629" spans="1:8" ht="33">
      <c r="A2629" s="1289">
        <v>2</v>
      </c>
      <c r="B2629" s="1289" t="s">
        <v>1774</v>
      </c>
      <c r="C2629" s="1288" t="s">
        <v>927</v>
      </c>
      <c r="D2629" s="1287">
        <v>1.1000000000000001</v>
      </c>
      <c r="E2629" s="1287">
        <v>1410.82</v>
      </c>
      <c r="F2629" s="1287">
        <v>1551.9</v>
      </c>
      <c r="G2629" s="1286" t="s">
        <v>1775</v>
      </c>
      <c r="H2629" s="34" t="s">
        <v>925</v>
      </c>
    </row>
    <row r="2630" spans="1:8" ht="42.75">
      <c r="A2630" s="1289">
        <v>3</v>
      </c>
      <c r="B2630" s="1289" t="s">
        <v>4964</v>
      </c>
      <c r="C2630" s="1288" t="s">
        <v>927</v>
      </c>
      <c r="D2630" s="1287">
        <v>1.1000000000000001</v>
      </c>
      <c r="E2630" s="1287">
        <v>398.41</v>
      </c>
      <c r="F2630" s="1287">
        <v>438.25</v>
      </c>
      <c r="G2630" s="1286" t="s">
        <v>4965</v>
      </c>
      <c r="H2630" s="34" t="s">
        <v>925</v>
      </c>
    </row>
    <row r="2631" spans="1:8" ht="33">
      <c r="A2631" s="1289">
        <v>4</v>
      </c>
      <c r="B2631" s="1289" t="s">
        <v>997</v>
      </c>
      <c r="C2631" s="1288" t="s">
        <v>927</v>
      </c>
      <c r="D2631" s="1287">
        <v>1.03</v>
      </c>
      <c r="E2631" s="1287">
        <v>1152.5</v>
      </c>
      <c r="F2631" s="1287">
        <v>1187.08</v>
      </c>
      <c r="G2631" s="1286" t="s">
        <v>998</v>
      </c>
      <c r="H2631" s="34" t="s">
        <v>925</v>
      </c>
    </row>
    <row r="2632" spans="1:8" ht="33">
      <c r="A2632" s="1289">
        <v>5</v>
      </c>
      <c r="B2632" s="1289" t="s">
        <v>1086</v>
      </c>
      <c r="C2632" s="1288" t="s">
        <v>927</v>
      </c>
      <c r="D2632" s="1287">
        <v>1.03</v>
      </c>
      <c r="E2632" s="1287">
        <v>398.41</v>
      </c>
      <c r="F2632" s="1287">
        <v>410.36</v>
      </c>
      <c r="G2632" s="1286" t="s">
        <v>1087</v>
      </c>
      <c r="H2632" s="34" t="s">
        <v>925</v>
      </c>
    </row>
    <row r="2633" spans="1:8" ht="33">
      <c r="A2633" s="1289">
        <v>6</v>
      </c>
      <c r="B2633" s="1289" t="s">
        <v>2369</v>
      </c>
      <c r="C2633" s="1288" t="s">
        <v>927</v>
      </c>
      <c r="D2633" s="1287">
        <v>1.02</v>
      </c>
      <c r="E2633" s="1287">
        <v>407.35</v>
      </c>
      <c r="F2633" s="1287">
        <v>415.5</v>
      </c>
      <c r="G2633" s="1286" t="s">
        <v>2370</v>
      </c>
      <c r="H2633" s="34" t="s">
        <v>925</v>
      </c>
    </row>
    <row r="2634" spans="1:8" ht="33">
      <c r="A2634" s="1289">
        <v>7</v>
      </c>
      <c r="B2634" s="1289" t="s">
        <v>931</v>
      </c>
      <c r="C2634" s="1288" t="s">
        <v>14</v>
      </c>
      <c r="D2634" s="1287">
        <v>1</v>
      </c>
      <c r="E2634" s="1287">
        <v>132.31</v>
      </c>
      <c r="F2634" s="1287">
        <v>132.31</v>
      </c>
      <c r="G2634" s="1286" t="s">
        <v>932</v>
      </c>
      <c r="H2634" s="34" t="s">
        <v>925</v>
      </c>
    </row>
    <row r="2635" spans="1:8" ht="33">
      <c r="A2635" s="1289"/>
      <c r="B2635" s="1289" t="s">
        <v>933</v>
      </c>
      <c r="C2635" s="1288" t="s">
        <v>2400</v>
      </c>
      <c r="D2635" s="1287">
        <v>1</v>
      </c>
      <c r="E2635" s="1287"/>
      <c r="F2635" s="1287">
        <v>4542.7500000000009</v>
      </c>
      <c r="G2635" s="1286"/>
      <c r="H2635" s="34" t="s">
        <v>925</v>
      </c>
    </row>
    <row r="2636" spans="1:8" ht="33">
      <c r="A2636" s="1289"/>
      <c r="B2636" s="1289" t="s">
        <v>934</v>
      </c>
      <c r="C2636" s="1288" t="s">
        <v>2400</v>
      </c>
      <c r="D2636" s="1287"/>
      <c r="E2636" s="1287"/>
      <c r="F2636" s="1287">
        <v>4542.75</v>
      </c>
      <c r="G2636" s="1286"/>
      <c r="H2636" s="34" t="s">
        <v>925</v>
      </c>
    </row>
    <row r="2637" spans="1:8" ht="33">
      <c r="A2637" s="1289"/>
      <c r="B2637" s="1289"/>
      <c r="C2637" s="1288"/>
      <c r="D2637" s="1287"/>
      <c r="E2637" s="1287"/>
      <c r="F2637" s="1287"/>
      <c r="G2637" s="1286"/>
      <c r="H2637" s="34" t="s">
        <v>925</v>
      </c>
    </row>
    <row r="2638" spans="1:8" ht="33">
      <c r="A2638" s="1289" t="s">
        <v>2595</v>
      </c>
      <c r="B2638" s="1289" t="s">
        <v>2405</v>
      </c>
      <c r="C2638" s="1288" t="s">
        <v>3</v>
      </c>
      <c r="D2638" s="1287">
        <v>100</v>
      </c>
      <c r="E2638" s="1287">
        <v>34.51</v>
      </c>
      <c r="F2638" s="1287"/>
      <c r="G2638" s="1286" t="s">
        <v>2406</v>
      </c>
      <c r="H2638" s="34" t="s">
        <v>925</v>
      </c>
    </row>
    <row r="2639" spans="1:8" ht="33">
      <c r="A2639" s="1289">
        <v>1</v>
      </c>
      <c r="B2639" s="1289" t="s">
        <v>1084</v>
      </c>
      <c r="C2639" s="1288" t="s">
        <v>927</v>
      </c>
      <c r="D2639" s="1287">
        <v>1</v>
      </c>
      <c r="E2639" s="1287">
        <v>685.54</v>
      </c>
      <c r="F2639" s="1287">
        <v>685.54</v>
      </c>
      <c r="G2639" s="1286" t="s">
        <v>1085</v>
      </c>
      <c r="H2639" s="34" t="s">
        <v>925</v>
      </c>
    </row>
    <row r="2640" spans="1:8" ht="33">
      <c r="A2640" s="1289">
        <v>2</v>
      </c>
      <c r="B2640" s="1289" t="s">
        <v>1086</v>
      </c>
      <c r="C2640" s="1288" t="s">
        <v>927</v>
      </c>
      <c r="D2640" s="1287">
        <v>1</v>
      </c>
      <c r="E2640" s="1287">
        <v>398.41</v>
      </c>
      <c r="F2640" s="1287">
        <v>398.41</v>
      </c>
      <c r="G2640" s="1286" t="s">
        <v>1087</v>
      </c>
      <c r="H2640" s="34" t="s">
        <v>925</v>
      </c>
    </row>
    <row r="2641" spans="1:8" ht="33">
      <c r="A2641" s="1289">
        <v>3</v>
      </c>
      <c r="B2641" s="1289" t="s">
        <v>4871</v>
      </c>
      <c r="C2641" s="1288" t="s">
        <v>927</v>
      </c>
      <c r="D2641" s="1287">
        <v>1</v>
      </c>
      <c r="E2641" s="1287">
        <v>279.18</v>
      </c>
      <c r="F2641" s="1287">
        <v>279.18</v>
      </c>
      <c r="G2641" s="1286" t="s">
        <v>4872</v>
      </c>
      <c r="H2641" s="34" t="s">
        <v>925</v>
      </c>
    </row>
    <row r="2642" spans="1:8" ht="33">
      <c r="A2642" s="1289">
        <v>4</v>
      </c>
      <c r="B2642" s="1289" t="s">
        <v>2396</v>
      </c>
      <c r="C2642" s="1288" t="s">
        <v>14</v>
      </c>
      <c r="D2642" s="1287">
        <v>1</v>
      </c>
      <c r="E2642" s="1287">
        <v>496.77</v>
      </c>
      <c r="F2642" s="1287">
        <v>496.77</v>
      </c>
      <c r="G2642" s="1286" t="s">
        <v>2397</v>
      </c>
      <c r="H2642" s="34" t="s">
        <v>925</v>
      </c>
    </row>
    <row r="2643" spans="1:8" ht="33">
      <c r="A2643" s="1289">
        <v>5</v>
      </c>
      <c r="B2643" s="1289" t="s">
        <v>2407</v>
      </c>
      <c r="C2643" s="1288" t="s">
        <v>14</v>
      </c>
      <c r="D2643" s="1287">
        <v>1</v>
      </c>
      <c r="E2643" s="1287">
        <v>1490.31</v>
      </c>
      <c r="F2643" s="1287">
        <v>1490.31</v>
      </c>
      <c r="G2643" s="1286" t="s">
        <v>2408</v>
      </c>
      <c r="H2643" s="34" t="s">
        <v>925</v>
      </c>
    </row>
    <row r="2644" spans="1:8" ht="28.5">
      <c r="A2644" s="1289">
        <v>6</v>
      </c>
      <c r="B2644" s="1289" t="s">
        <v>931</v>
      </c>
      <c r="C2644" s="1288" t="s">
        <v>14</v>
      </c>
      <c r="D2644" s="1287">
        <v>1</v>
      </c>
      <c r="E2644" s="1287">
        <v>100.51</v>
      </c>
      <c r="F2644" s="1287">
        <v>100.51</v>
      </c>
      <c r="G2644" s="1286" t="s">
        <v>932</v>
      </c>
    </row>
    <row r="2645" spans="1:8" ht="33">
      <c r="A2645" s="1289"/>
      <c r="B2645" s="1289" t="s">
        <v>933</v>
      </c>
      <c r="C2645" s="1288" t="s">
        <v>3</v>
      </c>
      <c r="D2645" s="1287">
        <v>100</v>
      </c>
      <c r="E2645" s="1287"/>
      <c r="F2645" s="1287">
        <v>3450.7200000000003</v>
      </c>
      <c r="G2645" s="1286"/>
      <c r="H2645" s="34" t="s">
        <v>925</v>
      </c>
    </row>
    <row r="2646" spans="1:8" ht="33">
      <c r="A2646" s="1289"/>
      <c r="B2646" s="1289" t="s">
        <v>934</v>
      </c>
      <c r="C2646" s="1288" t="s">
        <v>3</v>
      </c>
      <c r="D2646" s="1287"/>
      <c r="E2646" s="1287"/>
      <c r="F2646" s="1287">
        <v>34.51</v>
      </c>
      <c r="G2646" s="1286"/>
      <c r="H2646" s="34" t="s">
        <v>925</v>
      </c>
    </row>
    <row r="2647" spans="1:8" ht="33">
      <c r="A2647" s="1289"/>
      <c r="B2647" s="1289"/>
      <c r="C2647" s="1288"/>
      <c r="D2647" s="1287"/>
      <c r="E2647" s="1287"/>
      <c r="F2647" s="1287"/>
      <c r="G2647" s="1286"/>
      <c r="H2647" s="34" t="s">
        <v>925</v>
      </c>
    </row>
    <row r="2648" spans="1:8" ht="33">
      <c r="A2648" s="1289" t="s">
        <v>2598</v>
      </c>
      <c r="B2648" s="1289" t="s">
        <v>2410</v>
      </c>
      <c r="C2648" s="1288" t="s">
        <v>0</v>
      </c>
      <c r="D2648" s="1287">
        <v>100</v>
      </c>
      <c r="E2648" s="1287">
        <v>2276.4499999999998</v>
      </c>
      <c r="F2648" s="1287"/>
      <c r="G2648" s="1286" t="s">
        <v>2411</v>
      </c>
      <c r="H2648" s="34" t="s">
        <v>925</v>
      </c>
    </row>
    <row r="2649" spans="1:8" ht="33">
      <c r="A2649" s="1289">
        <v>1</v>
      </c>
      <c r="B2649" s="1289" t="s">
        <v>1084</v>
      </c>
      <c r="C2649" s="1288" t="s">
        <v>927</v>
      </c>
      <c r="D2649" s="1287">
        <v>16</v>
      </c>
      <c r="E2649" s="1287">
        <v>685.54</v>
      </c>
      <c r="F2649" s="1287">
        <v>10968.64</v>
      </c>
      <c r="G2649" s="1286" t="s">
        <v>1085</v>
      </c>
      <c r="H2649" s="34" t="s">
        <v>925</v>
      </c>
    </row>
    <row r="2650" spans="1:8" ht="33">
      <c r="A2650" s="1289">
        <v>2</v>
      </c>
      <c r="B2650" s="1289" t="s">
        <v>1086</v>
      </c>
      <c r="C2650" s="1288" t="s">
        <v>927</v>
      </c>
      <c r="D2650" s="1287">
        <v>16</v>
      </c>
      <c r="E2650" s="1287">
        <v>398.41</v>
      </c>
      <c r="F2650" s="1287">
        <v>6374.56</v>
      </c>
      <c r="G2650" s="1286" t="s">
        <v>1087</v>
      </c>
      <c r="H2650" s="34" t="s">
        <v>925</v>
      </c>
    </row>
    <row r="2651" spans="1:8" ht="33">
      <c r="A2651" s="1289">
        <v>3</v>
      </c>
      <c r="B2651" s="1289" t="s">
        <v>4871</v>
      </c>
      <c r="C2651" s="1288" t="s">
        <v>927</v>
      </c>
      <c r="D2651" s="1287">
        <v>16</v>
      </c>
      <c r="E2651" s="1287">
        <v>279.18</v>
      </c>
      <c r="F2651" s="1287">
        <v>4466.88</v>
      </c>
      <c r="G2651" s="1286" t="s">
        <v>4872</v>
      </c>
      <c r="H2651" s="34" t="s">
        <v>925</v>
      </c>
    </row>
    <row r="2652" spans="1:8" ht="33">
      <c r="A2652" s="1289">
        <v>4</v>
      </c>
      <c r="B2652" s="1289" t="s">
        <v>2396</v>
      </c>
      <c r="C2652" s="1288" t="s">
        <v>14</v>
      </c>
      <c r="D2652" s="1287">
        <v>1</v>
      </c>
      <c r="E2652" s="1287">
        <v>496.77</v>
      </c>
      <c r="F2652" s="1287">
        <v>496.77</v>
      </c>
      <c r="G2652" s="1286" t="s">
        <v>2397</v>
      </c>
      <c r="H2652" s="34" t="s">
        <v>925</v>
      </c>
    </row>
    <row r="2653" spans="1:8" ht="33">
      <c r="A2653" s="1289">
        <v>5</v>
      </c>
      <c r="B2653" s="1289" t="s">
        <v>2407</v>
      </c>
      <c r="C2653" s="1288" t="s">
        <v>0</v>
      </c>
      <c r="D2653" s="1287">
        <v>100</v>
      </c>
      <c r="E2653" s="1287">
        <v>1987.08</v>
      </c>
      <c r="F2653" s="1287">
        <v>198708</v>
      </c>
      <c r="G2653" s="1286" t="s">
        <v>2412</v>
      </c>
      <c r="H2653" s="34" t="s">
        <v>925</v>
      </c>
    </row>
    <row r="2654" spans="1:8" ht="33">
      <c r="A2654" s="1289">
        <v>6</v>
      </c>
      <c r="B2654" s="1289" t="s">
        <v>931</v>
      </c>
      <c r="C2654" s="1288" t="s">
        <v>14</v>
      </c>
      <c r="D2654" s="1287">
        <v>1</v>
      </c>
      <c r="E2654" s="1287">
        <v>6630.45</v>
      </c>
      <c r="F2654" s="1287">
        <v>6630.45</v>
      </c>
      <c r="G2654" s="1286" t="s">
        <v>932</v>
      </c>
      <c r="H2654" s="34" t="s">
        <v>925</v>
      </c>
    </row>
    <row r="2655" spans="1:8" ht="33">
      <c r="A2655" s="1289"/>
      <c r="B2655" s="1289" t="s">
        <v>933</v>
      </c>
      <c r="C2655" s="1288" t="s">
        <v>0</v>
      </c>
      <c r="D2655" s="1287">
        <v>100</v>
      </c>
      <c r="E2655" s="1287"/>
      <c r="F2655" s="1287">
        <v>227645.30000000002</v>
      </c>
      <c r="G2655" s="1286"/>
      <c r="H2655" s="34" t="s">
        <v>925</v>
      </c>
    </row>
    <row r="2656" spans="1:8" ht="33">
      <c r="A2656" s="1289"/>
      <c r="B2656" s="1289" t="s">
        <v>934</v>
      </c>
      <c r="C2656" s="1288" t="s">
        <v>0</v>
      </c>
      <c r="D2656" s="1287"/>
      <c r="E2656" s="1287"/>
      <c r="F2656" s="1287">
        <v>2276.4499999999998</v>
      </c>
      <c r="G2656" s="1286"/>
      <c r="H2656" s="34" t="s">
        <v>925</v>
      </c>
    </row>
    <row r="2657" spans="1:8" ht="33">
      <c r="A2657" s="1289"/>
      <c r="B2657" s="1289"/>
      <c r="C2657" s="1288"/>
      <c r="D2657" s="1287"/>
      <c r="E2657" s="1287"/>
      <c r="F2657" s="1287"/>
      <c r="G2657" s="1286"/>
      <c r="H2657" s="34" t="s">
        <v>925</v>
      </c>
    </row>
    <row r="2658" spans="1:8" ht="42.75">
      <c r="A2658" s="1289" t="s">
        <v>2601</v>
      </c>
      <c r="B2658" s="1289" t="s">
        <v>4390</v>
      </c>
      <c r="C2658" s="1288" t="s">
        <v>927</v>
      </c>
      <c r="D2658" s="1287">
        <v>8</v>
      </c>
      <c r="E2658" s="1287">
        <v>205.78</v>
      </c>
      <c r="F2658" s="1287"/>
      <c r="G2658" s="1286" t="s">
        <v>4996</v>
      </c>
      <c r="H2658" s="34" t="s">
        <v>925</v>
      </c>
    </row>
    <row r="2659" spans="1:8" ht="57">
      <c r="A2659" s="1289">
        <v>1</v>
      </c>
      <c r="B2659" s="1289" t="s">
        <v>4997</v>
      </c>
      <c r="C2659" s="1288" t="s">
        <v>927</v>
      </c>
      <c r="D2659" s="1287">
        <v>8</v>
      </c>
      <c r="E2659" s="1287">
        <v>62.59</v>
      </c>
      <c r="F2659" s="1287">
        <v>500.72</v>
      </c>
      <c r="G2659" s="1286" t="s">
        <v>4998</v>
      </c>
      <c r="H2659" s="34" t="s">
        <v>925</v>
      </c>
    </row>
    <row r="2660" spans="1:8" ht="42.75">
      <c r="A2660" s="1289">
        <v>2</v>
      </c>
      <c r="B2660" s="1289" t="s">
        <v>4999</v>
      </c>
      <c r="C2660" s="1288" t="s">
        <v>14</v>
      </c>
      <c r="D2660" s="1287">
        <v>1</v>
      </c>
      <c r="E2660" s="1287">
        <v>695.52</v>
      </c>
      <c r="F2660" s="1287">
        <v>695.52</v>
      </c>
      <c r="G2660" s="1286" t="s">
        <v>5000</v>
      </c>
      <c r="H2660" s="34" t="s">
        <v>925</v>
      </c>
    </row>
    <row r="2661" spans="1:8" ht="28.5">
      <c r="A2661" s="1289">
        <v>3</v>
      </c>
      <c r="B2661" s="1289" t="s">
        <v>4871</v>
      </c>
      <c r="C2661" s="1288" t="s">
        <v>927</v>
      </c>
      <c r="D2661" s="1287">
        <v>1.44</v>
      </c>
      <c r="E2661" s="1287">
        <v>279.18</v>
      </c>
      <c r="F2661" s="1287">
        <v>402.02</v>
      </c>
      <c r="G2661" s="1286" t="s">
        <v>4876</v>
      </c>
    </row>
    <row r="2662" spans="1:8" ht="33">
      <c r="A2662" s="1289">
        <v>4</v>
      </c>
      <c r="B2662" s="1289" t="s">
        <v>931</v>
      </c>
      <c r="C2662" s="1288" t="s">
        <v>14</v>
      </c>
      <c r="D2662" s="1287">
        <v>1</v>
      </c>
      <c r="E2662" s="1287">
        <v>47.95</v>
      </c>
      <c r="F2662" s="1287">
        <v>47.95</v>
      </c>
      <c r="G2662" s="1286" t="s">
        <v>932</v>
      </c>
      <c r="H2662" s="34" t="s">
        <v>925</v>
      </c>
    </row>
    <row r="2663" spans="1:8" ht="33">
      <c r="A2663" s="1289"/>
      <c r="B2663" s="1289" t="s">
        <v>933</v>
      </c>
      <c r="C2663" s="1288" t="s">
        <v>927</v>
      </c>
      <c r="D2663" s="1287">
        <v>8</v>
      </c>
      <c r="E2663" s="1287"/>
      <c r="F2663" s="1287">
        <v>1646.21</v>
      </c>
      <c r="G2663" s="1286"/>
      <c r="H2663" s="34" t="s">
        <v>925</v>
      </c>
    </row>
    <row r="2664" spans="1:8" ht="33">
      <c r="A2664" s="1289"/>
      <c r="B2664" s="1289" t="s">
        <v>934</v>
      </c>
      <c r="C2664" s="1288" t="s">
        <v>927</v>
      </c>
      <c r="D2664" s="1287"/>
      <c r="E2664" s="1287"/>
      <c r="F2664" s="1287">
        <v>205.78</v>
      </c>
      <c r="G2664" s="1286"/>
      <c r="H2664" s="34" t="s">
        <v>925</v>
      </c>
    </row>
    <row r="2665" spans="1:8" ht="33">
      <c r="A2665" s="1289"/>
      <c r="B2665" s="1289"/>
      <c r="C2665" s="1288"/>
      <c r="D2665" s="1287"/>
      <c r="E2665" s="1287"/>
      <c r="F2665" s="1287"/>
      <c r="G2665" s="1286"/>
      <c r="H2665" s="34" t="s">
        <v>925</v>
      </c>
    </row>
    <row r="2666" spans="1:8" ht="42.75">
      <c r="A2666" s="1289" t="s">
        <v>2604</v>
      </c>
      <c r="B2666" s="1289" t="s">
        <v>4392</v>
      </c>
      <c r="C2666" s="1288" t="s">
        <v>927</v>
      </c>
      <c r="D2666" s="1287">
        <v>8</v>
      </c>
      <c r="E2666" s="1287">
        <v>161.47</v>
      </c>
      <c r="F2666" s="1287"/>
      <c r="G2666" s="1286" t="s">
        <v>5001</v>
      </c>
      <c r="H2666" s="34" t="s">
        <v>925</v>
      </c>
    </row>
    <row r="2667" spans="1:8" ht="57">
      <c r="A2667" s="1289">
        <v>1</v>
      </c>
      <c r="B2667" s="1289" t="s">
        <v>5002</v>
      </c>
      <c r="C2667" s="1288" t="s">
        <v>927</v>
      </c>
      <c r="D2667" s="1287">
        <v>8</v>
      </c>
      <c r="E2667" s="1287">
        <v>54.64</v>
      </c>
      <c r="F2667" s="1287">
        <v>437.12</v>
      </c>
      <c r="G2667" s="1286" t="s">
        <v>5003</v>
      </c>
      <c r="H2667" s="34" t="s">
        <v>925</v>
      </c>
    </row>
    <row r="2668" spans="1:8" ht="42.75">
      <c r="A2668" s="1289">
        <v>2</v>
      </c>
      <c r="B2668" s="1289" t="s">
        <v>4999</v>
      </c>
      <c r="C2668" s="1288" t="s">
        <v>14</v>
      </c>
      <c r="D2668" s="1287">
        <v>1</v>
      </c>
      <c r="E2668" s="1287">
        <v>616.03</v>
      </c>
      <c r="F2668" s="1287">
        <v>616.03</v>
      </c>
      <c r="G2668" s="1286" t="s">
        <v>5000</v>
      </c>
      <c r="H2668" s="34" t="s">
        <v>925</v>
      </c>
    </row>
    <row r="2669" spans="1:8" ht="33">
      <c r="A2669" s="1289">
        <v>3</v>
      </c>
      <c r="B2669" s="1289" t="s">
        <v>4871</v>
      </c>
      <c r="C2669" s="1288" t="s">
        <v>927</v>
      </c>
      <c r="D2669" s="1287">
        <v>0.72</v>
      </c>
      <c r="E2669" s="1287">
        <v>279.18</v>
      </c>
      <c r="F2669" s="1287">
        <v>201.01</v>
      </c>
      <c r="G2669" s="1286" t="s">
        <v>4876</v>
      </c>
      <c r="H2669" s="34" t="s">
        <v>925</v>
      </c>
    </row>
    <row r="2670" spans="1:8" ht="33">
      <c r="A2670" s="1289">
        <v>4</v>
      </c>
      <c r="B2670" s="1289" t="s">
        <v>931</v>
      </c>
      <c r="C2670" s="1288" t="s">
        <v>14</v>
      </c>
      <c r="D2670" s="1287">
        <v>1</v>
      </c>
      <c r="E2670" s="1287">
        <v>37.619999999999997</v>
      </c>
      <c r="F2670" s="1287">
        <v>37.619999999999997</v>
      </c>
      <c r="G2670" s="1286" t="s">
        <v>932</v>
      </c>
      <c r="H2670" s="34" t="s">
        <v>925</v>
      </c>
    </row>
    <row r="2671" spans="1:8" ht="33">
      <c r="A2671" s="1289"/>
      <c r="B2671" s="1289" t="s">
        <v>933</v>
      </c>
      <c r="C2671" s="1288" t="s">
        <v>927</v>
      </c>
      <c r="D2671" s="1287">
        <v>8</v>
      </c>
      <c r="E2671" s="1287"/>
      <c r="F2671" s="1287">
        <v>1291.78</v>
      </c>
      <c r="G2671" s="1286"/>
      <c r="H2671" s="34" t="s">
        <v>925</v>
      </c>
    </row>
    <row r="2672" spans="1:8" ht="33">
      <c r="A2672" s="1289"/>
      <c r="B2672" s="1289" t="s">
        <v>934</v>
      </c>
      <c r="C2672" s="1288" t="s">
        <v>927</v>
      </c>
      <c r="D2672" s="1287"/>
      <c r="E2672" s="1287"/>
      <c r="F2672" s="1287">
        <v>161.47</v>
      </c>
      <c r="G2672" s="1286"/>
      <c r="H2672" s="34" t="s">
        <v>925</v>
      </c>
    </row>
    <row r="2673" spans="1:8" ht="33">
      <c r="A2673" s="1289"/>
      <c r="B2673" s="1289"/>
      <c r="C2673" s="1288"/>
      <c r="D2673" s="1287"/>
      <c r="E2673" s="1287"/>
      <c r="F2673" s="1287"/>
      <c r="G2673" s="1286"/>
      <c r="H2673" s="34" t="s">
        <v>925</v>
      </c>
    </row>
    <row r="2674" spans="1:8" ht="33">
      <c r="A2674" s="1289" t="s">
        <v>2607</v>
      </c>
      <c r="B2674" s="1289" t="s">
        <v>2381</v>
      </c>
      <c r="C2674" s="1288" t="s">
        <v>927</v>
      </c>
      <c r="D2674" s="1287">
        <v>1</v>
      </c>
      <c r="E2674" s="1287">
        <v>2152.3000000000002</v>
      </c>
      <c r="F2674" s="1287"/>
      <c r="G2674" s="1286" t="s">
        <v>2418</v>
      </c>
      <c r="H2674" s="34" t="s">
        <v>925</v>
      </c>
    </row>
    <row r="2675" spans="1:8" ht="33">
      <c r="A2675" s="1289">
        <v>1</v>
      </c>
      <c r="B2675" s="1289" t="s">
        <v>2419</v>
      </c>
      <c r="C2675" s="1288" t="s">
        <v>927</v>
      </c>
      <c r="D2675" s="1287">
        <v>1</v>
      </c>
      <c r="E2675" s="1287">
        <v>1356.18</v>
      </c>
      <c r="F2675" s="1287">
        <v>1356.18</v>
      </c>
      <c r="G2675" s="1286" t="s">
        <v>2420</v>
      </c>
      <c r="H2675" s="34" t="s">
        <v>925</v>
      </c>
    </row>
    <row r="2676" spans="1:8" ht="42.75">
      <c r="A2676" s="1289">
        <v>2</v>
      </c>
      <c r="B2676" s="1289" t="s">
        <v>4964</v>
      </c>
      <c r="C2676" s="1288" t="s">
        <v>927</v>
      </c>
      <c r="D2676" s="1287">
        <v>1</v>
      </c>
      <c r="E2676" s="1287">
        <v>398.41</v>
      </c>
      <c r="F2676" s="1287">
        <v>398.41</v>
      </c>
      <c r="G2676" s="1286" t="s">
        <v>4965</v>
      </c>
      <c r="H2676" s="34" t="s">
        <v>925</v>
      </c>
    </row>
    <row r="2677" spans="1:8" ht="33">
      <c r="A2677" s="1289">
        <v>3</v>
      </c>
      <c r="B2677" s="1289" t="s">
        <v>4871</v>
      </c>
      <c r="C2677" s="1288" t="s">
        <v>927</v>
      </c>
      <c r="D2677" s="1287">
        <v>1.2</v>
      </c>
      <c r="E2677" s="1287">
        <v>279.18</v>
      </c>
      <c r="F2677" s="1287">
        <v>335.02</v>
      </c>
      <c r="G2677" s="1286" t="s">
        <v>4872</v>
      </c>
      <c r="H2677" s="34" t="s">
        <v>925</v>
      </c>
    </row>
    <row r="2678" spans="1:8" ht="28.5">
      <c r="A2678" s="1289">
        <v>4</v>
      </c>
      <c r="B2678" s="1289" t="s">
        <v>931</v>
      </c>
      <c r="C2678" s="1288" t="s">
        <v>14</v>
      </c>
      <c r="D2678" s="1287">
        <v>1</v>
      </c>
      <c r="E2678" s="1287">
        <v>62.69</v>
      </c>
      <c r="F2678" s="1287">
        <v>62.69</v>
      </c>
      <c r="G2678" s="1286" t="s">
        <v>932</v>
      </c>
    </row>
    <row r="2679" spans="1:8" ht="33">
      <c r="A2679" s="1289"/>
      <c r="B2679" s="1289" t="s">
        <v>933</v>
      </c>
      <c r="C2679" s="1288" t="s">
        <v>927</v>
      </c>
      <c r="D2679" s="1287">
        <v>1</v>
      </c>
      <c r="E2679" s="1287"/>
      <c r="F2679" s="1287">
        <v>2152.3000000000002</v>
      </c>
      <c r="G2679" s="1286"/>
      <c r="H2679" s="34" t="s">
        <v>925</v>
      </c>
    </row>
    <row r="2680" spans="1:8" ht="33">
      <c r="A2680" s="1289"/>
      <c r="B2680" s="1289" t="s">
        <v>934</v>
      </c>
      <c r="C2680" s="1288" t="s">
        <v>927</v>
      </c>
      <c r="D2680" s="1287"/>
      <c r="E2680" s="1287"/>
      <c r="F2680" s="1287">
        <v>2152.3000000000002</v>
      </c>
      <c r="G2680" s="1286"/>
      <c r="H2680" s="34" t="s">
        <v>925</v>
      </c>
    </row>
    <row r="2681" spans="1:8" ht="33">
      <c r="A2681" s="1289"/>
      <c r="B2681" s="1289"/>
      <c r="C2681" s="1288"/>
      <c r="D2681" s="1287"/>
      <c r="E2681" s="1287"/>
      <c r="F2681" s="1287"/>
      <c r="G2681" s="1286"/>
      <c r="H2681" s="34" t="s">
        <v>925</v>
      </c>
    </row>
    <row r="2682" spans="1:8" ht="33">
      <c r="A2682" s="1289" t="s">
        <v>2616</v>
      </c>
      <c r="B2682" s="1289" t="s">
        <v>2422</v>
      </c>
      <c r="C2682" s="1288" t="s">
        <v>927</v>
      </c>
      <c r="D2682" s="1287">
        <v>1</v>
      </c>
      <c r="E2682" s="1287">
        <v>3911.72</v>
      </c>
      <c r="F2682" s="1287"/>
      <c r="G2682" s="1286" t="s">
        <v>2423</v>
      </c>
      <c r="H2682" s="34" t="s">
        <v>925</v>
      </c>
    </row>
    <row r="2683" spans="1:8" ht="33">
      <c r="A2683" s="1289">
        <v>1</v>
      </c>
      <c r="B2683" s="1289" t="s">
        <v>2424</v>
      </c>
      <c r="C2683" s="1288" t="s">
        <v>927</v>
      </c>
      <c r="D2683" s="1287">
        <v>1</v>
      </c>
      <c r="E2683" s="1287">
        <v>2980.61</v>
      </c>
      <c r="F2683" s="1287">
        <v>2980.61</v>
      </c>
      <c r="G2683" s="1286" t="s">
        <v>2425</v>
      </c>
      <c r="H2683" s="34" t="s">
        <v>925</v>
      </c>
    </row>
    <row r="2684" spans="1:8" ht="42.75">
      <c r="A2684" s="1289">
        <v>2</v>
      </c>
      <c r="B2684" s="1289" t="s">
        <v>4964</v>
      </c>
      <c r="C2684" s="1288" t="s">
        <v>927</v>
      </c>
      <c r="D2684" s="1287">
        <v>1</v>
      </c>
      <c r="E2684" s="1287">
        <v>398.41</v>
      </c>
      <c r="F2684" s="1287">
        <v>398.41</v>
      </c>
      <c r="G2684" s="1286" t="s">
        <v>4965</v>
      </c>
      <c r="H2684" s="34" t="s">
        <v>925</v>
      </c>
    </row>
    <row r="2685" spans="1:8" ht="33">
      <c r="A2685" s="1289">
        <v>3</v>
      </c>
      <c r="B2685" s="1289" t="s">
        <v>4871</v>
      </c>
      <c r="C2685" s="1288" t="s">
        <v>927</v>
      </c>
      <c r="D2685" s="1287">
        <v>1.5</v>
      </c>
      <c r="E2685" s="1287">
        <v>279.18</v>
      </c>
      <c r="F2685" s="1287">
        <v>418.77</v>
      </c>
      <c r="G2685" s="1286" t="s">
        <v>4872</v>
      </c>
      <c r="H2685" s="34" t="s">
        <v>925</v>
      </c>
    </row>
    <row r="2686" spans="1:8" ht="33">
      <c r="A2686" s="1289">
        <v>4</v>
      </c>
      <c r="B2686" s="1289" t="s">
        <v>931</v>
      </c>
      <c r="C2686" s="1288" t="s">
        <v>14</v>
      </c>
      <c r="D2686" s="1287">
        <v>1</v>
      </c>
      <c r="E2686" s="1287">
        <v>113.93</v>
      </c>
      <c r="F2686" s="1287">
        <v>113.93</v>
      </c>
      <c r="G2686" s="1286" t="s">
        <v>932</v>
      </c>
      <c r="H2686" s="34" t="s">
        <v>925</v>
      </c>
    </row>
    <row r="2687" spans="1:8" ht="33">
      <c r="A2687" s="1289"/>
      <c r="B2687" s="1289" t="s">
        <v>933</v>
      </c>
      <c r="C2687" s="1288" t="s">
        <v>927</v>
      </c>
      <c r="D2687" s="1287">
        <v>1</v>
      </c>
      <c r="E2687" s="1287"/>
      <c r="F2687" s="1287">
        <v>3911.72</v>
      </c>
      <c r="G2687" s="1286"/>
      <c r="H2687" s="34" t="s">
        <v>925</v>
      </c>
    </row>
    <row r="2688" spans="1:8" ht="33">
      <c r="A2688" s="1289"/>
      <c r="B2688" s="1289" t="s">
        <v>934</v>
      </c>
      <c r="C2688" s="1288" t="s">
        <v>927</v>
      </c>
      <c r="D2688" s="1287"/>
      <c r="E2688" s="1287"/>
      <c r="F2688" s="1287">
        <v>3911.72</v>
      </c>
      <c r="G2688" s="1286"/>
      <c r="H2688" s="34" t="s">
        <v>925</v>
      </c>
    </row>
    <row r="2689" spans="1:8" ht="33">
      <c r="A2689" s="1289"/>
      <c r="B2689" s="1289"/>
      <c r="C2689" s="1288"/>
      <c r="D2689" s="1287"/>
      <c r="E2689" s="1287"/>
      <c r="F2689" s="1287"/>
      <c r="G2689" s="1286"/>
      <c r="H2689" s="34" t="s">
        <v>925</v>
      </c>
    </row>
    <row r="2690" spans="1:8" ht="33">
      <c r="A2690" s="1289" t="s">
        <v>2625</v>
      </c>
      <c r="B2690" s="1289" t="s">
        <v>514</v>
      </c>
      <c r="C2690" s="1288" t="s">
        <v>927</v>
      </c>
      <c r="D2690" s="1287">
        <v>1</v>
      </c>
      <c r="E2690" s="1287">
        <v>925.39</v>
      </c>
      <c r="F2690" s="1287"/>
      <c r="G2690" s="1286" t="s">
        <v>2427</v>
      </c>
      <c r="H2690" s="34" t="s">
        <v>925</v>
      </c>
    </row>
    <row r="2691" spans="1:8" ht="42.75">
      <c r="A2691" s="1289">
        <v>1</v>
      </c>
      <c r="B2691" s="1289" t="s">
        <v>2428</v>
      </c>
      <c r="C2691" s="1288" t="s">
        <v>927</v>
      </c>
      <c r="D2691" s="1287">
        <v>1</v>
      </c>
      <c r="E2691" s="1287">
        <v>248.38</v>
      </c>
      <c r="F2691" s="1287">
        <v>248.38</v>
      </c>
      <c r="G2691" s="1286" t="s">
        <v>2429</v>
      </c>
      <c r="H2691" s="34" t="s">
        <v>925</v>
      </c>
    </row>
    <row r="2692" spans="1:8" ht="33">
      <c r="A2692" s="1289">
        <v>2</v>
      </c>
      <c r="B2692" s="1289" t="s">
        <v>1767</v>
      </c>
      <c r="C2692" s="1288" t="s">
        <v>14</v>
      </c>
      <c r="D2692" s="1287">
        <v>1</v>
      </c>
      <c r="E2692" s="1287">
        <v>248.38</v>
      </c>
      <c r="F2692" s="1287">
        <v>248.38</v>
      </c>
      <c r="G2692" s="1286" t="s">
        <v>1768</v>
      </c>
      <c r="H2692" s="34" t="s">
        <v>925</v>
      </c>
    </row>
    <row r="2693" spans="1:8" ht="33">
      <c r="A2693" s="1289">
        <v>3</v>
      </c>
      <c r="B2693" s="1289" t="s">
        <v>4871</v>
      </c>
      <c r="C2693" s="1288" t="s">
        <v>927</v>
      </c>
      <c r="D2693" s="1287">
        <v>0.3</v>
      </c>
      <c r="E2693" s="1287">
        <v>279.18</v>
      </c>
      <c r="F2693" s="1287">
        <v>83.75</v>
      </c>
      <c r="G2693" s="1286" t="s">
        <v>4872</v>
      </c>
      <c r="H2693" s="34" t="s">
        <v>925</v>
      </c>
    </row>
    <row r="2694" spans="1:8" ht="33">
      <c r="A2694" s="1289">
        <v>4</v>
      </c>
      <c r="B2694" s="1289" t="s">
        <v>2430</v>
      </c>
      <c r="C2694" s="1288" t="s">
        <v>14</v>
      </c>
      <c r="D2694" s="1287">
        <v>1</v>
      </c>
      <c r="E2694" s="1287">
        <v>317.93</v>
      </c>
      <c r="F2694" s="1287">
        <v>317.93</v>
      </c>
      <c r="G2694" s="1286" t="s">
        <v>2431</v>
      </c>
      <c r="H2694" s="34" t="s">
        <v>925</v>
      </c>
    </row>
    <row r="2695" spans="1:8" ht="28.5">
      <c r="A2695" s="1289">
        <v>5</v>
      </c>
      <c r="B2695" s="1289" t="s">
        <v>931</v>
      </c>
      <c r="C2695" s="1288" t="s">
        <v>14</v>
      </c>
      <c r="D2695" s="1287">
        <v>1</v>
      </c>
      <c r="E2695" s="1287">
        <v>26.95</v>
      </c>
      <c r="F2695" s="1287">
        <v>26.95</v>
      </c>
      <c r="G2695" s="1286" t="s">
        <v>932</v>
      </c>
    </row>
    <row r="2696" spans="1:8" ht="33">
      <c r="A2696" s="1289"/>
      <c r="B2696" s="1289" t="s">
        <v>933</v>
      </c>
      <c r="C2696" s="1288" t="s">
        <v>927</v>
      </c>
      <c r="D2696" s="1287">
        <v>1</v>
      </c>
      <c r="E2696" s="1287"/>
      <c r="F2696" s="1287">
        <v>925.3900000000001</v>
      </c>
      <c r="G2696" s="1286"/>
      <c r="H2696" s="34" t="s">
        <v>925</v>
      </c>
    </row>
    <row r="2697" spans="1:8" ht="33">
      <c r="A2697" s="1289"/>
      <c r="B2697" s="1289" t="s">
        <v>934</v>
      </c>
      <c r="C2697" s="1288" t="s">
        <v>927</v>
      </c>
      <c r="D2697" s="1287"/>
      <c r="E2697" s="1287"/>
      <c r="F2697" s="1287">
        <v>925.39</v>
      </c>
      <c r="G2697" s="1286"/>
      <c r="H2697" s="34" t="s">
        <v>925</v>
      </c>
    </row>
    <row r="2698" spans="1:8" ht="33">
      <c r="A2698" s="1289"/>
      <c r="B2698" s="1289"/>
      <c r="C2698" s="1288"/>
      <c r="D2698" s="1287"/>
      <c r="E2698" s="1287"/>
      <c r="F2698" s="1287"/>
      <c r="G2698" s="1286"/>
      <c r="H2698" s="34" t="s">
        <v>925</v>
      </c>
    </row>
    <row r="2699" spans="1:8" ht="33">
      <c r="A2699" s="1289" t="s">
        <v>2630</v>
      </c>
      <c r="B2699" s="1289" t="s">
        <v>2433</v>
      </c>
      <c r="C2699" s="1288" t="s">
        <v>927</v>
      </c>
      <c r="D2699" s="1287">
        <v>1</v>
      </c>
      <c r="E2699" s="1287">
        <v>904.93</v>
      </c>
      <c r="F2699" s="1287"/>
      <c r="G2699" s="1286" t="s">
        <v>2434</v>
      </c>
      <c r="H2699" s="34" t="s">
        <v>925</v>
      </c>
    </row>
    <row r="2700" spans="1:8" ht="33">
      <c r="A2700" s="1289">
        <v>1</v>
      </c>
      <c r="B2700" s="1289" t="s">
        <v>2435</v>
      </c>
      <c r="C2700" s="1288" t="s">
        <v>927</v>
      </c>
      <c r="D2700" s="1287">
        <v>1</v>
      </c>
      <c r="E2700" s="1287">
        <v>228.51</v>
      </c>
      <c r="F2700" s="1287">
        <v>228.51</v>
      </c>
      <c r="G2700" s="1286" t="s">
        <v>2436</v>
      </c>
      <c r="H2700" s="34" t="s">
        <v>925</v>
      </c>
    </row>
    <row r="2701" spans="1:8" ht="33">
      <c r="A2701" s="1289">
        <v>2</v>
      </c>
      <c r="B2701" s="1289" t="s">
        <v>4871</v>
      </c>
      <c r="C2701" s="1288" t="s">
        <v>927</v>
      </c>
      <c r="D2701" s="1287">
        <v>0.3</v>
      </c>
      <c r="E2701" s="1287">
        <v>279.18</v>
      </c>
      <c r="F2701" s="1287">
        <v>83.75</v>
      </c>
      <c r="G2701" s="1286" t="s">
        <v>4872</v>
      </c>
      <c r="H2701" s="34" t="s">
        <v>925</v>
      </c>
    </row>
    <row r="2702" spans="1:8" ht="33">
      <c r="A2702" s="1289">
        <v>3</v>
      </c>
      <c r="B2702" s="1289" t="s">
        <v>2430</v>
      </c>
      <c r="C2702" s="1288" t="s">
        <v>14</v>
      </c>
      <c r="D2702" s="1287">
        <v>1</v>
      </c>
      <c r="E2702" s="1287">
        <v>317.93</v>
      </c>
      <c r="F2702" s="1287">
        <v>317.93</v>
      </c>
      <c r="G2702" s="1286" t="s">
        <v>2431</v>
      </c>
      <c r="H2702" s="34" t="s">
        <v>925</v>
      </c>
    </row>
    <row r="2703" spans="1:8" ht="33">
      <c r="A2703" s="1289">
        <v>4</v>
      </c>
      <c r="B2703" s="1289" t="s">
        <v>1767</v>
      </c>
      <c r="C2703" s="1288" t="s">
        <v>14</v>
      </c>
      <c r="D2703" s="1287">
        <v>1</v>
      </c>
      <c r="E2703" s="1287">
        <v>248.38</v>
      </c>
      <c r="F2703" s="1287">
        <v>248.38</v>
      </c>
      <c r="G2703" s="1286" t="s">
        <v>1768</v>
      </c>
      <c r="H2703" s="34" t="s">
        <v>925</v>
      </c>
    </row>
    <row r="2704" spans="1:8" ht="33">
      <c r="A2704" s="1289">
        <v>5</v>
      </c>
      <c r="B2704" s="1289" t="s">
        <v>931</v>
      </c>
      <c r="C2704" s="1288" t="s">
        <v>14</v>
      </c>
      <c r="D2704" s="1287">
        <v>1</v>
      </c>
      <c r="E2704" s="1287">
        <v>26.36</v>
      </c>
      <c r="F2704" s="1287">
        <v>26.36</v>
      </c>
      <c r="G2704" s="1286" t="s">
        <v>932</v>
      </c>
      <c r="H2704" s="34" t="s">
        <v>925</v>
      </c>
    </row>
    <row r="2705" spans="1:8" ht="33">
      <c r="A2705" s="1289"/>
      <c r="B2705" s="1289" t="s">
        <v>933</v>
      </c>
      <c r="C2705" s="1288" t="s">
        <v>927</v>
      </c>
      <c r="D2705" s="1287">
        <v>1</v>
      </c>
      <c r="E2705" s="1287"/>
      <c r="F2705" s="1287">
        <v>904.93000000000006</v>
      </c>
      <c r="G2705" s="1286"/>
      <c r="H2705" s="34" t="s">
        <v>925</v>
      </c>
    </row>
    <row r="2706" spans="1:8" ht="33">
      <c r="A2706" s="1289"/>
      <c r="B2706" s="1289" t="s">
        <v>934</v>
      </c>
      <c r="C2706" s="1288" t="s">
        <v>927</v>
      </c>
      <c r="D2706" s="1287"/>
      <c r="E2706" s="1287"/>
      <c r="F2706" s="1287">
        <v>904.93</v>
      </c>
      <c r="G2706" s="1286"/>
      <c r="H2706" s="34" t="s">
        <v>925</v>
      </c>
    </row>
    <row r="2707" spans="1:8" ht="33">
      <c r="A2707" s="1289"/>
      <c r="B2707" s="1289"/>
      <c r="C2707" s="1288"/>
      <c r="D2707" s="1287"/>
      <c r="E2707" s="1287"/>
      <c r="F2707" s="1287"/>
      <c r="G2707" s="1286"/>
      <c r="H2707" s="34" t="s">
        <v>925</v>
      </c>
    </row>
    <row r="2708" spans="1:8" ht="33">
      <c r="A2708" s="1289" t="s">
        <v>2641</v>
      </c>
      <c r="B2708" s="1289" t="s">
        <v>2438</v>
      </c>
      <c r="C2708" s="1288" t="s">
        <v>927</v>
      </c>
      <c r="D2708" s="1287">
        <v>1</v>
      </c>
      <c r="E2708" s="1287">
        <v>802.6</v>
      </c>
      <c r="F2708" s="1287"/>
      <c r="G2708" s="1286" t="s">
        <v>2439</v>
      </c>
      <c r="H2708" s="34" t="s">
        <v>925</v>
      </c>
    </row>
    <row r="2709" spans="1:8" ht="33">
      <c r="A2709" s="1289">
        <v>1</v>
      </c>
      <c r="B2709" s="1289" t="s">
        <v>2440</v>
      </c>
      <c r="C2709" s="1288" t="s">
        <v>927</v>
      </c>
      <c r="D2709" s="1287">
        <v>1</v>
      </c>
      <c r="E2709" s="1287">
        <v>129.16</v>
      </c>
      <c r="F2709" s="1287">
        <v>129.16</v>
      </c>
      <c r="G2709" s="1286" t="s">
        <v>2441</v>
      </c>
      <c r="H2709" s="34" t="s">
        <v>925</v>
      </c>
    </row>
    <row r="2710" spans="1:8" ht="33">
      <c r="A2710" s="1289">
        <v>2</v>
      </c>
      <c r="B2710" s="1289" t="s">
        <v>4871</v>
      </c>
      <c r="C2710" s="1288" t="s">
        <v>927</v>
      </c>
      <c r="D2710" s="1287">
        <v>0.3</v>
      </c>
      <c r="E2710" s="1287">
        <v>279.18</v>
      </c>
      <c r="F2710" s="1287">
        <v>83.75</v>
      </c>
      <c r="G2710" s="1286" t="s">
        <v>4872</v>
      </c>
      <c r="H2710" s="34" t="s">
        <v>925</v>
      </c>
    </row>
    <row r="2711" spans="1:8" ht="33">
      <c r="A2711" s="1289">
        <v>3</v>
      </c>
      <c r="B2711" s="1289" t="s">
        <v>2430</v>
      </c>
      <c r="C2711" s="1288" t="s">
        <v>14</v>
      </c>
      <c r="D2711" s="1287">
        <v>1</v>
      </c>
      <c r="E2711" s="1287">
        <v>317.93</v>
      </c>
      <c r="F2711" s="1287">
        <v>317.93</v>
      </c>
      <c r="G2711" s="1286" t="s">
        <v>2431</v>
      </c>
      <c r="H2711" s="34" t="s">
        <v>925</v>
      </c>
    </row>
    <row r="2712" spans="1:8" ht="28.5">
      <c r="A2712" s="1289">
        <v>4</v>
      </c>
      <c r="B2712" s="1289" t="s">
        <v>1767</v>
      </c>
      <c r="C2712" s="1288" t="s">
        <v>14</v>
      </c>
      <c r="D2712" s="1287">
        <v>1</v>
      </c>
      <c r="E2712" s="1287">
        <v>248.38</v>
      </c>
      <c r="F2712" s="1287">
        <v>248.38</v>
      </c>
      <c r="G2712" s="1286" t="s">
        <v>1768</v>
      </c>
    </row>
    <row r="2713" spans="1:8" ht="33">
      <c r="A2713" s="1289">
        <v>5</v>
      </c>
      <c r="B2713" s="1289" t="s">
        <v>931</v>
      </c>
      <c r="C2713" s="1288" t="s">
        <v>14</v>
      </c>
      <c r="D2713" s="1287">
        <v>1</v>
      </c>
      <c r="E2713" s="1287">
        <v>23.38</v>
      </c>
      <c r="F2713" s="1287">
        <v>23.38</v>
      </c>
      <c r="G2713" s="1286" t="s">
        <v>932</v>
      </c>
      <c r="H2713" s="34" t="s">
        <v>925</v>
      </c>
    </row>
    <row r="2714" spans="1:8" ht="33">
      <c r="A2714" s="1289"/>
      <c r="B2714" s="1289" t="s">
        <v>933</v>
      </c>
      <c r="C2714" s="1288" t="s">
        <v>927</v>
      </c>
      <c r="D2714" s="1287">
        <v>1</v>
      </c>
      <c r="E2714" s="1287"/>
      <c r="F2714" s="1287">
        <v>802.6</v>
      </c>
      <c r="G2714" s="1286"/>
      <c r="H2714" s="34" t="s">
        <v>925</v>
      </c>
    </row>
    <row r="2715" spans="1:8" ht="33">
      <c r="A2715" s="1289"/>
      <c r="B2715" s="1289" t="s">
        <v>934</v>
      </c>
      <c r="C2715" s="1288" t="s">
        <v>927</v>
      </c>
      <c r="D2715" s="1287"/>
      <c r="E2715" s="1287"/>
      <c r="F2715" s="1287">
        <v>802.6</v>
      </c>
      <c r="G2715" s="1286"/>
      <c r="H2715" s="34" t="s">
        <v>925</v>
      </c>
    </row>
    <row r="2716" spans="1:8" ht="33">
      <c r="A2716" s="1289"/>
      <c r="B2716" s="1289"/>
      <c r="C2716" s="1288"/>
      <c r="D2716" s="1287"/>
      <c r="E2716" s="1287"/>
      <c r="F2716" s="1287"/>
      <c r="G2716" s="1286"/>
      <c r="H2716" s="34" t="s">
        <v>925</v>
      </c>
    </row>
    <row r="2717" spans="1:8" ht="33">
      <c r="A2717" s="1289" t="s">
        <v>2652</v>
      </c>
      <c r="B2717" s="1289" t="s">
        <v>2443</v>
      </c>
      <c r="C2717" s="1288" t="s">
        <v>4395</v>
      </c>
      <c r="D2717" s="1287">
        <v>1</v>
      </c>
      <c r="E2717" s="1287">
        <v>31166.95</v>
      </c>
      <c r="F2717" s="1287"/>
      <c r="G2717" s="1286" t="s">
        <v>2445</v>
      </c>
      <c r="H2717" s="34" t="s">
        <v>925</v>
      </c>
    </row>
    <row r="2718" spans="1:8" ht="33">
      <c r="A2718" s="1289">
        <v>1</v>
      </c>
      <c r="B2718" s="1289" t="s">
        <v>2446</v>
      </c>
      <c r="C2718" s="1288" t="s">
        <v>2447</v>
      </c>
      <c r="D2718" s="1287">
        <v>1</v>
      </c>
      <c r="E2718" s="1287">
        <v>24838.45</v>
      </c>
      <c r="F2718" s="1287">
        <v>24838.45</v>
      </c>
      <c r="G2718" s="1286" t="s">
        <v>2448</v>
      </c>
      <c r="H2718" s="34" t="s">
        <v>925</v>
      </c>
    </row>
    <row r="2719" spans="1:8" ht="33">
      <c r="A2719" s="1289">
        <v>2</v>
      </c>
      <c r="B2719" s="1289" t="s">
        <v>2449</v>
      </c>
      <c r="C2719" s="1288" t="s">
        <v>927</v>
      </c>
      <c r="D2719" s="1287">
        <v>8</v>
      </c>
      <c r="E2719" s="1287">
        <v>398.41</v>
      </c>
      <c r="F2719" s="1287">
        <v>3187.28</v>
      </c>
      <c r="G2719" s="1286" t="s">
        <v>2450</v>
      </c>
      <c r="H2719" s="34" t="s">
        <v>925</v>
      </c>
    </row>
    <row r="2720" spans="1:8" ht="33">
      <c r="A2720" s="1289">
        <v>3</v>
      </c>
      <c r="B2720" s="1289" t="s">
        <v>4871</v>
      </c>
      <c r="C2720" s="1288" t="s">
        <v>927</v>
      </c>
      <c r="D2720" s="1287">
        <v>8</v>
      </c>
      <c r="E2720" s="1287">
        <v>279.18</v>
      </c>
      <c r="F2720" s="1287">
        <v>2233.44</v>
      </c>
      <c r="G2720" s="1286" t="s">
        <v>4872</v>
      </c>
      <c r="H2720" s="34" t="s">
        <v>925</v>
      </c>
    </row>
    <row r="2721" spans="1:8" ht="33">
      <c r="A2721" s="1289">
        <v>4</v>
      </c>
      <c r="B2721" s="1289" t="s">
        <v>931</v>
      </c>
      <c r="C2721" s="1288" t="s">
        <v>14</v>
      </c>
      <c r="D2721" s="1287">
        <v>1</v>
      </c>
      <c r="E2721" s="1287">
        <v>907.78</v>
      </c>
      <c r="F2721" s="1287">
        <v>907.78</v>
      </c>
      <c r="G2721" s="1286" t="s">
        <v>932</v>
      </c>
      <c r="H2721" s="34" t="s">
        <v>925</v>
      </c>
    </row>
    <row r="2722" spans="1:8" ht="33">
      <c r="A2722" s="1289"/>
      <c r="B2722" s="1289" t="s">
        <v>933</v>
      </c>
      <c r="C2722" s="1288" t="s">
        <v>4395</v>
      </c>
      <c r="D2722" s="1287">
        <v>1</v>
      </c>
      <c r="E2722" s="1287"/>
      <c r="F2722" s="1287">
        <v>31166.949999999997</v>
      </c>
      <c r="G2722" s="1286"/>
      <c r="H2722" s="34" t="s">
        <v>925</v>
      </c>
    </row>
    <row r="2723" spans="1:8" ht="33">
      <c r="A2723" s="1289"/>
      <c r="B2723" s="1289" t="s">
        <v>934</v>
      </c>
      <c r="C2723" s="1288" t="s">
        <v>4395</v>
      </c>
      <c r="D2723" s="1287"/>
      <c r="E2723" s="1287"/>
      <c r="F2723" s="1287">
        <v>31166.95</v>
      </c>
      <c r="G2723" s="1286"/>
      <c r="H2723" s="34" t="s">
        <v>925</v>
      </c>
    </row>
    <row r="2724" spans="1:8" ht="33">
      <c r="A2724" s="1289"/>
      <c r="B2724" s="1289"/>
      <c r="C2724" s="1288"/>
      <c r="D2724" s="1287"/>
      <c r="E2724" s="1287"/>
      <c r="F2724" s="1287"/>
      <c r="G2724" s="1286"/>
      <c r="H2724" s="34" t="s">
        <v>925</v>
      </c>
    </row>
    <row r="2725" spans="1:8" ht="33">
      <c r="A2725" s="1289" t="s">
        <v>2662</v>
      </c>
      <c r="B2725" s="1289" t="s">
        <v>515</v>
      </c>
      <c r="C2725" s="1288" t="s">
        <v>0</v>
      </c>
      <c r="D2725" s="1287">
        <v>100</v>
      </c>
      <c r="E2725" s="1287">
        <v>3341.03</v>
      </c>
      <c r="F2725" s="1287"/>
      <c r="G2725" s="1286" t="s">
        <v>2452</v>
      </c>
      <c r="H2725" s="34" t="s">
        <v>925</v>
      </c>
    </row>
    <row r="2726" spans="1:8" ht="33">
      <c r="A2726" s="1289">
        <v>1</v>
      </c>
      <c r="B2726" s="1289" t="s">
        <v>1297</v>
      </c>
      <c r="C2726" s="1288" t="s">
        <v>1121</v>
      </c>
      <c r="D2726" s="1287">
        <v>111</v>
      </c>
      <c r="E2726" s="1287">
        <v>710.38</v>
      </c>
      <c r="F2726" s="1287">
        <v>78852.179999999993</v>
      </c>
      <c r="G2726" s="1286" t="s">
        <v>1298</v>
      </c>
      <c r="H2726" s="34" t="s">
        <v>925</v>
      </c>
    </row>
    <row r="2727" spans="1:8" ht="33">
      <c r="A2727" s="1289">
        <v>2</v>
      </c>
      <c r="B2727" s="1289" t="s">
        <v>2453</v>
      </c>
      <c r="C2727" s="1288" t="s">
        <v>1121</v>
      </c>
      <c r="D2727" s="1287">
        <v>111</v>
      </c>
      <c r="E2727" s="1287">
        <v>119.22</v>
      </c>
      <c r="F2727" s="1287">
        <v>13233.42</v>
      </c>
      <c r="G2727" s="1286" t="s">
        <v>2454</v>
      </c>
      <c r="H2727" s="34" t="s">
        <v>925</v>
      </c>
    </row>
    <row r="2728" spans="1:8" ht="33">
      <c r="A2728" s="1289">
        <v>3</v>
      </c>
      <c r="B2728" s="1289" t="s">
        <v>2455</v>
      </c>
      <c r="C2728" s="1288" t="s">
        <v>14</v>
      </c>
      <c r="D2728" s="1287">
        <v>1</v>
      </c>
      <c r="E2728" s="1287">
        <v>8941.84</v>
      </c>
      <c r="F2728" s="1287">
        <v>8941.84</v>
      </c>
      <c r="G2728" s="1286" t="s">
        <v>2456</v>
      </c>
      <c r="H2728" s="34" t="s">
        <v>925</v>
      </c>
    </row>
    <row r="2729" spans="1:8" ht="28.5">
      <c r="A2729" s="1289">
        <v>4</v>
      </c>
      <c r="B2729" s="1289" t="s">
        <v>4871</v>
      </c>
      <c r="C2729" s="1288" t="s">
        <v>927</v>
      </c>
      <c r="D2729" s="1287">
        <v>800</v>
      </c>
      <c r="E2729" s="1287">
        <v>279.18</v>
      </c>
      <c r="F2729" s="1287">
        <v>223344</v>
      </c>
      <c r="G2729" s="1286" t="s">
        <v>4872</v>
      </c>
    </row>
    <row r="2730" spans="1:8" ht="33">
      <c r="A2730" s="1289">
        <v>5</v>
      </c>
      <c r="B2730" s="1289" t="s">
        <v>931</v>
      </c>
      <c r="C2730" s="1288" t="s">
        <v>14</v>
      </c>
      <c r="D2730" s="1287">
        <v>1</v>
      </c>
      <c r="E2730" s="1287">
        <v>9731.14</v>
      </c>
      <c r="F2730" s="1287">
        <v>9731.14</v>
      </c>
      <c r="G2730" s="1286" t="s">
        <v>932</v>
      </c>
      <c r="H2730" s="34" t="s">
        <v>925</v>
      </c>
    </row>
    <row r="2731" spans="1:8" ht="33">
      <c r="A2731" s="1289"/>
      <c r="B2731" s="1289" t="s">
        <v>933</v>
      </c>
      <c r="C2731" s="1288" t="s">
        <v>0</v>
      </c>
      <c r="D2731" s="1287">
        <v>100</v>
      </c>
      <c r="E2731" s="1287"/>
      <c r="F2731" s="1287">
        <v>334102.58</v>
      </c>
      <c r="G2731" s="1286"/>
      <c r="H2731" s="34" t="s">
        <v>925</v>
      </c>
    </row>
    <row r="2732" spans="1:8" ht="33">
      <c r="A2732" s="1289"/>
      <c r="B2732" s="1289" t="s">
        <v>934</v>
      </c>
      <c r="C2732" s="1288" t="s">
        <v>0</v>
      </c>
      <c r="D2732" s="1287"/>
      <c r="E2732" s="1287"/>
      <c r="F2732" s="1287">
        <v>3341.03</v>
      </c>
      <c r="G2732" s="1286"/>
      <c r="H2732" s="34" t="s">
        <v>925</v>
      </c>
    </row>
    <row r="2733" spans="1:8" ht="33">
      <c r="A2733" s="1289"/>
      <c r="B2733" s="1289"/>
      <c r="C2733" s="1288"/>
      <c r="D2733" s="1287"/>
      <c r="E2733" s="1287"/>
      <c r="F2733" s="1287"/>
      <c r="G2733" s="1286"/>
      <c r="H2733" s="34" t="s">
        <v>925</v>
      </c>
    </row>
    <row r="2734" spans="1:8" ht="33">
      <c r="A2734" s="1289" t="s">
        <v>2669</v>
      </c>
      <c r="B2734" s="1289" t="s">
        <v>2458</v>
      </c>
      <c r="C2734" s="1288" t="s">
        <v>2335</v>
      </c>
      <c r="D2734" s="1287">
        <v>5</v>
      </c>
      <c r="E2734" s="1287">
        <v>821.06</v>
      </c>
      <c r="F2734" s="1287"/>
      <c r="G2734" s="1286" t="s">
        <v>2459</v>
      </c>
      <c r="H2734" s="34" t="s">
        <v>925</v>
      </c>
    </row>
    <row r="2735" spans="1:8" ht="33">
      <c r="A2735" s="1289">
        <v>1</v>
      </c>
      <c r="B2735" s="1289" t="s">
        <v>2460</v>
      </c>
      <c r="C2735" s="1288" t="s">
        <v>927</v>
      </c>
      <c r="D2735" s="1287">
        <v>8</v>
      </c>
      <c r="E2735" s="1287">
        <v>398.41</v>
      </c>
      <c r="F2735" s="1287">
        <v>3187.28</v>
      </c>
      <c r="G2735" s="1286" t="s">
        <v>2461</v>
      </c>
      <c r="H2735" s="34" t="s">
        <v>925</v>
      </c>
    </row>
    <row r="2736" spans="1:8" ht="33">
      <c r="A2736" s="1289">
        <v>2</v>
      </c>
      <c r="B2736" s="1289" t="s">
        <v>2462</v>
      </c>
      <c r="C2736" s="1288" t="s">
        <v>927</v>
      </c>
      <c r="D2736" s="1287">
        <v>4</v>
      </c>
      <c r="E2736" s="1287">
        <v>178.84</v>
      </c>
      <c r="F2736" s="1287">
        <v>715.36</v>
      </c>
      <c r="G2736" s="1286" t="s">
        <v>2463</v>
      </c>
      <c r="H2736" s="34" t="s">
        <v>925</v>
      </c>
    </row>
    <row r="2737" spans="1:8" ht="33">
      <c r="A2737" s="1289">
        <v>3</v>
      </c>
      <c r="B2737" s="1289" t="s">
        <v>2464</v>
      </c>
      <c r="C2737" s="1288" t="s">
        <v>14</v>
      </c>
      <c r="D2737" s="1287">
        <v>1</v>
      </c>
      <c r="E2737" s="1287">
        <v>99.35</v>
      </c>
      <c r="F2737" s="1287">
        <v>99.35</v>
      </c>
      <c r="G2737" s="1286" t="s">
        <v>2465</v>
      </c>
      <c r="H2737" s="34" t="s">
        <v>925</v>
      </c>
    </row>
    <row r="2738" spans="1:8" ht="33">
      <c r="A2738" s="1289">
        <v>4</v>
      </c>
      <c r="B2738" s="1289" t="s">
        <v>931</v>
      </c>
      <c r="C2738" s="1288" t="s">
        <v>14</v>
      </c>
      <c r="D2738" s="1287">
        <v>1</v>
      </c>
      <c r="E2738" s="1287">
        <v>103.31</v>
      </c>
      <c r="F2738" s="1287">
        <v>103.31</v>
      </c>
      <c r="G2738" s="1286" t="s">
        <v>2466</v>
      </c>
      <c r="H2738" s="34" t="s">
        <v>925</v>
      </c>
    </row>
    <row r="2739" spans="1:8" ht="33">
      <c r="A2739" s="1289"/>
      <c r="B2739" s="1289" t="s">
        <v>933</v>
      </c>
      <c r="C2739" s="1288" t="s">
        <v>2335</v>
      </c>
      <c r="D2739" s="1287">
        <v>5</v>
      </c>
      <c r="E2739" s="1287"/>
      <c r="F2739" s="1287">
        <v>4105.3</v>
      </c>
      <c r="G2739" s="1286"/>
      <c r="H2739" s="34" t="s">
        <v>925</v>
      </c>
    </row>
    <row r="2740" spans="1:8" ht="33">
      <c r="A2740" s="1289"/>
      <c r="B2740" s="1289" t="s">
        <v>934</v>
      </c>
      <c r="C2740" s="1288" t="s">
        <v>2335</v>
      </c>
      <c r="D2740" s="1287"/>
      <c r="E2740" s="1287"/>
      <c r="F2740" s="1287">
        <v>821.06</v>
      </c>
      <c r="G2740" s="1286"/>
      <c r="H2740" s="34" t="s">
        <v>925</v>
      </c>
    </row>
    <row r="2741" spans="1:8" ht="33">
      <c r="A2741" s="1289"/>
      <c r="B2741" s="1289"/>
      <c r="C2741" s="1288"/>
      <c r="D2741" s="1287"/>
      <c r="E2741" s="1287"/>
      <c r="F2741" s="1287"/>
      <c r="G2741" s="1286"/>
      <c r="H2741" s="34" t="s">
        <v>925</v>
      </c>
    </row>
    <row r="2742" spans="1:8" ht="33">
      <c r="A2742" s="1289" t="s">
        <v>2677</v>
      </c>
      <c r="B2742" s="1289" t="s">
        <v>2468</v>
      </c>
      <c r="C2742" s="1288" t="s">
        <v>0</v>
      </c>
      <c r="D2742" s="1287">
        <v>1</v>
      </c>
      <c r="E2742" s="1287">
        <v>49474.07</v>
      </c>
      <c r="F2742" s="1287"/>
      <c r="G2742" s="1286" t="s">
        <v>2469</v>
      </c>
      <c r="H2742" s="34" t="s">
        <v>925</v>
      </c>
    </row>
    <row r="2743" spans="1:8" ht="33">
      <c r="A2743" s="1289">
        <v>1</v>
      </c>
      <c r="B2743" s="1289" t="s">
        <v>2470</v>
      </c>
      <c r="C2743" s="1288" t="s">
        <v>18</v>
      </c>
      <c r="D2743" s="1287">
        <v>2400</v>
      </c>
      <c r="E2743" s="1287">
        <v>19.87</v>
      </c>
      <c r="F2743" s="1287">
        <v>47688</v>
      </c>
      <c r="G2743" s="1286" t="s">
        <v>2471</v>
      </c>
      <c r="H2743" s="34" t="s">
        <v>925</v>
      </c>
    </row>
    <row r="2744" spans="1:8" ht="33">
      <c r="A2744" s="1289">
        <v>2</v>
      </c>
      <c r="B2744" s="1289" t="s">
        <v>2472</v>
      </c>
      <c r="C2744" s="1288" t="s">
        <v>15</v>
      </c>
      <c r="D2744" s="1287">
        <v>1</v>
      </c>
      <c r="E2744" s="1287">
        <v>345.08</v>
      </c>
      <c r="F2744" s="1287">
        <v>345.08</v>
      </c>
      <c r="G2744" s="1286" t="s">
        <v>2473</v>
      </c>
      <c r="H2744" s="34" t="s">
        <v>925</v>
      </c>
    </row>
    <row r="2745" spans="1:8" ht="33">
      <c r="A2745" s="1289">
        <v>3</v>
      </c>
      <c r="B2745" s="1289" t="s">
        <v>931</v>
      </c>
      <c r="C2745" s="1288" t="s">
        <v>14</v>
      </c>
      <c r="D2745" s="1287">
        <v>1</v>
      </c>
      <c r="E2745" s="1287">
        <v>1440.99</v>
      </c>
      <c r="F2745" s="1287">
        <v>1440.99</v>
      </c>
      <c r="G2745" s="1286" t="s">
        <v>932</v>
      </c>
      <c r="H2745" s="34" t="s">
        <v>925</v>
      </c>
    </row>
    <row r="2746" spans="1:8" ht="16.5">
      <c r="A2746" s="1289"/>
      <c r="B2746" s="1289" t="s">
        <v>933</v>
      </c>
      <c r="C2746" s="1288" t="s">
        <v>0</v>
      </c>
      <c r="D2746" s="1287">
        <v>1</v>
      </c>
      <c r="E2746" s="1287"/>
      <c r="F2746" s="1287">
        <v>49474.07</v>
      </c>
      <c r="G2746" s="1286"/>
    </row>
    <row r="2747" spans="1:8" ht="33">
      <c r="A2747" s="1289"/>
      <c r="B2747" s="1289" t="s">
        <v>934</v>
      </c>
      <c r="C2747" s="1288" t="s">
        <v>0</v>
      </c>
      <c r="D2747" s="1287"/>
      <c r="E2747" s="1287"/>
      <c r="F2747" s="1287">
        <v>49474.07</v>
      </c>
      <c r="G2747" s="1286"/>
      <c r="H2747" s="34" t="s">
        <v>925</v>
      </c>
    </row>
    <row r="2748" spans="1:8" ht="33">
      <c r="A2748" s="1289"/>
      <c r="B2748" s="1289"/>
      <c r="C2748" s="1288"/>
      <c r="D2748" s="1287"/>
      <c r="E2748" s="1287"/>
      <c r="F2748" s="1287"/>
      <c r="G2748" s="1286"/>
      <c r="H2748" s="34" t="s">
        <v>925</v>
      </c>
    </row>
    <row r="2749" spans="1:8" ht="33">
      <c r="A2749" s="1289" t="s">
        <v>2683</v>
      </c>
      <c r="B2749" s="1289" t="s">
        <v>2475</v>
      </c>
      <c r="C2749" s="1288" t="s">
        <v>2238</v>
      </c>
      <c r="D2749" s="1287">
        <v>1</v>
      </c>
      <c r="E2749" s="1287">
        <v>57993.41</v>
      </c>
      <c r="F2749" s="1287"/>
      <c r="G2749" s="1286" t="s">
        <v>2476</v>
      </c>
      <c r="H2749" s="34" t="s">
        <v>925</v>
      </c>
    </row>
    <row r="2750" spans="1:8" ht="42.75">
      <c r="A2750" s="1289">
        <v>1</v>
      </c>
      <c r="B2750" s="1289" t="s">
        <v>4874</v>
      </c>
      <c r="C2750" s="1288" t="s">
        <v>927</v>
      </c>
      <c r="D2750" s="1287">
        <v>28</v>
      </c>
      <c r="E2750" s="1287">
        <v>558.37</v>
      </c>
      <c r="F2750" s="1287">
        <v>15634.36</v>
      </c>
      <c r="G2750" s="1286" t="s">
        <v>4875</v>
      </c>
      <c r="H2750" s="34" t="s">
        <v>925</v>
      </c>
    </row>
    <row r="2751" spans="1:8" ht="33">
      <c r="A2751" s="1289">
        <v>2</v>
      </c>
      <c r="B2751" s="1289" t="s">
        <v>929</v>
      </c>
      <c r="C2751" s="1288" t="s">
        <v>927</v>
      </c>
      <c r="D2751" s="1287">
        <v>9.6</v>
      </c>
      <c r="E2751" s="1287">
        <v>1490.31</v>
      </c>
      <c r="F2751" s="1287">
        <v>14306.98</v>
      </c>
      <c r="G2751" s="1286" t="s">
        <v>930</v>
      </c>
      <c r="H2751" s="34" t="s">
        <v>925</v>
      </c>
    </row>
    <row r="2752" spans="1:8" ht="33">
      <c r="A2752" s="1289">
        <v>3</v>
      </c>
      <c r="B2752" s="1289" t="s">
        <v>4046</v>
      </c>
      <c r="C2752" s="1288" t="s">
        <v>927</v>
      </c>
      <c r="D2752" s="1287">
        <v>9.6</v>
      </c>
      <c r="E2752" s="1287">
        <v>796.82</v>
      </c>
      <c r="F2752" s="1287">
        <v>7649.47</v>
      </c>
      <c r="G2752" s="1286" t="s">
        <v>2477</v>
      </c>
      <c r="H2752" s="34" t="s">
        <v>925</v>
      </c>
    </row>
    <row r="2753" spans="1:8" ht="33">
      <c r="A2753" s="1289">
        <v>4</v>
      </c>
      <c r="B2753" s="1289" t="s">
        <v>4047</v>
      </c>
      <c r="C2753" s="1288" t="s">
        <v>927</v>
      </c>
      <c r="D2753" s="1287">
        <v>9.6</v>
      </c>
      <c r="E2753" s="1287">
        <v>796.82</v>
      </c>
      <c r="F2753" s="1287">
        <v>7649.47</v>
      </c>
      <c r="G2753" s="1286" t="s">
        <v>2478</v>
      </c>
      <c r="H2753" s="34" t="s">
        <v>925</v>
      </c>
    </row>
    <row r="2754" spans="1:8" ht="33">
      <c r="A2754" s="1289">
        <v>5</v>
      </c>
      <c r="B2754" s="1289" t="s">
        <v>997</v>
      </c>
      <c r="C2754" s="1288" t="s">
        <v>927</v>
      </c>
      <c r="D2754" s="1287">
        <v>9.6</v>
      </c>
      <c r="E2754" s="1287">
        <v>1152.5</v>
      </c>
      <c r="F2754" s="1287">
        <v>11064</v>
      </c>
      <c r="G2754" s="1286" t="s">
        <v>998</v>
      </c>
      <c r="H2754" s="34" t="s">
        <v>925</v>
      </c>
    </row>
    <row r="2755" spans="1:8" ht="28.5">
      <c r="A2755" s="1289">
        <v>6</v>
      </c>
      <c r="B2755" s="1289" t="s">
        <v>931</v>
      </c>
      <c r="C2755" s="1288" t="s">
        <v>14</v>
      </c>
      <c r="D2755" s="1287">
        <v>1</v>
      </c>
      <c r="E2755" s="1287">
        <v>1689.13</v>
      </c>
      <c r="F2755" s="1287">
        <v>1689.13</v>
      </c>
      <c r="G2755" s="1286" t="s">
        <v>932</v>
      </c>
    </row>
    <row r="2756" spans="1:8" ht="33">
      <c r="A2756" s="1289"/>
      <c r="B2756" s="1289" t="s">
        <v>933</v>
      </c>
      <c r="C2756" s="1288" t="s">
        <v>2238</v>
      </c>
      <c r="D2756" s="1287">
        <v>1</v>
      </c>
      <c r="E2756" s="1287"/>
      <c r="F2756" s="1287">
        <v>57993.409999999996</v>
      </c>
      <c r="G2756" s="1286"/>
      <c r="H2756" s="34" t="s">
        <v>925</v>
      </c>
    </row>
    <row r="2757" spans="1:8" ht="33">
      <c r="A2757" s="1289"/>
      <c r="B2757" s="1289" t="s">
        <v>934</v>
      </c>
      <c r="C2757" s="1288" t="s">
        <v>2238</v>
      </c>
      <c r="D2757" s="1287"/>
      <c r="E2757" s="1287"/>
      <c r="F2757" s="1287">
        <v>57993.41</v>
      </c>
      <c r="G2757" s="1286"/>
      <c r="H2757" s="34" t="s">
        <v>925</v>
      </c>
    </row>
    <row r="2758" spans="1:8" ht="33">
      <c r="A2758" s="1289"/>
      <c r="B2758" s="1289"/>
      <c r="C2758" s="1288"/>
      <c r="D2758" s="1287"/>
      <c r="E2758" s="1287"/>
      <c r="F2758" s="1287"/>
      <c r="G2758" s="1286"/>
      <c r="H2758" s="34" t="s">
        <v>925</v>
      </c>
    </row>
    <row r="2759" spans="1:8" ht="33">
      <c r="A2759" s="1289" t="s">
        <v>2692</v>
      </c>
      <c r="B2759" s="1289" t="s">
        <v>2480</v>
      </c>
      <c r="C2759" s="1288" t="s">
        <v>2238</v>
      </c>
      <c r="D2759" s="1287">
        <v>1</v>
      </c>
      <c r="E2759" s="1287">
        <v>75367.37</v>
      </c>
      <c r="F2759" s="1287"/>
      <c r="G2759" s="1286" t="s">
        <v>2481</v>
      </c>
      <c r="H2759" s="34" t="s">
        <v>925</v>
      </c>
    </row>
    <row r="2760" spans="1:8" ht="42.75">
      <c r="A2760" s="1289">
        <v>1</v>
      </c>
      <c r="B2760" s="1289" t="s">
        <v>4874</v>
      </c>
      <c r="C2760" s="1288" t="s">
        <v>927</v>
      </c>
      <c r="D2760" s="1287">
        <v>40</v>
      </c>
      <c r="E2760" s="1287">
        <v>558.37</v>
      </c>
      <c r="F2760" s="1287">
        <v>22334.799999999999</v>
      </c>
      <c r="G2760" s="1286" t="s">
        <v>4875</v>
      </c>
      <c r="H2760" s="34" t="s">
        <v>925</v>
      </c>
    </row>
    <row r="2761" spans="1:8" ht="33">
      <c r="A2761" s="1289">
        <v>2</v>
      </c>
      <c r="B2761" s="1289" t="s">
        <v>929</v>
      </c>
      <c r="C2761" s="1288" t="s">
        <v>927</v>
      </c>
      <c r="D2761" s="1287">
        <v>12</v>
      </c>
      <c r="E2761" s="1287">
        <v>1490.31</v>
      </c>
      <c r="F2761" s="1287">
        <v>17883.72</v>
      </c>
      <c r="G2761" s="1286" t="s">
        <v>930</v>
      </c>
      <c r="H2761" s="34" t="s">
        <v>925</v>
      </c>
    </row>
    <row r="2762" spans="1:8" ht="28.5">
      <c r="A2762" s="1289">
        <v>3</v>
      </c>
      <c r="B2762" s="1289" t="s">
        <v>4046</v>
      </c>
      <c r="C2762" s="1288" t="s">
        <v>927</v>
      </c>
      <c r="D2762" s="1287">
        <v>12</v>
      </c>
      <c r="E2762" s="1287">
        <v>796.82</v>
      </c>
      <c r="F2762" s="1287">
        <v>9561.84</v>
      </c>
      <c r="G2762" s="1286" t="s">
        <v>2477</v>
      </c>
    </row>
    <row r="2763" spans="1:8" ht="33">
      <c r="A2763" s="1289">
        <v>4</v>
      </c>
      <c r="B2763" s="1289" t="s">
        <v>4047</v>
      </c>
      <c r="C2763" s="1288" t="s">
        <v>927</v>
      </c>
      <c r="D2763" s="1287">
        <v>12</v>
      </c>
      <c r="E2763" s="1287">
        <v>796.82</v>
      </c>
      <c r="F2763" s="1287">
        <v>9561.84</v>
      </c>
      <c r="G2763" s="1286" t="s">
        <v>2478</v>
      </c>
      <c r="H2763" s="34" t="s">
        <v>925</v>
      </c>
    </row>
    <row r="2764" spans="1:8" ht="33">
      <c r="A2764" s="1289">
        <v>5</v>
      </c>
      <c r="B2764" s="1289" t="s">
        <v>997</v>
      </c>
      <c r="C2764" s="1288" t="s">
        <v>927</v>
      </c>
      <c r="D2764" s="1287">
        <v>12</v>
      </c>
      <c r="E2764" s="1287">
        <v>1152.5</v>
      </c>
      <c r="F2764" s="1287">
        <v>13830</v>
      </c>
      <c r="G2764" s="1286" t="s">
        <v>998</v>
      </c>
      <c r="H2764" s="34" t="s">
        <v>925</v>
      </c>
    </row>
    <row r="2765" spans="1:8" ht="33">
      <c r="A2765" s="1289">
        <v>6</v>
      </c>
      <c r="B2765" s="1289" t="s">
        <v>931</v>
      </c>
      <c r="C2765" s="1288" t="s">
        <v>14</v>
      </c>
      <c r="D2765" s="1287">
        <v>1</v>
      </c>
      <c r="E2765" s="1287">
        <v>2195.17</v>
      </c>
      <c r="F2765" s="1287">
        <v>2195.17</v>
      </c>
      <c r="G2765" s="1286" t="s">
        <v>932</v>
      </c>
      <c r="H2765" s="34" t="s">
        <v>925</v>
      </c>
    </row>
    <row r="2766" spans="1:8" ht="33">
      <c r="A2766" s="1289"/>
      <c r="B2766" s="1289" t="s">
        <v>933</v>
      </c>
      <c r="C2766" s="1288" t="s">
        <v>2238</v>
      </c>
      <c r="D2766" s="1287">
        <v>1</v>
      </c>
      <c r="E2766" s="1287"/>
      <c r="F2766" s="1287">
        <v>75367.37</v>
      </c>
      <c r="G2766" s="1286"/>
      <c r="H2766" s="34" t="s">
        <v>925</v>
      </c>
    </row>
    <row r="2767" spans="1:8" ht="33">
      <c r="A2767" s="1289"/>
      <c r="B2767" s="1289" t="s">
        <v>934</v>
      </c>
      <c r="C2767" s="1288" t="s">
        <v>2238</v>
      </c>
      <c r="D2767" s="1287"/>
      <c r="E2767" s="1287"/>
      <c r="F2767" s="1287">
        <v>75367.37</v>
      </c>
      <c r="G2767" s="1286"/>
      <c r="H2767" s="34" t="s">
        <v>925</v>
      </c>
    </row>
    <row r="2768" spans="1:8" ht="33">
      <c r="A2768" s="1289"/>
      <c r="B2768" s="1289"/>
      <c r="C2768" s="1288"/>
      <c r="D2768" s="1287"/>
      <c r="E2768" s="1287"/>
      <c r="F2768" s="1287"/>
      <c r="G2768" s="1286"/>
      <c r="H2768" s="34" t="s">
        <v>925</v>
      </c>
    </row>
    <row r="2769" spans="1:8" ht="33">
      <c r="A2769" s="1289" t="s">
        <v>2701</v>
      </c>
      <c r="B2769" s="1289" t="s">
        <v>2483</v>
      </c>
      <c r="C2769" s="1288" t="s">
        <v>2238</v>
      </c>
      <c r="D2769" s="1287">
        <v>1</v>
      </c>
      <c r="E2769" s="1287">
        <v>42062.63</v>
      </c>
      <c r="F2769" s="1287"/>
      <c r="G2769" s="1286" t="s">
        <v>2484</v>
      </c>
      <c r="H2769" s="34" t="s">
        <v>925</v>
      </c>
    </row>
    <row r="2770" spans="1:8" ht="28.5">
      <c r="A2770" s="1289">
        <v>1</v>
      </c>
      <c r="B2770" s="1289" t="s">
        <v>4871</v>
      </c>
      <c r="C2770" s="1288" t="s">
        <v>927</v>
      </c>
      <c r="D2770" s="1287">
        <v>28</v>
      </c>
      <c r="E2770" s="1287">
        <v>279.18</v>
      </c>
      <c r="F2770" s="1287">
        <v>7817.04</v>
      </c>
      <c r="G2770" s="1286" t="s">
        <v>4872</v>
      </c>
    </row>
    <row r="2771" spans="1:8" ht="42.75">
      <c r="A2771" s="1289">
        <v>2</v>
      </c>
      <c r="B2771" s="1289" t="s">
        <v>4869</v>
      </c>
      <c r="C2771" s="1288" t="s">
        <v>927</v>
      </c>
      <c r="D2771" s="1287">
        <v>9.6</v>
      </c>
      <c r="E2771" s="1287">
        <v>398.41</v>
      </c>
      <c r="F2771" s="1287">
        <v>3824.74</v>
      </c>
      <c r="G2771" s="1286" t="s">
        <v>4870</v>
      </c>
      <c r="H2771" s="34" t="s">
        <v>925</v>
      </c>
    </row>
    <row r="2772" spans="1:8" ht="33">
      <c r="A2772" s="1289">
        <v>3</v>
      </c>
      <c r="B2772" s="1289" t="s">
        <v>1086</v>
      </c>
      <c r="C2772" s="1288" t="s">
        <v>927</v>
      </c>
      <c r="D2772" s="1287">
        <v>9.6</v>
      </c>
      <c r="E2772" s="1287">
        <v>398.41</v>
      </c>
      <c r="F2772" s="1287">
        <v>3824.74</v>
      </c>
      <c r="G2772" s="1286" t="s">
        <v>1087</v>
      </c>
      <c r="H2772" s="34" t="s">
        <v>925</v>
      </c>
    </row>
    <row r="2773" spans="1:8" ht="33">
      <c r="A2773" s="1289">
        <v>4</v>
      </c>
      <c r="B2773" s="1289" t="s">
        <v>929</v>
      </c>
      <c r="C2773" s="1288" t="s">
        <v>927</v>
      </c>
      <c r="D2773" s="1287">
        <v>9.6</v>
      </c>
      <c r="E2773" s="1287">
        <v>1490.31</v>
      </c>
      <c r="F2773" s="1287">
        <v>14306.98</v>
      </c>
      <c r="G2773" s="1286" t="s">
        <v>930</v>
      </c>
      <c r="H2773" s="34" t="s">
        <v>925</v>
      </c>
    </row>
    <row r="2774" spans="1:8" ht="33">
      <c r="A2774" s="1289">
        <v>5</v>
      </c>
      <c r="B2774" s="1289" t="s">
        <v>997</v>
      </c>
      <c r="C2774" s="1288" t="s">
        <v>927</v>
      </c>
      <c r="D2774" s="1287">
        <v>9.6</v>
      </c>
      <c r="E2774" s="1287">
        <v>1152.5</v>
      </c>
      <c r="F2774" s="1287">
        <v>11064</v>
      </c>
      <c r="G2774" s="1286" t="s">
        <v>998</v>
      </c>
      <c r="H2774" s="34" t="s">
        <v>925</v>
      </c>
    </row>
    <row r="2775" spans="1:8" ht="33">
      <c r="A2775" s="1289">
        <v>6</v>
      </c>
      <c r="B2775" s="1289" t="s">
        <v>931</v>
      </c>
      <c r="C2775" s="1288" t="s">
        <v>14</v>
      </c>
      <c r="D2775" s="1287">
        <v>1</v>
      </c>
      <c r="E2775" s="1287">
        <v>1225.1300000000001</v>
      </c>
      <c r="F2775" s="1287">
        <v>1225.1300000000001</v>
      </c>
      <c r="G2775" s="1286" t="s">
        <v>932</v>
      </c>
      <c r="H2775" s="34" t="s">
        <v>925</v>
      </c>
    </row>
    <row r="2776" spans="1:8" ht="33">
      <c r="A2776" s="1289"/>
      <c r="B2776" s="1289" t="s">
        <v>933</v>
      </c>
      <c r="C2776" s="1288" t="s">
        <v>2238</v>
      </c>
      <c r="D2776" s="1287">
        <v>1</v>
      </c>
      <c r="E2776" s="1287"/>
      <c r="F2776" s="1287">
        <v>42062.63</v>
      </c>
      <c r="G2776" s="1286"/>
      <c r="H2776" s="34" t="s">
        <v>925</v>
      </c>
    </row>
    <row r="2777" spans="1:8" ht="33">
      <c r="A2777" s="1289"/>
      <c r="B2777" s="1289" t="s">
        <v>934</v>
      </c>
      <c r="C2777" s="1288" t="s">
        <v>2238</v>
      </c>
      <c r="D2777" s="1287"/>
      <c r="E2777" s="1287"/>
      <c r="F2777" s="1287">
        <v>42062.63</v>
      </c>
      <c r="G2777" s="1286"/>
      <c r="H2777" s="34" t="s">
        <v>925</v>
      </c>
    </row>
    <row r="2778" spans="1:8" ht="33">
      <c r="A2778" s="1289"/>
      <c r="B2778" s="1289"/>
      <c r="C2778" s="1288"/>
      <c r="D2778" s="1287"/>
      <c r="E2778" s="1287"/>
      <c r="F2778" s="1287"/>
      <c r="G2778" s="1286"/>
      <c r="H2778" s="34" t="s">
        <v>925</v>
      </c>
    </row>
    <row r="2779" spans="1:8" ht="28.5">
      <c r="A2779" s="1289" t="s">
        <v>2706</v>
      </c>
      <c r="B2779" s="1289" t="s">
        <v>2486</v>
      </c>
      <c r="C2779" s="1288" t="s">
        <v>2238</v>
      </c>
      <c r="D2779" s="1287">
        <v>1</v>
      </c>
      <c r="E2779" s="1287">
        <v>54016.04</v>
      </c>
      <c r="F2779" s="1287"/>
      <c r="G2779" s="1286" t="s">
        <v>2487</v>
      </c>
    </row>
    <row r="2780" spans="1:8" ht="33">
      <c r="A2780" s="1289">
        <v>1</v>
      </c>
      <c r="B2780" s="1289" t="s">
        <v>929</v>
      </c>
      <c r="C2780" s="1288" t="s">
        <v>927</v>
      </c>
      <c r="D2780" s="1287">
        <v>12</v>
      </c>
      <c r="E2780" s="1287">
        <v>1490.31</v>
      </c>
      <c r="F2780" s="1287">
        <v>17883.72</v>
      </c>
      <c r="G2780" s="1286" t="s">
        <v>930</v>
      </c>
      <c r="H2780" s="34" t="s">
        <v>925</v>
      </c>
    </row>
    <row r="2781" spans="1:8" ht="33">
      <c r="A2781" s="1289">
        <v>2</v>
      </c>
      <c r="B2781" s="1289" t="s">
        <v>4871</v>
      </c>
      <c r="C2781" s="1288" t="s">
        <v>927</v>
      </c>
      <c r="D2781" s="1287">
        <v>40</v>
      </c>
      <c r="E2781" s="1287">
        <v>279.18</v>
      </c>
      <c r="F2781" s="1287">
        <v>11167.2</v>
      </c>
      <c r="G2781" s="1286" t="s">
        <v>4872</v>
      </c>
      <c r="H2781" s="34" t="s">
        <v>925</v>
      </c>
    </row>
    <row r="2782" spans="1:8" ht="33">
      <c r="A2782" s="1289">
        <v>3</v>
      </c>
      <c r="B2782" s="1289" t="s">
        <v>1086</v>
      </c>
      <c r="C2782" s="1288" t="s">
        <v>927</v>
      </c>
      <c r="D2782" s="1287">
        <v>12</v>
      </c>
      <c r="E2782" s="1287">
        <v>398.41</v>
      </c>
      <c r="F2782" s="1287">
        <v>4780.92</v>
      </c>
      <c r="G2782" s="1286" t="s">
        <v>1087</v>
      </c>
      <c r="H2782" s="34" t="s">
        <v>925</v>
      </c>
    </row>
    <row r="2783" spans="1:8" ht="42.75">
      <c r="A2783" s="1289">
        <v>4</v>
      </c>
      <c r="B2783" s="1289" t="s">
        <v>4869</v>
      </c>
      <c r="C2783" s="1288" t="s">
        <v>927</v>
      </c>
      <c r="D2783" s="1287">
        <v>12</v>
      </c>
      <c r="E2783" s="1287">
        <v>398.41</v>
      </c>
      <c r="F2783" s="1287">
        <v>4780.92</v>
      </c>
      <c r="G2783" s="1286" t="s">
        <v>4870</v>
      </c>
      <c r="H2783" s="34" t="s">
        <v>925</v>
      </c>
    </row>
    <row r="2784" spans="1:8" ht="33">
      <c r="A2784" s="1289">
        <v>5</v>
      </c>
      <c r="B2784" s="1289" t="s">
        <v>997</v>
      </c>
      <c r="C2784" s="1288" t="s">
        <v>927</v>
      </c>
      <c r="D2784" s="1287">
        <v>12</v>
      </c>
      <c r="E2784" s="1287">
        <v>1152.5</v>
      </c>
      <c r="F2784" s="1287">
        <v>13830</v>
      </c>
      <c r="G2784" s="1286" t="s">
        <v>998</v>
      </c>
      <c r="H2784" s="34" t="s">
        <v>925</v>
      </c>
    </row>
    <row r="2785" spans="1:8" ht="33">
      <c r="A2785" s="1289">
        <v>6</v>
      </c>
      <c r="B2785" s="1289" t="s">
        <v>931</v>
      </c>
      <c r="C2785" s="1288" t="s">
        <v>14</v>
      </c>
      <c r="D2785" s="1287">
        <v>1</v>
      </c>
      <c r="E2785" s="1287">
        <v>1573.28</v>
      </c>
      <c r="F2785" s="1287">
        <v>1573.28</v>
      </c>
      <c r="G2785" s="1286" t="s">
        <v>932</v>
      </c>
      <c r="H2785" s="34" t="s">
        <v>925</v>
      </c>
    </row>
    <row r="2786" spans="1:8" ht="33">
      <c r="A2786" s="1289"/>
      <c r="B2786" s="1289" t="s">
        <v>933</v>
      </c>
      <c r="C2786" s="1288" t="s">
        <v>2238</v>
      </c>
      <c r="D2786" s="1287">
        <v>1</v>
      </c>
      <c r="E2786" s="1287"/>
      <c r="F2786" s="1287">
        <v>54016.04</v>
      </c>
      <c r="G2786" s="1286"/>
      <c r="H2786" s="34" t="s">
        <v>925</v>
      </c>
    </row>
    <row r="2787" spans="1:8" ht="33">
      <c r="A2787" s="1289"/>
      <c r="B2787" s="1289" t="s">
        <v>934</v>
      </c>
      <c r="C2787" s="1288" t="s">
        <v>2238</v>
      </c>
      <c r="D2787" s="1287"/>
      <c r="E2787" s="1287"/>
      <c r="F2787" s="1287">
        <v>54016.04</v>
      </c>
      <c r="G2787" s="1286"/>
      <c r="H2787" s="34" t="s">
        <v>925</v>
      </c>
    </row>
    <row r="2788" spans="1:8" ht="16.5">
      <c r="A2788" s="1289"/>
      <c r="B2788" s="1289"/>
      <c r="C2788" s="1288"/>
      <c r="D2788" s="1287"/>
      <c r="E2788" s="1287"/>
      <c r="F2788" s="1287"/>
      <c r="G2788" s="1286"/>
    </row>
    <row r="2789" spans="1:8" ht="33">
      <c r="A2789" s="1289" t="s">
        <v>2711</v>
      </c>
      <c r="B2789" s="1289" t="s">
        <v>2489</v>
      </c>
      <c r="C2789" s="1288" t="s">
        <v>2490</v>
      </c>
      <c r="D2789" s="1287">
        <v>1</v>
      </c>
      <c r="E2789" s="1287">
        <v>3103.82</v>
      </c>
      <c r="F2789" s="1287"/>
      <c r="G2789" s="1286" t="s">
        <v>2491</v>
      </c>
      <c r="H2789" s="34" t="s">
        <v>925</v>
      </c>
    </row>
    <row r="2790" spans="1:8" ht="33">
      <c r="A2790" s="1289">
        <v>1</v>
      </c>
      <c r="B2790" s="1289" t="s">
        <v>2492</v>
      </c>
      <c r="C2790" s="1288" t="s">
        <v>14</v>
      </c>
      <c r="D2790" s="1287">
        <v>1</v>
      </c>
      <c r="E2790" s="1287">
        <v>1987.08</v>
      </c>
      <c r="F2790" s="1287">
        <v>1987.08</v>
      </c>
      <c r="G2790" s="1286" t="s">
        <v>2493</v>
      </c>
      <c r="H2790" s="34" t="s">
        <v>925</v>
      </c>
    </row>
    <row r="2791" spans="1:8" ht="33">
      <c r="A2791" s="1289">
        <v>2</v>
      </c>
      <c r="B2791" s="1289" t="s">
        <v>2494</v>
      </c>
      <c r="C2791" s="1288" t="s">
        <v>14</v>
      </c>
      <c r="D2791" s="1287">
        <v>1</v>
      </c>
      <c r="E2791" s="1287">
        <v>1116.74</v>
      </c>
      <c r="F2791" s="1287">
        <v>1116.74</v>
      </c>
      <c r="G2791" s="1286" t="s">
        <v>2495</v>
      </c>
      <c r="H2791" s="34" t="s">
        <v>925</v>
      </c>
    </row>
    <row r="2792" spans="1:8" ht="33">
      <c r="A2792" s="1289"/>
      <c r="B2792" s="1289" t="s">
        <v>933</v>
      </c>
      <c r="C2792" s="1288" t="s">
        <v>2490</v>
      </c>
      <c r="D2792" s="1287">
        <v>1</v>
      </c>
      <c r="E2792" s="1287"/>
      <c r="F2792" s="1287">
        <v>3103.8199999999997</v>
      </c>
      <c r="G2792" s="1286"/>
      <c r="H2792" s="34" t="s">
        <v>925</v>
      </c>
    </row>
    <row r="2793" spans="1:8" ht="33">
      <c r="A2793" s="1289"/>
      <c r="B2793" s="1289" t="s">
        <v>934</v>
      </c>
      <c r="C2793" s="1288" t="s">
        <v>2490</v>
      </c>
      <c r="D2793" s="1287"/>
      <c r="E2793" s="1287"/>
      <c r="F2793" s="1287">
        <v>3103.82</v>
      </c>
      <c r="G2793" s="1286"/>
      <c r="H2793" s="34" t="s">
        <v>925</v>
      </c>
    </row>
    <row r="2794" spans="1:8" ht="33">
      <c r="A2794" s="1289"/>
      <c r="B2794" s="1289"/>
      <c r="C2794" s="1288"/>
      <c r="D2794" s="1287"/>
      <c r="E2794" s="1287"/>
      <c r="F2794" s="1287"/>
      <c r="G2794" s="1286"/>
      <c r="H2794" s="34" t="s">
        <v>925</v>
      </c>
    </row>
    <row r="2795" spans="1:8" ht="33">
      <c r="A2795" s="1289" t="s">
        <v>2724</v>
      </c>
      <c r="B2795" s="1289" t="s">
        <v>2497</v>
      </c>
      <c r="C2795" s="1288" t="s">
        <v>2490</v>
      </c>
      <c r="D2795" s="1287">
        <v>1</v>
      </c>
      <c r="E2795" s="1287">
        <v>776.95</v>
      </c>
      <c r="F2795" s="1287"/>
      <c r="G2795" s="1286" t="s">
        <v>2498</v>
      </c>
      <c r="H2795" s="34" t="s">
        <v>925</v>
      </c>
    </row>
    <row r="2796" spans="1:8" ht="33">
      <c r="A2796" s="1289">
        <v>1</v>
      </c>
      <c r="B2796" s="1289" t="s">
        <v>2499</v>
      </c>
      <c r="C2796" s="1288" t="s">
        <v>14</v>
      </c>
      <c r="D2796" s="1287">
        <v>1</v>
      </c>
      <c r="E2796" s="1287">
        <v>198.71</v>
      </c>
      <c r="F2796" s="1287">
        <v>198.71</v>
      </c>
      <c r="G2796" s="1286" t="s">
        <v>2500</v>
      </c>
      <c r="H2796" s="34" t="s">
        <v>925</v>
      </c>
    </row>
    <row r="2797" spans="1:8" ht="28.5">
      <c r="A2797" s="1289">
        <v>2</v>
      </c>
      <c r="B2797" s="1289" t="s">
        <v>2501</v>
      </c>
      <c r="C2797" s="1288" t="s">
        <v>14</v>
      </c>
      <c r="D2797" s="1287">
        <v>1</v>
      </c>
      <c r="E2797" s="1287">
        <v>558.37</v>
      </c>
      <c r="F2797" s="1287">
        <v>558.37</v>
      </c>
      <c r="G2797" s="1286" t="s">
        <v>2502</v>
      </c>
    </row>
    <row r="2798" spans="1:8" ht="33">
      <c r="A2798" s="1289">
        <v>3</v>
      </c>
      <c r="B2798" s="1289" t="s">
        <v>2503</v>
      </c>
      <c r="C2798" s="1288" t="s">
        <v>14</v>
      </c>
      <c r="D2798" s="1287">
        <v>1</v>
      </c>
      <c r="E2798" s="1287">
        <v>19.87</v>
      </c>
      <c r="F2798" s="1287">
        <v>19.87</v>
      </c>
      <c r="G2798" s="1286" t="s">
        <v>2504</v>
      </c>
      <c r="H2798" s="34" t="s">
        <v>925</v>
      </c>
    </row>
    <row r="2799" spans="1:8" ht="33">
      <c r="A2799" s="1289"/>
      <c r="B2799" s="1289" t="s">
        <v>933</v>
      </c>
      <c r="C2799" s="1288" t="s">
        <v>2490</v>
      </c>
      <c r="D2799" s="1287">
        <v>1</v>
      </c>
      <c r="E2799" s="1287"/>
      <c r="F2799" s="1287">
        <v>776.95</v>
      </c>
      <c r="G2799" s="1286"/>
      <c r="H2799" s="34" t="s">
        <v>925</v>
      </c>
    </row>
    <row r="2800" spans="1:8" ht="33">
      <c r="A2800" s="1289"/>
      <c r="B2800" s="1289" t="s">
        <v>934</v>
      </c>
      <c r="C2800" s="1288" t="s">
        <v>2490</v>
      </c>
      <c r="D2800" s="1287"/>
      <c r="E2800" s="1287"/>
      <c r="F2800" s="1287">
        <v>776.95</v>
      </c>
      <c r="G2800" s="1286"/>
      <c r="H2800" s="34" t="s">
        <v>925</v>
      </c>
    </row>
    <row r="2801" spans="1:8" ht="33">
      <c r="A2801" s="1289"/>
      <c r="B2801" s="1289"/>
      <c r="C2801" s="1288"/>
      <c r="D2801" s="1287"/>
      <c r="E2801" s="1287"/>
      <c r="F2801" s="1287"/>
      <c r="G2801" s="1286"/>
      <c r="H2801" s="34" t="s">
        <v>925</v>
      </c>
    </row>
    <row r="2802" spans="1:8" ht="33">
      <c r="A2802" s="1289" t="s">
        <v>2731</v>
      </c>
      <c r="B2802" s="1289" t="s">
        <v>2506</v>
      </c>
      <c r="C2802" s="1288" t="s">
        <v>2490</v>
      </c>
      <c r="D2802" s="1287">
        <v>1</v>
      </c>
      <c r="E2802" s="1287">
        <v>4220.55</v>
      </c>
      <c r="F2802" s="1287"/>
      <c r="G2802" s="1286" t="s">
        <v>2507</v>
      </c>
      <c r="H2802" s="34" t="s">
        <v>925</v>
      </c>
    </row>
    <row r="2803" spans="1:8" ht="33">
      <c r="A2803" s="1289">
        <v>1</v>
      </c>
      <c r="B2803" s="1289" t="s">
        <v>2492</v>
      </c>
      <c r="C2803" s="1288" t="s">
        <v>14</v>
      </c>
      <c r="D2803" s="1287">
        <v>1</v>
      </c>
      <c r="E2803" s="1287">
        <v>1987.08</v>
      </c>
      <c r="F2803" s="1287">
        <v>1987.08</v>
      </c>
      <c r="G2803" s="1286" t="s">
        <v>2493</v>
      </c>
      <c r="H2803" s="34" t="s">
        <v>925</v>
      </c>
    </row>
    <row r="2804" spans="1:8" ht="33">
      <c r="A2804" s="1289">
        <v>2</v>
      </c>
      <c r="B2804" s="1289" t="s">
        <v>2494</v>
      </c>
      <c r="C2804" s="1288" t="s">
        <v>14</v>
      </c>
      <c r="D2804" s="1287">
        <v>1</v>
      </c>
      <c r="E2804" s="1287">
        <v>2233.4699999999998</v>
      </c>
      <c r="F2804" s="1287">
        <v>2233.4699999999998</v>
      </c>
      <c r="G2804" s="1286" t="s">
        <v>2495</v>
      </c>
      <c r="H2804" s="34" t="s">
        <v>925</v>
      </c>
    </row>
    <row r="2805" spans="1:8" ht="16.5">
      <c r="A2805" s="1289"/>
      <c r="B2805" s="1289" t="s">
        <v>933</v>
      </c>
      <c r="C2805" s="1288" t="s">
        <v>2490</v>
      </c>
      <c r="D2805" s="1287">
        <v>1</v>
      </c>
      <c r="E2805" s="1287"/>
      <c r="F2805" s="1287">
        <v>4220.5499999999993</v>
      </c>
      <c r="G2805" s="1286"/>
    </row>
    <row r="2806" spans="1:8" ht="33">
      <c r="A2806" s="1289"/>
      <c r="B2806" s="1289" t="s">
        <v>934</v>
      </c>
      <c r="C2806" s="1288" t="s">
        <v>2490</v>
      </c>
      <c r="D2806" s="1287"/>
      <c r="E2806" s="1287"/>
      <c r="F2806" s="1287">
        <v>4220.55</v>
      </c>
      <c r="G2806" s="1286"/>
      <c r="H2806" s="34" t="s">
        <v>925</v>
      </c>
    </row>
    <row r="2807" spans="1:8" ht="33">
      <c r="A2807" s="1289"/>
      <c r="B2807" s="1289"/>
      <c r="C2807" s="1288"/>
      <c r="D2807" s="1287"/>
      <c r="E2807" s="1287"/>
      <c r="F2807" s="1287"/>
      <c r="G2807" s="1286"/>
      <c r="H2807" s="34" t="s">
        <v>925</v>
      </c>
    </row>
    <row r="2808" spans="1:8" ht="33">
      <c r="A2808" s="1289" t="s">
        <v>2736</v>
      </c>
      <c r="B2808" s="1289" t="s">
        <v>2509</v>
      </c>
      <c r="C2808" s="1288" t="s">
        <v>2490</v>
      </c>
      <c r="D2808" s="1287">
        <v>1</v>
      </c>
      <c r="E2808" s="1287">
        <v>1349.22</v>
      </c>
      <c r="F2808" s="1287"/>
      <c r="G2808" s="1286" t="s">
        <v>2510</v>
      </c>
      <c r="H2808" s="34" t="s">
        <v>925</v>
      </c>
    </row>
    <row r="2809" spans="1:8" ht="33">
      <c r="A2809" s="1289">
        <v>1</v>
      </c>
      <c r="B2809" s="1289" t="s">
        <v>2499</v>
      </c>
      <c r="C2809" s="1288" t="s">
        <v>14</v>
      </c>
      <c r="D2809" s="1287">
        <v>1</v>
      </c>
      <c r="E2809" s="1287">
        <v>198.71</v>
      </c>
      <c r="F2809" s="1287">
        <v>198.71</v>
      </c>
      <c r="G2809" s="1286" t="s">
        <v>2500</v>
      </c>
      <c r="H2809" s="34" t="s">
        <v>925</v>
      </c>
    </row>
    <row r="2810" spans="1:8" ht="33">
      <c r="A2810" s="1289">
        <v>2</v>
      </c>
      <c r="B2810" s="1289" t="s">
        <v>2501</v>
      </c>
      <c r="C2810" s="1288" t="s">
        <v>14</v>
      </c>
      <c r="D2810" s="1287">
        <v>1</v>
      </c>
      <c r="E2810" s="1287">
        <v>1116.74</v>
      </c>
      <c r="F2810" s="1287">
        <v>1116.74</v>
      </c>
      <c r="G2810" s="1286" t="s">
        <v>2502</v>
      </c>
      <c r="H2810" s="34" t="s">
        <v>925</v>
      </c>
    </row>
    <row r="2811" spans="1:8" ht="33">
      <c r="A2811" s="1289">
        <v>3</v>
      </c>
      <c r="B2811" s="1289" t="s">
        <v>2503</v>
      </c>
      <c r="C2811" s="1288" t="s">
        <v>14</v>
      </c>
      <c r="D2811" s="1287">
        <v>1</v>
      </c>
      <c r="E2811" s="1287">
        <v>33.770000000000003</v>
      </c>
      <c r="F2811" s="1287">
        <v>33.770000000000003</v>
      </c>
      <c r="G2811" s="1286" t="s">
        <v>2504</v>
      </c>
      <c r="H2811" s="34" t="s">
        <v>925</v>
      </c>
    </row>
    <row r="2812" spans="1:8" ht="16.5">
      <c r="A2812" s="1289"/>
      <c r="B2812" s="1289" t="s">
        <v>933</v>
      </c>
      <c r="C2812" s="1288" t="s">
        <v>2490</v>
      </c>
      <c r="D2812" s="1287">
        <v>1</v>
      </c>
      <c r="E2812" s="1287"/>
      <c r="F2812" s="1287">
        <v>1349.22</v>
      </c>
      <c r="G2812" s="1286"/>
    </row>
    <row r="2813" spans="1:8" ht="33">
      <c r="A2813" s="1289"/>
      <c r="B2813" s="1289" t="s">
        <v>934</v>
      </c>
      <c r="C2813" s="1288" t="s">
        <v>2490</v>
      </c>
      <c r="D2813" s="1287"/>
      <c r="E2813" s="1287"/>
      <c r="F2813" s="1287">
        <v>1349.22</v>
      </c>
      <c r="G2813" s="1286"/>
      <c r="H2813" s="34" t="s">
        <v>925</v>
      </c>
    </row>
    <row r="2814" spans="1:8" ht="33">
      <c r="A2814" s="1289"/>
      <c r="B2814" s="1289"/>
      <c r="C2814" s="1288"/>
      <c r="D2814" s="1287"/>
      <c r="E2814" s="1287"/>
      <c r="F2814" s="1287"/>
      <c r="G2814" s="1286"/>
      <c r="H2814" s="34" t="s">
        <v>925</v>
      </c>
    </row>
    <row r="2815" spans="1:8" ht="33">
      <c r="A2815" s="1289" t="s">
        <v>2749</v>
      </c>
      <c r="B2815" s="1289" t="s">
        <v>2512</v>
      </c>
      <c r="C2815" s="1288" t="s">
        <v>2238</v>
      </c>
      <c r="D2815" s="1287">
        <v>1</v>
      </c>
      <c r="E2815" s="1287">
        <v>22464.38</v>
      </c>
      <c r="F2815" s="1287"/>
      <c r="G2815" s="1286" t="s">
        <v>2513</v>
      </c>
      <c r="H2815" s="34" t="s">
        <v>925</v>
      </c>
    </row>
    <row r="2816" spans="1:8" ht="42.75">
      <c r="A2816" s="1289">
        <v>1</v>
      </c>
      <c r="B2816" s="1289" t="s">
        <v>4869</v>
      </c>
      <c r="C2816" s="1288" t="s">
        <v>927</v>
      </c>
      <c r="D2816" s="1287">
        <v>8</v>
      </c>
      <c r="E2816" s="1287">
        <v>398.41</v>
      </c>
      <c r="F2816" s="1287">
        <v>3187.28</v>
      </c>
      <c r="G2816" s="1286" t="s">
        <v>4870</v>
      </c>
      <c r="H2816" s="34" t="s">
        <v>925</v>
      </c>
    </row>
    <row r="2817" spans="1:8" ht="33">
      <c r="A2817" s="1289">
        <v>2</v>
      </c>
      <c r="B2817" s="1289" t="s">
        <v>4871</v>
      </c>
      <c r="C2817" s="1288" t="s">
        <v>927</v>
      </c>
      <c r="D2817" s="1287">
        <v>24</v>
      </c>
      <c r="E2817" s="1287">
        <v>279.18</v>
      </c>
      <c r="F2817" s="1287">
        <v>6700.32</v>
      </c>
      <c r="G2817" s="1286" t="s">
        <v>4872</v>
      </c>
      <c r="H2817" s="34" t="s">
        <v>925</v>
      </c>
    </row>
    <row r="2818" spans="1:8" ht="33">
      <c r="A2818" s="1289">
        <v>3</v>
      </c>
      <c r="B2818" s="1289" t="s">
        <v>929</v>
      </c>
      <c r="C2818" s="1288" t="s">
        <v>927</v>
      </c>
      <c r="D2818" s="1287">
        <v>8</v>
      </c>
      <c r="E2818" s="1287">
        <v>1490.31</v>
      </c>
      <c r="F2818" s="1287">
        <v>11922.48</v>
      </c>
      <c r="G2818" s="1286" t="s">
        <v>930</v>
      </c>
      <c r="H2818" s="34" t="s">
        <v>925</v>
      </c>
    </row>
    <row r="2819" spans="1:8" ht="28.5">
      <c r="A2819" s="1289">
        <v>4</v>
      </c>
      <c r="B2819" s="1289" t="s">
        <v>931</v>
      </c>
      <c r="C2819" s="1288" t="s">
        <v>14</v>
      </c>
      <c r="D2819" s="1287">
        <v>1</v>
      </c>
      <c r="E2819" s="1287">
        <v>654.29999999999995</v>
      </c>
      <c r="F2819" s="1287">
        <v>654.29999999999995</v>
      </c>
      <c r="G2819" s="1286" t="s">
        <v>932</v>
      </c>
    </row>
    <row r="2820" spans="1:8" ht="33">
      <c r="A2820" s="1289"/>
      <c r="B2820" s="1289" t="s">
        <v>933</v>
      </c>
      <c r="C2820" s="1288" t="s">
        <v>2238</v>
      </c>
      <c r="D2820" s="1287">
        <v>1</v>
      </c>
      <c r="E2820" s="1287"/>
      <c r="F2820" s="1287">
        <v>22464.38</v>
      </c>
      <c r="G2820" s="1286"/>
      <c r="H2820" s="34" t="s">
        <v>925</v>
      </c>
    </row>
    <row r="2821" spans="1:8" ht="33">
      <c r="A2821" s="1289"/>
      <c r="B2821" s="1289" t="s">
        <v>934</v>
      </c>
      <c r="C2821" s="1288" t="s">
        <v>2238</v>
      </c>
      <c r="D2821" s="1287"/>
      <c r="E2821" s="1287"/>
      <c r="F2821" s="1287">
        <v>22464.38</v>
      </c>
      <c r="G2821" s="1286"/>
      <c r="H2821" s="34" t="s">
        <v>925</v>
      </c>
    </row>
    <row r="2822" spans="1:8" ht="33">
      <c r="A2822" s="1289"/>
      <c r="B2822" s="1289"/>
      <c r="C2822" s="1288"/>
      <c r="D2822" s="1287"/>
      <c r="E2822" s="1287"/>
      <c r="F2822" s="1287"/>
      <c r="G2822" s="1286"/>
      <c r="H2822" s="34" t="s">
        <v>925</v>
      </c>
    </row>
    <row r="2823" spans="1:8" ht="33">
      <c r="A2823" s="1289" t="s">
        <v>2754</v>
      </c>
      <c r="B2823" s="1289" t="s">
        <v>2515</v>
      </c>
      <c r="C2823" s="1288" t="s">
        <v>2238</v>
      </c>
      <c r="D2823" s="1287">
        <v>1</v>
      </c>
      <c r="E2823" s="1287">
        <v>32648.86</v>
      </c>
      <c r="F2823" s="1287"/>
      <c r="G2823" s="1286" t="s">
        <v>2516</v>
      </c>
      <c r="H2823" s="34" t="s">
        <v>925</v>
      </c>
    </row>
    <row r="2824" spans="1:8" ht="33">
      <c r="A2824" s="1289">
        <v>1</v>
      </c>
      <c r="B2824" s="1289" t="s">
        <v>929</v>
      </c>
      <c r="C2824" s="1288" t="s">
        <v>927</v>
      </c>
      <c r="D2824" s="1287">
        <v>8</v>
      </c>
      <c r="E2824" s="1287">
        <v>1490.31</v>
      </c>
      <c r="F2824" s="1287">
        <v>11922.48</v>
      </c>
      <c r="G2824" s="1286" t="s">
        <v>930</v>
      </c>
      <c r="H2824" s="34" t="s">
        <v>925</v>
      </c>
    </row>
    <row r="2825" spans="1:8" ht="33">
      <c r="A2825" s="1289">
        <v>2</v>
      </c>
      <c r="B2825" s="1289" t="s">
        <v>4046</v>
      </c>
      <c r="C2825" s="1288" t="s">
        <v>927</v>
      </c>
      <c r="D2825" s="1287">
        <v>8</v>
      </c>
      <c r="E2825" s="1287">
        <v>796.82</v>
      </c>
      <c r="F2825" s="1287">
        <v>6374.56</v>
      </c>
      <c r="G2825" s="1286" t="s">
        <v>2477</v>
      </c>
      <c r="H2825" s="34" t="s">
        <v>925</v>
      </c>
    </row>
    <row r="2826" spans="1:8" ht="42.75">
      <c r="A2826" s="1289">
        <v>3</v>
      </c>
      <c r="B2826" s="1289" t="s">
        <v>4874</v>
      </c>
      <c r="C2826" s="1288" t="s">
        <v>927</v>
      </c>
      <c r="D2826" s="1287">
        <v>24</v>
      </c>
      <c r="E2826" s="1287">
        <v>558.37</v>
      </c>
      <c r="F2826" s="1287">
        <v>13400.88</v>
      </c>
      <c r="G2826" s="1286" t="s">
        <v>4875</v>
      </c>
      <c r="H2826" s="34" t="s">
        <v>925</v>
      </c>
    </row>
    <row r="2827" spans="1:8" ht="28.5">
      <c r="A2827" s="1289">
        <v>4</v>
      </c>
      <c r="B2827" s="1289" t="s">
        <v>931</v>
      </c>
      <c r="C2827" s="1288" t="s">
        <v>14</v>
      </c>
      <c r="D2827" s="1287">
        <v>1</v>
      </c>
      <c r="E2827" s="1287">
        <v>950.94</v>
      </c>
      <c r="F2827" s="1287">
        <v>950.94</v>
      </c>
      <c r="G2827" s="1286" t="s">
        <v>932</v>
      </c>
    </row>
    <row r="2828" spans="1:8" ht="33">
      <c r="A2828" s="1289"/>
      <c r="B2828" s="1289" t="s">
        <v>933</v>
      </c>
      <c r="C2828" s="1288" t="s">
        <v>2238</v>
      </c>
      <c r="D2828" s="1287">
        <v>1</v>
      </c>
      <c r="E2828" s="1287"/>
      <c r="F2828" s="1287">
        <v>32648.859999999997</v>
      </c>
      <c r="G2828" s="1286"/>
      <c r="H2828" s="34" t="s">
        <v>925</v>
      </c>
    </row>
    <row r="2829" spans="1:8" ht="33">
      <c r="A2829" s="1289"/>
      <c r="B2829" s="1289" t="s">
        <v>934</v>
      </c>
      <c r="C2829" s="1288" t="s">
        <v>2238</v>
      </c>
      <c r="D2829" s="1287"/>
      <c r="E2829" s="1287"/>
      <c r="F2829" s="1287">
        <v>32648.86</v>
      </c>
      <c r="G2829" s="1286"/>
      <c r="H2829" s="34" t="s">
        <v>925</v>
      </c>
    </row>
    <row r="2830" spans="1:8" ht="33">
      <c r="A2830" s="1289"/>
      <c r="B2830" s="1289"/>
      <c r="C2830" s="1288"/>
      <c r="D2830" s="1287"/>
      <c r="E2830" s="1287"/>
      <c r="F2830" s="1287"/>
      <c r="G2830" s="1286"/>
      <c r="H2830" s="34" t="s">
        <v>925</v>
      </c>
    </row>
    <row r="2831" spans="1:8" ht="42.75">
      <c r="A2831" s="1289" t="s">
        <v>2763</v>
      </c>
      <c r="B2831" s="1289" t="s">
        <v>2518</v>
      </c>
      <c r="C2831" s="1288" t="s">
        <v>2238</v>
      </c>
      <c r="D2831" s="1287">
        <v>1</v>
      </c>
      <c r="E2831" s="1287">
        <v>10790.12</v>
      </c>
      <c r="F2831" s="1287"/>
      <c r="G2831" s="1286" t="s">
        <v>2519</v>
      </c>
      <c r="H2831" s="34" t="s">
        <v>925</v>
      </c>
    </row>
    <row r="2832" spans="1:8" ht="33">
      <c r="A2832" s="1289">
        <v>1</v>
      </c>
      <c r="B2832" s="1289" t="s">
        <v>2520</v>
      </c>
      <c r="C2832" s="1288" t="s">
        <v>927</v>
      </c>
      <c r="D2832" s="1287">
        <v>4</v>
      </c>
      <c r="E2832" s="1287">
        <v>711.37</v>
      </c>
      <c r="F2832" s="1287">
        <v>2845.48</v>
      </c>
      <c r="G2832" s="1286" t="s">
        <v>2521</v>
      </c>
      <c r="H2832" s="34" t="s">
        <v>925</v>
      </c>
    </row>
    <row r="2833" spans="1:8" ht="33">
      <c r="A2833" s="1289">
        <v>2</v>
      </c>
      <c r="B2833" s="1289" t="s">
        <v>2522</v>
      </c>
      <c r="C2833" s="1288" t="s">
        <v>927</v>
      </c>
      <c r="D2833" s="1287">
        <v>4</v>
      </c>
      <c r="E2833" s="1287">
        <v>552.41</v>
      </c>
      <c r="F2833" s="1287">
        <v>2209.64</v>
      </c>
      <c r="G2833" s="1286" t="s">
        <v>2523</v>
      </c>
      <c r="H2833" s="34" t="s">
        <v>925</v>
      </c>
    </row>
    <row r="2834" spans="1:8" ht="42.75">
      <c r="A2834" s="1289">
        <v>3</v>
      </c>
      <c r="B2834" s="1289" t="s">
        <v>4885</v>
      </c>
      <c r="C2834" s="1288" t="s">
        <v>927</v>
      </c>
      <c r="D2834" s="1287">
        <v>4</v>
      </c>
      <c r="E2834" s="1287">
        <v>398.41</v>
      </c>
      <c r="F2834" s="1287">
        <v>1593.64</v>
      </c>
      <c r="G2834" s="1286" t="s">
        <v>4886</v>
      </c>
      <c r="H2834" s="34" t="s">
        <v>925</v>
      </c>
    </row>
    <row r="2835" spans="1:8" ht="28.5">
      <c r="A2835" s="1289">
        <v>4</v>
      </c>
      <c r="B2835" s="1289" t="s">
        <v>2524</v>
      </c>
      <c r="C2835" s="1288" t="s">
        <v>927</v>
      </c>
      <c r="D2835" s="1287">
        <v>4</v>
      </c>
      <c r="E2835" s="1287">
        <v>398.41</v>
      </c>
      <c r="F2835" s="1287">
        <v>1593.64</v>
      </c>
      <c r="G2835" s="1286" t="s">
        <v>2525</v>
      </c>
    </row>
    <row r="2836" spans="1:8" ht="33">
      <c r="A2836" s="1289">
        <v>5</v>
      </c>
      <c r="B2836" s="1289" t="s">
        <v>4871</v>
      </c>
      <c r="C2836" s="1288" t="s">
        <v>927</v>
      </c>
      <c r="D2836" s="1287">
        <v>8</v>
      </c>
      <c r="E2836" s="1287">
        <v>279.18</v>
      </c>
      <c r="F2836" s="1287">
        <v>2233.44</v>
      </c>
      <c r="G2836" s="1286" t="s">
        <v>4872</v>
      </c>
      <c r="H2836" s="34" t="s">
        <v>925</v>
      </c>
    </row>
    <row r="2837" spans="1:8" ht="33">
      <c r="A2837" s="1289">
        <v>6</v>
      </c>
      <c r="B2837" s="1289" t="s">
        <v>931</v>
      </c>
      <c r="C2837" s="1288" t="s">
        <v>14</v>
      </c>
      <c r="D2837" s="1287">
        <v>1</v>
      </c>
      <c r="E2837" s="1287">
        <v>314.27999999999997</v>
      </c>
      <c r="F2837" s="1287">
        <v>314.27999999999997</v>
      </c>
      <c r="G2837" s="1286" t="s">
        <v>932</v>
      </c>
      <c r="H2837" s="34" t="s">
        <v>925</v>
      </c>
    </row>
    <row r="2838" spans="1:8" ht="33">
      <c r="A2838" s="1289"/>
      <c r="B2838" s="1289" t="s">
        <v>933</v>
      </c>
      <c r="C2838" s="1288" t="s">
        <v>2238</v>
      </c>
      <c r="D2838" s="1287">
        <v>1</v>
      </c>
      <c r="E2838" s="1287"/>
      <c r="F2838" s="1287">
        <v>10790.12</v>
      </c>
      <c r="G2838" s="1286"/>
      <c r="H2838" s="34" t="s">
        <v>925</v>
      </c>
    </row>
    <row r="2839" spans="1:8" ht="33">
      <c r="A2839" s="1289"/>
      <c r="B2839" s="1289" t="s">
        <v>934</v>
      </c>
      <c r="C2839" s="1288" t="s">
        <v>2238</v>
      </c>
      <c r="D2839" s="1287"/>
      <c r="E2839" s="1287"/>
      <c r="F2839" s="1287">
        <v>10790.12</v>
      </c>
      <c r="G2839" s="1286"/>
      <c r="H2839" s="34" t="s">
        <v>925</v>
      </c>
    </row>
    <row r="2840" spans="1:8" ht="33">
      <c r="A2840" s="1289"/>
      <c r="B2840" s="1289"/>
      <c r="C2840" s="1288"/>
      <c r="D2840" s="1287"/>
      <c r="E2840" s="1287"/>
      <c r="F2840" s="1287"/>
      <c r="G2840" s="1286"/>
      <c r="H2840" s="34" t="s">
        <v>925</v>
      </c>
    </row>
    <row r="2841" spans="1:8" ht="42.75">
      <c r="A2841" s="1289" t="s">
        <v>2777</v>
      </c>
      <c r="B2841" s="1289" t="s">
        <v>2527</v>
      </c>
      <c r="C2841" s="1288" t="s">
        <v>2238</v>
      </c>
      <c r="D2841" s="1287">
        <v>1</v>
      </c>
      <c r="E2841" s="1287">
        <v>20430.009999999998</v>
      </c>
      <c r="F2841" s="1287"/>
      <c r="G2841" s="1286" t="s">
        <v>2528</v>
      </c>
      <c r="H2841" s="34" t="s">
        <v>925</v>
      </c>
    </row>
    <row r="2842" spans="1:8" ht="33">
      <c r="A2842" s="1289">
        <v>1</v>
      </c>
      <c r="B2842" s="1289" t="s">
        <v>2520</v>
      </c>
      <c r="C2842" s="1288" t="s">
        <v>927</v>
      </c>
      <c r="D2842" s="1287">
        <v>8</v>
      </c>
      <c r="E2842" s="1287">
        <v>711.37</v>
      </c>
      <c r="F2842" s="1287">
        <v>5690.96</v>
      </c>
      <c r="G2842" s="1286" t="s">
        <v>2521</v>
      </c>
      <c r="H2842" s="34" t="s">
        <v>925</v>
      </c>
    </row>
    <row r="2843" spans="1:8" ht="28.5">
      <c r="A2843" s="1289">
        <v>2</v>
      </c>
      <c r="B2843" s="1289" t="s">
        <v>2524</v>
      </c>
      <c r="C2843" s="1288" t="s">
        <v>927</v>
      </c>
      <c r="D2843" s="1287">
        <v>8</v>
      </c>
      <c r="E2843" s="1287">
        <v>398.41</v>
      </c>
      <c r="F2843" s="1287">
        <v>3187.28</v>
      </c>
      <c r="G2843" s="1286" t="s">
        <v>2525</v>
      </c>
    </row>
    <row r="2844" spans="1:8" ht="33">
      <c r="A2844" s="1289">
        <v>3</v>
      </c>
      <c r="B2844" s="1289" t="s">
        <v>2522</v>
      </c>
      <c r="C2844" s="1288" t="s">
        <v>927</v>
      </c>
      <c r="D2844" s="1287">
        <v>8</v>
      </c>
      <c r="E2844" s="1287">
        <v>552.41</v>
      </c>
      <c r="F2844" s="1287">
        <v>4419.28</v>
      </c>
      <c r="G2844" s="1286" t="s">
        <v>2523</v>
      </c>
      <c r="H2844" s="34" t="s">
        <v>925</v>
      </c>
    </row>
    <row r="2845" spans="1:8" ht="42.75">
      <c r="A2845" s="1289">
        <v>4</v>
      </c>
      <c r="B2845" s="1289" t="s">
        <v>4885</v>
      </c>
      <c r="C2845" s="1288" t="s">
        <v>927</v>
      </c>
      <c r="D2845" s="1287">
        <v>8</v>
      </c>
      <c r="E2845" s="1287">
        <v>398.41</v>
      </c>
      <c r="F2845" s="1287">
        <v>3187.28</v>
      </c>
      <c r="G2845" s="1286" t="s">
        <v>4886</v>
      </c>
      <c r="H2845" s="34" t="s">
        <v>925</v>
      </c>
    </row>
    <row r="2846" spans="1:8" ht="33">
      <c r="A2846" s="1289">
        <v>5</v>
      </c>
      <c r="B2846" s="1289" t="s">
        <v>4871</v>
      </c>
      <c r="C2846" s="1288" t="s">
        <v>927</v>
      </c>
      <c r="D2846" s="1287">
        <v>12</v>
      </c>
      <c r="E2846" s="1287">
        <v>279.18</v>
      </c>
      <c r="F2846" s="1287">
        <v>3350.16</v>
      </c>
      <c r="G2846" s="1286" t="s">
        <v>4872</v>
      </c>
      <c r="H2846" s="34" t="s">
        <v>925</v>
      </c>
    </row>
    <row r="2847" spans="1:8" ht="33">
      <c r="A2847" s="1289">
        <v>6</v>
      </c>
      <c r="B2847" s="1289" t="s">
        <v>931</v>
      </c>
      <c r="C2847" s="1288" t="s">
        <v>14</v>
      </c>
      <c r="D2847" s="1287">
        <v>1</v>
      </c>
      <c r="E2847" s="1287">
        <v>595.04999999999995</v>
      </c>
      <c r="F2847" s="1287">
        <v>595.04999999999995</v>
      </c>
      <c r="G2847" s="1286" t="s">
        <v>932</v>
      </c>
      <c r="H2847" s="34" t="s">
        <v>925</v>
      </c>
    </row>
    <row r="2848" spans="1:8" ht="33">
      <c r="A2848" s="1289"/>
      <c r="B2848" s="1289" t="s">
        <v>933</v>
      </c>
      <c r="C2848" s="1288" t="s">
        <v>2238</v>
      </c>
      <c r="D2848" s="1287">
        <v>1</v>
      </c>
      <c r="E2848" s="1287"/>
      <c r="F2848" s="1287">
        <v>20430.009999999998</v>
      </c>
      <c r="G2848" s="1286"/>
      <c r="H2848" s="34" t="s">
        <v>925</v>
      </c>
    </row>
    <row r="2849" spans="1:8" ht="33">
      <c r="A2849" s="1289"/>
      <c r="B2849" s="1289" t="s">
        <v>934</v>
      </c>
      <c r="C2849" s="1288" t="s">
        <v>2238</v>
      </c>
      <c r="D2849" s="1287"/>
      <c r="E2849" s="1287"/>
      <c r="F2849" s="1287">
        <v>20430.009999999998</v>
      </c>
      <c r="G2849" s="1286"/>
      <c r="H2849" s="34" t="s">
        <v>925</v>
      </c>
    </row>
    <row r="2850" spans="1:8" ht="33">
      <c r="A2850" s="1289"/>
      <c r="B2850" s="1289"/>
      <c r="C2850" s="1288"/>
      <c r="D2850" s="1287"/>
      <c r="E2850" s="1287"/>
      <c r="F2850" s="1287"/>
      <c r="G2850" s="1286"/>
      <c r="H2850" s="34" t="s">
        <v>925</v>
      </c>
    </row>
    <row r="2851" spans="1:8" ht="42.75">
      <c r="A2851" s="1289" t="s">
        <v>2780</v>
      </c>
      <c r="B2851" s="1289" t="s">
        <v>2530</v>
      </c>
      <c r="C2851" s="1288" t="s">
        <v>2238</v>
      </c>
      <c r="D2851" s="1287">
        <v>1</v>
      </c>
      <c r="E2851" s="1287">
        <v>16373.54</v>
      </c>
      <c r="F2851" s="1287"/>
      <c r="G2851" s="1286" t="s">
        <v>2531</v>
      </c>
    </row>
    <row r="2852" spans="1:8" ht="33">
      <c r="A2852" s="1289">
        <v>1</v>
      </c>
      <c r="B2852" s="1289" t="s">
        <v>2520</v>
      </c>
      <c r="C2852" s="1288" t="s">
        <v>927</v>
      </c>
      <c r="D2852" s="1287">
        <v>4</v>
      </c>
      <c r="E2852" s="1287">
        <v>711.37</v>
      </c>
      <c r="F2852" s="1287">
        <v>2845.48</v>
      </c>
      <c r="G2852" s="1286" t="s">
        <v>2521</v>
      </c>
      <c r="H2852" s="34" t="s">
        <v>925</v>
      </c>
    </row>
    <row r="2853" spans="1:8" ht="33">
      <c r="A2853" s="1289">
        <v>2</v>
      </c>
      <c r="B2853" s="1289" t="s">
        <v>2532</v>
      </c>
      <c r="C2853" s="1288" t="s">
        <v>927</v>
      </c>
      <c r="D2853" s="1287">
        <v>4</v>
      </c>
      <c r="E2853" s="1287">
        <v>796.82</v>
      </c>
      <c r="F2853" s="1287">
        <v>3187.28</v>
      </c>
      <c r="G2853" s="1286" t="s">
        <v>2533</v>
      </c>
      <c r="H2853" s="34" t="s">
        <v>925</v>
      </c>
    </row>
    <row r="2854" spans="1:8" ht="33">
      <c r="A2854" s="1289">
        <v>3</v>
      </c>
      <c r="B2854" s="1289" t="s">
        <v>2522</v>
      </c>
      <c r="C2854" s="1288" t="s">
        <v>927</v>
      </c>
      <c r="D2854" s="1287">
        <v>4</v>
      </c>
      <c r="E2854" s="1287">
        <v>552.41</v>
      </c>
      <c r="F2854" s="1287">
        <v>2209.64</v>
      </c>
      <c r="G2854" s="1286" t="s">
        <v>2523</v>
      </c>
      <c r="H2854" s="34" t="s">
        <v>925</v>
      </c>
    </row>
    <row r="2855" spans="1:8" ht="33">
      <c r="A2855" s="1289">
        <v>4</v>
      </c>
      <c r="B2855" s="1289" t="s">
        <v>2534</v>
      </c>
      <c r="C2855" s="1288" t="s">
        <v>927</v>
      </c>
      <c r="D2855" s="1287">
        <v>4</v>
      </c>
      <c r="E2855" s="1287">
        <v>796.82</v>
      </c>
      <c r="F2855" s="1287">
        <v>3187.28</v>
      </c>
      <c r="G2855" s="1286" t="s">
        <v>2535</v>
      </c>
      <c r="H2855" s="34" t="s">
        <v>925</v>
      </c>
    </row>
    <row r="2856" spans="1:8" ht="42.75">
      <c r="A2856" s="1289">
        <v>5</v>
      </c>
      <c r="B2856" s="1289" t="s">
        <v>4874</v>
      </c>
      <c r="C2856" s="1288" t="s">
        <v>927</v>
      </c>
      <c r="D2856" s="1287">
        <v>8</v>
      </c>
      <c r="E2856" s="1287">
        <v>558.37</v>
      </c>
      <c r="F2856" s="1287">
        <v>4466.96</v>
      </c>
      <c r="G2856" s="1286" t="s">
        <v>4875</v>
      </c>
      <c r="H2856" s="34" t="s">
        <v>925</v>
      </c>
    </row>
    <row r="2857" spans="1:8" ht="33">
      <c r="A2857" s="1289">
        <v>6</v>
      </c>
      <c r="B2857" s="1289" t="s">
        <v>931</v>
      </c>
      <c r="C2857" s="1288" t="s">
        <v>14</v>
      </c>
      <c r="D2857" s="1287">
        <v>1</v>
      </c>
      <c r="E2857" s="1287">
        <v>476.9</v>
      </c>
      <c r="F2857" s="1287">
        <v>476.9</v>
      </c>
      <c r="G2857" s="1286" t="s">
        <v>932</v>
      </c>
      <c r="H2857" s="34" t="s">
        <v>925</v>
      </c>
    </row>
    <row r="2858" spans="1:8" ht="33">
      <c r="A2858" s="1289"/>
      <c r="B2858" s="1289" t="s">
        <v>933</v>
      </c>
      <c r="C2858" s="1288" t="s">
        <v>2238</v>
      </c>
      <c r="D2858" s="1287">
        <v>1</v>
      </c>
      <c r="E2858" s="1287"/>
      <c r="F2858" s="1287">
        <v>16373.539999999999</v>
      </c>
      <c r="G2858" s="1286"/>
      <c r="H2858" s="34" t="s">
        <v>925</v>
      </c>
    </row>
    <row r="2859" spans="1:8" ht="33">
      <c r="A2859" s="1289"/>
      <c r="B2859" s="1289" t="s">
        <v>934</v>
      </c>
      <c r="C2859" s="1288" t="s">
        <v>2238</v>
      </c>
      <c r="D2859" s="1287"/>
      <c r="E2859" s="1287"/>
      <c r="F2859" s="1287">
        <v>16373.54</v>
      </c>
      <c r="G2859" s="1286"/>
      <c r="H2859" s="34" t="s">
        <v>925</v>
      </c>
    </row>
    <row r="2860" spans="1:8" ht="33">
      <c r="A2860" s="1289"/>
      <c r="B2860" s="1289"/>
      <c r="C2860" s="1288"/>
      <c r="D2860" s="1287"/>
      <c r="E2860" s="1287"/>
      <c r="F2860" s="1287"/>
      <c r="G2860" s="1286"/>
      <c r="H2860" s="34" t="s">
        <v>925</v>
      </c>
    </row>
    <row r="2861" spans="1:8" ht="42.75">
      <c r="A2861" s="1289" t="s">
        <v>2784</v>
      </c>
      <c r="B2861" s="1289" t="s">
        <v>2537</v>
      </c>
      <c r="C2861" s="1288" t="s">
        <v>2238</v>
      </c>
      <c r="D2861" s="1287">
        <v>1</v>
      </c>
      <c r="E2861" s="1287">
        <v>30446.59</v>
      </c>
      <c r="F2861" s="1287"/>
      <c r="G2861" s="1286" t="s">
        <v>2538</v>
      </c>
    </row>
    <row r="2862" spans="1:8" ht="33">
      <c r="A2862" s="1289">
        <v>1</v>
      </c>
      <c r="B2862" s="1289" t="s">
        <v>2520</v>
      </c>
      <c r="C2862" s="1288" t="s">
        <v>927</v>
      </c>
      <c r="D2862" s="1287">
        <v>8</v>
      </c>
      <c r="E2862" s="1287">
        <v>711.37</v>
      </c>
      <c r="F2862" s="1287">
        <v>5690.96</v>
      </c>
      <c r="G2862" s="1286" t="s">
        <v>2521</v>
      </c>
      <c r="H2862" s="34" t="s">
        <v>925</v>
      </c>
    </row>
    <row r="2863" spans="1:8" ht="33">
      <c r="A2863" s="1289">
        <v>2</v>
      </c>
      <c r="B2863" s="1289" t="s">
        <v>2532</v>
      </c>
      <c r="C2863" s="1288" t="s">
        <v>927</v>
      </c>
      <c r="D2863" s="1287">
        <v>8</v>
      </c>
      <c r="E2863" s="1287">
        <v>796.82</v>
      </c>
      <c r="F2863" s="1287">
        <v>6374.56</v>
      </c>
      <c r="G2863" s="1286" t="s">
        <v>2533</v>
      </c>
      <c r="H2863" s="34" t="s">
        <v>925</v>
      </c>
    </row>
    <row r="2864" spans="1:8" ht="33">
      <c r="A2864" s="1289">
        <v>3</v>
      </c>
      <c r="B2864" s="1289" t="s">
        <v>2522</v>
      </c>
      <c r="C2864" s="1288" t="s">
        <v>927</v>
      </c>
      <c r="D2864" s="1287">
        <v>8</v>
      </c>
      <c r="E2864" s="1287">
        <v>552.41</v>
      </c>
      <c r="F2864" s="1287">
        <v>4419.28</v>
      </c>
      <c r="G2864" s="1286" t="s">
        <v>2523</v>
      </c>
      <c r="H2864" s="34" t="s">
        <v>925</v>
      </c>
    </row>
    <row r="2865" spans="1:8" ht="33">
      <c r="A2865" s="1289">
        <v>4</v>
      </c>
      <c r="B2865" s="1289" t="s">
        <v>2534</v>
      </c>
      <c r="C2865" s="1288" t="s">
        <v>927</v>
      </c>
      <c r="D2865" s="1287">
        <v>8</v>
      </c>
      <c r="E2865" s="1287">
        <v>796.82</v>
      </c>
      <c r="F2865" s="1287">
        <v>6374.56</v>
      </c>
      <c r="G2865" s="1286" t="s">
        <v>2535</v>
      </c>
      <c r="H2865" s="34" t="s">
        <v>925</v>
      </c>
    </row>
    <row r="2866" spans="1:8" ht="42.75">
      <c r="A2866" s="1289">
        <v>5</v>
      </c>
      <c r="B2866" s="1289" t="s">
        <v>4874</v>
      </c>
      <c r="C2866" s="1288" t="s">
        <v>927</v>
      </c>
      <c r="D2866" s="1287">
        <v>12</v>
      </c>
      <c r="E2866" s="1287">
        <v>558.37</v>
      </c>
      <c r="F2866" s="1287">
        <v>6700.44</v>
      </c>
      <c r="G2866" s="1286" t="s">
        <v>4875</v>
      </c>
      <c r="H2866" s="34" t="s">
        <v>925</v>
      </c>
    </row>
    <row r="2867" spans="1:8" ht="33">
      <c r="A2867" s="1289">
        <v>6</v>
      </c>
      <c r="B2867" s="1289" t="s">
        <v>931</v>
      </c>
      <c r="C2867" s="1288" t="s">
        <v>14</v>
      </c>
      <c r="D2867" s="1287">
        <v>1</v>
      </c>
      <c r="E2867" s="1287">
        <v>886.79</v>
      </c>
      <c r="F2867" s="1287">
        <v>886.79</v>
      </c>
      <c r="G2867" s="1286" t="s">
        <v>932</v>
      </c>
      <c r="H2867" s="34" t="s">
        <v>925</v>
      </c>
    </row>
    <row r="2868" spans="1:8" ht="33">
      <c r="A2868" s="1289"/>
      <c r="B2868" s="1289" t="s">
        <v>933</v>
      </c>
      <c r="C2868" s="1288" t="s">
        <v>2238</v>
      </c>
      <c r="D2868" s="1287">
        <v>1</v>
      </c>
      <c r="E2868" s="1287"/>
      <c r="F2868" s="1287">
        <v>30446.59</v>
      </c>
      <c r="G2868" s="1286"/>
      <c r="H2868" s="34" t="s">
        <v>925</v>
      </c>
    </row>
    <row r="2869" spans="1:8" ht="16.5">
      <c r="A2869" s="1289"/>
      <c r="B2869" s="1289" t="s">
        <v>934</v>
      </c>
      <c r="C2869" s="1288" t="s">
        <v>2238</v>
      </c>
      <c r="D2869" s="1287"/>
      <c r="E2869" s="1287"/>
      <c r="F2869" s="1287">
        <v>30446.59</v>
      </c>
      <c r="G2869" s="1286"/>
    </row>
    <row r="2870" spans="1:8" ht="33">
      <c r="A2870" s="1289"/>
      <c r="B2870" s="1289"/>
      <c r="C2870" s="1288"/>
      <c r="D2870" s="1287"/>
      <c r="E2870" s="1287"/>
      <c r="F2870" s="1287"/>
      <c r="G2870" s="1286"/>
      <c r="H2870" s="34" t="s">
        <v>925</v>
      </c>
    </row>
    <row r="2871" spans="1:8" ht="42.75">
      <c r="A2871" s="1289" t="s">
        <v>4057</v>
      </c>
      <c r="B2871" s="1289" t="s">
        <v>2540</v>
      </c>
      <c r="C2871" s="1288" t="s">
        <v>0</v>
      </c>
      <c r="D2871" s="1287">
        <v>1</v>
      </c>
      <c r="E2871" s="1287">
        <v>7232.96</v>
      </c>
      <c r="F2871" s="1287"/>
      <c r="G2871" s="1286" t="s">
        <v>2541</v>
      </c>
      <c r="H2871" s="34" t="s">
        <v>925</v>
      </c>
    </row>
    <row r="2872" spans="1:8" ht="42.75">
      <c r="A2872" s="1289">
        <v>1</v>
      </c>
      <c r="B2872" s="1289" t="s">
        <v>1164</v>
      </c>
      <c r="C2872" s="1288" t="s">
        <v>0</v>
      </c>
      <c r="D2872" s="1287">
        <v>1</v>
      </c>
      <c r="E2872" s="1287">
        <v>7024.31</v>
      </c>
      <c r="F2872" s="1287">
        <v>7024.31</v>
      </c>
      <c r="G2872" s="1286" t="s">
        <v>1165</v>
      </c>
      <c r="H2872" s="34" t="s">
        <v>925</v>
      </c>
    </row>
    <row r="2873" spans="1:8" ht="33">
      <c r="A2873" s="1289">
        <v>2</v>
      </c>
      <c r="B2873" s="1289" t="s">
        <v>1159</v>
      </c>
      <c r="C2873" s="1288" t="s">
        <v>0</v>
      </c>
      <c r="D2873" s="1287">
        <v>1</v>
      </c>
      <c r="E2873" s="1287">
        <v>25.83</v>
      </c>
      <c r="F2873" s="1287">
        <v>25.83</v>
      </c>
      <c r="G2873" s="1286" t="s">
        <v>2542</v>
      </c>
      <c r="H2873" s="34" t="s">
        <v>925</v>
      </c>
    </row>
    <row r="2874" spans="1:8" ht="33">
      <c r="A2874" s="1289">
        <v>3</v>
      </c>
      <c r="B2874" s="1289" t="s">
        <v>931</v>
      </c>
      <c r="C2874" s="1288" t="s">
        <v>14</v>
      </c>
      <c r="D2874" s="1287">
        <v>1</v>
      </c>
      <c r="E2874" s="1287">
        <v>182.82</v>
      </c>
      <c r="F2874" s="1287">
        <v>182.82</v>
      </c>
      <c r="G2874" s="1286" t="s">
        <v>2466</v>
      </c>
      <c r="H2874" s="34" t="s">
        <v>925</v>
      </c>
    </row>
    <row r="2875" spans="1:8" ht="33">
      <c r="A2875" s="1289"/>
      <c r="B2875" s="1289" t="s">
        <v>933</v>
      </c>
      <c r="C2875" s="1288" t="s">
        <v>0</v>
      </c>
      <c r="D2875" s="1287">
        <v>1</v>
      </c>
      <c r="E2875" s="1287"/>
      <c r="F2875" s="1287">
        <v>7232.96</v>
      </c>
      <c r="G2875" s="1286"/>
      <c r="H2875" s="34" t="s">
        <v>925</v>
      </c>
    </row>
    <row r="2876" spans="1:8" ht="16.5">
      <c r="A2876" s="1289"/>
      <c r="B2876" s="1289" t="s">
        <v>934</v>
      </c>
      <c r="C2876" s="1288" t="s">
        <v>0</v>
      </c>
      <c r="D2876" s="1287"/>
      <c r="E2876" s="1287"/>
      <c r="F2876" s="1287">
        <v>7232.96</v>
      </c>
      <c r="G2876" s="1286"/>
    </row>
    <row r="2877" spans="1:8" ht="33">
      <c r="A2877" s="1289"/>
      <c r="B2877" s="1289"/>
      <c r="C2877" s="1288"/>
      <c r="D2877" s="1287"/>
      <c r="E2877" s="1287"/>
      <c r="F2877" s="1287"/>
      <c r="G2877" s="1286"/>
      <c r="H2877" s="34" t="s">
        <v>925</v>
      </c>
    </row>
    <row r="2878" spans="1:8" ht="42.75">
      <c r="A2878" s="1289" t="s">
        <v>4058</v>
      </c>
      <c r="B2878" s="1289" t="s">
        <v>2544</v>
      </c>
      <c r="C2878" s="1288" t="s">
        <v>0</v>
      </c>
      <c r="D2878" s="1287">
        <v>1</v>
      </c>
      <c r="E2878" s="1287">
        <v>7295.55</v>
      </c>
      <c r="F2878" s="1287"/>
      <c r="G2878" s="1286" t="s">
        <v>2545</v>
      </c>
      <c r="H2878" s="34" t="s">
        <v>925</v>
      </c>
    </row>
    <row r="2879" spans="1:8" ht="42.75">
      <c r="A2879" s="1289">
        <v>1</v>
      </c>
      <c r="B2879" s="1289" t="s">
        <v>1156</v>
      </c>
      <c r="C2879" s="1288" t="s">
        <v>0</v>
      </c>
      <c r="D2879" s="1287">
        <v>1</v>
      </c>
      <c r="E2879" s="1287">
        <v>7083.93</v>
      </c>
      <c r="F2879" s="1287">
        <v>7083.93</v>
      </c>
      <c r="G2879" s="1286" t="s">
        <v>1157</v>
      </c>
      <c r="H2879" s="34" t="s">
        <v>925</v>
      </c>
    </row>
    <row r="2880" spans="1:8" ht="33">
      <c r="A2880" s="1289">
        <v>2</v>
      </c>
      <c r="B2880" s="1289" t="s">
        <v>1159</v>
      </c>
      <c r="C2880" s="1288" t="s">
        <v>0</v>
      </c>
      <c r="D2880" s="1287">
        <v>1</v>
      </c>
      <c r="E2880" s="1287">
        <v>25.83</v>
      </c>
      <c r="F2880" s="1287">
        <v>25.83</v>
      </c>
      <c r="G2880" s="1286" t="s">
        <v>2542</v>
      </c>
      <c r="H2880" s="34" t="s">
        <v>925</v>
      </c>
    </row>
    <row r="2881" spans="1:8" ht="33">
      <c r="A2881" s="1289">
        <v>3</v>
      </c>
      <c r="B2881" s="1289" t="s">
        <v>931</v>
      </c>
      <c r="C2881" s="1288" t="s">
        <v>14</v>
      </c>
      <c r="D2881" s="1287">
        <v>1</v>
      </c>
      <c r="E2881" s="1287">
        <v>185.79</v>
      </c>
      <c r="F2881" s="1287">
        <v>185.79</v>
      </c>
      <c r="G2881" s="1286" t="s">
        <v>2466</v>
      </c>
      <c r="H2881" s="34" t="s">
        <v>925</v>
      </c>
    </row>
    <row r="2882" spans="1:8" ht="33">
      <c r="A2882" s="1289"/>
      <c r="B2882" s="1289" t="s">
        <v>933</v>
      </c>
      <c r="C2882" s="1288" t="s">
        <v>0</v>
      </c>
      <c r="D2882" s="1287">
        <v>1</v>
      </c>
      <c r="E2882" s="1287"/>
      <c r="F2882" s="1287">
        <v>7295.55</v>
      </c>
      <c r="G2882" s="1286"/>
      <c r="H2882" s="34" t="s">
        <v>925</v>
      </c>
    </row>
    <row r="2883" spans="1:8" ht="33">
      <c r="A2883" s="1289"/>
      <c r="B2883" s="1289" t="s">
        <v>934</v>
      </c>
      <c r="C2883" s="1288" t="s">
        <v>0</v>
      </c>
      <c r="D2883" s="1287"/>
      <c r="E2883" s="1287"/>
      <c r="F2883" s="1287">
        <v>7295.55</v>
      </c>
      <c r="G2883" s="1286"/>
      <c r="H2883" s="34" t="s">
        <v>925</v>
      </c>
    </row>
    <row r="2884" spans="1:8" ht="33">
      <c r="A2884" s="1289"/>
      <c r="B2884" s="1289"/>
      <c r="C2884" s="1288"/>
      <c r="D2884" s="1287"/>
      <c r="E2884" s="1287"/>
      <c r="F2884" s="1287"/>
      <c r="G2884" s="1286"/>
      <c r="H2884" s="34" t="s">
        <v>925</v>
      </c>
    </row>
    <row r="2885" spans="1:8" ht="42.75">
      <c r="A2885" s="1289" t="s">
        <v>4059</v>
      </c>
      <c r="B2885" s="1289" t="s">
        <v>2547</v>
      </c>
      <c r="C2885" s="1288" t="s">
        <v>0</v>
      </c>
      <c r="D2885" s="1287">
        <v>1</v>
      </c>
      <c r="E2885" s="1287">
        <v>6330.41</v>
      </c>
      <c r="F2885" s="1287"/>
      <c r="G2885" s="1286" t="s">
        <v>2548</v>
      </c>
      <c r="H2885" s="34" t="s">
        <v>925</v>
      </c>
    </row>
    <row r="2886" spans="1:8" ht="42.75">
      <c r="A2886" s="1289">
        <v>1</v>
      </c>
      <c r="B2886" s="1289" t="s">
        <v>1197</v>
      </c>
      <c r="C2886" s="1288" t="s">
        <v>0</v>
      </c>
      <c r="D2886" s="1287">
        <v>1</v>
      </c>
      <c r="E2886" s="1287">
        <v>6120.2</v>
      </c>
      <c r="F2886" s="1287">
        <v>6120.2</v>
      </c>
      <c r="G2886" s="1286" t="s">
        <v>1198</v>
      </c>
      <c r="H2886" s="34" t="s">
        <v>925</v>
      </c>
    </row>
    <row r="2887" spans="1:8" ht="28.5">
      <c r="A2887" s="1289">
        <v>2</v>
      </c>
      <c r="B2887" s="1289" t="s">
        <v>1159</v>
      </c>
      <c r="C2887" s="1288" t="s">
        <v>0</v>
      </c>
      <c r="D2887" s="1287">
        <v>1</v>
      </c>
      <c r="E2887" s="1287">
        <v>25.83</v>
      </c>
      <c r="F2887" s="1287">
        <v>25.83</v>
      </c>
      <c r="G2887" s="1286" t="s">
        <v>1160</v>
      </c>
    </row>
    <row r="2888" spans="1:8" ht="33">
      <c r="A2888" s="1289">
        <v>3</v>
      </c>
      <c r="B2888" s="1289" t="s">
        <v>931</v>
      </c>
      <c r="C2888" s="1288" t="s">
        <v>14</v>
      </c>
      <c r="D2888" s="1287">
        <v>1</v>
      </c>
      <c r="E2888" s="1287">
        <v>184.38</v>
      </c>
      <c r="F2888" s="1287">
        <v>184.38</v>
      </c>
      <c r="G2888" s="1286" t="s">
        <v>932</v>
      </c>
      <c r="H2888" s="34" t="s">
        <v>925</v>
      </c>
    </row>
    <row r="2889" spans="1:8" ht="33">
      <c r="A2889" s="1289"/>
      <c r="B2889" s="1289" t="s">
        <v>933</v>
      </c>
      <c r="C2889" s="1288" t="s">
        <v>0</v>
      </c>
      <c r="D2889" s="1287">
        <v>1</v>
      </c>
      <c r="E2889" s="1287"/>
      <c r="F2889" s="1287">
        <v>6330.41</v>
      </c>
      <c r="G2889" s="1286"/>
      <c r="H2889" s="34" t="s">
        <v>925</v>
      </c>
    </row>
    <row r="2890" spans="1:8" ht="33">
      <c r="A2890" s="1289"/>
      <c r="B2890" s="1289" t="s">
        <v>934</v>
      </c>
      <c r="C2890" s="1288" t="s">
        <v>0</v>
      </c>
      <c r="D2890" s="1287"/>
      <c r="E2890" s="1287"/>
      <c r="F2890" s="1287">
        <v>6330.41</v>
      </c>
      <c r="G2890" s="1286"/>
      <c r="H2890" s="34" t="s">
        <v>925</v>
      </c>
    </row>
    <row r="2891" spans="1:8" ht="33">
      <c r="A2891" s="1289"/>
      <c r="B2891" s="1289"/>
      <c r="C2891" s="1288"/>
      <c r="D2891" s="1287"/>
      <c r="E2891" s="1287"/>
      <c r="F2891" s="1287"/>
      <c r="G2891" s="1286"/>
      <c r="H2891" s="34" t="s">
        <v>925</v>
      </c>
    </row>
    <row r="2892" spans="1:8" ht="42.75">
      <c r="A2892" s="1289" t="s">
        <v>4060</v>
      </c>
      <c r="B2892" s="1289" t="s">
        <v>2550</v>
      </c>
      <c r="C2892" s="1288" t="s">
        <v>0</v>
      </c>
      <c r="D2892" s="1287">
        <v>1</v>
      </c>
      <c r="E2892" s="1287">
        <v>6698.81</v>
      </c>
      <c r="F2892" s="1287"/>
      <c r="G2892" s="1286" t="s">
        <v>2551</v>
      </c>
      <c r="H2892" s="34" t="s">
        <v>925</v>
      </c>
    </row>
    <row r="2893" spans="1:8" ht="42.75">
      <c r="A2893" s="1289">
        <v>1</v>
      </c>
      <c r="B2893" s="1289" t="s">
        <v>1189</v>
      </c>
      <c r="C2893" s="1288" t="s">
        <v>0</v>
      </c>
      <c r="D2893" s="1287">
        <v>1</v>
      </c>
      <c r="E2893" s="1287">
        <v>6477.87</v>
      </c>
      <c r="F2893" s="1287">
        <v>6477.87</v>
      </c>
      <c r="G2893" s="1286" t="s">
        <v>1190</v>
      </c>
      <c r="H2893" s="34" t="s">
        <v>925</v>
      </c>
    </row>
    <row r="2894" spans="1:8" ht="33">
      <c r="A2894" s="1289">
        <v>2</v>
      </c>
      <c r="B2894" s="1289" t="s">
        <v>1159</v>
      </c>
      <c r="C2894" s="1288" t="s">
        <v>0</v>
      </c>
      <c r="D2894" s="1287">
        <v>1</v>
      </c>
      <c r="E2894" s="1287">
        <v>25.83</v>
      </c>
      <c r="F2894" s="1287">
        <v>25.83</v>
      </c>
      <c r="G2894" s="1286" t="s">
        <v>1160</v>
      </c>
      <c r="H2894" s="34" t="s">
        <v>925</v>
      </c>
    </row>
    <row r="2895" spans="1:8" ht="33">
      <c r="A2895" s="1289">
        <v>3</v>
      </c>
      <c r="B2895" s="1289" t="s">
        <v>931</v>
      </c>
      <c r="C2895" s="1288" t="s">
        <v>14</v>
      </c>
      <c r="D2895" s="1287">
        <v>1</v>
      </c>
      <c r="E2895" s="1287">
        <v>195.11</v>
      </c>
      <c r="F2895" s="1287">
        <v>195.11</v>
      </c>
      <c r="G2895" s="1286" t="s">
        <v>932</v>
      </c>
      <c r="H2895" s="34" t="s">
        <v>925</v>
      </c>
    </row>
    <row r="2896" spans="1:8" ht="33">
      <c r="A2896" s="1289"/>
      <c r="B2896" s="1289" t="s">
        <v>933</v>
      </c>
      <c r="C2896" s="1288" t="s">
        <v>0</v>
      </c>
      <c r="D2896" s="1287">
        <v>1</v>
      </c>
      <c r="E2896" s="1287"/>
      <c r="F2896" s="1287">
        <v>6698.8099999999995</v>
      </c>
      <c r="G2896" s="1286"/>
      <c r="H2896" s="34" t="s">
        <v>925</v>
      </c>
    </row>
    <row r="2897" spans="1:8" ht="33">
      <c r="A2897" s="1289"/>
      <c r="B2897" s="1289" t="s">
        <v>934</v>
      </c>
      <c r="C2897" s="1288" t="s">
        <v>0</v>
      </c>
      <c r="D2897" s="1287"/>
      <c r="E2897" s="1287"/>
      <c r="F2897" s="1287">
        <v>6698.81</v>
      </c>
      <c r="G2897" s="1286"/>
      <c r="H2897" s="34" t="s">
        <v>925</v>
      </c>
    </row>
    <row r="2898" spans="1:8" ht="16.5">
      <c r="A2898" s="1289"/>
      <c r="B2898" s="1289"/>
      <c r="C2898" s="1288"/>
      <c r="D2898" s="1287"/>
      <c r="E2898" s="1287"/>
      <c r="F2898" s="1287"/>
      <c r="G2898" s="1286"/>
    </row>
    <row r="2899" spans="1:8" ht="57">
      <c r="A2899" s="1289" t="s">
        <v>4061</v>
      </c>
      <c r="B2899" s="1289" t="s">
        <v>2553</v>
      </c>
      <c r="C2899" s="1288" t="s">
        <v>0</v>
      </c>
      <c r="D2899" s="1287">
        <v>1</v>
      </c>
      <c r="E2899" s="1287">
        <v>7087.68</v>
      </c>
      <c r="F2899" s="1287"/>
      <c r="G2899" s="1286" t="s">
        <v>2554</v>
      </c>
      <c r="H2899" s="34" t="s">
        <v>925</v>
      </c>
    </row>
    <row r="2900" spans="1:8" ht="42.75">
      <c r="A2900" s="1289">
        <v>1</v>
      </c>
      <c r="B2900" s="1289" t="s">
        <v>1176</v>
      </c>
      <c r="C2900" s="1288" t="s">
        <v>0</v>
      </c>
      <c r="D2900" s="1287">
        <v>1</v>
      </c>
      <c r="E2900" s="1287">
        <v>6855.41</v>
      </c>
      <c r="F2900" s="1287">
        <v>6855.41</v>
      </c>
      <c r="G2900" s="1286" t="s">
        <v>1177</v>
      </c>
      <c r="H2900" s="34" t="s">
        <v>925</v>
      </c>
    </row>
    <row r="2901" spans="1:8" ht="33">
      <c r="A2901" s="1289">
        <v>2</v>
      </c>
      <c r="B2901" s="1289" t="s">
        <v>1159</v>
      </c>
      <c r="C2901" s="1288" t="s">
        <v>0</v>
      </c>
      <c r="D2901" s="1287">
        <v>1</v>
      </c>
      <c r="E2901" s="1287">
        <v>25.83</v>
      </c>
      <c r="F2901" s="1287">
        <v>25.83</v>
      </c>
      <c r="G2901" s="1286" t="s">
        <v>1160</v>
      </c>
      <c r="H2901" s="34" t="s">
        <v>925</v>
      </c>
    </row>
    <row r="2902" spans="1:8" ht="33">
      <c r="A2902" s="1289">
        <v>3</v>
      </c>
      <c r="B2902" s="1289" t="s">
        <v>931</v>
      </c>
      <c r="C2902" s="1288" t="s">
        <v>14</v>
      </c>
      <c r="D2902" s="1287">
        <v>1</v>
      </c>
      <c r="E2902" s="1287">
        <v>206.44</v>
      </c>
      <c r="F2902" s="1287">
        <v>206.44</v>
      </c>
      <c r="G2902" s="1286" t="s">
        <v>932</v>
      </c>
      <c r="H2902" s="34" t="s">
        <v>925</v>
      </c>
    </row>
    <row r="2903" spans="1:8" ht="33">
      <c r="A2903" s="1289"/>
      <c r="B2903" s="1289" t="s">
        <v>933</v>
      </c>
      <c r="C2903" s="1288" t="s">
        <v>0</v>
      </c>
      <c r="D2903" s="1287">
        <v>1</v>
      </c>
      <c r="E2903" s="1287"/>
      <c r="F2903" s="1287">
        <v>7087.6799999999994</v>
      </c>
      <c r="G2903" s="1286"/>
      <c r="H2903" s="34" t="s">
        <v>925</v>
      </c>
    </row>
    <row r="2904" spans="1:8" ht="33">
      <c r="A2904" s="1289"/>
      <c r="B2904" s="1289" t="s">
        <v>934</v>
      </c>
      <c r="C2904" s="1288" t="s">
        <v>0</v>
      </c>
      <c r="D2904" s="1287"/>
      <c r="E2904" s="1287"/>
      <c r="F2904" s="1287">
        <v>7087.68</v>
      </c>
      <c r="G2904" s="1286"/>
      <c r="H2904" s="34" t="s">
        <v>925</v>
      </c>
    </row>
    <row r="2905" spans="1:8" ht="33">
      <c r="A2905" s="1289"/>
      <c r="B2905" s="1289"/>
      <c r="C2905" s="1288"/>
      <c r="D2905" s="1287"/>
      <c r="E2905" s="1287"/>
      <c r="F2905" s="1287"/>
      <c r="G2905" s="1286"/>
      <c r="H2905" s="34" t="s">
        <v>925</v>
      </c>
    </row>
    <row r="2906" spans="1:8" ht="42.75">
      <c r="A2906" s="1289" t="s">
        <v>4062</v>
      </c>
      <c r="B2906" s="1289" t="s">
        <v>2556</v>
      </c>
      <c r="C2906" s="1288" t="s">
        <v>2238</v>
      </c>
      <c r="D2906" s="1287">
        <v>1</v>
      </c>
      <c r="E2906" s="1287">
        <v>16516.71</v>
      </c>
      <c r="F2906" s="1287"/>
      <c r="G2906" s="1286" t="s">
        <v>2557</v>
      </c>
      <c r="H2906" s="34" t="s">
        <v>925</v>
      </c>
    </row>
    <row r="2907" spans="1:8" ht="28.5">
      <c r="A2907" s="1289">
        <v>1</v>
      </c>
      <c r="B2907" s="1289" t="s">
        <v>1217</v>
      </c>
      <c r="C2907" s="1288" t="s">
        <v>927</v>
      </c>
      <c r="D2907" s="1287">
        <v>4</v>
      </c>
      <c r="E2907" s="1287">
        <v>1013.41</v>
      </c>
      <c r="F2907" s="1287">
        <v>4053.64</v>
      </c>
      <c r="G2907" s="1286" t="s">
        <v>1218</v>
      </c>
    </row>
    <row r="2908" spans="1:8" ht="33">
      <c r="A2908" s="1289">
        <v>2</v>
      </c>
      <c r="B2908" s="1289" t="s">
        <v>2558</v>
      </c>
      <c r="C2908" s="1288" t="s">
        <v>927</v>
      </c>
      <c r="D2908" s="1287">
        <v>4</v>
      </c>
      <c r="E2908" s="1287">
        <v>398.41</v>
      </c>
      <c r="F2908" s="1287">
        <v>1593.64</v>
      </c>
      <c r="G2908" s="1286" t="s">
        <v>2559</v>
      </c>
      <c r="H2908" s="34" t="s">
        <v>925</v>
      </c>
    </row>
    <row r="2909" spans="1:8" ht="33">
      <c r="A2909" s="1289">
        <v>3</v>
      </c>
      <c r="B2909" s="1289" t="s">
        <v>1219</v>
      </c>
      <c r="C2909" s="1288" t="s">
        <v>1220</v>
      </c>
      <c r="D2909" s="1287">
        <v>6</v>
      </c>
      <c r="E2909" s="1287">
        <v>119.22</v>
      </c>
      <c r="F2909" s="1287">
        <v>715.32</v>
      </c>
      <c r="G2909" s="1286" t="s">
        <v>1221</v>
      </c>
      <c r="H2909" s="34" t="s">
        <v>925</v>
      </c>
    </row>
    <row r="2910" spans="1:8" ht="33">
      <c r="A2910" s="1289">
        <v>4</v>
      </c>
      <c r="B2910" s="1289" t="s">
        <v>1222</v>
      </c>
      <c r="C2910" s="1288" t="s">
        <v>927</v>
      </c>
      <c r="D2910" s="1287">
        <v>4</v>
      </c>
      <c r="E2910" s="1287">
        <v>645.79999999999995</v>
      </c>
      <c r="F2910" s="1287">
        <v>2583.1999999999998</v>
      </c>
      <c r="G2910" s="1286" t="s">
        <v>1223</v>
      </c>
      <c r="H2910" s="34" t="s">
        <v>925</v>
      </c>
    </row>
    <row r="2911" spans="1:8" ht="33">
      <c r="A2911" s="1289">
        <v>5</v>
      </c>
      <c r="B2911" s="1289" t="s">
        <v>1224</v>
      </c>
      <c r="C2911" s="1288" t="s">
        <v>927</v>
      </c>
      <c r="D2911" s="1287">
        <v>4</v>
      </c>
      <c r="E2911" s="1287">
        <v>536.51</v>
      </c>
      <c r="F2911" s="1287">
        <v>2146.04</v>
      </c>
      <c r="G2911" s="1286" t="s">
        <v>1225</v>
      </c>
      <c r="H2911" s="34" t="s">
        <v>925</v>
      </c>
    </row>
    <row r="2912" spans="1:8" ht="33">
      <c r="A2912" s="1289">
        <v>6</v>
      </c>
      <c r="B2912" s="1289" t="s">
        <v>1226</v>
      </c>
      <c r="C2912" s="1288" t="s">
        <v>927</v>
      </c>
      <c r="D2912" s="1287">
        <v>4</v>
      </c>
      <c r="E2912" s="1287">
        <v>398.41</v>
      </c>
      <c r="F2912" s="1287">
        <v>1593.64</v>
      </c>
      <c r="G2912" s="1286" t="s">
        <v>1227</v>
      </c>
      <c r="H2912" s="34" t="s">
        <v>925</v>
      </c>
    </row>
    <row r="2913" spans="1:8" ht="33">
      <c r="A2913" s="1289">
        <v>7</v>
      </c>
      <c r="B2913" s="1289" t="s">
        <v>4871</v>
      </c>
      <c r="C2913" s="1288" t="s">
        <v>927</v>
      </c>
      <c r="D2913" s="1287">
        <v>8</v>
      </c>
      <c r="E2913" s="1287">
        <v>279.18</v>
      </c>
      <c r="F2913" s="1287">
        <v>2233.44</v>
      </c>
      <c r="G2913" s="1286" t="s">
        <v>4872</v>
      </c>
      <c r="H2913" s="34" t="s">
        <v>925</v>
      </c>
    </row>
    <row r="2914" spans="1:8" ht="33">
      <c r="A2914" s="1289">
        <v>8</v>
      </c>
      <c r="B2914" s="1289" t="s">
        <v>1228</v>
      </c>
      <c r="C2914" s="1288" t="s">
        <v>927</v>
      </c>
      <c r="D2914" s="1287">
        <v>4</v>
      </c>
      <c r="E2914" s="1287">
        <v>279.18</v>
      </c>
      <c r="F2914" s="1287">
        <v>1116.72</v>
      </c>
      <c r="G2914" s="1286" t="s">
        <v>1229</v>
      </c>
      <c r="H2914" s="34" t="s">
        <v>925</v>
      </c>
    </row>
    <row r="2915" spans="1:8" ht="33">
      <c r="A2915" s="1289">
        <v>9</v>
      </c>
      <c r="B2915" s="1289" t="s">
        <v>931</v>
      </c>
      <c r="C2915" s="1288" t="s">
        <v>14</v>
      </c>
      <c r="D2915" s="1287">
        <v>1</v>
      </c>
      <c r="E2915" s="1287">
        <v>481.07</v>
      </c>
      <c r="F2915" s="1287">
        <v>481.07</v>
      </c>
      <c r="G2915" s="1286" t="s">
        <v>932</v>
      </c>
      <c r="H2915" s="34" t="s">
        <v>925</v>
      </c>
    </row>
    <row r="2916" spans="1:8" ht="33">
      <c r="A2916" s="1289"/>
      <c r="B2916" s="1289" t="s">
        <v>933</v>
      </c>
      <c r="C2916" s="1288" t="s">
        <v>2238</v>
      </c>
      <c r="D2916" s="1287">
        <v>1</v>
      </c>
      <c r="E2916" s="1287"/>
      <c r="F2916" s="1287">
        <v>16516.71</v>
      </c>
      <c r="G2916" s="1286"/>
      <c r="H2916" s="34" t="s">
        <v>925</v>
      </c>
    </row>
    <row r="2917" spans="1:8" ht="33">
      <c r="A2917" s="1289"/>
      <c r="B2917" s="1289" t="s">
        <v>934</v>
      </c>
      <c r="C2917" s="1288" t="s">
        <v>2238</v>
      </c>
      <c r="D2917" s="1287"/>
      <c r="E2917" s="1287"/>
      <c r="F2917" s="1287">
        <v>16516.71</v>
      </c>
      <c r="G2917" s="1286"/>
      <c r="H2917" s="34" t="s">
        <v>925</v>
      </c>
    </row>
    <row r="2918" spans="1:8" ht="33">
      <c r="A2918" s="1289"/>
      <c r="B2918" s="1289"/>
      <c r="C2918" s="1288"/>
      <c r="D2918" s="1287"/>
      <c r="E2918" s="1287"/>
      <c r="F2918" s="1287"/>
      <c r="G2918" s="1286"/>
      <c r="H2918" s="34" t="s">
        <v>925</v>
      </c>
    </row>
    <row r="2919" spans="1:8" ht="42.75">
      <c r="A2919" s="1289" t="s">
        <v>4063</v>
      </c>
      <c r="B2919" s="1289" t="s">
        <v>2561</v>
      </c>
      <c r="C2919" s="1288" t="s">
        <v>2238</v>
      </c>
      <c r="D2919" s="1287">
        <v>1</v>
      </c>
      <c r="E2919" s="1287">
        <v>23250.400000000001</v>
      </c>
      <c r="F2919" s="1287"/>
      <c r="G2919" s="1286" t="s">
        <v>2562</v>
      </c>
      <c r="H2919" s="34" t="s">
        <v>925</v>
      </c>
    </row>
    <row r="2920" spans="1:8" ht="33">
      <c r="A2920" s="1289">
        <v>1</v>
      </c>
      <c r="B2920" s="1289" t="s">
        <v>2563</v>
      </c>
      <c r="C2920" s="1288" t="s">
        <v>927</v>
      </c>
      <c r="D2920" s="1287">
        <v>4</v>
      </c>
      <c r="E2920" s="1287">
        <v>796.82</v>
      </c>
      <c r="F2920" s="1287">
        <v>3187.28</v>
      </c>
      <c r="G2920" s="1286" t="s">
        <v>2564</v>
      </c>
      <c r="H2920" s="34" t="s">
        <v>925</v>
      </c>
    </row>
    <row r="2921" spans="1:8" ht="28.5">
      <c r="A2921" s="1289">
        <v>2</v>
      </c>
      <c r="B2921" s="1289" t="s">
        <v>1224</v>
      </c>
      <c r="C2921" s="1288" t="s">
        <v>927</v>
      </c>
      <c r="D2921" s="1287">
        <v>4</v>
      </c>
      <c r="E2921" s="1287">
        <v>536.51</v>
      </c>
      <c r="F2921" s="1287">
        <v>2146.04</v>
      </c>
      <c r="G2921" s="1286" t="s">
        <v>1225</v>
      </c>
    </row>
    <row r="2922" spans="1:8" ht="33">
      <c r="A2922" s="1289">
        <v>3</v>
      </c>
      <c r="B2922" s="1289" t="s">
        <v>1217</v>
      </c>
      <c r="C2922" s="1288" t="s">
        <v>927</v>
      </c>
      <c r="D2922" s="1287">
        <v>4</v>
      </c>
      <c r="E2922" s="1287">
        <v>1013.41</v>
      </c>
      <c r="F2922" s="1287">
        <v>4053.64</v>
      </c>
      <c r="G2922" s="1286" t="s">
        <v>1218</v>
      </c>
      <c r="H2922" s="34" t="s">
        <v>925</v>
      </c>
    </row>
    <row r="2923" spans="1:8" ht="33">
      <c r="A2923" s="1289">
        <v>4</v>
      </c>
      <c r="B2923" s="1289" t="s">
        <v>1219</v>
      </c>
      <c r="C2923" s="1288" t="s">
        <v>1220</v>
      </c>
      <c r="D2923" s="1287">
        <v>6</v>
      </c>
      <c r="E2923" s="1287">
        <v>119.22</v>
      </c>
      <c r="F2923" s="1287">
        <v>715.32</v>
      </c>
      <c r="G2923" s="1286" t="s">
        <v>1221</v>
      </c>
      <c r="H2923" s="34" t="s">
        <v>925</v>
      </c>
    </row>
    <row r="2924" spans="1:8" ht="33">
      <c r="A2924" s="1289">
        <v>5</v>
      </c>
      <c r="B2924" s="1289" t="s">
        <v>1222</v>
      </c>
      <c r="C2924" s="1288" t="s">
        <v>927</v>
      </c>
      <c r="D2924" s="1287">
        <v>4</v>
      </c>
      <c r="E2924" s="1287">
        <v>645.79999999999995</v>
      </c>
      <c r="F2924" s="1287">
        <v>2583.1999999999998</v>
      </c>
      <c r="G2924" s="1286" t="s">
        <v>1223</v>
      </c>
      <c r="H2924" s="34" t="s">
        <v>925</v>
      </c>
    </row>
    <row r="2925" spans="1:8" ht="33">
      <c r="A2925" s="1289">
        <v>6</v>
      </c>
      <c r="B2925" s="1289" t="s">
        <v>2565</v>
      </c>
      <c r="C2925" s="1288" t="s">
        <v>927</v>
      </c>
      <c r="D2925" s="1287">
        <v>4</v>
      </c>
      <c r="E2925" s="1287">
        <v>796.82</v>
      </c>
      <c r="F2925" s="1287">
        <v>3187.28</v>
      </c>
      <c r="G2925" s="1286" t="s">
        <v>2566</v>
      </c>
      <c r="H2925" s="34" t="s">
        <v>925</v>
      </c>
    </row>
    <row r="2926" spans="1:8" ht="42.75">
      <c r="A2926" s="1289">
        <v>7</v>
      </c>
      <c r="B2926" s="1289" t="s">
        <v>4874</v>
      </c>
      <c r="C2926" s="1288" t="s">
        <v>927</v>
      </c>
      <c r="D2926" s="1287">
        <v>8</v>
      </c>
      <c r="E2926" s="1287">
        <v>558.37</v>
      </c>
      <c r="F2926" s="1287">
        <v>4466.96</v>
      </c>
      <c r="G2926" s="1286" t="s">
        <v>4875</v>
      </c>
      <c r="H2926" s="34" t="s">
        <v>925</v>
      </c>
    </row>
    <row r="2927" spans="1:8" ht="33">
      <c r="A2927" s="1289">
        <v>8</v>
      </c>
      <c r="B2927" s="1289" t="s">
        <v>2567</v>
      </c>
      <c r="C2927" s="1288" t="s">
        <v>927</v>
      </c>
      <c r="D2927" s="1287">
        <v>4</v>
      </c>
      <c r="E2927" s="1287">
        <v>558.37</v>
      </c>
      <c r="F2927" s="1287">
        <v>2233.48</v>
      </c>
      <c r="G2927" s="1286" t="s">
        <v>2568</v>
      </c>
      <c r="H2927" s="34" t="s">
        <v>925</v>
      </c>
    </row>
    <row r="2928" spans="1:8" ht="33">
      <c r="A2928" s="1289">
        <v>9</v>
      </c>
      <c r="B2928" s="1289" t="s">
        <v>931</v>
      </c>
      <c r="C2928" s="1288" t="s">
        <v>14</v>
      </c>
      <c r="D2928" s="1287">
        <v>1</v>
      </c>
      <c r="E2928" s="1287">
        <v>677.2</v>
      </c>
      <c r="F2928" s="1287">
        <v>677.2</v>
      </c>
      <c r="G2928" s="1286" t="s">
        <v>932</v>
      </c>
      <c r="H2928" s="34" t="s">
        <v>925</v>
      </c>
    </row>
    <row r="2929" spans="1:8" ht="33">
      <c r="A2929" s="1289"/>
      <c r="B2929" s="1289" t="s">
        <v>933</v>
      </c>
      <c r="C2929" s="1288" t="s">
        <v>2238</v>
      </c>
      <c r="D2929" s="1287">
        <v>1</v>
      </c>
      <c r="E2929" s="1287"/>
      <c r="F2929" s="1287">
        <v>23250.400000000001</v>
      </c>
      <c r="G2929" s="1286"/>
      <c r="H2929" s="34" t="s">
        <v>925</v>
      </c>
    </row>
    <row r="2930" spans="1:8" ht="33">
      <c r="A2930" s="1289"/>
      <c r="B2930" s="1289" t="s">
        <v>934</v>
      </c>
      <c r="C2930" s="1288" t="s">
        <v>2238</v>
      </c>
      <c r="D2930" s="1287"/>
      <c r="E2930" s="1287"/>
      <c r="F2930" s="1287">
        <v>23250.400000000001</v>
      </c>
      <c r="G2930" s="1286"/>
      <c r="H2930" s="34" t="s">
        <v>925</v>
      </c>
    </row>
    <row r="2931" spans="1:8" ht="33">
      <c r="A2931" s="1289"/>
      <c r="B2931" s="1289"/>
      <c r="C2931" s="1288"/>
      <c r="D2931" s="1287"/>
      <c r="E2931" s="1287"/>
      <c r="F2931" s="1287"/>
      <c r="G2931" s="1286"/>
      <c r="H2931" s="34" t="s">
        <v>925</v>
      </c>
    </row>
    <row r="2932" spans="1:8" ht="33">
      <c r="A2932" s="1289" t="s">
        <v>5004</v>
      </c>
      <c r="B2932" s="1289" t="s">
        <v>2570</v>
      </c>
      <c r="C2932" s="1288" t="s">
        <v>17</v>
      </c>
      <c r="D2932" s="1287">
        <v>10</v>
      </c>
      <c r="E2932" s="1287">
        <v>6529.39</v>
      </c>
      <c r="F2932" s="1287"/>
      <c r="G2932" s="1286" t="s">
        <v>2571</v>
      </c>
      <c r="H2932" s="34" t="s">
        <v>925</v>
      </c>
    </row>
    <row r="2933" spans="1:8" ht="33">
      <c r="A2933" s="1289">
        <v>1</v>
      </c>
      <c r="B2933" s="1289" t="s">
        <v>985</v>
      </c>
      <c r="C2933" s="1288" t="s">
        <v>1</v>
      </c>
      <c r="D2933" s="1287">
        <v>4</v>
      </c>
      <c r="E2933" s="1287">
        <v>644.12</v>
      </c>
      <c r="F2933" s="1287">
        <v>2576.48</v>
      </c>
      <c r="G2933" s="1286" t="s">
        <v>4980</v>
      </c>
      <c r="H2933" s="34" t="s">
        <v>925</v>
      </c>
    </row>
    <row r="2934" spans="1:8" ht="33">
      <c r="A2934" s="1289">
        <v>2</v>
      </c>
      <c r="B2934" s="1289" t="s">
        <v>950</v>
      </c>
      <c r="C2934" s="1288" t="s">
        <v>1</v>
      </c>
      <c r="D2934" s="1287">
        <v>6</v>
      </c>
      <c r="E2934" s="1287">
        <v>48.63</v>
      </c>
      <c r="F2934" s="1287">
        <v>291.77999999999997</v>
      </c>
      <c r="G2934" s="1286" t="s">
        <v>5005</v>
      </c>
      <c r="H2934" s="34" t="s">
        <v>925</v>
      </c>
    </row>
    <row r="2935" spans="1:8" ht="28.5">
      <c r="A2935" s="1289">
        <v>3</v>
      </c>
      <c r="B2935" s="1289" t="s">
        <v>26</v>
      </c>
      <c r="C2935" s="1288" t="s">
        <v>1</v>
      </c>
      <c r="D2935" s="1287">
        <v>10</v>
      </c>
      <c r="E2935" s="1287">
        <v>711.86</v>
      </c>
      <c r="F2935" s="1287">
        <v>7118.6</v>
      </c>
      <c r="G2935" s="1286" t="s">
        <v>4981</v>
      </c>
    </row>
    <row r="2936" spans="1:8" ht="71.25">
      <c r="A2936" s="1289">
        <v>4</v>
      </c>
      <c r="B2936" s="1289" t="s">
        <v>4519</v>
      </c>
      <c r="C2936" s="1288" t="s">
        <v>0</v>
      </c>
      <c r="D2936" s="1287">
        <v>7</v>
      </c>
      <c r="E2936" s="1287">
        <v>1745.15</v>
      </c>
      <c r="F2936" s="1287">
        <v>12216.05</v>
      </c>
      <c r="G2936" s="1286" t="s">
        <v>5006</v>
      </c>
      <c r="H2936" s="34" t="s">
        <v>925</v>
      </c>
    </row>
    <row r="2937" spans="1:8" ht="42.75">
      <c r="A2937" s="1289">
        <v>5</v>
      </c>
      <c r="B2937" s="1289" t="s">
        <v>3640</v>
      </c>
      <c r="C2937" s="1288" t="s">
        <v>0</v>
      </c>
      <c r="D2937" s="1287">
        <v>1.5</v>
      </c>
      <c r="E2937" s="1287">
        <v>8142.53</v>
      </c>
      <c r="F2937" s="1287">
        <v>12213.8</v>
      </c>
      <c r="G2937" s="1286" t="s">
        <v>5007</v>
      </c>
      <c r="H2937" s="34" t="s">
        <v>925</v>
      </c>
    </row>
    <row r="2938" spans="1:8" ht="33">
      <c r="A2938" s="1289">
        <v>6</v>
      </c>
      <c r="B2938" s="1289" t="s">
        <v>3639</v>
      </c>
      <c r="C2938" s="1288" t="s">
        <v>0</v>
      </c>
      <c r="D2938" s="1287">
        <v>0.51</v>
      </c>
      <c r="E2938" s="1287">
        <v>8203.94</v>
      </c>
      <c r="F2938" s="1287">
        <v>4184.01</v>
      </c>
      <c r="G2938" s="1286" t="s">
        <v>5008</v>
      </c>
      <c r="H2938" s="34" t="s">
        <v>925</v>
      </c>
    </row>
    <row r="2939" spans="1:8" ht="33">
      <c r="A2939" s="1289">
        <v>7</v>
      </c>
      <c r="B2939" s="1289" t="s">
        <v>1149</v>
      </c>
      <c r="C2939" s="1288" t="s">
        <v>3</v>
      </c>
      <c r="D2939" s="1287">
        <v>10</v>
      </c>
      <c r="E2939" s="1287">
        <v>17.53</v>
      </c>
      <c r="F2939" s="1287">
        <v>175.3</v>
      </c>
      <c r="G2939" s="1286" t="s">
        <v>5009</v>
      </c>
      <c r="H2939" s="34" t="s">
        <v>925</v>
      </c>
    </row>
    <row r="2940" spans="1:8" ht="33">
      <c r="A2940" s="1289">
        <v>8</v>
      </c>
      <c r="B2940" s="1289" t="s">
        <v>1140</v>
      </c>
      <c r="C2940" s="1288" t="s">
        <v>3</v>
      </c>
      <c r="D2940" s="1287">
        <v>10</v>
      </c>
      <c r="E2940" s="1287">
        <v>44.1</v>
      </c>
      <c r="F2940" s="1287">
        <v>441</v>
      </c>
      <c r="G2940" s="1286" t="s">
        <v>5010</v>
      </c>
      <c r="H2940" s="34" t="s">
        <v>925</v>
      </c>
    </row>
    <row r="2941" spans="1:8" ht="28.5">
      <c r="A2941" s="1289">
        <v>9</v>
      </c>
      <c r="B2941" s="1289" t="s">
        <v>1250</v>
      </c>
      <c r="C2941" s="1288" t="s">
        <v>17</v>
      </c>
      <c r="D2941" s="1287">
        <v>20</v>
      </c>
      <c r="E2941" s="1287">
        <v>76.73</v>
      </c>
      <c r="F2941" s="1287">
        <v>1534.6</v>
      </c>
      <c r="G2941" s="1286" t="s">
        <v>4979</v>
      </c>
    </row>
    <row r="2942" spans="1:8" ht="33">
      <c r="A2942" s="1289">
        <v>10</v>
      </c>
      <c r="B2942" s="1289" t="s">
        <v>2572</v>
      </c>
      <c r="C2942" s="1288" t="s">
        <v>14</v>
      </c>
      <c r="D2942" s="1287">
        <v>1</v>
      </c>
      <c r="E2942" s="1287">
        <v>1291.5999999999999</v>
      </c>
      <c r="F2942" s="1287">
        <v>1291.5999999999999</v>
      </c>
      <c r="G2942" s="1286" t="s">
        <v>2573</v>
      </c>
      <c r="H2942" s="34" t="s">
        <v>925</v>
      </c>
    </row>
    <row r="2943" spans="1:8" ht="33">
      <c r="A2943" s="1289">
        <v>11</v>
      </c>
      <c r="B2943" s="1289" t="s">
        <v>2574</v>
      </c>
      <c r="C2943" s="1288" t="s">
        <v>14</v>
      </c>
      <c r="D2943" s="1287">
        <v>1</v>
      </c>
      <c r="E2943" s="1287">
        <v>1987.08</v>
      </c>
      <c r="F2943" s="1287">
        <v>1987.08</v>
      </c>
      <c r="G2943" s="1286" t="s">
        <v>2575</v>
      </c>
      <c r="H2943" s="34" t="s">
        <v>925</v>
      </c>
    </row>
    <row r="2944" spans="1:8" ht="42.75">
      <c r="A2944" s="1289">
        <v>12</v>
      </c>
      <c r="B2944" s="1289" t="s">
        <v>2287</v>
      </c>
      <c r="C2944" s="1288" t="s">
        <v>14</v>
      </c>
      <c r="D2944" s="1287">
        <v>1</v>
      </c>
      <c r="E2944" s="1287">
        <v>19373.990000000002</v>
      </c>
      <c r="F2944" s="1287">
        <v>19373.990000000002</v>
      </c>
      <c r="G2944" s="1286" t="s">
        <v>2288</v>
      </c>
      <c r="H2944" s="34" t="s">
        <v>925</v>
      </c>
    </row>
    <row r="2945" spans="1:8" ht="33">
      <c r="A2945" s="1289">
        <v>13</v>
      </c>
      <c r="B2945" s="1289" t="s">
        <v>931</v>
      </c>
      <c r="C2945" s="1288" t="s">
        <v>14</v>
      </c>
      <c r="D2945" s="1287">
        <v>1</v>
      </c>
      <c r="E2945" s="1287">
        <v>1889.58</v>
      </c>
      <c r="F2945" s="1287">
        <v>1889.58</v>
      </c>
      <c r="G2945" s="1286" t="s">
        <v>2110</v>
      </c>
      <c r="H2945" s="34" t="s">
        <v>925</v>
      </c>
    </row>
    <row r="2946" spans="1:8" ht="33">
      <c r="A2946" s="1289"/>
      <c r="B2946" s="1289" t="s">
        <v>933</v>
      </c>
      <c r="C2946" s="1288" t="s">
        <v>17</v>
      </c>
      <c r="D2946" s="1287">
        <v>10</v>
      </c>
      <c r="E2946" s="1287"/>
      <c r="F2946" s="1287">
        <v>65293.87000000001</v>
      </c>
      <c r="G2946" s="1286"/>
      <c r="H2946" s="34" t="s">
        <v>925</v>
      </c>
    </row>
    <row r="2947" spans="1:8" ht="33">
      <c r="A2947" s="1289"/>
      <c r="B2947" s="1289" t="s">
        <v>934</v>
      </c>
      <c r="C2947" s="1288" t="s">
        <v>17</v>
      </c>
      <c r="D2947" s="1287"/>
      <c r="E2947" s="1287"/>
      <c r="F2947" s="1287">
        <v>6529.39</v>
      </c>
      <c r="G2947" s="1286"/>
      <c r="H2947" s="34" t="s">
        <v>925</v>
      </c>
    </row>
    <row r="2948" spans="1:8" ht="16.5">
      <c r="A2948" s="1289"/>
      <c r="B2948" s="1289"/>
      <c r="C2948" s="1288"/>
      <c r="D2948" s="1287"/>
      <c r="E2948" s="1287"/>
      <c r="F2948" s="1287"/>
      <c r="G2948" s="1286"/>
    </row>
    <row r="2949" spans="1:8" ht="28.5">
      <c r="A2949" s="1289" t="s">
        <v>5011</v>
      </c>
      <c r="B2949" s="1289" t="s">
        <v>2577</v>
      </c>
      <c r="C2949" s="1288" t="s">
        <v>17</v>
      </c>
      <c r="D2949" s="1287">
        <v>10</v>
      </c>
      <c r="E2949" s="1287">
        <v>7123.58</v>
      </c>
      <c r="F2949" s="1287"/>
      <c r="G2949" s="1286" t="s">
        <v>2578</v>
      </c>
    </row>
    <row r="2950" spans="1:8" ht="42.75">
      <c r="A2950" s="1289">
        <v>1</v>
      </c>
      <c r="B2950" s="1289" t="s">
        <v>2579</v>
      </c>
      <c r="C2950" s="1288" t="s">
        <v>1</v>
      </c>
      <c r="D2950" s="1287">
        <v>6</v>
      </c>
      <c r="E2950" s="1287">
        <v>67.849999999999994</v>
      </c>
      <c r="F2950" s="1287">
        <v>407.1</v>
      </c>
      <c r="G2950" s="1286" t="s">
        <v>5012</v>
      </c>
    </row>
    <row r="2951" spans="1:8" ht="28.5">
      <c r="A2951" s="1289">
        <v>2</v>
      </c>
      <c r="B2951" s="1289" t="s">
        <v>2214</v>
      </c>
      <c r="C2951" s="1288" t="s">
        <v>1</v>
      </c>
      <c r="D2951" s="1287">
        <v>4</v>
      </c>
      <c r="E2951" s="1287">
        <v>1483.81</v>
      </c>
      <c r="F2951" s="1287">
        <v>5935.24</v>
      </c>
      <c r="G2951" s="1286" t="s">
        <v>4982</v>
      </c>
    </row>
    <row r="2952" spans="1:8" ht="28.5">
      <c r="A2952" s="1289">
        <v>3</v>
      </c>
      <c r="B2952" s="1289" t="s">
        <v>2216</v>
      </c>
      <c r="C2952" s="1288" t="s">
        <v>1</v>
      </c>
      <c r="D2952" s="1287">
        <v>10</v>
      </c>
      <c r="E2952" s="1287">
        <v>842.14</v>
      </c>
      <c r="F2952" s="1287">
        <v>8421.4</v>
      </c>
      <c r="G2952" s="1286" t="s">
        <v>2217</v>
      </c>
    </row>
    <row r="2953" spans="1:8" ht="71.25">
      <c r="A2953" s="1289">
        <v>4</v>
      </c>
      <c r="B2953" s="1289" t="s">
        <v>4519</v>
      </c>
      <c r="C2953" s="1288" t="s">
        <v>0</v>
      </c>
      <c r="D2953" s="1287">
        <v>7</v>
      </c>
      <c r="E2953" s="1287">
        <v>1745.15</v>
      </c>
      <c r="F2953" s="1287">
        <v>12216.05</v>
      </c>
      <c r="G2953" s="1286" t="s">
        <v>5006</v>
      </c>
    </row>
    <row r="2954" spans="1:8" ht="42.75">
      <c r="A2954" s="1289">
        <v>5</v>
      </c>
      <c r="B2954" s="1289" t="s">
        <v>4048</v>
      </c>
      <c r="C2954" s="1288" t="s">
        <v>0</v>
      </c>
      <c r="D2954" s="1287">
        <v>1.5</v>
      </c>
      <c r="E2954" s="1287">
        <v>8636.07</v>
      </c>
      <c r="F2954" s="1287">
        <v>12954.11</v>
      </c>
      <c r="G2954" s="1286" t="s">
        <v>5013</v>
      </c>
    </row>
    <row r="2955" spans="1:8" ht="42.75">
      <c r="A2955" s="1289">
        <v>6</v>
      </c>
      <c r="B2955" s="1289" t="s">
        <v>4049</v>
      </c>
      <c r="C2955" s="1288" t="s">
        <v>0</v>
      </c>
      <c r="D2955" s="1287">
        <v>0.51</v>
      </c>
      <c r="E2955" s="1287">
        <v>8697.4699999999993</v>
      </c>
      <c r="F2955" s="1287">
        <v>4435.71</v>
      </c>
      <c r="G2955" s="1286" t="s">
        <v>5014</v>
      </c>
    </row>
    <row r="2956" spans="1:8" ht="28.5">
      <c r="A2956" s="1289">
        <v>7</v>
      </c>
      <c r="B2956" s="1289" t="s">
        <v>1149</v>
      </c>
      <c r="C2956" s="1288" t="s">
        <v>3</v>
      </c>
      <c r="D2956" s="1287">
        <v>10</v>
      </c>
      <c r="E2956" s="1287">
        <v>17.53</v>
      </c>
      <c r="F2956" s="1287">
        <v>175.3</v>
      </c>
      <c r="G2956" s="1286" t="s">
        <v>5009</v>
      </c>
    </row>
    <row r="2957" spans="1:8" ht="28.5">
      <c r="A2957" s="1289">
        <v>8</v>
      </c>
      <c r="B2957" s="1289" t="s">
        <v>1140</v>
      </c>
      <c r="C2957" s="1288" t="s">
        <v>3</v>
      </c>
      <c r="D2957" s="1287">
        <v>10</v>
      </c>
      <c r="E2957" s="1287">
        <v>44.1</v>
      </c>
      <c r="F2957" s="1287">
        <v>441</v>
      </c>
      <c r="G2957" s="1286" t="s">
        <v>5010</v>
      </c>
    </row>
    <row r="2958" spans="1:8" ht="28.5">
      <c r="A2958" s="1289">
        <v>9</v>
      </c>
      <c r="B2958" s="1289" t="s">
        <v>1250</v>
      </c>
      <c r="C2958" s="1288" t="s">
        <v>17</v>
      </c>
      <c r="D2958" s="1287">
        <v>20</v>
      </c>
      <c r="E2958" s="1287">
        <v>76.73</v>
      </c>
      <c r="F2958" s="1287">
        <v>1534.6</v>
      </c>
      <c r="G2958" s="1286" t="s">
        <v>4979</v>
      </c>
    </row>
    <row r="2959" spans="1:8" ht="28.5">
      <c r="A2959" s="1289">
        <v>10</v>
      </c>
      <c r="B2959" s="1289" t="s">
        <v>2572</v>
      </c>
      <c r="C2959" s="1288" t="s">
        <v>14</v>
      </c>
      <c r="D2959" s="1287">
        <v>1</v>
      </c>
      <c r="E2959" s="1287">
        <v>1291.5999999999999</v>
      </c>
      <c r="F2959" s="1287">
        <v>1291.5999999999999</v>
      </c>
      <c r="G2959" s="1286" t="s">
        <v>2573</v>
      </c>
    </row>
    <row r="2960" spans="1:8" ht="28.5">
      <c r="A2960" s="1289">
        <v>11</v>
      </c>
      <c r="B2960" s="1289" t="s">
        <v>2574</v>
      </c>
      <c r="C2960" s="1288" t="s">
        <v>14</v>
      </c>
      <c r="D2960" s="1287">
        <v>1</v>
      </c>
      <c r="E2960" s="1287">
        <v>1987.08</v>
      </c>
      <c r="F2960" s="1287">
        <v>1987.08</v>
      </c>
      <c r="G2960" s="1286" t="s">
        <v>2575</v>
      </c>
    </row>
    <row r="2961" spans="1:7" ht="42.75">
      <c r="A2961" s="1289">
        <v>12</v>
      </c>
      <c r="B2961" s="1289" t="s">
        <v>2287</v>
      </c>
      <c r="C2961" s="1288" t="s">
        <v>14</v>
      </c>
      <c r="D2961" s="1287">
        <v>1</v>
      </c>
      <c r="E2961" s="1287">
        <v>19373.990000000002</v>
      </c>
      <c r="F2961" s="1287">
        <v>19373.990000000002</v>
      </c>
      <c r="G2961" s="1286" t="s">
        <v>2288</v>
      </c>
    </row>
    <row r="2962" spans="1:7" ht="28.5">
      <c r="A2962" s="1289">
        <v>13</v>
      </c>
      <c r="B2962" s="1289" t="s">
        <v>931</v>
      </c>
      <c r="C2962" s="1288" t="s">
        <v>14</v>
      </c>
      <c r="D2962" s="1287">
        <v>1</v>
      </c>
      <c r="E2962" s="1287">
        <v>2062.63</v>
      </c>
      <c r="F2962" s="1287">
        <v>2062.63</v>
      </c>
      <c r="G2962" s="1286" t="s">
        <v>2110</v>
      </c>
    </row>
    <row r="2963" spans="1:7" ht="16.5">
      <c r="A2963" s="1289"/>
      <c r="B2963" s="1289" t="s">
        <v>933</v>
      </c>
      <c r="C2963" s="1288" t="s">
        <v>17</v>
      </c>
      <c r="D2963" s="1287">
        <v>10</v>
      </c>
      <c r="E2963" s="1287"/>
      <c r="F2963" s="1287">
        <v>71235.810000000012</v>
      </c>
      <c r="G2963" s="1286"/>
    </row>
    <row r="2964" spans="1:7" ht="16.5">
      <c r="A2964" s="1289"/>
      <c r="B2964" s="1289" t="s">
        <v>934</v>
      </c>
      <c r="C2964" s="1288" t="s">
        <v>17</v>
      </c>
      <c r="D2964" s="1287"/>
      <c r="E2964" s="1287"/>
      <c r="F2964" s="1287">
        <v>7123.58</v>
      </c>
      <c r="G2964" s="1286"/>
    </row>
    <row r="2965" spans="1:7" ht="16.5">
      <c r="A2965" s="1289"/>
      <c r="B2965" s="1289"/>
      <c r="C2965" s="1288"/>
      <c r="D2965" s="1287"/>
      <c r="E2965" s="1287"/>
      <c r="F2965" s="1287"/>
      <c r="G2965" s="1286"/>
    </row>
    <row r="2966" spans="1:7" ht="28.5">
      <c r="A2966" s="1289" t="s">
        <v>5015</v>
      </c>
      <c r="B2966" s="1289" t="s">
        <v>2584</v>
      </c>
      <c r="C2966" s="1288" t="s">
        <v>17</v>
      </c>
      <c r="D2966" s="1287">
        <v>10</v>
      </c>
      <c r="E2966" s="1287">
        <v>8121.14</v>
      </c>
      <c r="F2966" s="1287"/>
      <c r="G2966" s="1286" t="s">
        <v>2585</v>
      </c>
    </row>
    <row r="2967" spans="1:7" ht="28.5">
      <c r="A2967" s="1289">
        <v>1</v>
      </c>
      <c r="B2967" s="1289" t="s">
        <v>950</v>
      </c>
      <c r="C2967" s="1288" t="s">
        <v>1</v>
      </c>
      <c r="D2967" s="1287">
        <v>9</v>
      </c>
      <c r="E2967" s="1287">
        <v>48.63</v>
      </c>
      <c r="F2967" s="1287">
        <v>437.67</v>
      </c>
      <c r="G2967" s="1286" t="s">
        <v>5005</v>
      </c>
    </row>
    <row r="2968" spans="1:7" ht="28.5">
      <c r="A2968" s="1289">
        <v>2</v>
      </c>
      <c r="B2968" s="1289" t="s">
        <v>985</v>
      </c>
      <c r="C2968" s="1288" t="s">
        <v>1</v>
      </c>
      <c r="D2968" s="1287">
        <v>6</v>
      </c>
      <c r="E2968" s="1287">
        <v>644.12</v>
      </c>
      <c r="F2968" s="1287">
        <v>3864.72</v>
      </c>
      <c r="G2968" s="1286" t="s">
        <v>4980</v>
      </c>
    </row>
    <row r="2969" spans="1:7" ht="28.5">
      <c r="A2969" s="1289">
        <v>3</v>
      </c>
      <c r="B2969" s="1289" t="s">
        <v>26</v>
      </c>
      <c r="C2969" s="1288" t="s">
        <v>1</v>
      </c>
      <c r="D2969" s="1287">
        <v>15</v>
      </c>
      <c r="E2969" s="1287">
        <v>711.86</v>
      </c>
      <c r="F2969" s="1287">
        <v>10677.9</v>
      </c>
      <c r="G2969" s="1286" t="s">
        <v>4981</v>
      </c>
    </row>
    <row r="2970" spans="1:7" ht="71.25">
      <c r="A2970" s="1289">
        <v>4</v>
      </c>
      <c r="B2970" s="1289" t="s">
        <v>4519</v>
      </c>
      <c r="C2970" s="1288" t="s">
        <v>0</v>
      </c>
      <c r="D2970" s="1287">
        <v>13</v>
      </c>
      <c r="E2970" s="1287">
        <v>1745.15</v>
      </c>
      <c r="F2970" s="1287">
        <v>22686.95</v>
      </c>
      <c r="G2970" s="1286" t="s">
        <v>5006</v>
      </c>
    </row>
    <row r="2971" spans="1:7" ht="42.75">
      <c r="A2971" s="1289">
        <v>5</v>
      </c>
      <c r="B2971" s="1289" t="s">
        <v>3640</v>
      </c>
      <c r="C2971" s="1288" t="s">
        <v>0</v>
      </c>
      <c r="D2971" s="1287">
        <v>1.5</v>
      </c>
      <c r="E2971" s="1287">
        <v>8142.53</v>
      </c>
      <c r="F2971" s="1287">
        <v>12213.8</v>
      </c>
      <c r="G2971" s="1286" t="s">
        <v>5007</v>
      </c>
    </row>
    <row r="2972" spans="1:7" ht="28.5">
      <c r="A2972" s="1289">
        <v>6</v>
      </c>
      <c r="B2972" s="1289" t="s">
        <v>3639</v>
      </c>
      <c r="C2972" s="1288" t="s">
        <v>0</v>
      </c>
      <c r="D2972" s="1287">
        <v>0.51</v>
      </c>
      <c r="E2972" s="1287">
        <v>8203.94</v>
      </c>
      <c r="F2972" s="1287">
        <v>4184.01</v>
      </c>
      <c r="G2972" s="1286" t="s">
        <v>5008</v>
      </c>
    </row>
    <row r="2973" spans="1:7" ht="28.5">
      <c r="A2973" s="1289">
        <v>7</v>
      </c>
      <c r="B2973" s="1289" t="s">
        <v>1149</v>
      </c>
      <c r="C2973" s="1288" t="s">
        <v>3</v>
      </c>
      <c r="D2973" s="1287">
        <v>10</v>
      </c>
      <c r="E2973" s="1287">
        <v>17.53</v>
      </c>
      <c r="F2973" s="1287">
        <v>175.3</v>
      </c>
      <c r="G2973" s="1286" t="s">
        <v>5009</v>
      </c>
    </row>
    <row r="2974" spans="1:7" ht="28.5">
      <c r="A2974" s="1289">
        <v>8</v>
      </c>
      <c r="B2974" s="1289" t="s">
        <v>1140</v>
      </c>
      <c r="C2974" s="1288" t="s">
        <v>3</v>
      </c>
      <c r="D2974" s="1287">
        <v>10</v>
      </c>
      <c r="E2974" s="1287">
        <v>44.1</v>
      </c>
      <c r="F2974" s="1287">
        <v>441</v>
      </c>
      <c r="G2974" s="1286" t="s">
        <v>5010</v>
      </c>
    </row>
    <row r="2975" spans="1:7" ht="28.5">
      <c r="A2975" s="1289">
        <v>9</v>
      </c>
      <c r="B2975" s="1289" t="s">
        <v>1250</v>
      </c>
      <c r="C2975" s="1288" t="s">
        <v>17</v>
      </c>
      <c r="D2975" s="1287">
        <v>20</v>
      </c>
      <c r="E2975" s="1287">
        <v>76.73</v>
      </c>
      <c r="F2975" s="1287">
        <v>1534.6</v>
      </c>
      <c r="G2975" s="1286" t="s">
        <v>4979</v>
      </c>
    </row>
    <row r="2976" spans="1:7" ht="28.5">
      <c r="A2976" s="1289">
        <v>10</v>
      </c>
      <c r="B2976" s="1289" t="s">
        <v>2572</v>
      </c>
      <c r="C2976" s="1288" t="s">
        <v>14</v>
      </c>
      <c r="D2976" s="1287">
        <v>1</v>
      </c>
      <c r="E2976" s="1287">
        <v>1291.5999999999999</v>
      </c>
      <c r="F2976" s="1287">
        <v>1291.5999999999999</v>
      </c>
      <c r="G2976" s="1286" t="s">
        <v>2573</v>
      </c>
    </row>
    <row r="2977" spans="1:7" ht="28.5">
      <c r="A2977" s="1289">
        <v>11</v>
      </c>
      <c r="B2977" s="1289" t="s">
        <v>2574</v>
      </c>
      <c r="C2977" s="1288" t="s">
        <v>14</v>
      </c>
      <c r="D2977" s="1287">
        <v>1</v>
      </c>
      <c r="E2977" s="1287">
        <v>1987.08</v>
      </c>
      <c r="F2977" s="1287">
        <v>1987.08</v>
      </c>
      <c r="G2977" s="1286" t="s">
        <v>2575</v>
      </c>
    </row>
    <row r="2978" spans="1:7" ht="42.75">
      <c r="A2978" s="1289">
        <v>12</v>
      </c>
      <c r="B2978" s="1289" t="s">
        <v>2287</v>
      </c>
      <c r="C2978" s="1288" t="s">
        <v>14</v>
      </c>
      <c r="D2978" s="1287">
        <v>1</v>
      </c>
      <c r="E2978" s="1287">
        <v>19373.990000000002</v>
      </c>
      <c r="F2978" s="1287">
        <v>19373.990000000002</v>
      </c>
      <c r="G2978" s="1286" t="s">
        <v>2288</v>
      </c>
    </row>
    <row r="2979" spans="1:7" ht="28.5">
      <c r="A2979" s="1289">
        <v>13</v>
      </c>
      <c r="B2979" s="1289" t="s">
        <v>931</v>
      </c>
      <c r="C2979" s="1288" t="s">
        <v>14</v>
      </c>
      <c r="D2979" s="1287">
        <v>1</v>
      </c>
      <c r="E2979" s="1287">
        <v>2342.73</v>
      </c>
      <c r="F2979" s="1287">
        <v>2342.73</v>
      </c>
      <c r="G2979" s="1286" t="s">
        <v>2110</v>
      </c>
    </row>
    <row r="2980" spans="1:7" ht="16.5">
      <c r="A2980" s="1289"/>
      <c r="B2980" s="1289" t="s">
        <v>933</v>
      </c>
      <c r="C2980" s="1288" t="s">
        <v>17</v>
      </c>
      <c r="D2980" s="1287">
        <v>10</v>
      </c>
      <c r="E2980" s="1287"/>
      <c r="F2980" s="1287">
        <v>81211.349999999991</v>
      </c>
      <c r="G2980" s="1286"/>
    </row>
    <row r="2981" spans="1:7" ht="16.5">
      <c r="A2981" s="1289"/>
      <c r="B2981" s="1289" t="s">
        <v>934</v>
      </c>
      <c r="C2981" s="1288" t="s">
        <v>17</v>
      </c>
      <c r="D2981" s="1287"/>
      <c r="E2981" s="1287"/>
      <c r="F2981" s="1287">
        <v>8121.14</v>
      </c>
      <c r="G2981" s="1286"/>
    </row>
    <row r="2982" spans="1:7" ht="16.5">
      <c r="A2982" s="1289"/>
      <c r="B2982" s="1289"/>
      <c r="C2982" s="1288"/>
      <c r="D2982" s="1287"/>
      <c r="E2982" s="1287"/>
      <c r="F2982" s="1287"/>
      <c r="G2982" s="1286"/>
    </row>
    <row r="2983" spans="1:7" ht="28.5">
      <c r="A2983" s="1289" t="s">
        <v>5016</v>
      </c>
      <c r="B2983" s="1289" t="s">
        <v>2587</v>
      </c>
      <c r="C2983" s="1288" t="s">
        <v>17</v>
      </c>
      <c r="D2983" s="1287">
        <v>10</v>
      </c>
      <c r="E2983" s="1287">
        <v>8961.34</v>
      </c>
      <c r="F2983" s="1287"/>
      <c r="G2983" s="1286" t="s">
        <v>2588</v>
      </c>
    </row>
    <row r="2984" spans="1:7" ht="42.75">
      <c r="A2984" s="1289">
        <v>1</v>
      </c>
      <c r="B2984" s="1289" t="s">
        <v>2579</v>
      </c>
      <c r="C2984" s="1288" t="s">
        <v>1</v>
      </c>
      <c r="D2984" s="1287">
        <v>9</v>
      </c>
      <c r="E2984" s="1287">
        <v>67.849999999999994</v>
      </c>
      <c r="F2984" s="1287">
        <v>610.65</v>
      </c>
      <c r="G2984" s="1286" t="s">
        <v>5012</v>
      </c>
    </row>
    <row r="2985" spans="1:7" ht="28.5">
      <c r="A2985" s="1289">
        <v>2</v>
      </c>
      <c r="B2985" s="1289" t="s">
        <v>2214</v>
      </c>
      <c r="C2985" s="1288" t="s">
        <v>1</v>
      </c>
      <c r="D2985" s="1287">
        <v>6</v>
      </c>
      <c r="E2985" s="1287">
        <v>1483.81</v>
      </c>
      <c r="F2985" s="1287">
        <v>8902.86</v>
      </c>
      <c r="G2985" s="1286" t="s">
        <v>4982</v>
      </c>
    </row>
    <row r="2986" spans="1:7" ht="28.5">
      <c r="A2986" s="1289">
        <v>3</v>
      </c>
      <c r="B2986" s="1289" t="s">
        <v>2216</v>
      </c>
      <c r="C2986" s="1288" t="s">
        <v>1</v>
      </c>
      <c r="D2986" s="1287">
        <v>15</v>
      </c>
      <c r="E2986" s="1287">
        <v>842.14</v>
      </c>
      <c r="F2986" s="1287">
        <v>12632.1</v>
      </c>
      <c r="G2986" s="1286" t="s">
        <v>2217</v>
      </c>
    </row>
    <row r="2987" spans="1:7" ht="71.25">
      <c r="A2987" s="1289">
        <v>4</v>
      </c>
      <c r="B2987" s="1289" t="s">
        <v>4519</v>
      </c>
      <c r="C2987" s="1288" t="s">
        <v>0</v>
      </c>
      <c r="D2987" s="1287">
        <v>13</v>
      </c>
      <c r="E2987" s="1287">
        <v>1745.15</v>
      </c>
      <c r="F2987" s="1287">
        <v>22686.95</v>
      </c>
      <c r="G2987" s="1286" t="s">
        <v>5006</v>
      </c>
    </row>
    <row r="2988" spans="1:7" ht="42.75">
      <c r="A2988" s="1289">
        <v>5</v>
      </c>
      <c r="B2988" s="1289" t="s">
        <v>4049</v>
      </c>
      <c r="C2988" s="1288" t="s">
        <v>0</v>
      </c>
      <c r="D2988" s="1287">
        <v>0.51</v>
      </c>
      <c r="E2988" s="1287">
        <v>8697.4699999999993</v>
      </c>
      <c r="F2988" s="1287">
        <v>4435.71</v>
      </c>
      <c r="G2988" s="1286" t="s">
        <v>5014</v>
      </c>
    </row>
    <row r="2989" spans="1:7" ht="42.75">
      <c r="A2989" s="1289">
        <v>6</v>
      </c>
      <c r="B2989" s="1289" t="s">
        <v>4048</v>
      </c>
      <c r="C2989" s="1288" t="s">
        <v>0</v>
      </c>
      <c r="D2989" s="1287">
        <v>1.5</v>
      </c>
      <c r="E2989" s="1287">
        <v>8636.07</v>
      </c>
      <c r="F2989" s="1287">
        <v>12954.11</v>
      </c>
      <c r="G2989" s="1286" t="s">
        <v>5013</v>
      </c>
    </row>
    <row r="2990" spans="1:7" ht="28.5">
      <c r="A2990" s="1289">
        <v>7</v>
      </c>
      <c r="B2990" s="1289" t="s">
        <v>1149</v>
      </c>
      <c r="C2990" s="1288" t="s">
        <v>3</v>
      </c>
      <c r="D2990" s="1287">
        <v>10</v>
      </c>
      <c r="E2990" s="1287">
        <v>17.53</v>
      </c>
      <c r="F2990" s="1287">
        <v>175.3</v>
      </c>
      <c r="G2990" s="1286" t="s">
        <v>5009</v>
      </c>
    </row>
    <row r="2991" spans="1:7" ht="28.5">
      <c r="A2991" s="1289">
        <v>8</v>
      </c>
      <c r="B2991" s="1289" t="s">
        <v>1140</v>
      </c>
      <c r="C2991" s="1288" t="s">
        <v>3</v>
      </c>
      <c r="D2991" s="1287">
        <v>10</v>
      </c>
      <c r="E2991" s="1287">
        <v>44.1</v>
      </c>
      <c r="F2991" s="1287">
        <v>441</v>
      </c>
      <c r="G2991" s="1286" t="s">
        <v>5010</v>
      </c>
    </row>
    <row r="2992" spans="1:7" ht="28.5">
      <c r="A2992" s="1289">
        <v>9</v>
      </c>
      <c r="B2992" s="1289" t="s">
        <v>1250</v>
      </c>
      <c r="C2992" s="1288" t="s">
        <v>17</v>
      </c>
      <c r="D2992" s="1287">
        <v>20</v>
      </c>
      <c r="E2992" s="1287">
        <v>76.73</v>
      </c>
      <c r="F2992" s="1287">
        <v>1534.6</v>
      </c>
      <c r="G2992" s="1286" t="s">
        <v>4979</v>
      </c>
    </row>
    <row r="2993" spans="1:7" ht="28.5">
      <c r="A2993" s="1289">
        <v>10</v>
      </c>
      <c r="B2993" s="1289" t="s">
        <v>2572</v>
      </c>
      <c r="C2993" s="1288" t="s">
        <v>14</v>
      </c>
      <c r="D2993" s="1287">
        <v>1</v>
      </c>
      <c r="E2993" s="1287">
        <v>1291.5999999999999</v>
      </c>
      <c r="F2993" s="1287">
        <v>1291.5999999999999</v>
      </c>
      <c r="G2993" s="1286" t="s">
        <v>2573</v>
      </c>
    </row>
    <row r="2994" spans="1:7" ht="28.5">
      <c r="A2994" s="1289">
        <v>11</v>
      </c>
      <c r="B2994" s="1289" t="s">
        <v>2574</v>
      </c>
      <c r="C2994" s="1288" t="s">
        <v>14</v>
      </c>
      <c r="D2994" s="1287">
        <v>1</v>
      </c>
      <c r="E2994" s="1287">
        <v>1987.08</v>
      </c>
      <c r="F2994" s="1287">
        <v>1987.08</v>
      </c>
      <c r="G2994" s="1286" t="s">
        <v>2575</v>
      </c>
    </row>
    <row r="2995" spans="1:7" ht="42.75">
      <c r="A2995" s="1289">
        <v>12</v>
      </c>
      <c r="B2995" s="1289" t="s">
        <v>2287</v>
      </c>
      <c r="C2995" s="1288" t="s">
        <v>14</v>
      </c>
      <c r="D2995" s="1287">
        <v>1</v>
      </c>
      <c r="E2995" s="1287">
        <v>19373.990000000002</v>
      </c>
      <c r="F2995" s="1287">
        <v>19373.990000000002</v>
      </c>
      <c r="G2995" s="1286" t="s">
        <v>2288</v>
      </c>
    </row>
    <row r="2996" spans="1:7" ht="28.5">
      <c r="A2996" s="1289">
        <v>13</v>
      </c>
      <c r="B2996" s="1289" t="s">
        <v>931</v>
      </c>
      <c r="C2996" s="1288" t="s">
        <v>14</v>
      </c>
      <c r="D2996" s="1287">
        <v>1</v>
      </c>
      <c r="E2996" s="1287">
        <v>2587.46</v>
      </c>
      <c r="F2996" s="1287">
        <v>2587.46</v>
      </c>
      <c r="G2996" s="1286" t="s">
        <v>2110</v>
      </c>
    </row>
    <row r="2997" spans="1:7" ht="16.5">
      <c r="A2997" s="1289"/>
      <c r="B2997" s="1289" t="s">
        <v>933</v>
      </c>
      <c r="C2997" s="1288" t="s">
        <v>17</v>
      </c>
      <c r="D2997" s="1287">
        <v>10</v>
      </c>
      <c r="E2997" s="1287"/>
      <c r="F2997" s="1287">
        <v>89613.410000000018</v>
      </c>
      <c r="G2997" s="1286"/>
    </row>
    <row r="2998" spans="1:7" ht="16.5">
      <c r="A2998" s="1289"/>
      <c r="B2998" s="1289" t="s">
        <v>934</v>
      </c>
      <c r="C2998" s="1288" t="s">
        <v>17</v>
      </c>
      <c r="D2998" s="1287"/>
      <c r="E2998" s="1287"/>
      <c r="F2998" s="1287">
        <v>8961.34</v>
      </c>
      <c r="G2998" s="1286"/>
    </row>
    <row r="2999" spans="1:7" ht="16.5">
      <c r="A2999" s="1289"/>
      <c r="B2999" s="1289"/>
      <c r="C2999" s="1288"/>
      <c r="D2999" s="1287"/>
      <c r="E2999" s="1287"/>
      <c r="F2999" s="1287"/>
      <c r="G2999" s="1286"/>
    </row>
    <row r="3000" spans="1:7" ht="28.5">
      <c r="A3000" s="1289" t="s">
        <v>5017</v>
      </c>
      <c r="B3000" s="1289" t="s">
        <v>2590</v>
      </c>
      <c r="C3000" s="1288" t="s">
        <v>17</v>
      </c>
      <c r="D3000" s="1287">
        <v>10</v>
      </c>
      <c r="E3000" s="1287">
        <v>9533.31</v>
      </c>
      <c r="F3000" s="1287"/>
      <c r="G3000" s="1286" t="s">
        <v>2591</v>
      </c>
    </row>
    <row r="3001" spans="1:7" ht="28.5">
      <c r="A3001" s="1289">
        <v>1</v>
      </c>
      <c r="B3001" s="1289" t="s">
        <v>950</v>
      </c>
      <c r="C3001" s="1288" t="s">
        <v>1</v>
      </c>
      <c r="D3001" s="1287">
        <v>12</v>
      </c>
      <c r="E3001" s="1287">
        <v>48.63</v>
      </c>
      <c r="F3001" s="1287">
        <v>583.55999999999995</v>
      </c>
      <c r="G3001" s="1286" t="s">
        <v>5005</v>
      </c>
    </row>
    <row r="3002" spans="1:7" ht="28.5">
      <c r="A3002" s="1289">
        <v>2</v>
      </c>
      <c r="B3002" s="1289" t="s">
        <v>985</v>
      </c>
      <c r="C3002" s="1288" t="s">
        <v>1</v>
      </c>
      <c r="D3002" s="1287">
        <v>8</v>
      </c>
      <c r="E3002" s="1287">
        <v>644.12</v>
      </c>
      <c r="F3002" s="1287">
        <v>5152.96</v>
      </c>
      <c r="G3002" s="1286" t="s">
        <v>4980</v>
      </c>
    </row>
    <row r="3003" spans="1:7" ht="28.5">
      <c r="A3003" s="1289">
        <v>3</v>
      </c>
      <c r="B3003" s="1289" t="s">
        <v>26</v>
      </c>
      <c r="C3003" s="1288" t="s">
        <v>1</v>
      </c>
      <c r="D3003" s="1287">
        <v>20</v>
      </c>
      <c r="E3003" s="1287">
        <v>711.86</v>
      </c>
      <c r="F3003" s="1287">
        <v>14237.2</v>
      </c>
      <c r="G3003" s="1286" t="s">
        <v>4981</v>
      </c>
    </row>
    <row r="3004" spans="1:7" ht="71.25">
      <c r="A3004" s="1289">
        <v>4</v>
      </c>
      <c r="B3004" s="1289" t="s">
        <v>4519</v>
      </c>
      <c r="C3004" s="1288" t="s">
        <v>0</v>
      </c>
      <c r="D3004" s="1287">
        <v>18</v>
      </c>
      <c r="E3004" s="1287">
        <v>1745.15</v>
      </c>
      <c r="F3004" s="1287">
        <v>31412.7</v>
      </c>
      <c r="G3004" s="1286" t="s">
        <v>5006</v>
      </c>
    </row>
    <row r="3005" spans="1:7" ht="28.5">
      <c r="A3005" s="1289">
        <v>5</v>
      </c>
      <c r="B3005" s="1289" t="s">
        <v>3639</v>
      </c>
      <c r="C3005" s="1288" t="s">
        <v>0</v>
      </c>
      <c r="D3005" s="1287">
        <v>0.51</v>
      </c>
      <c r="E3005" s="1287">
        <v>8203.94</v>
      </c>
      <c r="F3005" s="1287">
        <v>4184.01</v>
      </c>
      <c r="G3005" s="1286" t="s">
        <v>5008</v>
      </c>
    </row>
    <row r="3006" spans="1:7" ht="42.75">
      <c r="A3006" s="1289">
        <v>6</v>
      </c>
      <c r="B3006" s="1289" t="s">
        <v>3640</v>
      </c>
      <c r="C3006" s="1288" t="s">
        <v>0</v>
      </c>
      <c r="D3006" s="1287">
        <v>1.5</v>
      </c>
      <c r="E3006" s="1287">
        <v>8142.53</v>
      </c>
      <c r="F3006" s="1287">
        <v>12213.8</v>
      </c>
      <c r="G3006" s="1286" t="s">
        <v>5007</v>
      </c>
    </row>
    <row r="3007" spans="1:7" ht="28.5">
      <c r="A3007" s="1289">
        <v>7</v>
      </c>
      <c r="B3007" s="1289" t="s">
        <v>1149</v>
      </c>
      <c r="C3007" s="1288" t="s">
        <v>3</v>
      </c>
      <c r="D3007" s="1287">
        <v>10</v>
      </c>
      <c r="E3007" s="1287">
        <v>17.53</v>
      </c>
      <c r="F3007" s="1287">
        <v>175.3</v>
      </c>
      <c r="G3007" s="1286" t="s">
        <v>5009</v>
      </c>
    </row>
    <row r="3008" spans="1:7" ht="28.5">
      <c r="A3008" s="1289">
        <v>8</v>
      </c>
      <c r="B3008" s="1289" t="s">
        <v>1140</v>
      </c>
      <c r="C3008" s="1288" t="s">
        <v>3</v>
      </c>
      <c r="D3008" s="1287">
        <v>10</v>
      </c>
      <c r="E3008" s="1287">
        <v>44.1</v>
      </c>
      <c r="F3008" s="1287">
        <v>441</v>
      </c>
      <c r="G3008" s="1286" t="s">
        <v>5010</v>
      </c>
    </row>
    <row r="3009" spans="1:7" ht="28.5">
      <c r="A3009" s="1289">
        <v>9</v>
      </c>
      <c r="B3009" s="1289" t="s">
        <v>1250</v>
      </c>
      <c r="C3009" s="1288" t="s">
        <v>17</v>
      </c>
      <c r="D3009" s="1287">
        <v>20</v>
      </c>
      <c r="E3009" s="1287">
        <v>76.73</v>
      </c>
      <c r="F3009" s="1287">
        <v>1534.6</v>
      </c>
      <c r="G3009" s="1286" t="s">
        <v>4979</v>
      </c>
    </row>
    <row r="3010" spans="1:7" ht="28.5">
      <c r="A3010" s="1289">
        <v>10</v>
      </c>
      <c r="B3010" s="1289" t="s">
        <v>2572</v>
      </c>
      <c r="C3010" s="1288" t="s">
        <v>14</v>
      </c>
      <c r="D3010" s="1287">
        <v>1</v>
      </c>
      <c r="E3010" s="1287">
        <v>1291.5999999999999</v>
      </c>
      <c r="F3010" s="1287">
        <v>1291.5999999999999</v>
      </c>
      <c r="G3010" s="1286" t="s">
        <v>2573</v>
      </c>
    </row>
    <row r="3011" spans="1:7" ht="28.5">
      <c r="A3011" s="1289">
        <v>11</v>
      </c>
      <c r="B3011" s="1289" t="s">
        <v>2574</v>
      </c>
      <c r="C3011" s="1288" t="s">
        <v>14</v>
      </c>
      <c r="D3011" s="1287">
        <v>1</v>
      </c>
      <c r="E3011" s="1287">
        <v>1987.08</v>
      </c>
      <c r="F3011" s="1287">
        <v>1987.08</v>
      </c>
      <c r="G3011" s="1286" t="s">
        <v>2575</v>
      </c>
    </row>
    <row r="3012" spans="1:7" ht="42.75">
      <c r="A3012" s="1289">
        <v>12</v>
      </c>
      <c r="B3012" s="1289" t="s">
        <v>2287</v>
      </c>
      <c r="C3012" s="1288" t="s">
        <v>14</v>
      </c>
      <c r="D3012" s="1287">
        <v>1</v>
      </c>
      <c r="E3012" s="1287">
        <v>19373.990000000002</v>
      </c>
      <c r="F3012" s="1287">
        <v>19373.990000000002</v>
      </c>
      <c r="G3012" s="1286" t="s">
        <v>2288</v>
      </c>
    </row>
    <row r="3013" spans="1:7" ht="28.5">
      <c r="A3013" s="1289">
        <v>13</v>
      </c>
      <c r="B3013" s="1289" t="s">
        <v>931</v>
      </c>
      <c r="C3013" s="1288" t="s">
        <v>14</v>
      </c>
      <c r="D3013" s="1287">
        <v>1</v>
      </c>
      <c r="E3013" s="1287">
        <v>2745.33</v>
      </c>
      <c r="F3013" s="1287">
        <v>2745.33</v>
      </c>
      <c r="G3013" s="1286" t="s">
        <v>2110</v>
      </c>
    </row>
    <row r="3014" spans="1:7" ht="16.5">
      <c r="A3014" s="1289"/>
      <c r="B3014" s="1289" t="s">
        <v>933</v>
      </c>
      <c r="C3014" s="1288" t="s">
        <v>17</v>
      </c>
      <c r="D3014" s="1287">
        <v>10</v>
      </c>
      <c r="E3014" s="1287"/>
      <c r="F3014" s="1287">
        <v>95333.130000000019</v>
      </c>
      <c r="G3014" s="1286"/>
    </row>
    <row r="3015" spans="1:7" ht="16.5">
      <c r="A3015" s="1289"/>
      <c r="B3015" s="1289" t="s">
        <v>934</v>
      </c>
      <c r="C3015" s="1288" t="s">
        <v>17</v>
      </c>
      <c r="D3015" s="1287"/>
      <c r="E3015" s="1287"/>
      <c r="F3015" s="1287">
        <v>9533.31</v>
      </c>
      <c r="G3015" s="1286"/>
    </row>
    <row r="3016" spans="1:7" ht="16.5">
      <c r="A3016" s="1289"/>
      <c r="B3016" s="1289"/>
      <c r="C3016" s="1288"/>
      <c r="D3016" s="1287"/>
      <c r="E3016" s="1287"/>
      <c r="F3016" s="1287"/>
      <c r="G3016" s="1286"/>
    </row>
    <row r="3017" spans="1:7" ht="28.5">
      <c r="A3017" s="1289" t="s">
        <v>5018</v>
      </c>
      <c r="B3017" s="1289" t="s">
        <v>2593</v>
      </c>
      <c r="C3017" s="1288" t="s">
        <v>17</v>
      </c>
      <c r="D3017" s="1287">
        <v>10</v>
      </c>
      <c r="E3017" s="1287">
        <v>10619.52</v>
      </c>
      <c r="F3017" s="1287"/>
      <c r="G3017" s="1286" t="s">
        <v>2594</v>
      </c>
    </row>
    <row r="3018" spans="1:7" ht="42.75">
      <c r="A3018" s="1289">
        <v>1</v>
      </c>
      <c r="B3018" s="1289" t="s">
        <v>2579</v>
      </c>
      <c r="C3018" s="1288" t="s">
        <v>1</v>
      </c>
      <c r="D3018" s="1287">
        <v>12</v>
      </c>
      <c r="E3018" s="1287">
        <v>67.849999999999994</v>
      </c>
      <c r="F3018" s="1287">
        <v>814.2</v>
      </c>
      <c r="G3018" s="1286" t="s">
        <v>5012</v>
      </c>
    </row>
    <row r="3019" spans="1:7" ht="28.5">
      <c r="A3019" s="1289">
        <v>2</v>
      </c>
      <c r="B3019" s="1289" t="s">
        <v>2214</v>
      </c>
      <c r="C3019" s="1288" t="s">
        <v>1</v>
      </c>
      <c r="D3019" s="1287">
        <v>8</v>
      </c>
      <c r="E3019" s="1287">
        <v>1483.81</v>
      </c>
      <c r="F3019" s="1287">
        <v>11870.48</v>
      </c>
      <c r="G3019" s="1286" t="s">
        <v>4982</v>
      </c>
    </row>
    <row r="3020" spans="1:7" ht="28.5">
      <c r="A3020" s="1289">
        <v>3</v>
      </c>
      <c r="B3020" s="1289" t="s">
        <v>2216</v>
      </c>
      <c r="C3020" s="1288" t="s">
        <v>1</v>
      </c>
      <c r="D3020" s="1287">
        <v>20</v>
      </c>
      <c r="E3020" s="1287">
        <v>842.14</v>
      </c>
      <c r="F3020" s="1287">
        <v>16842.8</v>
      </c>
      <c r="G3020" s="1286" t="s">
        <v>2217</v>
      </c>
    </row>
    <row r="3021" spans="1:7" ht="71.25">
      <c r="A3021" s="1289">
        <v>4</v>
      </c>
      <c r="B3021" s="1289" t="s">
        <v>4519</v>
      </c>
      <c r="C3021" s="1288" t="s">
        <v>0</v>
      </c>
      <c r="D3021" s="1287">
        <v>18</v>
      </c>
      <c r="E3021" s="1287">
        <v>1745.15</v>
      </c>
      <c r="F3021" s="1287">
        <v>31412.7</v>
      </c>
      <c r="G3021" s="1286" t="s">
        <v>5006</v>
      </c>
    </row>
    <row r="3022" spans="1:7" ht="42.75">
      <c r="A3022" s="1289">
        <v>5</v>
      </c>
      <c r="B3022" s="1289" t="s">
        <v>4049</v>
      </c>
      <c r="C3022" s="1288" t="s">
        <v>0</v>
      </c>
      <c r="D3022" s="1287">
        <v>0.51</v>
      </c>
      <c r="E3022" s="1287">
        <v>8697.4699999999993</v>
      </c>
      <c r="F3022" s="1287">
        <v>4435.71</v>
      </c>
      <c r="G3022" s="1286" t="s">
        <v>5014</v>
      </c>
    </row>
    <row r="3023" spans="1:7" ht="42.75">
      <c r="A3023" s="1289">
        <v>6</v>
      </c>
      <c r="B3023" s="1289" t="s">
        <v>4048</v>
      </c>
      <c r="C3023" s="1288" t="s">
        <v>0</v>
      </c>
      <c r="D3023" s="1287">
        <v>1.5</v>
      </c>
      <c r="E3023" s="1287">
        <v>8636.07</v>
      </c>
      <c r="F3023" s="1287">
        <v>12954.11</v>
      </c>
      <c r="G3023" s="1286" t="s">
        <v>5013</v>
      </c>
    </row>
    <row r="3024" spans="1:7" ht="28.5">
      <c r="A3024" s="1289">
        <v>7</v>
      </c>
      <c r="B3024" s="1289" t="s">
        <v>1149</v>
      </c>
      <c r="C3024" s="1288" t="s">
        <v>3</v>
      </c>
      <c r="D3024" s="1287">
        <v>10</v>
      </c>
      <c r="E3024" s="1287">
        <v>17.53</v>
      </c>
      <c r="F3024" s="1287">
        <v>175.3</v>
      </c>
      <c r="G3024" s="1286" t="s">
        <v>5009</v>
      </c>
    </row>
    <row r="3025" spans="1:7" ht="28.5">
      <c r="A3025" s="1289">
        <v>8</v>
      </c>
      <c r="B3025" s="1289" t="s">
        <v>1140</v>
      </c>
      <c r="C3025" s="1288" t="s">
        <v>3</v>
      </c>
      <c r="D3025" s="1287">
        <v>10</v>
      </c>
      <c r="E3025" s="1287">
        <v>44.1</v>
      </c>
      <c r="F3025" s="1287">
        <v>441</v>
      </c>
      <c r="G3025" s="1286" t="s">
        <v>5010</v>
      </c>
    </row>
    <row r="3026" spans="1:7" ht="28.5">
      <c r="A3026" s="1289">
        <v>9</v>
      </c>
      <c r="B3026" s="1289" t="s">
        <v>1250</v>
      </c>
      <c r="C3026" s="1288" t="s">
        <v>17</v>
      </c>
      <c r="D3026" s="1287">
        <v>20</v>
      </c>
      <c r="E3026" s="1287">
        <v>76.73</v>
      </c>
      <c r="F3026" s="1287">
        <v>1534.6</v>
      </c>
      <c r="G3026" s="1286" t="s">
        <v>4979</v>
      </c>
    </row>
    <row r="3027" spans="1:7" ht="28.5">
      <c r="A3027" s="1289">
        <v>10</v>
      </c>
      <c r="B3027" s="1289" t="s">
        <v>2572</v>
      </c>
      <c r="C3027" s="1288" t="s">
        <v>14</v>
      </c>
      <c r="D3027" s="1287">
        <v>1</v>
      </c>
      <c r="E3027" s="1287">
        <v>1291.5999999999999</v>
      </c>
      <c r="F3027" s="1287">
        <v>1291.5999999999999</v>
      </c>
      <c r="G3027" s="1286" t="s">
        <v>2573</v>
      </c>
    </row>
    <row r="3028" spans="1:7" ht="28.5">
      <c r="A3028" s="1289">
        <v>11</v>
      </c>
      <c r="B3028" s="1289" t="s">
        <v>2574</v>
      </c>
      <c r="C3028" s="1288" t="s">
        <v>14</v>
      </c>
      <c r="D3028" s="1287">
        <v>1</v>
      </c>
      <c r="E3028" s="1287">
        <v>1987.08</v>
      </c>
      <c r="F3028" s="1287">
        <v>1987.08</v>
      </c>
      <c r="G3028" s="1286" t="s">
        <v>2575</v>
      </c>
    </row>
    <row r="3029" spans="1:7" ht="42.75">
      <c r="A3029" s="1289">
        <v>12</v>
      </c>
      <c r="B3029" s="1289" t="s">
        <v>2287</v>
      </c>
      <c r="C3029" s="1288" t="s">
        <v>14</v>
      </c>
      <c r="D3029" s="1287">
        <v>1</v>
      </c>
      <c r="E3029" s="1287">
        <v>19373.990000000002</v>
      </c>
      <c r="F3029" s="1287">
        <v>19373.990000000002</v>
      </c>
      <c r="G3029" s="1286" t="s">
        <v>2288</v>
      </c>
    </row>
    <row r="3030" spans="1:7" ht="28.5">
      <c r="A3030" s="1289">
        <v>13</v>
      </c>
      <c r="B3030" s="1289" t="s">
        <v>931</v>
      </c>
      <c r="C3030" s="1288" t="s">
        <v>14</v>
      </c>
      <c r="D3030" s="1287">
        <v>1</v>
      </c>
      <c r="E3030" s="1287">
        <v>3061.64</v>
      </c>
      <c r="F3030" s="1287">
        <v>3061.64</v>
      </c>
      <c r="G3030" s="1286" t="s">
        <v>2110</v>
      </c>
    </row>
    <row r="3031" spans="1:7" ht="16.5">
      <c r="A3031" s="1289"/>
      <c r="B3031" s="1289" t="s">
        <v>933</v>
      </c>
      <c r="C3031" s="1288" t="s">
        <v>17</v>
      </c>
      <c r="D3031" s="1287">
        <v>10</v>
      </c>
      <c r="E3031" s="1287"/>
      <c r="F3031" s="1287">
        <v>106195.21000000002</v>
      </c>
      <c r="G3031" s="1286"/>
    </row>
    <row r="3032" spans="1:7" ht="16.5">
      <c r="A3032" s="1289"/>
      <c r="B3032" s="1289" t="s">
        <v>934</v>
      </c>
      <c r="C3032" s="1288" t="s">
        <v>17</v>
      </c>
      <c r="D3032" s="1287"/>
      <c r="E3032" s="1287"/>
      <c r="F3032" s="1287">
        <v>10619.52</v>
      </c>
      <c r="G3032" s="1286"/>
    </row>
    <row r="3033" spans="1:7" ht="16.5">
      <c r="A3033" s="1289"/>
      <c r="B3033" s="1289"/>
      <c r="C3033" s="1288"/>
      <c r="D3033" s="1287"/>
      <c r="E3033" s="1287"/>
      <c r="F3033" s="1287"/>
      <c r="G3033" s="1286"/>
    </row>
    <row r="3034" spans="1:7" ht="28.5">
      <c r="A3034" s="1289" t="s">
        <v>5019</v>
      </c>
      <c r="B3034" s="1289" t="s">
        <v>2596</v>
      </c>
      <c r="C3034" s="1288" t="s">
        <v>17</v>
      </c>
      <c r="D3034" s="1287">
        <v>10</v>
      </c>
      <c r="E3034" s="1287">
        <v>15142.55</v>
      </c>
      <c r="F3034" s="1287"/>
      <c r="G3034" s="1286" t="s">
        <v>2597</v>
      </c>
    </row>
    <row r="3035" spans="1:7" ht="28.5">
      <c r="A3035" s="1289">
        <v>1</v>
      </c>
      <c r="B3035" s="1289" t="s">
        <v>950</v>
      </c>
      <c r="C3035" s="1288" t="s">
        <v>1</v>
      </c>
      <c r="D3035" s="1287">
        <v>24</v>
      </c>
      <c r="E3035" s="1287">
        <v>48.63</v>
      </c>
      <c r="F3035" s="1287">
        <v>1167.1199999999999</v>
      </c>
      <c r="G3035" s="1286" t="s">
        <v>5005</v>
      </c>
    </row>
    <row r="3036" spans="1:7" ht="28.5">
      <c r="A3036" s="1289">
        <v>2</v>
      </c>
      <c r="B3036" s="1289" t="s">
        <v>985</v>
      </c>
      <c r="C3036" s="1288" t="s">
        <v>1</v>
      </c>
      <c r="D3036" s="1287">
        <v>16</v>
      </c>
      <c r="E3036" s="1287">
        <v>644.12</v>
      </c>
      <c r="F3036" s="1287">
        <v>10305.92</v>
      </c>
      <c r="G3036" s="1286" t="s">
        <v>4980</v>
      </c>
    </row>
    <row r="3037" spans="1:7" ht="28.5">
      <c r="A3037" s="1289">
        <v>3</v>
      </c>
      <c r="B3037" s="1289" t="s">
        <v>26</v>
      </c>
      <c r="C3037" s="1288" t="s">
        <v>1</v>
      </c>
      <c r="D3037" s="1287">
        <v>40</v>
      </c>
      <c r="E3037" s="1287">
        <v>711.86</v>
      </c>
      <c r="F3037" s="1287">
        <v>28474.400000000001</v>
      </c>
      <c r="G3037" s="1286" t="s">
        <v>4981</v>
      </c>
    </row>
    <row r="3038" spans="1:7" ht="71.25">
      <c r="A3038" s="1289">
        <v>4</v>
      </c>
      <c r="B3038" s="1289" t="s">
        <v>4519</v>
      </c>
      <c r="C3038" s="1288" t="s">
        <v>0</v>
      </c>
      <c r="D3038" s="1287">
        <v>32</v>
      </c>
      <c r="E3038" s="1287">
        <v>1745.15</v>
      </c>
      <c r="F3038" s="1287">
        <v>55844.800000000003</v>
      </c>
      <c r="G3038" s="1286" t="s">
        <v>5006</v>
      </c>
    </row>
    <row r="3039" spans="1:7" ht="28.5">
      <c r="A3039" s="1289">
        <v>5</v>
      </c>
      <c r="B3039" s="1289" t="s">
        <v>3639</v>
      </c>
      <c r="C3039" s="1288" t="s">
        <v>0</v>
      </c>
      <c r="D3039" s="1287">
        <v>0.8</v>
      </c>
      <c r="E3039" s="1287">
        <v>8203.94</v>
      </c>
      <c r="F3039" s="1287">
        <v>6563.15</v>
      </c>
      <c r="G3039" s="1286" t="s">
        <v>5008</v>
      </c>
    </row>
    <row r="3040" spans="1:7" ht="42.75">
      <c r="A3040" s="1289">
        <v>6</v>
      </c>
      <c r="B3040" s="1289" t="s">
        <v>3640</v>
      </c>
      <c r="C3040" s="1288" t="s">
        <v>0</v>
      </c>
      <c r="D3040" s="1287">
        <v>2.4</v>
      </c>
      <c r="E3040" s="1287">
        <v>8142.53</v>
      </c>
      <c r="F3040" s="1287">
        <v>19542.07</v>
      </c>
      <c r="G3040" s="1286" t="s">
        <v>5007</v>
      </c>
    </row>
    <row r="3041" spans="1:7" ht="28.5">
      <c r="A3041" s="1289">
        <v>7</v>
      </c>
      <c r="B3041" s="1289" t="s">
        <v>1149</v>
      </c>
      <c r="C3041" s="1288" t="s">
        <v>3</v>
      </c>
      <c r="D3041" s="1287">
        <v>16</v>
      </c>
      <c r="E3041" s="1287">
        <v>17.53</v>
      </c>
      <c r="F3041" s="1287">
        <v>280.48</v>
      </c>
      <c r="G3041" s="1286" t="s">
        <v>5009</v>
      </c>
    </row>
    <row r="3042" spans="1:7" ht="28.5">
      <c r="A3042" s="1289">
        <v>8</v>
      </c>
      <c r="B3042" s="1289" t="s">
        <v>1140</v>
      </c>
      <c r="C3042" s="1288" t="s">
        <v>3</v>
      </c>
      <c r="D3042" s="1287">
        <v>16</v>
      </c>
      <c r="E3042" s="1287">
        <v>44.1</v>
      </c>
      <c r="F3042" s="1287">
        <v>705.6</v>
      </c>
      <c r="G3042" s="1286" t="s">
        <v>5010</v>
      </c>
    </row>
    <row r="3043" spans="1:7" ht="28.5">
      <c r="A3043" s="1289">
        <v>9</v>
      </c>
      <c r="B3043" s="1289" t="s">
        <v>1250</v>
      </c>
      <c r="C3043" s="1288" t="s">
        <v>17</v>
      </c>
      <c r="D3043" s="1287">
        <v>20</v>
      </c>
      <c r="E3043" s="1287">
        <v>76.73</v>
      </c>
      <c r="F3043" s="1287">
        <v>1534.6</v>
      </c>
      <c r="G3043" s="1286" t="s">
        <v>4979</v>
      </c>
    </row>
    <row r="3044" spans="1:7" ht="28.5">
      <c r="A3044" s="1289">
        <v>10</v>
      </c>
      <c r="B3044" s="1289" t="s">
        <v>2572</v>
      </c>
      <c r="C3044" s="1288" t="s">
        <v>14</v>
      </c>
      <c r="D3044" s="1287">
        <v>1</v>
      </c>
      <c r="E3044" s="1287">
        <v>1291.5999999999999</v>
      </c>
      <c r="F3044" s="1287">
        <v>1291.5999999999999</v>
      </c>
      <c r="G3044" s="1286" t="s">
        <v>2573</v>
      </c>
    </row>
    <row r="3045" spans="1:7" ht="28.5">
      <c r="A3045" s="1289">
        <v>11</v>
      </c>
      <c r="B3045" s="1289" t="s">
        <v>2574</v>
      </c>
      <c r="C3045" s="1288" t="s">
        <v>14</v>
      </c>
      <c r="D3045" s="1287">
        <v>1</v>
      </c>
      <c r="E3045" s="1287">
        <v>1987.08</v>
      </c>
      <c r="F3045" s="1287">
        <v>1987.08</v>
      </c>
      <c r="G3045" s="1286" t="s">
        <v>2575</v>
      </c>
    </row>
    <row r="3046" spans="1:7" ht="42.75">
      <c r="A3046" s="1289">
        <v>12</v>
      </c>
      <c r="B3046" s="1289" t="s">
        <v>2287</v>
      </c>
      <c r="C3046" s="1288" t="s">
        <v>14</v>
      </c>
      <c r="D3046" s="1287">
        <v>1</v>
      </c>
      <c r="E3046" s="1287">
        <v>19373.990000000002</v>
      </c>
      <c r="F3046" s="1287">
        <v>19373.990000000002</v>
      </c>
      <c r="G3046" s="1286" t="s">
        <v>2288</v>
      </c>
    </row>
    <row r="3047" spans="1:7" ht="28.5">
      <c r="A3047" s="1289">
        <v>13</v>
      </c>
      <c r="B3047" s="1289" t="s">
        <v>931</v>
      </c>
      <c r="C3047" s="1288" t="s">
        <v>14</v>
      </c>
      <c r="D3047" s="1287">
        <v>1</v>
      </c>
      <c r="E3047" s="1287">
        <v>4354.7</v>
      </c>
      <c r="F3047" s="1287">
        <v>4354.7</v>
      </c>
      <c r="G3047" s="1286" t="s">
        <v>2110</v>
      </c>
    </row>
    <row r="3048" spans="1:7" ht="16.5">
      <c r="A3048" s="1289"/>
      <c r="B3048" s="1289" t="s">
        <v>933</v>
      </c>
      <c r="C3048" s="1288" t="s">
        <v>17</v>
      </c>
      <c r="D3048" s="1287">
        <v>10</v>
      </c>
      <c r="E3048" s="1287"/>
      <c r="F3048" s="1287">
        <v>151425.51</v>
      </c>
      <c r="G3048" s="1286"/>
    </row>
    <row r="3049" spans="1:7" ht="16.5">
      <c r="A3049" s="1289"/>
      <c r="B3049" s="1289" t="s">
        <v>934</v>
      </c>
      <c r="C3049" s="1288" t="s">
        <v>17</v>
      </c>
      <c r="D3049" s="1287"/>
      <c r="E3049" s="1287"/>
      <c r="F3049" s="1287">
        <v>15142.55</v>
      </c>
      <c r="G3049" s="1286"/>
    </row>
    <row r="3050" spans="1:7" ht="16.5">
      <c r="A3050" s="1289"/>
      <c r="B3050" s="1289"/>
      <c r="C3050" s="1288"/>
      <c r="D3050" s="1287"/>
      <c r="E3050" s="1287"/>
      <c r="F3050" s="1287"/>
      <c r="G3050" s="1286"/>
    </row>
    <row r="3051" spans="1:7" ht="28.5">
      <c r="A3051" s="1289" t="s">
        <v>5020</v>
      </c>
      <c r="B3051" s="1289" t="s">
        <v>2599</v>
      </c>
      <c r="C3051" s="1288" t="s">
        <v>17</v>
      </c>
      <c r="D3051" s="1287">
        <v>10</v>
      </c>
      <c r="E3051" s="1287">
        <v>17273.29</v>
      </c>
      <c r="F3051" s="1287"/>
      <c r="G3051" s="1286" t="s">
        <v>2600</v>
      </c>
    </row>
    <row r="3052" spans="1:7" ht="42.75">
      <c r="A3052" s="1289">
        <v>1</v>
      </c>
      <c r="B3052" s="1289" t="s">
        <v>2579</v>
      </c>
      <c r="C3052" s="1288" t="s">
        <v>1</v>
      </c>
      <c r="D3052" s="1287">
        <v>24</v>
      </c>
      <c r="E3052" s="1287">
        <v>67.849999999999994</v>
      </c>
      <c r="F3052" s="1287">
        <v>1628.4</v>
      </c>
      <c r="G3052" s="1286" t="s">
        <v>5012</v>
      </c>
    </row>
    <row r="3053" spans="1:7" ht="28.5">
      <c r="A3053" s="1289">
        <v>2</v>
      </c>
      <c r="B3053" s="1289" t="s">
        <v>2214</v>
      </c>
      <c r="C3053" s="1288" t="s">
        <v>1</v>
      </c>
      <c r="D3053" s="1287">
        <v>16</v>
      </c>
      <c r="E3053" s="1287">
        <v>1483.81</v>
      </c>
      <c r="F3053" s="1287">
        <v>23740.959999999999</v>
      </c>
      <c r="G3053" s="1286" t="s">
        <v>4982</v>
      </c>
    </row>
    <row r="3054" spans="1:7" ht="71.25">
      <c r="A3054" s="1289">
        <v>3</v>
      </c>
      <c r="B3054" s="1289" t="s">
        <v>4519</v>
      </c>
      <c r="C3054" s="1288" t="s">
        <v>0</v>
      </c>
      <c r="D3054" s="1287">
        <v>32</v>
      </c>
      <c r="E3054" s="1287">
        <v>1745.15</v>
      </c>
      <c r="F3054" s="1287">
        <v>55844.800000000003</v>
      </c>
      <c r="G3054" s="1286" t="s">
        <v>5006</v>
      </c>
    </row>
    <row r="3055" spans="1:7" ht="28.5">
      <c r="A3055" s="1289">
        <v>4</v>
      </c>
      <c r="B3055" s="1289" t="s">
        <v>2216</v>
      </c>
      <c r="C3055" s="1288" t="s">
        <v>1</v>
      </c>
      <c r="D3055" s="1287">
        <v>40</v>
      </c>
      <c r="E3055" s="1287">
        <v>842.14</v>
      </c>
      <c r="F3055" s="1287">
        <v>33685.599999999999</v>
      </c>
      <c r="G3055" s="1286" t="s">
        <v>2217</v>
      </c>
    </row>
    <row r="3056" spans="1:7" ht="42.75">
      <c r="A3056" s="1289">
        <v>5</v>
      </c>
      <c r="B3056" s="1289" t="s">
        <v>4049</v>
      </c>
      <c r="C3056" s="1288" t="s">
        <v>0</v>
      </c>
      <c r="D3056" s="1287">
        <v>0.8</v>
      </c>
      <c r="E3056" s="1287">
        <v>8697.4699999999993</v>
      </c>
      <c r="F3056" s="1287">
        <v>6957.98</v>
      </c>
      <c r="G3056" s="1286" t="s">
        <v>5014</v>
      </c>
    </row>
    <row r="3057" spans="1:7" ht="42.75">
      <c r="A3057" s="1289">
        <v>6</v>
      </c>
      <c r="B3057" s="1289" t="s">
        <v>4048</v>
      </c>
      <c r="C3057" s="1288" t="s">
        <v>0</v>
      </c>
      <c r="D3057" s="1287">
        <v>2.4</v>
      </c>
      <c r="E3057" s="1287">
        <v>8636.07</v>
      </c>
      <c r="F3057" s="1287">
        <v>20726.57</v>
      </c>
      <c r="G3057" s="1286" t="s">
        <v>5013</v>
      </c>
    </row>
    <row r="3058" spans="1:7" ht="28.5">
      <c r="A3058" s="1289">
        <v>7</v>
      </c>
      <c r="B3058" s="1289" t="s">
        <v>1149</v>
      </c>
      <c r="C3058" s="1288" t="s">
        <v>3</v>
      </c>
      <c r="D3058" s="1287">
        <v>16</v>
      </c>
      <c r="E3058" s="1287">
        <v>17.53</v>
      </c>
      <c r="F3058" s="1287">
        <v>280.48</v>
      </c>
      <c r="G3058" s="1286" t="s">
        <v>5009</v>
      </c>
    </row>
    <row r="3059" spans="1:7" ht="28.5">
      <c r="A3059" s="1289">
        <v>8</v>
      </c>
      <c r="B3059" s="1289" t="s">
        <v>1140</v>
      </c>
      <c r="C3059" s="1288" t="s">
        <v>3</v>
      </c>
      <c r="D3059" s="1287">
        <v>16</v>
      </c>
      <c r="E3059" s="1287">
        <v>44.1</v>
      </c>
      <c r="F3059" s="1287">
        <v>705.6</v>
      </c>
      <c r="G3059" s="1286" t="s">
        <v>5010</v>
      </c>
    </row>
    <row r="3060" spans="1:7" ht="28.5">
      <c r="A3060" s="1289">
        <v>9</v>
      </c>
      <c r="B3060" s="1289" t="s">
        <v>1250</v>
      </c>
      <c r="C3060" s="1288" t="s">
        <v>17</v>
      </c>
      <c r="D3060" s="1287">
        <v>20</v>
      </c>
      <c r="E3060" s="1287">
        <v>76.73</v>
      </c>
      <c r="F3060" s="1287">
        <v>1534.6</v>
      </c>
      <c r="G3060" s="1286" t="s">
        <v>4979</v>
      </c>
    </row>
    <row r="3061" spans="1:7" ht="28.5">
      <c r="A3061" s="1289">
        <v>10</v>
      </c>
      <c r="B3061" s="1289" t="s">
        <v>2572</v>
      </c>
      <c r="C3061" s="1288" t="s">
        <v>14</v>
      </c>
      <c r="D3061" s="1287">
        <v>1</v>
      </c>
      <c r="E3061" s="1287">
        <v>1291.5999999999999</v>
      </c>
      <c r="F3061" s="1287">
        <v>1291.5999999999999</v>
      </c>
      <c r="G3061" s="1286" t="s">
        <v>2573</v>
      </c>
    </row>
    <row r="3062" spans="1:7" ht="28.5">
      <c r="A3062" s="1289">
        <v>11</v>
      </c>
      <c r="B3062" s="1289" t="s">
        <v>2574</v>
      </c>
      <c r="C3062" s="1288" t="s">
        <v>14</v>
      </c>
      <c r="D3062" s="1287">
        <v>1</v>
      </c>
      <c r="E3062" s="1287">
        <v>1987.08</v>
      </c>
      <c r="F3062" s="1287">
        <v>1987.08</v>
      </c>
      <c r="G3062" s="1286" t="s">
        <v>2575</v>
      </c>
    </row>
    <row r="3063" spans="1:7" ht="42.75">
      <c r="A3063" s="1289">
        <v>12</v>
      </c>
      <c r="B3063" s="1289" t="s">
        <v>2287</v>
      </c>
      <c r="C3063" s="1288" t="s">
        <v>14</v>
      </c>
      <c r="D3063" s="1287">
        <v>1</v>
      </c>
      <c r="E3063" s="1287">
        <v>19373.990000000002</v>
      </c>
      <c r="F3063" s="1287">
        <v>19373.990000000002</v>
      </c>
      <c r="G3063" s="1286" t="s">
        <v>2288</v>
      </c>
    </row>
    <row r="3064" spans="1:7" ht="28.5">
      <c r="A3064" s="1289">
        <v>13</v>
      </c>
      <c r="B3064" s="1289" t="s">
        <v>931</v>
      </c>
      <c r="C3064" s="1288" t="s">
        <v>14</v>
      </c>
      <c r="D3064" s="1287">
        <v>1</v>
      </c>
      <c r="E3064" s="1287">
        <v>4975.2</v>
      </c>
      <c r="F3064" s="1287">
        <v>4975.2</v>
      </c>
      <c r="G3064" s="1286" t="s">
        <v>2110</v>
      </c>
    </row>
    <row r="3065" spans="1:7" ht="16.5">
      <c r="A3065" s="1289"/>
      <c r="B3065" s="1289" t="s">
        <v>933</v>
      </c>
      <c r="C3065" s="1288" t="s">
        <v>17</v>
      </c>
      <c r="D3065" s="1287">
        <v>10</v>
      </c>
      <c r="E3065" s="1287"/>
      <c r="F3065" s="1287">
        <v>172732.86000000002</v>
      </c>
      <c r="G3065" s="1286"/>
    </row>
    <row r="3066" spans="1:7" ht="16.5">
      <c r="A3066" s="1289"/>
      <c r="B3066" s="1289" t="s">
        <v>934</v>
      </c>
      <c r="C3066" s="1288" t="s">
        <v>17</v>
      </c>
      <c r="D3066" s="1287"/>
      <c r="E3066" s="1287"/>
      <c r="F3066" s="1287">
        <v>17273.29</v>
      </c>
      <c r="G3066" s="1286"/>
    </row>
    <row r="3067" spans="1:7" ht="16.5">
      <c r="A3067" s="1289"/>
      <c r="B3067" s="1289"/>
      <c r="C3067" s="1288"/>
      <c r="D3067" s="1287"/>
      <c r="E3067" s="1287"/>
      <c r="F3067" s="1287"/>
      <c r="G3067" s="1286"/>
    </row>
    <row r="3068" spans="1:7" ht="28.5">
      <c r="A3068" s="1289" t="s">
        <v>5021</v>
      </c>
      <c r="B3068" s="1289" t="s">
        <v>2602</v>
      </c>
      <c r="C3068" s="1288" t="s">
        <v>17</v>
      </c>
      <c r="D3068" s="1287">
        <v>10</v>
      </c>
      <c r="E3068" s="1287">
        <v>17114.72</v>
      </c>
      <c r="F3068" s="1287"/>
      <c r="G3068" s="1286" t="s">
        <v>2603</v>
      </c>
    </row>
    <row r="3069" spans="1:7" ht="28.5">
      <c r="A3069" s="1289">
        <v>1</v>
      </c>
      <c r="B3069" s="1289" t="s">
        <v>950</v>
      </c>
      <c r="C3069" s="1288" t="s">
        <v>1</v>
      </c>
      <c r="D3069" s="1287">
        <v>28.8</v>
      </c>
      <c r="E3069" s="1287">
        <v>48.63</v>
      </c>
      <c r="F3069" s="1287">
        <v>1400.54</v>
      </c>
      <c r="G3069" s="1286" t="s">
        <v>5005</v>
      </c>
    </row>
    <row r="3070" spans="1:7" ht="28.5">
      <c r="A3070" s="1289">
        <v>2</v>
      </c>
      <c r="B3070" s="1289" t="s">
        <v>985</v>
      </c>
      <c r="C3070" s="1288" t="s">
        <v>1</v>
      </c>
      <c r="D3070" s="1287">
        <v>19.2</v>
      </c>
      <c r="E3070" s="1287">
        <v>644.12</v>
      </c>
      <c r="F3070" s="1287">
        <v>12367.1</v>
      </c>
      <c r="G3070" s="1286" t="s">
        <v>4980</v>
      </c>
    </row>
    <row r="3071" spans="1:7" ht="28.5">
      <c r="A3071" s="1289">
        <v>3</v>
      </c>
      <c r="B3071" s="1289" t="s">
        <v>26</v>
      </c>
      <c r="C3071" s="1288" t="s">
        <v>1</v>
      </c>
      <c r="D3071" s="1287">
        <v>48</v>
      </c>
      <c r="E3071" s="1287">
        <v>711.86</v>
      </c>
      <c r="F3071" s="1287">
        <v>34169.279999999999</v>
      </c>
      <c r="G3071" s="1286" t="s">
        <v>4981</v>
      </c>
    </row>
    <row r="3072" spans="1:7" ht="71.25">
      <c r="A3072" s="1289">
        <v>4</v>
      </c>
      <c r="B3072" s="1289" t="s">
        <v>4519</v>
      </c>
      <c r="C3072" s="1288" t="s">
        <v>0</v>
      </c>
      <c r="D3072" s="1287">
        <v>38.4</v>
      </c>
      <c r="E3072" s="1287">
        <v>1745.15</v>
      </c>
      <c r="F3072" s="1287">
        <v>67013.759999999995</v>
      </c>
      <c r="G3072" s="1286" t="s">
        <v>5006</v>
      </c>
    </row>
    <row r="3073" spans="1:7" ht="28.5">
      <c r="A3073" s="1289">
        <v>5</v>
      </c>
      <c r="B3073" s="1289" t="s">
        <v>3639</v>
      </c>
      <c r="C3073" s="1288" t="s">
        <v>0</v>
      </c>
      <c r="D3073" s="1287">
        <v>0.8</v>
      </c>
      <c r="E3073" s="1287">
        <v>8203.94</v>
      </c>
      <c r="F3073" s="1287">
        <v>6563.15</v>
      </c>
      <c r="G3073" s="1286" t="s">
        <v>5008</v>
      </c>
    </row>
    <row r="3074" spans="1:7" ht="42.75">
      <c r="A3074" s="1289">
        <v>6</v>
      </c>
      <c r="B3074" s="1289" t="s">
        <v>3640</v>
      </c>
      <c r="C3074" s="1288" t="s">
        <v>0</v>
      </c>
      <c r="D3074" s="1287">
        <v>2.4</v>
      </c>
      <c r="E3074" s="1287">
        <v>8142.53</v>
      </c>
      <c r="F3074" s="1287">
        <v>19542.07</v>
      </c>
      <c r="G3074" s="1286" t="s">
        <v>5007</v>
      </c>
    </row>
    <row r="3075" spans="1:7" ht="28.5">
      <c r="A3075" s="1289">
        <v>7</v>
      </c>
      <c r="B3075" s="1289" t="s">
        <v>1149</v>
      </c>
      <c r="C3075" s="1288" t="s">
        <v>3</v>
      </c>
      <c r="D3075" s="1287">
        <v>16</v>
      </c>
      <c r="E3075" s="1287">
        <v>17.53</v>
      </c>
      <c r="F3075" s="1287">
        <v>280.48</v>
      </c>
      <c r="G3075" s="1286" t="s">
        <v>5009</v>
      </c>
    </row>
    <row r="3076" spans="1:7" ht="28.5">
      <c r="A3076" s="1289">
        <v>8</v>
      </c>
      <c r="B3076" s="1289" t="s">
        <v>1140</v>
      </c>
      <c r="C3076" s="1288" t="s">
        <v>3</v>
      </c>
      <c r="D3076" s="1287">
        <v>16</v>
      </c>
      <c r="E3076" s="1287">
        <v>44.1</v>
      </c>
      <c r="F3076" s="1287">
        <v>705.6</v>
      </c>
      <c r="G3076" s="1286" t="s">
        <v>5010</v>
      </c>
    </row>
    <row r="3077" spans="1:7" ht="28.5">
      <c r="A3077" s="1289">
        <v>9</v>
      </c>
      <c r="B3077" s="1289" t="s">
        <v>1250</v>
      </c>
      <c r="C3077" s="1288" t="s">
        <v>17</v>
      </c>
      <c r="D3077" s="1287">
        <v>20</v>
      </c>
      <c r="E3077" s="1287">
        <v>76.73</v>
      </c>
      <c r="F3077" s="1287">
        <v>1534.6</v>
      </c>
      <c r="G3077" s="1286" t="s">
        <v>4979</v>
      </c>
    </row>
    <row r="3078" spans="1:7" ht="28.5">
      <c r="A3078" s="1289">
        <v>10</v>
      </c>
      <c r="B3078" s="1289" t="s">
        <v>2572</v>
      </c>
      <c r="C3078" s="1288" t="s">
        <v>14</v>
      </c>
      <c r="D3078" s="1287">
        <v>1</v>
      </c>
      <c r="E3078" s="1287">
        <v>1291.5999999999999</v>
      </c>
      <c r="F3078" s="1287">
        <v>1291.5999999999999</v>
      </c>
      <c r="G3078" s="1286" t="s">
        <v>2573</v>
      </c>
    </row>
    <row r="3079" spans="1:7" ht="28.5">
      <c r="A3079" s="1289">
        <v>11</v>
      </c>
      <c r="B3079" s="1289" t="s">
        <v>2574</v>
      </c>
      <c r="C3079" s="1288" t="s">
        <v>14</v>
      </c>
      <c r="D3079" s="1287">
        <v>1</v>
      </c>
      <c r="E3079" s="1287">
        <v>1987.08</v>
      </c>
      <c r="F3079" s="1287">
        <v>1987.08</v>
      </c>
      <c r="G3079" s="1286" t="s">
        <v>2575</v>
      </c>
    </row>
    <row r="3080" spans="1:7" ht="42.75">
      <c r="A3080" s="1289">
        <v>12</v>
      </c>
      <c r="B3080" s="1289" t="s">
        <v>2287</v>
      </c>
      <c r="C3080" s="1288" t="s">
        <v>14</v>
      </c>
      <c r="D3080" s="1287">
        <v>1</v>
      </c>
      <c r="E3080" s="1287">
        <v>19373.990000000002</v>
      </c>
      <c r="F3080" s="1287">
        <v>19373.990000000002</v>
      </c>
      <c r="G3080" s="1286" t="s">
        <v>2288</v>
      </c>
    </row>
    <row r="3081" spans="1:7" ht="28.5">
      <c r="A3081" s="1289">
        <v>13</v>
      </c>
      <c r="B3081" s="1289" t="s">
        <v>931</v>
      </c>
      <c r="C3081" s="1288" t="s">
        <v>14</v>
      </c>
      <c r="D3081" s="1287">
        <v>1</v>
      </c>
      <c r="E3081" s="1287">
        <v>4917.92</v>
      </c>
      <c r="F3081" s="1287">
        <v>4917.92</v>
      </c>
      <c r="G3081" s="1286" t="s">
        <v>2110</v>
      </c>
    </row>
    <row r="3082" spans="1:7" ht="16.5">
      <c r="A3082" s="1289"/>
      <c r="B3082" s="1289" t="s">
        <v>933</v>
      </c>
      <c r="C3082" s="1288" t="s">
        <v>17</v>
      </c>
      <c r="D3082" s="1287">
        <v>10</v>
      </c>
      <c r="E3082" s="1287"/>
      <c r="F3082" s="1287">
        <v>171147.17</v>
      </c>
      <c r="G3082" s="1286"/>
    </row>
    <row r="3083" spans="1:7" ht="16.5">
      <c r="A3083" s="1289"/>
      <c r="B3083" s="1289" t="s">
        <v>934</v>
      </c>
      <c r="C3083" s="1288" t="s">
        <v>17</v>
      </c>
      <c r="D3083" s="1287"/>
      <c r="E3083" s="1287"/>
      <c r="F3083" s="1287">
        <v>17114.72</v>
      </c>
      <c r="G3083" s="1286"/>
    </row>
    <row r="3084" spans="1:7" ht="16.5">
      <c r="A3084" s="1289"/>
      <c r="B3084" s="1289"/>
      <c r="C3084" s="1288"/>
      <c r="D3084" s="1287"/>
      <c r="E3084" s="1287"/>
      <c r="F3084" s="1287"/>
      <c r="G3084" s="1286"/>
    </row>
    <row r="3085" spans="1:7" ht="28.5">
      <c r="A3085" s="1289" t="s">
        <v>5022</v>
      </c>
      <c r="B3085" s="1289" t="s">
        <v>2605</v>
      </c>
      <c r="C3085" s="1288" t="s">
        <v>17</v>
      </c>
      <c r="D3085" s="1287">
        <v>10</v>
      </c>
      <c r="E3085" s="1287">
        <v>19639.07</v>
      </c>
      <c r="F3085" s="1287"/>
      <c r="G3085" s="1286" t="s">
        <v>2606</v>
      </c>
    </row>
    <row r="3086" spans="1:7" ht="42.75">
      <c r="A3086" s="1289">
        <v>1</v>
      </c>
      <c r="B3086" s="1289" t="s">
        <v>2579</v>
      </c>
      <c r="C3086" s="1288" t="s">
        <v>1</v>
      </c>
      <c r="D3086" s="1287">
        <v>28.8</v>
      </c>
      <c r="E3086" s="1287">
        <v>67.849999999999994</v>
      </c>
      <c r="F3086" s="1287">
        <v>1954.08</v>
      </c>
      <c r="G3086" s="1286" t="s">
        <v>5012</v>
      </c>
    </row>
    <row r="3087" spans="1:7" ht="28.5">
      <c r="A3087" s="1289">
        <v>2</v>
      </c>
      <c r="B3087" s="1289" t="s">
        <v>2214</v>
      </c>
      <c r="C3087" s="1288" t="s">
        <v>1</v>
      </c>
      <c r="D3087" s="1287">
        <v>19.2</v>
      </c>
      <c r="E3087" s="1287">
        <v>1483.81</v>
      </c>
      <c r="F3087" s="1287">
        <v>28489.15</v>
      </c>
      <c r="G3087" s="1286" t="s">
        <v>4982</v>
      </c>
    </row>
    <row r="3088" spans="1:7" ht="71.25">
      <c r="A3088" s="1289">
        <v>3</v>
      </c>
      <c r="B3088" s="1289" t="s">
        <v>4519</v>
      </c>
      <c r="C3088" s="1288" t="s">
        <v>0</v>
      </c>
      <c r="D3088" s="1287">
        <v>38.4</v>
      </c>
      <c r="E3088" s="1287">
        <v>1745.15</v>
      </c>
      <c r="F3088" s="1287">
        <v>67013.759999999995</v>
      </c>
      <c r="G3088" s="1286" t="s">
        <v>5006</v>
      </c>
    </row>
    <row r="3089" spans="1:7" ht="28.5">
      <c r="A3089" s="1289">
        <v>4</v>
      </c>
      <c r="B3089" s="1289" t="s">
        <v>2216</v>
      </c>
      <c r="C3089" s="1288" t="s">
        <v>1</v>
      </c>
      <c r="D3089" s="1287">
        <v>48</v>
      </c>
      <c r="E3089" s="1287">
        <v>842.14</v>
      </c>
      <c r="F3089" s="1287">
        <v>40422.720000000001</v>
      </c>
      <c r="G3089" s="1286" t="s">
        <v>2217</v>
      </c>
    </row>
    <row r="3090" spans="1:7" ht="42.75">
      <c r="A3090" s="1289">
        <v>5</v>
      </c>
      <c r="B3090" s="1289" t="s">
        <v>4049</v>
      </c>
      <c r="C3090" s="1288" t="s">
        <v>0</v>
      </c>
      <c r="D3090" s="1287">
        <v>0.8</v>
      </c>
      <c r="E3090" s="1287">
        <v>8697.4699999999993</v>
      </c>
      <c r="F3090" s="1287">
        <v>6957.98</v>
      </c>
      <c r="G3090" s="1286" t="s">
        <v>5014</v>
      </c>
    </row>
    <row r="3091" spans="1:7" ht="28.5">
      <c r="A3091" s="1289">
        <v>6</v>
      </c>
      <c r="B3091" s="1289" t="s">
        <v>1149</v>
      </c>
      <c r="C3091" s="1288" t="s">
        <v>3</v>
      </c>
      <c r="D3091" s="1287">
        <v>16</v>
      </c>
      <c r="E3091" s="1287">
        <v>17.53</v>
      </c>
      <c r="F3091" s="1287">
        <v>280.48</v>
      </c>
      <c r="G3091" s="1286" t="s">
        <v>5009</v>
      </c>
    </row>
    <row r="3092" spans="1:7" ht="28.5">
      <c r="A3092" s="1289">
        <v>7</v>
      </c>
      <c r="B3092" s="1289" t="s">
        <v>1140</v>
      </c>
      <c r="C3092" s="1288" t="s">
        <v>3</v>
      </c>
      <c r="D3092" s="1287">
        <v>16</v>
      </c>
      <c r="E3092" s="1287">
        <v>44.1</v>
      </c>
      <c r="F3092" s="1287">
        <v>705.6</v>
      </c>
      <c r="G3092" s="1286" t="s">
        <v>5010</v>
      </c>
    </row>
    <row r="3093" spans="1:7" ht="42.75">
      <c r="A3093" s="1289">
        <v>8</v>
      </c>
      <c r="B3093" s="1289" t="s">
        <v>4048</v>
      </c>
      <c r="C3093" s="1288" t="s">
        <v>0</v>
      </c>
      <c r="D3093" s="1287">
        <v>2.4</v>
      </c>
      <c r="E3093" s="1287">
        <v>8636.07</v>
      </c>
      <c r="F3093" s="1287">
        <v>20726.57</v>
      </c>
      <c r="G3093" s="1286" t="s">
        <v>5013</v>
      </c>
    </row>
    <row r="3094" spans="1:7" ht="28.5">
      <c r="A3094" s="1289">
        <v>9</v>
      </c>
      <c r="B3094" s="1289" t="s">
        <v>1250</v>
      </c>
      <c r="C3094" s="1288" t="s">
        <v>17</v>
      </c>
      <c r="D3094" s="1287">
        <v>20</v>
      </c>
      <c r="E3094" s="1287">
        <v>76.73</v>
      </c>
      <c r="F3094" s="1287">
        <v>1534.6</v>
      </c>
      <c r="G3094" s="1286" t="s">
        <v>4979</v>
      </c>
    </row>
    <row r="3095" spans="1:7" ht="28.5">
      <c r="A3095" s="1289">
        <v>10</v>
      </c>
      <c r="B3095" s="1289" t="s">
        <v>2572</v>
      </c>
      <c r="C3095" s="1288" t="s">
        <v>14</v>
      </c>
      <c r="D3095" s="1287">
        <v>1</v>
      </c>
      <c r="E3095" s="1287">
        <v>1291.5999999999999</v>
      </c>
      <c r="F3095" s="1287">
        <v>1291.5999999999999</v>
      </c>
      <c r="G3095" s="1286" t="s">
        <v>2573</v>
      </c>
    </row>
    <row r="3096" spans="1:7" ht="28.5">
      <c r="A3096" s="1289">
        <v>11</v>
      </c>
      <c r="B3096" s="1289" t="s">
        <v>2574</v>
      </c>
      <c r="C3096" s="1288" t="s">
        <v>14</v>
      </c>
      <c r="D3096" s="1287">
        <v>1</v>
      </c>
      <c r="E3096" s="1287">
        <v>1987.08</v>
      </c>
      <c r="F3096" s="1287">
        <v>1987.08</v>
      </c>
      <c r="G3096" s="1286" t="s">
        <v>2575</v>
      </c>
    </row>
    <row r="3097" spans="1:7" ht="42.75">
      <c r="A3097" s="1289">
        <v>12</v>
      </c>
      <c r="B3097" s="1289" t="s">
        <v>2287</v>
      </c>
      <c r="C3097" s="1288" t="s">
        <v>14</v>
      </c>
      <c r="D3097" s="1287">
        <v>1</v>
      </c>
      <c r="E3097" s="1287">
        <v>19373.990000000002</v>
      </c>
      <c r="F3097" s="1287">
        <v>19373.990000000002</v>
      </c>
      <c r="G3097" s="1286" t="s">
        <v>2288</v>
      </c>
    </row>
    <row r="3098" spans="1:7" ht="28.5">
      <c r="A3098" s="1289">
        <v>13</v>
      </c>
      <c r="B3098" s="1289" t="s">
        <v>931</v>
      </c>
      <c r="C3098" s="1288" t="s">
        <v>14</v>
      </c>
      <c r="D3098" s="1287">
        <v>1</v>
      </c>
      <c r="E3098" s="1287">
        <v>5653.05</v>
      </c>
      <c r="F3098" s="1287">
        <v>5653.05</v>
      </c>
      <c r="G3098" s="1286" t="s">
        <v>2110</v>
      </c>
    </row>
    <row r="3099" spans="1:7" ht="16.5">
      <c r="A3099" s="1289"/>
      <c r="B3099" s="1289" t="s">
        <v>933</v>
      </c>
      <c r="C3099" s="1288" t="s">
        <v>17</v>
      </c>
      <c r="D3099" s="1287">
        <v>10</v>
      </c>
      <c r="E3099" s="1287"/>
      <c r="F3099" s="1287">
        <v>196390.66</v>
      </c>
      <c r="G3099" s="1286"/>
    </row>
    <row r="3100" spans="1:7" ht="16.5">
      <c r="A3100" s="1289"/>
      <c r="B3100" s="1289" t="s">
        <v>934</v>
      </c>
      <c r="C3100" s="1288" t="s">
        <v>17</v>
      </c>
      <c r="D3100" s="1287"/>
      <c r="E3100" s="1287"/>
      <c r="F3100" s="1287">
        <v>19639.07</v>
      </c>
      <c r="G3100" s="1286"/>
    </row>
    <row r="3101" spans="1:7" ht="16.5">
      <c r="A3101" s="1289"/>
      <c r="B3101" s="1289"/>
      <c r="C3101" s="1288"/>
      <c r="D3101" s="1287"/>
      <c r="E3101" s="1287"/>
      <c r="F3101" s="1287"/>
      <c r="G3101" s="1286"/>
    </row>
    <row r="3102" spans="1:7" ht="28.5">
      <c r="A3102" s="1289" t="s">
        <v>5023</v>
      </c>
      <c r="B3102" s="1289" t="s">
        <v>2608</v>
      </c>
      <c r="C3102" s="1288" t="s">
        <v>3</v>
      </c>
      <c r="D3102" s="1287">
        <v>100</v>
      </c>
      <c r="E3102" s="1287">
        <v>16.91</v>
      </c>
      <c r="F3102" s="1287"/>
      <c r="G3102" s="1286" t="s">
        <v>2609</v>
      </c>
    </row>
    <row r="3103" spans="1:7" ht="28.5">
      <c r="A3103" s="1289">
        <v>1</v>
      </c>
      <c r="B3103" s="1289" t="s">
        <v>2610</v>
      </c>
      <c r="C3103" s="1288" t="s">
        <v>927</v>
      </c>
      <c r="D3103" s="1287">
        <v>2</v>
      </c>
      <c r="E3103" s="1287">
        <v>407.35</v>
      </c>
      <c r="F3103" s="1287">
        <v>814.7</v>
      </c>
      <c r="G3103" s="1286" t="s">
        <v>2611</v>
      </c>
    </row>
    <row r="3104" spans="1:7" ht="28.5">
      <c r="A3104" s="1289">
        <v>2</v>
      </c>
      <c r="B3104" s="1289" t="s">
        <v>4871</v>
      </c>
      <c r="C3104" s="1288" t="s">
        <v>927</v>
      </c>
      <c r="D3104" s="1287">
        <v>2</v>
      </c>
      <c r="E3104" s="1287">
        <v>279.18</v>
      </c>
      <c r="F3104" s="1287">
        <v>558.36</v>
      </c>
      <c r="G3104" s="1286" t="s">
        <v>4872</v>
      </c>
    </row>
    <row r="3105" spans="1:7" ht="28.5">
      <c r="A3105" s="1289">
        <v>3</v>
      </c>
      <c r="B3105" s="1289" t="s">
        <v>2612</v>
      </c>
      <c r="C3105" s="1288" t="s">
        <v>14</v>
      </c>
      <c r="D3105" s="1287">
        <v>1</v>
      </c>
      <c r="E3105" s="1287">
        <v>119.22</v>
      </c>
      <c r="F3105" s="1287">
        <v>119.22</v>
      </c>
      <c r="G3105" s="1286" t="s">
        <v>2613</v>
      </c>
    </row>
    <row r="3106" spans="1:7" ht="42.75">
      <c r="A3106" s="1289">
        <v>4</v>
      </c>
      <c r="B3106" s="1289" t="s">
        <v>2614</v>
      </c>
      <c r="C3106" s="1288" t="s">
        <v>14</v>
      </c>
      <c r="D3106" s="1287">
        <v>1</v>
      </c>
      <c r="E3106" s="1287">
        <v>149.03</v>
      </c>
      <c r="F3106" s="1287">
        <v>149.03</v>
      </c>
      <c r="G3106" s="1286" t="s">
        <v>2615</v>
      </c>
    </row>
    <row r="3107" spans="1:7" ht="28.5">
      <c r="A3107" s="1289">
        <v>5</v>
      </c>
      <c r="B3107" s="1289" t="s">
        <v>931</v>
      </c>
      <c r="C3107" s="1288" t="s">
        <v>14</v>
      </c>
      <c r="D3107" s="1287">
        <v>1</v>
      </c>
      <c r="E3107" s="1287">
        <v>49.24</v>
      </c>
      <c r="F3107" s="1287">
        <v>49.24</v>
      </c>
      <c r="G3107" s="1286" t="s">
        <v>932</v>
      </c>
    </row>
    <row r="3108" spans="1:7" ht="16.5">
      <c r="A3108" s="1289"/>
      <c r="B3108" s="1289" t="s">
        <v>933</v>
      </c>
      <c r="C3108" s="1288" t="s">
        <v>3</v>
      </c>
      <c r="D3108" s="1287">
        <v>100</v>
      </c>
      <c r="E3108" s="1287"/>
      <c r="F3108" s="1287">
        <v>1690.55</v>
      </c>
      <c r="G3108" s="1286"/>
    </row>
    <row r="3109" spans="1:7" ht="16.5">
      <c r="A3109" s="1289"/>
      <c r="B3109" s="1289" t="s">
        <v>934</v>
      </c>
      <c r="C3109" s="1288" t="s">
        <v>3</v>
      </c>
      <c r="D3109" s="1287"/>
      <c r="E3109" s="1287"/>
      <c r="F3109" s="1287">
        <v>16.91</v>
      </c>
      <c r="G3109" s="1286"/>
    </row>
    <row r="3110" spans="1:7" ht="16.5">
      <c r="A3110" s="1289"/>
      <c r="B3110" s="1289"/>
      <c r="C3110" s="1288"/>
      <c r="D3110" s="1287"/>
      <c r="E3110" s="1287"/>
      <c r="F3110" s="1287"/>
      <c r="G3110" s="1286"/>
    </row>
    <row r="3111" spans="1:7" ht="57">
      <c r="A3111" s="1289" t="s">
        <v>5024</v>
      </c>
      <c r="B3111" s="1289" t="s">
        <v>2617</v>
      </c>
      <c r="C3111" s="1288" t="s">
        <v>2618</v>
      </c>
      <c r="D3111" s="1287">
        <v>1</v>
      </c>
      <c r="E3111" s="1287">
        <v>763.52</v>
      </c>
      <c r="F3111" s="1287"/>
      <c r="G3111" s="1286" t="s">
        <v>2619</v>
      </c>
    </row>
    <row r="3112" spans="1:7" ht="42.75">
      <c r="A3112" s="1289">
        <v>1</v>
      </c>
      <c r="B3112" s="1289" t="s">
        <v>2620</v>
      </c>
      <c r="C3112" s="1288" t="s">
        <v>2621</v>
      </c>
      <c r="D3112" s="1287">
        <v>1</v>
      </c>
      <c r="E3112" s="1287">
        <v>65.569999999999993</v>
      </c>
      <c r="F3112" s="1287">
        <v>65.569999999999993</v>
      </c>
      <c r="G3112" s="1286" t="s">
        <v>2622</v>
      </c>
    </row>
    <row r="3113" spans="1:7" ht="28.5">
      <c r="A3113" s="1289">
        <v>2</v>
      </c>
      <c r="B3113" s="1289" t="s">
        <v>5025</v>
      </c>
      <c r="C3113" s="1288" t="s">
        <v>927</v>
      </c>
      <c r="D3113" s="1287">
        <v>1</v>
      </c>
      <c r="E3113" s="1287">
        <v>279.18</v>
      </c>
      <c r="F3113" s="1287">
        <v>279.18</v>
      </c>
      <c r="G3113" s="1286" t="s">
        <v>2623</v>
      </c>
    </row>
    <row r="3114" spans="1:7" ht="28.5">
      <c r="A3114" s="1289">
        <v>3</v>
      </c>
      <c r="B3114" s="1289" t="s">
        <v>5026</v>
      </c>
      <c r="C3114" s="1288" t="s">
        <v>927</v>
      </c>
      <c r="D3114" s="1287">
        <v>1.5</v>
      </c>
      <c r="E3114" s="1287">
        <v>279.18</v>
      </c>
      <c r="F3114" s="1287">
        <v>418.77</v>
      </c>
      <c r="G3114" s="1286" t="s">
        <v>2624</v>
      </c>
    </row>
    <row r="3115" spans="1:7" ht="16.5">
      <c r="A3115" s="1289"/>
      <c r="B3115" s="1289" t="s">
        <v>933</v>
      </c>
      <c r="C3115" s="1288" t="s">
        <v>2618</v>
      </c>
      <c r="D3115" s="1287">
        <v>1</v>
      </c>
      <c r="E3115" s="1287"/>
      <c r="F3115" s="1287">
        <v>763.52</v>
      </c>
      <c r="G3115" s="1286"/>
    </row>
    <row r="3116" spans="1:7" ht="16.5">
      <c r="A3116" s="1289"/>
      <c r="B3116" s="1289" t="s">
        <v>934</v>
      </c>
      <c r="C3116" s="1288" t="s">
        <v>2618</v>
      </c>
      <c r="D3116" s="1287"/>
      <c r="E3116" s="1287"/>
      <c r="F3116" s="1287">
        <v>763.52</v>
      </c>
      <c r="G3116" s="1286"/>
    </row>
    <row r="3117" spans="1:7" ht="16.5">
      <c r="A3117" s="1289"/>
      <c r="B3117" s="1289"/>
      <c r="C3117" s="1288"/>
      <c r="D3117" s="1287"/>
      <c r="E3117" s="1287"/>
      <c r="F3117" s="1287"/>
      <c r="G3117" s="1286"/>
    </row>
    <row r="3118" spans="1:7" ht="57">
      <c r="A3118" s="1289" t="s">
        <v>5027</v>
      </c>
      <c r="B3118" s="1289" t="s">
        <v>2626</v>
      </c>
      <c r="C3118" s="1288" t="s">
        <v>2618</v>
      </c>
      <c r="D3118" s="1287">
        <v>1</v>
      </c>
      <c r="E3118" s="1287">
        <v>803.26</v>
      </c>
      <c r="F3118" s="1287"/>
      <c r="G3118" s="1286" t="s">
        <v>2627</v>
      </c>
    </row>
    <row r="3119" spans="1:7" ht="42.75">
      <c r="A3119" s="1289">
        <v>1</v>
      </c>
      <c r="B3119" s="1289" t="s">
        <v>2620</v>
      </c>
      <c r="C3119" s="1288" t="s">
        <v>2621</v>
      </c>
      <c r="D3119" s="1287">
        <v>1</v>
      </c>
      <c r="E3119" s="1287">
        <v>65.569999999999993</v>
      </c>
      <c r="F3119" s="1287">
        <v>65.569999999999993</v>
      </c>
      <c r="G3119" s="1286" t="s">
        <v>2622</v>
      </c>
    </row>
    <row r="3120" spans="1:7" ht="42.75">
      <c r="A3120" s="1289">
        <v>2</v>
      </c>
      <c r="B3120" s="1289" t="s">
        <v>2628</v>
      </c>
      <c r="C3120" s="1288" t="s">
        <v>2618</v>
      </c>
      <c r="D3120" s="1287">
        <v>1</v>
      </c>
      <c r="E3120" s="1287">
        <v>39.74</v>
      </c>
      <c r="F3120" s="1287">
        <v>39.74</v>
      </c>
      <c r="G3120" s="1286" t="s">
        <v>2629</v>
      </c>
    </row>
    <row r="3121" spans="1:7" ht="28.5">
      <c r="A3121" s="1289">
        <v>3</v>
      </c>
      <c r="B3121" s="1289" t="s">
        <v>5025</v>
      </c>
      <c r="C3121" s="1288" t="s">
        <v>927</v>
      </c>
      <c r="D3121" s="1287">
        <v>1</v>
      </c>
      <c r="E3121" s="1287">
        <v>279.18</v>
      </c>
      <c r="F3121" s="1287">
        <v>279.18</v>
      </c>
      <c r="G3121" s="1286" t="s">
        <v>2623</v>
      </c>
    </row>
    <row r="3122" spans="1:7" ht="28.5">
      <c r="A3122" s="1289">
        <v>4</v>
      </c>
      <c r="B3122" s="1289" t="s">
        <v>5026</v>
      </c>
      <c r="C3122" s="1288" t="s">
        <v>927</v>
      </c>
      <c r="D3122" s="1287">
        <v>1.5</v>
      </c>
      <c r="E3122" s="1287">
        <v>279.18</v>
      </c>
      <c r="F3122" s="1287">
        <v>418.77</v>
      </c>
      <c r="G3122" s="1286" t="s">
        <v>2624</v>
      </c>
    </row>
    <row r="3123" spans="1:7" ht="16.5">
      <c r="A3123" s="1289"/>
      <c r="B3123" s="1289" t="s">
        <v>933</v>
      </c>
      <c r="C3123" s="1288" t="s">
        <v>2618</v>
      </c>
      <c r="D3123" s="1287">
        <v>1</v>
      </c>
      <c r="E3123" s="1287"/>
      <c r="F3123" s="1287">
        <v>803.26</v>
      </c>
      <c r="G3123" s="1286"/>
    </row>
    <row r="3124" spans="1:7" ht="16.5">
      <c r="A3124" s="1289"/>
      <c r="B3124" s="1289" t="s">
        <v>934</v>
      </c>
      <c r="C3124" s="1288" t="s">
        <v>2618</v>
      </c>
      <c r="D3124" s="1287"/>
      <c r="E3124" s="1287"/>
      <c r="F3124" s="1287">
        <v>803.26</v>
      </c>
      <c r="G3124" s="1286"/>
    </row>
    <row r="3125" spans="1:7" ht="16.5">
      <c r="A3125" s="1289"/>
      <c r="B3125" s="1289"/>
      <c r="C3125" s="1288"/>
      <c r="D3125" s="1287"/>
      <c r="E3125" s="1287"/>
      <c r="F3125" s="1287"/>
      <c r="G3125" s="1286"/>
    </row>
    <row r="3126" spans="1:7" ht="28.5">
      <c r="A3126" s="1289" t="s">
        <v>5028</v>
      </c>
      <c r="B3126" s="1289" t="s">
        <v>2631</v>
      </c>
      <c r="C3126" s="1288" t="s">
        <v>17</v>
      </c>
      <c r="D3126" s="1287">
        <v>1.5</v>
      </c>
      <c r="E3126" s="1287">
        <v>3638.57</v>
      </c>
      <c r="F3126" s="1287"/>
      <c r="G3126" s="1286" t="s">
        <v>2632</v>
      </c>
    </row>
    <row r="3127" spans="1:7" ht="28.5">
      <c r="A3127" s="1289">
        <v>1</v>
      </c>
      <c r="B3127" s="1289" t="s">
        <v>2633</v>
      </c>
      <c r="C3127" s="1288" t="s">
        <v>14</v>
      </c>
      <c r="D3127" s="1287">
        <v>1</v>
      </c>
      <c r="E3127" s="1287">
        <v>2943.81</v>
      </c>
      <c r="F3127" s="1287">
        <v>2943.81</v>
      </c>
      <c r="G3127" s="1286" t="s">
        <v>2634</v>
      </c>
    </row>
    <row r="3128" spans="1:7" ht="28.5">
      <c r="A3128" s="1289">
        <v>2</v>
      </c>
      <c r="B3128" s="1289" t="s">
        <v>2635</v>
      </c>
      <c r="C3128" s="1288" t="s">
        <v>14</v>
      </c>
      <c r="D3128" s="1287">
        <v>1</v>
      </c>
      <c r="E3128" s="1287">
        <v>1338.1</v>
      </c>
      <c r="F3128" s="1287">
        <v>1338.1</v>
      </c>
      <c r="G3128" s="1286" t="s">
        <v>2636</v>
      </c>
    </row>
    <row r="3129" spans="1:7" ht="28.5">
      <c r="A3129" s="1289">
        <v>3</v>
      </c>
      <c r="B3129" s="1289" t="s">
        <v>2637</v>
      </c>
      <c r="C3129" s="1288" t="s">
        <v>14</v>
      </c>
      <c r="D3129" s="1287">
        <v>1</v>
      </c>
      <c r="E3129" s="1287">
        <v>254.24</v>
      </c>
      <c r="F3129" s="1287">
        <v>254.24</v>
      </c>
      <c r="G3129" s="1286" t="s">
        <v>2638</v>
      </c>
    </row>
    <row r="3130" spans="1:7" ht="28.5">
      <c r="A3130" s="1289">
        <v>4</v>
      </c>
      <c r="B3130" s="1289" t="s">
        <v>2639</v>
      </c>
      <c r="C3130" s="1288" t="s">
        <v>1818</v>
      </c>
      <c r="D3130" s="1287">
        <v>1</v>
      </c>
      <c r="E3130" s="1287">
        <v>762.73</v>
      </c>
      <c r="F3130" s="1287">
        <v>762.73</v>
      </c>
      <c r="G3130" s="1286" t="s">
        <v>2640</v>
      </c>
    </row>
    <row r="3131" spans="1:7" ht="28.5">
      <c r="A3131" s="1289">
        <v>5</v>
      </c>
      <c r="B3131" s="1289" t="s">
        <v>931</v>
      </c>
      <c r="C3131" s="1288" t="s">
        <v>14</v>
      </c>
      <c r="D3131" s="1287">
        <v>1</v>
      </c>
      <c r="E3131" s="1287">
        <v>158.97</v>
      </c>
      <c r="F3131" s="1287">
        <v>158.97</v>
      </c>
      <c r="G3131" s="1286" t="s">
        <v>932</v>
      </c>
    </row>
    <row r="3132" spans="1:7" ht="16.5">
      <c r="A3132" s="1289"/>
      <c r="B3132" s="1289" t="s">
        <v>933</v>
      </c>
      <c r="C3132" s="1288" t="s">
        <v>17</v>
      </c>
      <c r="D3132" s="1287">
        <v>1.5</v>
      </c>
      <c r="E3132" s="1287"/>
      <c r="F3132" s="1287">
        <v>5457.8499999999995</v>
      </c>
      <c r="G3132" s="1286"/>
    </row>
    <row r="3133" spans="1:7" ht="16.5">
      <c r="A3133" s="1289"/>
      <c r="B3133" s="1289" t="s">
        <v>934</v>
      </c>
      <c r="C3133" s="1288" t="s">
        <v>17</v>
      </c>
      <c r="D3133" s="1287"/>
      <c r="E3133" s="1287"/>
      <c r="F3133" s="1287">
        <v>3638.57</v>
      </c>
      <c r="G3133" s="1286"/>
    </row>
    <row r="3134" spans="1:7" ht="16.5">
      <c r="A3134" s="1289"/>
      <c r="B3134" s="1289"/>
      <c r="C3134" s="1288"/>
      <c r="D3134" s="1287"/>
      <c r="E3134" s="1287"/>
      <c r="F3134" s="1287"/>
      <c r="G3134" s="1286"/>
    </row>
    <row r="3135" spans="1:7" ht="28.5">
      <c r="A3135" s="1289" t="s">
        <v>5029</v>
      </c>
      <c r="B3135" s="1289" t="s">
        <v>2642</v>
      </c>
      <c r="C3135" s="1288" t="s">
        <v>17</v>
      </c>
      <c r="D3135" s="1287">
        <v>1</v>
      </c>
      <c r="E3135" s="1287">
        <v>2561.54</v>
      </c>
      <c r="F3135" s="1287"/>
      <c r="G3135" s="1286" t="s">
        <v>2643</v>
      </c>
    </row>
    <row r="3136" spans="1:7" ht="28.5">
      <c r="A3136" s="1289">
        <v>1</v>
      </c>
      <c r="B3136" s="1289" t="s">
        <v>2644</v>
      </c>
      <c r="C3136" s="1288" t="s">
        <v>14</v>
      </c>
      <c r="D3136" s="1287">
        <v>1</v>
      </c>
      <c r="E3136" s="1287">
        <v>1381.62</v>
      </c>
      <c r="F3136" s="1287">
        <v>1381.62</v>
      </c>
      <c r="G3136" s="1286" t="s">
        <v>2645</v>
      </c>
    </row>
    <row r="3137" spans="1:7" ht="28.5">
      <c r="A3137" s="1289">
        <v>2</v>
      </c>
      <c r="B3137" s="1289" t="s">
        <v>2646</v>
      </c>
      <c r="C3137" s="1288" t="s">
        <v>14</v>
      </c>
      <c r="D3137" s="1287">
        <v>1</v>
      </c>
      <c r="E3137" s="1287">
        <v>628.02</v>
      </c>
      <c r="F3137" s="1287">
        <v>628.02</v>
      </c>
      <c r="G3137" s="1286" t="s">
        <v>2647</v>
      </c>
    </row>
    <row r="3138" spans="1:7" ht="28.5">
      <c r="A3138" s="1289">
        <v>3</v>
      </c>
      <c r="B3138" s="1289" t="s">
        <v>2648</v>
      </c>
      <c r="C3138" s="1288" t="s">
        <v>14</v>
      </c>
      <c r="D3138" s="1287">
        <v>1</v>
      </c>
      <c r="E3138" s="1287">
        <v>119.32</v>
      </c>
      <c r="F3138" s="1287">
        <v>119.32</v>
      </c>
      <c r="G3138" s="1286" t="s">
        <v>2649</v>
      </c>
    </row>
    <row r="3139" spans="1:7" ht="28.5">
      <c r="A3139" s="1289">
        <v>4</v>
      </c>
      <c r="B3139" s="1289" t="s">
        <v>2650</v>
      </c>
      <c r="C3139" s="1288" t="s">
        <v>14</v>
      </c>
      <c r="D3139" s="1287">
        <v>1</v>
      </c>
      <c r="E3139" s="1287">
        <v>357.97</v>
      </c>
      <c r="F3139" s="1287">
        <v>357.97</v>
      </c>
      <c r="G3139" s="1286" t="s">
        <v>2651</v>
      </c>
    </row>
    <row r="3140" spans="1:7" ht="28.5">
      <c r="A3140" s="1289">
        <v>5</v>
      </c>
      <c r="B3140" s="1289" t="s">
        <v>931</v>
      </c>
      <c r="C3140" s="1288" t="s">
        <v>14</v>
      </c>
      <c r="D3140" s="1287">
        <v>1</v>
      </c>
      <c r="E3140" s="1287">
        <v>74.61</v>
      </c>
      <c r="F3140" s="1287">
        <v>74.61</v>
      </c>
      <c r="G3140" s="1286" t="s">
        <v>932</v>
      </c>
    </row>
    <row r="3141" spans="1:7" ht="16.5">
      <c r="A3141" s="1289"/>
      <c r="B3141" s="1289" t="s">
        <v>933</v>
      </c>
      <c r="C3141" s="1288" t="s">
        <v>17</v>
      </c>
      <c r="D3141" s="1287">
        <v>1</v>
      </c>
      <c r="E3141" s="1287"/>
      <c r="F3141" s="1287">
        <v>2561.5400000000004</v>
      </c>
      <c r="G3141" s="1286"/>
    </row>
    <row r="3142" spans="1:7" ht="16.5">
      <c r="A3142" s="1289"/>
      <c r="B3142" s="1289" t="s">
        <v>934</v>
      </c>
      <c r="C3142" s="1288" t="s">
        <v>17</v>
      </c>
      <c r="D3142" s="1287"/>
      <c r="E3142" s="1287"/>
      <c r="F3142" s="1287">
        <v>2561.54</v>
      </c>
      <c r="G3142" s="1286"/>
    </row>
    <row r="3143" spans="1:7" ht="16.5">
      <c r="A3143" s="1289"/>
      <c r="B3143" s="1289"/>
      <c r="C3143" s="1288"/>
      <c r="D3143" s="1287"/>
      <c r="E3143" s="1287"/>
      <c r="F3143" s="1287"/>
      <c r="G3143" s="1286"/>
    </row>
    <row r="3144" spans="1:7" ht="28.5">
      <c r="A3144" s="1289" t="s">
        <v>5030</v>
      </c>
      <c r="B3144" s="1289" t="s">
        <v>3657</v>
      </c>
      <c r="C3144" s="1288" t="s">
        <v>3658</v>
      </c>
      <c r="D3144" s="1287">
        <v>3</v>
      </c>
      <c r="E3144" s="1287">
        <v>2618.7399999999998</v>
      </c>
      <c r="F3144" s="1287"/>
      <c r="G3144" s="1286" t="s">
        <v>5031</v>
      </c>
    </row>
    <row r="3145" spans="1:7" ht="42.75">
      <c r="A3145" s="1289">
        <v>1</v>
      </c>
      <c r="B3145" s="1289" t="s">
        <v>4050</v>
      </c>
      <c r="C3145" s="1288" t="s">
        <v>3658</v>
      </c>
      <c r="D3145" s="1287">
        <v>3</v>
      </c>
      <c r="E3145" s="1287">
        <v>948.83</v>
      </c>
      <c r="F3145" s="1287">
        <v>2846.49</v>
      </c>
      <c r="G3145" s="1286" t="s">
        <v>5032</v>
      </c>
    </row>
    <row r="3146" spans="1:7" ht="28.5">
      <c r="A3146" s="1289">
        <v>2</v>
      </c>
      <c r="B3146" s="1289" t="s">
        <v>4051</v>
      </c>
      <c r="C3146" s="1288" t="s">
        <v>927</v>
      </c>
      <c r="D3146" s="1287">
        <v>12</v>
      </c>
      <c r="E3146" s="1287">
        <v>398.41</v>
      </c>
      <c r="F3146" s="1287">
        <v>4780.92</v>
      </c>
      <c r="G3146" s="1286" t="s">
        <v>5033</v>
      </c>
    </row>
    <row r="3147" spans="1:7" ht="28.5">
      <c r="A3147" s="1289">
        <v>3</v>
      </c>
      <c r="B3147" s="1289" t="s">
        <v>931</v>
      </c>
      <c r="C3147" s="1288" t="s">
        <v>14</v>
      </c>
      <c r="D3147" s="1287">
        <v>1</v>
      </c>
      <c r="E3147" s="1287">
        <v>228.82</v>
      </c>
      <c r="F3147" s="1287">
        <v>228.82</v>
      </c>
      <c r="G3147" s="1286" t="s">
        <v>932</v>
      </c>
    </row>
    <row r="3148" spans="1:7" ht="16.5">
      <c r="A3148" s="1289"/>
      <c r="B3148" s="1289" t="s">
        <v>933</v>
      </c>
      <c r="C3148" s="1288" t="s">
        <v>3658</v>
      </c>
      <c r="D3148" s="1287">
        <v>3</v>
      </c>
      <c r="E3148" s="1287"/>
      <c r="F3148" s="1287">
        <v>7856.23</v>
      </c>
      <c r="G3148" s="1286"/>
    </row>
    <row r="3149" spans="1:7" ht="16.5">
      <c r="A3149" s="1289"/>
      <c r="B3149" s="1289" t="s">
        <v>934</v>
      </c>
      <c r="C3149" s="1288" t="s">
        <v>3658</v>
      </c>
      <c r="D3149" s="1287"/>
      <c r="E3149" s="1287"/>
      <c r="F3149" s="1287">
        <v>2618.7399999999998</v>
      </c>
      <c r="G3149" s="1286"/>
    </row>
    <row r="3150" spans="1:7" ht="16.5">
      <c r="A3150" s="1289"/>
      <c r="B3150" s="1289"/>
      <c r="C3150" s="1288"/>
      <c r="D3150" s="1287"/>
      <c r="E3150" s="1287"/>
      <c r="F3150" s="1287"/>
      <c r="G3150" s="1286"/>
    </row>
    <row r="3151" spans="1:7" ht="28.5">
      <c r="A3151" s="1289" t="s">
        <v>5034</v>
      </c>
      <c r="B3151" s="1289" t="s">
        <v>2653</v>
      </c>
      <c r="C3151" s="1288" t="s">
        <v>17</v>
      </c>
      <c r="D3151" s="1287">
        <v>40</v>
      </c>
      <c r="E3151" s="1287">
        <v>291.83999999999997</v>
      </c>
      <c r="F3151" s="1287"/>
      <c r="G3151" s="1286" t="s">
        <v>5035</v>
      </c>
    </row>
    <row r="3152" spans="1:7" ht="42.75">
      <c r="A3152" s="1289">
        <v>1</v>
      </c>
      <c r="B3152" s="1289" t="s">
        <v>2654</v>
      </c>
      <c r="C3152" s="1288" t="s">
        <v>17</v>
      </c>
      <c r="D3152" s="1287">
        <v>4</v>
      </c>
      <c r="E3152" s="1287">
        <v>1865.08</v>
      </c>
      <c r="F3152" s="1287">
        <v>7460.32</v>
      </c>
      <c r="G3152" s="1286" t="s">
        <v>2655</v>
      </c>
    </row>
    <row r="3153" spans="1:7" ht="28.5">
      <c r="A3153" s="1289">
        <v>2</v>
      </c>
      <c r="B3153" s="1289" t="s">
        <v>2656</v>
      </c>
      <c r="C3153" s="1288" t="s">
        <v>17</v>
      </c>
      <c r="D3153" s="1287">
        <v>2.15</v>
      </c>
      <c r="E3153" s="1287">
        <v>192.99</v>
      </c>
      <c r="F3153" s="1287">
        <v>414.93</v>
      </c>
      <c r="G3153" s="1286" t="s">
        <v>2657</v>
      </c>
    </row>
    <row r="3154" spans="1:7" ht="28.5">
      <c r="A3154" s="1289">
        <v>3</v>
      </c>
      <c r="B3154" s="1289" t="s">
        <v>2658</v>
      </c>
      <c r="C3154" s="1288" t="s">
        <v>17</v>
      </c>
      <c r="D3154" s="1287">
        <v>8</v>
      </c>
      <c r="E3154" s="1287">
        <v>64.680000000000007</v>
      </c>
      <c r="F3154" s="1287">
        <v>517.44000000000005</v>
      </c>
      <c r="G3154" s="1286" t="s">
        <v>2659</v>
      </c>
    </row>
    <row r="3155" spans="1:7" ht="28.5">
      <c r="A3155" s="1289">
        <v>4</v>
      </c>
      <c r="B3155" s="1289" t="s">
        <v>2660</v>
      </c>
      <c r="C3155" s="1288" t="s">
        <v>14</v>
      </c>
      <c r="D3155" s="1287">
        <v>1</v>
      </c>
      <c r="E3155" s="1287">
        <v>2940.87</v>
      </c>
      <c r="F3155" s="1287">
        <v>2940.87</v>
      </c>
      <c r="G3155" s="1286" t="s">
        <v>2661</v>
      </c>
    </row>
    <row r="3156" spans="1:7" ht="28.5">
      <c r="A3156" s="1289">
        <v>5</v>
      </c>
      <c r="B3156" s="1289" t="s">
        <v>931</v>
      </c>
      <c r="C3156" s="1288" t="s">
        <v>14</v>
      </c>
      <c r="D3156" s="1287">
        <v>1</v>
      </c>
      <c r="E3156" s="1287">
        <v>340.01</v>
      </c>
      <c r="F3156" s="1287">
        <v>340.01</v>
      </c>
      <c r="G3156" s="1286" t="s">
        <v>932</v>
      </c>
    </row>
    <row r="3157" spans="1:7" ht="16.5">
      <c r="A3157" s="1289"/>
      <c r="B3157" s="1289" t="s">
        <v>933</v>
      </c>
      <c r="C3157" s="1288" t="s">
        <v>17</v>
      </c>
      <c r="D3157" s="1287">
        <v>40</v>
      </c>
      <c r="E3157" s="1287"/>
      <c r="F3157" s="1287">
        <v>11673.570000000002</v>
      </c>
      <c r="G3157" s="1286"/>
    </row>
    <row r="3158" spans="1:7" ht="16.5">
      <c r="A3158" s="1289"/>
      <c r="B3158" s="1289" t="s">
        <v>934</v>
      </c>
      <c r="C3158" s="1288" t="s">
        <v>17</v>
      </c>
      <c r="D3158" s="1287"/>
      <c r="E3158" s="1287"/>
      <c r="F3158" s="1287">
        <v>291.83999999999997</v>
      </c>
      <c r="G3158" s="1286"/>
    </row>
    <row r="3159" spans="1:7" ht="16.5">
      <c r="A3159" s="1289"/>
      <c r="B3159" s="1289"/>
      <c r="C3159" s="1288"/>
      <c r="D3159" s="1287"/>
      <c r="E3159" s="1287"/>
      <c r="F3159" s="1287"/>
      <c r="G3159" s="1286"/>
    </row>
    <row r="3160" spans="1:7" ht="28.5">
      <c r="A3160" s="1289" t="s">
        <v>5036</v>
      </c>
      <c r="B3160" s="1289" t="s">
        <v>2663</v>
      </c>
      <c r="C3160" s="1288" t="s">
        <v>17</v>
      </c>
      <c r="D3160" s="1287">
        <v>18</v>
      </c>
      <c r="E3160" s="1287">
        <v>253.64</v>
      </c>
      <c r="F3160" s="1287"/>
      <c r="G3160" s="1286" t="s">
        <v>2664</v>
      </c>
    </row>
    <row r="3161" spans="1:7" ht="28.5">
      <c r="A3161" s="1289">
        <v>1</v>
      </c>
      <c r="B3161" s="1289" t="s">
        <v>2049</v>
      </c>
      <c r="C3161" s="1288" t="s">
        <v>18</v>
      </c>
      <c r="D3161" s="1287">
        <v>98</v>
      </c>
      <c r="E3161" s="1287">
        <v>31.79</v>
      </c>
      <c r="F3161" s="1287">
        <v>3115.42</v>
      </c>
      <c r="G3161" s="1286" t="s">
        <v>2050</v>
      </c>
    </row>
    <row r="3162" spans="1:7" ht="28.5">
      <c r="A3162" s="1289">
        <v>2</v>
      </c>
      <c r="B3162" s="1289" t="s">
        <v>2660</v>
      </c>
      <c r="C3162" s="1288" t="s">
        <v>2665</v>
      </c>
      <c r="D3162" s="1287">
        <v>98</v>
      </c>
      <c r="E3162" s="1287">
        <v>11.92</v>
      </c>
      <c r="F3162" s="1287">
        <v>1168.1600000000001</v>
      </c>
      <c r="G3162" s="1286" t="s">
        <v>2666</v>
      </c>
    </row>
    <row r="3163" spans="1:7" ht="28.5">
      <c r="A3163" s="1289">
        <v>3</v>
      </c>
      <c r="B3163" s="1289" t="s">
        <v>2667</v>
      </c>
      <c r="C3163" s="1288" t="s">
        <v>14</v>
      </c>
      <c r="D3163" s="1287">
        <v>1</v>
      </c>
      <c r="E3163" s="1287">
        <v>149.03</v>
      </c>
      <c r="F3163" s="1287">
        <v>149.03</v>
      </c>
      <c r="G3163" s="1286" t="s">
        <v>2668</v>
      </c>
    </row>
    <row r="3164" spans="1:7" ht="28.5">
      <c r="A3164" s="1289">
        <v>4</v>
      </c>
      <c r="B3164" s="1289" t="s">
        <v>931</v>
      </c>
      <c r="C3164" s="1288" t="s">
        <v>14</v>
      </c>
      <c r="D3164" s="1287">
        <v>1</v>
      </c>
      <c r="E3164" s="1287">
        <v>132.97999999999999</v>
      </c>
      <c r="F3164" s="1287">
        <v>132.97999999999999</v>
      </c>
      <c r="G3164" s="1286" t="s">
        <v>932</v>
      </c>
    </row>
    <row r="3165" spans="1:7" ht="16.5">
      <c r="A3165" s="1289"/>
      <c r="B3165" s="1289" t="s">
        <v>933</v>
      </c>
      <c r="C3165" s="1288" t="s">
        <v>17</v>
      </c>
      <c r="D3165" s="1287">
        <v>18</v>
      </c>
      <c r="E3165" s="1287"/>
      <c r="F3165" s="1287">
        <v>4565.5899999999992</v>
      </c>
      <c r="G3165" s="1286"/>
    </row>
    <row r="3166" spans="1:7" ht="16.5">
      <c r="A3166" s="1289"/>
      <c r="B3166" s="1289" t="s">
        <v>934</v>
      </c>
      <c r="C3166" s="1288" t="s">
        <v>17</v>
      </c>
      <c r="D3166" s="1287"/>
      <c r="E3166" s="1287"/>
      <c r="F3166" s="1287">
        <v>253.64</v>
      </c>
      <c r="G3166" s="1286"/>
    </row>
    <row r="3167" spans="1:7" ht="16.5">
      <c r="A3167" s="1289"/>
      <c r="B3167" s="1289"/>
      <c r="C3167" s="1288"/>
      <c r="D3167" s="1287"/>
      <c r="E3167" s="1287"/>
      <c r="F3167" s="1287"/>
      <c r="G3167" s="1286"/>
    </row>
    <row r="3168" spans="1:7" ht="28.5">
      <c r="A3168" s="1289" t="s">
        <v>5037</v>
      </c>
      <c r="B3168" s="1289" t="s">
        <v>2670</v>
      </c>
      <c r="C3168" s="1288" t="s">
        <v>3</v>
      </c>
      <c r="D3168" s="1287">
        <v>1</v>
      </c>
      <c r="E3168" s="1287">
        <v>1185.55</v>
      </c>
      <c r="F3168" s="1287"/>
      <c r="G3168" s="1286" t="s">
        <v>2671</v>
      </c>
    </row>
    <row r="3169" spans="1:7" ht="28.5">
      <c r="A3169" s="1289">
        <v>1</v>
      </c>
      <c r="B3169" s="1289" t="s">
        <v>2672</v>
      </c>
      <c r="C3169" s="1288" t="s">
        <v>3</v>
      </c>
      <c r="D3169" s="1287">
        <v>1.1499999999999999</v>
      </c>
      <c r="E3169" s="1287">
        <v>993.54</v>
      </c>
      <c r="F3169" s="1287">
        <v>1142.57</v>
      </c>
      <c r="G3169" s="1286" t="s">
        <v>2673</v>
      </c>
    </row>
    <row r="3170" spans="1:7" ht="28.5">
      <c r="A3170" s="1289">
        <v>2</v>
      </c>
      <c r="B3170" s="1289" t="s">
        <v>2674</v>
      </c>
      <c r="C3170" s="1288" t="s">
        <v>2675</v>
      </c>
      <c r="D3170" s="1287">
        <v>0.01</v>
      </c>
      <c r="E3170" s="1287">
        <v>844.51</v>
      </c>
      <c r="F3170" s="1287">
        <v>8.4499999999999993</v>
      </c>
      <c r="G3170" s="1286" t="s">
        <v>2676</v>
      </c>
    </row>
    <row r="3171" spans="1:7" ht="28.5">
      <c r="A3171" s="1289">
        <v>3</v>
      </c>
      <c r="B3171" s="1289" t="s">
        <v>931</v>
      </c>
      <c r="C3171" s="1288" t="s">
        <v>14</v>
      </c>
      <c r="D3171" s="1287">
        <v>1</v>
      </c>
      <c r="E3171" s="1287">
        <v>34.53</v>
      </c>
      <c r="F3171" s="1287">
        <v>34.53</v>
      </c>
      <c r="G3171" s="1286" t="s">
        <v>932</v>
      </c>
    </row>
    <row r="3172" spans="1:7" ht="16.5">
      <c r="A3172" s="1289"/>
      <c r="B3172" s="1289" t="s">
        <v>933</v>
      </c>
      <c r="C3172" s="1288" t="s">
        <v>3</v>
      </c>
      <c r="D3172" s="1287">
        <v>1</v>
      </c>
      <c r="E3172" s="1287"/>
      <c r="F3172" s="1287">
        <v>1185.55</v>
      </c>
      <c r="G3172" s="1286"/>
    </row>
    <row r="3173" spans="1:7" ht="16.5">
      <c r="A3173" s="1289"/>
      <c r="B3173" s="1289" t="s">
        <v>934</v>
      </c>
      <c r="C3173" s="1288" t="s">
        <v>3</v>
      </c>
      <c r="D3173" s="1287"/>
      <c r="E3173" s="1287"/>
      <c r="F3173" s="1287">
        <v>1185.55</v>
      </c>
      <c r="G3173" s="1286"/>
    </row>
    <row r="3174" spans="1:7" ht="16.5">
      <c r="A3174" s="1289"/>
      <c r="B3174" s="1289"/>
      <c r="C3174" s="1288"/>
      <c r="D3174" s="1287"/>
      <c r="E3174" s="1287"/>
      <c r="F3174" s="1287"/>
      <c r="G3174" s="1286"/>
    </row>
    <row r="3175" spans="1:7" ht="28.5">
      <c r="A3175" s="1289" t="s">
        <v>5038</v>
      </c>
      <c r="B3175" s="1289" t="s">
        <v>2678</v>
      </c>
      <c r="C3175" s="1288" t="s">
        <v>2679</v>
      </c>
      <c r="D3175" s="1287">
        <v>1</v>
      </c>
      <c r="E3175" s="1287">
        <v>659.99</v>
      </c>
      <c r="F3175" s="1287"/>
      <c r="G3175" s="1286" t="s">
        <v>2680</v>
      </c>
    </row>
    <row r="3176" spans="1:7" ht="28.5">
      <c r="A3176" s="1289">
        <v>1</v>
      </c>
      <c r="B3176" s="1289" t="s">
        <v>4871</v>
      </c>
      <c r="C3176" s="1288" t="s">
        <v>927</v>
      </c>
      <c r="D3176" s="1287">
        <v>0.16</v>
      </c>
      <c r="E3176" s="1287">
        <v>279.18</v>
      </c>
      <c r="F3176" s="1287">
        <v>44.67</v>
      </c>
      <c r="G3176" s="1286" t="s">
        <v>4872</v>
      </c>
    </row>
    <row r="3177" spans="1:7" ht="28.5">
      <c r="A3177" s="1289">
        <v>2</v>
      </c>
      <c r="B3177" s="1289" t="s">
        <v>2681</v>
      </c>
      <c r="C3177" s="1288" t="s">
        <v>2679</v>
      </c>
      <c r="D3177" s="1287">
        <v>10</v>
      </c>
      <c r="E3177" s="1287">
        <v>59.61</v>
      </c>
      <c r="F3177" s="1287">
        <v>596.1</v>
      </c>
      <c r="G3177" s="1286" t="s">
        <v>2682</v>
      </c>
    </row>
    <row r="3178" spans="1:7" ht="28.5">
      <c r="A3178" s="1289">
        <v>3</v>
      </c>
      <c r="B3178" s="1289" t="s">
        <v>931</v>
      </c>
      <c r="C3178" s="1288" t="s">
        <v>14</v>
      </c>
      <c r="D3178" s="1287">
        <v>1</v>
      </c>
      <c r="E3178" s="1287">
        <v>19.22</v>
      </c>
      <c r="F3178" s="1287">
        <v>19.22</v>
      </c>
      <c r="G3178" s="1286" t="s">
        <v>932</v>
      </c>
    </row>
    <row r="3179" spans="1:7" ht="16.5">
      <c r="A3179" s="1289"/>
      <c r="B3179" s="1289" t="s">
        <v>933</v>
      </c>
      <c r="C3179" s="1288" t="s">
        <v>2679</v>
      </c>
      <c r="D3179" s="1287">
        <v>1</v>
      </c>
      <c r="E3179" s="1287"/>
      <c r="F3179" s="1287">
        <v>659.99</v>
      </c>
      <c r="G3179" s="1286"/>
    </row>
    <row r="3180" spans="1:7" ht="16.5">
      <c r="A3180" s="1289"/>
      <c r="B3180" s="1289" t="s">
        <v>934</v>
      </c>
      <c r="C3180" s="1288" t="s">
        <v>2679</v>
      </c>
      <c r="D3180" s="1287"/>
      <c r="E3180" s="1287"/>
      <c r="F3180" s="1287">
        <v>659.99</v>
      </c>
      <c r="G3180" s="1286"/>
    </row>
    <row r="3181" spans="1:7" ht="16.5">
      <c r="A3181" s="1289"/>
      <c r="B3181" s="1289"/>
      <c r="C3181" s="1288"/>
      <c r="D3181" s="1287"/>
      <c r="E3181" s="1287"/>
      <c r="F3181" s="1287"/>
      <c r="G3181" s="1286"/>
    </row>
    <row r="3182" spans="1:7" ht="28.5">
      <c r="A3182" s="1289" t="s">
        <v>5039</v>
      </c>
      <c r="B3182" s="1289" t="s">
        <v>2684</v>
      </c>
      <c r="C3182" s="1288" t="s">
        <v>3</v>
      </c>
      <c r="D3182" s="1287">
        <v>1</v>
      </c>
      <c r="E3182" s="1287">
        <v>2305.84</v>
      </c>
      <c r="F3182" s="1287"/>
      <c r="G3182" s="1286" t="s">
        <v>2685</v>
      </c>
    </row>
    <row r="3183" spans="1:7" ht="28.5">
      <c r="A3183" s="1289">
        <v>1</v>
      </c>
      <c r="B3183" s="1289" t="s">
        <v>2686</v>
      </c>
      <c r="C3183" s="1288" t="s">
        <v>927</v>
      </c>
      <c r="D3183" s="1287">
        <v>0.3</v>
      </c>
      <c r="E3183" s="1287">
        <v>198.71</v>
      </c>
      <c r="F3183" s="1287">
        <v>59.61</v>
      </c>
      <c r="G3183" s="1286" t="s">
        <v>2687</v>
      </c>
    </row>
    <row r="3184" spans="1:7" ht="28.5">
      <c r="A3184" s="1289">
        <v>2</v>
      </c>
      <c r="B3184" s="1289" t="s">
        <v>2688</v>
      </c>
      <c r="C3184" s="1288" t="s">
        <v>3</v>
      </c>
      <c r="D3184" s="1287">
        <v>1.1499999999999999</v>
      </c>
      <c r="E3184" s="1287">
        <v>1843.01</v>
      </c>
      <c r="F3184" s="1287">
        <v>2119.46</v>
      </c>
      <c r="G3184" s="1286" t="s">
        <v>2689</v>
      </c>
    </row>
    <row r="3185" spans="1:7" ht="28.5">
      <c r="A3185" s="1289">
        <v>3</v>
      </c>
      <c r="B3185" s="1289" t="s">
        <v>2690</v>
      </c>
      <c r="C3185" s="1288" t="s">
        <v>927</v>
      </c>
      <c r="D3185" s="1287">
        <v>0.3</v>
      </c>
      <c r="E3185" s="1287">
        <v>198.71</v>
      </c>
      <c r="F3185" s="1287">
        <v>59.61</v>
      </c>
      <c r="G3185" s="1286" t="s">
        <v>2691</v>
      </c>
    </row>
    <row r="3186" spans="1:7" ht="28.5">
      <c r="A3186" s="1289">
        <v>4</v>
      </c>
      <c r="B3186" s="1289" t="s">
        <v>931</v>
      </c>
      <c r="C3186" s="1288" t="s">
        <v>14</v>
      </c>
      <c r="D3186" s="1287">
        <v>1</v>
      </c>
      <c r="E3186" s="1287">
        <v>67.16</v>
      </c>
      <c r="F3186" s="1287">
        <v>67.16</v>
      </c>
      <c r="G3186" s="1286" t="s">
        <v>932</v>
      </c>
    </row>
    <row r="3187" spans="1:7" ht="16.5">
      <c r="A3187" s="1289"/>
      <c r="B3187" s="1289" t="s">
        <v>933</v>
      </c>
      <c r="C3187" s="1288" t="s">
        <v>3</v>
      </c>
      <c r="D3187" s="1287">
        <v>1</v>
      </c>
      <c r="E3187" s="1287"/>
      <c r="F3187" s="1287">
        <v>2305.84</v>
      </c>
      <c r="G3187" s="1286"/>
    </row>
    <row r="3188" spans="1:7" ht="16.5">
      <c r="A3188" s="1289"/>
      <c r="B3188" s="1289" t="s">
        <v>934</v>
      </c>
      <c r="C3188" s="1288" t="s">
        <v>3</v>
      </c>
      <c r="D3188" s="1287"/>
      <c r="E3188" s="1287"/>
      <c r="F3188" s="1287">
        <v>2305.84</v>
      </c>
      <c r="G3188" s="1286"/>
    </row>
    <row r="3189" spans="1:7" ht="16.5">
      <c r="A3189" s="1289"/>
      <c r="B3189" s="1289"/>
      <c r="C3189" s="1288"/>
      <c r="D3189" s="1287"/>
      <c r="E3189" s="1287"/>
      <c r="F3189" s="1287"/>
      <c r="G3189" s="1286"/>
    </row>
    <row r="3190" spans="1:7" ht="28.5">
      <c r="A3190" s="1289" t="s">
        <v>5040</v>
      </c>
      <c r="B3190" s="1289" t="s">
        <v>2693</v>
      </c>
      <c r="C3190" s="1288" t="s">
        <v>2694</v>
      </c>
      <c r="D3190" s="1287">
        <v>1</v>
      </c>
      <c r="E3190" s="1287">
        <v>159.63999999999999</v>
      </c>
      <c r="F3190" s="1287"/>
      <c r="G3190" s="1286" t="s">
        <v>2695</v>
      </c>
    </row>
    <row r="3191" spans="1:7" ht="28.5">
      <c r="A3191" s="1289">
        <v>1</v>
      </c>
      <c r="B3191" s="1289" t="s">
        <v>5041</v>
      </c>
      <c r="C3191" s="1288" t="s">
        <v>2665</v>
      </c>
      <c r="D3191" s="1287">
        <v>0.3</v>
      </c>
      <c r="E3191" s="1287">
        <v>44.71</v>
      </c>
      <c r="F3191" s="1287">
        <v>13.41</v>
      </c>
      <c r="G3191" s="1286" t="s">
        <v>2696</v>
      </c>
    </row>
    <row r="3192" spans="1:7" ht="28.5">
      <c r="A3192" s="1289">
        <v>2</v>
      </c>
      <c r="B3192" s="1289" t="s">
        <v>2697</v>
      </c>
      <c r="C3192" s="1288" t="s">
        <v>1689</v>
      </c>
      <c r="D3192" s="1287">
        <v>1</v>
      </c>
      <c r="E3192" s="1287">
        <v>23.35</v>
      </c>
      <c r="F3192" s="1287">
        <v>23.35</v>
      </c>
      <c r="G3192" s="1286" t="s">
        <v>2698</v>
      </c>
    </row>
    <row r="3193" spans="1:7" ht="28.5">
      <c r="A3193" s="1289">
        <v>3</v>
      </c>
      <c r="B3193" s="1289" t="s">
        <v>2699</v>
      </c>
      <c r="C3193" s="1288" t="s">
        <v>14</v>
      </c>
      <c r="D3193" s="1287">
        <v>1</v>
      </c>
      <c r="E3193" s="1287">
        <v>118.23</v>
      </c>
      <c r="F3193" s="1287">
        <v>118.23</v>
      </c>
      <c r="G3193" s="1286" t="s">
        <v>2700</v>
      </c>
    </row>
    <row r="3194" spans="1:7" ht="28.5">
      <c r="A3194" s="1289">
        <v>4</v>
      </c>
      <c r="B3194" s="1289" t="s">
        <v>931</v>
      </c>
      <c r="C3194" s="1288" t="s">
        <v>14</v>
      </c>
      <c r="D3194" s="1287">
        <v>1</v>
      </c>
      <c r="E3194" s="1287">
        <v>4.6500000000000004</v>
      </c>
      <c r="F3194" s="1287">
        <v>4.6500000000000004</v>
      </c>
      <c r="G3194" s="1286" t="s">
        <v>932</v>
      </c>
    </row>
    <row r="3195" spans="1:7" ht="16.5">
      <c r="A3195" s="1289"/>
      <c r="B3195" s="1289" t="s">
        <v>933</v>
      </c>
      <c r="C3195" s="1288" t="s">
        <v>2694</v>
      </c>
      <c r="D3195" s="1287">
        <v>1</v>
      </c>
      <c r="E3195" s="1287"/>
      <c r="F3195" s="1287">
        <v>159.64000000000001</v>
      </c>
      <c r="G3195" s="1286"/>
    </row>
    <row r="3196" spans="1:7" ht="16.5">
      <c r="A3196" s="1289"/>
      <c r="B3196" s="1289" t="s">
        <v>934</v>
      </c>
      <c r="C3196" s="1288" t="s">
        <v>2694</v>
      </c>
      <c r="D3196" s="1287"/>
      <c r="E3196" s="1287"/>
      <c r="F3196" s="1287">
        <v>159.63999999999999</v>
      </c>
      <c r="G3196" s="1286"/>
    </row>
    <row r="3197" spans="1:7" ht="16.5">
      <c r="A3197" s="1289"/>
      <c r="B3197" s="1289"/>
      <c r="C3197" s="1288"/>
      <c r="D3197" s="1287"/>
      <c r="E3197" s="1287"/>
      <c r="F3197" s="1287"/>
      <c r="G3197" s="1286"/>
    </row>
    <row r="3198" spans="1:7" ht="28.5">
      <c r="A3198" s="1289" t="s">
        <v>5042</v>
      </c>
      <c r="B3198" s="1289" t="s">
        <v>2702</v>
      </c>
      <c r="C3198" s="1288" t="s">
        <v>17</v>
      </c>
      <c r="D3198" s="1287">
        <v>1</v>
      </c>
      <c r="E3198" s="1287">
        <v>308.08</v>
      </c>
      <c r="F3198" s="1287"/>
      <c r="G3198" s="1286" t="s">
        <v>2703</v>
      </c>
    </row>
    <row r="3199" spans="1:7" ht="28.5">
      <c r="A3199" s="1289">
        <v>1</v>
      </c>
      <c r="B3199" s="1289" t="s">
        <v>2699</v>
      </c>
      <c r="C3199" s="1288" t="s">
        <v>14</v>
      </c>
      <c r="D3199" s="1287">
        <v>1</v>
      </c>
      <c r="E3199" s="1287">
        <v>118.23</v>
      </c>
      <c r="F3199" s="1287">
        <v>118.23</v>
      </c>
      <c r="G3199" s="1286" t="s">
        <v>2700</v>
      </c>
    </row>
    <row r="3200" spans="1:7" ht="28.5">
      <c r="A3200" s="1289">
        <v>2</v>
      </c>
      <c r="B3200" s="1289" t="s">
        <v>2704</v>
      </c>
      <c r="C3200" s="1288" t="s">
        <v>17</v>
      </c>
      <c r="D3200" s="1287">
        <v>1.05</v>
      </c>
      <c r="E3200" s="1287">
        <v>158.97</v>
      </c>
      <c r="F3200" s="1287">
        <v>166.92</v>
      </c>
      <c r="G3200" s="1286" t="s">
        <v>2705</v>
      </c>
    </row>
    <row r="3201" spans="1:7" ht="28.5">
      <c r="A3201" s="1289">
        <v>3</v>
      </c>
      <c r="B3201" s="1289" t="s">
        <v>4871</v>
      </c>
      <c r="C3201" s="1288" t="s">
        <v>927</v>
      </c>
      <c r="D3201" s="1287">
        <v>0.05</v>
      </c>
      <c r="E3201" s="1287">
        <v>279.18</v>
      </c>
      <c r="F3201" s="1287">
        <v>13.96</v>
      </c>
      <c r="G3201" s="1286" t="s">
        <v>4872</v>
      </c>
    </row>
    <row r="3202" spans="1:7" ht="28.5">
      <c r="A3202" s="1289">
        <v>4</v>
      </c>
      <c r="B3202" s="1289" t="s">
        <v>931</v>
      </c>
      <c r="C3202" s="1288" t="s">
        <v>14</v>
      </c>
      <c r="D3202" s="1287">
        <v>1</v>
      </c>
      <c r="E3202" s="1287">
        <v>8.9700000000000006</v>
      </c>
      <c r="F3202" s="1287">
        <v>8.9700000000000006</v>
      </c>
      <c r="G3202" s="1286" t="s">
        <v>932</v>
      </c>
    </row>
    <row r="3203" spans="1:7" ht="16.5">
      <c r="A3203" s="1289"/>
      <c r="B3203" s="1289" t="s">
        <v>933</v>
      </c>
      <c r="C3203" s="1288" t="s">
        <v>17</v>
      </c>
      <c r="D3203" s="1287">
        <v>1</v>
      </c>
      <c r="E3203" s="1287"/>
      <c r="F3203" s="1287">
        <v>308.08</v>
      </c>
      <c r="G3203" s="1286"/>
    </row>
    <row r="3204" spans="1:7" ht="16.5">
      <c r="A3204" s="1289"/>
      <c r="B3204" s="1289" t="s">
        <v>934</v>
      </c>
      <c r="C3204" s="1288" t="s">
        <v>17</v>
      </c>
      <c r="D3204" s="1287"/>
      <c r="E3204" s="1287"/>
      <c r="F3204" s="1287">
        <v>308.08</v>
      </c>
      <c r="G3204" s="1286"/>
    </row>
    <row r="3205" spans="1:7" ht="16.5">
      <c r="A3205" s="1289"/>
      <c r="B3205" s="1289"/>
      <c r="C3205" s="1288"/>
      <c r="D3205" s="1287"/>
      <c r="E3205" s="1287"/>
      <c r="F3205" s="1287"/>
      <c r="G3205" s="1286"/>
    </row>
    <row r="3206" spans="1:7" ht="28.5">
      <c r="A3206" s="1289" t="s">
        <v>5043</v>
      </c>
      <c r="B3206" s="1289" t="s">
        <v>2707</v>
      </c>
      <c r="C3206" s="1288" t="s">
        <v>17</v>
      </c>
      <c r="D3206" s="1287">
        <v>10</v>
      </c>
      <c r="E3206" s="1287">
        <v>309.81</v>
      </c>
      <c r="F3206" s="1287"/>
      <c r="G3206" s="1286" t="s">
        <v>2708</v>
      </c>
    </row>
    <row r="3207" spans="1:7" ht="28.5">
      <c r="A3207" s="1289">
        <v>1</v>
      </c>
      <c r="B3207" s="1289" t="s">
        <v>2699</v>
      </c>
      <c r="C3207" s="1288" t="s">
        <v>14</v>
      </c>
      <c r="D3207" s="1287">
        <v>1</v>
      </c>
      <c r="E3207" s="1287">
        <v>118.23</v>
      </c>
      <c r="F3207" s="1287">
        <v>118.23</v>
      </c>
      <c r="G3207" s="1286" t="s">
        <v>2700</v>
      </c>
    </row>
    <row r="3208" spans="1:7" ht="28.5">
      <c r="A3208" s="1289">
        <v>2</v>
      </c>
      <c r="B3208" s="1289" t="s">
        <v>2709</v>
      </c>
      <c r="C3208" s="1288" t="s">
        <v>17</v>
      </c>
      <c r="D3208" s="1287">
        <v>10.5</v>
      </c>
      <c r="E3208" s="1287">
        <v>260.31</v>
      </c>
      <c r="F3208" s="1287">
        <v>2733.26</v>
      </c>
      <c r="G3208" s="1286" t="s">
        <v>2710</v>
      </c>
    </row>
    <row r="3209" spans="1:7" ht="28.5">
      <c r="A3209" s="1289">
        <v>3</v>
      </c>
      <c r="B3209" s="1289" t="s">
        <v>4871</v>
      </c>
      <c r="C3209" s="1288" t="s">
        <v>927</v>
      </c>
      <c r="D3209" s="1287">
        <v>0.56000000000000005</v>
      </c>
      <c r="E3209" s="1287">
        <v>279.18</v>
      </c>
      <c r="F3209" s="1287">
        <v>156.34</v>
      </c>
      <c r="G3209" s="1286" t="s">
        <v>4872</v>
      </c>
    </row>
    <row r="3210" spans="1:7" ht="28.5">
      <c r="A3210" s="1289">
        <v>4</v>
      </c>
      <c r="B3210" s="1289" t="s">
        <v>931</v>
      </c>
      <c r="C3210" s="1288" t="s">
        <v>14</v>
      </c>
      <c r="D3210" s="1287">
        <v>1</v>
      </c>
      <c r="E3210" s="1287">
        <v>90.23</v>
      </c>
      <c r="F3210" s="1287">
        <v>90.23</v>
      </c>
      <c r="G3210" s="1286" t="s">
        <v>932</v>
      </c>
    </row>
    <row r="3211" spans="1:7" ht="16.5">
      <c r="A3211" s="1289"/>
      <c r="B3211" s="1289" t="s">
        <v>933</v>
      </c>
      <c r="C3211" s="1288" t="s">
        <v>17</v>
      </c>
      <c r="D3211" s="1287">
        <v>10</v>
      </c>
      <c r="E3211" s="1287"/>
      <c r="F3211" s="1287">
        <v>3098.0600000000004</v>
      </c>
      <c r="G3211" s="1286"/>
    </row>
    <row r="3212" spans="1:7" ht="16.5">
      <c r="A3212" s="1289"/>
      <c r="B3212" s="1289" t="s">
        <v>934</v>
      </c>
      <c r="C3212" s="1288" t="s">
        <v>17</v>
      </c>
      <c r="D3212" s="1287"/>
      <c r="E3212" s="1287"/>
      <c r="F3212" s="1287">
        <v>309.81</v>
      </c>
      <c r="G3212" s="1286"/>
    </row>
    <row r="3213" spans="1:7" ht="16.5">
      <c r="A3213" s="1289"/>
      <c r="B3213" s="1289"/>
      <c r="C3213" s="1288"/>
      <c r="D3213" s="1287"/>
      <c r="E3213" s="1287"/>
      <c r="F3213" s="1287"/>
      <c r="G3213" s="1286"/>
    </row>
    <row r="3214" spans="1:7" ht="28.5">
      <c r="A3214" s="1289" t="s">
        <v>5044</v>
      </c>
      <c r="B3214" s="1289" t="s">
        <v>2712</v>
      </c>
      <c r="C3214" s="1288" t="s">
        <v>3</v>
      </c>
      <c r="D3214" s="1287">
        <v>1</v>
      </c>
      <c r="E3214" s="1287">
        <v>668.13</v>
      </c>
      <c r="F3214" s="1287"/>
      <c r="G3214" s="1286" t="s">
        <v>2713</v>
      </c>
    </row>
    <row r="3215" spans="1:7" ht="28.5">
      <c r="A3215" s="1289">
        <v>1</v>
      </c>
      <c r="B3215" s="1289" t="s">
        <v>2714</v>
      </c>
      <c r="C3215" s="1288" t="s">
        <v>3</v>
      </c>
      <c r="D3215" s="1287">
        <v>1</v>
      </c>
      <c r="E3215" s="1287">
        <v>432.86</v>
      </c>
      <c r="F3215" s="1287">
        <v>432.86</v>
      </c>
      <c r="G3215" s="1286" t="s">
        <v>2715</v>
      </c>
    </row>
    <row r="3216" spans="1:7" ht="28.5">
      <c r="A3216" s="1289">
        <v>2</v>
      </c>
      <c r="B3216" s="1289" t="s">
        <v>2716</v>
      </c>
      <c r="C3216" s="1288" t="s">
        <v>18</v>
      </c>
      <c r="D3216" s="1287">
        <v>0.14000000000000001</v>
      </c>
      <c r="E3216" s="1287">
        <v>20.100000000000001</v>
      </c>
      <c r="F3216" s="1287">
        <v>2.81</v>
      </c>
      <c r="G3216" s="1286" t="s">
        <v>2717</v>
      </c>
    </row>
    <row r="3217" spans="1:7" ht="28.5">
      <c r="A3217" s="1289">
        <v>3</v>
      </c>
      <c r="B3217" s="1289" t="s">
        <v>2718</v>
      </c>
      <c r="C3217" s="1288" t="s">
        <v>927</v>
      </c>
      <c r="D3217" s="1287">
        <v>0.08</v>
      </c>
      <c r="E3217" s="1287">
        <v>398.41</v>
      </c>
      <c r="F3217" s="1287">
        <v>31.87</v>
      </c>
      <c r="G3217" s="1286" t="s">
        <v>2719</v>
      </c>
    </row>
    <row r="3218" spans="1:7" ht="28.5">
      <c r="A3218" s="1289">
        <v>4</v>
      </c>
      <c r="B3218" s="1289" t="s">
        <v>2720</v>
      </c>
      <c r="C3218" s="1288" t="s">
        <v>14</v>
      </c>
      <c r="D3218" s="1287">
        <v>1</v>
      </c>
      <c r="E3218" s="1287">
        <v>77.5</v>
      </c>
      <c r="F3218" s="1287">
        <v>77.5</v>
      </c>
      <c r="G3218" s="1286" t="s">
        <v>2721</v>
      </c>
    </row>
    <row r="3219" spans="1:7" ht="28.5">
      <c r="A3219" s="1289">
        <v>5</v>
      </c>
      <c r="B3219" s="1289" t="s">
        <v>2722</v>
      </c>
      <c r="C3219" s="1288" t="s">
        <v>3</v>
      </c>
      <c r="D3219" s="1287">
        <v>1</v>
      </c>
      <c r="E3219" s="1287">
        <v>103.63</v>
      </c>
      <c r="F3219" s="1287">
        <v>103.63</v>
      </c>
      <c r="G3219" s="1286" t="s">
        <v>2723</v>
      </c>
    </row>
    <row r="3220" spans="1:7" ht="28.5">
      <c r="A3220" s="1289">
        <v>6</v>
      </c>
      <c r="B3220" s="1289" t="s">
        <v>931</v>
      </c>
      <c r="C3220" s="1288" t="s">
        <v>14</v>
      </c>
      <c r="D3220" s="1287">
        <v>1</v>
      </c>
      <c r="E3220" s="1287">
        <v>19.46</v>
      </c>
      <c r="F3220" s="1287">
        <v>19.46</v>
      </c>
      <c r="G3220" s="1286" t="s">
        <v>932</v>
      </c>
    </row>
    <row r="3221" spans="1:7" ht="16.5">
      <c r="A3221" s="1289"/>
      <c r="B3221" s="1289" t="s">
        <v>933</v>
      </c>
      <c r="C3221" s="1288" t="s">
        <v>3</v>
      </c>
      <c r="D3221" s="1287">
        <v>1</v>
      </c>
      <c r="E3221" s="1287"/>
      <c r="F3221" s="1287">
        <v>668.13</v>
      </c>
      <c r="G3221" s="1286"/>
    </row>
    <row r="3222" spans="1:7" ht="16.5">
      <c r="A3222" s="1289"/>
      <c r="B3222" s="1289" t="s">
        <v>934</v>
      </c>
      <c r="C3222" s="1288" t="s">
        <v>3</v>
      </c>
      <c r="D3222" s="1287"/>
      <c r="E3222" s="1287"/>
      <c r="F3222" s="1287">
        <v>668.13</v>
      </c>
      <c r="G3222" s="1286"/>
    </row>
    <row r="3223" spans="1:7" ht="16.5">
      <c r="A3223" s="1289"/>
      <c r="B3223" s="1289"/>
      <c r="C3223" s="1288"/>
      <c r="D3223" s="1287"/>
      <c r="E3223" s="1287"/>
      <c r="F3223" s="1287"/>
      <c r="G3223" s="1286"/>
    </row>
    <row r="3224" spans="1:7" ht="28.5">
      <c r="A3224" s="1289" t="s">
        <v>5045</v>
      </c>
      <c r="B3224" s="1289" t="s">
        <v>3659</v>
      </c>
      <c r="C3224" s="1288" t="s">
        <v>3</v>
      </c>
      <c r="D3224" s="1287">
        <v>1</v>
      </c>
      <c r="E3224" s="1287">
        <v>1701.92</v>
      </c>
      <c r="F3224" s="1287"/>
      <c r="G3224" s="1286" t="s">
        <v>4052</v>
      </c>
    </row>
    <row r="3225" spans="1:7" ht="28.5">
      <c r="A3225" s="1289">
        <v>1</v>
      </c>
      <c r="B3225" s="1289" t="s">
        <v>4053</v>
      </c>
      <c r="C3225" s="1288" t="s">
        <v>3</v>
      </c>
      <c r="D3225" s="1287">
        <v>1</v>
      </c>
      <c r="E3225" s="1287">
        <v>1435.66</v>
      </c>
      <c r="F3225" s="1287">
        <v>1435.66</v>
      </c>
      <c r="G3225" s="1286" t="s">
        <v>4054</v>
      </c>
    </row>
    <row r="3226" spans="1:7" ht="28.5">
      <c r="A3226" s="1289">
        <v>2</v>
      </c>
      <c r="B3226" s="1289" t="s">
        <v>4055</v>
      </c>
      <c r="C3226" s="1288" t="s">
        <v>18</v>
      </c>
      <c r="D3226" s="1287">
        <v>0.14000000000000001</v>
      </c>
      <c r="E3226" s="1287">
        <v>26.62</v>
      </c>
      <c r="F3226" s="1287">
        <v>3.73</v>
      </c>
      <c r="G3226" s="1286" t="s">
        <v>4056</v>
      </c>
    </row>
    <row r="3227" spans="1:7" ht="28.5">
      <c r="A3227" s="1289">
        <v>3</v>
      </c>
      <c r="B3227" s="1289" t="s">
        <v>2718</v>
      </c>
      <c r="C3227" s="1288" t="s">
        <v>927</v>
      </c>
      <c r="D3227" s="1287">
        <v>0.34</v>
      </c>
      <c r="E3227" s="1287">
        <v>398.41</v>
      </c>
      <c r="F3227" s="1287">
        <v>135.46</v>
      </c>
      <c r="G3227" s="1286" t="s">
        <v>2719</v>
      </c>
    </row>
    <row r="3228" spans="1:7" ht="28.5">
      <c r="A3228" s="1289">
        <v>4</v>
      </c>
      <c r="B3228" s="1289" t="s">
        <v>2720</v>
      </c>
      <c r="C3228" s="1288" t="s">
        <v>14</v>
      </c>
      <c r="D3228" s="1287">
        <v>1</v>
      </c>
      <c r="E3228" s="1287">
        <v>77.5</v>
      </c>
      <c r="F3228" s="1287">
        <v>77.5</v>
      </c>
      <c r="G3228" s="1286" t="s">
        <v>2721</v>
      </c>
    </row>
    <row r="3229" spans="1:7" ht="28.5">
      <c r="A3229" s="1289">
        <v>5</v>
      </c>
      <c r="B3229" s="1289" t="s">
        <v>931</v>
      </c>
      <c r="C3229" s="1288" t="s">
        <v>14</v>
      </c>
      <c r="D3229" s="1287">
        <v>1</v>
      </c>
      <c r="E3229" s="1287">
        <v>49.57</v>
      </c>
      <c r="F3229" s="1287">
        <v>49.57</v>
      </c>
      <c r="G3229" s="1286" t="s">
        <v>932</v>
      </c>
    </row>
    <row r="3230" spans="1:7" ht="16.5">
      <c r="A3230" s="1289"/>
      <c r="B3230" s="1289" t="s">
        <v>933</v>
      </c>
      <c r="C3230" s="1288" t="s">
        <v>3</v>
      </c>
      <c r="D3230" s="1287">
        <v>1</v>
      </c>
      <c r="E3230" s="1287"/>
      <c r="F3230" s="1287">
        <v>1701.92</v>
      </c>
      <c r="G3230" s="1286"/>
    </row>
    <row r="3231" spans="1:7" ht="16.5">
      <c r="A3231" s="1289"/>
      <c r="B3231" s="1289" t="s">
        <v>934</v>
      </c>
      <c r="C3231" s="1288" t="s">
        <v>3</v>
      </c>
      <c r="D3231" s="1287"/>
      <c r="E3231" s="1287"/>
      <c r="F3231" s="1287">
        <v>1701.92</v>
      </c>
      <c r="G3231" s="1286"/>
    </row>
    <row r="3232" spans="1:7" ht="16.5">
      <c r="A3232" s="1289"/>
      <c r="B3232" s="1289"/>
      <c r="C3232" s="1288"/>
      <c r="D3232" s="1287"/>
      <c r="E3232" s="1287"/>
      <c r="F3232" s="1287"/>
      <c r="G3232" s="1286"/>
    </row>
    <row r="3233" spans="1:7" ht="28.5">
      <c r="A3233" s="1289" t="s">
        <v>5046</v>
      </c>
      <c r="B3233" s="1289" t="s">
        <v>2725</v>
      </c>
      <c r="C3233" s="1288" t="s">
        <v>2679</v>
      </c>
      <c r="D3233" s="1287">
        <v>1</v>
      </c>
      <c r="E3233" s="1287">
        <v>250.38</v>
      </c>
      <c r="F3233" s="1287"/>
      <c r="G3233" s="1286" t="s">
        <v>2726</v>
      </c>
    </row>
    <row r="3234" spans="1:7" ht="28.5">
      <c r="A3234" s="1289">
        <v>1</v>
      </c>
      <c r="B3234" s="1289" t="s">
        <v>2727</v>
      </c>
      <c r="C3234" s="1288" t="s">
        <v>14</v>
      </c>
      <c r="D3234" s="1287">
        <v>1</v>
      </c>
      <c r="E3234" s="1287">
        <v>49.68</v>
      </c>
      <c r="F3234" s="1287">
        <v>49.68</v>
      </c>
      <c r="G3234" s="1286" t="s">
        <v>2728</v>
      </c>
    </row>
    <row r="3235" spans="1:7" ht="28.5">
      <c r="A3235" s="1289">
        <v>2</v>
      </c>
      <c r="B3235" s="1289" t="s">
        <v>2729</v>
      </c>
      <c r="C3235" s="1288" t="s">
        <v>2679</v>
      </c>
      <c r="D3235" s="1287">
        <v>1</v>
      </c>
      <c r="E3235" s="1287">
        <v>173.87</v>
      </c>
      <c r="F3235" s="1287">
        <v>173.87</v>
      </c>
      <c r="G3235" s="1286" t="s">
        <v>2730</v>
      </c>
    </row>
    <row r="3236" spans="1:7" ht="28.5">
      <c r="A3236" s="1289">
        <v>3</v>
      </c>
      <c r="B3236" s="1289" t="s">
        <v>4871</v>
      </c>
      <c r="C3236" s="1288" t="s">
        <v>927</v>
      </c>
      <c r="D3236" s="1287">
        <v>7.0000000000000007E-2</v>
      </c>
      <c r="E3236" s="1287">
        <v>279.18</v>
      </c>
      <c r="F3236" s="1287">
        <v>19.54</v>
      </c>
      <c r="G3236" s="1286" t="s">
        <v>4872</v>
      </c>
    </row>
    <row r="3237" spans="1:7" ht="28.5">
      <c r="A3237" s="1289">
        <v>4</v>
      </c>
      <c r="B3237" s="1289" t="s">
        <v>931</v>
      </c>
      <c r="C3237" s="1288" t="s">
        <v>14</v>
      </c>
      <c r="D3237" s="1287">
        <v>1</v>
      </c>
      <c r="E3237" s="1287">
        <v>7.29</v>
      </c>
      <c r="F3237" s="1287">
        <v>7.29</v>
      </c>
      <c r="G3237" s="1286" t="s">
        <v>932</v>
      </c>
    </row>
    <row r="3238" spans="1:7" ht="16.5">
      <c r="A3238" s="1289"/>
      <c r="B3238" s="1289" t="s">
        <v>933</v>
      </c>
      <c r="C3238" s="1288" t="s">
        <v>2679</v>
      </c>
      <c r="D3238" s="1287">
        <v>1</v>
      </c>
      <c r="E3238" s="1287"/>
      <c r="F3238" s="1287">
        <v>250.38</v>
      </c>
      <c r="G3238" s="1286"/>
    </row>
    <row r="3239" spans="1:7" ht="16.5">
      <c r="A3239" s="1289"/>
      <c r="B3239" s="1289" t="s">
        <v>934</v>
      </c>
      <c r="C3239" s="1288" t="s">
        <v>2679</v>
      </c>
      <c r="D3239" s="1287"/>
      <c r="E3239" s="1287"/>
      <c r="F3239" s="1287">
        <v>250.38</v>
      </c>
      <c r="G3239" s="1286"/>
    </row>
    <row r="3240" spans="1:7" ht="16.5">
      <c r="A3240" s="1289"/>
      <c r="B3240" s="1289"/>
      <c r="C3240" s="1288"/>
      <c r="D3240" s="1287"/>
      <c r="E3240" s="1287"/>
      <c r="F3240" s="1287"/>
      <c r="G3240" s="1286"/>
    </row>
    <row r="3241" spans="1:7" ht="42.75">
      <c r="A3241" s="1289" t="s">
        <v>5047</v>
      </c>
      <c r="B3241" s="1289" t="s">
        <v>2732</v>
      </c>
      <c r="C3241" s="1288" t="s">
        <v>1818</v>
      </c>
      <c r="D3241" s="1287">
        <v>1</v>
      </c>
      <c r="E3241" s="1287">
        <v>841.67</v>
      </c>
      <c r="F3241" s="1287"/>
      <c r="G3241" s="1286" t="s">
        <v>2733</v>
      </c>
    </row>
    <row r="3242" spans="1:7" ht="42.75">
      <c r="A3242" s="1289">
        <v>1</v>
      </c>
      <c r="B3242" s="1289" t="s">
        <v>2734</v>
      </c>
      <c r="C3242" s="1288" t="s">
        <v>1497</v>
      </c>
      <c r="D3242" s="1287">
        <v>1</v>
      </c>
      <c r="E3242" s="1287">
        <v>794.83</v>
      </c>
      <c r="F3242" s="1287">
        <v>794.83</v>
      </c>
      <c r="G3242" s="1286" t="s">
        <v>2735</v>
      </c>
    </row>
    <row r="3243" spans="1:7" ht="28.5">
      <c r="A3243" s="1289">
        <v>2</v>
      </c>
      <c r="B3243" s="1289" t="s">
        <v>4871</v>
      </c>
      <c r="C3243" s="1288" t="s">
        <v>927</v>
      </c>
      <c r="D3243" s="1287">
        <v>0.08</v>
      </c>
      <c r="E3243" s="1287">
        <v>279.18</v>
      </c>
      <c r="F3243" s="1287">
        <v>22.33</v>
      </c>
      <c r="G3243" s="1286" t="s">
        <v>4872</v>
      </c>
    </row>
    <row r="3244" spans="1:7" ht="28.5">
      <c r="A3244" s="1289">
        <v>3</v>
      </c>
      <c r="B3244" s="1289" t="s">
        <v>931</v>
      </c>
      <c r="C3244" s="1288" t="s">
        <v>14</v>
      </c>
      <c r="D3244" s="1287">
        <v>1</v>
      </c>
      <c r="E3244" s="1287">
        <v>24.51</v>
      </c>
      <c r="F3244" s="1287">
        <v>24.51</v>
      </c>
      <c r="G3244" s="1286" t="s">
        <v>932</v>
      </c>
    </row>
    <row r="3245" spans="1:7" ht="16.5">
      <c r="A3245" s="1289"/>
      <c r="B3245" s="1289" t="s">
        <v>933</v>
      </c>
      <c r="C3245" s="1288" t="s">
        <v>1818</v>
      </c>
      <c r="D3245" s="1287">
        <v>1</v>
      </c>
      <c r="E3245" s="1287"/>
      <c r="F3245" s="1287">
        <v>841.67000000000007</v>
      </c>
      <c r="G3245" s="1286"/>
    </row>
    <row r="3246" spans="1:7" ht="16.5">
      <c r="A3246" s="1289"/>
      <c r="B3246" s="1289" t="s">
        <v>934</v>
      </c>
      <c r="C3246" s="1288" t="s">
        <v>1818</v>
      </c>
      <c r="D3246" s="1287"/>
      <c r="E3246" s="1287"/>
      <c r="F3246" s="1287">
        <v>841.67</v>
      </c>
      <c r="G3246" s="1286"/>
    </row>
    <row r="3247" spans="1:7" ht="16.5">
      <c r="A3247" s="1289"/>
      <c r="B3247" s="1289"/>
      <c r="C3247" s="1288"/>
      <c r="D3247" s="1287"/>
      <c r="E3247" s="1287"/>
      <c r="F3247" s="1287"/>
      <c r="G3247" s="1286"/>
    </row>
    <row r="3248" spans="1:7" ht="28.5">
      <c r="A3248" s="1289" t="s">
        <v>5048</v>
      </c>
      <c r="B3248" s="1289" t="s">
        <v>2737</v>
      </c>
      <c r="C3248" s="1288" t="s">
        <v>1818</v>
      </c>
      <c r="D3248" s="1287">
        <v>1</v>
      </c>
      <c r="E3248" s="1287">
        <v>1228.49</v>
      </c>
      <c r="F3248" s="1287"/>
      <c r="G3248" s="1286" t="s">
        <v>2738</v>
      </c>
    </row>
    <row r="3249" spans="1:7" ht="28.5">
      <c r="A3249" s="1289">
        <v>1</v>
      </c>
      <c r="B3249" s="1289" t="s">
        <v>2739</v>
      </c>
      <c r="C3249" s="1288" t="s">
        <v>1497</v>
      </c>
      <c r="D3249" s="1287">
        <v>1</v>
      </c>
      <c r="E3249" s="1287">
        <v>610.03</v>
      </c>
      <c r="F3249" s="1287">
        <v>610.03</v>
      </c>
      <c r="G3249" s="1286" t="s">
        <v>2740</v>
      </c>
    </row>
    <row r="3250" spans="1:7" ht="28.5">
      <c r="A3250" s="1289">
        <v>2</v>
      </c>
      <c r="B3250" s="1289" t="s">
        <v>2741</v>
      </c>
      <c r="C3250" s="1288" t="s">
        <v>1497</v>
      </c>
      <c r="D3250" s="1287">
        <v>4</v>
      </c>
      <c r="E3250" s="1287">
        <v>0.99</v>
      </c>
      <c r="F3250" s="1287">
        <v>3.96</v>
      </c>
      <c r="G3250" s="1286" t="s">
        <v>2742</v>
      </c>
    </row>
    <row r="3251" spans="1:7" ht="28.5">
      <c r="A3251" s="1289">
        <v>3</v>
      </c>
      <c r="B3251" s="1289" t="s">
        <v>2743</v>
      </c>
      <c r="C3251" s="1288" t="s">
        <v>1497</v>
      </c>
      <c r="D3251" s="1287">
        <v>2</v>
      </c>
      <c r="E3251" s="1287">
        <v>19.87</v>
      </c>
      <c r="F3251" s="1287">
        <v>39.74</v>
      </c>
      <c r="G3251" s="1286" t="s">
        <v>2744</v>
      </c>
    </row>
    <row r="3252" spans="1:7" ht="28.5">
      <c r="A3252" s="1289">
        <v>4</v>
      </c>
      <c r="B3252" s="1289" t="s">
        <v>2745</v>
      </c>
      <c r="C3252" s="1288" t="s">
        <v>1818</v>
      </c>
      <c r="D3252" s="1287">
        <v>1</v>
      </c>
      <c r="E3252" s="1287">
        <v>361.65</v>
      </c>
      <c r="F3252" s="1287">
        <v>361.65</v>
      </c>
      <c r="G3252" s="1286" t="s">
        <v>2746</v>
      </c>
    </row>
    <row r="3253" spans="1:7" ht="28.5">
      <c r="A3253" s="1289">
        <v>5</v>
      </c>
      <c r="B3253" s="1289" t="s">
        <v>2747</v>
      </c>
      <c r="C3253" s="1288" t="s">
        <v>1497</v>
      </c>
      <c r="D3253" s="1287">
        <v>4</v>
      </c>
      <c r="E3253" s="1287">
        <v>38.75</v>
      </c>
      <c r="F3253" s="1287">
        <v>155</v>
      </c>
      <c r="G3253" s="1286" t="s">
        <v>2748</v>
      </c>
    </row>
    <row r="3254" spans="1:7" ht="28.5">
      <c r="A3254" s="1289">
        <v>6</v>
      </c>
      <c r="B3254" s="1289" t="s">
        <v>4871</v>
      </c>
      <c r="C3254" s="1288" t="s">
        <v>927</v>
      </c>
      <c r="D3254" s="1287">
        <v>0.08</v>
      </c>
      <c r="E3254" s="1287">
        <v>279.18</v>
      </c>
      <c r="F3254" s="1287">
        <v>22.33</v>
      </c>
      <c r="G3254" s="1286" t="s">
        <v>4872</v>
      </c>
    </row>
    <row r="3255" spans="1:7" ht="28.5">
      <c r="A3255" s="1289">
        <v>7</v>
      </c>
      <c r="B3255" s="1289" t="s">
        <v>931</v>
      </c>
      <c r="C3255" s="1288" t="s">
        <v>14</v>
      </c>
      <c r="D3255" s="1287">
        <v>1</v>
      </c>
      <c r="E3255" s="1287">
        <v>35.78</v>
      </c>
      <c r="F3255" s="1287">
        <v>35.78</v>
      </c>
      <c r="G3255" s="1286" t="s">
        <v>932</v>
      </c>
    </row>
    <row r="3256" spans="1:7" ht="16.5">
      <c r="A3256" s="1289"/>
      <c r="B3256" s="1289" t="s">
        <v>933</v>
      </c>
      <c r="C3256" s="1288" t="s">
        <v>1818</v>
      </c>
      <c r="D3256" s="1287">
        <v>1</v>
      </c>
      <c r="E3256" s="1287"/>
      <c r="F3256" s="1287">
        <v>1228.49</v>
      </c>
      <c r="G3256" s="1286"/>
    </row>
    <row r="3257" spans="1:7" ht="16.5">
      <c r="A3257" s="1289"/>
      <c r="B3257" s="1289" t="s">
        <v>934</v>
      </c>
      <c r="C3257" s="1288" t="s">
        <v>1818</v>
      </c>
      <c r="D3257" s="1287"/>
      <c r="E3257" s="1287"/>
      <c r="F3257" s="1287">
        <v>1228.49</v>
      </c>
      <c r="G3257" s="1286"/>
    </row>
    <row r="3258" spans="1:7" ht="16.5">
      <c r="A3258" s="1289"/>
      <c r="B3258" s="1289"/>
      <c r="C3258" s="1288"/>
      <c r="D3258" s="1287"/>
      <c r="E3258" s="1287"/>
      <c r="F3258" s="1287"/>
      <c r="G3258" s="1286"/>
    </row>
    <row r="3259" spans="1:7" ht="28.5">
      <c r="A3259" s="1289" t="s">
        <v>5049</v>
      </c>
      <c r="B3259" s="1289" t="s">
        <v>2750</v>
      </c>
      <c r="C3259" s="1288" t="s">
        <v>1818</v>
      </c>
      <c r="D3259" s="1287">
        <v>1</v>
      </c>
      <c r="E3259" s="1287">
        <v>2442.1799999999998</v>
      </c>
      <c r="F3259" s="1287"/>
      <c r="G3259" s="1286" t="s">
        <v>2751</v>
      </c>
    </row>
    <row r="3260" spans="1:7" ht="28.5">
      <c r="A3260" s="1289">
        <v>1</v>
      </c>
      <c r="B3260" s="1289" t="s">
        <v>2752</v>
      </c>
      <c r="C3260" s="1288" t="s">
        <v>1497</v>
      </c>
      <c r="D3260" s="1287">
        <v>1</v>
      </c>
      <c r="E3260" s="1287">
        <v>1788.37</v>
      </c>
      <c r="F3260" s="1287">
        <v>1788.37</v>
      </c>
      <c r="G3260" s="1286" t="s">
        <v>2753</v>
      </c>
    </row>
    <row r="3261" spans="1:7" ht="28.5">
      <c r="A3261" s="1289">
        <v>2</v>
      </c>
      <c r="B3261" s="1289" t="s">
        <v>2743</v>
      </c>
      <c r="C3261" s="1288" t="s">
        <v>1497</v>
      </c>
      <c r="D3261" s="1287">
        <v>2</v>
      </c>
      <c r="E3261" s="1287">
        <v>19.87</v>
      </c>
      <c r="F3261" s="1287">
        <v>39.74</v>
      </c>
      <c r="G3261" s="1286" t="s">
        <v>2744</v>
      </c>
    </row>
    <row r="3262" spans="1:7" ht="28.5">
      <c r="A3262" s="1289">
        <v>3</v>
      </c>
      <c r="B3262" s="1289" t="s">
        <v>2745</v>
      </c>
      <c r="C3262" s="1288" t="s">
        <v>1818</v>
      </c>
      <c r="D3262" s="1287">
        <v>1</v>
      </c>
      <c r="E3262" s="1287">
        <v>361.65</v>
      </c>
      <c r="F3262" s="1287">
        <v>361.65</v>
      </c>
      <c r="G3262" s="1286" t="s">
        <v>2746</v>
      </c>
    </row>
    <row r="3263" spans="1:7" ht="28.5">
      <c r="A3263" s="1289">
        <v>4</v>
      </c>
      <c r="B3263" s="1289" t="s">
        <v>2747</v>
      </c>
      <c r="C3263" s="1288" t="s">
        <v>1497</v>
      </c>
      <c r="D3263" s="1287">
        <v>4</v>
      </c>
      <c r="E3263" s="1287">
        <v>38.75</v>
      </c>
      <c r="F3263" s="1287">
        <v>155</v>
      </c>
      <c r="G3263" s="1286" t="s">
        <v>2748</v>
      </c>
    </row>
    <row r="3264" spans="1:7" ht="28.5">
      <c r="A3264" s="1289">
        <v>5</v>
      </c>
      <c r="B3264" s="1289" t="s">
        <v>2741</v>
      </c>
      <c r="C3264" s="1288" t="s">
        <v>1497</v>
      </c>
      <c r="D3264" s="1287">
        <v>4</v>
      </c>
      <c r="E3264" s="1287">
        <v>0.99</v>
      </c>
      <c r="F3264" s="1287">
        <v>3.96</v>
      </c>
      <c r="G3264" s="1286" t="s">
        <v>2742</v>
      </c>
    </row>
    <row r="3265" spans="1:7" ht="28.5">
      <c r="A3265" s="1289">
        <v>6</v>
      </c>
      <c r="B3265" s="1289" t="s">
        <v>4871</v>
      </c>
      <c r="C3265" s="1288" t="s">
        <v>927</v>
      </c>
      <c r="D3265" s="1287">
        <v>0.08</v>
      </c>
      <c r="E3265" s="1287">
        <v>279.18</v>
      </c>
      <c r="F3265" s="1287">
        <v>22.33</v>
      </c>
      <c r="G3265" s="1286" t="s">
        <v>4872</v>
      </c>
    </row>
    <row r="3266" spans="1:7" ht="28.5">
      <c r="A3266" s="1289">
        <v>7</v>
      </c>
      <c r="B3266" s="1289" t="s">
        <v>931</v>
      </c>
      <c r="C3266" s="1288" t="s">
        <v>14</v>
      </c>
      <c r="D3266" s="1287">
        <v>1</v>
      </c>
      <c r="E3266" s="1287">
        <v>71.13</v>
      </c>
      <c r="F3266" s="1287">
        <v>71.13</v>
      </c>
      <c r="G3266" s="1286" t="s">
        <v>932</v>
      </c>
    </row>
    <row r="3267" spans="1:7" ht="16.5">
      <c r="A3267" s="1289"/>
      <c r="B3267" s="1289" t="s">
        <v>933</v>
      </c>
      <c r="C3267" s="1288" t="s">
        <v>1818</v>
      </c>
      <c r="D3267" s="1287">
        <v>1</v>
      </c>
      <c r="E3267" s="1287"/>
      <c r="F3267" s="1287">
        <v>2442.1799999999998</v>
      </c>
      <c r="G3267" s="1286"/>
    </row>
    <row r="3268" spans="1:7" ht="16.5">
      <c r="A3268" s="1289"/>
      <c r="B3268" s="1289" t="s">
        <v>934</v>
      </c>
      <c r="C3268" s="1288" t="s">
        <v>1818</v>
      </c>
      <c r="D3268" s="1287"/>
      <c r="E3268" s="1287"/>
      <c r="F3268" s="1287">
        <v>2442.1799999999998</v>
      </c>
      <c r="G3268" s="1286"/>
    </row>
    <row r="3269" spans="1:7" ht="16.5">
      <c r="A3269" s="1289"/>
      <c r="B3269" s="1289"/>
      <c r="C3269" s="1288"/>
      <c r="D3269" s="1287"/>
      <c r="E3269" s="1287"/>
      <c r="F3269" s="1287"/>
      <c r="G3269" s="1286"/>
    </row>
    <row r="3270" spans="1:7" ht="28.5">
      <c r="A3270" s="1289" t="s">
        <v>5050</v>
      </c>
      <c r="B3270" s="1289" t="s">
        <v>2755</v>
      </c>
      <c r="C3270" s="1288" t="s">
        <v>2679</v>
      </c>
      <c r="D3270" s="1287">
        <v>1</v>
      </c>
      <c r="E3270" s="1287">
        <v>328.3</v>
      </c>
      <c r="F3270" s="1287"/>
      <c r="G3270" s="1286" t="s">
        <v>2756</v>
      </c>
    </row>
    <row r="3271" spans="1:7" ht="28.5">
      <c r="A3271" s="1289">
        <v>1</v>
      </c>
      <c r="B3271" s="1289" t="s">
        <v>2757</v>
      </c>
      <c r="C3271" s="1288" t="s">
        <v>14</v>
      </c>
      <c r="D3271" s="1287">
        <v>1</v>
      </c>
      <c r="E3271" s="1287">
        <v>14.9</v>
      </c>
      <c r="F3271" s="1287">
        <v>14.9</v>
      </c>
      <c r="G3271" s="1286" t="s">
        <v>2758</v>
      </c>
    </row>
    <row r="3272" spans="1:7" ht="28.5">
      <c r="A3272" s="1289">
        <v>2</v>
      </c>
      <c r="B3272" s="1289" t="s">
        <v>2759</v>
      </c>
      <c r="C3272" s="1288" t="s">
        <v>2679</v>
      </c>
      <c r="D3272" s="1287">
        <v>1</v>
      </c>
      <c r="E3272" s="1287">
        <v>248.38</v>
      </c>
      <c r="F3272" s="1287">
        <v>248.38</v>
      </c>
      <c r="G3272" s="1286" t="s">
        <v>2760</v>
      </c>
    </row>
    <row r="3273" spans="1:7" ht="28.5">
      <c r="A3273" s="1289">
        <v>3</v>
      </c>
      <c r="B3273" s="1289" t="s">
        <v>2761</v>
      </c>
      <c r="C3273" s="1288" t="s">
        <v>3</v>
      </c>
      <c r="D3273" s="1287">
        <v>0.02</v>
      </c>
      <c r="E3273" s="1287">
        <v>2214.6</v>
      </c>
      <c r="F3273" s="1287">
        <v>44.29</v>
      </c>
      <c r="G3273" s="1286" t="s">
        <v>2762</v>
      </c>
    </row>
    <row r="3274" spans="1:7" ht="28.5">
      <c r="A3274" s="1289">
        <v>4</v>
      </c>
      <c r="B3274" s="1289" t="s">
        <v>4871</v>
      </c>
      <c r="C3274" s="1288" t="s">
        <v>927</v>
      </c>
      <c r="D3274" s="1287">
        <v>0.04</v>
      </c>
      <c r="E3274" s="1287">
        <v>279.18</v>
      </c>
      <c r="F3274" s="1287">
        <v>11.17</v>
      </c>
      <c r="G3274" s="1286" t="s">
        <v>4872</v>
      </c>
    </row>
    <row r="3275" spans="1:7" ht="28.5">
      <c r="A3275" s="1289">
        <v>5</v>
      </c>
      <c r="B3275" s="1289" t="s">
        <v>931</v>
      </c>
      <c r="C3275" s="1288" t="s">
        <v>14</v>
      </c>
      <c r="D3275" s="1287">
        <v>1</v>
      </c>
      <c r="E3275" s="1287">
        <v>9.56</v>
      </c>
      <c r="F3275" s="1287">
        <v>9.56</v>
      </c>
      <c r="G3275" s="1286" t="s">
        <v>932</v>
      </c>
    </row>
    <row r="3276" spans="1:7" ht="16.5">
      <c r="A3276" s="1289"/>
      <c r="B3276" s="1289" t="s">
        <v>933</v>
      </c>
      <c r="C3276" s="1288" t="s">
        <v>2679</v>
      </c>
      <c r="D3276" s="1287">
        <v>1</v>
      </c>
      <c r="E3276" s="1287"/>
      <c r="F3276" s="1287">
        <v>328.3</v>
      </c>
      <c r="G3276" s="1286"/>
    </row>
    <row r="3277" spans="1:7" ht="16.5">
      <c r="A3277" s="1289"/>
      <c r="B3277" s="1289" t="s">
        <v>934</v>
      </c>
      <c r="C3277" s="1288" t="s">
        <v>2679</v>
      </c>
      <c r="D3277" s="1287"/>
      <c r="E3277" s="1287"/>
      <c r="F3277" s="1287">
        <v>328.3</v>
      </c>
      <c r="G3277" s="1286"/>
    </row>
    <row r="3278" spans="1:7" ht="16.5">
      <c r="A3278" s="1289"/>
      <c r="B3278" s="1289"/>
      <c r="C3278" s="1288"/>
      <c r="D3278" s="1287"/>
      <c r="E3278" s="1287"/>
      <c r="F3278" s="1287"/>
      <c r="G3278" s="1286"/>
    </row>
    <row r="3279" spans="1:7" ht="42.75">
      <c r="A3279" s="1289" t="s">
        <v>5051</v>
      </c>
      <c r="B3279" s="1289" t="s">
        <v>913</v>
      </c>
      <c r="C3279" s="1288" t="s">
        <v>3</v>
      </c>
      <c r="D3279" s="1287">
        <v>10</v>
      </c>
      <c r="E3279" s="1287">
        <v>913.96</v>
      </c>
      <c r="F3279" s="1287"/>
      <c r="G3279" s="1286" t="s">
        <v>2764</v>
      </c>
    </row>
    <row r="3280" spans="1:7" ht="28.5">
      <c r="A3280" s="1289">
        <v>1</v>
      </c>
      <c r="B3280" s="1289" t="s">
        <v>2765</v>
      </c>
      <c r="C3280" s="1288" t="s">
        <v>18</v>
      </c>
      <c r="D3280" s="1287">
        <v>43</v>
      </c>
      <c r="E3280" s="1287">
        <v>105.56</v>
      </c>
      <c r="F3280" s="1287">
        <v>4539.08</v>
      </c>
      <c r="G3280" s="1286" t="s">
        <v>2766</v>
      </c>
    </row>
    <row r="3281" spans="1:7" ht="28.5">
      <c r="A3281" s="1289">
        <v>2</v>
      </c>
      <c r="B3281" s="1289" t="s">
        <v>2767</v>
      </c>
      <c r="C3281" s="1288" t="s">
        <v>18</v>
      </c>
      <c r="D3281" s="1287">
        <v>11</v>
      </c>
      <c r="E3281" s="1287">
        <v>16.03</v>
      </c>
      <c r="F3281" s="1287">
        <v>176.33</v>
      </c>
      <c r="G3281" s="1286" t="s">
        <v>2768</v>
      </c>
    </row>
    <row r="3282" spans="1:7" ht="28.5">
      <c r="A3282" s="1289">
        <v>3</v>
      </c>
      <c r="B3282" s="1289" t="s">
        <v>2716</v>
      </c>
      <c r="C3282" s="1288" t="s">
        <v>18</v>
      </c>
      <c r="D3282" s="1287">
        <v>1.4</v>
      </c>
      <c r="E3282" s="1287">
        <v>20.100000000000001</v>
      </c>
      <c r="F3282" s="1287">
        <v>28.14</v>
      </c>
      <c r="G3282" s="1286" t="s">
        <v>2717</v>
      </c>
    </row>
    <row r="3283" spans="1:7" ht="28.5">
      <c r="A3283" s="1289">
        <v>4</v>
      </c>
      <c r="B3283" s="1289" t="s">
        <v>2769</v>
      </c>
      <c r="C3283" s="1288" t="s">
        <v>18</v>
      </c>
      <c r="D3283" s="1287">
        <v>2</v>
      </c>
      <c r="E3283" s="1287">
        <v>64.98</v>
      </c>
      <c r="F3283" s="1287">
        <v>129.96</v>
      </c>
      <c r="G3283" s="1286" t="s">
        <v>2770</v>
      </c>
    </row>
    <row r="3284" spans="1:7" ht="28.5">
      <c r="A3284" s="1289">
        <v>5</v>
      </c>
      <c r="B3284" s="1289" t="s">
        <v>2771</v>
      </c>
      <c r="C3284" s="1288" t="s">
        <v>927</v>
      </c>
      <c r="D3284" s="1287">
        <v>3.4</v>
      </c>
      <c r="E3284" s="1287">
        <v>49.68</v>
      </c>
      <c r="F3284" s="1287">
        <v>168.91</v>
      </c>
      <c r="G3284" s="1286" t="s">
        <v>2772</v>
      </c>
    </row>
    <row r="3285" spans="1:7" ht="28.5">
      <c r="A3285" s="1289">
        <v>6</v>
      </c>
      <c r="B3285" s="1289" t="s">
        <v>2718</v>
      </c>
      <c r="C3285" s="1288" t="s">
        <v>927</v>
      </c>
      <c r="D3285" s="1287">
        <v>3.4</v>
      </c>
      <c r="E3285" s="1287">
        <v>398.41</v>
      </c>
      <c r="F3285" s="1287">
        <v>1354.59</v>
      </c>
      <c r="G3285" s="1286" t="s">
        <v>2719</v>
      </c>
    </row>
    <row r="3286" spans="1:7" ht="28.5">
      <c r="A3286" s="1289">
        <v>7</v>
      </c>
      <c r="B3286" s="1289" t="s">
        <v>4871</v>
      </c>
      <c r="C3286" s="1288" t="s">
        <v>927</v>
      </c>
      <c r="D3286" s="1287">
        <v>3.4</v>
      </c>
      <c r="E3286" s="1287">
        <v>279.18</v>
      </c>
      <c r="F3286" s="1287">
        <v>949.21</v>
      </c>
      <c r="G3286" s="1286" t="s">
        <v>4872</v>
      </c>
    </row>
    <row r="3287" spans="1:7" ht="28.5">
      <c r="A3287" s="1289">
        <v>8</v>
      </c>
      <c r="B3287" s="1289" t="s">
        <v>2773</v>
      </c>
      <c r="C3287" s="1288" t="s">
        <v>927</v>
      </c>
      <c r="D3287" s="1287">
        <v>3.4</v>
      </c>
      <c r="E3287" s="1287">
        <v>398.41</v>
      </c>
      <c r="F3287" s="1287">
        <v>1354.59</v>
      </c>
      <c r="G3287" s="1286" t="s">
        <v>2774</v>
      </c>
    </row>
    <row r="3288" spans="1:7" ht="28.5">
      <c r="A3288" s="1289">
        <v>9</v>
      </c>
      <c r="B3288" s="1289" t="s">
        <v>2775</v>
      </c>
      <c r="C3288" s="1288" t="s">
        <v>14</v>
      </c>
      <c r="D3288" s="1287">
        <v>1</v>
      </c>
      <c r="E3288" s="1287">
        <v>172.58</v>
      </c>
      <c r="F3288" s="1287">
        <v>172.58</v>
      </c>
      <c r="G3288" s="1286" t="s">
        <v>2776</v>
      </c>
    </row>
    <row r="3289" spans="1:7" ht="28.5">
      <c r="A3289" s="1289">
        <v>10</v>
      </c>
      <c r="B3289" s="1289" t="s">
        <v>931</v>
      </c>
      <c r="C3289" s="1288" t="s">
        <v>14</v>
      </c>
      <c r="D3289" s="1287">
        <v>1</v>
      </c>
      <c r="E3289" s="1287">
        <v>266.2</v>
      </c>
      <c r="F3289" s="1287">
        <v>266.2</v>
      </c>
      <c r="G3289" s="1286" t="s">
        <v>932</v>
      </c>
    </row>
    <row r="3290" spans="1:7" ht="16.5">
      <c r="A3290" s="1289"/>
      <c r="B3290" s="1289" t="s">
        <v>933</v>
      </c>
      <c r="C3290" s="1288" t="s">
        <v>3</v>
      </c>
      <c r="D3290" s="1287">
        <v>10</v>
      </c>
      <c r="E3290" s="1287"/>
      <c r="F3290" s="1287">
        <v>9139.59</v>
      </c>
      <c r="G3290" s="1286"/>
    </row>
    <row r="3291" spans="1:7" ht="16.5">
      <c r="A3291" s="1289"/>
      <c r="B3291" s="1289" t="s">
        <v>934</v>
      </c>
      <c r="C3291" s="1288" t="s">
        <v>3</v>
      </c>
      <c r="D3291" s="1287"/>
      <c r="E3291" s="1287"/>
      <c r="F3291" s="1287">
        <v>913.96</v>
      </c>
      <c r="G3291" s="1286"/>
    </row>
    <row r="3292" spans="1:7" ht="16.5">
      <c r="A3292" s="1289"/>
      <c r="B3292" s="1289"/>
      <c r="C3292" s="1288"/>
      <c r="D3292" s="1287"/>
      <c r="E3292" s="1287"/>
      <c r="F3292" s="1287"/>
      <c r="G3292" s="1286"/>
    </row>
    <row r="3293" spans="1:7" ht="28.5">
      <c r="A3293" s="1289" t="s">
        <v>5052</v>
      </c>
      <c r="B3293" s="1289" t="s">
        <v>2778</v>
      </c>
      <c r="C3293" s="1288" t="s">
        <v>3</v>
      </c>
      <c r="D3293" s="1287">
        <v>10</v>
      </c>
      <c r="E3293" s="1287">
        <v>649.07000000000005</v>
      </c>
      <c r="F3293" s="1287"/>
      <c r="G3293" s="1286" t="s">
        <v>2779</v>
      </c>
    </row>
    <row r="3294" spans="1:7" ht="28.5">
      <c r="A3294" s="1289">
        <v>1</v>
      </c>
      <c r="B3294" s="1289" t="s">
        <v>2765</v>
      </c>
      <c r="C3294" s="1288" t="s">
        <v>18</v>
      </c>
      <c r="D3294" s="1287">
        <v>43</v>
      </c>
      <c r="E3294" s="1287">
        <v>105.56</v>
      </c>
      <c r="F3294" s="1287">
        <v>4539.08</v>
      </c>
      <c r="G3294" s="1286" t="s">
        <v>2766</v>
      </c>
    </row>
    <row r="3295" spans="1:7" ht="28.5">
      <c r="A3295" s="1289">
        <v>2</v>
      </c>
      <c r="B3295" s="1289" t="s">
        <v>2767</v>
      </c>
      <c r="C3295" s="1288" t="s">
        <v>18</v>
      </c>
      <c r="D3295" s="1287">
        <v>11</v>
      </c>
      <c r="E3295" s="1287">
        <v>16.03</v>
      </c>
      <c r="F3295" s="1287">
        <v>176.33</v>
      </c>
      <c r="G3295" s="1286" t="s">
        <v>2768</v>
      </c>
    </row>
    <row r="3296" spans="1:7" ht="28.5">
      <c r="A3296" s="1289">
        <v>3</v>
      </c>
      <c r="B3296" s="1289" t="s">
        <v>2716</v>
      </c>
      <c r="C3296" s="1288" t="s">
        <v>18</v>
      </c>
      <c r="D3296" s="1287">
        <v>1.4</v>
      </c>
      <c r="E3296" s="1287">
        <v>20.100000000000001</v>
      </c>
      <c r="F3296" s="1287">
        <v>28.14</v>
      </c>
      <c r="G3296" s="1286" t="s">
        <v>2717</v>
      </c>
    </row>
    <row r="3297" spans="1:8" ht="28.5">
      <c r="A3297" s="1289">
        <v>4</v>
      </c>
      <c r="B3297" s="1289" t="s">
        <v>2769</v>
      </c>
      <c r="C3297" s="1288" t="s">
        <v>18</v>
      </c>
      <c r="D3297" s="1287">
        <v>2</v>
      </c>
      <c r="E3297" s="1287">
        <v>64.98</v>
      </c>
      <c r="F3297" s="1287">
        <v>129.96</v>
      </c>
      <c r="G3297" s="1286" t="s">
        <v>2770</v>
      </c>
    </row>
    <row r="3298" spans="1:8" ht="28.5">
      <c r="A3298" s="1289">
        <v>5</v>
      </c>
      <c r="B3298" s="1289" t="s">
        <v>2771</v>
      </c>
      <c r="C3298" s="1288" t="s">
        <v>927</v>
      </c>
      <c r="D3298" s="1287">
        <v>1.25</v>
      </c>
      <c r="E3298" s="1287">
        <v>49.68</v>
      </c>
      <c r="F3298" s="1287">
        <v>62.1</v>
      </c>
      <c r="G3298" s="1286" t="s">
        <v>2772</v>
      </c>
    </row>
    <row r="3299" spans="1:8" ht="28.5">
      <c r="A3299" s="1289">
        <v>6</v>
      </c>
      <c r="B3299" s="1289" t="s">
        <v>2718</v>
      </c>
      <c r="C3299" s="1288" t="s">
        <v>927</v>
      </c>
      <c r="D3299" s="1287">
        <v>1.25</v>
      </c>
      <c r="E3299" s="1287">
        <v>398.41</v>
      </c>
      <c r="F3299" s="1287">
        <v>498.01</v>
      </c>
      <c r="G3299" s="1286" t="s">
        <v>2719</v>
      </c>
    </row>
    <row r="3300" spans="1:8" ht="28.5">
      <c r="A3300" s="1289">
        <v>7</v>
      </c>
      <c r="B3300" s="1289" t="s">
        <v>4871</v>
      </c>
      <c r="C3300" s="1288" t="s">
        <v>927</v>
      </c>
      <c r="D3300" s="1287">
        <v>1.25</v>
      </c>
      <c r="E3300" s="1287">
        <v>279.18</v>
      </c>
      <c r="F3300" s="1287">
        <v>348.98</v>
      </c>
      <c r="G3300" s="1286" t="s">
        <v>4872</v>
      </c>
    </row>
    <row r="3301" spans="1:8" ht="28.5">
      <c r="A3301" s="1289">
        <v>8</v>
      </c>
      <c r="B3301" s="1289" t="s">
        <v>2773</v>
      </c>
      <c r="C3301" s="1288" t="s">
        <v>927</v>
      </c>
      <c r="D3301" s="1287">
        <v>1.25</v>
      </c>
      <c r="E3301" s="1287">
        <v>398.41</v>
      </c>
      <c r="F3301" s="1287">
        <v>498.01</v>
      </c>
      <c r="G3301" s="1286" t="s">
        <v>2774</v>
      </c>
    </row>
    <row r="3302" spans="1:8" ht="28.5">
      <c r="A3302" s="1289">
        <v>9</v>
      </c>
      <c r="B3302" s="1289" t="s">
        <v>2775</v>
      </c>
      <c r="C3302" s="1288" t="s">
        <v>14</v>
      </c>
      <c r="D3302" s="1287">
        <v>1</v>
      </c>
      <c r="E3302" s="1287">
        <v>21.06</v>
      </c>
      <c r="F3302" s="1287">
        <v>21.06</v>
      </c>
      <c r="G3302" s="1286" t="s">
        <v>2776</v>
      </c>
    </row>
    <row r="3303" spans="1:8" ht="28.5">
      <c r="A3303" s="1289">
        <v>10</v>
      </c>
      <c r="B3303" s="1289" t="s">
        <v>931</v>
      </c>
      <c r="C3303" s="1288" t="s">
        <v>14</v>
      </c>
      <c r="D3303" s="1287">
        <v>1</v>
      </c>
      <c r="E3303" s="1287">
        <v>189.05</v>
      </c>
      <c r="F3303" s="1287">
        <v>189.05</v>
      </c>
      <c r="G3303" s="1286" t="s">
        <v>932</v>
      </c>
    </row>
    <row r="3304" spans="1:8" ht="16.5">
      <c r="A3304" s="1289"/>
      <c r="B3304" s="1289" t="s">
        <v>933</v>
      </c>
      <c r="C3304" s="1288" t="s">
        <v>3</v>
      </c>
      <c r="D3304" s="1287">
        <v>10</v>
      </c>
      <c r="E3304" s="1287"/>
      <c r="F3304" s="1287">
        <v>6490.7200000000012</v>
      </c>
      <c r="G3304" s="1286"/>
    </row>
    <row r="3305" spans="1:8" ht="16.5">
      <c r="A3305" s="1289"/>
      <c r="B3305" s="1289" t="s">
        <v>934</v>
      </c>
      <c r="C3305" s="1288" t="s">
        <v>3</v>
      </c>
      <c r="D3305" s="1287"/>
      <c r="E3305" s="1287"/>
      <c r="F3305" s="1287">
        <v>649.07000000000005</v>
      </c>
      <c r="G3305" s="1286"/>
    </row>
    <row r="3306" spans="1:8" ht="16.5">
      <c r="A3306" s="1289"/>
      <c r="B3306" s="1289"/>
      <c r="C3306" s="1288"/>
      <c r="D3306" s="1287"/>
      <c r="E3306" s="1287"/>
      <c r="F3306" s="1287"/>
      <c r="G3306" s="1286"/>
    </row>
    <row r="3307" spans="1:8" s="1285" customFormat="1" ht="28.5">
      <c r="A3307" s="1289" t="s">
        <v>5053</v>
      </c>
      <c r="B3307" s="1289" t="s">
        <v>2781</v>
      </c>
      <c r="C3307" s="1288" t="s">
        <v>2782</v>
      </c>
      <c r="D3307" s="1287">
        <v>1000</v>
      </c>
      <c r="E3307" s="1287">
        <v>54.41</v>
      </c>
      <c r="F3307" s="1287"/>
      <c r="G3307" s="1286" t="s">
        <v>2783</v>
      </c>
      <c r="H3307" s="1285" t="s">
        <v>925</v>
      </c>
    </row>
    <row r="3308" spans="1:8" s="1285" customFormat="1" ht="28.5">
      <c r="A3308" s="1289">
        <v>1</v>
      </c>
      <c r="B3308" s="1289" t="s">
        <v>4871</v>
      </c>
      <c r="C3308" s="1288" t="s">
        <v>927</v>
      </c>
      <c r="D3308" s="1287">
        <v>189.2</v>
      </c>
      <c r="E3308" s="1287">
        <v>279.18</v>
      </c>
      <c r="F3308" s="1287">
        <v>52820.86</v>
      </c>
      <c r="G3308" s="1286" t="s">
        <v>4876</v>
      </c>
      <c r="H3308" s="1285" t="s">
        <v>925</v>
      </c>
    </row>
    <row r="3309" spans="1:8" s="1285" customFormat="1" ht="28.5">
      <c r="A3309" s="1289">
        <v>2</v>
      </c>
      <c r="B3309" s="1289" t="s">
        <v>931</v>
      </c>
      <c r="C3309" s="1288" t="s">
        <v>14</v>
      </c>
      <c r="D3309" s="1287">
        <v>1</v>
      </c>
      <c r="E3309" s="1287">
        <v>1584.63</v>
      </c>
      <c r="F3309" s="1287">
        <v>1584.63</v>
      </c>
      <c r="G3309" s="1286" t="s">
        <v>932</v>
      </c>
      <c r="H3309" s="1285" t="s">
        <v>925</v>
      </c>
    </row>
    <row r="3310" spans="1:8" s="1285" customFormat="1" ht="16.5">
      <c r="A3310" s="1289"/>
      <c r="B3310" s="1289" t="s">
        <v>933</v>
      </c>
      <c r="C3310" s="1288" t="s">
        <v>2782</v>
      </c>
      <c r="D3310" s="1287">
        <v>1000</v>
      </c>
      <c r="E3310" s="1287"/>
      <c r="F3310" s="1287">
        <v>54405.49</v>
      </c>
      <c r="G3310" s="1286"/>
      <c r="H3310" s="1285" t="s">
        <v>925</v>
      </c>
    </row>
    <row r="3311" spans="1:8" s="1285" customFormat="1" ht="16.5">
      <c r="A3311" s="1289"/>
      <c r="B3311" s="1289" t="s">
        <v>934</v>
      </c>
      <c r="C3311" s="1288" t="s">
        <v>2782</v>
      </c>
      <c r="D3311" s="1287"/>
      <c r="E3311" s="1287"/>
      <c r="F3311" s="1287">
        <v>54.41</v>
      </c>
      <c r="G3311" s="1286"/>
      <c r="H3311" s="1285" t="s">
        <v>925</v>
      </c>
    </row>
    <row r="3312" spans="1:8" s="1285" customFormat="1" ht="16.5">
      <c r="A3312" s="1289"/>
      <c r="B3312" s="1289"/>
      <c r="C3312" s="1288"/>
      <c r="D3312" s="1287"/>
      <c r="E3312" s="1287"/>
      <c r="F3312" s="1287"/>
      <c r="G3312" s="1286"/>
      <c r="H3312" s="1285" t="s">
        <v>925</v>
      </c>
    </row>
    <row r="3313" spans="1:8" s="1285" customFormat="1" ht="28.5">
      <c r="A3313" s="1289" t="s">
        <v>5054</v>
      </c>
      <c r="B3313" s="1289" t="s">
        <v>2785</v>
      </c>
      <c r="C3313" s="1288" t="s">
        <v>2786</v>
      </c>
      <c r="D3313" s="1287">
        <v>12</v>
      </c>
      <c r="E3313" s="1287">
        <v>13728.79</v>
      </c>
      <c r="F3313" s="1287"/>
      <c r="G3313" s="1286" t="s">
        <v>2787</v>
      </c>
      <c r="H3313" s="1285" t="s">
        <v>925</v>
      </c>
    </row>
    <row r="3314" spans="1:8" s="1285" customFormat="1" ht="28.5">
      <c r="A3314" s="1289">
        <v>1</v>
      </c>
      <c r="B3314" s="1289" t="s">
        <v>1038</v>
      </c>
      <c r="C3314" s="1288" t="s">
        <v>927</v>
      </c>
      <c r="D3314" s="1287">
        <v>375</v>
      </c>
      <c r="E3314" s="1287">
        <v>69.55</v>
      </c>
      <c r="F3314" s="1287">
        <v>26081.25</v>
      </c>
      <c r="G3314" s="1286" t="s">
        <v>1039</v>
      </c>
    </row>
    <row r="3315" spans="1:8" s="1285" customFormat="1" ht="42.75">
      <c r="A3315" s="1289">
        <v>2</v>
      </c>
      <c r="B3315" s="1289" t="s">
        <v>5055</v>
      </c>
      <c r="C3315" s="1288" t="s">
        <v>927</v>
      </c>
      <c r="D3315" s="1287">
        <v>336</v>
      </c>
      <c r="E3315" s="1287">
        <v>398.41</v>
      </c>
      <c r="F3315" s="1287">
        <v>133865.76</v>
      </c>
      <c r="G3315" s="1286" t="s">
        <v>5056</v>
      </c>
      <c r="H3315" s="1285" t="s">
        <v>925</v>
      </c>
    </row>
    <row r="3316" spans="1:8" s="1285" customFormat="1" ht="28.5">
      <c r="A3316" s="1289">
        <v>3</v>
      </c>
      <c r="B3316" s="1289" t="s">
        <v>931</v>
      </c>
      <c r="C3316" s="1288" t="s">
        <v>14</v>
      </c>
      <c r="D3316" s="1287">
        <v>1</v>
      </c>
      <c r="E3316" s="1287">
        <v>4798.41</v>
      </c>
      <c r="F3316" s="1287">
        <v>4798.41</v>
      </c>
      <c r="G3316" s="1286" t="s">
        <v>932</v>
      </c>
      <c r="H3316" s="1285" t="s">
        <v>925</v>
      </c>
    </row>
    <row r="3317" spans="1:8" s="1285" customFormat="1" ht="16.5">
      <c r="A3317" s="1289"/>
      <c r="B3317" s="1289" t="s">
        <v>933</v>
      </c>
      <c r="C3317" s="1288" t="s">
        <v>2786</v>
      </c>
      <c r="D3317" s="1287">
        <v>12</v>
      </c>
      <c r="E3317" s="1287"/>
      <c r="F3317" s="1287">
        <v>164745.42000000001</v>
      </c>
      <c r="G3317" s="1286"/>
      <c r="H3317" s="1285" t="s">
        <v>925</v>
      </c>
    </row>
    <row r="3318" spans="1:8" s="1285" customFormat="1" ht="16.5">
      <c r="A3318" s="1289"/>
      <c r="B3318" s="1289" t="s">
        <v>934</v>
      </c>
      <c r="C3318" s="1288" t="s">
        <v>2786</v>
      </c>
      <c r="D3318" s="1287"/>
      <c r="E3318" s="1287"/>
      <c r="F3318" s="1287">
        <v>13728.79</v>
      </c>
      <c r="G3318" s="1286"/>
      <c r="H3318" s="1285" t="s">
        <v>925</v>
      </c>
    </row>
    <row r="3319" spans="1:8" s="1285" customFormat="1" ht="16.5">
      <c r="A3319" s="1289"/>
      <c r="B3319" s="1289"/>
      <c r="C3319" s="1288"/>
      <c r="D3319" s="1287"/>
      <c r="E3319" s="1287"/>
      <c r="F3319" s="1287"/>
      <c r="G3319" s="1286"/>
      <c r="H3319" s="1285" t="s">
        <v>925</v>
      </c>
    </row>
  </sheetData>
  <sheetProtection autoFilter="0"/>
  <mergeCells count="5">
    <mergeCell ref="A1:G1"/>
    <mergeCell ref="A2:G2"/>
    <mergeCell ref="A3:G3"/>
    <mergeCell ref="A4:G4"/>
    <mergeCell ref="A5:G5"/>
  </mergeCells>
  <phoneticPr fontId="3" type="noConversion"/>
  <printOptions horizontalCentered="1"/>
  <pageMargins left="0.47244094488188981" right="0.31496062992125984" top="0.47244094488188981" bottom="0.78740157480314965" header="0.51181102362204722" footer="0.51181102362204722"/>
  <pageSetup paperSize="9" orientation="portrait" r:id="rId1"/>
  <headerFooter alignWithMargins="0">
    <oddHeader>&amp;R&amp;"標楷體,標準"
第&amp;"Times New Roman,標準"&amp;P&amp;"標楷體,標準"頁,共&amp;"Times New Roman,標準"&amp;N&amp;"標楷體,標準"頁 &amp;"新細明體,標準"          &amp;L&amp;G</oddHeader>
    <oddFooter xml:space="preserve">&amp;C&amp;"標楷體,標準"編製：　　　　　　　　　　　　　　　校核： </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18">
    <tabColor theme="5" tint="0.59999389629810485"/>
  </sheetPr>
  <dimension ref="A1:H3338"/>
  <sheetViews>
    <sheetView zoomScaleNormal="100" zoomScaleSheetLayoutView="100" workbookViewId="0">
      <selection activeCell="A6" sqref="A1:I1048576"/>
    </sheetView>
  </sheetViews>
  <sheetFormatPr defaultRowHeight="12.75" customHeight="1"/>
  <cols>
    <col min="1" max="1" width="7.875" style="162" customWidth="1"/>
    <col min="2" max="2" width="24.375" style="162" customWidth="1"/>
    <col min="3" max="3" width="5.5" style="162" customWidth="1"/>
    <col min="4" max="4" width="8.875" style="162" customWidth="1"/>
    <col min="5" max="5" width="9.875" style="162" customWidth="1"/>
    <col min="6" max="6" width="9" style="165" customWidth="1"/>
    <col min="7" max="7" width="14.625" style="165" customWidth="1"/>
    <col min="8" max="8" width="0.75" style="31" customWidth="1"/>
    <col min="9" max="16384" width="9" style="32"/>
  </cols>
  <sheetData>
    <row r="1" spans="1:8" ht="30.75" customHeight="1">
      <c r="A1" s="1654" t="s">
        <v>914</v>
      </c>
      <c r="B1" s="1654"/>
      <c r="C1" s="1654"/>
      <c r="D1" s="1654"/>
      <c r="E1" s="1654"/>
      <c r="F1" s="1654"/>
      <c r="G1" s="1654"/>
    </row>
    <row r="2" spans="1:8" ht="20.25" customHeight="1">
      <c r="A2" s="1654" t="s">
        <v>915</v>
      </c>
      <c r="B2" s="1654"/>
      <c r="C2" s="1654"/>
      <c r="D2" s="1654"/>
      <c r="E2" s="1654"/>
      <c r="F2" s="1654"/>
      <c r="G2" s="1654"/>
    </row>
    <row r="3" spans="1:8" ht="16.5" customHeight="1">
      <c r="A3" s="1658"/>
      <c r="B3" s="1658"/>
      <c r="C3" s="1658"/>
      <c r="D3" s="1658"/>
      <c r="E3" s="1658"/>
      <c r="F3" s="1658"/>
      <c r="G3" s="1658"/>
    </row>
    <row r="4" spans="1:8" ht="16.5" customHeight="1">
      <c r="A4" s="1659" t="s">
        <v>5060</v>
      </c>
      <c r="B4" s="1659"/>
      <c r="C4" s="1659"/>
      <c r="D4" s="1659"/>
      <c r="E4" s="1659"/>
      <c r="F4" s="1659"/>
      <c r="G4" s="1659"/>
    </row>
    <row r="5" spans="1:8" s="33" customFormat="1" ht="17.25" customHeight="1">
      <c r="A5" s="1659" t="s">
        <v>5061</v>
      </c>
      <c r="B5" s="1659"/>
      <c r="C5" s="1659"/>
      <c r="D5" s="1659"/>
      <c r="E5" s="1659"/>
      <c r="F5" s="1659"/>
      <c r="G5" s="1659"/>
    </row>
    <row r="6" spans="1:8" s="31" customFormat="1" ht="18" customHeight="1">
      <c r="A6" s="151" t="s">
        <v>10</v>
      </c>
      <c r="B6" s="152" t="s">
        <v>917</v>
      </c>
      <c r="C6" s="152" t="s">
        <v>12</v>
      </c>
      <c r="D6" s="152" t="s">
        <v>11</v>
      </c>
      <c r="E6" s="154" t="s">
        <v>918</v>
      </c>
      <c r="F6" s="154" t="s">
        <v>919</v>
      </c>
      <c r="G6" s="152" t="s">
        <v>920</v>
      </c>
      <c r="H6" s="31" t="s">
        <v>921</v>
      </c>
    </row>
    <row r="7" spans="1:8" ht="33">
      <c r="A7" s="160" t="s">
        <v>922</v>
      </c>
      <c r="B7" s="160" t="s">
        <v>923</v>
      </c>
      <c r="C7" s="157" t="s">
        <v>0</v>
      </c>
      <c r="D7" s="159">
        <v>100</v>
      </c>
      <c r="E7" s="159">
        <v>980.39</v>
      </c>
      <c r="F7" s="159"/>
      <c r="G7" s="160" t="s">
        <v>2</v>
      </c>
      <c r="H7" s="34" t="s">
        <v>925</v>
      </c>
    </row>
    <row r="8" spans="1:8" ht="33">
      <c r="A8" s="160">
        <v>1</v>
      </c>
      <c r="B8" s="160" t="s">
        <v>926</v>
      </c>
      <c r="C8" s="157" t="s">
        <v>927</v>
      </c>
      <c r="D8" s="159">
        <v>40</v>
      </c>
      <c r="E8" s="159">
        <v>1203.28</v>
      </c>
      <c r="F8" s="159">
        <v>48131.199999999997</v>
      </c>
      <c r="G8" s="160" t="s">
        <v>2</v>
      </c>
      <c r="H8" s="34" t="s">
        <v>925</v>
      </c>
    </row>
    <row r="9" spans="1:8" ht="33">
      <c r="A9" s="160">
        <v>2</v>
      </c>
      <c r="B9" s="160" t="s">
        <v>929</v>
      </c>
      <c r="C9" s="157" t="s">
        <v>927</v>
      </c>
      <c r="D9" s="159">
        <v>5</v>
      </c>
      <c r="E9" s="159">
        <v>1388.4</v>
      </c>
      <c r="F9" s="159">
        <v>6942</v>
      </c>
      <c r="G9" s="160" t="s">
        <v>2</v>
      </c>
      <c r="H9" s="34" t="s">
        <v>925</v>
      </c>
    </row>
    <row r="10" spans="1:8" ht="33">
      <c r="A10" s="160">
        <v>3</v>
      </c>
      <c r="B10" s="160" t="s">
        <v>4869</v>
      </c>
      <c r="C10" s="157" t="s">
        <v>927</v>
      </c>
      <c r="D10" s="159">
        <v>45</v>
      </c>
      <c r="E10" s="159">
        <v>371.17</v>
      </c>
      <c r="F10" s="159">
        <v>16702.650000000001</v>
      </c>
      <c r="G10" s="160" t="s">
        <v>5434</v>
      </c>
      <c r="H10" s="34" t="s">
        <v>925</v>
      </c>
    </row>
    <row r="11" spans="1:8" ht="33">
      <c r="A11" s="160">
        <v>4</v>
      </c>
      <c r="B11" s="160" t="s">
        <v>4871</v>
      </c>
      <c r="C11" s="157" t="s">
        <v>927</v>
      </c>
      <c r="D11" s="159">
        <v>90</v>
      </c>
      <c r="E11" s="159">
        <v>260.08999999999997</v>
      </c>
      <c r="F11" s="159">
        <v>23408.1</v>
      </c>
      <c r="G11" s="160" t="s">
        <v>5435</v>
      </c>
      <c r="H11" s="34" t="s">
        <v>925</v>
      </c>
    </row>
    <row r="12" spans="1:8" ht="33">
      <c r="A12" s="160">
        <v>5</v>
      </c>
      <c r="B12" s="160" t="s">
        <v>931</v>
      </c>
      <c r="C12" s="157" t="s">
        <v>14</v>
      </c>
      <c r="D12" s="159">
        <v>1</v>
      </c>
      <c r="E12" s="159">
        <v>2855.52</v>
      </c>
      <c r="F12" s="159">
        <v>2855.52</v>
      </c>
      <c r="G12" s="160" t="s">
        <v>2</v>
      </c>
      <c r="H12" s="34" t="s">
        <v>925</v>
      </c>
    </row>
    <row r="13" spans="1:8" ht="33">
      <c r="A13" s="160"/>
      <c r="B13" s="160" t="s">
        <v>933</v>
      </c>
      <c r="C13" s="157" t="s">
        <v>0</v>
      </c>
      <c r="D13" s="159">
        <v>100</v>
      </c>
      <c r="E13" s="159"/>
      <c r="F13" s="159">
        <v>98039.470000000016</v>
      </c>
      <c r="G13" s="160"/>
      <c r="H13" s="34" t="s">
        <v>925</v>
      </c>
    </row>
    <row r="14" spans="1:8" ht="33">
      <c r="A14" s="160"/>
      <c r="B14" s="160" t="s">
        <v>934</v>
      </c>
      <c r="C14" s="157" t="s">
        <v>0</v>
      </c>
      <c r="D14" s="159"/>
      <c r="E14" s="159"/>
      <c r="F14" s="159">
        <v>980.39</v>
      </c>
      <c r="G14" s="160"/>
      <c r="H14" s="34" t="s">
        <v>925</v>
      </c>
    </row>
    <row r="15" spans="1:8" ht="16.5">
      <c r="A15" s="160"/>
      <c r="B15" s="160"/>
      <c r="C15" s="157"/>
      <c r="D15" s="159"/>
      <c r="E15" s="159"/>
      <c r="F15" s="159"/>
      <c r="G15" s="160"/>
    </row>
    <row r="16" spans="1:8" ht="33">
      <c r="A16" s="160" t="s">
        <v>935</v>
      </c>
      <c r="B16" s="160" t="s">
        <v>936</v>
      </c>
      <c r="C16" s="157" t="s">
        <v>0</v>
      </c>
      <c r="D16" s="159">
        <v>100</v>
      </c>
      <c r="E16" s="159">
        <v>635.20000000000005</v>
      </c>
      <c r="F16" s="159"/>
      <c r="G16" s="160" t="s">
        <v>2</v>
      </c>
      <c r="H16" s="34" t="s">
        <v>925</v>
      </c>
    </row>
    <row r="17" spans="1:8" ht="33">
      <c r="A17" s="160">
        <v>1</v>
      </c>
      <c r="B17" s="160" t="s">
        <v>926</v>
      </c>
      <c r="C17" s="157" t="s">
        <v>927</v>
      </c>
      <c r="D17" s="159">
        <v>24</v>
      </c>
      <c r="E17" s="159">
        <v>1203.28</v>
      </c>
      <c r="F17" s="159">
        <v>28878.720000000001</v>
      </c>
      <c r="G17" s="160" t="s">
        <v>2</v>
      </c>
      <c r="H17" s="34" t="s">
        <v>925</v>
      </c>
    </row>
    <row r="18" spans="1:8" ht="33">
      <c r="A18" s="160">
        <v>2</v>
      </c>
      <c r="B18" s="160" t="s">
        <v>929</v>
      </c>
      <c r="C18" s="157" t="s">
        <v>927</v>
      </c>
      <c r="D18" s="159">
        <v>5</v>
      </c>
      <c r="E18" s="159">
        <v>1388.4</v>
      </c>
      <c r="F18" s="159">
        <v>6942</v>
      </c>
      <c r="G18" s="160" t="s">
        <v>2</v>
      </c>
      <c r="H18" s="34" t="s">
        <v>925</v>
      </c>
    </row>
    <row r="19" spans="1:8" ht="33">
      <c r="A19" s="160">
        <v>3</v>
      </c>
      <c r="B19" s="160" t="s">
        <v>4869</v>
      </c>
      <c r="C19" s="157" t="s">
        <v>927</v>
      </c>
      <c r="D19" s="159">
        <v>29</v>
      </c>
      <c r="E19" s="159">
        <v>371.17</v>
      </c>
      <c r="F19" s="159">
        <v>10763.93</v>
      </c>
      <c r="G19" s="160" t="s">
        <v>5434</v>
      </c>
      <c r="H19" s="34" t="s">
        <v>925</v>
      </c>
    </row>
    <row r="20" spans="1:8" ht="33">
      <c r="A20" s="160">
        <v>4</v>
      </c>
      <c r="B20" s="160" t="s">
        <v>4871</v>
      </c>
      <c r="C20" s="157" t="s">
        <v>927</v>
      </c>
      <c r="D20" s="159">
        <v>58</v>
      </c>
      <c r="E20" s="159">
        <v>260.08999999999997</v>
      </c>
      <c r="F20" s="159">
        <v>15085.22</v>
      </c>
      <c r="G20" s="160" t="s">
        <v>5435</v>
      </c>
      <c r="H20" s="34" t="s">
        <v>925</v>
      </c>
    </row>
    <row r="21" spans="1:8" ht="33">
      <c r="A21" s="160">
        <v>5</v>
      </c>
      <c r="B21" s="160" t="s">
        <v>931</v>
      </c>
      <c r="C21" s="157" t="s">
        <v>14</v>
      </c>
      <c r="D21" s="159">
        <v>1</v>
      </c>
      <c r="E21" s="159">
        <v>1850.1</v>
      </c>
      <c r="F21" s="159">
        <v>1850.1</v>
      </c>
      <c r="G21" s="160" t="s">
        <v>2</v>
      </c>
      <c r="H21" s="34" t="s">
        <v>925</v>
      </c>
    </row>
    <row r="22" spans="1:8" ht="33">
      <c r="A22" s="160"/>
      <c r="B22" s="160" t="s">
        <v>933</v>
      </c>
      <c r="C22" s="157" t="s">
        <v>0</v>
      </c>
      <c r="D22" s="159">
        <v>100</v>
      </c>
      <c r="E22" s="159"/>
      <c r="F22" s="159">
        <v>63519.97</v>
      </c>
      <c r="G22" s="160"/>
      <c r="H22" s="34" t="s">
        <v>925</v>
      </c>
    </row>
    <row r="23" spans="1:8" ht="33">
      <c r="A23" s="160"/>
      <c r="B23" s="160" t="s">
        <v>934</v>
      </c>
      <c r="C23" s="157" t="s">
        <v>0</v>
      </c>
      <c r="D23" s="159"/>
      <c r="E23" s="159"/>
      <c r="F23" s="159">
        <v>635.20000000000005</v>
      </c>
      <c r="G23" s="160"/>
      <c r="H23" s="34" t="s">
        <v>925</v>
      </c>
    </row>
    <row r="24" spans="1:8" ht="16.5">
      <c r="A24" s="160"/>
      <c r="B24" s="160"/>
      <c r="C24" s="157"/>
      <c r="D24" s="159"/>
      <c r="E24" s="159"/>
      <c r="F24" s="159"/>
      <c r="G24" s="160"/>
    </row>
    <row r="25" spans="1:8" ht="33">
      <c r="A25" s="160" t="s">
        <v>938</v>
      </c>
      <c r="B25" s="160" t="s">
        <v>4416</v>
      </c>
      <c r="C25" s="157" t="s">
        <v>0</v>
      </c>
      <c r="D25" s="159">
        <v>100</v>
      </c>
      <c r="E25" s="159">
        <v>1602.57</v>
      </c>
      <c r="F25" s="159"/>
      <c r="G25" s="160" t="s">
        <v>2</v>
      </c>
      <c r="H25" s="34" t="s">
        <v>925</v>
      </c>
    </row>
    <row r="26" spans="1:8" ht="33">
      <c r="A26" s="160">
        <v>1</v>
      </c>
      <c r="B26" s="160" t="s">
        <v>926</v>
      </c>
      <c r="C26" s="157" t="s">
        <v>927</v>
      </c>
      <c r="D26" s="159">
        <v>46</v>
      </c>
      <c r="E26" s="159">
        <v>1203.28</v>
      </c>
      <c r="F26" s="159">
        <v>55350.879999999997</v>
      </c>
      <c r="G26" s="160" t="s">
        <v>2</v>
      </c>
      <c r="H26" s="34" t="s">
        <v>925</v>
      </c>
    </row>
    <row r="27" spans="1:8" ht="33">
      <c r="A27" s="160">
        <v>2</v>
      </c>
      <c r="B27" s="160" t="s">
        <v>929</v>
      </c>
      <c r="C27" s="157" t="s">
        <v>927</v>
      </c>
      <c r="D27" s="159">
        <v>5.75</v>
      </c>
      <c r="E27" s="159">
        <v>1388.4</v>
      </c>
      <c r="F27" s="159">
        <v>7983.3</v>
      </c>
      <c r="G27" s="160" t="s">
        <v>2</v>
      </c>
      <c r="H27" s="34" t="s">
        <v>925</v>
      </c>
    </row>
    <row r="28" spans="1:8" ht="33">
      <c r="A28" s="160">
        <v>3</v>
      </c>
      <c r="B28" s="160" t="s">
        <v>4046</v>
      </c>
      <c r="C28" s="157" t="s">
        <v>927</v>
      </c>
      <c r="D28" s="159">
        <v>51.75</v>
      </c>
      <c r="E28" s="159">
        <v>742.33</v>
      </c>
      <c r="F28" s="159">
        <v>38415.58</v>
      </c>
      <c r="G28" s="160" t="s">
        <v>2</v>
      </c>
      <c r="H28" s="34" t="s">
        <v>925</v>
      </c>
    </row>
    <row r="29" spans="1:8" ht="33">
      <c r="A29" s="160">
        <v>4</v>
      </c>
      <c r="B29" s="160" t="s">
        <v>4874</v>
      </c>
      <c r="C29" s="157" t="s">
        <v>927</v>
      </c>
      <c r="D29" s="159">
        <v>103.5</v>
      </c>
      <c r="E29" s="159">
        <v>520.19000000000005</v>
      </c>
      <c r="F29" s="159">
        <v>53839.67</v>
      </c>
      <c r="G29" s="160" t="s">
        <v>5436</v>
      </c>
      <c r="H29" s="34" t="s">
        <v>925</v>
      </c>
    </row>
    <row r="30" spans="1:8" ht="33">
      <c r="A30" s="160">
        <v>5</v>
      </c>
      <c r="B30" s="160" t="s">
        <v>931</v>
      </c>
      <c r="C30" s="157" t="s">
        <v>14</v>
      </c>
      <c r="D30" s="159">
        <v>1</v>
      </c>
      <c r="E30" s="159">
        <v>4667.68</v>
      </c>
      <c r="F30" s="159">
        <v>4667.68</v>
      </c>
      <c r="G30" s="160" t="s">
        <v>2</v>
      </c>
      <c r="H30" s="34" t="s">
        <v>925</v>
      </c>
    </row>
    <row r="31" spans="1:8" ht="33">
      <c r="A31" s="160"/>
      <c r="B31" s="160" t="s">
        <v>933</v>
      </c>
      <c r="C31" s="157" t="s">
        <v>0</v>
      </c>
      <c r="D31" s="159">
        <v>100</v>
      </c>
      <c r="E31" s="159"/>
      <c r="F31" s="159">
        <v>160257.10999999999</v>
      </c>
      <c r="G31" s="160"/>
      <c r="H31" s="34" t="s">
        <v>925</v>
      </c>
    </row>
    <row r="32" spans="1:8" ht="33">
      <c r="A32" s="160"/>
      <c r="B32" s="160" t="s">
        <v>934</v>
      </c>
      <c r="C32" s="157" t="s">
        <v>0</v>
      </c>
      <c r="D32" s="159"/>
      <c r="E32" s="159"/>
      <c r="F32" s="159">
        <v>1602.57</v>
      </c>
      <c r="G32" s="160"/>
      <c r="H32" s="34" t="s">
        <v>925</v>
      </c>
    </row>
    <row r="33" spans="1:8" ht="33">
      <c r="A33" s="160"/>
      <c r="B33" s="160"/>
      <c r="C33" s="157"/>
      <c r="D33" s="159"/>
      <c r="E33" s="159"/>
      <c r="F33" s="159"/>
      <c r="G33" s="160"/>
      <c r="H33" s="34" t="s">
        <v>925</v>
      </c>
    </row>
    <row r="34" spans="1:8" ht="33">
      <c r="A34" s="160" t="s">
        <v>949</v>
      </c>
      <c r="B34" s="160" t="s">
        <v>953</v>
      </c>
      <c r="C34" s="157" t="s">
        <v>0</v>
      </c>
      <c r="D34" s="159">
        <v>1</v>
      </c>
      <c r="E34" s="159">
        <v>4071.97</v>
      </c>
      <c r="F34" s="159"/>
      <c r="G34" s="160" t="s">
        <v>2</v>
      </c>
      <c r="H34" s="34" t="s">
        <v>925</v>
      </c>
    </row>
    <row r="35" spans="1:8" ht="33">
      <c r="A35" s="160">
        <v>1</v>
      </c>
      <c r="B35" s="160" t="s">
        <v>4871</v>
      </c>
      <c r="C35" s="157" t="s">
        <v>927</v>
      </c>
      <c r="D35" s="159">
        <v>15.2</v>
      </c>
      <c r="E35" s="159">
        <v>260.08999999999997</v>
      </c>
      <c r="F35" s="159">
        <v>3953.37</v>
      </c>
      <c r="G35" s="160" t="s">
        <v>5435</v>
      </c>
      <c r="H35" s="34" t="s">
        <v>925</v>
      </c>
    </row>
    <row r="36" spans="1:8" ht="16.5">
      <c r="A36" s="160">
        <v>2</v>
      </c>
      <c r="B36" s="160" t="s">
        <v>955</v>
      </c>
      <c r="C36" s="157" t="s">
        <v>14</v>
      </c>
      <c r="D36" s="159">
        <v>1</v>
      </c>
      <c r="E36" s="159">
        <v>118.6</v>
      </c>
      <c r="F36" s="159">
        <v>118.6</v>
      </c>
      <c r="G36" s="160" t="s">
        <v>2</v>
      </c>
    </row>
    <row r="37" spans="1:8" ht="33">
      <c r="A37" s="160"/>
      <c r="B37" s="160" t="s">
        <v>933</v>
      </c>
      <c r="C37" s="157" t="s">
        <v>0</v>
      </c>
      <c r="D37" s="159">
        <v>1</v>
      </c>
      <c r="E37" s="159"/>
      <c r="F37" s="159">
        <v>4071.97</v>
      </c>
      <c r="G37" s="160"/>
      <c r="H37" s="34" t="s">
        <v>925</v>
      </c>
    </row>
    <row r="38" spans="1:8" ht="33">
      <c r="A38" s="160"/>
      <c r="B38" s="160" t="s">
        <v>934</v>
      </c>
      <c r="C38" s="157" t="s">
        <v>0</v>
      </c>
      <c r="D38" s="159"/>
      <c r="E38" s="159"/>
      <c r="F38" s="159">
        <v>4071.97</v>
      </c>
      <c r="G38" s="160"/>
      <c r="H38" s="34" t="s">
        <v>925</v>
      </c>
    </row>
    <row r="39" spans="1:8" ht="33">
      <c r="A39" s="160"/>
      <c r="B39" s="160"/>
      <c r="C39" s="157"/>
      <c r="D39" s="159"/>
      <c r="E39" s="159"/>
      <c r="F39" s="159"/>
      <c r="G39" s="160"/>
      <c r="H39" s="34" t="s">
        <v>925</v>
      </c>
    </row>
    <row r="40" spans="1:8" ht="42.75">
      <c r="A40" s="160" t="s">
        <v>952</v>
      </c>
      <c r="B40" s="160" t="s">
        <v>953</v>
      </c>
      <c r="C40" s="157" t="s">
        <v>0</v>
      </c>
      <c r="D40" s="159">
        <v>1</v>
      </c>
      <c r="E40" s="159">
        <v>5416.79</v>
      </c>
      <c r="F40" s="159"/>
      <c r="G40" s="160" t="s">
        <v>4365</v>
      </c>
      <c r="H40" s="34" t="s">
        <v>925</v>
      </c>
    </row>
    <row r="41" spans="1:8" ht="33">
      <c r="A41" s="160">
        <v>1</v>
      </c>
      <c r="B41" s="160" t="s">
        <v>4871</v>
      </c>
      <c r="C41" s="157" t="s">
        <v>927</v>
      </c>
      <c r="D41" s="159">
        <v>20.22</v>
      </c>
      <c r="E41" s="159">
        <v>260.08999999999997</v>
      </c>
      <c r="F41" s="159">
        <v>5259.02</v>
      </c>
      <c r="G41" s="160" t="s">
        <v>5435</v>
      </c>
      <c r="H41" s="34" t="s">
        <v>925</v>
      </c>
    </row>
    <row r="42" spans="1:8" ht="33">
      <c r="A42" s="160">
        <v>2</v>
      </c>
      <c r="B42" s="160" t="s">
        <v>955</v>
      </c>
      <c r="C42" s="157" t="s">
        <v>14</v>
      </c>
      <c r="D42" s="159">
        <v>1</v>
      </c>
      <c r="E42" s="159">
        <v>157.77000000000001</v>
      </c>
      <c r="F42" s="159">
        <v>157.77000000000001</v>
      </c>
      <c r="G42" s="160" t="s">
        <v>2</v>
      </c>
      <c r="H42" s="34" t="s">
        <v>925</v>
      </c>
    </row>
    <row r="43" spans="1:8" ht="16.5">
      <c r="A43" s="160"/>
      <c r="B43" s="160" t="s">
        <v>933</v>
      </c>
      <c r="C43" s="157" t="s">
        <v>0</v>
      </c>
      <c r="D43" s="159">
        <v>1</v>
      </c>
      <c r="E43" s="159"/>
      <c r="F43" s="159">
        <v>5416.7900000000009</v>
      </c>
      <c r="G43" s="160"/>
    </row>
    <row r="44" spans="1:8" ht="33">
      <c r="A44" s="160"/>
      <c r="B44" s="160" t="s">
        <v>934</v>
      </c>
      <c r="C44" s="157" t="s">
        <v>0</v>
      </c>
      <c r="D44" s="159"/>
      <c r="E44" s="159"/>
      <c r="F44" s="159">
        <v>5416.79</v>
      </c>
      <c r="G44" s="160"/>
      <c r="H44" s="34" t="s">
        <v>925</v>
      </c>
    </row>
    <row r="45" spans="1:8" ht="33">
      <c r="A45" s="160"/>
      <c r="B45" s="160"/>
      <c r="C45" s="157"/>
      <c r="D45" s="159"/>
      <c r="E45" s="159"/>
      <c r="F45" s="159"/>
      <c r="G45" s="160"/>
      <c r="H45" s="34" t="s">
        <v>925</v>
      </c>
    </row>
    <row r="46" spans="1:8" ht="33">
      <c r="A46" s="160" t="s">
        <v>957</v>
      </c>
      <c r="B46" s="160" t="s">
        <v>453</v>
      </c>
      <c r="C46" s="157" t="s">
        <v>0</v>
      </c>
      <c r="D46" s="159">
        <v>1</v>
      </c>
      <c r="E46" s="159">
        <v>5250.69</v>
      </c>
      <c r="F46" s="159"/>
      <c r="G46" s="160" t="s">
        <v>2</v>
      </c>
      <c r="H46" s="34" t="s">
        <v>925</v>
      </c>
    </row>
    <row r="47" spans="1:8" ht="33">
      <c r="A47" s="160">
        <v>1</v>
      </c>
      <c r="B47" s="160" t="s">
        <v>4871</v>
      </c>
      <c r="C47" s="157" t="s">
        <v>927</v>
      </c>
      <c r="D47" s="159">
        <v>19.600000000000001</v>
      </c>
      <c r="E47" s="159">
        <v>260.08999999999997</v>
      </c>
      <c r="F47" s="159">
        <v>5097.76</v>
      </c>
      <c r="G47" s="160" t="s">
        <v>2</v>
      </c>
      <c r="H47" s="34" t="s">
        <v>925</v>
      </c>
    </row>
    <row r="48" spans="1:8" ht="33">
      <c r="A48" s="160">
        <v>2</v>
      </c>
      <c r="B48" s="160" t="s">
        <v>955</v>
      </c>
      <c r="C48" s="157" t="s">
        <v>14</v>
      </c>
      <c r="D48" s="159">
        <v>1</v>
      </c>
      <c r="E48" s="159">
        <v>152.93</v>
      </c>
      <c r="F48" s="159">
        <v>152.93</v>
      </c>
      <c r="G48" s="160" t="s">
        <v>2</v>
      </c>
      <c r="H48" s="34" t="s">
        <v>925</v>
      </c>
    </row>
    <row r="49" spans="1:8" ht="16.5">
      <c r="A49" s="160"/>
      <c r="B49" s="160" t="s">
        <v>933</v>
      </c>
      <c r="C49" s="157" t="s">
        <v>0</v>
      </c>
      <c r="D49" s="159">
        <v>1</v>
      </c>
      <c r="E49" s="159"/>
      <c r="F49" s="159">
        <v>5250.6900000000005</v>
      </c>
      <c r="G49" s="160"/>
    </row>
    <row r="50" spans="1:8" ht="33">
      <c r="A50" s="160"/>
      <c r="B50" s="160" t="s">
        <v>934</v>
      </c>
      <c r="C50" s="157" t="s">
        <v>0</v>
      </c>
      <c r="D50" s="159"/>
      <c r="E50" s="159"/>
      <c r="F50" s="159">
        <v>5250.69</v>
      </c>
      <c r="G50" s="160"/>
      <c r="H50" s="34" t="s">
        <v>925</v>
      </c>
    </row>
    <row r="51" spans="1:8" ht="33">
      <c r="A51" s="160"/>
      <c r="B51" s="160"/>
      <c r="C51" s="157"/>
      <c r="D51" s="159"/>
      <c r="E51" s="159"/>
      <c r="F51" s="159"/>
      <c r="G51" s="160"/>
      <c r="H51" s="34" t="s">
        <v>925</v>
      </c>
    </row>
    <row r="52" spans="1:8" ht="42.75">
      <c r="A52" s="160" t="s">
        <v>960</v>
      </c>
      <c r="B52" s="160" t="s">
        <v>453</v>
      </c>
      <c r="C52" s="157" t="s">
        <v>0</v>
      </c>
      <c r="D52" s="159">
        <v>1</v>
      </c>
      <c r="E52" s="159">
        <v>6983.97</v>
      </c>
      <c r="F52" s="159"/>
      <c r="G52" s="160" t="s">
        <v>4365</v>
      </c>
      <c r="H52" s="34" t="s">
        <v>925</v>
      </c>
    </row>
    <row r="53" spans="1:8" ht="33">
      <c r="A53" s="160">
        <v>1</v>
      </c>
      <c r="B53" s="160" t="s">
        <v>4871</v>
      </c>
      <c r="C53" s="157" t="s">
        <v>927</v>
      </c>
      <c r="D53" s="159">
        <v>26.07</v>
      </c>
      <c r="E53" s="159">
        <v>260.08999999999997</v>
      </c>
      <c r="F53" s="159">
        <v>6780.55</v>
      </c>
      <c r="G53" s="160" t="s">
        <v>5435</v>
      </c>
      <c r="H53" s="34" t="s">
        <v>925</v>
      </c>
    </row>
    <row r="54" spans="1:8" ht="33">
      <c r="A54" s="160">
        <v>2</v>
      </c>
      <c r="B54" s="160" t="s">
        <v>955</v>
      </c>
      <c r="C54" s="157" t="s">
        <v>14</v>
      </c>
      <c r="D54" s="159">
        <v>1</v>
      </c>
      <c r="E54" s="159">
        <v>203.42</v>
      </c>
      <c r="F54" s="159">
        <v>203.42</v>
      </c>
      <c r="G54" s="160" t="s">
        <v>2</v>
      </c>
      <c r="H54" s="34" t="s">
        <v>925</v>
      </c>
    </row>
    <row r="55" spans="1:8" ht="16.5">
      <c r="A55" s="160"/>
      <c r="B55" s="160" t="s">
        <v>933</v>
      </c>
      <c r="C55" s="157" t="s">
        <v>0</v>
      </c>
      <c r="D55" s="159">
        <v>1</v>
      </c>
      <c r="E55" s="159"/>
      <c r="F55" s="159">
        <v>6983.97</v>
      </c>
      <c r="G55" s="160"/>
    </row>
    <row r="56" spans="1:8" ht="33">
      <c r="A56" s="160"/>
      <c r="B56" s="160" t="s">
        <v>934</v>
      </c>
      <c r="C56" s="157" t="s">
        <v>0</v>
      </c>
      <c r="D56" s="159"/>
      <c r="E56" s="159"/>
      <c r="F56" s="159">
        <v>6983.97</v>
      </c>
      <c r="G56" s="160"/>
      <c r="H56" s="34" t="s">
        <v>925</v>
      </c>
    </row>
    <row r="57" spans="1:8" ht="33">
      <c r="A57" s="160"/>
      <c r="B57" s="160"/>
      <c r="C57" s="157"/>
      <c r="D57" s="159"/>
      <c r="E57" s="159"/>
      <c r="F57" s="159"/>
      <c r="G57" s="160"/>
      <c r="H57" s="34" t="s">
        <v>925</v>
      </c>
    </row>
    <row r="58" spans="1:8" ht="33">
      <c r="A58" s="160" t="s">
        <v>963</v>
      </c>
      <c r="B58" s="160" t="s">
        <v>2234</v>
      </c>
      <c r="C58" s="157" t="s">
        <v>0</v>
      </c>
      <c r="D58" s="159">
        <v>1</v>
      </c>
      <c r="E58" s="159">
        <v>12076.83</v>
      </c>
      <c r="F58" s="159"/>
      <c r="G58" s="160" t="s">
        <v>2</v>
      </c>
      <c r="H58" s="34" t="s">
        <v>925</v>
      </c>
    </row>
    <row r="59" spans="1:8" ht="33">
      <c r="A59" s="160">
        <v>1</v>
      </c>
      <c r="B59" s="160" t="s">
        <v>4874</v>
      </c>
      <c r="C59" s="157" t="s">
        <v>927</v>
      </c>
      <c r="D59" s="159">
        <v>22.54</v>
      </c>
      <c r="E59" s="159">
        <v>520.19000000000005</v>
      </c>
      <c r="F59" s="159">
        <v>11725.08</v>
      </c>
      <c r="G59" s="160" t="s">
        <v>5436</v>
      </c>
      <c r="H59" s="34" t="s">
        <v>925</v>
      </c>
    </row>
    <row r="60" spans="1:8" ht="33">
      <c r="A60" s="160">
        <v>2</v>
      </c>
      <c r="B60" s="160" t="s">
        <v>955</v>
      </c>
      <c r="C60" s="157" t="s">
        <v>14</v>
      </c>
      <c r="D60" s="159">
        <v>1</v>
      </c>
      <c r="E60" s="159">
        <v>351.75</v>
      </c>
      <c r="F60" s="159">
        <v>351.75</v>
      </c>
      <c r="G60" s="160" t="s">
        <v>2</v>
      </c>
      <c r="H60" s="34" t="s">
        <v>925</v>
      </c>
    </row>
    <row r="61" spans="1:8" ht="33">
      <c r="A61" s="160"/>
      <c r="B61" s="160" t="s">
        <v>933</v>
      </c>
      <c r="C61" s="157" t="s">
        <v>0</v>
      </c>
      <c r="D61" s="159">
        <v>1</v>
      </c>
      <c r="E61" s="159"/>
      <c r="F61" s="159">
        <v>12076.83</v>
      </c>
      <c r="G61" s="160"/>
      <c r="H61" s="34" t="s">
        <v>925</v>
      </c>
    </row>
    <row r="62" spans="1:8" ht="33">
      <c r="A62" s="160"/>
      <c r="B62" s="160" t="s">
        <v>934</v>
      </c>
      <c r="C62" s="157" t="s">
        <v>0</v>
      </c>
      <c r="D62" s="159"/>
      <c r="E62" s="159"/>
      <c r="F62" s="159">
        <v>12076.83</v>
      </c>
      <c r="G62" s="160"/>
      <c r="H62" s="34" t="s">
        <v>925</v>
      </c>
    </row>
    <row r="63" spans="1:8" ht="33">
      <c r="A63" s="160"/>
      <c r="B63" s="160"/>
      <c r="C63" s="157"/>
      <c r="D63" s="159"/>
      <c r="E63" s="159"/>
      <c r="F63" s="159"/>
      <c r="G63" s="160"/>
      <c r="H63" s="34" t="s">
        <v>925</v>
      </c>
    </row>
    <row r="64" spans="1:8" ht="42.75">
      <c r="A64" s="160" t="s">
        <v>966</v>
      </c>
      <c r="B64" s="160" t="s">
        <v>939</v>
      </c>
      <c r="C64" s="157" t="s">
        <v>1</v>
      </c>
      <c r="D64" s="159">
        <v>100</v>
      </c>
      <c r="E64" s="159">
        <v>1305.76</v>
      </c>
      <c r="F64" s="159"/>
      <c r="G64" s="160" t="s">
        <v>2</v>
      </c>
      <c r="H64" s="34" t="s">
        <v>925</v>
      </c>
    </row>
    <row r="65" spans="1:8" ht="33">
      <c r="A65" s="160">
        <v>1</v>
      </c>
      <c r="B65" s="160" t="s">
        <v>941</v>
      </c>
      <c r="C65" s="157" t="s">
        <v>927</v>
      </c>
      <c r="D65" s="159">
        <v>18</v>
      </c>
      <c r="E65" s="159">
        <v>319.33</v>
      </c>
      <c r="F65" s="159">
        <v>5747.94</v>
      </c>
      <c r="G65" s="160" t="s">
        <v>2</v>
      </c>
      <c r="H65" s="34" t="s">
        <v>925</v>
      </c>
    </row>
    <row r="66" spans="1:8" ht="33">
      <c r="A66" s="160">
        <v>2</v>
      </c>
      <c r="B66" s="160" t="s">
        <v>943</v>
      </c>
      <c r="C66" s="157" t="s">
        <v>927</v>
      </c>
      <c r="D66" s="159">
        <v>90</v>
      </c>
      <c r="E66" s="159">
        <v>281.38</v>
      </c>
      <c r="F66" s="159">
        <v>25324.2</v>
      </c>
      <c r="G66" s="160" t="s">
        <v>2</v>
      </c>
      <c r="H66" s="34" t="s">
        <v>925</v>
      </c>
    </row>
    <row r="67" spans="1:8" ht="16.5">
      <c r="A67" s="160">
        <v>3</v>
      </c>
      <c r="B67" s="160" t="s">
        <v>945</v>
      </c>
      <c r="C67" s="157" t="s">
        <v>927</v>
      </c>
      <c r="D67" s="159">
        <v>18</v>
      </c>
      <c r="E67" s="159">
        <v>371.17</v>
      </c>
      <c r="F67" s="159">
        <v>6681.06</v>
      </c>
      <c r="G67" s="160" t="s">
        <v>2</v>
      </c>
    </row>
    <row r="68" spans="1:8" ht="33">
      <c r="A68" s="160">
        <v>4</v>
      </c>
      <c r="B68" s="160" t="s">
        <v>947</v>
      </c>
      <c r="C68" s="157" t="s">
        <v>927</v>
      </c>
      <c r="D68" s="159">
        <v>90</v>
      </c>
      <c r="E68" s="159">
        <v>371.17</v>
      </c>
      <c r="F68" s="159">
        <v>33405.300000000003</v>
      </c>
      <c r="G68" s="160" t="s">
        <v>2</v>
      </c>
      <c r="H68" s="34" t="s">
        <v>925</v>
      </c>
    </row>
    <row r="69" spans="1:8" ht="33">
      <c r="A69" s="160">
        <v>5</v>
      </c>
      <c r="B69" s="160" t="s">
        <v>4871</v>
      </c>
      <c r="C69" s="157" t="s">
        <v>927</v>
      </c>
      <c r="D69" s="159">
        <v>180</v>
      </c>
      <c r="E69" s="159">
        <v>260.08999999999997</v>
      </c>
      <c r="F69" s="159">
        <v>46816.2</v>
      </c>
      <c r="G69" s="160" t="s">
        <v>5435</v>
      </c>
      <c r="H69" s="34" t="s">
        <v>925</v>
      </c>
    </row>
    <row r="70" spans="1:8" ht="33">
      <c r="A70" s="160">
        <v>6</v>
      </c>
      <c r="B70" s="160" t="s">
        <v>929</v>
      </c>
      <c r="C70" s="157" t="s">
        <v>927</v>
      </c>
      <c r="D70" s="159">
        <v>5</v>
      </c>
      <c r="E70" s="159">
        <v>1388.4</v>
      </c>
      <c r="F70" s="159">
        <v>6942</v>
      </c>
      <c r="G70" s="160" t="s">
        <v>2</v>
      </c>
      <c r="H70" s="34" t="s">
        <v>925</v>
      </c>
    </row>
    <row r="71" spans="1:8" ht="33">
      <c r="A71" s="160">
        <v>7</v>
      </c>
      <c r="B71" s="160" t="s">
        <v>4869</v>
      </c>
      <c r="C71" s="157" t="s">
        <v>927</v>
      </c>
      <c r="D71" s="159">
        <v>5</v>
      </c>
      <c r="E71" s="159">
        <v>371.17</v>
      </c>
      <c r="F71" s="159">
        <v>1855.85</v>
      </c>
      <c r="G71" s="160" t="s">
        <v>5434</v>
      </c>
      <c r="H71" s="34" t="s">
        <v>925</v>
      </c>
    </row>
    <row r="72" spans="1:8" ht="33">
      <c r="A72" s="160">
        <v>8</v>
      </c>
      <c r="B72" s="160" t="s">
        <v>931</v>
      </c>
      <c r="C72" s="157" t="s">
        <v>14</v>
      </c>
      <c r="D72" s="159">
        <v>1</v>
      </c>
      <c r="E72" s="159">
        <v>3803.18</v>
      </c>
      <c r="F72" s="159">
        <v>3803.18</v>
      </c>
      <c r="G72" s="160" t="s">
        <v>2</v>
      </c>
      <c r="H72" s="34" t="s">
        <v>925</v>
      </c>
    </row>
    <row r="73" spans="1:8" ht="16.5">
      <c r="A73" s="160"/>
      <c r="B73" s="160" t="s">
        <v>933</v>
      </c>
      <c r="C73" s="157" t="s">
        <v>1</v>
      </c>
      <c r="D73" s="159">
        <v>100</v>
      </c>
      <c r="E73" s="159"/>
      <c r="F73" s="159">
        <v>130575.73</v>
      </c>
      <c r="G73" s="160"/>
    </row>
    <row r="74" spans="1:8" ht="33">
      <c r="A74" s="160"/>
      <c r="B74" s="160" t="s">
        <v>934</v>
      </c>
      <c r="C74" s="157" t="s">
        <v>1</v>
      </c>
      <c r="D74" s="159"/>
      <c r="E74" s="159"/>
      <c r="F74" s="159">
        <v>1305.76</v>
      </c>
      <c r="G74" s="160"/>
      <c r="H74" s="34" t="s">
        <v>925</v>
      </c>
    </row>
    <row r="75" spans="1:8" ht="33">
      <c r="A75" s="160"/>
      <c r="B75" s="160"/>
      <c r="C75" s="157"/>
      <c r="D75" s="159"/>
      <c r="E75" s="159"/>
      <c r="F75" s="159"/>
      <c r="G75" s="160"/>
      <c r="H75" s="34" t="s">
        <v>925</v>
      </c>
    </row>
    <row r="76" spans="1:8" ht="33">
      <c r="A76" s="160" t="s">
        <v>968</v>
      </c>
      <c r="B76" s="160" t="s">
        <v>958</v>
      </c>
      <c r="C76" s="157" t="s">
        <v>1</v>
      </c>
      <c r="D76" s="159">
        <v>1</v>
      </c>
      <c r="E76" s="159">
        <v>3321.87</v>
      </c>
      <c r="F76" s="159"/>
      <c r="G76" s="160" t="s">
        <v>2</v>
      </c>
      <c r="H76" s="34" t="s">
        <v>925</v>
      </c>
    </row>
    <row r="77" spans="1:8" ht="33">
      <c r="A77" s="160">
        <v>1</v>
      </c>
      <c r="B77" s="160" t="s">
        <v>4871</v>
      </c>
      <c r="C77" s="157" t="s">
        <v>927</v>
      </c>
      <c r="D77" s="159">
        <v>12.4</v>
      </c>
      <c r="E77" s="159">
        <v>260.08999999999997</v>
      </c>
      <c r="F77" s="159">
        <v>3225.12</v>
      </c>
      <c r="G77" s="160" t="s">
        <v>5435</v>
      </c>
      <c r="H77" s="34" t="s">
        <v>925</v>
      </c>
    </row>
    <row r="78" spans="1:8" ht="33">
      <c r="A78" s="160">
        <v>2</v>
      </c>
      <c r="B78" s="160" t="s">
        <v>955</v>
      </c>
      <c r="C78" s="157" t="s">
        <v>14</v>
      </c>
      <c r="D78" s="159">
        <v>1</v>
      </c>
      <c r="E78" s="159">
        <v>96.75</v>
      </c>
      <c r="F78" s="159">
        <v>96.75</v>
      </c>
      <c r="G78" s="160" t="s">
        <v>2</v>
      </c>
      <c r="H78" s="34" t="s">
        <v>925</v>
      </c>
    </row>
    <row r="79" spans="1:8" ht="16.5">
      <c r="A79" s="160"/>
      <c r="B79" s="160" t="s">
        <v>933</v>
      </c>
      <c r="C79" s="157" t="s">
        <v>1</v>
      </c>
      <c r="D79" s="159">
        <v>1</v>
      </c>
      <c r="E79" s="159"/>
      <c r="F79" s="159">
        <v>3321.87</v>
      </c>
      <c r="G79" s="160"/>
    </row>
    <row r="80" spans="1:8" ht="33">
      <c r="A80" s="160"/>
      <c r="B80" s="160" t="s">
        <v>934</v>
      </c>
      <c r="C80" s="157" t="s">
        <v>1</v>
      </c>
      <c r="D80" s="159"/>
      <c r="E80" s="159"/>
      <c r="F80" s="159">
        <v>3321.87</v>
      </c>
      <c r="G80" s="160"/>
      <c r="H80" s="34" t="s">
        <v>925</v>
      </c>
    </row>
    <row r="81" spans="1:8" ht="33">
      <c r="A81" s="160"/>
      <c r="B81" s="160"/>
      <c r="C81" s="157"/>
      <c r="D81" s="159"/>
      <c r="E81" s="159"/>
      <c r="F81" s="159"/>
      <c r="G81" s="160"/>
      <c r="H81" s="34" t="s">
        <v>925</v>
      </c>
    </row>
    <row r="82" spans="1:8" ht="33">
      <c r="A82" s="160" t="s">
        <v>970</v>
      </c>
      <c r="B82" s="160" t="s">
        <v>950</v>
      </c>
      <c r="C82" s="157" t="s">
        <v>1</v>
      </c>
      <c r="D82" s="159">
        <v>100</v>
      </c>
      <c r="E82" s="159">
        <v>45.31</v>
      </c>
      <c r="F82" s="159"/>
      <c r="G82" s="160" t="s">
        <v>2</v>
      </c>
      <c r="H82" s="34" t="s">
        <v>925</v>
      </c>
    </row>
    <row r="83" spans="1:8" ht="33">
      <c r="A83" s="160">
        <v>1</v>
      </c>
      <c r="B83" s="160" t="s">
        <v>929</v>
      </c>
      <c r="C83" s="157" t="s">
        <v>927</v>
      </c>
      <c r="D83" s="159">
        <v>2.5</v>
      </c>
      <c r="E83" s="159">
        <v>1388.4</v>
      </c>
      <c r="F83" s="159">
        <v>3471</v>
      </c>
      <c r="G83" s="160" t="s">
        <v>2</v>
      </c>
      <c r="H83" s="34" t="s">
        <v>925</v>
      </c>
    </row>
    <row r="84" spans="1:8" ht="33">
      <c r="A84" s="160">
        <v>2</v>
      </c>
      <c r="B84" s="160" t="s">
        <v>4869</v>
      </c>
      <c r="C84" s="157" t="s">
        <v>927</v>
      </c>
      <c r="D84" s="159">
        <v>2.5</v>
      </c>
      <c r="E84" s="159">
        <v>371.17</v>
      </c>
      <c r="F84" s="159">
        <v>927.93</v>
      </c>
      <c r="G84" s="160" t="s">
        <v>5434</v>
      </c>
      <c r="H84" s="34" t="s">
        <v>925</v>
      </c>
    </row>
    <row r="85" spans="1:8" ht="16.5">
      <c r="A85" s="160">
        <v>3</v>
      </c>
      <c r="B85" s="160" t="s">
        <v>931</v>
      </c>
      <c r="C85" s="157" t="s">
        <v>14</v>
      </c>
      <c r="D85" s="159">
        <v>1</v>
      </c>
      <c r="E85" s="159">
        <v>131.97</v>
      </c>
      <c r="F85" s="159">
        <v>131.97</v>
      </c>
      <c r="G85" s="160" t="s">
        <v>2</v>
      </c>
    </row>
    <row r="86" spans="1:8" ht="33">
      <c r="A86" s="160"/>
      <c r="B86" s="160" t="s">
        <v>933</v>
      </c>
      <c r="C86" s="157" t="s">
        <v>1</v>
      </c>
      <c r="D86" s="159">
        <v>100</v>
      </c>
      <c r="E86" s="159"/>
      <c r="F86" s="159">
        <v>4530.9000000000005</v>
      </c>
      <c r="G86" s="160"/>
      <c r="H86" s="34" t="s">
        <v>925</v>
      </c>
    </row>
    <row r="87" spans="1:8" ht="33">
      <c r="A87" s="160"/>
      <c r="B87" s="160" t="s">
        <v>934</v>
      </c>
      <c r="C87" s="157" t="s">
        <v>1</v>
      </c>
      <c r="D87" s="159"/>
      <c r="E87" s="159"/>
      <c r="F87" s="159">
        <v>45.31</v>
      </c>
      <c r="G87" s="160"/>
      <c r="H87" s="34" t="s">
        <v>925</v>
      </c>
    </row>
    <row r="88" spans="1:8" ht="33">
      <c r="A88" s="160"/>
      <c r="B88" s="160"/>
      <c r="C88" s="157"/>
      <c r="D88" s="159"/>
      <c r="E88" s="159"/>
      <c r="F88" s="159"/>
      <c r="G88" s="160"/>
      <c r="H88" s="34" t="s">
        <v>925</v>
      </c>
    </row>
    <row r="89" spans="1:8" ht="42.75">
      <c r="A89" s="160" t="s">
        <v>972</v>
      </c>
      <c r="B89" s="160" t="s">
        <v>950</v>
      </c>
      <c r="C89" s="157" t="s">
        <v>1</v>
      </c>
      <c r="D89" s="159">
        <v>100</v>
      </c>
      <c r="E89" s="159">
        <v>60.35</v>
      </c>
      <c r="F89" s="159"/>
      <c r="G89" s="160" t="s">
        <v>4365</v>
      </c>
      <c r="H89" s="34" t="s">
        <v>925</v>
      </c>
    </row>
    <row r="90" spans="1:8" ht="33">
      <c r="A90" s="160">
        <v>1</v>
      </c>
      <c r="B90" s="160" t="s">
        <v>929</v>
      </c>
      <c r="C90" s="157" t="s">
        <v>927</v>
      </c>
      <c r="D90" s="159">
        <v>3.33</v>
      </c>
      <c r="E90" s="159">
        <v>1388.4</v>
      </c>
      <c r="F90" s="159">
        <v>4623.37</v>
      </c>
      <c r="G90" s="160" t="s">
        <v>2</v>
      </c>
      <c r="H90" s="34" t="s">
        <v>925</v>
      </c>
    </row>
    <row r="91" spans="1:8" ht="33">
      <c r="A91" s="160">
        <v>2</v>
      </c>
      <c r="B91" s="160" t="s">
        <v>4869</v>
      </c>
      <c r="C91" s="157" t="s">
        <v>927</v>
      </c>
      <c r="D91" s="159">
        <v>3.33</v>
      </c>
      <c r="E91" s="159">
        <v>371.17</v>
      </c>
      <c r="F91" s="159">
        <v>1236</v>
      </c>
      <c r="G91" s="160" t="s">
        <v>5434</v>
      </c>
      <c r="H91" s="34" t="s">
        <v>925</v>
      </c>
    </row>
    <row r="92" spans="1:8" ht="33">
      <c r="A92" s="160">
        <v>3</v>
      </c>
      <c r="B92" s="160" t="s">
        <v>931</v>
      </c>
      <c r="C92" s="157" t="s">
        <v>14</v>
      </c>
      <c r="D92" s="159">
        <v>1</v>
      </c>
      <c r="E92" s="159">
        <v>175.78</v>
      </c>
      <c r="F92" s="159">
        <v>175.78</v>
      </c>
      <c r="G92" s="160" t="s">
        <v>2</v>
      </c>
      <c r="H92" s="34" t="s">
        <v>925</v>
      </c>
    </row>
    <row r="93" spans="1:8" ht="33">
      <c r="A93" s="160"/>
      <c r="B93" s="160" t="s">
        <v>933</v>
      </c>
      <c r="C93" s="157" t="s">
        <v>1</v>
      </c>
      <c r="D93" s="159">
        <v>100</v>
      </c>
      <c r="E93" s="159"/>
      <c r="F93" s="159">
        <v>6035.15</v>
      </c>
      <c r="G93" s="160"/>
      <c r="H93" s="34" t="s">
        <v>925</v>
      </c>
    </row>
    <row r="94" spans="1:8" ht="16.5">
      <c r="A94" s="160"/>
      <c r="B94" s="160" t="s">
        <v>934</v>
      </c>
      <c r="C94" s="157" t="s">
        <v>1</v>
      </c>
      <c r="D94" s="159"/>
      <c r="E94" s="159"/>
      <c r="F94" s="159">
        <v>60.35</v>
      </c>
      <c r="G94" s="160"/>
    </row>
    <row r="95" spans="1:8" ht="33">
      <c r="A95" s="160"/>
      <c r="B95" s="160"/>
      <c r="C95" s="157"/>
      <c r="D95" s="159"/>
      <c r="E95" s="159"/>
      <c r="F95" s="159"/>
      <c r="G95" s="160"/>
      <c r="H95" s="34" t="s">
        <v>925</v>
      </c>
    </row>
    <row r="96" spans="1:8" ht="42.75">
      <c r="A96" s="160" t="s">
        <v>974</v>
      </c>
      <c r="B96" s="160" t="s">
        <v>2579</v>
      </c>
      <c r="C96" s="157" t="s">
        <v>1</v>
      </c>
      <c r="D96" s="159">
        <v>100</v>
      </c>
      <c r="E96" s="159">
        <v>63.21</v>
      </c>
      <c r="F96" s="159"/>
      <c r="G96" s="160" t="s">
        <v>2</v>
      </c>
      <c r="H96" s="34" t="s">
        <v>925</v>
      </c>
    </row>
    <row r="97" spans="1:8" ht="33">
      <c r="A97" s="160">
        <v>1</v>
      </c>
      <c r="B97" s="160" t="s">
        <v>929</v>
      </c>
      <c r="C97" s="157" t="s">
        <v>927</v>
      </c>
      <c r="D97" s="159">
        <v>2.88</v>
      </c>
      <c r="E97" s="159">
        <v>1388.4</v>
      </c>
      <c r="F97" s="159">
        <v>3998.59</v>
      </c>
      <c r="G97" s="160" t="s">
        <v>2</v>
      </c>
      <c r="H97" s="34" t="s">
        <v>925</v>
      </c>
    </row>
    <row r="98" spans="1:8" ht="33">
      <c r="A98" s="160">
        <v>2</v>
      </c>
      <c r="B98" s="160" t="s">
        <v>4046</v>
      </c>
      <c r="C98" s="157" t="s">
        <v>927</v>
      </c>
      <c r="D98" s="159">
        <v>2.88</v>
      </c>
      <c r="E98" s="159">
        <v>742.33</v>
      </c>
      <c r="F98" s="159">
        <v>2137.91</v>
      </c>
      <c r="G98" s="160" t="s">
        <v>2</v>
      </c>
      <c r="H98" s="34" t="s">
        <v>925</v>
      </c>
    </row>
    <row r="99" spans="1:8" ht="33">
      <c r="A99" s="160">
        <v>3</v>
      </c>
      <c r="B99" s="160" t="s">
        <v>931</v>
      </c>
      <c r="C99" s="157" t="s">
        <v>14</v>
      </c>
      <c r="D99" s="159">
        <v>1</v>
      </c>
      <c r="E99" s="159">
        <v>184.1</v>
      </c>
      <c r="F99" s="159">
        <v>184.1</v>
      </c>
      <c r="G99" s="160" t="s">
        <v>2</v>
      </c>
      <c r="H99" s="34" t="s">
        <v>925</v>
      </c>
    </row>
    <row r="100" spans="1:8" ht="33">
      <c r="A100" s="160"/>
      <c r="B100" s="160" t="s">
        <v>933</v>
      </c>
      <c r="C100" s="157" t="s">
        <v>1</v>
      </c>
      <c r="D100" s="159">
        <v>100</v>
      </c>
      <c r="E100" s="159"/>
      <c r="F100" s="159">
        <v>6320.6</v>
      </c>
      <c r="G100" s="160"/>
      <c r="H100" s="34" t="s">
        <v>925</v>
      </c>
    </row>
    <row r="101" spans="1:8" ht="33">
      <c r="A101" s="160"/>
      <c r="B101" s="160" t="s">
        <v>934</v>
      </c>
      <c r="C101" s="157" t="s">
        <v>1</v>
      </c>
      <c r="D101" s="159"/>
      <c r="E101" s="159"/>
      <c r="F101" s="159">
        <v>63.21</v>
      </c>
      <c r="G101" s="160"/>
      <c r="H101" s="34" t="s">
        <v>925</v>
      </c>
    </row>
    <row r="102" spans="1:8" ht="33">
      <c r="A102" s="160"/>
      <c r="B102" s="160"/>
      <c r="C102" s="157"/>
      <c r="D102" s="159"/>
      <c r="E102" s="159"/>
      <c r="F102" s="159"/>
      <c r="G102" s="160"/>
      <c r="H102" s="34" t="s">
        <v>925</v>
      </c>
    </row>
    <row r="103" spans="1:8" ht="28.5">
      <c r="A103" s="160" t="s">
        <v>976</v>
      </c>
      <c r="B103" s="160" t="s">
        <v>964</v>
      </c>
      <c r="C103" s="157" t="s">
        <v>1</v>
      </c>
      <c r="D103" s="159">
        <v>1</v>
      </c>
      <c r="E103" s="159">
        <v>4607.76</v>
      </c>
      <c r="F103" s="159"/>
      <c r="G103" s="160" t="s">
        <v>2</v>
      </c>
    </row>
    <row r="104" spans="1:8" ht="33">
      <c r="A104" s="160">
        <v>1</v>
      </c>
      <c r="B104" s="160" t="s">
        <v>4871</v>
      </c>
      <c r="C104" s="157" t="s">
        <v>927</v>
      </c>
      <c r="D104" s="159">
        <v>17.2</v>
      </c>
      <c r="E104" s="159">
        <v>260.08999999999997</v>
      </c>
      <c r="F104" s="159">
        <v>4473.55</v>
      </c>
      <c r="G104" s="160" t="s">
        <v>5435</v>
      </c>
      <c r="H104" s="34" t="s">
        <v>925</v>
      </c>
    </row>
    <row r="105" spans="1:8" ht="33">
      <c r="A105" s="160">
        <v>2</v>
      </c>
      <c r="B105" s="160" t="s">
        <v>955</v>
      </c>
      <c r="C105" s="157" t="s">
        <v>14</v>
      </c>
      <c r="D105" s="159">
        <v>1</v>
      </c>
      <c r="E105" s="159">
        <v>134.21</v>
      </c>
      <c r="F105" s="159">
        <v>134.21</v>
      </c>
      <c r="G105" s="160" t="s">
        <v>2</v>
      </c>
      <c r="H105" s="34" t="s">
        <v>925</v>
      </c>
    </row>
    <row r="106" spans="1:8" ht="33">
      <c r="A106" s="160"/>
      <c r="B106" s="160" t="s">
        <v>933</v>
      </c>
      <c r="C106" s="157" t="s">
        <v>1</v>
      </c>
      <c r="D106" s="159">
        <v>1</v>
      </c>
      <c r="E106" s="159"/>
      <c r="F106" s="159">
        <v>4607.76</v>
      </c>
      <c r="G106" s="160"/>
      <c r="H106" s="34" t="s">
        <v>925</v>
      </c>
    </row>
    <row r="107" spans="1:8" ht="33">
      <c r="A107" s="160"/>
      <c r="B107" s="160" t="s">
        <v>934</v>
      </c>
      <c r="C107" s="157" t="s">
        <v>1</v>
      </c>
      <c r="D107" s="159"/>
      <c r="E107" s="159"/>
      <c r="F107" s="159">
        <v>4607.76</v>
      </c>
      <c r="G107" s="160"/>
      <c r="H107" s="34" t="s">
        <v>925</v>
      </c>
    </row>
    <row r="108" spans="1:8" ht="33">
      <c r="A108" s="160"/>
      <c r="B108" s="160"/>
      <c r="C108" s="157"/>
      <c r="D108" s="159"/>
      <c r="E108" s="159"/>
      <c r="F108" s="159"/>
      <c r="G108" s="160"/>
      <c r="H108" s="34" t="s">
        <v>925</v>
      </c>
    </row>
    <row r="109" spans="1:8" ht="42.75">
      <c r="A109" s="160" t="s">
        <v>978</v>
      </c>
      <c r="B109" s="160" t="s">
        <v>961</v>
      </c>
      <c r="C109" s="157" t="s">
        <v>1</v>
      </c>
      <c r="D109" s="159">
        <v>100</v>
      </c>
      <c r="E109" s="159">
        <v>439.12</v>
      </c>
      <c r="F109" s="159"/>
      <c r="G109" s="160" t="s">
        <v>2</v>
      </c>
    </row>
    <row r="110" spans="1:8" ht="33">
      <c r="A110" s="160">
        <v>1</v>
      </c>
      <c r="B110" s="160" t="s">
        <v>941</v>
      </c>
      <c r="C110" s="157" t="s">
        <v>927</v>
      </c>
      <c r="D110" s="159">
        <v>15</v>
      </c>
      <c r="E110" s="159">
        <v>319.33</v>
      </c>
      <c r="F110" s="159">
        <v>4789.95</v>
      </c>
      <c r="G110" s="160" t="s">
        <v>2</v>
      </c>
      <c r="H110" s="34" t="s">
        <v>925</v>
      </c>
    </row>
    <row r="111" spans="1:8" ht="33">
      <c r="A111" s="160">
        <v>2</v>
      </c>
      <c r="B111" s="160" t="s">
        <v>943</v>
      </c>
      <c r="C111" s="157" t="s">
        <v>927</v>
      </c>
      <c r="D111" s="159">
        <v>30</v>
      </c>
      <c r="E111" s="159">
        <v>281.38</v>
      </c>
      <c r="F111" s="159">
        <v>8441.4</v>
      </c>
      <c r="G111" s="160" t="s">
        <v>2</v>
      </c>
      <c r="H111" s="34" t="s">
        <v>925</v>
      </c>
    </row>
    <row r="112" spans="1:8" ht="33">
      <c r="A112" s="160">
        <v>3</v>
      </c>
      <c r="B112" s="160" t="s">
        <v>945</v>
      </c>
      <c r="C112" s="157" t="s">
        <v>927</v>
      </c>
      <c r="D112" s="159">
        <v>15</v>
      </c>
      <c r="E112" s="159">
        <v>371.17</v>
      </c>
      <c r="F112" s="159">
        <v>5567.55</v>
      </c>
      <c r="G112" s="160" t="s">
        <v>2</v>
      </c>
      <c r="H112" s="34" t="s">
        <v>925</v>
      </c>
    </row>
    <row r="113" spans="1:8" ht="33">
      <c r="A113" s="160">
        <v>4</v>
      </c>
      <c r="B113" s="160" t="s">
        <v>947</v>
      </c>
      <c r="C113" s="157" t="s">
        <v>927</v>
      </c>
      <c r="D113" s="159">
        <v>30</v>
      </c>
      <c r="E113" s="159">
        <v>371.17</v>
      </c>
      <c r="F113" s="159">
        <v>11135.1</v>
      </c>
      <c r="G113" s="160" t="s">
        <v>2</v>
      </c>
      <c r="H113" s="34" t="s">
        <v>925</v>
      </c>
    </row>
    <row r="114" spans="1:8" ht="33">
      <c r="A114" s="160">
        <v>5</v>
      </c>
      <c r="B114" s="160" t="s">
        <v>4871</v>
      </c>
      <c r="C114" s="157" t="s">
        <v>927</v>
      </c>
      <c r="D114" s="159">
        <v>15</v>
      </c>
      <c r="E114" s="159">
        <v>260.08999999999997</v>
      </c>
      <c r="F114" s="159">
        <v>3901.35</v>
      </c>
      <c r="G114" s="160" t="s">
        <v>5435</v>
      </c>
      <c r="H114" s="34" t="s">
        <v>925</v>
      </c>
    </row>
    <row r="115" spans="1:8" ht="33">
      <c r="A115" s="160">
        <v>6</v>
      </c>
      <c r="B115" s="160" t="s">
        <v>929</v>
      </c>
      <c r="C115" s="157" t="s">
        <v>927</v>
      </c>
      <c r="D115" s="159">
        <v>5</v>
      </c>
      <c r="E115" s="159">
        <v>1388.4</v>
      </c>
      <c r="F115" s="159">
        <v>6942</v>
      </c>
      <c r="G115" s="160" t="s">
        <v>2</v>
      </c>
      <c r="H115" s="34" t="s">
        <v>925</v>
      </c>
    </row>
    <row r="116" spans="1:8" ht="33">
      <c r="A116" s="160">
        <v>7</v>
      </c>
      <c r="B116" s="160" t="s">
        <v>4869</v>
      </c>
      <c r="C116" s="157" t="s">
        <v>927</v>
      </c>
      <c r="D116" s="159">
        <v>5</v>
      </c>
      <c r="E116" s="159">
        <v>371.17</v>
      </c>
      <c r="F116" s="159">
        <v>1855.85</v>
      </c>
      <c r="G116" s="160" t="s">
        <v>5434</v>
      </c>
      <c r="H116" s="34" t="s">
        <v>925</v>
      </c>
    </row>
    <row r="117" spans="1:8" ht="33">
      <c r="A117" s="160">
        <v>8</v>
      </c>
      <c r="B117" s="160" t="s">
        <v>931</v>
      </c>
      <c r="C117" s="157" t="s">
        <v>14</v>
      </c>
      <c r="D117" s="159">
        <v>1</v>
      </c>
      <c r="E117" s="159">
        <v>1279</v>
      </c>
      <c r="F117" s="159">
        <v>1279</v>
      </c>
      <c r="G117" s="160" t="s">
        <v>2</v>
      </c>
      <c r="H117" s="34" t="s">
        <v>925</v>
      </c>
    </row>
    <row r="118" spans="1:8" ht="33">
      <c r="A118" s="160"/>
      <c r="B118" s="160" t="s">
        <v>933</v>
      </c>
      <c r="C118" s="157" t="s">
        <v>1</v>
      </c>
      <c r="D118" s="159">
        <v>100</v>
      </c>
      <c r="E118" s="159"/>
      <c r="F118" s="159">
        <v>43912.2</v>
      </c>
      <c r="G118" s="160"/>
      <c r="H118" s="34" t="s">
        <v>925</v>
      </c>
    </row>
    <row r="119" spans="1:8" ht="33">
      <c r="A119" s="160"/>
      <c r="B119" s="160" t="s">
        <v>934</v>
      </c>
      <c r="C119" s="157" t="s">
        <v>1</v>
      </c>
      <c r="D119" s="159"/>
      <c r="E119" s="159"/>
      <c r="F119" s="159">
        <v>439.12</v>
      </c>
      <c r="G119" s="160"/>
      <c r="H119" s="34" t="s">
        <v>925</v>
      </c>
    </row>
    <row r="120" spans="1:8" ht="33">
      <c r="A120" s="160"/>
      <c r="B120" s="160"/>
      <c r="C120" s="157"/>
      <c r="D120" s="159"/>
      <c r="E120" s="159"/>
      <c r="F120" s="159"/>
      <c r="G120" s="160"/>
      <c r="H120" s="34" t="s">
        <v>925</v>
      </c>
    </row>
    <row r="121" spans="1:8" ht="28.5">
      <c r="A121" s="160" t="s">
        <v>980</v>
      </c>
      <c r="B121" s="160" t="s">
        <v>985</v>
      </c>
      <c r="C121" s="157" t="s">
        <v>1</v>
      </c>
      <c r="D121" s="159">
        <v>1</v>
      </c>
      <c r="E121" s="159">
        <v>600.08000000000004</v>
      </c>
      <c r="F121" s="159"/>
      <c r="G121" s="160" t="s">
        <v>2</v>
      </c>
    </row>
    <row r="122" spans="1:8" ht="33">
      <c r="A122" s="160">
        <v>1</v>
      </c>
      <c r="B122" s="160" t="s">
        <v>4871</v>
      </c>
      <c r="C122" s="157" t="s">
        <v>927</v>
      </c>
      <c r="D122" s="159">
        <v>2.2400000000000002</v>
      </c>
      <c r="E122" s="159">
        <v>260.08999999999997</v>
      </c>
      <c r="F122" s="159">
        <v>582.6</v>
      </c>
      <c r="G122" s="160" t="s">
        <v>5435</v>
      </c>
      <c r="H122" s="34" t="s">
        <v>925</v>
      </c>
    </row>
    <row r="123" spans="1:8" ht="33">
      <c r="A123" s="160">
        <v>2</v>
      </c>
      <c r="B123" s="160" t="s">
        <v>931</v>
      </c>
      <c r="C123" s="157" t="s">
        <v>14</v>
      </c>
      <c r="D123" s="159">
        <v>1</v>
      </c>
      <c r="E123" s="159">
        <v>17.48</v>
      </c>
      <c r="F123" s="159">
        <v>17.48</v>
      </c>
      <c r="G123" s="160" t="s">
        <v>2</v>
      </c>
      <c r="H123" s="34" t="s">
        <v>925</v>
      </c>
    </row>
    <row r="124" spans="1:8" ht="33">
      <c r="A124" s="160"/>
      <c r="B124" s="160" t="s">
        <v>933</v>
      </c>
      <c r="C124" s="157" t="s">
        <v>1</v>
      </c>
      <c r="D124" s="159">
        <v>1</v>
      </c>
      <c r="E124" s="159"/>
      <c r="F124" s="159">
        <v>600.08000000000004</v>
      </c>
      <c r="G124" s="160"/>
      <c r="H124" s="34" t="s">
        <v>925</v>
      </c>
    </row>
    <row r="125" spans="1:8" ht="33">
      <c r="A125" s="160"/>
      <c r="B125" s="160" t="s">
        <v>934</v>
      </c>
      <c r="C125" s="157" t="s">
        <v>1</v>
      </c>
      <c r="D125" s="159"/>
      <c r="E125" s="159"/>
      <c r="F125" s="159">
        <v>600.08000000000004</v>
      </c>
      <c r="G125" s="160"/>
      <c r="H125" s="34" t="s">
        <v>925</v>
      </c>
    </row>
    <row r="126" spans="1:8" ht="33">
      <c r="A126" s="160"/>
      <c r="B126" s="160"/>
      <c r="C126" s="157"/>
      <c r="D126" s="159"/>
      <c r="E126" s="159"/>
      <c r="F126" s="159"/>
      <c r="G126" s="160"/>
      <c r="H126" s="34" t="s">
        <v>925</v>
      </c>
    </row>
    <row r="127" spans="1:8" ht="28.5">
      <c r="A127" s="160" t="s">
        <v>982</v>
      </c>
      <c r="B127" s="160" t="s">
        <v>2214</v>
      </c>
      <c r="C127" s="157" t="s">
        <v>1</v>
      </c>
      <c r="D127" s="159">
        <v>1</v>
      </c>
      <c r="E127" s="159">
        <v>1382.35</v>
      </c>
      <c r="F127" s="159"/>
      <c r="G127" s="160" t="s">
        <v>2</v>
      </c>
    </row>
    <row r="128" spans="1:8" ht="33">
      <c r="A128" s="160">
        <v>1</v>
      </c>
      <c r="B128" s="160" t="s">
        <v>4874</v>
      </c>
      <c r="C128" s="157" t="s">
        <v>927</v>
      </c>
      <c r="D128" s="159">
        <v>2.58</v>
      </c>
      <c r="E128" s="159">
        <v>520.19000000000005</v>
      </c>
      <c r="F128" s="159">
        <v>1342.09</v>
      </c>
      <c r="G128" s="160" t="s">
        <v>5436</v>
      </c>
      <c r="H128" s="34" t="s">
        <v>925</v>
      </c>
    </row>
    <row r="129" spans="1:8" ht="33">
      <c r="A129" s="160">
        <v>2</v>
      </c>
      <c r="B129" s="160" t="s">
        <v>931</v>
      </c>
      <c r="C129" s="157" t="s">
        <v>14</v>
      </c>
      <c r="D129" s="159">
        <v>1</v>
      </c>
      <c r="E129" s="159">
        <v>40.26</v>
      </c>
      <c r="F129" s="159">
        <v>40.26</v>
      </c>
      <c r="G129" s="160" t="s">
        <v>2</v>
      </c>
      <c r="H129" s="34" t="s">
        <v>925</v>
      </c>
    </row>
    <row r="130" spans="1:8" ht="33">
      <c r="A130" s="160"/>
      <c r="B130" s="160" t="s">
        <v>933</v>
      </c>
      <c r="C130" s="157" t="s">
        <v>1</v>
      </c>
      <c r="D130" s="159">
        <v>1</v>
      </c>
      <c r="E130" s="159"/>
      <c r="F130" s="159">
        <v>1382.35</v>
      </c>
      <c r="G130" s="160"/>
      <c r="H130" s="34" t="s">
        <v>925</v>
      </c>
    </row>
    <row r="131" spans="1:8" ht="33">
      <c r="A131" s="160"/>
      <c r="B131" s="160" t="s">
        <v>934</v>
      </c>
      <c r="C131" s="157" t="s">
        <v>1</v>
      </c>
      <c r="D131" s="159"/>
      <c r="E131" s="159"/>
      <c r="F131" s="159">
        <v>1382.35</v>
      </c>
      <c r="G131" s="160"/>
      <c r="H131" s="34" t="s">
        <v>925</v>
      </c>
    </row>
    <row r="132" spans="1:8" ht="33">
      <c r="A132" s="160"/>
      <c r="B132" s="160"/>
      <c r="C132" s="157"/>
      <c r="D132" s="159"/>
      <c r="E132" s="159"/>
      <c r="F132" s="159"/>
      <c r="G132" s="160"/>
      <c r="H132" s="34" t="s">
        <v>925</v>
      </c>
    </row>
    <row r="133" spans="1:8" ht="42.75">
      <c r="A133" s="160" t="s">
        <v>984</v>
      </c>
      <c r="B133" s="160" t="s">
        <v>936</v>
      </c>
      <c r="C133" s="157" t="s">
        <v>0</v>
      </c>
      <c r="D133" s="159">
        <v>100</v>
      </c>
      <c r="E133" s="159">
        <v>844.82</v>
      </c>
      <c r="F133" s="159"/>
      <c r="G133" s="160" t="s">
        <v>4365</v>
      </c>
      <c r="H133" s="34" t="s">
        <v>925</v>
      </c>
    </row>
    <row r="134" spans="1:8" ht="33">
      <c r="A134" s="160">
        <v>1</v>
      </c>
      <c r="B134" s="160" t="s">
        <v>926</v>
      </c>
      <c r="C134" s="157" t="s">
        <v>927</v>
      </c>
      <c r="D134" s="159">
        <v>31.92</v>
      </c>
      <c r="E134" s="159">
        <v>1203.28</v>
      </c>
      <c r="F134" s="159">
        <v>38408.699999999997</v>
      </c>
      <c r="G134" s="160" t="s">
        <v>2</v>
      </c>
      <c r="H134" s="34" t="s">
        <v>925</v>
      </c>
    </row>
    <row r="135" spans="1:8" ht="33">
      <c r="A135" s="160">
        <v>2</v>
      </c>
      <c r="B135" s="160" t="s">
        <v>929</v>
      </c>
      <c r="C135" s="157" t="s">
        <v>927</v>
      </c>
      <c r="D135" s="159">
        <v>6.65</v>
      </c>
      <c r="E135" s="159">
        <v>1388.4</v>
      </c>
      <c r="F135" s="159">
        <v>9232.86</v>
      </c>
      <c r="G135" s="160" t="s">
        <v>2</v>
      </c>
      <c r="H135" s="34" t="s">
        <v>925</v>
      </c>
    </row>
    <row r="136" spans="1:8" ht="33">
      <c r="A136" s="160">
        <v>3</v>
      </c>
      <c r="B136" s="160" t="s">
        <v>4869</v>
      </c>
      <c r="C136" s="157" t="s">
        <v>927</v>
      </c>
      <c r="D136" s="159">
        <v>38.57</v>
      </c>
      <c r="E136" s="159">
        <v>371.17</v>
      </c>
      <c r="F136" s="159">
        <v>14316.03</v>
      </c>
      <c r="G136" s="160" t="s">
        <v>5434</v>
      </c>
      <c r="H136" s="34" t="s">
        <v>925</v>
      </c>
    </row>
    <row r="137" spans="1:8" ht="33">
      <c r="A137" s="160">
        <v>4</v>
      </c>
      <c r="B137" s="160" t="s">
        <v>4871</v>
      </c>
      <c r="C137" s="157" t="s">
        <v>927</v>
      </c>
      <c r="D137" s="159">
        <v>77.14</v>
      </c>
      <c r="E137" s="159">
        <v>260.08999999999997</v>
      </c>
      <c r="F137" s="159">
        <v>20063.34</v>
      </c>
      <c r="G137" s="160" t="s">
        <v>5435</v>
      </c>
      <c r="H137" s="34" t="s">
        <v>925</v>
      </c>
    </row>
    <row r="138" spans="1:8" ht="33">
      <c r="A138" s="160">
        <v>5</v>
      </c>
      <c r="B138" s="160" t="s">
        <v>931</v>
      </c>
      <c r="C138" s="157" t="s">
        <v>14</v>
      </c>
      <c r="D138" s="159">
        <v>1</v>
      </c>
      <c r="E138" s="159">
        <v>2460.63</v>
      </c>
      <c r="F138" s="159">
        <v>2460.63</v>
      </c>
      <c r="G138" s="160" t="s">
        <v>2</v>
      </c>
      <c r="H138" s="34" t="s">
        <v>925</v>
      </c>
    </row>
    <row r="139" spans="1:8" ht="16.5">
      <c r="A139" s="160"/>
      <c r="B139" s="160" t="s">
        <v>933</v>
      </c>
      <c r="C139" s="157" t="s">
        <v>0</v>
      </c>
      <c r="D139" s="159">
        <v>100</v>
      </c>
      <c r="E139" s="159"/>
      <c r="F139" s="159">
        <v>84481.56</v>
      </c>
      <c r="G139" s="160"/>
    </row>
    <row r="140" spans="1:8" ht="33">
      <c r="A140" s="160"/>
      <c r="B140" s="160" t="s">
        <v>934</v>
      </c>
      <c r="C140" s="157" t="s">
        <v>0</v>
      </c>
      <c r="D140" s="159"/>
      <c r="E140" s="159"/>
      <c r="F140" s="159">
        <v>844.82</v>
      </c>
      <c r="G140" s="160"/>
      <c r="H140" s="34" t="s">
        <v>925</v>
      </c>
    </row>
    <row r="141" spans="1:8" ht="33">
      <c r="A141" s="160"/>
      <c r="B141" s="160"/>
      <c r="C141" s="157"/>
      <c r="D141" s="159"/>
      <c r="E141" s="159"/>
      <c r="F141" s="159"/>
      <c r="G141" s="160"/>
      <c r="H141" s="34" t="s">
        <v>925</v>
      </c>
    </row>
    <row r="142" spans="1:8" ht="42.75">
      <c r="A142" s="160" t="s">
        <v>987</v>
      </c>
      <c r="B142" s="160" t="s">
        <v>923</v>
      </c>
      <c r="C142" s="157" t="s">
        <v>0</v>
      </c>
      <c r="D142" s="159">
        <v>100</v>
      </c>
      <c r="E142" s="159">
        <v>1303.92</v>
      </c>
      <c r="F142" s="159"/>
      <c r="G142" s="160" t="s">
        <v>4365</v>
      </c>
      <c r="H142" s="34" t="s">
        <v>925</v>
      </c>
    </row>
    <row r="143" spans="1:8" ht="33">
      <c r="A143" s="160">
        <v>1</v>
      </c>
      <c r="B143" s="160" t="s">
        <v>926</v>
      </c>
      <c r="C143" s="157" t="s">
        <v>927</v>
      </c>
      <c r="D143" s="159">
        <v>53.2</v>
      </c>
      <c r="E143" s="159">
        <v>1203.28</v>
      </c>
      <c r="F143" s="159">
        <v>64014.5</v>
      </c>
      <c r="G143" s="160" t="s">
        <v>2</v>
      </c>
      <c r="H143" s="34" t="s">
        <v>925</v>
      </c>
    </row>
    <row r="144" spans="1:8" ht="33">
      <c r="A144" s="160">
        <v>2</v>
      </c>
      <c r="B144" s="160" t="s">
        <v>929</v>
      </c>
      <c r="C144" s="157" t="s">
        <v>927</v>
      </c>
      <c r="D144" s="159">
        <v>6.65</v>
      </c>
      <c r="E144" s="159">
        <v>1388.4</v>
      </c>
      <c r="F144" s="159">
        <v>9232.86</v>
      </c>
      <c r="G144" s="160" t="s">
        <v>2</v>
      </c>
      <c r="H144" s="34" t="s">
        <v>925</v>
      </c>
    </row>
    <row r="145" spans="1:8" ht="33">
      <c r="A145" s="160">
        <v>3</v>
      </c>
      <c r="B145" s="160" t="s">
        <v>4869</v>
      </c>
      <c r="C145" s="157" t="s">
        <v>927</v>
      </c>
      <c r="D145" s="159">
        <v>59.85</v>
      </c>
      <c r="E145" s="159">
        <v>371.17</v>
      </c>
      <c r="F145" s="159">
        <v>22214.52</v>
      </c>
      <c r="G145" s="160" t="s">
        <v>5434</v>
      </c>
      <c r="H145" s="34" t="s">
        <v>925</v>
      </c>
    </row>
    <row r="146" spans="1:8" ht="16.5">
      <c r="A146" s="160">
        <v>4</v>
      </c>
      <c r="B146" s="160" t="s">
        <v>4871</v>
      </c>
      <c r="C146" s="157" t="s">
        <v>927</v>
      </c>
      <c r="D146" s="159">
        <v>119.7</v>
      </c>
      <c r="E146" s="159">
        <v>260.08999999999997</v>
      </c>
      <c r="F146" s="159">
        <v>31132.77</v>
      </c>
      <c r="G146" s="160" t="s">
        <v>5435</v>
      </c>
    </row>
    <row r="147" spans="1:8" ht="33">
      <c r="A147" s="160">
        <v>5</v>
      </c>
      <c r="B147" s="160" t="s">
        <v>931</v>
      </c>
      <c r="C147" s="157" t="s">
        <v>14</v>
      </c>
      <c r="D147" s="159">
        <v>1</v>
      </c>
      <c r="E147" s="159">
        <v>3797.84</v>
      </c>
      <c r="F147" s="159">
        <v>3797.84</v>
      </c>
      <c r="G147" s="160" t="s">
        <v>2</v>
      </c>
      <c r="H147" s="34" t="s">
        <v>925</v>
      </c>
    </row>
    <row r="148" spans="1:8" ht="33">
      <c r="A148" s="160"/>
      <c r="B148" s="160" t="s">
        <v>933</v>
      </c>
      <c r="C148" s="157" t="s">
        <v>0</v>
      </c>
      <c r="D148" s="159">
        <v>100</v>
      </c>
      <c r="E148" s="159"/>
      <c r="F148" s="159">
        <v>130392.49</v>
      </c>
      <c r="G148" s="160"/>
      <c r="H148" s="34" t="s">
        <v>925</v>
      </c>
    </row>
    <row r="149" spans="1:8" ht="33">
      <c r="A149" s="160"/>
      <c r="B149" s="160" t="s">
        <v>934</v>
      </c>
      <c r="C149" s="157" t="s">
        <v>0</v>
      </c>
      <c r="D149" s="159"/>
      <c r="E149" s="159"/>
      <c r="F149" s="159">
        <v>1303.92</v>
      </c>
      <c r="G149" s="160"/>
      <c r="H149" s="34" t="s">
        <v>925</v>
      </c>
    </row>
    <row r="150" spans="1:8" ht="33">
      <c r="A150" s="160"/>
      <c r="B150" s="160"/>
      <c r="C150" s="157"/>
      <c r="D150" s="159"/>
      <c r="E150" s="159"/>
      <c r="F150" s="159"/>
      <c r="G150" s="160"/>
      <c r="H150" s="34" t="s">
        <v>925</v>
      </c>
    </row>
    <row r="151" spans="1:8" ht="42.75">
      <c r="A151" s="160" t="s">
        <v>989</v>
      </c>
      <c r="B151" s="160" t="s">
        <v>958</v>
      </c>
      <c r="C151" s="157" t="s">
        <v>1</v>
      </c>
      <c r="D151" s="159">
        <v>1</v>
      </c>
      <c r="E151" s="159">
        <v>4417.55</v>
      </c>
      <c r="F151" s="159"/>
      <c r="G151" s="160" t="s">
        <v>4365</v>
      </c>
      <c r="H151" s="34" t="s">
        <v>925</v>
      </c>
    </row>
    <row r="152" spans="1:8" ht="16.5">
      <c r="A152" s="160">
        <v>1</v>
      </c>
      <c r="B152" s="160" t="s">
        <v>4871</v>
      </c>
      <c r="C152" s="157" t="s">
        <v>927</v>
      </c>
      <c r="D152" s="159">
        <v>16.489999999999998</v>
      </c>
      <c r="E152" s="159">
        <v>260.08999999999997</v>
      </c>
      <c r="F152" s="159">
        <v>4288.88</v>
      </c>
      <c r="G152" s="160" t="s">
        <v>5435</v>
      </c>
    </row>
    <row r="153" spans="1:8" ht="33">
      <c r="A153" s="160">
        <v>2</v>
      </c>
      <c r="B153" s="160" t="s">
        <v>955</v>
      </c>
      <c r="C153" s="157" t="s">
        <v>14</v>
      </c>
      <c r="D153" s="159">
        <v>1</v>
      </c>
      <c r="E153" s="159">
        <v>128.66999999999999</v>
      </c>
      <c r="F153" s="159">
        <v>128.66999999999999</v>
      </c>
      <c r="G153" s="160" t="s">
        <v>2</v>
      </c>
      <c r="H153" s="34" t="s">
        <v>925</v>
      </c>
    </row>
    <row r="154" spans="1:8" ht="33">
      <c r="A154" s="160"/>
      <c r="B154" s="160" t="s">
        <v>933</v>
      </c>
      <c r="C154" s="157" t="s">
        <v>1</v>
      </c>
      <c r="D154" s="159">
        <v>1</v>
      </c>
      <c r="E154" s="159"/>
      <c r="F154" s="159">
        <v>4417.55</v>
      </c>
      <c r="G154" s="160"/>
      <c r="H154" s="34" t="s">
        <v>925</v>
      </c>
    </row>
    <row r="155" spans="1:8" ht="33">
      <c r="A155" s="160"/>
      <c r="B155" s="160" t="s">
        <v>934</v>
      </c>
      <c r="C155" s="157" t="s">
        <v>1</v>
      </c>
      <c r="D155" s="159"/>
      <c r="E155" s="159"/>
      <c r="F155" s="159">
        <v>4417.55</v>
      </c>
      <c r="G155" s="160"/>
      <c r="H155" s="34" t="s">
        <v>925</v>
      </c>
    </row>
    <row r="156" spans="1:8" ht="33">
      <c r="A156" s="160"/>
      <c r="B156" s="160"/>
      <c r="C156" s="157"/>
      <c r="D156" s="159"/>
      <c r="E156" s="159"/>
      <c r="F156" s="159"/>
      <c r="G156" s="160"/>
      <c r="H156" s="34" t="s">
        <v>925</v>
      </c>
    </row>
    <row r="157" spans="1:8" ht="42.75">
      <c r="A157" s="160" t="s">
        <v>992</v>
      </c>
      <c r="B157" s="160" t="s">
        <v>961</v>
      </c>
      <c r="C157" s="157" t="s">
        <v>1</v>
      </c>
      <c r="D157" s="159">
        <v>100</v>
      </c>
      <c r="E157" s="159">
        <v>584.03</v>
      </c>
      <c r="F157" s="159"/>
      <c r="G157" s="160" t="s">
        <v>4365</v>
      </c>
      <c r="H157" s="34" t="s">
        <v>925</v>
      </c>
    </row>
    <row r="158" spans="1:8" ht="16.5">
      <c r="A158" s="160">
        <v>1</v>
      </c>
      <c r="B158" s="160" t="s">
        <v>941</v>
      </c>
      <c r="C158" s="157" t="s">
        <v>927</v>
      </c>
      <c r="D158" s="159">
        <v>19.95</v>
      </c>
      <c r="E158" s="159">
        <v>319.33</v>
      </c>
      <c r="F158" s="159">
        <v>6370.63</v>
      </c>
      <c r="G158" s="160" t="s">
        <v>2</v>
      </c>
    </row>
    <row r="159" spans="1:8" ht="33">
      <c r="A159" s="160">
        <v>2</v>
      </c>
      <c r="B159" s="160" t="s">
        <v>943</v>
      </c>
      <c r="C159" s="157" t="s">
        <v>927</v>
      </c>
      <c r="D159" s="159">
        <v>39.9</v>
      </c>
      <c r="E159" s="159">
        <v>281.38</v>
      </c>
      <c r="F159" s="159">
        <v>11227.06</v>
      </c>
      <c r="G159" s="160" t="s">
        <v>2</v>
      </c>
      <c r="H159" s="34" t="s">
        <v>925</v>
      </c>
    </row>
    <row r="160" spans="1:8" ht="33">
      <c r="A160" s="160">
        <v>3</v>
      </c>
      <c r="B160" s="160" t="s">
        <v>945</v>
      </c>
      <c r="C160" s="157" t="s">
        <v>927</v>
      </c>
      <c r="D160" s="159">
        <v>19.95</v>
      </c>
      <c r="E160" s="159">
        <v>371.17</v>
      </c>
      <c r="F160" s="159">
        <v>7404.84</v>
      </c>
      <c r="G160" s="160" t="s">
        <v>2</v>
      </c>
      <c r="H160" s="34" t="s">
        <v>925</v>
      </c>
    </row>
    <row r="161" spans="1:8" ht="33">
      <c r="A161" s="160">
        <v>4</v>
      </c>
      <c r="B161" s="160" t="s">
        <v>947</v>
      </c>
      <c r="C161" s="157" t="s">
        <v>927</v>
      </c>
      <c r="D161" s="159">
        <v>39.9</v>
      </c>
      <c r="E161" s="159">
        <v>371.17</v>
      </c>
      <c r="F161" s="159">
        <v>14809.68</v>
      </c>
      <c r="G161" s="160" t="s">
        <v>2</v>
      </c>
      <c r="H161" s="34" t="s">
        <v>925</v>
      </c>
    </row>
    <row r="162" spans="1:8" ht="33">
      <c r="A162" s="160">
        <v>5</v>
      </c>
      <c r="B162" s="160" t="s">
        <v>4871</v>
      </c>
      <c r="C162" s="157" t="s">
        <v>927</v>
      </c>
      <c r="D162" s="159">
        <v>19.95</v>
      </c>
      <c r="E162" s="159">
        <v>260.08999999999997</v>
      </c>
      <c r="F162" s="159">
        <v>5188.8</v>
      </c>
      <c r="G162" s="160" t="s">
        <v>5435</v>
      </c>
      <c r="H162" s="34" t="s">
        <v>925</v>
      </c>
    </row>
    <row r="163" spans="1:8" ht="33">
      <c r="A163" s="160">
        <v>6</v>
      </c>
      <c r="B163" s="160" t="s">
        <v>929</v>
      </c>
      <c r="C163" s="157" t="s">
        <v>927</v>
      </c>
      <c r="D163" s="159">
        <v>6.65</v>
      </c>
      <c r="E163" s="159">
        <v>1388.4</v>
      </c>
      <c r="F163" s="159">
        <v>9232.86</v>
      </c>
      <c r="G163" s="160" t="s">
        <v>2</v>
      </c>
      <c r="H163" s="34" t="s">
        <v>925</v>
      </c>
    </row>
    <row r="164" spans="1:8" ht="33">
      <c r="A164" s="160">
        <v>7</v>
      </c>
      <c r="B164" s="160" t="s">
        <v>4869</v>
      </c>
      <c r="C164" s="157" t="s">
        <v>927</v>
      </c>
      <c r="D164" s="159">
        <v>6.65</v>
      </c>
      <c r="E164" s="159">
        <v>371.17</v>
      </c>
      <c r="F164" s="159">
        <v>2468.2800000000002</v>
      </c>
      <c r="G164" s="160" t="s">
        <v>5434</v>
      </c>
      <c r="H164" s="34" t="s">
        <v>925</v>
      </c>
    </row>
    <row r="165" spans="1:8" ht="33">
      <c r="A165" s="160">
        <v>8</v>
      </c>
      <c r="B165" s="160" t="s">
        <v>931</v>
      </c>
      <c r="C165" s="157" t="s">
        <v>14</v>
      </c>
      <c r="D165" s="159">
        <v>1</v>
      </c>
      <c r="E165" s="159">
        <v>1701.06</v>
      </c>
      <c r="F165" s="159">
        <v>1701.06</v>
      </c>
      <c r="G165" s="160" t="s">
        <v>2</v>
      </c>
      <c r="H165" s="34" t="s">
        <v>925</v>
      </c>
    </row>
    <row r="166" spans="1:8" ht="16.5">
      <c r="A166" s="160"/>
      <c r="B166" s="160" t="s">
        <v>933</v>
      </c>
      <c r="C166" s="157" t="s">
        <v>1</v>
      </c>
      <c r="D166" s="159">
        <v>100</v>
      </c>
      <c r="E166" s="159"/>
      <c r="F166" s="159">
        <v>58403.21</v>
      </c>
      <c r="G166" s="160"/>
    </row>
    <row r="167" spans="1:8" ht="33">
      <c r="A167" s="160"/>
      <c r="B167" s="160" t="s">
        <v>934</v>
      </c>
      <c r="C167" s="157" t="s">
        <v>1</v>
      </c>
      <c r="D167" s="159"/>
      <c r="E167" s="159"/>
      <c r="F167" s="159">
        <v>584.03</v>
      </c>
      <c r="G167" s="160"/>
      <c r="H167" s="34" t="s">
        <v>925</v>
      </c>
    </row>
    <row r="168" spans="1:8" ht="33">
      <c r="A168" s="160"/>
      <c r="B168" s="160"/>
      <c r="C168" s="157"/>
      <c r="D168" s="159"/>
      <c r="E168" s="159"/>
      <c r="F168" s="159"/>
      <c r="G168" s="160"/>
      <c r="H168" s="34" t="s">
        <v>925</v>
      </c>
    </row>
    <row r="169" spans="1:8" ht="42.75">
      <c r="A169" s="160" t="s">
        <v>994</v>
      </c>
      <c r="B169" s="160" t="s">
        <v>964</v>
      </c>
      <c r="C169" s="157" t="s">
        <v>1</v>
      </c>
      <c r="D169" s="159">
        <v>1</v>
      </c>
      <c r="E169" s="159">
        <v>6129.39</v>
      </c>
      <c r="F169" s="159"/>
      <c r="G169" s="160" t="s">
        <v>4365</v>
      </c>
      <c r="H169" s="34" t="s">
        <v>925</v>
      </c>
    </row>
    <row r="170" spans="1:8" ht="33">
      <c r="A170" s="160">
        <v>1</v>
      </c>
      <c r="B170" s="160" t="s">
        <v>4871</v>
      </c>
      <c r="C170" s="157" t="s">
        <v>927</v>
      </c>
      <c r="D170" s="159">
        <v>22.88</v>
      </c>
      <c r="E170" s="159">
        <v>260.08999999999997</v>
      </c>
      <c r="F170" s="159">
        <v>5950.86</v>
      </c>
      <c r="G170" s="160" t="s">
        <v>5435</v>
      </c>
      <c r="H170" s="34" t="s">
        <v>925</v>
      </c>
    </row>
    <row r="171" spans="1:8" ht="33">
      <c r="A171" s="160">
        <v>2</v>
      </c>
      <c r="B171" s="160" t="s">
        <v>955</v>
      </c>
      <c r="C171" s="157" t="s">
        <v>14</v>
      </c>
      <c r="D171" s="159">
        <v>1</v>
      </c>
      <c r="E171" s="159">
        <v>178.53</v>
      </c>
      <c r="F171" s="159">
        <v>178.53</v>
      </c>
      <c r="G171" s="160" t="s">
        <v>2</v>
      </c>
      <c r="H171" s="34" t="s">
        <v>925</v>
      </c>
    </row>
    <row r="172" spans="1:8" ht="33">
      <c r="A172" s="160"/>
      <c r="B172" s="160" t="s">
        <v>933</v>
      </c>
      <c r="C172" s="157" t="s">
        <v>1</v>
      </c>
      <c r="D172" s="159">
        <v>1</v>
      </c>
      <c r="E172" s="159"/>
      <c r="F172" s="159">
        <v>6129.3899999999994</v>
      </c>
      <c r="G172" s="160"/>
      <c r="H172" s="34" t="s">
        <v>925</v>
      </c>
    </row>
    <row r="173" spans="1:8" ht="33">
      <c r="A173" s="160"/>
      <c r="B173" s="160" t="s">
        <v>934</v>
      </c>
      <c r="C173" s="157" t="s">
        <v>1</v>
      </c>
      <c r="D173" s="159"/>
      <c r="E173" s="159"/>
      <c r="F173" s="159">
        <v>6129.39</v>
      </c>
      <c r="G173" s="160"/>
      <c r="H173" s="34" t="s">
        <v>925</v>
      </c>
    </row>
    <row r="174" spans="1:8" ht="16.5">
      <c r="A174" s="160"/>
      <c r="B174" s="160"/>
      <c r="C174" s="157"/>
      <c r="D174" s="159"/>
      <c r="E174" s="159"/>
      <c r="F174" s="159"/>
      <c r="G174" s="160"/>
    </row>
    <row r="175" spans="1:8" ht="42.75">
      <c r="A175" s="160" t="s">
        <v>1000</v>
      </c>
      <c r="B175" s="160" t="s">
        <v>939</v>
      </c>
      <c r="C175" s="157" t="s">
        <v>1</v>
      </c>
      <c r="D175" s="159">
        <v>100</v>
      </c>
      <c r="E175" s="159">
        <v>1736.66</v>
      </c>
      <c r="F175" s="159"/>
      <c r="G175" s="160" t="s">
        <v>4365</v>
      </c>
      <c r="H175" s="34" t="s">
        <v>925</v>
      </c>
    </row>
    <row r="176" spans="1:8" ht="33">
      <c r="A176" s="160">
        <v>1</v>
      </c>
      <c r="B176" s="160" t="s">
        <v>941</v>
      </c>
      <c r="C176" s="157" t="s">
        <v>927</v>
      </c>
      <c r="D176" s="159">
        <v>23.94</v>
      </c>
      <c r="E176" s="159">
        <v>319.33</v>
      </c>
      <c r="F176" s="159">
        <v>7644.76</v>
      </c>
      <c r="G176" s="160" t="s">
        <v>2</v>
      </c>
      <c r="H176" s="34" t="s">
        <v>925</v>
      </c>
    </row>
    <row r="177" spans="1:8" ht="33">
      <c r="A177" s="160">
        <v>2</v>
      </c>
      <c r="B177" s="160" t="s">
        <v>943</v>
      </c>
      <c r="C177" s="157" t="s">
        <v>927</v>
      </c>
      <c r="D177" s="159">
        <v>119.7</v>
      </c>
      <c r="E177" s="159">
        <v>281.38</v>
      </c>
      <c r="F177" s="159">
        <v>33681.19</v>
      </c>
      <c r="G177" s="160" t="s">
        <v>2</v>
      </c>
      <c r="H177" s="34" t="s">
        <v>925</v>
      </c>
    </row>
    <row r="178" spans="1:8" ht="33">
      <c r="A178" s="160">
        <v>3</v>
      </c>
      <c r="B178" s="160" t="s">
        <v>945</v>
      </c>
      <c r="C178" s="157" t="s">
        <v>927</v>
      </c>
      <c r="D178" s="159">
        <v>23.94</v>
      </c>
      <c r="E178" s="159">
        <v>371.17</v>
      </c>
      <c r="F178" s="159">
        <v>8885.81</v>
      </c>
      <c r="G178" s="160" t="s">
        <v>2</v>
      </c>
      <c r="H178" s="34" t="s">
        <v>925</v>
      </c>
    </row>
    <row r="179" spans="1:8" ht="33">
      <c r="A179" s="160">
        <v>4</v>
      </c>
      <c r="B179" s="160" t="s">
        <v>947</v>
      </c>
      <c r="C179" s="157" t="s">
        <v>927</v>
      </c>
      <c r="D179" s="159">
        <v>119.7</v>
      </c>
      <c r="E179" s="159">
        <v>371.17</v>
      </c>
      <c r="F179" s="159">
        <v>44429.05</v>
      </c>
      <c r="G179" s="160" t="s">
        <v>2</v>
      </c>
      <c r="H179" s="34" t="s">
        <v>925</v>
      </c>
    </row>
    <row r="180" spans="1:8" ht="33">
      <c r="A180" s="160">
        <v>5</v>
      </c>
      <c r="B180" s="160" t="s">
        <v>4871</v>
      </c>
      <c r="C180" s="157" t="s">
        <v>927</v>
      </c>
      <c r="D180" s="159">
        <v>239.4</v>
      </c>
      <c r="E180" s="159">
        <v>260.08999999999997</v>
      </c>
      <c r="F180" s="159">
        <v>62265.55</v>
      </c>
      <c r="G180" s="160" t="s">
        <v>5435</v>
      </c>
      <c r="H180" s="34" t="s">
        <v>925</v>
      </c>
    </row>
    <row r="181" spans="1:8" ht="16.5">
      <c r="A181" s="160">
        <v>6</v>
      </c>
      <c r="B181" s="160" t="s">
        <v>929</v>
      </c>
      <c r="C181" s="157" t="s">
        <v>927</v>
      </c>
      <c r="D181" s="159">
        <v>6.65</v>
      </c>
      <c r="E181" s="159">
        <v>1388.4</v>
      </c>
      <c r="F181" s="159">
        <v>9232.86</v>
      </c>
      <c r="G181" s="160" t="s">
        <v>2</v>
      </c>
    </row>
    <row r="182" spans="1:8" ht="33">
      <c r="A182" s="160">
        <v>7</v>
      </c>
      <c r="B182" s="160" t="s">
        <v>4869</v>
      </c>
      <c r="C182" s="157" t="s">
        <v>927</v>
      </c>
      <c r="D182" s="159">
        <v>6.65</v>
      </c>
      <c r="E182" s="159">
        <v>371.17</v>
      </c>
      <c r="F182" s="159">
        <v>2468.2800000000002</v>
      </c>
      <c r="G182" s="160" t="s">
        <v>5434</v>
      </c>
      <c r="H182" s="34" t="s">
        <v>925</v>
      </c>
    </row>
    <row r="183" spans="1:8" ht="33">
      <c r="A183" s="160">
        <v>8</v>
      </c>
      <c r="B183" s="160" t="s">
        <v>931</v>
      </c>
      <c r="C183" s="157" t="s">
        <v>14</v>
      </c>
      <c r="D183" s="159">
        <v>1</v>
      </c>
      <c r="E183" s="159">
        <v>5058.2299999999996</v>
      </c>
      <c r="F183" s="159">
        <v>5058.2299999999996</v>
      </c>
      <c r="G183" s="160" t="s">
        <v>2</v>
      </c>
      <c r="H183" s="34" t="s">
        <v>925</v>
      </c>
    </row>
    <row r="184" spans="1:8" ht="33">
      <c r="A184" s="160"/>
      <c r="B184" s="160" t="s">
        <v>933</v>
      </c>
      <c r="C184" s="157" t="s">
        <v>1</v>
      </c>
      <c r="D184" s="159">
        <v>100</v>
      </c>
      <c r="E184" s="159"/>
      <c r="F184" s="159">
        <v>173665.72999999998</v>
      </c>
      <c r="G184" s="160"/>
      <c r="H184" s="34" t="s">
        <v>925</v>
      </c>
    </row>
    <row r="185" spans="1:8" ht="33">
      <c r="A185" s="160"/>
      <c r="B185" s="160" t="s">
        <v>934</v>
      </c>
      <c r="C185" s="157" t="s">
        <v>1</v>
      </c>
      <c r="D185" s="159"/>
      <c r="E185" s="159"/>
      <c r="F185" s="159">
        <v>1736.66</v>
      </c>
      <c r="G185" s="160"/>
      <c r="H185" s="34" t="s">
        <v>925</v>
      </c>
    </row>
    <row r="186" spans="1:8" ht="33">
      <c r="A186" s="160"/>
      <c r="B186" s="160"/>
      <c r="C186" s="157"/>
      <c r="D186" s="159"/>
      <c r="E186" s="159"/>
      <c r="F186" s="159"/>
      <c r="G186" s="160"/>
      <c r="H186" s="34" t="s">
        <v>925</v>
      </c>
    </row>
    <row r="187" spans="1:8" ht="42.75">
      <c r="A187" s="160" t="s">
        <v>1002</v>
      </c>
      <c r="B187" s="160" t="s">
        <v>985</v>
      </c>
      <c r="C187" s="157" t="s">
        <v>1</v>
      </c>
      <c r="D187" s="159">
        <v>1</v>
      </c>
      <c r="E187" s="159">
        <v>798.32</v>
      </c>
      <c r="F187" s="159"/>
      <c r="G187" s="160" t="s">
        <v>4365</v>
      </c>
      <c r="H187" s="34" t="s">
        <v>925</v>
      </c>
    </row>
    <row r="188" spans="1:8" ht="16.5">
      <c r="A188" s="160">
        <v>1</v>
      </c>
      <c r="B188" s="160" t="s">
        <v>4871</v>
      </c>
      <c r="C188" s="157" t="s">
        <v>927</v>
      </c>
      <c r="D188" s="159">
        <v>2.98</v>
      </c>
      <c r="E188" s="159">
        <v>260.08999999999997</v>
      </c>
      <c r="F188" s="159">
        <v>775.07</v>
      </c>
      <c r="G188" s="160" t="s">
        <v>5435</v>
      </c>
    </row>
    <row r="189" spans="1:8" ht="33">
      <c r="A189" s="160">
        <v>2</v>
      </c>
      <c r="B189" s="160" t="s">
        <v>931</v>
      </c>
      <c r="C189" s="157" t="s">
        <v>14</v>
      </c>
      <c r="D189" s="159">
        <v>1</v>
      </c>
      <c r="E189" s="159">
        <v>23.25</v>
      </c>
      <c r="F189" s="159">
        <v>23.25</v>
      </c>
      <c r="G189" s="160" t="s">
        <v>2</v>
      </c>
      <c r="H189" s="34" t="s">
        <v>925</v>
      </c>
    </row>
    <row r="190" spans="1:8" ht="33">
      <c r="A190" s="160"/>
      <c r="B190" s="160" t="s">
        <v>933</v>
      </c>
      <c r="C190" s="157" t="s">
        <v>1</v>
      </c>
      <c r="D190" s="159">
        <v>1</v>
      </c>
      <c r="E190" s="159"/>
      <c r="F190" s="159">
        <v>798.32</v>
      </c>
      <c r="G190" s="160"/>
      <c r="H190" s="34" t="s">
        <v>925</v>
      </c>
    </row>
    <row r="191" spans="1:8" ht="33">
      <c r="A191" s="160"/>
      <c r="B191" s="160" t="s">
        <v>934</v>
      </c>
      <c r="C191" s="157" t="s">
        <v>1</v>
      </c>
      <c r="D191" s="159"/>
      <c r="E191" s="159"/>
      <c r="F191" s="159">
        <v>798.32</v>
      </c>
      <c r="G191" s="160"/>
      <c r="H191" s="34" t="s">
        <v>925</v>
      </c>
    </row>
    <row r="192" spans="1:8" ht="33">
      <c r="A192" s="160"/>
      <c r="B192" s="160"/>
      <c r="C192" s="157"/>
      <c r="D192" s="159"/>
      <c r="E192" s="159"/>
      <c r="F192" s="159"/>
      <c r="G192" s="160"/>
      <c r="H192" s="34" t="s">
        <v>925</v>
      </c>
    </row>
    <row r="193" spans="1:8" ht="33">
      <c r="A193" s="160" t="s">
        <v>1009</v>
      </c>
      <c r="B193" s="160" t="s">
        <v>990</v>
      </c>
      <c r="C193" s="157" t="s">
        <v>17</v>
      </c>
      <c r="D193" s="159">
        <v>200</v>
      </c>
      <c r="E193" s="159">
        <v>83.21</v>
      </c>
      <c r="F193" s="159"/>
      <c r="G193" s="160" t="s">
        <v>2</v>
      </c>
      <c r="H193" s="34" t="s">
        <v>925</v>
      </c>
    </row>
    <row r="194" spans="1:8" ht="33">
      <c r="A194" s="160">
        <v>1</v>
      </c>
      <c r="B194" s="160" t="s">
        <v>929</v>
      </c>
      <c r="C194" s="157" t="s">
        <v>927</v>
      </c>
      <c r="D194" s="159">
        <v>8</v>
      </c>
      <c r="E194" s="159">
        <v>1388.4</v>
      </c>
      <c r="F194" s="159">
        <v>11107.2</v>
      </c>
      <c r="G194" s="160" t="s">
        <v>2</v>
      </c>
      <c r="H194" s="34" t="s">
        <v>925</v>
      </c>
    </row>
    <row r="195" spans="1:8" ht="33">
      <c r="A195" s="160">
        <v>2</v>
      </c>
      <c r="B195" s="160" t="s">
        <v>4869</v>
      </c>
      <c r="C195" s="157" t="s">
        <v>927</v>
      </c>
      <c r="D195" s="159">
        <v>8</v>
      </c>
      <c r="E195" s="159">
        <v>371.17</v>
      </c>
      <c r="F195" s="159">
        <v>2969.36</v>
      </c>
      <c r="G195" s="160" t="s">
        <v>5434</v>
      </c>
      <c r="H195" s="34" t="s">
        <v>925</v>
      </c>
    </row>
    <row r="196" spans="1:8" ht="33">
      <c r="A196" s="160">
        <v>3</v>
      </c>
      <c r="B196" s="160" t="s">
        <v>4871</v>
      </c>
      <c r="C196" s="157" t="s">
        <v>927</v>
      </c>
      <c r="D196" s="159">
        <v>8</v>
      </c>
      <c r="E196" s="159">
        <v>260.08999999999997</v>
      </c>
      <c r="F196" s="159">
        <v>2080.7199999999998</v>
      </c>
      <c r="G196" s="160" t="s">
        <v>5435</v>
      </c>
      <c r="H196" s="34" t="s">
        <v>925</v>
      </c>
    </row>
    <row r="197" spans="1:8" ht="33">
      <c r="A197" s="160">
        <v>4</v>
      </c>
      <c r="B197" s="160" t="s">
        <v>931</v>
      </c>
      <c r="C197" s="157" t="s">
        <v>14</v>
      </c>
      <c r="D197" s="159">
        <v>1</v>
      </c>
      <c r="E197" s="159">
        <v>484.72</v>
      </c>
      <c r="F197" s="159">
        <v>484.72</v>
      </c>
      <c r="G197" s="160" t="s">
        <v>2</v>
      </c>
      <c r="H197" s="34" t="s">
        <v>925</v>
      </c>
    </row>
    <row r="198" spans="1:8" ht="16.5">
      <c r="A198" s="160"/>
      <c r="B198" s="160" t="s">
        <v>933</v>
      </c>
      <c r="C198" s="157" t="s">
        <v>17</v>
      </c>
      <c r="D198" s="159">
        <v>200</v>
      </c>
      <c r="E198" s="159"/>
      <c r="F198" s="159">
        <v>16642</v>
      </c>
      <c r="G198" s="160"/>
    </row>
    <row r="199" spans="1:8" ht="33">
      <c r="A199" s="160"/>
      <c r="B199" s="160" t="s">
        <v>934</v>
      </c>
      <c r="C199" s="157" t="s">
        <v>17</v>
      </c>
      <c r="D199" s="159"/>
      <c r="E199" s="159"/>
      <c r="F199" s="159">
        <v>83.21</v>
      </c>
      <c r="G199" s="160"/>
      <c r="H199" s="34" t="s">
        <v>925</v>
      </c>
    </row>
    <row r="200" spans="1:8" ht="33">
      <c r="A200" s="160"/>
      <c r="B200" s="160"/>
      <c r="C200" s="157"/>
      <c r="D200" s="159"/>
      <c r="E200" s="159"/>
      <c r="F200" s="159"/>
      <c r="G200" s="160"/>
      <c r="H200" s="34" t="s">
        <v>925</v>
      </c>
    </row>
    <row r="201" spans="1:8" ht="42.75">
      <c r="A201" s="160" t="s">
        <v>1018</v>
      </c>
      <c r="B201" s="160" t="s">
        <v>990</v>
      </c>
      <c r="C201" s="157" t="s">
        <v>17</v>
      </c>
      <c r="D201" s="159">
        <v>200</v>
      </c>
      <c r="E201" s="159">
        <v>110.67</v>
      </c>
      <c r="F201" s="159"/>
      <c r="G201" s="160" t="s">
        <v>4365</v>
      </c>
      <c r="H201" s="34" t="s">
        <v>925</v>
      </c>
    </row>
    <row r="202" spans="1:8" ht="33">
      <c r="A202" s="160">
        <v>1</v>
      </c>
      <c r="B202" s="160" t="s">
        <v>929</v>
      </c>
      <c r="C202" s="157" t="s">
        <v>927</v>
      </c>
      <c r="D202" s="159">
        <v>10.64</v>
      </c>
      <c r="E202" s="159">
        <v>1388.4</v>
      </c>
      <c r="F202" s="159">
        <v>14772.58</v>
      </c>
      <c r="G202" s="160" t="s">
        <v>2</v>
      </c>
      <c r="H202" s="34" t="s">
        <v>925</v>
      </c>
    </row>
    <row r="203" spans="1:8" ht="33">
      <c r="A203" s="160">
        <v>2</v>
      </c>
      <c r="B203" s="160" t="s">
        <v>4869</v>
      </c>
      <c r="C203" s="157" t="s">
        <v>927</v>
      </c>
      <c r="D203" s="159">
        <v>10.64</v>
      </c>
      <c r="E203" s="159">
        <v>371.17</v>
      </c>
      <c r="F203" s="159">
        <v>3949.25</v>
      </c>
      <c r="G203" s="160" t="s">
        <v>5434</v>
      </c>
      <c r="H203" s="34" t="s">
        <v>925</v>
      </c>
    </row>
    <row r="204" spans="1:8" ht="33">
      <c r="A204" s="160">
        <v>3</v>
      </c>
      <c r="B204" s="160" t="s">
        <v>4871</v>
      </c>
      <c r="C204" s="157" t="s">
        <v>927</v>
      </c>
      <c r="D204" s="159">
        <v>10.64</v>
      </c>
      <c r="E204" s="159">
        <v>260.08999999999997</v>
      </c>
      <c r="F204" s="159">
        <v>2767.36</v>
      </c>
      <c r="G204" s="160" t="s">
        <v>5435</v>
      </c>
      <c r="H204" s="34" t="s">
        <v>925</v>
      </c>
    </row>
    <row r="205" spans="1:8" ht="33">
      <c r="A205" s="160">
        <v>4</v>
      </c>
      <c r="B205" s="160" t="s">
        <v>931</v>
      </c>
      <c r="C205" s="157" t="s">
        <v>14</v>
      </c>
      <c r="D205" s="159">
        <v>1</v>
      </c>
      <c r="E205" s="159">
        <v>644.67999999999995</v>
      </c>
      <c r="F205" s="159">
        <v>644.67999999999995</v>
      </c>
      <c r="G205" s="160" t="s">
        <v>2</v>
      </c>
      <c r="H205" s="34" t="s">
        <v>925</v>
      </c>
    </row>
    <row r="206" spans="1:8" ht="16.5">
      <c r="A206" s="160"/>
      <c r="B206" s="160" t="s">
        <v>933</v>
      </c>
      <c r="C206" s="157" t="s">
        <v>17</v>
      </c>
      <c r="D206" s="159">
        <v>200</v>
      </c>
      <c r="E206" s="159"/>
      <c r="F206" s="159">
        <v>22133.870000000003</v>
      </c>
      <c r="G206" s="160"/>
    </row>
    <row r="207" spans="1:8" ht="33">
      <c r="A207" s="160"/>
      <c r="B207" s="160" t="s">
        <v>934</v>
      </c>
      <c r="C207" s="157" t="s">
        <v>17</v>
      </c>
      <c r="D207" s="159"/>
      <c r="E207" s="159"/>
      <c r="F207" s="159">
        <v>110.67</v>
      </c>
      <c r="G207" s="160"/>
      <c r="H207" s="34" t="s">
        <v>925</v>
      </c>
    </row>
    <row r="208" spans="1:8" ht="33">
      <c r="A208" s="160"/>
      <c r="B208" s="160"/>
      <c r="C208" s="157"/>
      <c r="D208" s="159"/>
      <c r="E208" s="159"/>
      <c r="F208" s="159"/>
      <c r="G208" s="160"/>
      <c r="H208" s="34" t="s">
        <v>925</v>
      </c>
    </row>
    <row r="209" spans="1:8" ht="33">
      <c r="A209" s="160" t="s">
        <v>1032</v>
      </c>
      <c r="B209" s="160" t="s">
        <v>995</v>
      </c>
      <c r="C209" s="157" t="s">
        <v>0</v>
      </c>
      <c r="D209" s="159">
        <v>100</v>
      </c>
      <c r="E209" s="159">
        <v>550.19000000000005</v>
      </c>
      <c r="F209" s="159"/>
      <c r="G209" s="160" t="s">
        <v>2</v>
      </c>
      <c r="H209" s="34" t="s">
        <v>925</v>
      </c>
    </row>
    <row r="210" spans="1:8" ht="33">
      <c r="A210" s="160">
        <v>1</v>
      </c>
      <c r="B210" s="160" t="s">
        <v>997</v>
      </c>
      <c r="C210" s="157" t="s">
        <v>927</v>
      </c>
      <c r="D210" s="159">
        <v>36.97</v>
      </c>
      <c r="E210" s="159">
        <v>1073.7</v>
      </c>
      <c r="F210" s="159">
        <v>39694.69</v>
      </c>
      <c r="G210" s="160" t="s">
        <v>2</v>
      </c>
      <c r="H210" s="34" t="s">
        <v>925</v>
      </c>
    </row>
    <row r="211" spans="1:8" ht="33">
      <c r="A211" s="160">
        <v>2</v>
      </c>
      <c r="B211" s="160" t="s">
        <v>999</v>
      </c>
      <c r="C211" s="157" t="s">
        <v>927</v>
      </c>
      <c r="D211" s="159">
        <v>36.97</v>
      </c>
      <c r="E211" s="159">
        <v>371.17</v>
      </c>
      <c r="F211" s="159">
        <v>13722.15</v>
      </c>
      <c r="G211" s="160" t="s">
        <v>4379</v>
      </c>
      <c r="H211" s="34" t="s">
        <v>925</v>
      </c>
    </row>
    <row r="212" spans="1:8" ht="33">
      <c r="A212" s="160">
        <v>3</v>
      </c>
      <c r="B212" s="160" t="s">
        <v>931</v>
      </c>
      <c r="C212" s="157" t="s">
        <v>14</v>
      </c>
      <c r="D212" s="159">
        <v>1</v>
      </c>
      <c r="E212" s="159">
        <v>1602.51</v>
      </c>
      <c r="F212" s="159">
        <v>1602.51</v>
      </c>
      <c r="G212" s="160" t="s">
        <v>2</v>
      </c>
      <c r="H212" s="34" t="s">
        <v>925</v>
      </c>
    </row>
    <row r="213" spans="1:8" ht="33">
      <c r="A213" s="160"/>
      <c r="B213" s="160" t="s">
        <v>933</v>
      </c>
      <c r="C213" s="157" t="s">
        <v>0</v>
      </c>
      <c r="D213" s="159">
        <v>100</v>
      </c>
      <c r="E213" s="159"/>
      <c r="F213" s="159">
        <v>55019.350000000006</v>
      </c>
      <c r="G213" s="160"/>
      <c r="H213" s="34" t="s">
        <v>925</v>
      </c>
    </row>
    <row r="214" spans="1:8" ht="33">
      <c r="A214" s="160"/>
      <c r="B214" s="160" t="s">
        <v>934</v>
      </c>
      <c r="C214" s="157" t="s">
        <v>0</v>
      </c>
      <c r="D214" s="159"/>
      <c r="E214" s="159"/>
      <c r="F214" s="159">
        <v>550.19000000000005</v>
      </c>
      <c r="G214" s="160"/>
      <c r="H214" s="34" t="s">
        <v>925</v>
      </c>
    </row>
    <row r="215" spans="1:8" ht="33">
      <c r="A215" s="160"/>
      <c r="B215" s="160"/>
      <c r="C215" s="157"/>
      <c r="D215" s="159"/>
      <c r="E215" s="159"/>
      <c r="F215" s="159"/>
      <c r="G215" s="160"/>
      <c r="H215" s="34" t="s">
        <v>925</v>
      </c>
    </row>
    <row r="216" spans="1:8" ht="42.75">
      <c r="A216" s="160" t="s">
        <v>1035</v>
      </c>
      <c r="B216" s="160" t="s">
        <v>995</v>
      </c>
      <c r="C216" s="157" t="s">
        <v>0</v>
      </c>
      <c r="D216" s="159">
        <v>100</v>
      </c>
      <c r="E216" s="159">
        <v>731.76</v>
      </c>
      <c r="F216" s="159"/>
      <c r="G216" s="160" t="s">
        <v>4365</v>
      </c>
      <c r="H216" s="34" t="s">
        <v>925</v>
      </c>
    </row>
    <row r="217" spans="1:8" ht="33">
      <c r="A217" s="160">
        <v>1</v>
      </c>
      <c r="B217" s="160" t="s">
        <v>997</v>
      </c>
      <c r="C217" s="157" t="s">
        <v>927</v>
      </c>
      <c r="D217" s="159">
        <v>49.17</v>
      </c>
      <c r="E217" s="159">
        <v>1073.7</v>
      </c>
      <c r="F217" s="159">
        <v>52793.83</v>
      </c>
      <c r="G217" s="160" t="s">
        <v>2</v>
      </c>
      <c r="H217" s="34" t="s">
        <v>925</v>
      </c>
    </row>
    <row r="218" spans="1:8" ht="33">
      <c r="A218" s="160">
        <v>2</v>
      </c>
      <c r="B218" s="160" t="s">
        <v>999</v>
      </c>
      <c r="C218" s="157" t="s">
        <v>927</v>
      </c>
      <c r="D218" s="159">
        <v>49.17</v>
      </c>
      <c r="E218" s="159">
        <v>371.17</v>
      </c>
      <c r="F218" s="159">
        <v>18250.43</v>
      </c>
      <c r="G218" s="160" t="s">
        <v>4379</v>
      </c>
      <c r="H218" s="34" t="s">
        <v>925</v>
      </c>
    </row>
    <row r="219" spans="1:8" ht="16.5">
      <c r="A219" s="160">
        <v>3</v>
      </c>
      <c r="B219" s="160" t="s">
        <v>931</v>
      </c>
      <c r="C219" s="157" t="s">
        <v>14</v>
      </c>
      <c r="D219" s="159">
        <v>1</v>
      </c>
      <c r="E219" s="159">
        <v>2131.33</v>
      </c>
      <c r="F219" s="159">
        <v>2131.33</v>
      </c>
      <c r="G219" s="160" t="s">
        <v>2</v>
      </c>
    </row>
    <row r="220" spans="1:8" ht="33">
      <c r="A220" s="160"/>
      <c r="B220" s="160" t="s">
        <v>933</v>
      </c>
      <c r="C220" s="157" t="s">
        <v>0</v>
      </c>
      <c r="D220" s="159">
        <v>100</v>
      </c>
      <c r="E220" s="159"/>
      <c r="F220" s="159">
        <v>73175.590000000011</v>
      </c>
      <c r="G220" s="160"/>
      <c r="H220" s="34" t="s">
        <v>925</v>
      </c>
    </row>
    <row r="221" spans="1:8" ht="33">
      <c r="A221" s="160"/>
      <c r="B221" s="160" t="s">
        <v>934</v>
      </c>
      <c r="C221" s="157" t="s">
        <v>0</v>
      </c>
      <c r="D221" s="159"/>
      <c r="E221" s="159"/>
      <c r="F221" s="159">
        <v>731.76</v>
      </c>
      <c r="G221" s="160"/>
      <c r="H221" s="34" t="s">
        <v>925</v>
      </c>
    </row>
    <row r="222" spans="1:8" ht="33">
      <c r="A222" s="160"/>
      <c r="B222" s="160"/>
      <c r="C222" s="157"/>
      <c r="D222" s="159"/>
      <c r="E222" s="159"/>
      <c r="F222" s="159"/>
      <c r="G222" s="160"/>
      <c r="H222" s="34" t="s">
        <v>925</v>
      </c>
    </row>
    <row r="223" spans="1:8" ht="33">
      <c r="A223" s="160" t="s">
        <v>1042</v>
      </c>
      <c r="B223" s="160" t="s">
        <v>4443</v>
      </c>
      <c r="C223" s="157" t="s">
        <v>0</v>
      </c>
      <c r="D223" s="159">
        <v>100</v>
      </c>
      <c r="E223" s="159">
        <v>795.34</v>
      </c>
      <c r="F223" s="159"/>
      <c r="G223" s="160" t="s">
        <v>2</v>
      </c>
      <c r="H223" s="34" t="s">
        <v>925</v>
      </c>
    </row>
    <row r="224" spans="1:8" ht="33">
      <c r="A224" s="160">
        <v>1</v>
      </c>
      <c r="B224" s="160" t="s">
        <v>997</v>
      </c>
      <c r="C224" s="157" t="s">
        <v>927</v>
      </c>
      <c r="D224" s="159">
        <v>42.52</v>
      </c>
      <c r="E224" s="159">
        <v>1073.7</v>
      </c>
      <c r="F224" s="159">
        <v>45653.72</v>
      </c>
      <c r="G224" s="160" t="s">
        <v>2</v>
      </c>
      <c r="H224" s="34" t="s">
        <v>925</v>
      </c>
    </row>
    <row r="225" spans="1:8" ht="16.5">
      <c r="A225" s="160">
        <v>2</v>
      </c>
      <c r="B225" s="160" t="s">
        <v>4879</v>
      </c>
      <c r="C225" s="157" t="s">
        <v>927</v>
      </c>
      <c r="D225" s="159">
        <v>42.52</v>
      </c>
      <c r="E225" s="159">
        <v>742.33</v>
      </c>
      <c r="F225" s="159">
        <v>31563.87</v>
      </c>
      <c r="G225" s="160" t="s">
        <v>4379</v>
      </c>
    </row>
    <row r="226" spans="1:8" ht="33">
      <c r="A226" s="160">
        <v>3</v>
      </c>
      <c r="B226" s="160" t="s">
        <v>931</v>
      </c>
      <c r="C226" s="157" t="s">
        <v>14</v>
      </c>
      <c r="D226" s="159">
        <v>1</v>
      </c>
      <c r="E226" s="159">
        <v>2316.5300000000002</v>
      </c>
      <c r="F226" s="159">
        <v>2316.5300000000002</v>
      </c>
      <c r="G226" s="160" t="s">
        <v>2</v>
      </c>
      <c r="H226" s="34" t="s">
        <v>925</v>
      </c>
    </row>
    <row r="227" spans="1:8" ht="33">
      <c r="A227" s="160"/>
      <c r="B227" s="160" t="s">
        <v>933</v>
      </c>
      <c r="C227" s="157" t="s">
        <v>0</v>
      </c>
      <c r="D227" s="159">
        <v>100</v>
      </c>
      <c r="E227" s="159"/>
      <c r="F227" s="159">
        <v>79534.12</v>
      </c>
      <c r="G227" s="160"/>
      <c r="H227" s="34" t="s">
        <v>925</v>
      </c>
    </row>
    <row r="228" spans="1:8" ht="33">
      <c r="A228" s="160"/>
      <c r="B228" s="160" t="s">
        <v>934</v>
      </c>
      <c r="C228" s="157" t="s">
        <v>0</v>
      </c>
      <c r="D228" s="159"/>
      <c r="E228" s="159"/>
      <c r="F228" s="159">
        <v>795.34</v>
      </c>
      <c r="G228" s="160"/>
      <c r="H228" s="34" t="s">
        <v>925</v>
      </c>
    </row>
    <row r="229" spans="1:8" ht="33">
      <c r="A229" s="160"/>
      <c r="B229" s="160"/>
      <c r="C229" s="157"/>
      <c r="D229" s="159"/>
      <c r="E229" s="159"/>
      <c r="F229" s="159"/>
      <c r="G229" s="160"/>
      <c r="H229" s="34" t="s">
        <v>925</v>
      </c>
    </row>
    <row r="230" spans="1:8" ht="33">
      <c r="A230" s="160" t="s">
        <v>1047</v>
      </c>
      <c r="B230" s="160" t="s">
        <v>1003</v>
      </c>
      <c r="C230" s="157" t="s">
        <v>1</v>
      </c>
      <c r="D230" s="159">
        <v>100</v>
      </c>
      <c r="E230" s="159">
        <v>91.42</v>
      </c>
      <c r="F230" s="159"/>
      <c r="G230" s="160" t="s">
        <v>2</v>
      </c>
      <c r="H230" s="34" t="s">
        <v>925</v>
      </c>
    </row>
    <row r="231" spans="1:8" ht="33">
      <c r="A231" s="160">
        <v>1</v>
      </c>
      <c r="B231" s="160" t="s">
        <v>1005</v>
      </c>
      <c r="C231" s="157" t="s">
        <v>927</v>
      </c>
      <c r="D231" s="159">
        <v>2</v>
      </c>
      <c r="E231" s="159">
        <v>906.16</v>
      </c>
      <c r="F231" s="159">
        <v>1812.32</v>
      </c>
      <c r="G231" s="160" t="s">
        <v>2</v>
      </c>
      <c r="H231" s="34" t="s">
        <v>925</v>
      </c>
    </row>
    <row r="232" spans="1:8" ht="33">
      <c r="A232" s="160">
        <v>2</v>
      </c>
      <c r="B232" s="160" t="s">
        <v>929</v>
      </c>
      <c r="C232" s="157" t="s">
        <v>927</v>
      </c>
      <c r="D232" s="159">
        <v>2</v>
      </c>
      <c r="E232" s="159">
        <v>1388.4</v>
      </c>
      <c r="F232" s="159">
        <v>2776.8</v>
      </c>
      <c r="G232" s="160" t="s">
        <v>2</v>
      </c>
      <c r="H232" s="34" t="s">
        <v>925</v>
      </c>
    </row>
    <row r="233" spans="1:8" ht="28.5">
      <c r="A233" s="160">
        <v>3</v>
      </c>
      <c r="B233" s="160" t="s">
        <v>4881</v>
      </c>
      <c r="C233" s="157" t="s">
        <v>927</v>
      </c>
      <c r="D233" s="159">
        <v>8</v>
      </c>
      <c r="E233" s="159">
        <v>371.17</v>
      </c>
      <c r="F233" s="159">
        <v>2969.36</v>
      </c>
      <c r="G233" s="160" t="s">
        <v>5437</v>
      </c>
    </row>
    <row r="234" spans="1:8" ht="33">
      <c r="A234" s="160">
        <v>4</v>
      </c>
      <c r="B234" s="160" t="s">
        <v>4871</v>
      </c>
      <c r="C234" s="157" t="s">
        <v>927</v>
      </c>
      <c r="D234" s="159">
        <v>4</v>
      </c>
      <c r="E234" s="159">
        <v>260.08999999999997</v>
      </c>
      <c r="F234" s="159">
        <v>1040.3599999999999</v>
      </c>
      <c r="G234" s="160" t="s">
        <v>5435</v>
      </c>
      <c r="H234" s="34" t="s">
        <v>925</v>
      </c>
    </row>
    <row r="235" spans="1:8" ht="33">
      <c r="A235" s="160">
        <v>5</v>
      </c>
      <c r="B235" s="160" t="s">
        <v>1007</v>
      </c>
      <c r="C235" s="157" t="s">
        <v>14</v>
      </c>
      <c r="D235" s="159">
        <v>1</v>
      </c>
      <c r="E235" s="159">
        <v>276.52</v>
      </c>
      <c r="F235" s="159">
        <v>276.52</v>
      </c>
      <c r="G235" s="160" t="s">
        <v>2</v>
      </c>
      <c r="H235" s="34" t="s">
        <v>925</v>
      </c>
    </row>
    <row r="236" spans="1:8" ht="33">
      <c r="A236" s="160">
        <v>6</v>
      </c>
      <c r="B236" s="160" t="s">
        <v>931</v>
      </c>
      <c r="C236" s="157" t="s">
        <v>14</v>
      </c>
      <c r="D236" s="159">
        <v>1</v>
      </c>
      <c r="E236" s="159">
        <v>266.26</v>
      </c>
      <c r="F236" s="159">
        <v>266.26</v>
      </c>
      <c r="G236" s="160" t="s">
        <v>2</v>
      </c>
      <c r="H236" s="34" t="s">
        <v>925</v>
      </c>
    </row>
    <row r="237" spans="1:8" ht="33">
      <c r="A237" s="160"/>
      <c r="B237" s="160" t="s">
        <v>933</v>
      </c>
      <c r="C237" s="157" t="s">
        <v>1</v>
      </c>
      <c r="D237" s="159">
        <v>100</v>
      </c>
      <c r="E237" s="159"/>
      <c r="F237" s="159">
        <v>9141.6200000000008</v>
      </c>
      <c r="G237" s="160"/>
      <c r="H237" s="34" t="s">
        <v>925</v>
      </c>
    </row>
    <row r="238" spans="1:8" ht="33">
      <c r="A238" s="160"/>
      <c r="B238" s="160" t="s">
        <v>934</v>
      </c>
      <c r="C238" s="157" t="s">
        <v>1</v>
      </c>
      <c r="D238" s="159"/>
      <c r="E238" s="159"/>
      <c r="F238" s="159">
        <v>91.42</v>
      </c>
      <c r="G238" s="160"/>
      <c r="H238" s="34" t="s">
        <v>925</v>
      </c>
    </row>
    <row r="239" spans="1:8" ht="33">
      <c r="A239" s="160"/>
      <c r="B239" s="160"/>
      <c r="C239" s="157"/>
      <c r="D239" s="159"/>
      <c r="E239" s="159"/>
      <c r="F239" s="159"/>
      <c r="G239" s="160"/>
      <c r="H239" s="34" t="s">
        <v>925</v>
      </c>
    </row>
    <row r="240" spans="1:8" ht="16.5">
      <c r="A240" s="160" t="s">
        <v>1066</v>
      </c>
      <c r="B240" s="160" t="s">
        <v>1010</v>
      </c>
      <c r="C240" s="157" t="s">
        <v>1</v>
      </c>
      <c r="D240" s="159">
        <v>1</v>
      </c>
      <c r="E240" s="159">
        <v>557.71</v>
      </c>
      <c r="F240" s="159"/>
      <c r="G240" s="160" t="s">
        <v>2</v>
      </c>
    </row>
    <row r="241" spans="1:8" ht="33">
      <c r="A241" s="160">
        <v>1</v>
      </c>
      <c r="B241" s="160" t="s">
        <v>1012</v>
      </c>
      <c r="C241" s="157" t="s">
        <v>1</v>
      </c>
      <c r="D241" s="159">
        <v>0.9</v>
      </c>
      <c r="E241" s="159">
        <v>323.95999999999998</v>
      </c>
      <c r="F241" s="159">
        <v>291.56</v>
      </c>
      <c r="G241" s="160" t="s">
        <v>2</v>
      </c>
      <c r="H241" s="34" t="s">
        <v>925</v>
      </c>
    </row>
    <row r="242" spans="1:8" ht="33">
      <c r="A242" s="160">
        <v>2</v>
      </c>
      <c r="B242" s="160" t="s">
        <v>1014</v>
      </c>
      <c r="C242" s="157" t="s">
        <v>1</v>
      </c>
      <c r="D242" s="159">
        <v>0.1</v>
      </c>
      <c r="E242" s="159">
        <v>647.91999999999996</v>
      </c>
      <c r="F242" s="159">
        <v>64.790000000000006</v>
      </c>
      <c r="G242" s="160" t="s">
        <v>2</v>
      </c>
      <c r="H242" s="34" t="s">
        <v>925</v>
      </c>
    </row>
    <row r="243" spans="1:8" ht="33">
      <c r="A243" s="160">
        <v>3</v>
      </c>
      <c r="B243" s="160" t="s">
        <v>1016</v>
      </c>
      <c r="C243" s="157" t="s">
        <v>1</v>
      </c>
      <c r="D243" s="159">
        <v>1</v>
      </c>
      <c r="E243" s="159">
        <v>185.12</v>
      </c>
      <c r="F243" s="159">
        <v>185.12</v>
      </c>
      <c r="G243" s="160" t="s">
        <v>2</v>
      </c>
      <c r="H243" s="34" t="s">
        <v>925</v>
      </c>
    </row>
    <row r="244" spans="1:8" ht="33">
      <c r="A244" s="160">
        <v>4</v>
      </c>
      <c r="B244" s="160" t="s">
        <v>955</v>
      </c>
      <c r="C244" s="157" t="s">
        <v>14</v>
      </c>
      <c r="D244" s="159">
        <v>1</v>
      </c>
      <c r="E244" s="159">
        <v>16.239999999999998</v>
      </c>
      <c r="F244" s="159">
        <v>16.239999999999998</v>
      </c>
      <c r="G244" s="160" t="s">
        <v>2</v>
      </c>
      <c r="H244" s="34" t="s">
        <v>925</v>
      </c>
    </row>
    <row r="245" spans="1:8" ht="33">
      <c r="A245" s="160"/>
      <c r="B245" s="160" t="s">
        <v>933</v>
      </c>
      <c r="C245" s="157" t="s">
        <v>1</v>
      </c>
      <c r="D245" s="159">
        <v>1</v>
      </c>
      <c r="E245" s="159"/>
      <c r="F245" s="159">
        <v>557.71</v>
      </c>
      <c r="G245" s="160"/>
      <c r="H245" s="34" t="s">
        <v>925</v>
      </c>
    </row>
    <row r="246" spans="1:8" ht="33">
      <c r="A246" s="160"/>
      <c r="B246" s="160" t="s">
        <v>934</v>
      </c>
      <c r="C246" s="157" t="s">
        <v>1</v>
      </c>
      <c r="D246" s="159"/>
      <c r="E246" s="159"/>
      <c r="F246" s="159">
        <v>557.71</v>
      </c>
      <c r="G246" s="160"/>
      <c r="H246" s="34" t="s">
        <v>925</v>
      </c>
    </row>
    <row r="247" spans="1:8" ht="33">
      <c r="A247" s="160"/>
      <c r="B247" s="160"/>
      <c r="C247" s="157"/>
      <c r="D247" s="159"/>
      <c r="E247" s="159"/>
      <c r="F247" s="159"/>
      <c r="G247" s="160"/>
      <c r="H247" s="34" t="s">
        <v>925</v>
      </c>
    </row>
    <row r="248" spans="1:8" ht="33">
      <c r="A248" s="160" t="s">
        <v>1071</v>
      </c>
      <c r="B248" s="160" t="s">
        <v>1019</v>
      </c>
      <c r="C248" s="157" t="s">
        <v>1</v>
      </c>
      <c r="D248" s="159">
        <v>20000</v>
      </c>
      <c r="E248" s="159">
        <v>128.66</v>
      </c>
      <c r="F248" s="159"/>
      <c r="G248" s="160" t="s">
        <v>2</v>
      </c>
      <c r="H248" s="34" t="s">
        <v>925</v>
      </c>
    </row>
    <row r="249" spans="1:8" ht="33">
      <c r="A249" s="160">
        <v>1</v>
      </c>
      <c r="B249" s="160" t="s">
        <v>1021</v>
      </c>
      <c r="C249" s="157" t="s">
        <v>14</v>
      </c>
      <c r="D249" s="159">
        <v>1</v>
      </c>
      <c r="E249" s="159">
        <v>138840.25</v>
      </c>
      <c r="F249" s="159">
        <v>138840.25</v>
      </c>
      <c r="G249" s="160" t="s">
        <v>2</v>
      </c>
      <c r="H249" s="34" t="s">
        <v>925</v>
      </c>
    </row>
    <row r="250" spans="1:8" ht="33">
      <c r="A250" s="160">
        <v>2</v>
      </c>
      <c r="B250" s="160" t="s">
        <v>1023</v>
      </c>
      <c r="C250" s="157" t="s">
        <v>1024</v>
      </c>
      <c r="D250" s="159">
        <v>1</v>
      </c>
      <c r="E250" s="159">
        <v>462800.83</v>
      </c>
      <c r="F250" s="159">
        <v>462800.83</v>
      </c>
      <c r="G250" s="160" t="s">
        <v>2</v>
      </c>
      <c r="H250" s="34" t="s">
        <v>925</v>
      </c>
    </row>
    <row r="251" spans="1:8" ht="33">
      <c r="A251" s="160">
        <v>3</v>
      </c>
      <c r="B251" s="160" t="s">
        <v>1026</v>
      </c>
      <c r="C251" s="157" t="s">
        <v>14</v>
      </c>
      <c r="D251" s="159">
        <v>1</v>
      </c>
      <c r="E251" s="159">
        <v>92560.17</v>
      </c>
      <c r="F251" s="159">
        <v>92560.17</v>
      </c>
      <c r="G251" s="160" t="s">
        <v>2</v>
      </c>
      <c r="H251" s="34" t="s">
        <v>925</v>
      </c>
    </row>
    <row r="252" spans="1:8" ht="33">
      <c r="A252" s="160">
        <v>4</v>
      </c>
      <c r="B252" s="160" t="s">
        <v>1028</v>
      </c>
      <c r="C252" s="157" t="s">
        <v>1024</v>
      </c>
      <c r="D252" s="159">
        <v>1</v>
      </c>
      <c r="E252" s="159">
        <v>259168.47</v>
      </c>
      <c r="F252" s="159">
        <v>259168.47</v>
      </c>
      <c r="G252" s="160" t="s">
        <v>2</v>
      </c>
      <c r="H252" s="34" t="s">
        <v>925</v>
      </c>
    </row>
    <row r="253" spans="1:8" ht="33">
      <c r="A253" s="160">
        <v>5</v>
      </c>
      <c r="B253" s="160" t="s">
        <v>929</v>
      </c>
      <c r="C253" s="157" t="s">
        <v>927</v>
      </c>
      <c r="D253" s="159">
        <v>800</v>
      </c>
      <c r="E253" s="159">
        <v>1388.4</v>
      </c>
      <c r="F253" s="159">
        <v>1110720</v>
      </c>
      <c r="G253" s="160" t="s">
        <v>2</v>
      </c>
      <c r="H253" s="34" t="s">
        <v>925</v>
      </c>
    </row>
    <row r="254" spans="1:8" ht="33">
      <c r="A254" s="160">
        <v>6</v>
      </c>
      <c r="B254" s="160" t="s">
        <v>4881</v>
      </c>
      <c r="C254" s="157" t="s">
        <v>927</v>
      </c>
      <c r="D254" s="159">
        <v>800</v>
      </c>
      <c r="E254" s="159">
        <v>371.17</v>
      </c>
      <c r="F254" s="159">
        <v>296936</v>
      </c>
      <c r="G254" s="160" t="s">
        <v>5437</v>
      </c>
      <c r="H254" s="34" t="s">
        <v>925</v>
      </c>
    </row>
    <row r="255" spans="1:8" ht="33">
      <c r="A255" s="160">
        <v>7</v>
      </c>
      <c r="B255" s="160" t="s">
        <v>4871</v>
      </c>
      <c r="C255" s="157" t="s">
        <v>927</v>
      </c>
      <c r="D255" s="159">
        <v>350</v>
      </c>
      <c r="E255" s="159">
        <v>260.08999999999997</v>
      </c>
      <c r="F255" s="159">
        <v>91031.5</v>
      </c>
      <c r="G255" s="160" t="s">
        <v>5435</v>
      </c>
      <c r="H255" s="34" t="s">
        <v>925</v>
      </c>
    </row>
    <row r="256" spans="1:8" ht="16.5">
      <c r="A256" s="160">
        <v>8</v>
      </c>
      <c r="B256" s="160" t="s">
        <v>1030</v>
      </c>
      <c r="C256" s="157" t="s">
        <v>14</v>
      </c>
      <c r="D256" s="159">
        <v>1</v>
      </c>
      <c r="E256" s="159">
        <v>46280.08</v>
      </c>
      <c r="F256" s="159">
        <v>46280.08</v>
      </c>
      <c r="G256" s="160" t="s">
        <v>2</v>
      </c>
    </row>
    <row r="257" spans="1:8" ht="33">
      <c r="A257" s="160">
        <v>9</v>
      </c>
      <c r="B257" s="160" t="s">
        <v>931</v>
      </c>
      <c r="C257" s="157" t="s">
        <v>14</v>
      </c>
      <c r="D257" s="159">
        <v>1</v>
      </c>
      <c r="E257" s="159">
        <v>74950.12</v>
      </c>
      <c r="F257" s="159">
        <v>74950.12</v>
      </c>
      <c r="G257" s="160" t="s">
        <v>2</v>
      </c>
      <c r="H257" s="34" t="s">
        <v>925</v>
      </c>
    </row>
    <row r="258" spans="1:8" ht="33">
      <c r="A258" s="160"/>
      <c r="B258" s="160" t="s">
        <v>933</v>
      </c>
      <c r="C258" s="157" t="s">
        <v>1</v>
      </c>
      <c r="D258" s="159">
        <v>20000</v>
      </c>
      <c r="E258" s="159"/>
      <c r="F258" s="159">
        <v>2573287.4200000004</v>
      </c>
      <c r="G258" s="160"/>
      <c r="H258" s="34" t="s">
        <v>925</v>
      </c>
    </row>
    <row r="259" spans="1:8" ht="33">
      <c r="A259" s="160"/>
      <c r="B259" s="160" t="s">
        <v>934</v>
      </c>
      <c r="C259" s="157" t="s">
        <v>1</v>
      </c>
      <c r="D259" s="159"/>
      <c r="E259" s="159"/>
      <c r="F259" s="159">
        <v>128.66</v>
      </c>
      <c r="G259" s="160"/>
      <c r="H259" s="34" t="s">
        <v>925</v>
      </c>
    </row>
    <row r="260" spans="1:8" ht="33">
      <c r="A260" s="160"/>
      <c r="B260" s="160"/>
      <c r="C260" s="157"/>
      <c r="D260" s="159"/>
      <c r="E260" s="159"/>
      <c r="F260" s="159"/>
      <c r="G260" s="160"/>
      <c r="H260" s="34" t="s">
        <v>925</v>
      </c>
    </row>
    <row r="261" spans="1:8" ht="33">
      <c r="A261" s="160" t="s">
        <v>1074</v>
      </c>
      <c r="B261" s="160" t="s">
        <v>1033</v>
      </c>
      <c r="C261" s="157" t="s">
        <v>17</v>
      </c>
      <c r="D261" s="159">
        <v>50</v>
      </c>
      <c r="E261" s="159">
        <v>56.26</v>
      </c>
      <c r="F261" s="159"/>
      <c r="G261" s="160" t="s">
        <v>2</v>
      </c>
      <c r="H261" s="34" t="s">
        <v>925</v>
      </c>
    </row>
    <row r="262" spans="1:8" ht="33">
      <c r="A262" s="160">
        <v>1</v>
      </c>
      <c r="B262" s="160" t="s">
        <v>4871</v>
      </c>
      <c r="C262" s="157" t="s">
        <v>927</v>
      </c>
      <c r="D262" s="159">
        <v>10.5</v>
      </c>
      <c r="E262" s="159">
        <v>260.08999999999997</v>
      </c>
      <c r="F262" s="159">
        <v>2730.95</v>
      </c>
      <c r="G262" s="160" t="s">
        <v>5435</v>
      </c>
      <c r="H262" s="34" t="s">
        <v>925</v>
      </c>
    </row>
    <row r="263" spans="1:8" ht="33">
      <c r="A263" s="160">
        <v>2</v>
      </c>
      <c r="B263" s="160" t="s">
        <v>931</v>
      </c>
      <c r="C263" s="157" t="s">
        <v>14</v>
      </c>
      <c r="D263" s="159">
        <v>1</v>
      </c>
      <c r="E263" s="159">
        <v>81.93</v>
      </c>
      <c r="F263" s="159">
        <v>81.93</v>
      </c>
      <c r="G263" s="160" t="s">
        <v>2</v>
      </c>
      <c r="H263" s="34" t="s">
        <v>925</v>
      </c>
    </row>
    <row r="264" spans="1:8" ht="16.5">
      <c r="A264" s="160"/>
      <c r="B264" s="160" t="s">
        <v>933</v>
      </c>
      <c r="C264" s="157" t="s">
        <v>17</v>
      </c>
      <c r="D264" s="159">
        <v>50</v>
      </c>
      <c r="E264" s="159"/>
      <c r="F264" s="159">
        <v>2812.8799999999997</v>
      </c>
      <c r="G264" s="160"/>
    </row>
    <row r="265" spans="1:8" ht="33">
      <c r="A265" s="160"/>
      <c r="B265" s="160" t="s">
        <v>934</v>
      </c>
      <c r="C265" s="157" t="s">
        <v>17</v>
      </c>
      <c r="D265" s="159"/>
      <c r="E265" s="159"/>
      <c r="F265" s="159">
        <v>56.26</v>
      </c>
      <c r="G265" s="160"/>
      <c r="H265" s="34" t="s">
        <v>925</v>
      </c>
    </row>
    <row r="266" spans="1:8" ht="33">
      <c r="A266" s="160"/>
      <c r="B266" s="160"/>
      <c r="C266" s="157"/>
      <c r="D266" s="159"/>
      <c r="E266" s="159"/>
      <c r="F266" s="159"/>
      <c r="G266" s="160"/>
      <c r="H266" s="34" t="s">
        <v>925</v>
      </c>
    </row>
    <row r="267" spans="1:8" ht="33">
      <c r="A267" s="160" t="s">
        <v>1082</v>
      </c>
      <c r="B267" s="160" t="s">
        <v>1036</v>
      </c>
      <c r="C267" s="157" t="s">
        <v>3</v>
      </c>
      <c r="D267" s="159">
        <v>100</v>
      </c>
      <c r="E267" s="159">
        <v>13.99</v>
      </c>
      <c r="F267" s="159"/>
      <c r="G267" s="160" t="s">
        <v>2</v>
      </c>
      <c r="H267" s="34" t="s">
        <v>925</v>
      </c>
    </row>
    <row r="268" spans="1:8" ht="33">
      <c r="A268" s="160">
        <v>1</v>
      </c>
      <c r="B268" s="160" t="s">
        <v>1038</v>
      </c>
      <c r="C268" s="157" t="s">
        <v>927</v>
      </c>
      <c r="D268" s="159">
        <v>1.2</v>
      </c>
      <c r="E268" s="159">
        <v>64.790000000000006</v>
      </c>
      <c r="F268" s="159">
        <v>77.75</v>
      </c>
      <c r="G268" s="160" t="s">
        <v>2</v>
      </c>
      <c r="H268" s="34" t="s">
        <v>925</v>
      </c>
    </row>
    <row r="269" spans="1:8" ht="33">
      <c r="A269" s="160">
        <v>2</v>
      </c>
      <c r="B269" s="160" t="s">
        <v>4871</v>
      </c>
      <c r="C269" s="157" t="s">
        <v>927</v>
      </c>
      <c r="D269" s="159">
        <v>4.8</v>
      </c>
      <c r="E269" s="159">
        <v>260.08999999999997</v>
      </c>
      <c r="F269" s="159">
        <v>1248.43</v>
      </c>
      <c r="G269" s="160" t="s">
        <v>5435</v>
      </c>
      <c r="H269" s="34" t="s">
        <v>925</v>
      </c>
    </row>
    <row r="270" spans="1:8" ht="33">
      <c r="A270" s="160">
        <v>3</v>
      </c>
      <c r="B270" s="160" t="s">
        <v>1040</v>
      </c>
      <c r="C270" s="157" t="s">
        <v>14</v>
      </c>
      <c r="D270" s="159">
        <v>1</v>
      </c>
      <c r="E270" s="159">
        <v>32.4</v>
      </c>
      <c r="F270" s="159">
        <v>32.4</v>
      </c>
      <c r="G270" s="160" t="s">
        <v>2</v>
      </c>
      <c r="H270" s="34" t="s">
        <v>925</v>
      </c>
    </row>
    <row r="271" spans="1:8" ht="33">
      <c r="A271" s="160">
        <v>4</v>
      </c>
      <c r="B271" s="160" t="s">
        <v>931</v>
      </c>
      <c r="C271" s="157" t="s">
        <v>14</v>
      </c>
      <c r="D271" s="159">
        <v>1</v>
      </c>
      <c r="E271" s="159">
        <v>40.76</v>
      </c>
      <c r="F271" s="159">
        <v>40.76</v>
      </c>
      <c r="G271" s="160" t="s">
        <v>2</v>
      </c>
      <c r="H271" s="34" t="s">
        <v>925</v>
      </c>
    </row>
    <row r="272" spans="1:8" ht="33">
      <c r="A272" s="160"/>
      <c r="B272" s="160" t="s">
        <v>933</v>
      </c>
      <c r="C272" s="157" t="s">
        <v>3</v>
      </c>
      <c r="D272" s="159">
        <v>100</v>
      </c>
      <c r="E272" s="159"/>
      <c r="F272" s="159">
        <v>1399.3400000000001</v>
      </c>
      <c r="G272" s="160"/>
      <c r="H272" s="34" t="s">
        <v>925</v>
      </c>
    </row>
    <row r="273" spans="1:8" ht="16.5">
      <c r="A273" s="160"/>
      <c r="B273" s="160" t="s">
        <v>934</v>
      </c>
      <c r="C273" s="157" t="s">
        <v>3</v>
      </c>
      <c r="D273" s="159"/>
      <c r="E273" s="159"/>
      <c r="F273" s="159">
        <v>13.99</v>
      </c>
      <c r="G273" s="160"/>
    </row>
    <row r="274" spans="1:8" ht="33">
      <c r="A274" s="160"/>
      <c r="B274" s="160"/>
      <c r="C274" s="157"/>
      <c r="D274" s="159"/>
      <c r="E274" s="159"/>
      <c r="F274" s="159"/>
      <c r="G274" s="160"/>
      <c r="H274" s="34" t="s">
        <v>925</v>
      </c>
    </row>
    <row r="275" spans="1:8" ht="33">
      <c r="A275" s="160" t="s">
        <v>1088</v>
      </c>
      <c r="B275" s="160" t="s">
        <v>454</v>
      </c>
      <c r="C275" s="157" t="s">
        <v>0</v>
      </c>
      <c r="D275" s="159">
        <v>1</v>
      </c>
      <c r="E275" s="159">
        <v>285.08999999999997</v>
      </c>
      <c r="F275" s="159"/>
      <c r="G275" s="160" t="s">
        <v>2</v>
      </c>
      <c r="H275" s="34" t="s">
        <v>925</v>
      </c>
    </row>
    <row r="276" spans="1:8" ht="33">
      <c r="A276" s="160">
        <v>1</v>
      </c>
      <c r="B276" s="160" t="s">
        <v>4871</v>
      </c>
      <c r="C276" s="157" t="s">
        <v>927</v>
      </c>
      <c r="D276" s="159">
        <v>1</v>
      </c>
      <c r="E276" s="159">
        <v>260.08999999999997</v>
      </c>
      <c r="F276" s="159">
        <v>260.08999999999997</v>
      </c>
      <c r="G276" s="160" t="s">
        <v>5435</v>
      </c>
      <c r="H276" s="34" t="s">
        <v>925</v>
      </c>
    </row>
    <row r="277" spans="1:8" ht="33">
      <c r="A277" s="160">
        <v>2</v>
      </c>
      <c r="B277" s="160" t="s">
        <v>1044</v>
      </c>
      <c r="C277" s="157" t="s">
        <v>14</v>
      </c>
      <c r="D277" s="159">
        <v>1</v>
      </c>
      <c r="E277" s="159">
        <v>18.510000000000002</v>
      </c>
      <c r="F277" s="159">
        <v>18.510000000000002</v>
      </c>
      <c r="G277" s="160" t="s">
        <v>2</v>
      </c>
      <c r="H277" s="34" t="s">
        <v>925</v>
      </c>
    </row>
    <row r="278" spans="1:8" ht="33">
      <c r="A278" s="160">
        <v>3</v>
      </c>
      <c r="B278" s="160" t="s">
        <v>931</v>
      </c>
      <c r="C278" s="157" t="s">
        <v>14</v>
      </c>
      <c r="D278" s="159">
        <v>1</v>
      </c>
      <c r="E278" s="159">
        <v>6.49</v>
      </c>
      <c r="F278" s="159">
        <v>6.49</v>
      </c>
      <c r="G278" s="160" t="s">
        <v>2</v>
      </c>
      <c r="H278" s="34" t="s">
        <v>925</v>
      </c>
    </row>
    <row r="279" spans="1:8" ht="33">
      <c r="A279" s="160"/>
      <c r="B279" s="160" t="s">
        <v>933</v>
      </c>
      <c r="C279" s="157" t="s">
        <v>0</v>
      </c>
      <c r="D279" s="159">
        <v>1</v>
      </c>
      <c r="E279" s="159"/>
      <c r="F279" s="159">
        <v>285.08999999999997</v>
      </c>
      <c r="G279" s="160"/>
      <c r="H279" s="34" t="s">
        <v>925</v>
      </c>
    </row>
    <row r="280" spans="1:8" ht="33">
      <c r="A280" s="160"/>
      <c r="B280" s="160" t="s">
        <v>934</v>
      </c>
      <c r="C280" s="157" t="s">
        <v>0</v>
      </c>
      <c r="D280" s="159"/>
      <c r="E280" s="159"/>
      <c r="F280" s="159">
        <v>285.08999999999997</v>
      </c>
      <c r="G280" s="160"/>
      <c r="H280" s="34" t="s">
        <v>925</v>
      </c>
    </row>
    <row r="281" spans="1:8" ht="16.5">
      <c r="A281" s="160"/>
      <c r="B281" s="160"/>
      <c r="C281" s="157"/>
      <c r="D281" s="159"/>
      <c r="E281" s="159"/>
      <c r="F281" s="159"/>
      <c r="G281" s="160"/>
    </row>
    <row r="282" spans="1:8" ht="33">
      <c r="A282" s="160" t="s">
        <v>1090</v>
      </c>
      <c r="B282" s="160" t="s">
        <v>1048</v>
      </c>
      <c r="C282" s="157" t="s">
        <v>15</v>
      </c>
      <c r="D282" s="159">
        <v>100</v>
      </c>
      <c r="E282" s="159">
        <v>54.06</v>
      </c>
      <c r="F282" s="159"/>
      <c r="G282" s="160" t="s">
        <v>2</v>
      </c>
      <c r="H282" s="34" t="s">
        <v>925</v>
      </c>
    </row>
    <row r="283" spans="1:8" ht="33">
      <c r="A283" s="160">
        <v>1</v>
      </c>
      <c r="B283" s="160" t="s">
        <v>1050</v>
      </c>
      <c r="C283" s="157" t="s">
        <v>927</v>
      </c>
      <c r="D283" s="159">
        <v>0.48</v>
      </c>
      <c r="E283" s="159">
        <v>1295.8399999999999</v>
      </c>
      <c r="F283" s="159">
        <v>622</v>
      </c>
      <c r="G283" s="160" t="s">
        <v>2</v>
      </c>
      <c r="H283" s="34" t="s">
        <v>925</v>
      </c>
    </row>
    <row r="284" spans="1:8" ht="33">
      <c r="A284" s="160">
        <v>2</v>
      </c>
      <c r="B284" s="160" t="s">
        <v>1052</v>
      </c>
      <c r="C284" s="157" t="s">
        <v>927</v>
      </c>
      <c r="D284" s="159">
        <v>0.53</v>
      </c>
      <c r="E284" s="159">
        <v>1064.44</v>
      </c>
      <c r="F284" s="159">
        <v>564.15</v>
      </c>
      <c r="G284" s="160" t="s">
        <v>2</v>
      </c>
      <c r="H284" s="34" t="s">
        <v>925</v>
      </c>
    </row>
    <row r="285" spans="1:8" ht="33">
      <c r="A285" s="160">
        <v>3</v>
      </c>
      <c r="B285" s="160" t="s">
        <v>1054</v>
      </c>
      <c r="C285" s="157" t="s">
        <v>927</v>
      </c>
      <c r="D285" s="159">
        <v>0.68</v>
      </c>
      <c r="E285" s="159">
        <v>1073.7</v>
      </c>
      <c r="F285" s="159">
        <v>730.12</v>
      </c>
      <c r="G285" s="160" t="s">
        <v>2</v>
      </c>
      <c r="H285" s="34" t="s">
        <v>925</v>
      </c>
    </row>
    <row r="286" spans="1:8" ht="33">
      <c r="A286" s="160">
        <v>4</v>
      </c>
      <c r="B286" s="160" t="s">
        <v>1056</v>
      </c>
      <c r="C286" s="157" t="s">
        <v>927</v>
      </c>
      <c r="D286" s="159">
        <v>1.25</v>
      </c>
      <c r="E286" s="159">
        <v>714.56</v>
      </c>
      <c r="F286" s="159">
        <v>893.2</v>
      </c>
      <c r="G286" s="160" t="s">
        <v>2</v>
      </c>
      <c r="H286" s="34" t="s">
        <v>925</v>
      </c>
    </row>
    <row r="287" spans="1:8" ht="33">
      <c r="A287" s="160">
        <v>5</v>
      </c>
      <c r="B287" s="160" t="s">
        <v>1058</v>
      </c>
      <c r="C287" s="157" t="s">
        <v>927</v>
      </c>
      <c r="D287" s="159">
        <v>0.4</v>
      </c>
      <c r="E287" s="159">
        <v>58.31</v>
      </c>
      <c r="F287" s="159">
        <v>23.32</v>
      </c>
      <c r="G287" s="160" t="s">
        <v>2</v>
      </c>
      <c r="H287" s="34" t="s">
        <v>925</v>
      </c>
    </row>
    <row r="288" spans="1:8" ht="33">
      <c r="A288" s="160">
        <v>6</v>
      </c>
      <c r="B288" s="160" t="s">
        <v>4883</v>
      </c>
      <c r="C288" s="157" t="s">
        <v>927</v>
      </c>
      <c r="D288" s="159">
        <v>0.48</v>
      </c>
      <c r="E288" s="159">
        <v>371.17</v>
      </c>
      <c r="F288" s="159">
        <v>178.16</v>
      </c>
      <c r="G288" s="160" t="s">
        <v>5438</v>
      </c>
      <c r="H288" s="34" t="s">
        <v>925</v>
      </c>
    </row>
    <row r="289" spans="1:8" ht="28.5">
      <c r="A289" s="160">
        <v>7</v>
      </c>
      <c r="B289" s="160" t="s">
        <v>4885</v>
      </c>
      <c r="C289" s="157" t="s">
        <v>927</v>
      </c>
      <c r="D289" s="159">
        <v>1.21</v>
      </c>
      <c r="E289" s="159">
        <v>371.17</v>
      </c>
      <c r="F289" s="159">
        <v>449.12</v>
      </c>
      <c r="G289" s="160" t="s">
        <v>5439</v>
      </c>
    </row>
    <row r="290" spans="1:8" ht="33">
      <c r="A290" s="160">
        <v>8</v>
      </c>
      <c r="B290" s="160" t="s">
        <v>1060</v>
      </c>
      <c r="C290" s="157" t="s">
        <v>927</v>
      </c>
      <c r="D290" s="159">
        <v>1.25</v>
      </c>
      <c r="E290" s="159">
        <v>371.17</v>
      </c>
      <c r="F290" s="159">
        <v>463.96</v>
      </c>
      <c r="G290" s="160" t="s">
        <v>2</v>
      </c>
      <c r="H290" s="34" t="s">
        <v>925</v>
      </c>
    </row>
    <row r="291" spans="1:8" ht="33">
      <c r="A291" s="160">
        <v>9</v>
      </c>
      <c r="B291" s="160" t="s">
        <v>1062</v>
      </c>
      <c r="C291" s="157" t="s">
        <v>927</v>
      </c>
      <c r="D291" s="159">
        <v>0.4</v>
      </c>
      <c r="E291" s="159">
        <v>371.17</v>
      </c>
      <c r="F291" s="159">
        <v>148.47</v>
      </c>
      <c r="G291" s="160" t="s">
        <v>2</v>
      </c>
      <c r="H291" s="34" t="s">
        <v>925</v>
      </c>
    </row>
    <row r="292" spans="1:8" ht="33">
      <c r="A292" s="160">
        <v>10</v>
      </c>
      <c r="B292" s="160" t="s">
        <v>4871</v>
      </c>
      <c r="C292" s="157" t="s">
        <v>927</v>
      </c>
      <c r="D292" s="159">
        <v>0.96</v>
      </c>
      <c r="E292" s="159">
        <v>260.08999999999997</v>
      </c>
      <c r="F292" s="159">
        <v>249.69</v>
      </c>
      <c r="G292" s="160" t="s">
        <v>5435</v>
      </c>
      <c r="H292" s="34" t="s">
        <v>925</v>
      </c>
    </row>
    <row r="293" spans="1:8" ht="33">
      <c r="A293" s="160">
        <v>11</v>
      </c>
      <c r="B293" s="160" t="s">
        <v>1064</v>
      </c>
      <c r="C293" s="157" t="s">
        <v>15</v>
      </c>
      <c r="D293" s="159">
        <v>100</v>
      </c>
      <c r="E293" s="159">
        <v>9.26</v>
      </c>
      <c r="F293" s="159">
        <v>926</v>
      </c>
      <c r="G293" s="160" t="s">
        <v>2</v>
      </c>
      <c r="H293" s="34" t="s">
        <v>925</v>
      </c>
    </row>
    <row r="294" spans="1:8" ht="33">
      <c r="A294" s="160">
        <v>12</v>
      </c>
      <c r="B294" s="160" t="s">
        <v>931</v>
      </c>
      <c r="C294" s="157" t="s">
        <v>14</v>
      </c>
      <c r="D294" s="159">
        <v>1</v>
      </c>
      <c r="E294" s="159">
        <v>157.44999999999999</v>
      </c>
      <c r="F294" s="159">
        <v>157.44999999999999</v>
      </c>
      <c r="G294" s="160" t="s">
        <v>2</v>
      </c>
      <c r="H294" s="34" t="s">
        <v>925</v>
      </c>
    </row>
    <row r="295" spans="1:8" ht="33">
      <c r="A295" s="160"/>
      <c r="B295" s="160" t="s">
        <v>933</v>
      </c>
      <c r="C295" s="157" t="s">
        <v>15</v>
      </c>
      <c r="D295" s="159">
        <v>100</v>
      </c>
      <c r="E295" s="159"/>
      <c r="F295" s="159">
        <v>5405.6399999999994</v>
      </c>
      <c r="G295" s="160"/>
      <c r="H295" s="34" t="s">
        <v>925</v>
      </c>
    </row>
    <row r="296" spans="1:8" ht="33">
      <c r="A296" s="160"/>
      <c r="B296" s="160" t="s">
        <v>934</v>
      </c>
      <c r="C296" s="157" t="s">
        <v>15</v>
      </c>
      <c r="D296" s="159"/>
      <c r="E296" s="159"/>
      <c r="F296" s="159">
        <v>54.06</v>
      </c>
      <c r="G296" s="160"/>
      <c r="H296" s="34" t="s">
        <v>925</v>
      </c>
    </row>
    <row r="297" spans="1:8" ht="16.5">
      <c r="A297" s="160"/>
      <c r="B297" s="160"/>
      <c r="C297" s="157"/>
      <c r="D297" s="159"/>
      <c r="E297" s="159"/>
      <c r="F297" s="159"/>
      <c r="G297" s="160"/>
    </row>
    <row r="298" spans="1:8" ht="33">
      <c r="A298" s="160" t="s">
        <v>1095</v>
      </c>
      <c r="B298" s="160" t="s">
        <v>1067</v>
      </c>
      <c r="C298" s="157" t="s">
        <v>15</v>
      </c>
      <c r="D298" s="159">
        <v>1</v>
      </c>
      <c r="E298" s="159">
        <v>302.58999999999997</v>
      </c>
      <c r="F298" s="159"/>
      <c r="G298" s="160" t="s">
        <v>2</v>
      </c>
      <c r="H298" s="34" t="s">
        <v>925</v>
      </c>
    </row>
    <row r="299" spans="1:8" ht="33">
      <c r="A299" s="160">
        <v>1</v>
      </c>
      <c r="B299" s="160" t="s">
        <v>4871</v>
      </c>
      <c r="C299" s="157" t="s">
        <v>927</v>
      </c>
      <c r="D299" s="159">
        <v>0.8</v>
      </c>
      <c r="E299" s="159">
        <v>260.08999999999997</v>
      </c>
      <c r="F299" s="159">
        <v>208.07</v>
      </c>
      <c r="G299" s="160" t="s">
        <v>2</v>
      </c>
      <c r="H299" s="34" t="s">
        <v>925</v>
      </c>
    </row>
    <row r="300" spans="1:8" ht="33">
      <c r="A300" s="160">
        <v>2</v>
      </c>
      <c r="B300" s="160" t="s">
        <v>1069</v>
      </c>
      <c r="C300" s="157" t="s">
        <v>927</v>
      </c>
      <c r="D300" s="159">
        <v>0.2</v>
      </c>
      <c r="E300" s="159">
        <v>57.39</v>
      </c>
      <c r="F300" s="159">
        <v>11.48</v>
      </c>
      <c r="G300" s="160" t="s">
        <v>2</v>
      </c>
      <c r="H300" s="34" t="s">
        <v>925</v>
      </c>
    </row>
    <row r="301" spans="1:8" ht="33">
      <c r="A301" s="160">
        <v>3</v>
      </c>
      <c r="B301" s="160" t="s">
        <v>4887</v>
      </c>
      <c r="C301" s="157" t="s">
        <v>927</v>
      </c>
      <c r="D301" s="159">
        <v>0.2</v>
      </c>
      <c r="E301" s="159">
        <v>371.17</v>
      </c>
      <c r="F301" s="159">
        <v>74.23</v>
      </c>
      <c r="G301" s="160" t="s">
        <v>5440</v>
      </c>
      <c r="H301" s="34" t="s">
        <v>925</v>
      </c>
    </row>
    <row r="302" spans="1:8" ht="33">
      <c r="A302" s="160">
        <v>4</v>
      </c>
      <c r="B302" s="160" t="s">
        <v>931</v>
      </c>
      <c r="C302" s="157" t="s">
        <v>14</v>
      </c>
      <c r="D302" s="159">
        <v>1</v>
      </c>
      <c r="E302" s="159">
        <v>8.81</v>
      </c>
      <c r="F302" s="159">
        <v>8.81</v>
      </c>
      <c r="G302" s="160" t="s">
        <v>2</v>
      </c>
      <c r="H302" s="34" t="s">
        <v>925</v>
      </c>
    </row>
    <row r="303" spans="1:8" ht="33">
      <c r="A303" s="160"/>
      <c r="B303" s="160" t="s">
        <v>933</v>
      </c>
      <c r="C303" s="157" t="s">
        <v>15</v>
      </c>
      <c r="D303" s="159">
        <v>1</v>
      </c>
      <c r="E303" s="159"/>
      <c r="F303" s="159">
        <v>302.58999999999997</v>
      </c>
      <c r="G303" s="160"/>
      <c r="H303" s="34" t="s">
        <v>925</v>
      </c>
    </row>
    <row r="304" spans="1:8" ht="33">
      <c r="A304" s="160"/>
      <c r="B304" s="160" t="s">
        <v>934</v>
      </c>
      <c r="C304" s="157" t="s">
        <v>15</v>
      </c>
      <c r="D304" s="159"/>
      <c r="E304" s="159"/>
      <c r="F304" s="159">
        <v>302.58999999999997</v>
      </c>
      <c r="G304" s="160"/>
      <c r="H304" s="34" t="s">
        <v>925</v>
      </c>
    </row>
    <row r="305" spans="1:8" ht="16.5">
      <c r="A305" s="160"/>
      <c r="B305" s="160"/>
      <c r="C305" s="157"/>
      <c r="D305" s="159"/>
      <c r="E305" s="159"/>
      <c r="F305" s="159"/>
      <c r="G305" s="160"/>
    </row>
    <row r="306" spans="1:8" ht="33">
      <c r="A306" s="160" t="s">
        <v>1098</v>
      </c>
      <c r="B306" s="160" t="s">
        <v>1072</v>
      </c>
      <c r="C306" s="157" t="s">
        <v>0</v>
      </c>
      <c r="D306" s="159">
        <v>100</v>
      </c>
      <c r="E306" s="159">
        <v>97.63</v>
      </c>
      <c r="F306" s="159"/>
      <c r="G306" s="160" t="s">
        <v>2</v>
      </c>
      <c r="H306" s="34" t="s">
        <v>925</v>
      </c>
    </row>
    <row r="307" spans="1:8" ht="33">
      <c r="A307" s="160">
        <v>1</v>
      </c>
      <c r="B307" s="160" t="s">
        <v>929</v>
      </c>
      <c r="C307" s="157" t="s">
        <v>927</v>
      </c>
      <c r="D307" s="159">
        <v>2.5</v>
      </c>
      <c r="E307" s="159">
        <v>1388.4</v>
      </c>
      <c r="F307" s="159">
        <v>3471</v>
      </c>
      <c r="G307" s="160" t="s">
        <v>2</v>
      </c>
      <c r="H307" s="34" t="s">
        <v>925</v>
      </c>
    </row>
    <row r="308" spans="1:8" ht="33">
      <c r="A308" s="160">
        <v>2</v>
      </c>
      <c r="B308" s="160" t="s">
        <v>4869</v>
      </c>
      <c r="C308" s="157" t="s">
        <v>927</v>
      </c>
      <c r="D308" s="159">
        <v>2.5</v>
      </c>
      <c r="E308" s="159">
        <v>371.17</v>
      </c>
      <c r="F308" s="159">
        <v>927.93</v>
      </c>
      <c r="G308" s="160" t="s">
        <v>5434</v>
      </c>
      <c r="H308" s="34" t="s">
        <v>925</v>
      </c>
    </row>
    <row r="309" spans="1:8" ht="33">
      <c r="A309" s="160">
        <v>3</v>
      </c>
      <c r="B309" s="160" t="s">
        <v>1069</v>
      </c>
      <c r="C309" s="157" t="s">
        <v>927</v>
      </c>
      <c r="D309" s="159">
        <v>16</v>
      </c>
      <c r="E309" s="159">
        <v>57.39</v>
      </c>
      <c r="F309" s="159">
        <v>918.24</v>
      </c>
      <c r="G309" s="160" t="s">
        <v>2</v>
      </c>
      <c r="H309" s="34" t="s">
        <v>925</v>
      </c>
    </row>
    <row r="310" spans="1:8" ht="33">
      <c r="A310" s="160">
        <v>4</v>
      </c>
      <c r="B310" s="160" t="s">
        <v>4871</v>
      </c>
      <c r="C310" s="157" t="s">
        <v>927</v>
      </c>
      <c r="D310" s="159">
        <v>16</v>
      </c>
      <c r="E310" s="159">
        <v>260.08999999999997</v>
      </c>
      <c r="F310" s="159">
        <v>4161.4399999999996</v>
      </c>
      <c r="G310" s="160" t="s">
        <v>5435</v>
      </c>
      <c r="H310" s="34" t="s">
        <v>925</v>
      </c>
    </row>
    <row r="311" spans="1:8" ht="33">
      <c r="A311" s="160">
        <v>5</v>
      </c>
      <c r="B311" s="160" t="s">
        <v>931</v>
      </c>
      <c r="C311" s="157" t="s">
        <v>14</v>
      </c>
      <c r="D311" s="159">
        <v>1</v>
      </c>
      <c r="E311" s="159">
        <v>284.36</v>
      </c>
      <c r="F311" s="159">
        <v>284.36</v>
      </c>
      <c r="G311" s="160" t="s">
        <v>2</v>
      </c>
      <c r="H311" s="34" t="s">
        <v>925</v>
      </c>
    </row>
    <row r="312" spans="1:8" ht="16.5">
      <c r="A312" s="160"/>
      <c r="B312" s="160" t="s">
        <v>933</v>
      </c>
      <c r="C312" s="157" t="s">
        <v>0</v>
      </c>
      <c r="D312" s="159">
        <v>100</v>
      </c>
      <c r="E312" s="159"/>
      <c r="F312" s="159">
        <v>9762.9700000000012</v>
      </c>
      <c r="G312" s="160"/>
    </row>
    <row r="313" spans="1:8" ht="33">
      <c r="A313" s="160"/>
      <c r="B313" s="160" t="s">
        <v>934</v>
      </c>
      <c r="C313" s="157" t="s">
        <v>0</v>
      </c>
      <c r="D313" s="159"/>
      <c r="E313" s="159"/>
      <c r="F313" s="159">
        <v>97.63</v>
      </c>
      <c r="G313" s="160"/>
      <c r="H313" s="34" t="s">
        <v>925</v>
      </c>
    </row>
    <row r="314" spans="1:8" ht="33">
      <c r="A314" s="160"/>
      <c r="B314" s="160"/>
      <c r="C314" s="157"/>
      <c r="D314" s="159"/>
      <c r="E314" s="159"/>
      <c r="F314" s="159"/>
      <c r="G314" s="160"/>
      <c r="H314" s="34" t="s">
        <v>925</v>
      </c>
    </row>
    <row r="315" spans="1:8" ht="33">
      <c r="A315" s="160" t="s">
        <v>1103</v>
      </c>
      <c r="B315" s="160" t="s">
        <v>543</v>
      </c>
      <c r="C315" s="157" t="s">
        <v>1</v>
      </c>
      <c r="D315" s="159">
        <v>100</v>
      </c>
      <c r="E315" s="159">
        <v>1107.06</v>
      </c>
      <c r="F315" s="159"/>
      <c r="G315" s="160" t="s">
        <v>4366</v>
      </c>
      <c r="H315" s="34" t="s">
        <v>925</v>
      </c>
    </row>
    <row r="316" spans="1:8" ht="33">
      <c r="A316" s="160">
        <v>1</v>
      </c>
      <c r="B316" s="160" t="s">
        <v>1076</v>
      </c>
      <c r="C316" s="157" t="s">
        <v>927</v>
      </c>
      <c r="D316" s="159">
        <v>120</v>
      </c>
      <c r="E316" s="159">
        <v>370.24</v>
      </c>
      <c r="F316" s="159">
        <v>44428.800000000003</v>
      </c>
      <c r="G316" s="160" t="s">
        <v>2</v>
      </c>
      <c r="H316" s="34" t="s">
        <v>925</v>
      </c>
    </row>
    <row r="317" spans="1:8" ht="33">
      <c r="A317" s="160">
        <v>2</v>
      </c>
      <c r="B317" s="160" t="s">
        <v>1078</v>
      </c>
      <c r="C317" s="157" t="s">
        <v>927</v>
      </c>
      <c r="D317" s="159">
        <v>120</v>
      </c>
      <c r="E317" s="159">
        <v>371.17</v>
      </c>
      <c r="F317" s="159">
        <v>44540.4</v>
      </c>
      <c r="G317" s="160" t="s">
        <v>2</v>
      </c>
      <c r="H317" s="34" t="s">
        <v>925</v>
      </c>
    </row>
    <row r="318" spans="1:8" ht="33">
      <c r="A318" s="160">
        <v>3</v>
      </c>
      <c r="B318" s="160" t="s">
        <v>1080</v>
      </c>
      <c r="C318" s="157" t="s">
        <v>1</v>
      </c>
      <c r="D318" s="159">
        <v>100</v>
      </c>
      <c r="E318" s="159">
        <v>185.12</v>
      </c>
      <c r="F318" s="159">
        <v>18512</v>
      </c>
      <c r="G318" s="160" t="s">
        <v>2</v>
      </c>
      <c r="H318" s="34" t="s">
        <v>925</v>
      </c>
    </row>
    <row r="319" spans="1:8" ht="33">
      <c r="A319" s="160">
        <v>4</v>
      </c>
      <c r="B319" s="160" t="s">
        <v>931</v>
      </c>
      <c r="C319" s="157" t="s">
        <v>14</v>
      </c>
      <c r="D319" s="159">
        <v>1</v>
      </c>
      <c r="E319" s="159">
        <v>3224.44</v>
      </c>
      <c r="F319" s="159">
        <v>3224.44</v>
      </c>
      <c r="G319" s="160" t="s">
        <v>2</v>
      </c>
      <c r="H319" s="34" t="s">
        <v>925</v>
      </c>
    </row>
    <row r="320" spans="1:8" ht="16.5">
      <c r="A320" s="160"/>
      <c r="B320" s="160" t="s">
        <v>933</v>
      </c>
      <c r="C320" s="157" t="s">
        <v>1</v>
      </c>
      <c r="D320" s="159">
        <v>100</v>
      </c>
      <c r="E320" s="159"/>
      <c r="F320" s="159">
        <v>110705.64000000001</v>
      </c>
      <c r="G320" s="160"/>
    </row>
    <row r="321" spans="1:8" ht="33">
      <c r="A321" s="160"/>
      <c r="B321" s="160" t="s">
        <v>934</v>
      </c>
      <c r="C321" s="157" t="s">
        <v>1</v>
      </c>
      <c r="D321" s="159"/>
      <c r="E321" s="159"/>
      <c r="F321" s="159">
        <v>1107.06</v>
      </c>
      <c r="G321" s="160"/>
      <c r="H321" s="34" t="s">
        <v>925</v>
      </c>
    </row>
    <row r="322" spans="1:8" ht="33">
      <c r="A322" s="160"/>
      <c r="B322" s="160"/>
      <c r="C322" s="157"/>
      <c r="D322" s="159"/>
      <c r="E322" s="159"/>
      <c r="F322" s="159"/>
      <c r="G322" s="160"/>
      <c r="H322" s="34" t="s">
        <v>925</v>
      </c>
    </row>
    <row r="323" spans="1:8" ht="33">
      <c r="A323" s="160" t="s">
        <v>1110</v>
      </c>
      <c r="B323" s="160" t="s">
        <v>3971</v>
      </c>
      <c r="C323" s="157" t="s">
        <v>1</v>
      </c>
      <c r="D323" s="159">
        <v>100</v>
      </c>
      <c r="E323" s="159">
        <v>992.08</v>
      </c>
      <c r="F323" s="159"/>
      <c r="G323" s="160" t="s">
        <v>2</v>
      </c>
      <c r="H323" s="34" t="s">
        <v>925</v>
      </c>
    </row>
    <row r="324" spans="1:8" ht="33">
      <c r="A324" s="160">
        <v>1</v>
      </c>
      <c r="B324" s="160" t="s">
        <v>4017</v>
      </c>
      <c r="C324" s="157" t="s">
        <v>927</v>
      </c>
      <c r="D324" s="159">
        <v>60</v>
      </c>
      <c r="E324" s="159">
        <v>925.6</v>
      </c>
      <c r="F324" s="159">
        <v>55536</v>
      </c>
      <c r="G324" s="160" t="s">
        <v>2</v>
      </c>
      <c r="H324" s="34" t="s">
        <v>925</v>
      </c>
    </row>
    <row r="325" spans="1:8" ht="33">
      <c r="A325" s="160">
        <v>2</v>
      </c>
      <c r="B325" s="160" t="s">
        <v>1086</v>
      </c>
      <c r="C325" s="157" t="s">
        <v>927</v>
      </c>
      <c r="D325" s="159">
        <v>60</v>
      </c>
      <c r="E325" s="159">
        <v>371.17</v>
      </c>
      <c r="F325" s="159">
        <v>22270.2</v>
      </c>
      <c r="G325" s="160" t="s">
        <v>2</v>
      </c>
      <c r="H325" s="34" t="s">
        <v>925</v>
      </c>
    </row>
    <row r="326" spans="1:8" ht="33">
      <c r="A326" s="160">
        <v>3</v>
      </c>
      <c r="B326" s="160" t="s">
        <v>1080</v>
      </c>
      <c r="C326" s="157" t="s">
        <v>1</v>
      </c>
      <c r="D326" s="159">
        <v>100</v>
      </c>
      <c r="E326" s="159">
        <v>185.12</v>
      </c>
      <c r="F326" s="159">
        <v>18512</v>
      </c>
      <c r="G326" s="160" t="s">
        <v>2</v>
      </c>
      <c r="H326" s="34" t="s">
        <v>925</v>
      </c>
    </row>
    <row r="327" spans="1:8" ht="33">
      <c r="A327" s="160">
        <v>4</v>
      </c>
      <c r="B327" s="160" t="s">
        <v>931</v>
      </c>
      <c r="C327" s="157" t="s">
        <v>14</v>
      </c>
      <c r="D327" s="159">
        <v>1</v>
      </c>
      <c r="E327" s="159">
        <v>2889.55</v>
      </c>
      <c r="F327" s="159">
        <v>2889.55</v>
      </c>
      <c r="G327" s="160" t="s">
        <v>2</v>
      </c>
      <c r="H327" s="34" t="s">
        <v>925</v>
      </c>
    </row>
    <row r="328" spans="1:8" ht="33">
      <c r="A328" s="160"/>
      <c r="B328" s="160" t="s">
        <v>933</v>
      </c>
      <c r="C328" s="157" t="s">
        <v>1</v>
      </c>
      <c r="D328" s="159">
        <v>100</v>
      </c>
      <c r="E328" s="159"/>
      <c r="F328" s="159">
        <v>99207.75</v>
      </c>
      <c r="G328" s="160"/>
      <c r="H328" s="34" t="s">
        <v>925</v>
      </c>
    </row>
    <row r="329" spans="1:8" ht="16.5">
      <c r="A329" s="160"/>
      <c r="B329" s="160" t="s">
        <v>934</v>
      </c>
      <c r="C329" s="157" t="s">
        <v>1</v>
      </c>
      <c r="D329" s="159"/>
      <c r="E329" s="159"/>
      <c r="F329" s="159">
        <v>992.08</v>
      </c>
      <c r="G329" s="160"/>
    </row>
    <row r="330" spans="1:8" ht="33">
      <c r="A330" s="160"/>
      <c r="B330" s="160"/>
      <c r="C330" s="157"/>
      <c r="D330" s="159"/>
      <c r="E330" s="159"/>
      <c r="F330" s="159"/>
      <c r="G330" s="160"/>
      <c r="H330" s="34" t="s">
        <v>925</v>
      </c>
    </row>
    <row r="331" spans="1:8" ht="33">
      <c r="A331" s="160" t="s">
        <v>1117</v>
      </c>
      <c r="B331" s="160" t="s">
        <v>26</v>
      </c>
      <c r="C331" s="157" t="s">
        <v>1</v>
      </c>
      <c r="D331" s="159">
        <v>100</v>
      </c>
      <c r="E331" s="159">
        <v>663.18</v>
      </c>
      <c r="F331" s="159"/>
      <c r="G331" s="160" t="s">
        <v>2</v>
      </c>
      <c r="H331" s="34" t="s">
        <v>925</v>
      </c>
    </row>
    <row r="332" spans="1:8" ht="33">
      <c r="A332" s="160">
        <v>1</v>
      </c>
      <c r="B332" s="160" t="s">
        <v>997</v>
      </c>
      <c r="C332" s="157" t="s">
        <v>927</v>
      </c>
      <c r="D332" s="159">
        <v>31.75</v>
      </c>
      <c r="E332" s="159">
        <v>1073.7</v>
      </c>
      <c r="F332" s="159">
        <v>34089.980000000003</v>
      </c>
      <c r="G332" s="160" t="s">
        <v>2</v>
      </c>
      <c r="H332" s="34" t="s">
        <v>925</v>
      </c>
    </row>
    <row r="333" spans="1:8" ht="33">
      <c r="A333" s="160">
        <v>2</v>
      </c>
      <c r="B333" s="160" t="s">
        <v>1086</v>
      </c>
      <c r="C333" s="157" t="s">
        <v>927</v>
      </c>
      <c r="D333" s="159">
        <v>31.75</v>
      </c>
      <c r="E333" s="159">
        <v>371.17</v>
      </c>
      <c r="F333" s="159">
        <v>11784.65</v>
      </c>
      <c r="G333" s="160" t="s">
        <v>2</v>
      </c>
      <c r="H333" s="34" t="s">
        <v>925</v>
      </c>
    </row>
    <row r="334" spans="1:8" ht="33">
      <c r="A334" s="160">
        <v>3</v>
      </c>
      <c r="B334" s="160" t="s">
        <v>1080</v>
      </c>
      <c r="C334" s="157" t="s">
        <v>1</v>
      </c>
      <c r="D334" s="159">
        <v>100</v>
      </c>
      <c r="E334" s="159">
        <v>185.12</v>
      </c>
      <c r="F334" s="159">
        <v>18512</v>
      </c>
      <c r="G334" s="160" t="s">
        <v>2</v>
      </c>
      <c r="H334" s="34" t="s">
        <v>925</v>
      </c>
    </row>
    <row r="335" spans="1:8" ht="33">
      <c r="A335" s="160">
        <v>4</v>
      </c>
      <c r="B335" s="160" t="s">
        <v>931</v>
      </c>
      <c r="C335" s="157" t="s">
        <v>14</v>
      </c>
      <c r="D335" s="159">
        <v>1</v>
      </c>
      <c r="E335" s="159">
        <v>1931.6</v>
      </c>
      <c r="F335" s="159">
        <v>1931.6</v>
      </c>
      <c r="G335" s="160" t="s">
        <v>2</v>
      </c>
      <c r="H335" s="34" t="s">
        <v>925</v>
      </c>
    </row>
    <row r="336" spans="1:8" ht="33">
      <c r="A336" s="160"/>
      <c r="B336" s="160" t="s">
        <v>933</v>
      </c>
      <c r="C336" s="157" t="s">
        <v>1</v>
      </c>
      <c r="D336" s="159">
        <v>100</v>
      </c>
      <c r="E336" s="159"/>
      <c r="F336" s="159">
        <v>66318.23000000001</v>
      </c>
      <c r="G336" s="160"/>
      <c r="H336" s="34" t="s">
        <v>925</v>
      </c>
    </row>
    <row r="337" spans="1:8" ht="33">
      <c r="A337" s="160"/>
      <c r="B337" s="160" t="s">
        <v>934</v>
      </c>
      <c r="C337" s="157" t="s">
        <v>1</v>
      </c>
      <c r="D337" s="159"/>
      <c r="E337" s="159"/>
      <c r="F337" s="159">
        <v>663.18</v>
      </c>
      <c r="G337" s="160"/>
      <c r="H337" s="34" t="s">
        <v>925</v>
      </c>
    </row>
    <row r="338" spans="1:8" ht="33">
      <c r="A338" s="160"/>
      <c r="B338" s="160"/>
      <c r="C338" s="157"/>
      <c r="D338" s="159"/>
      <c r="E338" s="159"/>
      <c r="F338" s="159"/>
      <c r="G338" s="160"/>
      <c r="H338" s="34" t="s">
        <v>925</v>
      </c>
    </row>
    <row r="339" spans="1:8" ht="33">
      <c r="A339" s="160" t="s">
        <v>1129</v>
      </c>
      <c r="B339" s="160" t="s">
        <v>1091</v>
      </c>
      <c r="C339" s="157" t="s">
        <v>1</v>
      </c>
      <c r="D339" s="159">
        <v>100</v>
      </c>
      <c r="E339" s="159">
        <v>440.54</v>
      </c>
      <c r="F339" s="159"/>
      <c r="G339" s="160" t="s">
        <v>2</v>
      </c>
      <c r="H339" s="34" t="s">
        <v>925</v>
      </c>
    </row>
    <row r="340" spans="1:8" ht="33">
      <c r="A340" s="160">
        <v>1</v>
      </c>
      <c r="B340" s="160" t="s">
        <v>1093</v>
      </c>
      <c r="C340" s="157" t="s">
        <v>927</v>
      </c>
      <c r="D340" s="159">
        <v>13.23</v>
      </c>
      <c r="E340" s="159">
        <v>1462.45</v>
      </c>
      <c r="F340" s="159">
        <v>19348.21</v>
      </c>
      <c r="G340" s="160" t="s">
        <v>2</v>
      </c>
      <c r="H340" s="34" t="s">
        <v>925</v>
      </c>
    </row>
    <row r="341" spans="1:8" ht="33">
      <c r="A341" s="160">
        <v>2</v>
      </c>
      <c r="B341" s="160" t="s">
        <v>1086</v>
      </c>
      <c r="C341" s="157" t="s">
        <v>927</v>
      </c>
      <c r="D341" s="159">
        <v>13.23</v>
      </c>
      <c r="E341" s="159">
        <v>371.17</v>
      </c>
      <c r="F341" s="159">
        <v>4910.58</v>
      </c>
      <c r="G341" s="160" t="s">
        <v>2</v>
      </c>
      <c r="H341" s="34" t="s">
        <v>925</v>
      </c>
    </row>
    <row r="342" spans="1:8" ht="16.5">
      <c r="A342" s="160">
        <v>3</v>
      </c>
      <c r="B342" s="160" t="s">
        <v>1080</v>
      </c>
      <c r="C342" s="157" t="s">
        <v>1</v>
      </c>
      <c r="D342" s="159">
        <v>100</v>
      </c>
      <c r="E342" s="159">
        <v>185.12</v>
      </c>
      <c r="F342" s="159">
        <v>18512</v>
      </c>
      <c r="G342" s="160" t="s">
        <v>2</v>
      </c>
    </row>
    <row r="343" spans="1:8" ht="33">
      <c r="A343" s="160">
        <v>4</v>
      </c>
      <c r="B343" s="160" t="s">
        <v>931</v>
      </c>
      <c r="C343" s="157" t="s">
        <v>14</v>
      </c>
      <c r="D343" s="159">
        <v>1</v>
      </c>
      <c r="E343" s="159">
        <v>1283.1199999999999</v>
      </c>
      <c r="F343" s="159">
        <v>1283.1199999999999</v>
      </c>
      <c r="G343" s="160" t="s">
        <v>2</v>
      </c>
      <c r="H343" s="34" t="s">
        <v>925</v>
      </c>
    </row>
    <row r="344" spans="1:8" ht="33">
      <c r="A344" s="160"/>
      <c r="B344" s="160" t="s">
        <v>933</v>
      </c>
      <c r="C344" s="157" t="s">
        <v>1</v>
      </c>
      <c r="D344" s="159">
        <v>100</v>
      </c>
      <c r="E344" s="159"/>
      <c r="F344" s="159">
        <v>44053.91</v>
      </c>
      <c r="G344" s="160"/>
      <c r="H344" s="34" t="s">
        <v>925</v>
      </c>
    </row>
    <row r="345" spans="1:8" ht="33">
      <c r="A345" s="160"/>
      <c r="B345" s="160" t="s">
        <v>934</v>
      </c>
      <c r="C345" s="157" t="s">
        <v>1</v>
      </c>
      <c r="D345" s="159"/>
      <c r="E345" s="159"/>
      <c r="F345" s="159">
        <v>440.54</v>
      </c>
      <c r="G345" s="160"/>
      <c r="H345" s="34" t="s">
        <v>925</v>
      </c>
    </row>
    <row r="346" spans="1:8" ht="33">
      <c r="A346" s="160"/>
      <c r="B346" s="160"/>
      <c r="C346" s="157"/>
      <c r="D346" s="159"/>
      <c r="E346" s="159"/>
      <c r="F346" s="159"/>
      <c r="G346" s="160"/>
      <c r="H346" s="34" t="s">
        <v>925</v>
      </c>
    </row>
    <row r="347" spans="1:8" ht="33">
      <c r="A347" s="160" t="s">
        <v>1134</v>
      </c>
      <c r="B347" s="160" t="s">
        <v>1096</v>
      </c>
      <c r="C347" s="157" t="s">
        <v>1</v>
      </c>
      <c r="D347" s="159">
        <v>100</v>
      </c>
      <c r="E347" s="159">
        <v>472.51</v>
      </c>
      <c r="F347" s="159"/>
      <c r="G347" s="160" t="s">
        <v>4367</v>
      </c>
      <c r="H347" s="34" t="s">
        <v>925</v>
      </c>
    </row>
    <row r="348" spans="1:8" ht="33">
      <c r="A348" s="160">
        <v>1</v>
      </c>
      <c r="B348" s="160" t="s">
        <v>997</v>
      </c>
      <c r="C348" s="157" t="s">
        <v>927</v>
      </c>
      <c r="D348" s="159">
        <v>31.75</v>
      </c>
      <c r="E348" s="159">
        <v>1073.7</v>
      </c>
      <c r="F348" s="159">
        <v>34089.980000000003</v>
      </c>
      <c r="G348" s="160" t="s">
        <v>2</v>
      </c>
      <c r="H348" s="34" t="s">
        <v>925</v>
      </c>
    </row>
    <row r="349" spans="1:8" ht="33">
      <c r="A349" s="160">
        <v>2</v>
      </c>
      <c r="B349" s="160" t="s">
        <v>1086</v>
      </c>
      <c r="C349" s="157" t="s">
        <v>927</v>
      </c>
      <c r="D349" s="159">
        <v>31.75</v>
      </c>
      <c r="E349" s="159">
        <v>371.17</v>
      </c>
      <c r="F349" s="159">
        <v>11784.65</v>
      </c>
      <c r="G349" s="160" t="s">
        <v>2</v>
      </c>
      <c r="H349" s="34" t="s">
        <v>925</v>
      </c>
    </row>
    <row r="350" spans="1:8" ht="33">
      <c r="A350" s="160">
        <v>3</v>
      </c>
      <c r="B350" s="160" t="s">
        <v>931</v>
      </c>
      <c r="C350" s="157" t="s">
        <v>14</v>
      </c>
      <c r="D350" s="159">
        <v>1</v>
      </c>
      <c r="E350" s="159">
        <v>1376.24</v>
      </c>
      <c r="F350" s="159">
        <v>1376.24</v>
      </c>
      <c r="G350" s="160" t="s">
        <v>2</v>
      </c>
      <c r="H350" s="34" t="s">
        <v>925</v>
      </c>
    </row>
    <row r="351" spans="1:8" ht="33">
      <c r="A351" s="160"/>
      <c r="B351" s="160" t="s">
        <v>933</v>
      </c>
      <c r="C351" s="157" t="s">
        <v>1</v>
      </c>
      <c r="D351" s="159">
        <v>100</v>
      </c>
      <c r="E351" s="159"/>
      <c r="F351" s="159">
        <v>47250.87</v>
      </c>
      <c r="G351" s="160"/>
      <c r="H351" s="34" t="s">
        <v>925</v>
      </c>
    </row>
    <row r="352" spans="1:8" ht="33">
      <c r="A352" s="160"/>
      <c r="B352" s="160" t="s">
        <v>934</v>
      </c>
      <c r="C352" s="157" t="s">
        <v>1</v>
      </c>
      <c r="D352" s="159"/>
      <c r="E352" s="159"/>
      <c r="F352" s="159">
        <v>472.51</v>
      </c>
      <c r="G352" s="160"/>
      <c r="H352" s="34" t="s">
        <v>925</v>
      </c>
    </row>
    <row r="353" spans="1:8" ht="33">
      <c r="A353" s="160"/>
      <c r="B353" s="160"/>
      <c r="C353" s="157"/>
      <c r="D353" s="159"/>
      <c r="E353" s="159"/>
      <c r="F353" s="159"/>
      <c r="G353" s="160"/>
      <c r="H353" s="34" t="s">
        <v>925</v>
      </c>
    </row>
    <row r="354" spans="1:8" ht="33">
      <c r="A354" s="160" t="s">
        <v>1139</v>
      </c>
      <c r="B354" s="160" t="s">
        <v>1099</v>
      </c>
      <c r="C354" s="157" t="s">
        <v>0</v>
      </c>
      <c r="D354" s="159">
        <v>100</v>
      </c>
      <c r="E354" s="159">
        <v>882.46</v>
      </c>
      <c r="F354" s="159"/>
      <c r="G354" s="160" t="s">
        <v>2</v>
      </c>
      <c r="H354" s="34" t="s">
        <v>925</v>
      </c>
    </row>
    <row r="355" spans="1:8" ht="33">
      <c r="A355" s="160">
        <v>1</v>
      </c>
      <c r="B355" s="160" t="s">
        <v>997</v>
      </c>
      <c r="C355" s="157" t="s">
        <v>927</v>
      </c>
      <c r="D355" s="159">
        <v>31.75</v>
      </c>
      <c r="E355" s="159">
        <v>1073.7</v>
      </c>
      <c r="F355" s="159">
        <v>34089.980000000003</v>
      </c>
      <c r="G355" s="160" t="s">
        <v>2</v>
      </c>
      <c r="H355" s="34" t="s">
        <v>925</v>
      </c>
    </row>
    <row r="356" spans="1:8" ht="33">
      <c r="A356" s="160">
        <v>2</v>
      </c>
      <c r="B356" s="160" t="s">
        <v>1086</v>
      </c>
      <c r="C356" s="157" t="s">
        <v>927</v>
      </c>
      <c r="D356" s="159">
        <v>31.75</v>
      </c>
      <c r="E356" s="159">
        <v>371.17</v>
      </c>
      <c r="F356" s="159">
        <v>11784.65</v>
      </c>
      <c r="G356" s="160" t="s">
        <v>2</v>
      </c>
      <c r="H356" s="34" t="s">
        <v>925</v>
      </c>
    </row>
    <row r="357" spans="1:8" ht="33">
      <c r="A357" s="160">
        <v>3</v>
      </c>
      <c r="B357" s="160" t="s">
        <v>1101</v>
      </c>
      <c r="C357" s="157" t="s">
        <v>1</v>
      </c>
      <c r="D357" s="159">
        <v>100</v>
      </c>
      <c r="E357" s="159">
        <v>398.01</v>
      </c>
      <c r="F357" s="159">
        <v>39801</v>
      </c>
      <c r="G357" s="160" t="s">
        <v>2</v>
      </c>
      <c r="H357" s="34" t="s">
        <v>925</v>
      </c>
    </row>
    <row r="358" spans="1:8" ht="16.5">
      <c r="A358" s="160">
        <v>4</v>
      </c>
      <c r="B358" s="160" t="s">
        <v>931</v>
      </c>
      <c r="C358" s="157" t="s">
        <v>14</v>
      </c>
      <c r="D358" s="159">
        <v>1</v>
      </c>
      <c r="E358" s="159">
        <v>2570.27</v>
      </c>
      <c r="F358" s="159">
        <v>2570.27</v>
      </c>
      <c r="G358" s="160" t="s">
        <v>2</v>
      </c>
    </row>
    <row r="359" spans="1:8" ht="33">
      <c r="A359" s="160"/>
      <c r="B359" s="160" t="s">
        <v>933</v>
      </c>
      <c r="C359" s="157" t="s">
        <v>0</v>
      </c>
      <c r="D359" s="159">
        <v>100</v>
      </c>
      <c r="E359" s="159"/>
      <c r="F359" s="159">
        <v>88245.900000000009</v>
      </c>
      <c r="G359" s="160"/>
      <c r="H359" s="34" t="s">
        <v>925</v>
      </c>
    </row>
    <row r="360" spans="1:8" ht="33">
      <c r="A360" s="160"/>
      <c r="B360" s="160" t="s">
        <v>934</v>
      </c>
      <c r="C360" s="157" t="s">
        <v>0</v>
      </c>
      <c r="D360" s="159"/>
      <c r="E360" s="159"/>
      <c r="F360" s="159">
        <v>882.46</v>
      </c>
      <c r="G360" s="160"/>
      <c r="H360" s="34" t="s">
        <v>925</v>
      </c>
    </row>
    <row r="361" spans="1:8" ht="33">
      <c r="A361" s="160"/>
      <c r="B361" s="160"/>
      <c r="C361" s="157"/>
      <c r="D361" s="159"/>
      <c r="E361" s="159"/>
      <c r="F361" s="159"/>
      <c r="G361" s="160"/>
      <c r="H361" s="34" t="s">
        <v>925</v>
      </c>
    </row>
    <row r="362" spans="1:8" ht="33">
      <c r="A362" s="160" t="s">
        <v>1148</v>
      </c>
      <c r="B362" s="160" t="s">
        <v>1104</v>
      </c>
      <c r="C362" s="157" t="s">
        <v>0</v>
      </c>
      <c r="D362" s="159">
        <v>1</v>
      </c>
      <c r="E362" s="159">
        <v>1378.09</v>
      </c>
      <c r="F362" s="159"/>
      <c r="G362" s="160" t="s">
        <v>2</v>
      </c>
      <c r="H362" s="34" t="s">
        <v>925</v>
      </c>
    </row>
    <row r="363" spans="1:8" ht="33">
      <c r="A363" s="160">
        <v>1</v>
      </c>
      <c r="B363" s="160" t="s">
        <v>1106</v>
      </c>
      <c r="C363" s="157" t="s">
        <v>927</v>
      </c>
      <c r="D363" s="159">
        <v>0.25</v>
      </c>
      <c r="E363" s="159">
        <v>2128.88</v>
      </c>
      <c r="F363" s="159">
        <v>532.22</v>
      </c>
      <c r="G363" s="160" t="s">
        <v>2</v>
      </c>
      <c r="H363" s="34" t="s">
        <v>925</v>
      </c>
    </row>
    <row r="364" spans="1:8" ht="33">
      <c r="A364" s="160">
        <v>2</v>
      </c>
      <c r="B364" s="160" t="s">
        <v>999</v>
      </c>
      <c r="C364" s="157" t="s">
        <v>927</v>
      </c>
      <c r="D364" s="159">
        <v>0.25</v>
      </c>
      <c r="E364" s="159">
        <v>371.17</v>
      </c>
      <c r="F364" s="159">
        <v>92.79</v>
      </c>
      <c r="G364" s="160" t="s">
        <v>4379</v>
      </c>
      <c r="H364" s="34" t="s">
        <v>925</v>
      </c>
    </row>
    <row r="365" spans="1:8" ht="16.5">
      <c r="A365" s="160">
        <v>3</v>
      </c>
      <c r="B365" s="160" t="s">
        <v>4871</v>
      </c>
      <c r="C365" s="157" t="s">
        <v>927</v>
      </c>
      <c r="D365" s="159">
        <v>0.25</v>
      </c>
      <c r="E365" s="159">
        <v>260.08999999999997</v>
      </c>
      <c r="F365" s="159">
        <v>65.02</v>
      </c>
      <c r="G365" s="160" t="s">
        <v>2</v>
      </c>
    </row>
    <row r="366" spans="1:8" ht="33">
      <c r="A366" s="160">
        <v>4</v>
      </c>
      <c r="B366" s="160" t="s">
        <v>1108</v>
      </c>
      <c r="C366" s="157" t="s">
        <v>0</v>
      </c>
      <c r="D366" s="159">
        <v>1</v>
      </c>
      <c r="E366" s="159">
        <v>647.91999999999996</v>
      </c>
      <c r="F366" s="159">
        <v>647.91999999999996</v>
      </c>
      <c r="G366" s="160" t="s">
        <v>2</v>
      </c>
      <c r="H366" s="34" t="s">
        <v>925</v>
      </c>
    </row>
    <row r="367" spans="1:8" ht="33">
      <c r="A367" s="160">
        <v>5</v>
      </c>
      <c r="B367" s="160" t="s">
        <v>931</v>
      </c>
      <c r="C367" s="157" t="s">
        <v>14</v>
      </c>
      <c r="D367" s="159">
        <v>1</v>
      </c>
      <c r="E367" s="159">
        <v>40.14</v>
      </c>
      <c r="F367" s="159">
        <v>40.14</v>
      </c>
      <c r="G367" s="160" t="s">
        <v>2</v>
      </c>
      <c r="H367" s="34" t="s">
        <v>925</v>
      </c>
    </row>
    <row r="368" spans="1:8" ht="33">
      <c r="A368" s="160"/>
      <c r="B368" s="160" t="s">
        <v>933</v>
      </c>
      <c r="C368" s="157" t="s">
        <v>0</v>
      </c>
      <c r="D368" s="159">
        <v>1</v>
      </c>
      <c r="E368" s="159"/>
      <c r="F368" s="159">
        <v>1378.09</v>
      </c>
      <c r="G368" s="160"/>
      <c r="H368" s="34" t="s">
        <v>925</v>
      </c>
    </row>
    <row r="369" spans="1:8" ht="33">
      <c r="A369" s="160"/>
      <c r="B369" s="160" t="s">
        <v>934</v>
      </c>
      <c r="C369" s="157" t="s">
        <v>0</v>
      </c>
      <c r="D369" s="159"/>
      <c r="E369" s="159"/>
      <c r="F369" s="159">
        <v>1378.09</v>
      </c>
      <c r="G369" s="160"/>
      <c r="H369" s="34" t="s">
        <v>925</v>
      </c>
    </row>
    <row r="370" spans="1:8" ht="33">
      <c r="A370" s="160"/>
      <c r="B370" s="160"/>
      <c r="C370" s="157"/>
      <c r="D370" s="159"/>
      <c r="E370" s="159"/>
      <c r="F370" s="159"/>
      <c r="G370" s="160"/>
      <c r="H370" s="34" t="s">
        <v>925</v>
      </c>
    </row>
    <row r="371" spans="1:8" ht="33">
      <c r="A371" s="160" t="s">
        <v>1153</v>
      </c>
      <c r="B371" s="160" t="s">
        <v>1111</v>
      </c>
      <c r="C371" s="157" t="s">
        <v>3</v>
      </c>
      <c r="D371" s="159">
        <v>1000</v>
      </c>
      <c r="E371" s="159">
        <v>11.06</v>
      </c>
      <c r="F371" s="159"/>
      <c r="G371" s="160" t="s">
        <v>2</v>
      </c>
      <c r="H371" s="34" t="s">
        <v>925</v>
      </c>
    </row>
    <row r="372" spans="1:8" ht="16.5">
      <c r="A372" s="160">
        <v>1</v>
      </c>
      <c r="B372" s="160" t="s">
        <v>1050</v>
      </c>
      <c r="C372" s="157" t="s">
        <v>927</v>
      </c>
      <c r="D372" s="159">
        <v>2.5</v>
      </c>
      <c r="E372" s="159">
        <v>1295.8399999999999</v>
      </c>
      <c r="F372" s="159">
        <v>3239.6</v>
      </c>
      <c r="G372" s="160" t="s">
        <v>2</v>
      </c>
    </row>
    <row r="373" spans="1:8" ht="33">
      <c r="A373" s="160">
        <v>2</v>
      </c>
      <c r="B373" s="160" t="s">
        <v>1113</v>
      </c>
      <c r="C373" s="157" t="s">
        <v>927</v>
      </c>
      <c r="D373" s="159">
        <v>1.88</v>
      </c>
      <c r="E373" s="159">
        <v>1082.95</v>
      </c>
      <c r="F373" s="159">
        <v>2035.95</v>
      </c>
      <c r="G373" s="160" t="s">
        <v>2</v>
      </c>
      <c r="H373" s="34" t="s">
        <v>925</v>
      </c>
    </row>
    <row r="374" spans="1:8" ht="33">
      <c r="A374" s="160">
        <v>3</v>
      </c>
      <c r="B374" s="160" t="s">
        <v>1056</v>
      </c>
      <c r="C374" s="157" t="s">
        <v>927</v>
      </c>
      <c r="D374" s="159">
        <v>2.5</v>
      </c>
      <c r="E374" s="159">
        <v>714.56</v>
      </c>
      <c r="F374" s="159">
        <v>1786.4</v>
      </c>
      <c r="G374" s="160" t="s">
        <v>2</v>
      </c>
      <c r="H374" s="34" t="s">
        <v>925</v>
      </c>
    </row>
    <row r="375" spans="1:8" ht="33">
      <c r="A375" s="160">
        <v>4</v>
      </c>
      <c r="B375" s="160" t="s">
        <v>1115</v>
      </c>
      <c r="C375" s="157" t="s">
        <v>14</v>
      </c>
      <c r="D375" s="159">
        <v>1</v>
      </c>
      <c r="E375" s="159">
        <v>79.34</v>
      </c>
      <c r="F375" s="159">
        <v>79.34</v>
      </c>
      <c r="G375" s="160" t="s">
        <v>2</v>
      </c>
      <c r="H375" s="34" t="s">
        <v>925</v>
      </c>
    </row>
    <row r="376" spans="1:8" ht="33">
      <c r="A376" s="160">
        <v>5</v>
      </c>
      <c r="B376" s="160" t="s">
        <v>4883</v>
      </c>
      <c r="C376" s="157" t="s">
        <v>927</v>
      </c>
      <c r="D376" s="159">
        <v>2.5</v>
      </c>
      <c r="E376" s="159">
        <v>371.17</v>
      </c>
      <c r="F376" s="159">
        <v>927.93</v>
      </c>
      <c r="G376" s="160" t="s">
        <v>5438</v>
      </c>
      <c r="H376" s="34" t="s">
        <v>925</v>
      </c>
    </row>
    <row r="377" spans="1:8" ht="33">
      <c r="A377" s="160">
        <v>6</v>
      </c>
      <c r="B377" s="160" t="s">
        <v>4885</v>
      </c>
      <c r="C377" s="157" t="s">
        <v>927</v>
      </c>
      <c r="D377" s="159">
        <v>1.88</v>
      </c>
      <c r="E377" s="159">
        <v>371.17</v>
      </c>
      <c r="F377" s="159">
        <v>697.8</v>
      </c>
      <c r="G377" s="160" t="s">
        <v>5439</v>
      </c>
      <c r="H377" s="34" t="s">
        <v>925</v>
      </c>
    </row>
    <row r="378" spans="1:8" ht="33">
      <c r="A378" s="160">
        <v>7</v>
      </c>
      <c r="B378" s="160" t="s">
        <v>1060</v>
      </c>
      <c r="C378" s="157" t="s">
        <v>927</v>
      </c>
      <c r="D378" s="159">
        <v>2.5</v>
      </c>
      <c r="E378" s="159">
        <v>371.17</v>
      </c>
      <c r="F378" s="159">
        <v>927.93</v>
      </c>
      <c r="G378" s="160" t="s">
        <v>2</v>
      </c>
      <c r="H378" s="34" t="s">
        <v>925</v>
      </c>
    </row>
    <row r="379" spans="1:8" ht="33">
      <c r="A379" s="160">
        <v>8</v>
      </c>
      <c r="B379" s="160" t="s">
        <v>4871</v>
      </c>
      <c r="C379" s="157" t="s">
        <v>927</v>
      </c>
      <c r="D379" s="159">
        <v>4</v>
      </c>
      <c r="E379" s="159">
        <v>260.08999999999997</v>
      </c>
      <c r="F379" s="159">
        <v>1040.3599999999999</v>
      </c>
      <c r="G379" s="160" t="s">
        <v>2</v>
      </c>
      <c r="H379" s="34" t="s">
        <v>925</v>
      </c>
    </row>
    <row r="380" spans="1:8" ht="33">
      <c r="A380" s="160">
        <v>9</v>
      </c>
      <c r="B380" s="160" t="s">
        <v>931</v>
      </c>
      <c r="C380" s="157" t="s">
        <v>14</v>
      </c>
      <c r="D380" s="159">
        <v>1</v>
      </c>
      <c r="E380" s="159">
        <v>322.06</v>
      </c>
      <c r="F380" s="159">
        <v>322.06</v>
      </c>
      <c r="G380" s="160" t="s">
        <v>2</v>
      </c>
      <c r="H380" s="34" t="s">
        <v>925</v>
      </c>
    </row>
    <row r="381" spans="1:8" ht="33">
      <c r="A381" s="160"/>
      <c r="B381" s="160" t="s">
        <v>933</v>
      </c>
      <c r="C381" s="157" t="s">
        <v>3</v>
      </c>
      <c r="D381" s="159">
        <v>1000</v>
      </c>
      <c r="E381" s="159"/>
      <c r="F381" s="159">
        <v>11057.37</v>
      </c>
      <c r="G381" s="160"/>
      <c r="H381" s="34" t="s">
        <v>925</v>
      </c>
    </row>
    <row r="382" spans="1:8" ht="16.5">
      <c r="A382" s="160"/>
      <c r="B382" s="160" t="s">
        <v>934</v>
      </c>
      <c r="C382" s="157" t="s">
        <v>3</v>
      </c>
      <c r="D382" s="159"/>
      <c r="E382" s="159"/>
      <c r="F382" s="159">
        <v>11.06</v>
      </c>
      <c r="G382" s="160"/>
    </row>
    <row r="383" spans="1:8" ht="33">
      <c r="A383" s="160"/>
      <c r="B383" s="160"/>
      <c r="C383" s="157"/>
      <c r="D383" s="159"/>
      <c r="E383" s="159"/>
      <c r="F383" s="159"/>
      <c r="G383" s="160"/>
      <c r="H383" s="34" t="s">
        <v>925</v>
      </c>
    </row>
    <row r="384" spans="1:8" ht="33">
      <c r="A384" s="160" t="s">
        <v>1161</v>
      </c>
      <c r="B384" s="160" t="s">
        <v>1118</v>
      </c>
      <c r="C384" s="157" t="s">
        <v>15</v>
      </c>
      <c r="D384" s="159">
        <v>100</v>
      </c>
      <c r="E384" s="159">
        <v>1201.9000000000001</v>
      </c>
      <c r="F384" s="159"/>
      <c r="G384" s="160" t="s">
        <v>2</v>
      </c>
      <c r="H384" s="34" t="s">
        <v>925</v>
      </c>
    </row>
    <row r="385" spans="1:8" ht="33">
      <c r="A385" s="160">
        <v>1</v>
      </c>
      <c r="B385" s="160" t="s">
        <v>1120</v>
      </c>
      <c r="C385" s="157" t="s">
        <v>1121</v>
      </c>
      <c r="D385" s="159">
        <v>135</v>
      </c>
      <c r="E385" s="159">
        <v>764.55</v>
      </c>
      <c r="F385" s="159">
        <v>103214.25</v>
      </c>
      <c r="G385" s="160" t="s">
        <v>2</v>
      </c>
      <c r="H385" s="34" t="s">
        <v>925</v>
      </c>
    </row>
    <row r="386" spans="1:8" ht="33">
      <c r="A386" s="160">
        <v>2</v>
      </c>
      <c r="B386" s="160" t="s">
        <v>1123</v>
      </c>
      <c r="C386" s="157" t="s">
        <v>927</v>
      </c>
      <c r="D386" s="159">
        <v>1.43</v>
      </c>
      <c r="E386" s="159">
        <v>1203.28</v>
      </c>
      <c r="F386" s="159">
        <v>1720.69</v>
      </c>
      <c r="G386" s="160" t="s">
        <v>2</v>
      </c>
      <c r="H386" s="34" t="s">
        <v>925</v>
      </c>
    </row>
    <row r="387" spans="1:8" ht="33">
      <c r="A387" s="160">
        <v>3</v>
      </c>
      <c r="B387" s="160" t="s">
        <v>1113</v>
      </c>
      <c r="C387" s="157" t="s">
        <v>927</v>
      </c>
      <c r="D387" s="159">
        <v>2.5</v>
      </c>
      <c r="E387" s="159">
        <v>1082.95</v>
      </c>
      <c r="F387" s="159">
        <v>2707.38</v>
      </c>
      <c r="G387" s="160" t="s">
        <v>2</v>
      </c>
      <c r="H387" s="34" t="s">
        <v>925</v>
      </c>
    </row>
    <row r="388" spans="1:8" ht="33">
      <c r="A388" s="160">
        <v>4</v>
      </c>
      <c r="B388" s="160" t="s">
        <v>1125</v>
      </c>
      <c r="C388" s="157" t="s">
        <v>927</v>
      </c>
      <c r="D388" s="159">
        <v>2.2999999999999998</v>
      </c>
      <c r="E388" s="159">
        <v>1203.28</v>
      </c>
      <c r="F388" s="159">
        <v>2767.54</v>
      </c>
      <c r="G388" s="160" t="s">
        <v>2</v>
      </c>
      <c r="H388" s="34" t="s">
        <v>925</v>
      </c>
    </row>
    <row r="389" spans="1:8" ht="33">
      <c r="A389" s="160">
        <v>5</v>
      </c>
      <c r="B389" s="160" t="s">
        <v>1056</v>
      </c>
      <c r="C389" s="157" t="s">
        <v>927</v>
      </c>
      <c r="D389" s="159">
        <v>1.2</v>
      </c>
      <c r="E389" s="159">
        <v>714.56</v>
      </c>
      <c r="F389" s="159">
        <v>857.47</v>
      </c>
      <c r="G389" s="160" t="s">
        <v>2</v>
      </c>
      <c r="H389" s="34" t="s">
        <v>925</v>
      </c>
    </row>
    <row r="390" spans="1:8" ht="33">
      <c r="A390" s="160">
        <v>6</v>
      </c>
      <c r="B390" s="160" t="s">
        <v>1115</v>
      </c>
      <c r="C390" s="157" t="s">
        <v>14</v>
      </c>
      <c r="D390" s="159">
        <v>1</v>
      </c>
      <c r="E390" s="159">
        <v>46.38</v>
      </c>
      <c r="F390" s="159">
        <v>46.38</v>
      </c>
      <c r="G390" s="160" t="s">
        <v>2</v>
      </c>
      <c r="H390" s="34" t="s">
        <v>925</v>
      </c>
    </row>
    <row r="391" spans="1:8" ht="33">
      <c r="A391" s="160">
        <v>7</v>
      </c>
      <c r="B391" s="160" t="s">
        <v>1127</v>
      </c>
      <c r="C391" s="157" t="s">
        <v>927</v>
      </c>
      <c r="D391" s="159">
        <v>2.5</v>
      </c>
      <c r="E391" s="159">
        <v>423</v>
      </c>
      <c r="F391" s="159">
        <v>1057.5</v>
      </c>
      <c r="G391" s="160" t="s">
        <v>2</v>
      </c>
      <c r="H391" s="34" t="s">
        <v>925</v>
      </c>
    </row>
    <row r="392" spans="1:8" ht="28.5">
      <c r="A392" s="160">
        <v>8</v>
      </c>
      <c r="B392" s="160" t="s">
        <v>4889</v>
      </c>
      <c r="C392" s="157" t="s">
        <v>927</v>
      </c>
      <c r="D392" s="159">
        <v>2.2999999999999998</v>
      </c>
      <c r="E392" s="159">
        <v>371.17</v>
      </c>
      <c r="F392" s="159">
        <v>853.69</v>
      </c>
      <c r="G392" s="160" t="s">
        <v>5441</v>
      </c>
    </row>
    <row r="393" spans="1:8" ht="33">
      <c r="A393" s="160">
        <v>9</v>
      </c>
      <c r="B393" s="160" t="s">
        <v>4885</v>
      </c>
      <c r="C393" s="157" t="s">
        <v>927</v>
      </c>
      <c r="D393" s="159">
        <v>3.93</v>
      </c>
      <c r="E393" s="159">
        <v>371.17</v>
      </c>
      <c r="F393" s="159">
        <v>1458.7</v>
      </c>
      <c r="G393" s="160" t="s">
        <v>5439</v>
      </c>
      <c r="H393" s="34" t="s">
        <v>925</v>
      </c>
    </row>
    <row r="394" spans="1:8" ht="33">
      <c r="A394" s="160">
        <v>10</v>
      </c>
      <c r="B394" s="160" t="s">
        <v>1060</v>
      </c>
      <c r="C394" s="157" t="s">
        <v>927</v>
      </c>
      <c r="D394" s="159">
        <v>1.2</v>
      </c>
      <c r="E394" s="159">
        <v>371.17</v>
      </c>
      <c r="F394" s="159">
        <v>445.4</v>
      </c>
      <c r="G394" s="160" t="s">
        <v>2</v>
      </c>
      <c r="H394" s="34" t="s">
        <v>925</v>
      </c>
    </row>
    <row r="395" spans="1:8" ht="33">
      <c r="A395" s="160">
        <v>11</v>
      </c>
      <c r="B395" s="160" t="s">
        <v>4871</v>
      </c>
      <c r="C395" s="157" t="s">
        <v>927</v>
      </c>
      <c r="D395" s="159">
        <v>6</v>
      </c>
      <c r="E395" s="159">
        <v>260.08999999999997</v>
      </c>
      <c r="F395" s="159">
        <v>1560.54</v>
      </c>
      <c r="G395" s="160" t="s">
        <v>2</v>
      </c>
      <c r="H395" s="34" t="s">
        <v>925</v>
      </c>
    </row>
    <row r="396" spans="1:8" ht="33">
      <c r="A396" s="160">
        <v>12</v>
      </c>
      <c r="B396" s="160" t="s">
        <v>931</v>
      </c>
      <c r="C396" s="157" t="s">
        <v>14</v>
      </c>
      <c r="D396" s="159">
        <v>1</v>
      </c>
      <c r="E396" s="159">
        <v>3500.69</v>
      </c>
      <c r="F396" s="159">
        <v>3500.69</v>
      </c>
      <c r="G396" s="160" t="s">
        <v>2</v>
      </c>
      <c r="H396" s="34" t="s">
        <v>925</v>
      </c>
    </row>
    <row r="397" spans="1:8" ht="33">
      <c r="A397" s="160"/>
      <c r="B397" s="160" t="s">
        <v>933</v>
      </c>
      <c r="C397" s="157" t="s">
        <v>15</v>
      </c>
      <c r="D397" s="159">
        <v>100</v>
      </c>
      <c r="E397" s="159"/>
      <c r="F397" s="159">
        <v>120190.23</v>
      </c>
      <c r="G397" s="160"/>
      <c r="H397" s="34" t="s">
        <v>925</v>
      </c>
    </row>
    <row r="398" spans="1:8" ht="33">
      <c r="A398" s="160"/>
      <c r="B398" s="160" t="s">
        <v>934</v>
      </c>
      <c r="C398" s="157" t="s">
        <v>15</v>
      </c>
      <c r="D398" s="159"/>
      <c r="E398" s="159"/>
      <c r="F398" s="159">
        <v>1201.9000000000001</v>
      </c>
      <c r="G398" s="160"/>
      <c r="H398" s="34" t="s">
        <v>925</v>
      </c>
    </row>
    <row r="399" spans="1:8" ht="33">
      <c r="A399" s="160"/>
      <c r="B399" s="160"/>
      <c r="C399" s="157"/>
      <c r="D399" s="159"/>
      <c r="E399" s="159"/>
      <c r="F399" s="159"/>
      <c r="G399" s="160"/>
      <c r="H399" s="34" t="s">
        <v>925</v>
      </c>
    </row>
    <row r="400" spans="1:8" ht="28.5">
      <c r="A400" s="160" t="s">
        <v>1166</v>
      </c>
      <c r="B400" s="160" t="s">
        <v>1130</v>
      </c>
      <c r="C400" s="157" t="s">
        <v>15</v>
      </c>
      <c r="D400" s="159">
        <v>1</v>
      </c>
      <c r="E400" s="159">
        <v>1358.08</v>
      </c>
      <c r="F400" s="159"/>
      <c r="G400" s="160" t="s">
        <v>2</v>
      </c>
    </row>
    <row r="401" spans="1:8" ht="33">
      <c r="A401" s="160">
        <v>1</v>
      </c>
      <c r="B401" s="160" t="s">
        <v>1132</v>
      </c>
      <c r="C401" s="157" t="s">
        <v>1121</v>
      </c>
      <c r="D401" s="159">
        <v>1.25</v>
      </c>
      <c r="E401" s="159">
        <v>638.66999999999996</v>
      </c>
      <c r="F401" s="159">
        <v>798.34</v>
      </c>
      <c r="G401" s="160" t="s">
        <v>2</v>
      </c>
      <c r="H401" s="34" t="s">
        <v>925</v>
      </c>
    </row>
    <row r="402" spans="1:8" ht="33">
      <c r="A402" s="160">
        <v>2</v>
      </c>
      <c r="B402" s="160" t="s">
        <v>4871</v>
      </c>
      <c r="C402" s="157" t="s">
        <v>927</v>
      </c>
      <c r="D402" s="159">
        <v>2</v>
      </c>
      <c r="E402" s="159">
        <v>260.08999999999997</v>
      </c>
      <c r="F402" s="159">
        <v>520.17999999999995</v>
      </c>
      <c r="G402" s="160" t="s">
        <v>2</v>
      </c>
      <c r="H402" s="34" t="s">
        <v>925</v>
      </c>
    </row>
    <row r="403" spans="1:8" ht="33">
      <c r="A403" s="160">
        <v>3</v>
      </c>
      <c r="B403" s="160" t="s">
        <v>955</v>
      </c>
      <c r="C403" s="157" t="s">
        <v>14</v>
      </c>
      <c r="D403" s="159">
        <v>1</v>
      </c>
      <c r="E403" s="159">
        <v>39.56</v>
      </c>
      <c r="F403" s="159">
        <v>39.56</v>
      </c>
      <c r="G403" s="160" t="s">
        <v>2</v>
      </c>
      <c r="H403" s="34" t="s">
        <v>925</v>
      </c>
    </row>
    <row r="404" spans="1:8" ht="33">
      <c r="A404" s="160"/>
      <c r="B404" s="160" t="s">
        <v>933</v>
      </c>
      <c r="C404" s="157" t="s">
        <v>15</v>
      </c>
      <c r="D404" s="159">
        <v>1</v>
      </c>
      <c r="E404" s="159"/>
      <c r="F404" s="159">
        <v>1358.08</v>
      </c>
      <c r="G404" s="160"/>
      <c r="H404" s="34" t="s">
        <v>925</v>
      </c>
    </row>
    <row r="405" spans="1:8" ht="33">
      <c r="A405" s="160"/>
      <c r="B405" s="160" t="s">
        <v>934</v>
      </c>
      <c r="C405" s="157" t="s">
        <v>15</v>
      </c>
      <c r="D405" s="159"/>
      <c r="E405" s="159"/>
      <c r="F405" s="159">
        <v>1358.08</v>
      </c>
      <c r="G405" s="160"/>
      <c r="H405" s="34" t="s">
        <v>925</v>
      </c>
    </row>
    <row r="406" spans="1:8" ht="33">
      <c r="A406" s="160"/>
      <c r="B406" s="160"/>
      <c r="C406" s="157"/>
      <c r="D406" s="159"/>
      <c r="E406" s="159"/>
      <c r="F406" s="159"/>
      <c r="G406" s="160"/>
      <c r="H406" s="34" t="s">
        <v>925</v>
      </c>
    </row>
    <row r="407" spans="1:8" ht="33">
      <c r="A407" s="160" t="s">
        <v>1170</v>
      </c>
      <c r="B407" s="160" t="s">
        <v>1135</v>
      </c>
      <c r="C407" s="157" t="s">
        <v>15</v>
      </c>
      <c r="D407" s="159">
        <v>1</v>
      </c>
      <c r="E407" s="159">
        <v>1236.04</v>
      </c>
      <c r="F407" s="159"/>
      <c r="G407" s="160" t="s">
        <v>2</v>
      </c>
      <c r="H407" s="34" t="s">
        <v>925</v>
      </c>
    </row>
    <row r="408" spans="1:8" ht="28.5">
      <c r="A408" s="160">
        <v>1</v>
      </c>
      <c r="B408" s="160" t="s">
        <v>1137</v>
      </c>
      <c r="C408" s="157" t="s">
        <v>1121</v>
      </c>
      <c r="D408" s="159">
        <v>1.25</v>
      </c>
      <c r="E408" s="159">
        <v>647.91999999999996</v>
      </c>
      <c r="F408" s="159">
        <v>809.9</v>
      </c>
      <c r="G408" s="160" t="s">
        <v>2</v>
      </c>
    </row>
    <row r="409" spans="1:8" ht="33">
      <c r="A409" s="160">
        <v>2</v>
      </c>
      <c r="B409" s="160" t="s">
        <v>4871</v>
      </c>
      <c r="C409" s="157" t="s">
        <v>927</v>
      </c>
      <c r="D409" s="159">
        <v>1.5</v>
      </c>
      <c r="E409" s="159">
        <v>260.08999999999997</v>
      </c>
      <c r="F409" s="159">
        <v>390.14</v>
      </c>
      <c r="G409" s="160" t="s">
        <v>5435</v>
      </c>
      <c r="H409" s="34" t="s">
        <v>925</v>
      </c>
    </row>
    <row r="410" spans="1:8" ht="33">
      <c r="A410" s="160">
        <v>3</v>
      </c>
      <c r="B410" s="160" t="s">
        <v>955</v>
      </c>
      <c r="C410" s="157" t="s">
        <v>14</v>
      </c>
      <c r="D410" s="159">
        <v>1</v>
      </c>
      <c r="E410" s="159">
        <v>36</v>
      </c>
      <c r="F410" s="159">
        <v>36</v>
      </c>
      <c r="G410" s="160" t="s">
        <v>2</v>
      </c>
      <c r="H410" s="34" t="s">
        <v>925</v>
      </c>
    </row>
    <row r="411" spans="1:8" ht="33">
      <c r="A411" s="160"/>
      <c r="B411" s="160" t="s">
        <v>933</v>
      </c>
      <c r="C411" s="157" t="s">
        <v>15</v>
      </c>
      <c r="D411" s="159">
        <v>1</v>
      </c>
      <c r="E411" s="159"/>
      <c r="F411" s="159">
        <v>1236.04</v>
      </c>
      <c r="G411" s="160"/>
      <c r="H411" s="34" t="s">
        <v>925</v>
      </c>
    </row>
    <row r="412" spans="1:8" ht="33">
      <c r="A412" s="160"/>
      <c r="B412" s="160" t="s">
        <v>934</v>
      </c>
      <c r="C412" s="157" t="s">
        <v>15</v>
      </c>
      <c r="D412" s="159"/>
      <c r="E412" s="159"/>
      <c r="F412" s="159">
        <v>1236.04</v>
      </c>
      <c r="G412" s="160"/>
      <c r="H412" s="34" t="s">
        <v>925</v>
      </c>
    </row>
    <row r="413" spans="1:8" ht="33">
      <c r="A413" s="160"/>
      <c r="B413" s="160"/>
      <c r="C413" s="157"/>
      <c r="D413" s="159"/>
      <c r="E413" s="159"/>
      <c r="F413" s="159"/>
      <c r="G413" s="160"/>
      <c r="H413" s="34" t="s">
        <v>925</v>
      </c>
    </row>
    <row r="414" spans="1:8" ht="33">
      <c r="A414" s="160" t="s">
        <v>1173</v>
      </c>
      <c r="B414" s="160" t="s">
        <v>1140</v>
      </c>
      <c r="C414" s="157" t="s">
        <v>3</v>
      </c>
      <c r="D414" s="159">
        <v>100</v>
      </c>
      <c r="E414" s="159">
        <v>41.08</v>
      </c>
      <c r="F414" s="159"/>
      <c r="G414" s="160" t="s">
        <v>2</v>
      </c>
      <c r="H414" s="34" t="s">
        <v>925</v>
      </c>
    </row>
    <row r="415" spans="1:8" ht="33">
      <c r="A415" s="160">
        <v>1</v>
      </c>
      <c r="B415" s="160" t="s">
        <v>1142</v>
      </c>
      <c r="C415" s="157" t="s">
        <v>18</v>
      </c>
      <c r="D415" s="159">
        <v>80</v>
      </c>
      <c r="E415" s="159">
        <v>41.65</v>
      </c>
      <c r="F415" s="159">
        <v>3332</v>
      </c>
      <c r="G415" s="160" t="s">
        <v>2</v>
      </c>
      <c r="H415" s="34" t="s">
        <v>925</v>
      </c>
    </row>
    <row r="416" spans="1:8" ht="16.5">
      <c r="A416" s="160">
        <v>2</v>
      </c>
      <c r="B416" s="160" t="s">
        <v>1144</v>
      </c>
      <c r="C416" s="157" t="s">
        <v>927</v>
      </c>
      <c r="D416" s="159">
        <v>0.2</v>
      </c>
      <c r="E416" s="159">
        <v>870.07</v>
      </c>
      <c r="F416" s="159">
        <v>174.01</v>
      </c>
      <c r="G416" s="160" t="s">
        <v>2</v>
      </c>
    </row>
    <row r="417" spans="1:8" ht="33">
      <c r="A417" s="160">
        <v>3</v>
      </c>
      <c r="B417" s="160" t="s">
        <v>4891</v>
      </c>
      <c r="C417" s="157" t="s">
        <v>927</v>
      </c>
      <c r="D417" s="159">
        <v>0.2</v>
      </c>
      <c r="E417" s="159">
        <v>371.17</v>
      </c>
      <c r="F417" s="159">
        <v>74.23</v>
      </c>
      <c r="G417" s="160" t="s">
        <v>5442</v>
      </c>
      <c r="H417" s="34" t="s">
        <v>925</v>
      </c>
    </row>
    <row r="418" spans="1:8" ht="33">
      <c r="A418" s="160">
        <v>4</v>
      </c>
      <c r="B418" s="160" t="s">
        <v>1146</v>
      </c>
      <c r="C418" s="157" t="s">
        <v>18</v>
      </c>
      <c r="D418" s="159">
        <v>80</v>
      </c>
      <c r="E418" s="159">
        <v>1.85</v>
      </c>
      <c r="F418" s="159">
        <v>148</v>
      </c>
      <c r="G418" s="160" t="s">
        <v>2</v>
      </c>
      <c r="H418" s="34" t="s">
        <v>925</v>
      </c>
    </row>
    <row r="419" spans="1:8" ht="33">
      <c r="A419" s="160">
        <v>5</v>
      </c>
      <c r="B419" s="160" t="s">
        <v>4871</v>
      </c>
      <c r="C419" s="157" t="s">
        <v>927</v>
      </c>
      <c r="D419" s="159">
        <v>1</v>
      </c>
      <c r="E419" s="159">
        <v>260.08999999999997</v>
      </c>
      <c r="F419" s="159">
        <v>260.08999999999997</v>
      </c>
      <c r="G419" s="160" t="s">
        <v>2</v>
      </c>
      <c r="H419" s="34" t="s">
        <v>925</v>
      </c>
    </row>
    <row r="420" spans="1:8" ht="33">
      <c r="A420" s="160">
        <v>6</v>
      </c>
      <c r="B420" s="160" t="s">
        <v>931</v>
      </c>
      <c r="C420" s="157" t="s">
        <v>14</v>
      </c>
      <c r="D420" s="159">
        <v>1</v>
      </c>
      <c r="E420" s="159">
        <v>119.65</v>
      </c>
      <c r="F420" s="159">
        <v>119.65</v>
      </c>
      <c r="G420" s="160" t="s">
        <v>2</v>
      </c>
      <c r="H420" s="34" t="s">
        <v>925</v>
      </c>
    </row>
    <row r="421" spans="1:8" ht="33">
      <c r="A421" s="160"/>
      <c r="B421" s="160" t="s">
        <v>933</v>
      </c>
      <c r="C421" s="157" t="s">
        <v>3</v>
      </c>
      <c r="D421" s="159">
        <v>100</v>
      </c>
      <c r="E421" s="159"/>
      <c r="F421" s="159">
        <v>4107.9800000000005</v>
      </c>
      <c r="G421" s="160"/>
      <c r="H421" s="34" t="s">
        <v>925</v>
      </c>
    </row>
    <row r="422" spans="1:8" ht="33">
      <c r="A422" s="160"/>
      <c r="B422" s="160" t="s">
        <v>934</v>
      </c>
      <c r="C422" s="157" t="s">
        <v>3</v>
      </c>
      <c r="D422" s="159"/>
      <c r="E422" s="159"/>
      <c r="F422" s="159">
        <v>41.08</v>
      </c>
      <c r="G422" s="160"/>
      <c r="H422" s="34" t="s">
        <v>925</v>
      </c>
    </row>
    <row r="423" spans="1:8" ht="33">
      <c r="A423" s="160"/>
      <c r="B423" s="160"/>
      <c r="C423" s="157"/>
      <c r="D423" s="159"/>
      <c r="E423" s="159"/>
      <c r="F423" s="159"/>
      <c r="G423" s="160"/>
      <c r="H423" s="34" t="s">
        <v>925</v>
      </c>
    </row>
    <row r="424" spans="1:8" ht="28.5">
      <c r="A424" s="160" t="s">
        <v>1178</v>
      </c>
      <c r="B424" s="160" t="s">
        <v>1149</v>
      </c>
      <c r="C424" s="157" t="s">
        <v>3</v>
      </c>
      <c r="D424" s="159">
        <v>100</v>
      </c>
      <c r="E424" s="159">
        <v>16.329999999999998</v>
      </c>
      <c r="F424" s="159"/>
      <c r="G424" s="160" t="s">
        <v>2</v>
      </c>
    </row>
    <row r="425" spans="1:8" ht="33">
      <c r="A425" s="160">
        <v>1</v>
      </c>
      <c r="B425" s="160" t="s">
        <v>1151</v>
      </c>
      <c r="C425" s="157" t="s">
        <v>18</v>
      </c>
      <c r="D425" s="159">
        <v>30</v>
      </c>
      <c r="E425" s="159">
        <v>41.65</v>
      </c>
      <c r="F425" s="159">
        <v>1249.5</v>
      </c>
      <c r="G425" s="160" t="s">
        <v>2</v>
      </c>
      <c r="H425" s="34" t="s">
        <v>925</v>
      </c>
    </row>
    <row r="426" spans="1:8" ht="33">
      <c r="A426" s="160">
        <v>2</v>
      </c>
      <c r="B426" s="160" t="s">
        <v>1144</v>
      </c>
      <c r="C426" s="157" t="s">
        <v>927</v>
      </c>
      <c r="D426" s="159">
        <v>0.1</v>
      </c>
      <c r="E426" s="159">
        <v>870.07</v>
      </c>
      <c r="F426" s="159">
        <v>87.01</v>
      </c>
      <c r="G426" s="160" t="s">
        <v>2</v>
      </c>
      <c r="H426" s="34" t="s">
        <v>925</v>
      </c>
    </row>
    <row r="427" spans="1:8" ht="33">
      <c r="A427" s="160">
        <v>3</v>
      </c>
      <c r="B427" s="160" t="s">
        <v>4891</v>
      </c>
      <c r="C427" s="157" t="s">
        <v>927</v>
      </c>
      <c r="D427" s="159">
        <v>0.1</v>
      </c>
      <c r="E427" s="159">
        <v>371.17</v>
      </c>
      <c r="F427" s="159">
        <v>37.119999999999997</v>
      </c>
      <c r="G427" s="160" t="s">
        <v>5442</v>
      </c>
      <c r="H427" s="34" t="s">
        <v>925</v>
      </c>
    </row>
    <row r="428" spans="1:8" ht="33">
      <c r="A428" s="160">
        <v>4</v>
      </c>
      <c r="B428" s="160" t="s">
        <v>1146</v>
      </c>
      <c r="C428" s="157" t="s">
        <v>18</v>
      </c>
      <c r="D428" s="159">
        <v>30</v>
      </c>
      <c r="E428" s="159">
        <v>1.85</v>
      </c>
      <c r="F428" s="159">
        <v>55.5</v>
      </c>
      <c r="G428" s="160" t="s">
        <v>2</v>
      </c>
      <c r="H428" s="34" t="s">
        <v>925</v>
      </c>
    </row>
    <row r="429" spans="1:8" ht="33">
      <c r="A429" s="160">
        <v>5</v>
      </c>
      <c r="B429" s="160" t="s">
        <v>4871</v>
      </c>
      <c r="C429" s="157" t="s">
        <v>927</v>
      </c>
      <c r="D429" s="159">
        <v>0.6</v>
      </c>
      <c r="E429" s="159">
        <v>260.08999999999997</v>
      </c>
      <c r="F429" s="159">
        <v>156.05000000000001</v>
      </c>
      <c r="G429" s="160" t="s">
        <v>2</v>
      </c>
      <c r="H429" s="34" t="s">
        <v>925</v>
      </c>
    </row>
    <row r="430" spans="1:8" ht="33">
      <c r="A430" s="160">
        <v>6</v>
      </c>
      <c r="B430" s="160" t="s">
        <v>931</v>
      </c>
      <c r="C430" s="157" t="s">
        <v>14</v>
      </c>
      <c r="D430" s="159">
        <v>1</v>
      </c>
      <c r="E430" s="159">
        <v>47.56</v>
      </c>
      <c r="F430" s="159">
        <v>47.56</v>
      </c>
      <c r="G430" s="160" t="s">
        <v>2</v>
      </c>
      <c r="H430" s="34" t="s">
        <v>925</v>
      </c>
    </row>
    <row r="431" spans="1:8" ht="33">
      <c r="A431" s="160"/>
      <c r="B431" s="160" t="s">
        <v>933</v>
      </c>
      <c r="C431" s="157" t="s">
        <v>3</v>
      </c>
      <c r="D431" s="159">
        <v>100</v>
      </c>
      <c r="E431" s="159"/>
      <c r="F431" s="159">
        <v>1632.7399999999998</v>
      </c>
      <c r="G431" s="160"/>
      <c r="H431" s="34" t="s">
        <v>925</v>
      </c>
    </row>
    <row r="432" spans="1:8" ht="16.5">
      <c r="A432" s="160"/>
      <c r="B432" s="160" t="s">
        <v>934</v>
      </c>
      <c r="C432" s="157" t="s">
        <v>3</v>
      </c>
      <c r="D432" s="159"/>
      <c r="E432" s="159"/>
      <c r="F432" s="159">
        <v>16.329999999999998</v>
      </c>
      <c r="G432" s="160"/>
    </row>
    <row r="433" spans="1:8" ht="33">
      <c r="A433" s="160"/>
      <c r="B433" s="160"/>
      <c r="C433" s="157"/>
      <c r="D433" s="159"/>
      <c r="E433" s="159"/>
      <c r="F433" s="159"/>
      <c r="G433" s="160"/>
      <c r="H433" s="34" t="s">
        <v>925</v>
      </c>
    </row>
    <row r="434" spans="1:8" ht="33">
      <c r="A434" s="160" t="s">
        <v>1181</v>
      </c>
      <c r="B434" s="160" t="s">
        <v>4467</v>
      </c>
      <c r="C434" s="157" t="s">
        <v>3</v>
      </c>
      <c r="D434" s="159">
        <v>100</v>
      </c>
      <c r="E434" s="159">
        <v>19.13</v>
      </c>
      <c r="F434" s="159"/>
      <c r="G434" s="160" t="s">
        <v>2</v>
      </c>
      <c r="H434" s="34" t="s">
        <v>925</v>
      </c>
    </row>
    <row r="435" spans="1:8" ht="33">
      <c r="A435" s="160">
        <v>1</v>
      </c>
      <c r="B435" s="160" t="s">
        <v>1151</v>
      </c>
      <c r="C435" s="157" t="s">
        <v>18</v>
      </c>
      <c r="D435" s="159">
        <v>30</v>
      </c>
      <c r="E435" s="159">
        <v>41.65</v>
      </c>
      <c r="F435" s="159">
        <v>1249.5</v>
      </c>
      <c r="G435" s="160" t="s">
        <v>2</v>
      </c>
      <c r="H435" s="34" t="s">
        <v>925</v>
      </c>
    </row>
    <row r="436" spans="1:8" ht="33">
      <c r="A436" s="160">
        <v>2</v>
      </c>
      <c r="B436" s="160" t="s">
        <v>1144</v>
      </c>
      <c r="C436" s="157" t="s">
        <v>927</v>
      </c>
      <c r="D436" s="159">
        <v>0.12</v>
      </c>
      <c r="E436" s="159">
        <v>870.07</v>
      </c>
      <c r="F436" s="159">
        <v>104.41</v>
      </c>
      <c r="G436" s="160" t="s">
        <v>2</v>
      </c>
      <c r="H436" s="34" t="s">
        <v>925</v>
      </c>
    </row>
    <row r="437" spans="1:8" ht="33">
      <c r="A437" s="160">
        <v>3</v>
      </c>
      <c r="B437" s="160" t="s">
        <v>4894</v>
      </c>
      <c r="C437" s="157" t="s">
        <v>927</v>
      </c>
      <c r="D437" s="159">
        <v>0.12</v>
      </c>
      <c r="E437" s="159">
        <v>742.33</v>
      </c>
      <c r="F437" s="159">
        <v>89.08</v>
      </c>
      <c r="G437" s="160" t="s">
        <v>5442</v>
      </c>
      <c r="H437" s="34" t="s">
        <v>925</v>
      </c>
    </row>
    <row r="438" spans="1:8" ht="33">
      <c r="A438" s="160">
        <v>4</v>
      </c>
      <c r="B438" s="160" t="s">
        <v>1146</v>
      </c>
      <c r="C438" s="157" t="s">
        <v>18</v>
      </c>
      <c r="D438" s="159">
        <v>30</v>
      </c>
      <c r="E438" s="159">
        <v>1.85</v>
      </c>
      <c r="F438" s="159">
        <v>55.5</v>
      </c>
      <c r="G438" s="160" t="s">
        <v>2</v>
      </c>
      <c r="H438" s="34" t="s">
        <v>925</v>
      </c>
    </row>
    <row r="439" spans="1:8" ht="33">
      <c r="A439" s="160">
        <v>5</v>
      </c>
      <c r="B439" s="160" t="s">
        <v>4874</v>
      </c>
      <c r="C439" s="157" t="s">
        <v>927</v>
      </c>
      <c r="D439" s="159">
        <v>0.69</v>
      </c>
      <c r="E439" s="159">
        <v>520.19000000000005</v>
      </c>
      <c r="F439" s="159">
        <v>358.93</v>
      </c>
      <c r="G439" s="160" t="s">
        <v>5436</v>
      </c>
      <c r="H439" s="34" t="s">
        <v>925</v>
      </c>
    </row>
    <row r="440" spans="1:8" ht="16.5">
      <c r="A440" s="160">
        <v>6</v>
      </c>
      <c r="B440" s="160" t="s">
        <v>931</v>
      </c>
      <c r="C440" s="157" t="s">
        <v>14</v>
      </c>
      <c r="D440" s="159">
        <v>1</v>
      </c>
      <c r="E440" s="159">
        <v>55.72</v>
      </c>
      <c r="F440" s="159">
        <v>55.72</v>
      </c>
      <c r="G440" s="160" t="s">
        <v>2</v>
      </c>
    </row>
    <row r="441" spans="1:8" ht="33">
      <c r="A441" s="160"/>
      <c r="B441" s="160" t="s">
        <v>933</v>
      </c>
      <c r="C441" s="157" t="s">
        <v>3</v>
      </c>
      <c r="D441" s="159">
        <v>100</v>
      </c>
      <c r="E441" s="159"/>
      <c r="F441" s="159">
        <v>1913.14</v>
      </c>
      <c r="G441" s="160"/>
      <c r="H441" s="34" t="s">
        <v>925</v>
      </c>
    </row>
    <row r="442" spans="1:8" ht="33">
      <c r="A442" s="160"/>
      <c r="B442" s="160" t="s">
        <v>934</v>
      </c>
      <c r="C442" s="157" t="s">
        <v>3</v>
      </c>
      <c r="D442" s="159"/>
      <c r="E442" s="159"/>
      <c r="F442" s="159">
        <v>19.13</v>
      </c>
      <c r="G442" s="160"/>
      <c r="H442" s="34" t="s">
        <v>925</v>
      </c>
    </row>
    <row r="443" spans="1:8" ht="33">
      <c r="A443" s="160"/>
      <c r="B443" s="160"/>
      <c r="C443" s="157"/>
      <c r="D443" s="159"/>
      <c r="E443" s="159"/>
      <c r="F443" s="159"/>
      <c r="G443" s="160"/>
      <c r="H443" s="34" t="s">
        <v>925</v>
      </c>
    </row>
    <row r="444" spans="1:8" ht="33">
      <c r="A444" s="160" t="s">
        <v>1186</v>
      </c>
      <c r="B444" s="160" t="s">
        <v>1154</v>
      </c>
      <c r="C444" s="157" t="s">
        <v>0</v>
      </c>
      <c r="D444" s="159">
        <v>1</v>
      </c>
      <c r="E444" s="159">
        <v>7177.05</v>
      </c>
      <c r="F444" s="159"/>
      <c r="G444" s="160" t="s">
        <v>2</v>
      </c>
      <c r="H444" s="34" t="s">
        <v>925</v>
      </c>
    </row>
    <row r="445" spans="1:8" ht="42.75">
      <c r="A445" s="160">
        <v>1</v>
      </c>
      <c r="B445" s="160" t="s">
        <v>1156</v>
      </c>
      <c r="C445" s="157" t="s">
        <v>0</v>
      </c>
      <c r="D445" s="159">
        <v>1</v>
      </c>
      <c r="E445" s="159">
        <v>6599.54</v>
      </c>
      <c r="F445" s="159">
        <v>6599.54</v>
      </c>
      <c r="G445" s="160" t="s">
        <v>2</v>
      </c>
      <c r="H445" s="34" t="s">
        <v>925</v>
      </c>
    </row>
    <row r="446" spans="1:8" ht="33">
      <c r="A446" s="160">
        <v>2</v>
      </c>
      <c r="B446" s="160" t="s">
        <v>4896</v>
      </c>
      <c r="C446" s="157" t="s">
        <v>0</v>
      </c>
      <c r="D446" s="159">
        <v>1</v>
      </c>
      <c r="E446" s="159">
        <v>344.4</v>
      </c>
      <c r="F446" s="159">
        <v>344.4</v>
      </c>
      <c r="G446" s="160" t="s">
        <v>2</v>
      </c>
      <c r="H446" s="34" t="s">
        <v>925</v>
      </c>
    </row>
    <row r="447" spans="1:8" ht="33">
      <c r="A447" s="160">
        <v>3</v>
      </c>
      <c r="B447" s="160" t="s">
        <v>1159</v>
      </c>
      <c r="C447" s="157" t="s">
        <v>0</v>
      </c>
      <c r="D447" s="159">
        <v>1</v>
      </c>
      <c r="E447" s="159">
        <v>24.07</v>
      </c>
      <c r="F447" s="159">
        <v>24.07</v>
      </c>
      <c r="G447" s="160" t="s">
        <v>2</v>
      </c>
      <c r="H447" s="34" t="s">
        <v>925</v>
      </c>
    </row>
    <row r="448" spans="1:8" ht="16.5">
      <c r="A448" s="160">
        <v>4</v>
      </c>
      <c r="B448" s="160" t="s">
        <v>931</v>
      </c>
      <c r="C448" s="157" t="s">
        <v>14</v>
      </c>
      <c r="D448" s="159">
        <v>1</v>
      </c>
      <c r="E448" s="159">
        <v>209.04</v>
      </c>
      <c r="F448" s="159">
        <v>209.04</v>
      </c>
      <c r="G448" s="160" t="s">
        <v>2</v>
      </c>
    </row>
    <row r="449" spans="1:8" ht="33">
      <c r="A449" s="160"/>
      <c r="B449" s="160" t="s">
        <v>933</v>
      </c>
      <c r="C449" s="157" t="s">
        <v>0</v>
      </c>
      <c r="D449" s="159">
        <v>1</v>
      </c>
      <c r="E449" s="159"/>
      <c r="F449" s="159">
        <v>7177.0499999999993</v>
      </c>
      <c r="G449" s="160"/>
      <c r="H449" s="34" t="s">
        <v>925</v>
      </c>
    </row>
    <row r="450" spans="1:8" ht="33">
      <c r="A450" s="160"/>
      <c r="B450" s="160" t="s">
        <v>934</v>
      </c>
      <c r="C450" s="157" t="s">
        <v>0</v>
      </c>
      <c r="D450" s="159"/>
      <c r="E450" s="159"/>
      <c r="F450" s="159">
        <v>7177.05</v>
      </c>
      <c r="G450" s="160"/>
      <c r="H450" s="34" t="s">
        <v>925</v>
      </c>
    </row>
    <row r="451" spans="1:8" ht="33">
      <c r="A451" s="160"/>
      <c r="B451" s="160"/>
      <c r="C451" s="157"/>
      <c r="D451" s="159"/>
      <c r="E451" s="159"/>
      <c r="F451" s="159"/>
      <c r="G451" s="160"/>
      <c r="H451" s="34" t="s">
        <v>925</v>
      </c>
    </row>
    <row r="452" spans="1:8" ht="33">
      <c r="A452" s="160" t="s">
        <v>1191</v>
      </c>
      <c r="B452" s="160" t="s">
        <v>3639</v>
      </c>
      <c r="C452" s="157" t="s">
        <v>0</v>
      </c>
      <c r="D452" s="159">
        <v>1</v>
      </c>
      <c r="E452" s="159">
        <v>7642.97</v>
      </c>
      <c r="F452" s="159"/>
      <c r="G452" s="160" t="s">
        <v>2</v>
      </c>
      <c r="H452" s="34" t="s">
        <v>925</v>
      </c>
    </row>
    <row r="453" spans="1:8" ht="33">
      <c r="A453" s="160">
        <v>1</v>
      </c>
      <c r="B453" s="160" t="s">
        <v>1167</v>
      </c>
      <c r="C453" s="157" t="s">
        <v>0</v>
      </c>
      <c r="D453" s="159">
        <v>1</v>
      </c>
      <c r="E453" s="159">
        <v>6599.54</v>
      </c>
      <c r="F453" s="159">
        <v>6599.54</v>
      </c>
      <c r="G453" s="160" t="s">
        <v>2</v>
      </c>
      <c r="H453" s="34" t="s">
        <v>925</v>
      </c>
    </row>
    <row r="454" spans="1:8" ht="33">
      <c r="A454" s="160">
        <v>2</v>
      </c>
      <c r="B454" s="160" t="s">
        <v>4897</v>
      </c>
      <c r="C454" s="157" t="s">
        <v>0</v>
      </c>
      <c r="D454" s="159">
        <v>1</v>
      </c>
      <c r="E454" s="159">
        <v>796.75</v>
      </c>
      <c r="F454" s="159">
        <v>796.75</v>
      </c>
      <c r="G454" s="160" t="s">
        <v>5443</v>
      </c>
      <c r="H454" s="34" t="s">
        <v>925</v>
      </c>
    </row>
    <row r="455" spans="1:8" ht="33">
      <c r="A455" s="160">
        <v>3</v>
      </c>
      <c r="B455" s="160" t="s">
        <v>1159</v>
      </c>
      <c r="C455" s="157" t="s">
        <v>0</v>
      </c>
      <c r="D455" s="159">
        <v>1</v>
      </c>
      <c r="E455" s="159">
        <v>24.07</v>
      </c>
      <c r="F455" s="159">
        <v>24.07</v>
      </c>
      <c r="G455" s="160" t="s">
        <v>2</v>
      </c>
      <c r="H455" s="34" t="s">
        <v>925</v>
      </c>
    </row>
    <row r="456" spans="1:8" ht="16.5">
      <c r="A456" s="160">
        <v>4</v>
      </c>
      <c r="B456" s="160" t="s">
        <v>931</v>
      </c>
      <c r="C456" s="157" t="s">
        <v>14</v>
      </c>
      <c r="D456" s="159">
        <v>1</v>
      </c>
      <c r="E456" s="159">
        <v>222.61</v>
      </c>
      <c r="F456" s="159">
        <v>222.61</v>
      </c>
      <c r="G456" s="160" t="s">
        <v>2</v>
      </c>
    </row>
    <row r="457" spans="1:8" ht="33">
      <c r="A457" s="160"/>
      <c r="B457" s="160" t="s">
        <v>933</v>
      </c>
      <c r="C457" s="157" t="s">
        <v>0</v>
      </c>
      <c r="D457" s="159">
        <v>1</v>
      </c>
      <c r="E457" s="159"/>
      <c r="F457" s="159">
        <v>7642.9699999999993</v>
      </c>
      <c r="G457" s="160"/>
      <c r="H457" s="34" t="s">
        <v>925</v>
      </c>
    </row>
    <row r="458" spans="1:8" ht="33">
      <c r="A458" s="160"/>
      <c r="B458" s="160" t="s">
        <v>934</v>
      </c>
      <c r="C458" s="157" t="s">
        <v>0</v>
      </c>
      <c r="D458" s="159"/>
      <c r="E458" s="159"/>
      <c r="F458" s="159">
        <v>7642.97</v>
      </c>
      <c r="G458" s="160"/>
      <c r="H458" s="34" t="s">
        <v>925</v>
      </c>
    </row>
    <row r="459" spans="1:8" ht="33">
      <c r="A459" s="160"/>
      <c r="B459" s="160"/>
      <c r="C459" s="157"/>
      <c r="D459" s="159"/>
      <c r="E459" s="159"/>
      <c r="F459" s="159"/>
      <c r="G459" s="160"/>
      <c r="H459" s="34" t="s">
        <v>925</v>
      </c>
    </row>
    <row r="460" spans="1:8" ht="42.75">
      <c r="A460" s="160" t="s">
        <v>1194</v>
      </c>
      <c r="B460" s="160" t="s">
        <v>4049</v>
      </c>
      <c r="C460" s="157" t="s">
        <v>0</v>
      </c>
      <c r="D460" s="159">
        <v>1</v>
      </c>
      <c r="E460" s="159">
        <v>8102.76</v>
      </c>
      <c r="F460" s="159"/>
      <c r="G460" s="160" t="s">
        <v>5443</v>
      </c>
      <c r="H460" s="34" t="s">
        <v>925</v>
      </c>
    </row>
    <row r="461" spans="1:8" ht="33">
      <c r="A461" s="160">
        <v>1</v>
      </c>
      <c r="B461" s="160" t="s">
        <v>1167</v>
      </c>
      <c r="C461" s="157" t="s">
        <v>0</v>
      </c>
      <c r="D461" s="159">
        <v>1</v>
      </c>
      <c r="E461" s="159">
        <v>6599.54</v>
      </c>
      <c r="F461" s="159">
        <v>6599.54</v>
      </c>
      <c r="G461" s="160" t="s">
        <v>2</v>
      </c>
      <c r="H461" s="34" t="s">
        <v>925</v>
      </c>
    </row>
    <row r="462" spans="1:8" ht="33">
      <c r="A462" s="160">
        <v>2</v>
      </c>
      <c r="B462" s="160" t="s">
        <v>4898</v>
      </c>
      <c r="C462" s="157" t="s">
        <v>0</v>
      </c>
      <c r="D462" s="159">
        <v>1</v>
      </c>
      <c r="E462" s="159">
        <v>1243.1500000000001</v>
      </c>
      <c r="F462" s="159">
        <v>1243.1500000000001</v>
      </c>
      <c r="G462" s="160" t="s">
        <v>5443</v>
      </c>
      <c r="H462" s="34" t="s">
        <v>925</v>
      </c>
    </row>
    <row r="463" spans="1:8" ht="33">
      <c r="A463" s="160">
        <v>3</v>
      </c>
      <c r="B463" s="160" t="s">
        <v>1159</v>
      </c>
      <c r="C463" s="157" t="s">
        <v>0</v>
      </c>
      <c r="D463" s="159">
        <v>1</v>
      </c>
      <c r="E463" s="159">
        <v>24.07</v>
      </c>
      <c r="F463" s="159">
        <v>24.07</v>
      </c>
      <c r="G463" s="160" t="s">
        <v>2</v>
      </c>
      <c r="H463" s="34" t="s">
        <v>925</v>
      </c>
    </row>
    <row r="464" spans="1:8" ht="16.5">
      <c r="A464" s="160">
        <v>4</v>
      </c>
      <c r="B464" s="160" t="s">
        <v>931</v>
      </c>
      <c r="C464" s="157" t="s">
        <v>14</v>
      </c>
      <c r="D464" s="159">
        <v>1</v>
      </c>
      <c r="E464" s="159">
        <v>236</v>
      </c>
      <c r="F464" s="159">
        <v>236</v>
      </c>
      <c r="G464" s="160" t="s">
        <v>2</v>
      </c>
    </row>
    <row r="465" spans="1:8" ht="33">
      <c r="A465" s="160"/>
      <c r="B465" s="160" t="s">
        <v>933</v>
      </c>
      <c r="C465" s="157" t="s">
        <v>0</v>
      </c>
      <c r="D465" s="159">
        <v>1</v>
      </c>
      <c r="E465" s="159"/>
      <c r="F465" s="159">
        <v>8102.76</v>
      </c>
      <c r="G465" s="160"/>
      <c r="H465" s="34" t="s">
        <v>925</v>
      </c>
    </row>
    <row r="466" spans="1:8" ht="33">
      <c r="A466" s="160"/>
      <c r="B466" s="160" t="s">
        <v>934</v>
      </c>
      <c r="C466" s="157" t="s">
        <v>0</v>
      </c>
      <c r="D466" s="159"/>
      <c r="E466" s="159"/>
      <c r="F466" s="159">
        <v>8102.76</v>
      </c>
      <c r="G466" s="160"/>
      <c r="H466" s="34" t="s">
        <v>925</v>
      </c>
    </row>
    <row r="467" spans="1:8" ht="33">
      <c r="A467" s="160"/>
      <c r="B467" s="160"/>
      <c r="C467" s="157"/>
      <c r="D467" s="159"/>
      <c r="E467" s="159"/>
      <c r="F467" s="159"/>
      <c r="G467" s="160"/>
      <c r="H467" s="34" t="s">
        <v>925</v>
      </c>
    </row>
    <row r="468" spans="1:8" ht="33">
      <c r="A468" s="160" t="s">
        <v>1199</v>
      </c>
      <c r="B468" s="160" t="s">
        <v>1162</v>
      </c>
      <c r="C468" s="157" t="s">
        <v>0</v>
      </c>
      <c r="D468" s="159">
        <v>1</v>
      </c>
      <c r="E468" s="159">
        <v>7119.84</v>
      </c>
      <c r="F468" s="159"/>
      <c r="G468" s="160" t="s">
        <v>2</v>
      </c>
      <c r="H468" s="34" t="s">
        <v>925</v>
      </c>
    </row>
    <row r="469" spans="1:8" ht="42.75">
      <c r="A469" s="160">
        <v>1</v>
      </c>
      <c r="B469" s="160" t="s">
        <v>1164</v>
      </c>
      <c r="C469" s="157" t="s">
        <v>0</v>
      </c>
      <c r="D469" s="159">
        <v>1</v>
      </c>
      <c r="E469" s="159">
        <v>6544</v>
      </c>
      <c r="F469" s="159">
        <v>6544</v>
      </c>
      <c r="G469" s="160" t="s">
        <v>2</v>
      </c>
      <c r="H469" s="34" t="s">
        <v>925</v>
      </c>
    </row>
    <row r="470" spans="1:8" ht="33">
      <c r="A470" s="160">
        <v>2</v>
      </c>
      <c r="B470" s="160" t="s">
        <v>4896</v>
      </c>
      <c r="C470" s="157" t="s">
        <v>0</v>
      </c>
      <c r="D470" s="159">
        <v>1</v>
      </c>
      <c r="E470" s="159">
        <v>344.4</v>
      </c>
      <c r="F470" s="159">
        <v>344.4</v>
      </c>
      <c r="G470" s="160" t="s">
        <v>2</v>
      </c>
      <c r="H470" s="34" t="s">
        <v>925</v>
      </c>
    </row>
    <row r="471" spans="1:8" ht="33">
      <c r="A471" s="160">
        <v>3</v>
      </c>
      <c r="B471" s="160" t="s">
        <v>1159</v>
      </c>
      <c r="C471" s="157" t="s">
        <v>0</v>
      </c>
      <c r="D471" s="159">
        <v>1</v>
      </c>
      <c r="E471" s="159">
        <v>24.07</v>
      </c>
      <c r="F471" s="159">
        <v>24.07</v>
      </c>
      <c r="G471" s="160" t="s">
        <v>2</v>
      </c>
      <c r="H471" s="34" t="s">
        <v>925</v>
      </c>
    </row>
    <row r="472" spans="1:8" ht="16.5">
      <c r="A472" s="160">
        <v>4</v>
      </c>
      <c r="B472" s="160" t="s">
        <v>931</v>
      </c>
      <c r="C472" s="157" t="s">
        <v>14</v>
      </c>
      <c r="D472" s="159">
        <v>1</v>
      </c>
      <c r="E472" s="159">
        <v>207.37</v>
      </c>
      <c r="F472" s="159">
        <v>207.37</v>
      </c>
      <c r="G472" s="160" t="s">
        <v>2</v>
      </c>
    </row>
    <row r="473" spans="1:8" ht="33">
      <c r="A473" s="160"/>
      <c r="B473" s="160" t="s">
        <v>933</v>
      </c>
      <c r="C473" s="157" t="s">
        <v>0</v>
      </c>
      <c r="D473" s="159">
        <v>1</v>
      </c>
      <c r="E473" s="159"/>
      <c r="F473" s="159">
        <v>7119.8399999999992</v>
      </c>
      <c r="G473" s="160"/>
      <c r="H473" s="34" t="s">
        <v>925</v>
      </c>
    </row>
    <row r="474" spans="1:8" ht="33">
      <c r="A474" s="160"/>
      <c r="B474" s="160" t="s">
        <v>934</v>
      </c>
      <c r="C474" s="157" t="s">
        <v>0</v>
      </c>
      <c r="D474" s="159"/>
      <c r="E474" s="159"/>
      <c r="F474" s="159">
        <v>7119.84</v>
      </c>
      <c r="G474" s="160"/>
      <c r="H474" s="34" t="s">
        <v>925</v>
      </c>
    </row>
    <row r="475" spans="1:8" ht="33">
      <c r="A475" s="160"/>
      <c r="B475" s="160"/>
      <c r="C475" s="157"/>
      <c r="D475" s="159"/>
      <c r="E475" s="159"/>
      <c r="F475" s="159"/>
      <c r="G475" s="160"/>
      <c r="H475" s="34" t="s">
        <v>925</v>
      </c>
    </row>
    <row r="476" spans="1:8" ht="42.75">
      <c r="A476" s="160" t="s">
        <v>1202</v>
      </c>
      <c r="B476" s="160" t="s">
        <v>3640</v>
      </c>
      <c r="C476" s="157" t="s">
        <v>0</v>
      </c>
      <c r="D476" s="159">
        <v>1</v>
      </c>
      <c r="E476" s="159">
        <v>7585.76</v>
      </c>
      <c r="F476" s="159"/>
      <c r="G476" s="160" t="s">
        <v>2</v>
      </c>
      <c r="H476" s="34" t="s">
        <v>925</v>
      </c>
    </row>
    <row r="477" spans="1:8" ht="33">
      <c r="A477" s="160">
        <v>1</v>
      </c>
      <c r="B477" s="160" t="s">
        <v>1171</v>
      </c>
      <c r="C477" s="157" t="s">
        <v>0</v>
      </c>
      <c r="D477" s="159">
        <v>1</v>
      </c>
      <c r="E477" s="159">
        <v>6544</v>
      </c>
      <c r="F477" s="159">
        <v>6544</v>
      </c>
      <c r="G477" s="160" t="s">
        <v>2</v>
      </c>
      <c r="H477" s="34" t="s">
        <v>925</v>
      </c>
    </row>
    <row r="478" spans="1:8" ht="33">
      <c r="A478" s="160">
        <v>2</v>
      </c>
      <c r="B478" s="160" t="s">
        <v>4897</v>
      </c>
      <c r="C478" s="157" t="s">
        <v>0</v>
      </c>
      <c r="D478" s="159">
        <v>1</v>
      </c>
      <c r="E478" s="159">
        <v>796.75</v>
      </c>
      <c r="F478" s="159">
        <v>796.75</v>
      </c>
      <c r="G478" s="160" t="s">
        <v>5443</v>
      </c>
      <c r="H478" s="34" t="s">
        <v>925</v>
      </c>
    </row>
    <row r="479" spans="1:8" ht="33">
      <c r="A479" s="160">
        <v>3</v>
      </c>
      <c r="B479" s="160" t="s">
        <v>1159</v>
      </c>
      <c r="C479" s="157" t="s">
        <v>0</v>
      </c>
      <c r="D479" s="159">
        <v>1</v>
      </c>
      <c r="E479" s="159">
        <v>24.07</v>
      </c>
      <c r="F479" s="159">
        <v>24.07</v>
      </c>
      <c r="G479" s="160" t="s">
        <v>2</v>
      </c>
      <c r="H479" s="34" t="s">
        <v>925</v>
      </c>
    </row>
    <row r="480" spans="1:8" ht="16.5">
      <c r="A480" s="160">
        <v>4</v>
      </c>
      <c r="B480" s="160" t="s">
        <v>931</v>
      </c>
      <c r="C480" s="157" t="s">
        <v>14</v>
      </c>
      <c r="D480" s="159">
        <v>1</v>
      </c>
      <c r="E480" s="159">
        <v>220.94</v>
      </c>
      <c r="F480" s="159">
        <v>220.94</v>
      </c>
      <c r="G480" s="160" t="s">
        <v>2</v>
      </c>
    </row>
    <row r="481" spans="1:8" ht="33">
      <c r="A481" s="160"/>
      <c r="B481" s="160" t="s">
        <v>933</v>
      </c>
      <c r="C481" s="157" t="s">
        <v>0</v>
      </c>
      <c r="D481" s="159">
        <v>1</v>
      </c>
      <c r="E481" s="159"/>
      <c r="F481" s="159">
        <v>7585.7599999999993</v>
      </c>
      <c r="G481" s="160"/>
      <c r="H481" s="34" t="s">
        <v>925</v>
      </c>
    </row>
    <row r="482" spans="1:8" ht="33">
      <c r="A482" s="160"/>
      <c r="B482" s="160" t="s">
        <v>934</v>
      </c>
      <c r="C482" s="157" t="s">
        <v>0</v>
      </c>
      <c r="D482" s="159"/>
      <c r="E482" s="159"/>
      <c r="F482" s="159">
        <v>7585.76</v>
      </c>
      <c r="G482" s="160"/>
      <c r="H482" s="34" t="s">
        <v>925</v>
      </c>
    </row>
    <row r="483" spans="1:8" ht="33">
      <c r="A483" s="160"/>
      <c r="B483" s="160"/>
      <c r="C483" s="157"/>
      <c r="D483" s="159"/>
      <c r="E483" s="159"/>
      <c r="F483" s="159"/>
      <c r="G483" s="160"/>
      <c r="H483" s="34" t="s">
        <v>925</v>
      </c>
    </row>
    <row r="484" spans="1:8" ht="42.75">
      <c r="A484" s="160" t="s">
        <v>1214</v>
      </c>
      <c r="B484" s="160" t="s">
        <v>4048</v>
      </c>
      <c r="C484" s="157" t="s">
        <v>0</v>
      </c>
      <c r="D484" s="159">
        <v>1</v>
      </c>
      <c r="E484" s="159">
        <v>8045.56</v>
      </c>
      <c r="F484" s="159"/>
      <c r="G484" s="160" t="s">
        <v>2</v>
      </c>
      <c r="H484" s="34" t="s">
        <v>925</v>
      </c>
    </row>
    <row r="485" spans="1:8" ht="33">
      <c r="A485" s="160">
        <v>1</v>
      </c>
      <c r="B485" s="160" t="s">
        <v>1171</v>
      </c>
      <c r="C485" s="157" t="s">
        <v>0</v>
      </c>
      <c r="D485" s="159">
        <v>1</v>
      </c>
      <c r="E485" s="159">
        <v>6544</v>
      </c>
      <c r="F485" s="159">
        <v>6544</v>
      </c>
      <c r="G485" s="160" t="s">
        <v>2</v>
      </c>
      <c r="H485" s="34" t="s">
        <v>925</v>
      </c>
    </row>
    <row r="486" spans="1:8" ht="33">
      <c r="A486" s="160">
        <v>2</v>
      </c>
      <c r="B486" s="160" t="s">
        <v>4898</v>
      </c>
      <c r="C486" s="157" t="s">
        <v>0</v>
      </c>
      <c r="D486" s="159">
        <v>1</v>
      </c>
      <c r="E486" s="159">
        <v>1243.1500000000001</v>
      </c>
      <c r="F486" s="159">
        <v>1243.1500000000001</v>
      </c>
      <c r="G486" s="160" t="s">
        <v>5443</v>
      </c>
      <c r="H486" s="34" t="s">
        <v>925</v>
      </c>
    </row>
    <row r="487" spans="1:8" ht="33">
      <c r="A487" s="160">
        <v>3</v>
      </c>
      <c r="B487" s="160" t="s">
        <v>1159</v>
      </c>
      <c r="C487" s="157" t="s">
        <v>0</v>
      </c>
      <c r="D487" s="159">
        <v>1</v>
      </c>
      <c r="E487" s="159">
        <v>24.07</v>
      </c>
      <c r="F487" s="159">
        <v>24.07</v>
      </c>
      <c r="G487" s="160" t="s">
        <v>2</v>
      </c>
      <c r="H487" s="34" t="s">
        <v>925</v>
      </c>
    </row>
    <row r="488" spans="1:8" ht="33">
      <c r="A488" s="160">
        <v>4</v>
      </c>
      <c r="B488" s="160" t="s">
        <v>931</v>
      </c>
      <c r="C488" s="157" t="s">
        <v>14</v>
      </c>
      <c r="D488" s="159">
        <v>1</v>
      </c>
      <c r="E488" s="159">
        <v>234.34</v>
      </c>
      <c r="F488" s="159">
        <v>234.34</v>
      </c>
      <c r="G488" s="160" t="s">
        <v>2</v>
      </c>
      <c r="H488" s="34" t="s">
        <v>925</v>
      </c>
    </row>
    <row r="489" spans="1:8" ht="16.5">
      <c r="A489" s="160"/>
      <c r="B489" s="160" t="s">
        <v>933</v>
      </c>
      <c r="C489" s="157" t="s">
        <v>0</v>
      </c>
      <c r="D489" s="159">
        <v>1</v>
      </c>
      <c r="E489" s="159"/>
      <c r="F489" s="159">
        <v>8045.5599999999995</v>
      </c>
      <c r="G489" s="160"/>
    </row>
    <row r="490" spans="1:8" ht="33">
      <c r="A490" s="160"/>
      <c r="B490" s="160" t="s">
        <v>934</v>
      </c>
      <c r="C490" s="157" t="s">
        <v>0</v>
      </c>
      <c r="D490" s="159"/>
      <c r="E490" s="159"/>
      <c r="F490" s="159">
        <v>8045.56</v>
      </c>
      <c r="G490" s="160"/>
      <c r="H490" s="34" t="s">
        <v>925</v>
      </c>
    </row>
    <row r="491" spans="1:8" ht="33">
      <c r="A491" s="160"/>
      <c r="B491" s="160"/>
      <c r="C491" s="157"/>
      <c r="D491" s="159"/>
      <c r="E491" s="159"/>
      <c r="F491" s="159"/>
      <c r="G491" s="160"/>
      <c r="H491" s="34" t="s">
        <v>925</v>
      </c>
    </row>
    <row r="492" spans="1:8" ht="33">
      <c r="A492" s="160" t="s">
        <v>1230</v>
      </c>
      <c r="B492" s="160" t="s">
        <v>1174</v>
      </c>
      <c r="C492" s="157" t="s">
        <v>0</v>
      </c>
      <c r="D492" s="159">
        <v>1</v>
      </c>
      <c r="E492" s="159">
        <v>6957.77</v>
      </c>
      <c r="F492" s="159"/>
      <c r="G492" s="160" t="s">
        <v>2</v>
      </c>
      <c r="H492" s="34" t="s">
        <v>925</v>
      </c>
    </row>
    <row r="493" spans="1:8" ht="42.75">
      <c r="A493" s="160">
        <v>1</v>
      </c>
      <c r="B493" s="160" t="s">
        <v>1176</v>
      </c>
      <c r="C493" s="157" t="s">
        <v>0</v>
      </c>
      <c r="D493" s="159">
        <v>1</v>
      </c>
      <c r="E493" s="159">
        <v>6386.65</v>
      </c>
      <c r="F493" s="159">
        <v>6386.65</v>
      </c>
      <c r="G493" s="160" t="s">
        <v>2</v>
      </c>
      <c r="H493" s="34" t="s">
        <v>925</v>
      </c>
    </row>
    <row r="494" spans="1:8" ht="33">
      <c r="A494" s="160">
        <v>2</v>
      </c>
      <c r="B494" s="160" t="s">
        <v>1159</v>
      </c>
      <c r="C494" s="157" t="s">
        <v>0</v>
      </c>
      <c r="D494" s="159">
        <v>1</v>
      </c>
      <c r="E494" s="159">
        <v>24.07</v>
      </c>
      <c r="F494" s="159">
        <v>24.07</v>
      </c>
      <c r="G494" s="160" t="s">
        <v>2</v>
      </c>
      <c r="H494" s="34" t="s">
        <v>925</v>
      </c>
    </row>
    <row r="495" spans="1:8" ht="33">
      <c r="A495" s="160">
        <v>3</v>
      </c>
      <c r="B495" s="160" t="s">
        <v>4896</v>
      </c>
      <c r="C495" s="157" t="s">
        <v>0</v>
      </c>
      <c r="D495" s="159">
        <v>1</v>
      </c>
      <c r="E495" s="159">
        <v>344.4</v>
      </c>
      <c r="F495" s="159">
        <v>344.4</v>
      </c>
      <c r="G495" s="160" t="s">
        <v>2</v>
      </c>
      <c r="H495" s="34" t="s">
        <v>925</v>
      </c>
    </row>
    <row r="496" spans="1:8" ht="33">
      <c r="A496" s="160">
        <v>4</v>
      </c>
      <c r="B496" s="160" t="s">
        <v>931</v>
      </c>
      <c r="C496" s="157" t="s">
        <v>14</v>
      </c>
      <c r="D496" s="159">
        <v>1</v>
      </c>
      <c r="E496" s="159">
        <v>202.65</v>
      </c>
      <c r="F496" s="159">
        <v>202.65</v>
      </c>
      <c r="G496" s="160" t="s">
        <v>2</v>
      </c>
      <c r="H496" s="34" t="s">
        <v>925</v>
      </c>
    </row>
    <row r="497" spans="1:8" ht="33">
      <c r="A497" s="160"/>
      <c r="B497" s="160" t="s">
        <v>933</v>
      </c>
      <c r="C497" s="157" t="s">
        <v>0</v>
      </c>
      <c r="D497" s="159">
        <v>1</v>
      </c>
      <c r="E497" s="159"/>
      <c r="F497" s="159">
        <v>6957.7699999999986</v>
      </c>
      <c r="G497" s="160"/>
      <c r="H497" s="34" t="s">
        <v>925</v>
      </c>
    </row>
    <row r="498" spans="1:8" ht="33">
      <c r="A498" s="160"/>
      <c r="B498" s="160" t="s">
        <v>934</v>
      </c>
      <c r="C498" s="157" t="s">
        <v>0</v>
      </c>
      <c r="D498" s="159"/>
      <c r="E498" s="159"/>
      <c r="F498" s="159">
        <v>6957.77</v>
      </c>
      <c r="G498" s="160"/>
      <c r="H498" s="34" t="s">
        <v>925</v>
      </c>
    </row>
    <row r="499" spans="1:8" ht="33">
      <c r="A499" s="160"/>
      <c r="B499" s="160"/>
      <c r="C499" s="157"/>
      <c r="D499" s="159"/>
      <c r="E499" s="159"/>
      <c r="F499" s="159"/>
      <c r="G499" s="160"/>
      <c r="H499" s="34" t="s">
        <v>925</v>
      </c>
    </row>
    <row r="500" spans="1:8" ht="42.75">
      <c r="A500" s="160" t="s">
        <v>1235</v>
      </c>
      <c r="B500" s="160" t="s">
        <v>1179</v>
      </c>
      <c r="C500" s="157" t="s">
        <v>0</v>
      </c>
      <c r="D500" s="159">
        <v>1</v>
      </c>
      <c r="E500" s="159">
        <v>7423.69</v>
      </c>
      <c r="F500" s="159"/>
      <c r="G500" s="160" t="s">
        <v>2</v>
      </c>
      <c r="H500" s="34" t="s">
        <v>925</v>
      </c>
    </row>
    <row r="501" spans="1:8" ht="42.75">
      <c r="A501" s="160">
        <v>1</v>
      </c>
      <c r="B501" s="160" t="s">
        <v>1176</v>
      </c>
      <c r="C501" s="157" t="s">
        <v>0</v>
      </c>
      <c r="D501" s="159">
        <v>1</v>
      </c>
      <c r="E501" s="159">
        <v>6386.65</v>
      </c>
      <c r="F501" s="159">
        <v>6386.65</v>
      </c>
      <c r="G501" s="160" t="s">
        <v>2</v>
      </c>
      <c r="H501" s="34" t="s">
        <v>925</v>
      </c>
    </row>
    <row r="502" spans="1:8" ht="28.5">
      <c r="A502" s="160">
        <v>2</v>
      </c>
      <c r="B502" s="160" t="s">
        <v>1159</v>
      </c>
      <c r="C502" s="157" t="s">
        <v>0</v>
      </c>
      <c r="D502" s="159">
        <v>1</v>
      </c>
      <c r="E502" s="159">
        <v>24.07</v>
      </c>
      <c r="F502" s="159">
        <v>24.07</v>
      </c>
      <c r="G502" s="160" t="s">
        <v>2</v>
      </c>
    </row>
    <row r="503" spans="1:8" ht="33">
      <c r="A503" s="160">
        <v>3</v>
      </c>
      <c r="B503" s="160" t="s">
        <v>4897</v>
      </c>
      <c r="C503" s="157" t="s">
        <v>0</v>
      </c>
      <c r="D503" s="159">
        <v>1</v>
      </c>
      <c r="E503" s="159">
        <v>796.75</v>
      </c>
      <c r="F503" s="159">
        <v>796.75</v>
      </c>
      <c r="G503" s="160" t="s">
        <v>5443</v>
      </c>
      <c r="H503" s="34" t="s">
        <v>925</v>
      </c>
    </row>
    <row r="504" spans="1:8" ht="33">
      <c r="A504" s="160">
        <v>4</v>
      </c>
      <c r="B504" s="160" t="s">
        <v>931</v>
      </c>
      <c r="C504" s="157" t="s">
        <v>14</v>
      </c>
      <c r="D504" s="159">
        <v>1</v>
      </c>
      <c r="E504" s="159">
        <v>216.22</v>
      </c>
      <c r="F504" s="159">
        <v>216.22</v>
      </c>
      <c r="G504" s="160" t="s">
        <v>2</v>
      </c>
      <c r="H504" s="34" t="s">
        <v>925</v>
      </c>
    </row>
    <row r="505" spans="1:8" ht="33">
      <c r="A505" s="160"/>
      <c r="B505" s="160" t="s">
        <v>933</v>
      </c>
      <c r="C505" s="157" t="s">
        <v>0</v>
      </c>
      <c r="D505" s="159">
        <v>1</v>
      </c>
      <c r="E505" s="159"/>
      <c r="F505" s="159">
        <v>7423.69</v>
      </c>
      <c r="G505" s="160"/>
      <c r="H505" s="34" t="s">
        <v>925</v>
      </c>
    </row>
    <row r="506" spans="1:8" ht="33">
      <c r="A506" s="160"/>
      <c r="B506" s="160" t="s">
        <v>934</v>
      </c>
      <c r="C506" s="157" t="s">
        <v>0</v>
      </c>
      <c r="D506" s="159"/>
      <c r="E506" s="159"/>
      <c r="F506" s="159">
        <v>7423.69</v>
      </c>
      <c r="G506" s="160"/>
      <c r="H506" s="34" t="s">
        <v>925</v>
      </c>
    </row>
    <row r="507" spans="1:8" ht="33">
      <c r="A507" s="160"/>
      <c r="B507" s="160"/>
      <c r="C507" s="157"/>
      <c r="D507" s="159"/>
      <c r="E507" s="159"/>
      <c r="F507" s="159"/>
      <c r="G507" s="160"/>
      <c r="H507" s="34" t="s">
        <v>925</v>
      </c>
    </row>
    <row r="508" spans="1:8" ht="42.75">
      <c r="A508" s="160" t="s">
        <v>1238</v>
      </c>
      <c r="B508" s="160" t="s">
        <v>4477</v>
      </c>
      <c r="C508" s="157" t="s">
        <v>0</v>
      </c>
      <c r="D508" s="159">
        <v>1</v>
      </c>
      <c r="E508" s="159">
        <v>7883.49</v>
      </c>
      <c r="F508" s="159"/>
      <c r="G508" s="160" t="s">
        <v>2</v>
      </c>
      <c r="H508" s="34" t="s">
        <v>925</v>
      </c>
    </row>
    <row r="509" spans="1:8" ht="42.75">
      <c r="A509" s="160">
        <v>1</v>
      </c>
      <c r="B509" s="160" t="s">
        <v>1176</v>
      </c>
      <c r="C509" s="157" t="s">
        <v>0</v>
      </c>
      <c r="D509" s="159">
        <v>1</v>
      </c>
      <c r="E509" s="159">
        <v>6386.65</v>
      </c>
      <c r="F509" s="159">
        <v>6386.65</v>
      </c>
      <c r="G509" s="160" t="s">
        <v>2</v>
      </c>
      <c r="H509" s="34" t="s">
        <v>925</v>
      </c>
    </row>
    <row r="510" spans="1:8" ht="33">
      <c r="A510" s="160">
        <v>2</v>
      </c>
      <c r="B510" s="160" t="s">
        <v>1159</v>
      </c>
      <c r="C510" s="157" t="s">
        <v>0</v>
      </c>
      <c r="D510" s="159">
        <v>1</v>
      </c>
      <c r="E510" s="159">
        <v>24.07</v>
      </c>
      <c r="F510" s="159">
        <v>24.07</v>
      </c>
      <c r="G510" s="160" t="s">
        <v>2</v>
      </c>
      <c r="H510" s="34" t="s">
        <v>925</v>
      </c>
    </row>
    <row r="511" spans="1:8" ht="33">
      <c r="A511" s="160">
        <v>3</v>
      </c>
      <c r="B511" s="160" t="s">
        <v>4898</v>
      </c>
      <c r="C511" s="157" t="s">
        <v>0</v>
      </c>
      <c r="D511" s="159">
        <v>1</v>
      </c>
      <c r="E511" s="159">
        <v>1243.1500000000001</v>
      </c>
      <c r="F511" s="159">
        <v>1243.1500000000001</v>
      </c>
      <c r="G511" s="160" t="s">
        <v>5443</v>
      </c>
      <c r="H511" s="34" t="s">
        <v>925</v>
      </c>
    </row>
    <row r="512" spans="1:8" ht="33">
      <c r="A512" s="160">
        <v>4</v>
      </c>
      <c r="B512" s="160" t="s">
        <v>931</v>
      </c>
      <c r="C512" s="157" t="s">
        <v>14</v>
      </c>
      <c r="D512" s="159">
        <v>1</v>
      </c>
      <c r="E512" s="159">
        <v>229.62</v>
      </c>
      <c r="F512" s="159">
        <v>229.62</v>
      </c>
      <c r="G512" s="160" t="s">
        <v>2</v>
      </c>
      <c r="H512" s="34" t="s">
        <v>925</v>
      </c>
    </row>
    <row r="513" spans="1:8" ht="33">
      <c r="A513" s="160"/>
      <c r="B513" s="160" t="s">
        <v>933</v>
      </c>
      <c r="C513" s="157" t="s">
        <v>0</v>
      </c>
      <c r="D513" s="159">
        <v>1</v>
      </c>
      <c r="E513" s="159"/>
      <c r="F513" s="159">
        <v>7883.4899999999989</v>
      </c>
      <c r="G513" s="160"/>
      <c r="H513" s="34" t="s">
        <v>925</v>
      </c>
    </row>
    <row r="514" spans="1:8" ht="33">
      <c r="A514" s="160"/>
      <c r="B514" s="160" t="s">
        <v>934</v>
      </c>
      <c r="C514" s="157" t="s">
        <v>0</v>
      </c>
      <c r="D514" s="159"/>
      <c r="E514" s="159"/>
      <c r="F514" s="159">
        <v>7883.49</v>
      </c>
      <c r="G514" s="160"/>
      <c r="H514" s="34" t="s">
        <v>925</v>
      </c>
    </row>
    <row r="515" spans="1:8" ht="16.5">
      <c r="A515" s="160"/>
      <c r="B515" s="160"/>
      <c r="C515" s="157"/>
      <c r="D515" s="159"/>
      <c r="E515" s="159"/>
      <c r="F515" s="159"/>
      <c r="G515" s="160"/>
    </row>
    <row r="516" spans="1:8" ht="33">
      <c r="A516" s="160" t="s">
        <v>1241</v>
      </c>
      <c r="B516" s="160" t="s">
        <v>1182</v>
      </c>
      <c r="C516" s="157" t="s">
        <v>0</v>
      </c>
      <c r="D516" s="159">
        <v>1</v>
      </c>
      <c r="E516" s="159">
        <v>7434.46</v>
      </c>
      <c r="F516" s="159"/>
      <c r="G516" s="160" t="s">
        <v>2</v>
      </c>
      <c r="H516" s="34" t="s">
        <v>925</v>
      </c>
    </row>
    <row r="517" spans="1:8" ht="33">
      <c r="A517" s="160">
        <v>1</v>
      </c>
      <c r="B517" s="160" t="s">
        <v>1184</v>
      </c>
      <c r="C517" s="157" t="s">
        <v>0</v>
      </c>
      <c r="D517" s="159">
        <v>1</v>
      </c>
      <c r="E517" s="159">
        <v>6849.45</v>
      </c>
      <c r="F517" s="159">
        <v>6849.45</v>
      </c>
      <c r="G517" s="160" t="s">
        <v>2</v>
      </c>
      <c r="H517" s="34" t="s">
        <v>925</v>
      </c>
    </row>
    <row r="518" spans="1:8" ht="33">
      <c r="A518" s="160">
        <v>2</v>
      </c>
      <c r="B518" s="160" t="s">
        <v>4896</v>
      </c>
      <c r="C518" s="157" t="s">
        <v>0</v>
      </c>
      <c r="D518" s="159">
        <v>1</v>
      </c>
      <c r="E518" s="159">
        <v>344.4</v>
      </c>
      <c r="F518" s="159">
        <v>344.4</v>
      </c>
      <c r="G518" s="160" t="s">
        <v>2</v>
      </c>
      <c r="H518" s="34" t="s">
        <v>925</v>
      </c>
    </row>
    <row r="519" spans="1:8" ht="33">
      <c r="A519" s="160">
        <v>3</v>
      </c>
      <c r="B519" s="160" t="s">
        <v>1159</v>
      </c>
      <c r="C519" s="157" t="s">
        <v>0</v>
      </c>
      <c r="D519" s="159">
        <v>1</v>
      </c>
      <c r="E519" s="159">
        <v>24.07</v>
      </c>
      <c r="F519" s="159">
        <v>24.07</v>
      </c>
      <c r="G519" s="160" t="s">
        <v>2</v>
      </c>
      <c r="H519" s="34" t="s">
        <v>925</v>
      </c>
    </row>
    <row r="520" spans="1:8" ht="33">
      <c r="A520" s="160">
        <v>4</v>
      </c>
      <c r="B520" s="160" t="s">
        <v>931</v>
      </c>
      <c r="C520" s="157" t="s">
        <v>14</v>
      </c>
      <c r="D520" s="159">
        <v>1</v>
      </c>
      <c r="E520" s="159">
        <v>216.54</v>
      </c>
      <c r="F520" s="159">
        <v>216.54</v>
      </c>
      <c r="G520" s="160" t="s">
        <v>2</v>
      </c>
      <c r="H520" s="34" t="s">
        <v>925</v>
      </c>
    </row>
    <row r="521" spans="1:8" ht="33">
      <c r="A521" s="160"/>
      <c r="B521" s="160" t="s">
        <v>933</v>
      </c>
      <c r="C521" s="157" t="s">
        <v>0</v>
      </c>
      <c r="D521" s="159">
        <v>1</v>
      </c>
      <c r="E521" s="159"/>
      <c r="F521" s="159">
        <v>7434.4599999999991</v>
      </c>
      <c r="G521" s="160"/>
      <c r="H521" s="34" t="s">
        <v>925</v>
      </c>
    </row>
    <row r="522" spans="1:8" ht="33">
      <c r="A522" s="160"/>
      <c r="B522" s="160" t="s">
        <v>934</v>
      </c>
      <c r="C522" s="157" t="s">
        <v>0</v>
      </c>
      <c r="D522" s="159"/>
      <c r="E522" s="159"/>
      <c r="F522" s="159">
        <v>7434.46</v>
      </c>
      <c r="G522" s="160"/>
      <c r="H522" s="34" t="s">
        <v>925</v>
      </c>
    </row>
    <row r="523" spans="1:8" ht="33">
      <c r="A523" s="160"/>
      <c r="B523" s="160"/>
      <c r="C523" s="157"/>
      <c r="D523" s="159"/>
      <c r="E523" s="159"/>
      <c r="F523" s="159"/>
      <c r="G523" s="160"/>
      <c r="H523" s="34" t="s">
        <v>925</v>
      </c>
    </row>
    <row r="524" spans="1:8" ht="33">
      <c r="A524" s="160" t="s">
        <v>1249</v>
      </c>
      <c r="B524" s="160" t="s">
        <v>1187</v>
      </c>
      <c r="C524" s="157" t="s">
        <v>0</v>
      </c>
      <c r="D524" s="159">
        <v>1</v>
      </c>
      <c r="E524" s="159">
        <v>6595.49</v>
      </c>
      <c r="F524" s="159"/>
      <c r="G524" s="160" t="s">
        <v>2</v>
      </c>
      <c r="H524" s="34" t="s">
        <v>925</v>
      </c>
    </row>
    <row r="525" spans="1:8" ht="33">
      <c r="A525" s="160">
        <v>1</v>
      </c>
      <c r="B525" s="160" t="s">
        <v>4896</v>
      </c>
      <c r="C525" s="157" t="s">
        <v>0</v>
      </c>
      <c r="D525" s="159">
        <v>1</v>
      </c>
      <c r="E525" s="159">
        <v>344.4</v>
      </c>
      <c r="F525" s="159">
        <v>344.4</v>
      </c>
      <c r="G525" s="160" t="s">
        <v>2</v>
      </c>
      <c r="H525" s="34" t="s">
        <v>925</v>
      </c>
    </row>
    <row r="526" spans="1:8" ht="42.75">
      <c r="A526" s="160">
        <v>2</v>
      </c>
      <c r="B526" s="160" t="s">
        <v>1189</v>
      </c>
      <c r="C526" s="157" t="s">
        <v>0</v>
      </c>
      <c r="D526" s="159">
        <v>1</v>
      </c>
      <c r="E526" s="159">
        <v>6034.92</v>
      </c>
      <c r="F526" s="159">
        <v>6034.92</v>
      </c>
      <c r="G526" s="160" t="s">
        <v>2</v>
      </c>
      <c r="H526" s="34" t="s">
        <v>925</v>
      </c>
    </row>
    <row r="527" spans="1:8" ht="33">
      <c r="A527" s="160">
        <v>3</v>
      </c>
      <c r="B527" s="160" t="s">
        <v>1159</v>
      </c>
      <c r="C527" s="157" t="s">
        <v>0</v>
      </c>
      <c r="D527" s="159">
        <v>1</v>
      </c>
      <c r="E527" s="159">
        <v>24.07</v>
      </c>
      <c r="F527" s="159">
        <v>24.07</v>
      </c>
      <c r="G527" s="160" t="s">
        <v>2</v>
      </c>
      <c r="H527" s="34" t="s">
        <v>925</v>
      </c>
    </row>
    <row r="528" spans="1:8" ht="16.5">
      <c r="A528" s="160">
        <v>4</v>
      </c>
      <c r="B528" s="160" t="s">
        <v>931</v>
      </c>
      <c r="C528" s="157" t="s">
        <v>14</v>
      </c>
      <c r="D528" s="159">
        <v>1</v>
      </c>
      <c r="E528" s="159">
        <v>192.1</v>
      </c>
      <c r="F528" s="159">
        <v>192.1</v>
      </c>
      <c r="G528" s="160" t="s">
        <v>2</v>
      </c>
    </row>
    <row r="529" spans="1:8" ht="33">
      <c r="A529" s="160"/>
      <c r="B529" s="160" t="s">
        <v>933</v>
      </c>
      <c r="C529" s="157" t="s">
        <v>0</v>
      </c>
      <c r="D529" s="159">
        <v>1</v>
      </c>
      <c r="E529" s="159"/>
      <c r="F529" s="159">
        <v>6595.49</v>
      </c>
      <c r="G529" s="160"/>
      <c r="H529" s="34" t="s">
        <v>925</v>
      </c>
    </row>
    <row r="530" spans="1:8" ht="33">
      <c r="A530" s="160"/>
      <c r="B530" s="160" t="s">
        <v>934</v>
      </c>
      <c r="C530" s="157" t="s">
        <v>0</v>
      </c>
      <c r="D530" s="159"/>
      <c r="E530" s="159"/>
      <c r="F530" s="159">
        <v>6595.49</v>
      </c>
      <c r="G530" s="160"/>
      <c r="H530" s="34" t="s">
        <v>925</v>
      </c>
    </row>
    <row r="531" spans="1:8" ht="33">
      <c r="A531" s="160"/>
      <c r="B531" s="160"/>
      <c r="C531" s="157"/>
      <c r="D531" s="159"/>
      <c r="E531" s="159"/>
      <c r="F531" s="159"/>
      <c r="G531" s="160"/>
      <c r="H531" s="34" t="s">
        <v>925</v>
      </c>
    </row>
    <row r="532" spans="1:8" ht="42.75">
      <c r="A532" s="160" t="s">
        <v>1252</v>
      </c>
      <c r="B532" s="160" t="s">
        <v>1192</v>
      </c>
      <c r="C532" s="157" t="s">
        <v>0</v>
      </c>
      <c r="D532" s="159">
        <v>1</v>
      </c>
      <c r="E532" s="159">
        <v>7061.41</v>
      </c>
      <c r="F532" s="159"/>
      <c r="G532" s="160" t="s">
        <v>2</v>
      </c>
      <c r="H532" s="34" t="s">
        <v>925</v>
      </c>
    </row>
    <row r="533" spans="1:8" ht="33">
      <c r="A533" s="160">
        <v>1</v>
      </c>
      <c r="B533" s="160" t="s">
        <v>4897</v>
      </c>
      <c r="C533" s="157" t="s">
        <v>0</v>
      </c>
      <c r="D533" s="159">
        <v>1</v>
      </c>
      <c r="E533" s="159">
        <v>796.75</v>
      </c>
      <c r="F533" s="159">
        <v>796.75</v>
      </c>
      <c r="G533" s="160" t="s">
        <v>5443</v>
      </c>
      <c r="H533" s="34" t="s">
        <v>925</v>
      </c>
    </row>
    <row r="534" spans="1:8" ht="42.75">
      <c r="A534" s="160">
        <v>2</v>
      </c>
      <c r="B534" s="160" t="s">
        <v>1189</v>
      </c>
      <c r="C534" s="157" t="s">
        <v>0</v>
      </c>
      <c r="D534" s="159">
        <v>1</v>
      </c>
      <c r="E534" s="159">
        <v>6034.92</v>
      </c>
      <c r="F534" s="159">
        <v>6034.92</v>
      </c>
      <c r="G534" s="160" t="s">
        <v>2</v>
      </c>
      <c r="H534" s="34" t="s">
        <v>925</v>
      </c>
    </row>
    <row r="535" spans="1:8" ht="33">
      <c r="A535" s="160">
        <v>3</v>
      </c>
      <c r="B535" s="160" t="s">
        <v>1159</v>
      </c>
      <c r="C535" s="157" t="s">
        <v>0</v>
      </c>
      <c r="D535" s="159">
        <v>1</v>
      </c>
      <c r="E535" s="159">
        <v>24.07</v>
      </c>
      <c r="F535" s="159">
        <v>24.07</v>
      </c>
      <c r="G535" s="160" t="s">
        <v>2</v>
      </c>
      <c r="H535" s="34" t="s">
        <v>925</v>
      </c>
    </row>
    <row r="536" spans="1:8" ht="33">
      <c r="A536" s="160">
        <v>4</v>
      </c>
      <c r="B536" s="160" t="s">
        <v>931</v>
      </c>
      <c r="C536" s="157" t="s">
        <v>14</v>
      </c>
      <c r="D536" s="159">
        <v>1</v>
      </c>
      <c r="E536" s="159">
        <v>205.67</v>
      </c>
      <c r="F536" s="159">
        <v>205.67</v>
      </c>
      <c r="G536" s="160" t="s">
        <v>2</v>
      </c>
      <c r="H536" s="34" t="s">
        <v>925</v>
      </c>
    </row>
    <row r="537" spans="1:8" ht="33">
      <c r="A537" s="160"/>
      <c r="B537" s="160" t="s">
        <v>933</v>
      </c>
      <c r="C537" s="157" t="s">
        <v>0</v>
      </c>
      <c r="D537" s="159">
        <v>1</v>
      </c>
      <c r="E537" s="159"/>
      <c r="F537" s="159">
        <v>7061.41</v>
      </c>
      <c r="G537" s="160"/>
      <c r="H537" s="34" t="s">
        <v>925</v>
      </c>
    </row>
    <row r="538" spans="1:8" ht="33">
      <c r="A538" s="160"/>
      <c r="B538" s="160" t="s">
        <v>934</v>
      </c>
      <c r="C538" s="157" t="s">
        <v>0</v>
      </c>
      <c r="D538" s="159"/>
      <c r="E538" s="159"/>
      <c r="F538" s="159">
        <v>7061.41</v>
      </c>
      <c r="G538" s="160"/>
      <c r="H538" s="34" t="s">
        <v>925</v>
      </c>
    </row>
    <row r="539" spans="1:8" ht="33">
      <c r="A539" s="160"/>
      <c r="B539" s="160"/>
      <c r="C539" s="157"/>
      <c r="D539" s="159"/>
      <c r="E539" s="159"/>
      <c r="F539" s="159"/>
      <c r="G539" s="160"/>
      <c r="H539" s="34" t="s">
        <v>925</v>
      </c>
    </row>
    <row r="540" spans="1:8" ht="42.75">
      <c r="A540" s="160" t="s">
        <v>1257</v>
      </c>
      <c r="B540" s="160" t="s">
        <v>4482</v>
      </c>
      <c r="C540" s="157" t="s">
        <v>0</v>
      </c>
      <c r="D540" s="159">
        <v>1</v>
      </c>
      <c r="E540" s="159">
        <v>7521.2</v>
      </c>
      <c r="F540" s="159"/>
      <c r="G540" s="160" t="s">
        <v>2</v>
      </c>
      <c r="H540" s="34" t="s">
        <v>925</v>
      </c>
    </row>
    <row r="541" spans="1:8" ht="28.5">
      <c r="A541" s="160">
        <v>1</v>
      </c>
      <c r="B541" s="160" t="s">
        <v>4898</v>
      </c>
      <c r="C541" s="157" t="s">
        <v>0</v>
      </c>
      <c r="D541" s="159">
        <v>1</v>
      </c>
      <c r="E541" s="159">
        <v>1243.1500000000001</v>
      </c>
      <c r="F541" s="159">
        <v>1243.1500000000001</v>
      </c>
      <c r="G541" s="160" t="s">
        <v>5443</v>
      </c>
    </row>
    <row r="542" spans="1:8" ht="42.75">
      <c r="A542" s="160">
        <v>2</v>
      </c>
      <c r="B542" s="160" t="s">
        <v>1189</v>
      </c>
      <c r="C542" s="157" t="s">
        <v>0</v>
      </c>
      <c r="D542" s="159">
        <v>1</v>
      </c>
      <c r="E542" s="159">
        <v>6034.92</v>
      </c>
      <c r="F542" s="159">
        <v>6034.92</v>
      </c>
      <c r="G542" s="160" t="s">
        <v>2</v>
      </c>
      <c r="H542" s="34" t="s">
        <v>925</v>
      </c>
    </row>
    <row r="543" spans="1:8" ht="33">
      <c r="A543" s="160">
        <v>3</v>
      </c>
      <c r="B543" s="160" t="s">
        <v>1159</v>
      </c>
      <c r="C543" s="157" t="s">
        <v>0</v>
      </c>
      <c r="D543" s="159">
        <v>1</v>
      </c>
      <c r="E543" s="159">
        <v>24.07</v>
      </c>
      <c r="F543" s="159">
        <v>24.07</v>
      </c>
      <c r="G543" s="160" t="s">
        <v>2</v>
      </c>
      <c r="H543" s="34" t="s">
        <v>925</v>
      </c>
    </row>
    <row r="544" spans="1:8" ht="33">
      <c r="A544" s="160">
        <v>4</v>
      </c>
      <c r="B544" s="160" t="s">
        <v>931</v>
      </c>
      <c r="C544" s="157" t="s">
        <v>14</v>
      </c>
      <c r="D544" s="159">
        <v>1</v>
      </c>
      <c r="E544" s="159">
        <v>219.06</v>
      </c>
      <c r="F544" s="159">
        <v>219.06</v>
      </c>
      <c r="G544" s="160" t="s">
        <v>2</v>
      </c>
      <c r="H544" s="34" t="s">
        <v>925</v>
      </c>
    </row>
    <row r="545" spans="1:8" ht="33">
      <c r="A545" s="160"/>
      <c r="B545" s="160" t="s">
        <v>933</v>
      </c>
      <c r="C545" s="157" t="s">
        <v>0</v>
      </c>
      <c r="D545" s="159">
        <v>1</v>
      </c>
      <c r="E545" s="159"/>
      <c r="F545" s="159">
        <v>7521.2</v>
      </c>
      <c r="G545" s="160"/>
      <c r="H545" s="34" t="s">
        <v>925</v>
      </c>
    </row>
    <row r="546" spans="1:8" ht="33">
      <c r="A546" s="160"/>
      <c r="B546" s="160" t="s">
        <v>934</v>
      </c>
      <c r="C546" s="157" t="s">
        <v>0</v>
      </c>
      <c r="D546" s="159"/>
      <c r="E546" s="159"/>
      <c r="F546" s="159">
        <v>7521.2</v>
      </c>
      <c r="G546" s="160"/>
      <c r="H546" s="34" t="s">
        <v>925</v>
      </c>
    </row>
    <row r="547" spans="1:8" ht="33">
      <c r="A547" s="160"/>
      <c r="B547" s="160"/>
      <c r="C547" s="157"/>
      <c r="D547" s="159"/>
      <c r="E547" s="159"/>
      <c r="F547" s="159"/>
      <c r="G547" s="160"/>
      <c r="H547" s="34" t="s">
        <v>925</v>
      </c>
    </row>
    <row r="548" spans="1:8" ht="33">
      <c r="A548" s="160" t="s">
        <v>1269</v>
      </c>
      <c r="B548" s="160" t="s">
        <v>1195</v>
      </c>
      <c r="C548" s="157" t="s">
        <v>0</v>
      </c>
      <c r="D548" s="159">
        <v>1</v>
      </c>
      <c r="E548" s="159">
        <v>6252.29</v>
      </c>
      <c r="F548" s="159"/>
      <c r="G548" s="160" t="s">
        <v>2</v>
      </c>
      <c r="H548" s="34" t="s">
        <v>925</v>
      </c>
    </row>
    <row r="549" spans="1:8" ht="33">
      <c r="A549" s="160">
        <v>1</v>
      </c>
      <c r="B549" s="160" t="s">
        <v>4896</v>
      </c>
      <c r="C549" s="157" t="s">
        <v>0</v>
      </c>
      <c r="D549" s="159">
        <v>1</v>
      </c>
      <c r="E549" s="159">
        <v>344.4</v>
      </c>
      <c r="F549" s="159">
        <v>344.4</v>
      </c>
      <c r="G549" s="160" t="s">
        <v>2</v>
      </c>
      <c r="H549" s="34" t="s">
        <v>925</v>
      </c>
    </row>
    <row r="550" spans="1:8" ht="42.75">
      <c r="A550" s="160">
        <v>2</v>
      </c>
      <c r="B550" s="160" t="s">
        <v>1197</v>
      </c>
      <c r="C550" s="157" t="s">
        <v>0</v>
      </c>
      <c r="D550" s="159">
        <v>1</v>
      </c>
      <c r="E550" s="159">
        <v>5701.71</v>
      </c>
      <c r="F550" s="159">
        <v>5701.71</v>
      </c>
      <c r="G550" s="160" t="s">
        <v>2</v>
      </c>
      <c r="H550" s="34" t="s">
        <v>925</v>
      </c>
    </row>
    <row r="551" spans="1:8" ht="28.5">
      <c r="A551" s="160">
        <v>3</v>
      </c>
      <c r="B551" s="160" t="s">
        <v>1159</v>
      </c>
      <c r="C551" s="157" t="s">
        <v>0</v>
      </c>
      <c r="D551" s="159">
        <v>1</v>
      </c>
      <c r="E551" s="159">
        <v>24.07</v>
      </c>
      <c r="F551" s="159">
        <v>24.07</v>
      </c>
      <c r="G551" s="160" t="s">
        <v>2</v>
      </c>
    </row>
    <row r="552" spans="1:8" ht="33">
      <c r="A552" s="160">
        <v>4</v>
      </c>
      <c r="B552" s="160" t="s">
        <v>931</v>
      </c>
      <c r="C552" s="157" t="s">
        <v>14</v>
      </c>
      <c r="D552" s="159">
        <v>1</v>
      </c>
      <c r="E552" s="159">
        <v>182.11</v>
      </c>
      <c r="F552" s="159">
        <v>182.11</v>
      </c>
      <c r="G552" s="160" t="s">
        <v>2</v>
      </c>
      <c r="H552" s="34" t="s">
        <v>925</v>
      </c>
    </row>
    <row r="553" spans="1:8" ht="33">
      <c r="A553" s="160"/>
      <c r="B553" s="160" t="s">
        <v>933</v>
      </c>
      <c r="C553" s="157" t="s">
        <v>0</v>
      </c>
      <c r="D553" s="159">
        <v>1</v>
      </c>
      <c r="E553" s="159"/>
      <c r="F553" s="159">
        <v>6252.2899999999991</v>
      </c>
      <c r="G553" s="160"/>
      <c r="H553" s="34" t="s">
        <v>925</v>
      </c>
    </row>
    <row r="554" spans="1:8" ht="33">
      <c r="A554" s="160"/>
      <c r="B554" s="160" t="s">
        <v>934</v>
      </c>
      <c r="C554" s="157" t="s">
        <v>0</v>
      </c>
      <c r="D554" s="159"/>
      <c r="E554" s="159"/>
      <c r="F554" s="159">
        <v>6252.29</v>
      </c>
      <c r="G554" s="160"/>
      <c r="H554" s="34" t="s">
        <v>925</v>
      </c>
    </row>
    <row r="555" spans="1:8" ht="33">
      <c r="A555" s="160"/>
      <c r="B555" s="160"/>
      <c r="C555" s="157"/>
      <c r="D555" s="159"/>
      <c r="E555" s="159"/>
      <c r="F555" s="159"/>
      <c r="G555" s="160"/>
      <c r="H555" s="34" t="s">
        <v>925</v>
      </c>
    </row>
    <row r="556" spans="1:8" ht="42.75">
      <c r="A556" s="160" t="s">
        <v>1274</v>
      </c>
      <c r="B556" s="160" t="s">
        <v>1200</v>
      </c>
      <c r="C556" s="157" t="s">
        <v>0</v>
      </c>
      <c r="D556" s="159">
        <v>1</v>
      </c>
      <c r="E556" s="159">
        <v>6718.21</v>
      </c>
      <c r="F556" s="159"/>
      <c r="G556" s="160" t="s">
        <v>2</v>
      </c>
      <c r="H556" s="34" t="s">
        <v>925</v>
      </c>
    </row>
    <row r="557" spans="1:8" ht="33">
      <c r="A557" s="160">
        <v>1</v>
      </c>
      <c r="B557" s="160" t="s">
        <v>4897</v>
      </c>
      <c r="C557" s="157" t="s">
        <v>0</v>
      </c>
      <c r="D557" s="159">
        <v>1</v>
      </c>
      <c r="E557" s="159">
        <v>796.75</v>
      </c>
      <c r="F557" s="159">
        <v>796.75</v>
      </c>
      <c r="G557" s="160" t="s">
        <v>5443</v>
      </c>
      <c r="H557" s="34" t="s">
        <v>925</v>
      </c>
    </row>
    <row r="558" spans="1:8" ht="42.75">
      <c r="A558" s="160">
        <v>2</v>
      </c>
      <c r="B558" s="160" t="s">
        <v>1197</v>
      </c>
      <c r="C558" s="157" t="s">
        <v>0</v>
      </c>
      <c r="D558" s="159">
        <v>1</v>
      </c>
      <c r="E558" s="159">
        <v>5701.71</v>
      </c>
      <c r="F558" s="159">
        <v>5701.71</v>
      </c>
      <c r="G558" s="160" t="s">
        <v>2</v>
      </c>
      <c r="H558" s="34" t="s">
        <v>925</v>
      </c>
    </row>
    <row r="559" spans="1:8" ht="33">
      <c r="A559" s="160">
        <v>3</v>
      </c>
      <c r="B559" s="160" t="s">
        <v>1159</v>
      </c>
      <c r="C559" s="157" t="s">
        <v>0</v>
      </c>
      <c r="D559" s="159">
        <v>1</v>
      </c>
      <c r="E559" s="159">
        <v>24.07</v>
      </c>
      <c r="F559" s="159">
        <v>24.07</v>
      </c>
      <c r="G559" s="160" t="s">
        <v>2</v>
      </c>
      <c r="H559" s="34" t="s">
        <v>925</v>
      </c>
    </row>
    <row r="560" spans="1:8" ht="33">
      <c r="A560" s="160">
        <v>4</v>
      </c>
      <c r="B560" s="160" t="s">
        <v>931</v>
      </c>
      <c r="C560" s="157" t="s">
        <v>14</v>
      </c>
      <c r="D560" s="159">
        <v>1</v>
      </c>
      <c r="E560" s="159">
        <v>195.68</v>
      </c>
      <c r="F560" s="159">
        <v>195.68</v>
      </c>
      <c r="G560" s="160" t="s">
        <v>2</v>
      </c>
      <c r="H560" s="34" t="s">
        <v>925</v>
      </c>
    </row>
    <row r="561" spans="1:8" ht="16.5">
      <c r="A561" s="160"/>
      <c r="B561" s="160" t="s">
        <v>933</v>
      </c>
      <c r="C561" s="157" t="s">
        <v>0</v>
      </c>
      <c r="D561" s="159">
        <v>1</v>
      </c>
      <c r="E561" s="159"/>
      <c r="F561" s="159">
        <v>6718.21</v>
      </c>
      <c r="G561" s="160"/>
    </row>
    <row r="562" spans="1:8" ht="33">
      <c r="A562" s="160"/>
      <c r="B562" s="160" t="s">
        <v>934</v>
      </c>
      <c r="C562" s="157" t="s">
        <v>0</v>
      </c>
      <c r="D562" s="159"/>
      <c r="E562" s="159"/>
      <c r="F562" s="159">
        <v>6718.21</v>
      </c>
      <c r="G562" s="160"/>
      <c r="H562" s="34" t="s">
        <v>925</v>
      </c>
    </row>
    <row r="563" spans="1:8" ht="33">
      <c r="A563" s="160"/>
      <c r="B563" s="160"/>
      <c r="C563" s="157"/>
      <c r="D563" s="159"/>
      <c r="E563" s="159"/>
      <c r="F563" s="159"/>
      <c r="G563" s="160"/>
      <c r="H563" s="34" t="s">
        <v>925</v>
      </c>
    </row>
    <row r="564" spans="1:8" ht="42.75">
      <c r="A564" s="160" t="s">
        <v>1279</v>
      </c>
      <c r="B564" s="160" t="s">
        <v>4486</v>
      </c>
      <c r="C564" s="157" t="s">
        <v>0</v>
      </c>
      <c r="D564" s="159">
        <v>1</v>
      </c>
      <c r="E564" s="159">
        <v>7178</v>
      </c>
      <c r="F564" s="159"/>
      <c r="G564" s="160" t="s">
        <v>2</v>
      </c>
      <c r="H564" s="34" t="s">
        <v>925</v>
      </c>
    </row>
    <row r="565" spans="1:8" ht="33">
      <c r="A565" s="160">
        <v>1</v>
      </c>
      <c r="B565" s="160" t="s">
        <v>4898</v>
      </c>
      <c r="C565" s="157" t="s">
        <v>0</v>
      </c>
      <c r="D565" s="159">
        <v>1</v>
      </c>
      <c r="E565" s="159">
        <v>1243.1500000000001</v>
      </c>
      <c r="F565" s="159">
        <v>1243.1500000000001</v>
      </c>
      <c r="G565" s="160" t="s">
        <v>5443</v>
      </c>
      <c r="H565" s="34" t="s">
        <v>925</v>
      </c>
    </row>
    <row r="566" spans="1:8" ht="42.75">
      <c r="A566" s="160">
        <v>2</v>
      </c>
      <c r="B566" s="160" t="s">
        <v>1197</v>
      </c>
      <c r="C566" s="157" t="s">
        <v>0</v>
      </c>
      <c r="D566" s="159">
        <v>1</v>
      </c>
      <c r="E566" s="159">
        <v>5701.71</v>
      </c>
      <c r="F566" s="159">
        <v>5701.71</v>
      </c>
      <c r="G566" s="160" t="s">
        <v>2</v>
      </c>
      <c r="H566" s="34" t="s">
        <v>925</v>
      </c>
    </row>
    <row r="567" spans="1:8" ht="33">
      <c r="A567" s="160">
        <v>3</v>
      </c>
      <c r="B567" s="160" t="s">
        <v>1159</v>
      </c>
      <c r="C567" s="157" t="s">
        <v>0</v>
      </c>
      <c r="D567" s="159">
        <v>1</v>
      </c>
      <c r="E567" s="159">
        <v>24.07</v>
      </c>
      <c r="F567" s="159">
        <v>24.07</v>
      </c>
      <c r="G567" s="160" t="s">
        <v>2</v>
      </c>
      <c r="H567" s="34" t="s">
        <v>925</v>
      </c>
    </row>
    <row r="568" spans="1:8" ht="33">
      <c r="A568" s="160">
        <v>4</v>
      </c>
      <c r="B568" s="160" t="s">
        <v>931</v>
      </c>
      <c r="C568" s="157" t="s">
        <v>14</v>
      </c>
      <c r="D568" s="159">
        <v>1</v>
      </c>
      <c r="E568" s="159">
        <v>209.07</v>
      </c>
      <c r="F568" s="159">
        <v>209.07</v>
      </c>
      <c r="G568" s="160" t="s">
        <v>2</v>
      </c>
      <c r="H568" s="34" t="s">
        <v>925</v>
      </c>
    </row>
    <row r="569" spans="1:8" ht="33">
      <c r="A569" s="160"/>
      <c r="B569" s="160" t="s">
        <v>933</v>
      </c>
      <c r="C569" s="157" t="s">
        <v>0</v>
      </c>
      <c r="D569" s="159">
        <v>1</v>
      </c>
      <c r="E569" s="159"/>
      <c r="F569" s="159">
        <v>7178</v>
      </c>
      <c r="G569" s="160"/>
      <c r="H569" s="34" t="s">
        <v>925</v>
      </c>
    </row>
    <row r="570" spans="1:8" ht="33">
      <c r="A570" s="160"/>
      <c r="B570" s="160" t="s">
        <v>934</v>
      </c>
      <c r="C570" s="157" t="s">
        <v>0</v>
      </c>
      <c r="D570" s="159"/>
      <c r="E570" s="159"/>
      <c r="F570" s="159">
        <v>7178</v>
      </c>
      <c r="G570" s="160"/>
      <c r="H570" s="34" t="s">
        <v>925</v>
      </c>
    </row>
    <row r="571" spans="1:8" ht="33">
      <c r="A571" s="160"/>
      <c r="B571" s="160"/>
      <c r="C571" s="157"/>
      <c r="D571" s="159"/>
      <c r="E571" s="159"/>
      <c r="F571" s="159"/>
      <c r="G571" s="160"/>
      <c r="H571" s="34" t="s">
        <v>925</v>
      </c>
    </row>
    <row r="572" spans="1:8" ht="28.5">
      <c r="A572" s="160" t="s">
        <v>1284</v>
      </c>
      <c r="B572" s="160" t="s">
        <v>1203</v>
      </c>
      <c r="C572" s="157" t="s">
        <v>0</v>
      </c>
      <c r="D572" s="159">
        <v>1</v>
      </c>
      <c r="E572" s="159">
        <v>53166.43</v>
      </c>
      <c r="F572" s="159"/>
      <c r="G572" s="160" t="s">
        <v>2</v>
      </c>
    </row>
    <row r="573" spans="1:8" ht="33">
      <c r="A573" s="160">
        <v>1</v>
      </c>
      <c r="B573" s="160" t="s">
        <v>1205</v>
      </c>
      <c r="C573" s="157" t="s">
        <v>1206</v>
      </c>
      <c r="D573" s="159">
        <v>575</v>
      </c>
      <c r="E573" s="159">
        <v>83.3</v>
      </c>
      <c r="F573" s="159">
        <v>47897.5</v>
      </c>
      <c r="G573" s="160" t="s">
        <v>2</v>
      </c>
      <c r="H573" s="34" t="s">
        <v>925</v>
      </c>
    </row>
    <row r="574" spans="1:8" ht="33">
      <c r="A574" s="160">
        <v>2</v>
      </c>
      <c r="B574" s="160" t="s">
        <v>1208</v>
      </c>
      <c r="C574" s="157" t="s">
        <v>0</v>
      </c>
      <c r="D574" s="159">
        <v>0.42</v>
      </c>
      <c r="E574" s="159">
        <v>527.59</v>
      </c>
      <c r="F574" s="159">
        <v>221.59</v>
      </c>
      <c r="G574" s="160" t="s">
        <v>2</v>
      </c>
      <c r="H574" s="34" t="s">
        <v>925</v>
      </c>
    </row>
    <row r="575" spans="1:8" ht="33">
      <c r="A575" s="160">
        <v>3</v>
      </c>
      <c r="B575" s="160" t="s">
        <v>1210</v>
      </c>
      <c r="C575" s="157" t="s">
        <v>927</v>
      </c>
      <c r="D575" s="159">
        <v>8</v>
      </c>
      <c r="E575" s="159">
        <v>379.5</v>
      </c>
      <c r="F575" s="159">
        <v>3036</v>
      </c>
      <c r="G575" s="160" t="s">
        <v>2</v>
      </c>
      <c r="H575" s="34" t="s">
        <v>925</v>
      </c>
    </row>
    <row r="576" spans="1:8" ht="33">
      <c r="A576" s="160">
        <v>4</v>
      </c>
      <c r="B576" s="160" t="s">
        <v>1212</v>
      </c>
      <c r="C576" s="157" t="s">
        <v>14</v>
      </c>
      <c r="D576" s="159">
        <v>1</v>
      </c>
      <c r="E576" s="159">
        <v>462.8</v>
      </c>
      <c r="F576" s="159">
        <v>462.8</v>
      </c>
      <c r="G576" s="160" t="s">
        <v>2</v>
      </c>
      <c r="H576" s="34" t="s">
        <v>925</v>
      </c>
    </row>
    <row r="577" spans="1:8" ht="33">
      <c r="A577" s="160">
        <v>5</v>
      </c>
      <c r="B577" s="160" t="s">
        <v>931</v>
      </c>
      <c r="C577" s="157" t="s">
        <v>14</v>
      </c>
      <c r="D577" s="159">
        <v>1</v>
      </c>
      <c r="E577" s="159">
        <v>1548.54</v>
      </c>
      <c r="F577" s="159">
        <v>1548.54</v>
      </c>
      <c r="G577" s="160" t="s">
        <v>2</v>
      </c>
      <c r="H577" s="34" t="s">
        <v>925</v>
      </c>
    </row>
    <row r="578" spans="1:8" ht="33">
      <c r="A578" s="160"/>
      <c r="B578" s="160" t="s">
        <v>933</v>
      </c>
      <c r="C578" s="157" t="s">
        <v>0</v>
      </c>
      <c r="D578" s="159">
        <v>1</v>
      </c>
      <c r="E578" s="159"/>
      <c r="F578" s="159">
        <v>53166.43</v>
      </c>
      <c r="G578" s="160"/>
      <c r="H578" s="34" t="s">
        <v>925</v>
      </c>
    </row>
    <row r="579" spans="1:8" ht="33">
      <c r="A579" s="160"/>
      <c r="B579" s="160" t="s">
        <v>934</v>
      </c>
      <c r="C579" s="157" t="s">
        <v>0</v>
      </c>
      <c r="D579" s="159"/>
      <c r="E579" s="159"/>
      <c r="F579" s="159">
        <v>53166.43</v>
      </c>
      <c r="G579" s="160"/>
      <c r="H579" s="34" t="s">
        <v>925</v>
      </c>
    </row>
    <row r="580" spans="1:8" ht="33">
      <c r="A580" s="160"/>
      <c r="B580" s="160"/>
      <c r="C580" s="157"/>
      <c r="D580" s="159"/>
      <c r="E580" s="159"/>
      <c r="F580" s="159"/>
      <c r="G580" s="160"/>
      <c r="H580" s="34" t="s">
        <v>925</v>
      </c>
    </row>
    <row r="581" spans="1:8" ht="33">
      <c r="A581" s="160" t="s">
        <v>1286</v>
      </c>
      <c r="B581" s="160" t="s">
        <v>1215</v>
      </c>
      <c r="C581" s="157" t="s">
        <v>3</v>
      </c>
      <c r="D581" s="159">
        <v>200</v>
      </c>
      <c r="E581" s="159">
        <v>23.68</v>
      </c>
      <c r="F581" s="159"/>
      <c r="G581" s="160" t="s">
        <v>2</v>
      </c>
      <c r="H581" s="34" t="s">
        <v>925</v>
      </c>
    </row>
    <row r="582" spans="1:8" ht="33">
      <c r="A582" s="160">
        <v>1</v>
      </c>
      <c r="B582" s="160" t="s">
        <v>1217</v>
      </c>
      <c r="C582" s="157" t="s">
        <v>927</v>
      </c>
      <c r="D582" s="159">
        <v>1</v>
      </c>
      <c r="E582" s="159">
        <v>944.11</v>
      </c>
      <c r="F582" s="159">
        <v>944.11</v>
      </c>
      <c r="G582" s="160" t="s">
        <v>2</v>
      </c>
      <c r="H582" s="34" t="s">
        <v>925</v>
      </c>
    </row>
    <row r="583" spans="1:8" ht="28.5">
      <c r="A583" s="160">
        <v>2</v>
      </c>
      <c r="B583" s="160" t="s">
        <v>1219</v>
      </c>
      <c r="C583" s="157" t="s">
        <v>1220</v>
      </c>
      <c r="D583" s="159">
        <v>6</v>
      </c>
      <c r="E583" s="159">
        <v>111.07</v>
      </c>
      <c r="F583" s="159">
        <v>666.42</v>
      </c>
      <c r="G583" s="160" t="s">
        <v>2</v>
      </c>
    </row>
    <row r="584" spans="1:8" ht="33">
      <c r="A584" s="160">
        <v>3</v>
      </c>
      <c r="B584" s="160" t="s">
        <v>1222</v>
      </c>
      <c r="C584" s="157" t="s">
        <v>927</v>
      </c>
      <c r="D584" s="159">
        <v>1</v>
      </c>
      <c r="E584" s="159">
        <v>601.64</v>
      </c>
      <c r="F584" s="159">
        <v>601.64</v>
      </c>
      <c r="G584" s="160" t="s">
        <v>2</v>
      </c>
      <c r="H584" s="34" t="s">
        <v>925</v>
      </c>
    </row>
    <row r="585" spans="1:8" ht="33">
      <c r="A585" s="160">
        <v>4</v>
      </c>
      <c r="B585" s="160" t="s">
        <v>4891</v>
      </c>
      <c r="C585" s="157" t="s">
        <v>927</v>
      </c>
      <c r="D585" s="159">
        <v>1</v>
      </c>
      <c r="E585" s="159">
        <v>371.17</v>
      </c>
      <c r="F585" s="159">
        <v>371.17</v>
      </c>
      <c r="G585" s="160" t="s">
        <v>5442</v>
      </c>
      <c r="H585" s="34" t="s">
        <v>925</v>
      </c>
    </row>
    <row r="586" spans="1:8" ht="33">
      <c r="A586" s="160">
        <v>5</v>
      </c>
      <c r="B586" s="160" t="s">
        <v>1224</v>
      </c>
      <c r="C586" s="157" t="s">
        <v>927</v>
      </c>
      <c r="D586" s="159">
        <v>1</v>
      </c>
      <c r="E586" s="159">
        <v>499.82</v>
      </c>
      <c r="F586" s="159">
        <v>499.82</v>
      </c>
      <c r="G586" s="160" t="s">
        <v>2</v>
      </c>
      <c r="H586" s="34" t="s">
        <v>925</v>
      </c>
    </row>
    <row r="587" spans="1:8" ht="33">
      <c r="A587" s="160">
        <v>6</v>
      </c>
      <c r="B587" s="160" t="s">
        <v>1226</v>
      </c>
      <c r="C587" s="157" t="s">
        <v>927</v>
      </c>
      <c r="D587" s="159">
        <v>1</v>
      </c>
      <c r="E587" s="159">
        <v>371.17</v>
      </c>
      <c r="F587" s="159">
        <v>371.17</v>
      </c>
      <c r="G587" s="160" t="s">
        <v>2</v>
      </c>
      <c r="H587" s="34" t="s">
        <v>925</v>
      </c>
    </row>
    <row r="588" spans="1:8" ht="33">
      <c r="A588" s="160">
        <v>7</v>
      </c>
      <c r="B588" s="160" t="s">
        <v>4871</v>
      </c>
      <c r="C588" s="157" t="s">
        <v>927</v>
      </c>
      <c r="D588" s="159">
        <v>2.2000000000000002</v>
      </c>
      <c r="E588" s="159">
        <v>260.08999999999997</v>
      </c>
      <c r="F588" s="159">
        <v>572.20000000000005</v>
      </c>
      <c r="G588" s="160" t="s">
        <v>5435</v>
      </c>
      <c r="H588" s="34" t="s">
        <v>925</v>
      </c>
    </row>
    <row r="589" spans="1:8" ht="33">
      <c r="A589" s="160">
        <v>8</v>
      </c>
      <c r="B589" s="160" t="s">
        <v>1228</v>
      </c>
      <c r="C589" s="157" t="s">
        <v>927</v>
      </c>
      <c r="D589" s="159">
        <v>2.2000000000000002</v>
      </c>
      <c r="E589" s="159">
        <v>260.08999999999997</v>
      </c>
      <c r="F589" s="159">
        <v>572.20000000000005</v>
      </c>
      <c r="G589" s="160" t="s">
        <v>2</v>
      </c>
      <c r="H589" s="34" t="s">
        <v>925</v>
      </c>
    </row>
    <row r="590" spans="1:8" ht="33">
      <c r="A590" s="160">
        <v>9</v>
      </c>
      <c r="B590" s="160" t="s">
        <v>931</v>
      </c>
      <c r="C590" s="157" t="s">
        <v>14</v>
      </c>
      <c r="D590" s="159">
        <v>1</v>
      </c>
      <c r="E590" s="159">
        <v>137.96</v>
      </c>
      <c r="F590" s="159">
        <v>137.96</v>
      </c>
      <c r="G590" s="160" t="s">
        <v>2</v>
      </c>
      <c r="H590" s="34" t="s">
        <v>925</v>
      </c>
    </row>
    <row r="591" spans="1:8" ht="33">
      <c r="A591" s="160"/>
      <c r="B591" s="160" t="s">
        <v>933</v>
      </c>
      <c r="C591" s="157" t="s">
        <v>3</v>
      </c>
      <c r="D591" s="159">
        <v>200</v>
      </c>
      <c r="E591" s="159"/>
      <c r="F591" s="159">
        <v>4736.6900000000005</v>
      </c>
      <c r="G591" s="160"/>
      <c r="H591" s="34" t="s">
        <v>925</v>
      </c>
    </row>
    <row r="592" spans="1:8" ht="33">
      <c r="A592" s="160"/>
      <c r="B592" s="160" t="s">
        <v>934</v>
      </c>
      <c r="C592" s="157" t="s">
        <v>3</v>
      </c>
      <c r="D592" s="159"/>
      <c r="E592" s="159"/>
      <c r="F592" s="159">
        <v>23.68</v>
      </c>
      <c r="G592" s="160"/>
      <c r="H592" s="34" t="s">
        <v>925</v>
      </c>
    </row>
    <row r="593" spans="1:8" ht="33">
      <c r="A593" s="160"/>
      <c r="B593" s="160"/>
      <c r="C593" s="157"/>
      <c r="D593" s="159"/>
      <c r="E593" s="159"/>
      <c r="F593" s="159"/>
      <c r="G593" s="160"/>
      <c r="H593" s="34" t="s">
        <v>925</v>
      </c>
    </row>
    <row r="594" spans="1:8" ht="42.75">
      <c r="A594" s="160" t="s">
        <v>1291</v>
      </c>
      <c r="B594" s="160" t="s">
        <v>4490</v>
      </c>
      <c r="C594" s="157" t="s">
        <v>3</v>
      </c>
      <c r="D594" s="159">
        <v>200</v>
      </c>
      <c r="E594" s="159">
        <v>37.9</v>
      </c>
      <c r="F594" s="159"/>
      <c r="G594" s="160" t="s">
        <v>2</v>
      </c>
    </row>
    <row r="595" spans="1:8" ht="33">
      <c r="A595" s="160">
        <v>1</v>
      </c>
      <c r="B595" s="160" t="s">
        <v>1217</v>
      </c>
      <c r="C595" s="157" t="s">
        <v>927</v>
      </c>
      <c r="D595" s="159">
        <v>1.1499999999999999</v>
      </c>
      <c r="E595" s="159">
        <v>944.11</v>
      </c>
      <c r="F595" s="159">
        <v>1085.73</v>
      </c>
      <c r="G595" s="160" t="s">
        <v>2</v>
      </c>
      <c r="H595" s="34" t="s">
        <v>925</v>
      </c>
    </row>
    <row r="596" spans="1:8" ht="33">
      <c r="A596" s="160">
        <v>2</v>
      </c>
      <c r="B596" s="160" t="s">
        <v>1219</v>
      </c>
      <c r="C596" s="157" t="s">
        <v>1220</v>
      </c>
      <c r="D596" s="159">
        <v>6</v>
      </c>
      <c r="E596" s="159">
        <v>111.07</v>
      </c>
      <c r="F596" s="159">
        <v>666.42</v>
      </c>
      <c r="G596" s="160" t="s">
        <v>2</v>
      </c>
      <c r="H596" s="34" t="s">
        <v>925</v>
      </c>
    </row>
    <row r="597" spans="1:8" ht="33">
      <c r="A597" s="160">
        <v>3</v>
      </c>
      <c r="B597" s="160" t="s">
        <v>1222</v>
      </c>
      <c r="C597" s="157" t="s">
        <v>927</v>
      </c>
      <c r="D597" s="159">
        <v>1.1499999999999999</v>
      </c>
      <c r="E597" s="159">
        <v>601.64</v>
      </c>
      <c r="F597" s="159">
        <v>691.89</v>
      </c>
      <c r="G597" s="160" t="s">
        <v>2</v>
      </c>
      <c r="H597" s="34" t="s">
        <v>925</v>
      </c>
    </row>
    <row r="598" spans="1:8" ht="33">
      <c r="A598" s="160">
        <v>4</v>
      </c>
      <c r="B598" s="160" t="s">
        <v>4894</v>
      </c>
      <c r="C598" s="157" t="s">
        <v>927</v>
      </c>
      <c r="D598" s="159">
        <v>1.1499999999999999</v>
      </c>
      <c r="E598" s="159">
        <v>742.33</v>
      </c>
      <c r="F598" s="159">
        <v>853.68</v>
      </c>
      <c r="G598" s="160" t="s">
        <v>5442</v>
      </c>
      <c r="H598" s="34" t="s">
        <v>925</v>
      </c>
    </row>
    <row r="599" spans="1:8" ht="33">
      <c r="A599" s="160">
        <v>5</v>
      </c>
      <c r="B599" s="160" t="s">
        <v>1224</v>
      </c>
      <c r="C599" s="157" t="s">
        <v>927</v>
      </c>
      <c r="D599" s="159">
        <v>1.1499999999999999</v>
      </c>
      <c r="E599" s="159">
        <v>499.82</v>
      </c>
      <c r="F599" s="159">
        <v>574.79</v>
      </c>
      <c r="G599" s="160" t="s">
        <v>2</v>
      </c>
      <c r="H599" s="34" t="s">
        <v>925</v>
      </c>
    </row>
    <row r="600" spans="1:8" ht="33">
      <c r="A600" s="160">
        <v>6</v>
      </c>
      <c r="B600" s="160" t="s">
        <v>4904</v>
      </c>
      <c r="C600" s="157" t="s">
        <v>927</v>
      </c>
      <c r="D600" s="159">
        <v>1.1499999999999999</v>
      </c>
      <c r="E600" s="159">
        <v>742.33</v>
      </c>
      <c r="F600" s="159">
        <v>853.68</v>
      </c>
      <c r="G600" s="160" t="s">
        <v>2</v>
      </c>
      <c r="H600" s="34" t="s">
        <v>925</v>
      </c>
    </row>
    <row r="601" spans="1:8" ht="33">
      <c r="A601" s="160">
        <v>7</v>
      </c>
      <c r="B601" s="160" t="s">
        <v>4874</v>
      </c>
      <c r="C601" s="157" t="s">
        <v>927</v>
      </c>
      <c r="D601" s="159">
        <v>2.5299999999999998</v>
      </c>
      <c r="E601" s="159">
        <v>520.19000000000005</v>
      </c>
      <c r="F601" s="159">
        <v>1316.08</v>
      </c>
      <c r="G601" s="160" t="s">
        <v>5436</v>
      </c>
      <c r="H601" s="34" t="s">
        <v>925</v>
      </c>
    </row>
    <row r="602" spans="1:8" ht="33">
      <c r="A602" s="160">
        <v>8</v>
      </c>
      <c r="B602" s="160" t="s">
        <v>2567</v>
      </c>
      <c r="C602" s="157" t="s">
        <v>927</v>
      </c>
      <c r="D602" s="159">
        <v>2.5299999999999998</v>
      </c>
      <c r="E602" s="159">
        <v>520.19000000000005</v>
      </c>
      <c r="F602" s="159">
        <v>1316.08</v>
      </c>
      <c r="G602" s="160" t="s">
        <v>2</v>
      </c>
      <c r="H602" s="34" t="s">
        <v>925</v>
      </c>
    </row>
    <row r="603" spans="1:8" ht="33">
      <c r="A603" s="160">
        <v>9</v>
      </c>
      <c r="B603" s="160" t="s">
        <v>931</v>
      </c>
      <c r="C603" s="157" t="s">
        <v>14</v>
      </c>
      <c r="D603" s="159">
        <v>1</v>
      </c>
      <c r="E603" s="159">
        <v>220.75</v>
      </c>
      <c r="F603" s="159">
        <v>220.75</v>
      </c>
      <c r="G603" s="160" t="s">
        <v>2</v>
      </c>
      <c r="H603" s="34" t="s">
        <v>925</v>
      </c>
    </row>
    <row r="604" spans="1:8" ht="33">
      <c r="A604" s="160"/>
      <c r="B604" s="160" t="s">
        <v>933</v>
      </c>
      <c r="C604" s="157" t="s">
        <v>3</v>
      </c>
      <c r="D604" s="159">
        <v>200</v>
      </c>
      <c r="E604" s="159"/>
      <c r="F604" s="159">
        <v>7579.0999999999995</v>
      </c>
      <c r="G604" s="160"/>
      <c r="H604" s="34" t="s">
        <v>925</v>
      </c>
    </row>
    <row r="605" spans="1:8" ht="16.5">
      <c r="A605" s="160"/>
      <c r="B605" s="160" t="s">
        <v>934</v>
      </c>
      <c r="C605" s="157" t="s">
        <v>3</v>
      </c>
      <c r="D605" s="159"/>
      <c r="E605" s="159"/>
      <c r="F605" s="159">
        <v>37.9</v>
      </c>
      <c r="G605" s="160"/>
    </row>
    <row r="606" spans="1:8" ht="33">
      <c r="A606" s="160"/>
      <c r="B606" s="160"/>
      <c r="C606" s="157"/>
      <c r="D606" s="159"/>
      <c r="E606" s="159"/>
      <c r="F606" s="159"/>
      <c r="G606" s="160"/>
      <c r="H606" s="34" t="s">
        <v>925</v>
      </c>
    </row>
    <row r="607" spans="1:8" ht="33">
      <c r="A607" s="160" t="s">
        <v>1305</v>
      </c>
      <c r="B607" s="160" t="s">
        <v>1231</v>
      </c>
      <c r="C607" s="157" t="s">
        <v>3</v>
      </c>
      <c r="D607" s="159">
        <v>360</v>
      </c>
      <c r="E607" s="159">
        <v>15.43</v>
      </c>
      <c r="F607" s="159"/>
      <c r="G607" s="160" t="s">
        <v>2</v>
      </c>
      <c r="H607" s="34" t="s">
        <v>925</v>
      </c>
    </row>
    <row r="608" spans="1:8" ht="33">
      <c r="A608" s="160">
        <v>1</v>
      </c>
      <c r="B608" s="160" t="s">
        <v>1233</v>
      </c>
      <c r="C608" s="157" t="s">
        <v>927</v>
      </c>
      <c r="D608" s="159">
        <v>1</v>
      </c>
      <c r="E608" s="159">
        <v>1295.8399999999999</v>
      </c>
      <c r="F608" s="159">
        <v>1295.8399999999999</v>
      </c>
      <c r="G608" s="160" t="s">
        <v>2</v>
      </c>
      <c r="H608" s="34" t="s">
        <v>925</v>
      </c>
    </row>
    <row r="609" spans="1:8" ht="33">
      <c r="A609" s="160">
        <v>2</v>
      </c>
      <c r="B609" s="160" t="s">
        <v>1219</v>
      </c>
      <c r="C609" s="157" t="s">
        <v>1220</v>
      </c>
      <c r="D609" s="159">
        <v>10</v>
      </c>
      <c r="E609" s="159">
        <v>111.07</v>
      </c>
      <c r="F609" s="159">
        <v>1110.7</v>
      </c>
      <c r="G609" s="160" t="s">
        <v>2</v>
      </c>
      <c r="H609" s="34" t="s">
        <v>925</v>
      </c>
    </row>
    <row r="610" spans="1:8" ht="33">
      <c r="A610" s="160">
        <v>3</v>
      </c>
      <c r="B610" s="160" t="s">
        <v>1222</v>
      </c>
      <c r="C610" s="157" t="s">
        <v>927</v>
      </c>
      <c r="D610" s="159">
        <v>1</v>
      </c>
      <c r="E610" s="159">
        <v>601.64</v>
      </c>
      <c r="F610" s="159">
        <v>601.64</v>
      </c>
      <c r="G610" s="160" t="s">
        <v>2</v>
      </c>
      <c r="H610" s="34" t="s">
        <v>925</v>
      </c>
    </row>
    <row r="611" spans="1:8" ht="33">
      <c r="A611" s="160">
        <v>4</v>
      </c>
      <c r="B611" s="160" t="s">
        <v>4891</v>
      </c>
      <c r="C611" s="157" t="s">
        <v>927</v>
      </c>
      <c r="D611" s="159">
        <v>1</v>
      </c>
      <c r="E611" s="159">
        <v>371.17</v>
      </c>
      <c r="F611" s="159">
        <v>371.17</v>
      </c>
      <c r="G611" s="160" t="s">
        <v>5442</v>
      </c>
      <c r="H611" s="34" t="s">
        <v>925</v>
      </c>
    </row>
    <row r="612" spans="1:8" ht="33">
      <c r="A612" s="160">
        <v>5</v>
      </c>
      <c r="B612" s="160" t="s">
        <v>1224</v>
      </c>
      <c r="C612" s="157" t="s">
        <v>927</v>
      </c>
      <c r="D612" s="159">
        <v>1</v>
      </c>
      <c r="E612" s="159">
        <v>499.82</v>
      </c>
      <c r="F612" s="159">
        <v>499.82</v>
      </c>
      <c r="G612" s="160" t="s">
        <v>2</v>
      </c>
      <c r="H612" s="34" t="s">
        <v>925</v>
      </c>
    </row>
    <row r="613" spans="1:8" ht="33">
      <c r="A613" s="160">
        <v>6</v>
      </c>
      <c r="B613" s="160" t="s">
        <v>1226</v>
      </c>
      <c r="C613" s="157" t="s">
        <v>927</v>
      </c>
      <c r="D613" s="159">
        <v>1</v>
      </c>
      <c r="E613" s="159">
        <v>371.17</v>
      </c>
      <c r="F613" s="159">
        <v>371.17</v>
      </c>
      <c r="G613" s="160" t="s">
        <v>2</v>
      </c>
      <c r="H613" s="34" t="s">
        <v>925</v>
      </c>
    </row>
    <row r="614" spans="1:8" ht="33">
      <c r="A614" s="160">
        <v>7</v>
      </c>
      <c r="B614" s="160" t="s">
        <v>4871</v>
      </c>
      <c r="C614" s="157" t="s">
        <v>927</v>
      </c>
      <c r="D614" s="159">
        <v>2.2000000000000002</v>
      </c>
      <c r="E614" s="159">
        <v>260.08999999999997</v>
      </c>
      <c r="F614" s="159">
        <v>572.20000000000005</v>
      </c>
      <c r="G614" s="160" t="s">
        <v>5435</v>
      </c>
      <c r="H614" s="34" t="s">
        <v>925</v>
      </c>
    </row>
    <row r="615" spans="1:8" ht="33">
      <c r="A615" s="160">
        <v>8</v>
      </c>
      <c r="B615" s="160" t="s">
        <v>1228</v>
      </c>
      <c r="C615" s="157" t="s">
        <v>927</v>
      </c>
      <c r="D615" s="159">
        <v>2.2000000000000002</v>
      </c>
      <c r="E615" s="159">
        <v>260.08999999999997</v>
      </c>
      <c r="F615" s="159">
        <v>572.20000000000005</v>
      </c>
      <c r="G615" s="160" t="s">
        <v>2</v>
      </c>
      <c r="H615" s="34" t="s">
        <v>925</v>
      </c>
    </row>
    <row r="616" spans="1:8" ht="16.5">
      <c r="A616" s="160">
        <v>9</v>
      </c>
      <c r="B616" s="160" t="s">
        <v>931</v>
      </c>
      <c r="C616" s="157" t="s">
        <v>14</v>
      </c>
      <c r="D616" s="159">
        <v>1</v>
      </c>
      <c r="E616" s="159">
        <v>161.84</v>
      </c>
      <c r="F616" s="159">
        <v>161.84</v>
      </c>
      <c r="G616" s="160" t="s">
        <v>2</v>
      </c>
    </row>
    <row r="617" spans="1:8" ht="33">
      <c r="A617" s="160"/>
      <c r="B617" s="160" t="s">
        <v>933</v>
      </c>
      <c r="C617" s="157" t="s">
        <v>3</v>
      </c>
      <c r="D617" s="159">
        <v>360</v>
      </c>
      <c r="E617" s="159"/>
      <c r="F617" s="159">
        <v>5556.58</v>
      </c>
      <c r="G617" s="160"/>
      <c r="H617" s="34" t="s">
        <v>925</v>
      </c>
    </row>
    <row r="618" spans="1:8" ht="33">
      <c r="A618" s="160"/>
      <c r="B618" s="160" t="s">
        <v>934</v>
      </c>
      <c r="C618" s="157" t="s">
        <v>3</v>
      </c>
      <c r="D618" s="159"/>
      <c r="E618" s="159"/>
      <c r="F618" s="159">
        <v>15.43</v>
      </c>
      <c r="G618" s="160"/>
      <c r="H618" s="34" t="s">
        <v>925</v>
      </c>
    </row>
    <row r="619" spans="1:8" ht="33">
      <c r="A619" s="160"/>
      <c r="B619" s="160"/>
      <c r="C619" s="157"/>
      <c r="D619" s="159"/>
      <c r="E619" s="159"/>
      <c r="F619" s="159"/>
      <c r="G619" s="160"/>
      <c r="H619" s="34" t="s">
        <v>925</v>
      </c>
    </row>
    <row r="620" spans="1:8" ht="33">
      <c r="A620" s="160" t="s">
        <v>1308</v>
      </c>
      <c r="B620" s="160" t="s">
        <v>1236</v>
      </c>
      <c r="C620" s="157" t="s">
        <v>3</v>
      </c>
      <c r="D620" s="159">
        <v>120</v>
      </c>
      <c r="E620" s="159">
        <v>40.43</v>
      </c>
      <c r="F620" s="159"/>
      <c r="G620" s="160" t="s">
        <v>2</v>
      </c>
      <c r="H620" s="34" t="s">
        <v>925</v>
      </c>
    </row>
    <row r="621" spans="1:8" ht="33">
      <c r="A621" s="160">
        <v>1</v>
      </c>
      <c r="B621" s="160" t="s">
        <v>1217</v>
      </c>
      <c r="C621" s="157" t="s">
        <v>927</v>
      </c>
      <c r="D621" s="159">
        <v>1</v>
      </c>
      <c r="E621" s="159">
        <v>944.11</v>
      </c>
      <c r="F621" s="159">
        <v>944.11</v>
      </c>
      <c r="G621" s="160" t="s">
        <v>2</v>
      </c>
      <c r="H621" s="34" t="s">
        <v>925</v>
      </c>
    </row>
    <row r="622" spans="1:8" ht="33">
      <c r="A622" s="160">
        <v>2</v>
      </c>
      <c r="B622" s="160" t="s">
        <v>1219</v>
      </c>
      <c r="C622" s="157" t="s">
        <v>1220</v>
      </c>
      <c r="D622" s="159">
        <v>7</v>
      </c>
      <c r="E622" s="159">
        <v>111.07</v>
      </c>
      <c r="F622" s="159">
        <v>777.49</v>
      </c>
      <c r="G622" s="160" t="s">
        <v>2</v>
      </c>
      <c r="H622" s="34" t="s">
        <v>925</v>
      </c>
    </row>
    <row r="623" spans="1:8" ht="33">
      <c r="A623" s="160">
        <v>3</v>
      </c>
      <c r="B623" s="160" t="s">
        <v>1222</v>
      </c>
      <c r="C623" s="157" t="s">
        <v>927</v>
      </c>
      <c r="D623" s="159">
        <v>1</v>
      </c>
      <c r="E623" s="159">
        <v>601.64</v>
      </c>
      <c r="F623" s="159">
        <v>601.64</v>
      </c>
      <c r="G623" s="160" t="s">
        <v>2</v>
      </c>
      <c r="H623" s="34" t="s">
        <v>925</v>
      </c>
    </row>
    <row r="624" spans="1:8" ht="33">
      <c r="A624" s="160">
        <v>4</v>
      </c>
      <c r="B624" s="160" t="s">
        <v>4891</v>
      </c>
      <c r="C624" s="157" t="s">
        <v>927</v>
      </c>
      <c r="D624" s="159">
        <v>1</v>
      </c>
      <c r="E624" s="159">
        <v>371.17</v>
      </c>
      <c r="F624" s="159">
        <v>371.17</v>
      </c>
      <c r="G624" s="160" t="s">
        <v>5442</v>
      </c>
      <c r="H624" s="34" t="s">
        <v>925</v>
      </c>
    </row>
    <row r="625" spans="1:8" ht="33">
      <c r="A625" s="160">
        <v>5</v>
      </c>
      <c r="B625" s="160" t="s">
        <v>1224</v>
      </c>
      <c r="C625" s="157" t="s">
        <v>927</v>
      </c>
      <c r="D625" s="159">
        <v>1</v>
      </c>
      <c r="E625" s="159">
        <v>499.82</v>
      </c>
      <c r="F625" s="159">
        <v>499.82</v>
      </c>
      <c r="G625" s="160" t="s">
        <v>2</v>
      </c>
      <c r="H625" s="34" t="s">
        <v>925</v>
      </c>
    </row>
    <row r="626" spans="1:8" ht="33">
      <c r="A626" s="160">
        <v>6</v>
      </c>
      <c r="B626" s="160" t="s">
        <v>1226</v>
      </c>
      <c r="C626" s="157" t="s">
        <v>927</v>
      </c>
      <c r="D626" s="159">
        <v>1</v>
      </c>
      <c r="E626" s="159">
        <v>371.17</v>
      </c>
      <c r="F626" s="159">
        <v>371.17</v>
      </c>
      <c r="G626" s="160" t="s">
        <v>2</v>
      </c>
      <c r="H626" s="34" t="s">
        <v>925</v>
      </c>
    </row>
    <row r="627" spans="1:8" ht="16.5">
      <c r="A627" s="160">
        <v>7</v>
      </c>
      <c r="B627" s="160" t="s">
        <v>4871</v>
      </c>
      <c r="C627" s="157" t="s">
        <v>927</v>
      </c>
      <c r="D627" s="159">
        <v>2.2000000000000002</v>
      </c>
      <c r="E627" s="159">
        <v>260.08999999999997</v>
      </c>
      <c r="F627" s="159">
        <v>572.20000000000005</v>
      </c>
      <c r="G627" s="160" t="s">
        <v>5435</v>
      </c>
    </row>
    <row r="628" spans="1:8" ht="33">
      <c r="A628" s="160">
        <v>8</v>
      </c>
      <c r="B628" s="160" t="s">
        <v>1228</v>
      </c>
      <c r="C628" s="157" t="s">
        <v>927</v>
      </c>
      <c r="D628" s="159">
        <v>2.2000000000000002</v>
      </c>
      <c r="E628" s="159">
        <v>260.08999999999997</v>
      </c>
      <c r="F628" s="159">
        <v>572.20000000000005</v>
      </c>
      <c r="G628" s="160" t="s">
        <v>2</v>
      </c>
      <c r="H628" s="34" t="s">
        <v>925</v>
      </c>
    </row>
    <row r="629" spans="1:8" ht="33">
      <c r="A629" s="160">
        <v>9</v>
      </c>
      <c r="B629" s="160" t="s">
        <v>931</v>
      </c>
      <c r="C629" s="157" t="s">
        <v>14</v>
      </c>
      <c r="D629" s="159">
        <v>1</v>
      </c>
      <c r="E629" s="159">
        <v>141.29</v>
      </c>
      <c r="F629" s="159">
        <v>141.29</v>
      </c>
      <c r="G629" s="160" t="s">
        <v>2</v>
      </c>
      <c r="H629" s="34" t="s">
        <v>925</v>
      </c>
    </row>
    <row r="630" spans="1:8" ht="33">
      <c r="A630" s="160"/>
      <c r="B630" s="160" t="s">
        <v>933</v>
      </c>
      <c r="C630" s="157" t="s">
        <v>3</v>
      </c>
      <c r="D630" s="159">
        <v>120</v>
      </c>
      <c r="E630" s="159"/>
      <c r="F630" s="159">
        <v>4851.09</v>
      </c>
      <c r="G630" s="160"/>
      <c r="H630" s="34" t="s">
        <v>925</v>
      </c>
    </row>
    <row r="631" spans="1:8" ht="33">
      <c r="A631" s="160"/>
      <c r="B631" s="160" t="s">
        <v>934</v>
      </c>
      <c r="C631" s="157" t="s">
        <v>3</v>
      </c>
      <c r="D631" s="159"/>
      <c r="E631" s="159"/>
      <c r="F631" s="159">
        <v>40.43</v>
      </c>
      <c r="G631" s="160"/>
      <c r="H631" s="34" t="s">
        <v>925</v>
      </c>
    </row>
    <row r="632" spans="1:8" ht="33">
      <c r="A632" s="160"/>
      <c r="B632" s="160"/>
      <c r="C632" s="157"/>
      <c r="D632" s="159"/>
      <c r="E632" s="159"/>
      <c r="F632" s="159"/>
      <c r="G632" s="160"/>
      <c r="H632" s="34" t="s">
        <v>925</v>
      </c>
    </row>
    <row r="633" spans="1:8" ht="42.75">
      <c r="A633" s="160" t="s">
        <v>1311</v>
      </c>
      <c r="B633" s="160" t="s">
        <v>4494</v>
      </c>
      <c r="C633" s="157" t="s">
        <v>3</v>
      </c>
      <c r="D633" s="159">
        <v>120</v>
      </c>
      <c r="E633" s="159">
        <v>64.11</v>
      </c>
      <c r="F633" s="159"/>
      <c r="G633" s="160" t="s">
        <v>2</v>
      </c>
      <c r="H633" s="34" t="s">
        <v>925</v>
      </c>
    </row>
    <row r="634" spans="1:8" ht="33">
      <c r="A634" s="160">
        <v>1</v>
      </c>
      <c r="B634" s="160" t="s">
        <v>1217</v>
      </c>
      <c r="C634" s="157" t="s">
        <v>927</v>
      </c>
      <c r="D634" s="159">
        <v>1.1499999999999999</v>
      </c>
      <c r="E634" s="159">
        <v>944.11</v>
      </c>
      <c r="F634" s="159">
        <v>1085.73</v>
      </c>
      <c r="G634" s="160" t="s">
        <v>2</v>
      </c>
      <c r="H634" s="34" t="s">
        <v>925</v>
      </c>
    </row>
    <row r="635" spans="1:8" ht="33">
      <c r="A635" s="160">
        <v>2</v>
      </c>
      <c r="B635" s="160" t="s">
        <v>1219</v>
      </c>
      <c r="C635" s="157" t="s">
        <v>1220</v>
      </c>
      <c r="D635" s="159">
        <v>7</v>
      </c>
      <c r="E635" s="159">
        <v>111.07</v>
      </c>
      <c r="F635" s="159">
        <v>777.49</v>
      </c>
      <c r="G635" s="160" t="s">
        <v>2</v>
      </c>
      <c r="H635" s="34" t="s">
        <v>925</v>
      </c>
    </row>
    <row r="636" spans="1:8" ht="33">
      <c r="A636" s="160">
        <v>3</v>
      </c>
      <c r="B636" s="160" t="s">
        <v>1222</v>
      </c>
      <c r="C636" s="157" t="s">
        <v>927</v>
      </c>
      <c r="D636" s="159">
        <v>1.1499999999999999</v>
      </c>
      <c r="E636" s="159">
        <v>601.64</v>
      </c>
      <c r="F636" s="159">
        <v>691.89</v>
      </c>
      <c r="G636" s="160" t="s">
        <v>2</v>
      </c>
      <c r="H636" s="34" t="s">
        <v>925</v>
      </c>
    </row>
    <row r="637" spans="1:8" ht="33">
      <c r="A637" s="160">
        <v>4</v>
      </c>
      <c r="B637" s="160" t="s">
        <v>4894</v>
      </c>
      <c r="C637" s="157" t="s">
        <v>927</v>
      </c>
      <c r="D637" s="159">
        <v>1.1499999999999999</v>
      </c>
      <c r="E637" s="159">
        <v>742.33</v>
      </c>
      <c r="F637" s="159">
        <v>853.68</v>
      </c>
      <c r="G637" s="160" t="s">
        <v>5442</v>
      </c>
      <c r="H637" s="34" t="s">
        <v>925</v>
      </c>
    </row>
    <row r="638" spans="1:8" ht="16.5">
      <c r="A638" s="160">
        <v>5</v>
      </c>
      <c r="B638" s="160" t="s">
        <v>1224</v>
      </c>
      <c r="C638" s="157" t="s">
        <v>927</v>
      </c>
      <c r="D638" s="159">
        <v>1.1499999999999999</v>
      </c>
      <c r="E638" s="159">
        <v>499.82</v>
      </c>
      <c r="F638" s="159">
        <v>574.79</v>
      </c>
      <c r="G638" s="160" t="s">
        <v>2</v>
      </c>
    </row>
    <row r="639" spans="1:8" ht="33">
      <c r="A639" s="160">
        <v>6</v>
      </c>
      <c r="B639" s="160" t="s">
        <v>4904</v>
      </c>
      <c r="C639" s="157" t="s">
        <v>927</v>
      </c>
      <c r="D639" s="159">
        <v>1.1499999999999999</v>
      </c>
      <c r="E639" s="159">
        <v>742.33</v>
      </c>
      <c r="F639" s="159">
        <v>853.68</v>
      </c>
      <c r="G639" s="160" t="s">
        <v>2</v>
      </c>
      <c r="H639" s="34" t="s">
        <v>925</v>
      </c>
    </row>
    <row r="640" spans="1:8" ht="33">
      <c r="A640" s="160">
        <v>7</v>
      </c>
      <c r="B640" s="160" t="s">
        <v>4874</v>
      </c>
      <c r="C640" s="157" t="s">
        <v>927</v>
      </c>
      <c r="D640" s="159">
        <v>2.5299999999999998</v>
      </c>
      <c r="E640" s="159">
        <v>520.19000000000005</v>
      </c>
      <c r="F640" s="159">
        <v>1316.08</v>
      </c>
      <c r="G640" s="160" t="s">
        <v>5436</v>
      </c>
      <c r="H640" s="34" t="s">
        <v>925</v>
      </c>
    </row>
    <row r="641" spans="1:8" ht="33">
      <c r="A641" s="160">
        <v>8</v>
      </c>
      <c r="B641" s="160" t="s">
        <v>2567</v>
      </c>
      <c r="C641" s="157" t="s">
        <v>927</v>
      </c>
      <c r="D641" s="159">
        <v>2.5299999999999998</v>
      </c>
      <c r="E641" s="159">
        <v>520.19000000000005</v>
      </c>
      <c r="F641" s="159">
        <v>1316.08</v>
      </c>
      <c r="G641" s="160" t="s">
        <v>2</v>
      </c>
      <c r="H641" s="34" t="s">
        <v>925</v>
      </c>
    </row>
    <row r="642" spans="1:8" ht="33">
      <c r="A642" s="160">
        <v>9</v>
      </c>
      <c r="B642" s="160" t="s">
        <v>931</v>
      </c>
      <c r="C642" s="157" t="s">
        <v>14</v>
      </c>
      <c r="D642" s="159">
        <v>1</v>
      </c>
      <c r="E642" s="159">
        <v>224.08</v>
      </c>
      <c r="F642" s="159">
        <v>224.08</v>
      </c>
      <c r="G642" s="160" t="s">
        <v>2</v>
      </c>
      <c r="H642" s="34" t="s">
        <v>925</v>
      </c>
    </row>
    <row r="643" spans="1:8" ht="33">
      <c r="A643" s="160"/>
      <c r="B643" s="160" t="s">
        <v>933</v>
      </c>
      <c r="C643" s="157" t="s">
        <v>3</v>
      </c>
      <c r="D643" s="159">
        <v>120</v>
      </c>
      <c r="E643" s="159"/>
      <c r="F643" s="159">
        <v>7693.5</v>
      </c>
      <c r="G643" s="160"/>
      <c r="H643" s="34" t="s">
        <v>925</v>
      </c>
    </row>
    <row r="644" spans="1:8" ht="33">
      <c r="A644" s="160"/>
      <c r="B644" s="160" t="s">
        <v>934</v>
      </c>
      <c r="C644" s="157" t="s">
        <v>3</v>
      </c>
      <c r="D644" s="159"/>
      <c r="E644" s="159"/>
      <c r="F644" s="159">
        <v>64.11</v>
      </c>
      <c r="G644" s="160"/>
      <c r="H644" s="34" t="s">
        <v>925</v>
      </c>
    </row>
    <row r="645" spans="1:8" ht="33">
      <c r="A645" s="160"/>
      <c r="B645" s="160"/>
      <c r="C645" s="157"/>
      <c r="D645" s="159"/>
      <c r="E645" s="159"/>
      <c r="F645" s="159"/>
      <c r="G645" s="160"/>
      <c r="H645" s="34" t="s">
        <v>925</v>
      </c>
    </row>
    <row r="646" spans="1:8" ht="33">
      <c r="A646" s="160" t="s">
        <v>1314</v>
      </c>
      <c r="B646" s="160" t="s">
        <v>1239</v>
      </c>
      <c r="C646" s="157" t="s">
        <v>3</v>
      </c>
      <c r="D646" s="159">
        <v>216</v>
      </c>
      <c r="E646" s="159">
        <v>26.61</v>
      </c>
      <c r="F646" s="159"/>
      <c r="G646" s="160" t="s">
        <v>2</v>
      </c>
      <c r="H646" s="34" t="s">
        <v>925</v>
      </c>
    </row>
    <row r="647" spans="1:8" ht="33">
      <c r="A647" s="160">
        <v>1</v>
      </c>
      <c r="B647" s="160" t="s">
        <v>1233</v>
      </c>
      <c r="C647" s="157" t="s">
        <v>927</v>
      </c>
      <c r="D647" s="159">
        <v>1</v>
      </c>
      <c r="E647" s="159">
        <v>1295.8399999999999</v>
      </c>
      <c r="F647" s="159">
        <v>1295.8399999999999</v>
      </c>
      <c r="G647" s="160" t="s">
        <v>2</v>
      </c>
      <c r="H647" s="34" t="s">
        <v>925</v>
      </c>
    </row>
    <row r="648" spans="1:8" ht="33">
      <c r="A648" s="160">
        <v>2</v>
      </c>
      <c r="B648" s="160" t="s">
        <v>1219</v>
      </c>
      <c r="C648" s="157" t="s">
        <v>1220</v>
      </c>
      <c r="D648" s="159">
        <v>12.6</v>
      </c>
      <c r="E648" s="159">
        <v>111.07</v>
      </c>
      <c r="F648" s="159">
        <v>1399.48</v>
      </c>
      <c r="G648" s="160" t="s">
        <v>2</v>
      </c>
      <c r="H648" s="34" t="s">
        <v>925</v>
      </c>
    </row>
    <row r="649" spans="1:8" ht="33">
      <c r="A649" s="160">
        <v>3</v>
      </c>
      <c r="B649" s="160" t="s">
        <v>1222</v>
      </c>
      <c r="C649" s="157" t="s">
        <v>927</v>
      </c>
      <c r="D649" s="159">
        <v>1</v>
      </c>
      <c r="E649" s="159">
        <v>601.64</v>
      </c>
      <c r="F649" s="159">
        <v>601.64</v>
      </c>
      <c r="G649" s="160" t="s">
        <v>2</v>
      </c>
      <c r="H649" s="34" t="s">
        <v>925</v>
      </c>
    </row>
    <row r="650" spans="1:8" ht="33">
      <c r="A650" s="160">
        <v>4</v>
      </c>
      <c r="B650" s="160" t="s">
        <v>4891</v>
      </c>
      <c r="C650" s="157" t="s">
        <v>927</v>
      </c>
      <c r="D650" s="159">
        <v>1</v>
      </c>
      <c r="E650" s="159">
        <v>371.17</v>
      </c>
      <c r="F650" s="159">
        <v>371.17</v>
      </c>
      <c r="G650" s="160" t="s">
        <v>5442</v>
      </c>
      <c r="H650" s="34" t="s">
        <v>925</v>
      </c>
    </row>
    <row r="651" spans="1:8" ht="16.5">
      <c r="A651" s="160">
        <v>5</v>
      </c>
      <c r="B651" s="160" t="s">
        <v>1224</v>
      </c>
      <c r="C651" s="157" t="s">
        <v>927</v>
      </c>
      <c r="D651" s="159">
        <v>1</v>
      </c>
      <c r="E651" s="159">
        <v>499.82</v>
      </c>
      <c r="F651" s="159">
        <v>499.82</v>
      </c>
      <c r="G651" s="160" t="s">
        <v>2</v>
      </c>
    </row>
    <row r="652" spans="1:8" ht="33">
      <c r="A652" s="160">
        <v>6</v>
      </c>
      <c r="B652" s="160" t="s">
        <v>1226</v>
      </c>
      <c r="C652" s="157" t="s">
        <v>927</v>
      </c>
      <c r="D652" s="159">
        <v>1</v>
      </c>
      <c r="E652" s="159">
        <v>371.17</v>
      </c>
      <c r="F652" s="159">
        <v>371.17</v>
      </c>
      <c r="G652" s="160" t="s">
        <v>2</v>
      </c>
      <c r="H652" s="34" t="s">
        <v>925</v>
      </c>
    </row>
    <row r="653" spans="1:8" ht="33">
      <c r="A653" s="160">
        <v>7</v>
      </c>
      <c r="B653" s="160" t="s">
        <v>4871</v>
      </c>
      <c r="C653" s="157" t="s">
        <v>927</v>
      </c>
      <c r="D653" s="159">
        <v>2</v>
      </c>
      <c r="E653" s="159">
        <v>260.08999999999997</v>
      </c>
      <c r="F653" s="159">
        <v>520.17999999999995</v>
      </c>
      <c r="G653" s="160" t="s">
        <v>5435</v>
      </c>
      <c r="H653" s="34" t="s">
        <v>925</v>
      </c>
    </row>
    <row r="654" spans="1:8" ht="33">
      <c r="A654" s="160">
        <v>8</v>
      </c>
      <c r="B654" s="160" t="s">
        <v>1228</v>
      </c>
      <c r="C654" s="157" t="s">
        <v>927</v>
      </c>
      <c r="D654" s="159">
        <v>2</v>
      </c>
      <c r="E654" s="159">
        <v>260.08999999999997</v>
      </c>
      <c r="F654" s="159">
        <v>520.17999999999995</v>
      </c>
      <c r="G654" s="160" t="s">
        <v>2</v>
      </c>
      <c r="H654" s="34" t="s">
        <v>925</v>
      </c>
    </row>
    <row r="655" spans="1:8" ht="33">
      <c r="A655" s="160">
        <v>9</v>
      </c>
      <c r="B655" s="160" t="s">
        <v>931</v>
      </c>
      <c r="C655" s="157" t="s">
        <v>14</v>
      </c>
      <c r="D655" s="159">
        <v>1</v>
      </c>
      <c r="E655" s="159">
        <v>167.38</v>
      </c>
      <c r="F655" s="159">
        <v>167.38</v>
      </c>
      <c r="G655" s="160" t="s">
        <v>2</v>
      </c>
      <c r="H655" s="34" t="s">
        <v>925</v>
      </c>
    </row>
    <row r="656" spans="1:8" ht="33">
      <c r="A656" s="160"/>
      <c r="B656" s="160" t="s">
        <v>933</v>
      </c>
      <c r="C656" s="157" t="s">
        <v>3</v>
      </c>
      <c r="D656" s="159">
        <v>216</v>
      </c>
      <c r="E656" s="159"/>
      <c r="F656" s="159">
        <v>5746.8600000000006</v>
      </c>
      <c r="G656" s="160"/>
      <c r="H656" s="34" t="s">
        <v>925</v>
      </c>
    </row>
    <row r="657" spans="1:8" ht="33">
      <c r="A657" s="160"/>
      <c r="B657" s="160" t="s">
        <v>934</v>
      </c>
      <c r="C657" s="157" t="s">
        <v>3</v>
      </c>
      <c r="D657" s="159"/>
      <c r="E657" s="159"/>
      <c r="F657" s="159">
        <v>26.61</v>
      </c>
      <c r="G657" s="160"/>
      <c r="H657" s="34" t="s">
        <v>925</v>
      </c>
    </row>
    <row r="658" spans="1:8" ht="33">
      <c r="A658" s="160"/>
      <c r="B658" s="160"/>
      <c r="C658" s="157"/>
      <c r="D658" s="159"/>
      <c r="E658" s="159"/>
      <c r="F658" s="159"/>
      <c r="G658" s="160"/>
      <c r="H658" s="34" t="s">
        <v>925</v>
      </c>
    </row>
    <row r="659" spans="1:8" ht="33">
      <c r="A659" s="160" t="s">
        <v>1319</v>
      </c>
      <c r="B659" s="160" t="s">
        <v>462</v>
      </c>
      <c r="C659" s="157" t="s">
        <v>17</v>
      </c>
      <c r="D659" s="159">
        <v>280</v>
      </c>
      <c r="E659" s="159">
        <v>61.27</v>
      </c>
      <c r="F659" s="159"/>
      <c r="G659" s="160" t="s">
        <v>2</v>
      </c>
      <c r="H659" s="34" t="s">
        <v>925</v>
      </c>
    </row>
    <row r="660" spans="1:8" ht="33">
      <c r="A660" s="160">
        <v>1</v>
      </c>
      <c r="B660" s="160" t="s">
        <v>1243</v>
      </c>
      <c r="C660" s="157" t="s">
        <v>927</v>
      </c>
      <c r="D660" s="159">
        <v>8</v>
      </c>
      <c r="E660" s="159">
        <v>883.76</v>
      </c>
      <c r="F660" s="159">
        <v>7070.08</v>
      </c>
      <c r="G660" s="160" t="s">
        <v>2</v>
      </c>
      <c r="H660" s="34" t="s">
        <v>925</v>
      </c>
    </row>
    <row r="661" spans="1:8" ht="33">
      <c r="A661" s="160">
        <v>2</v>
      </c>
      <c r="B661" s="160" t="s">
        <v>1245</v>
      </c>
      <c r="C661" s="157" t="s">
        <v>14</v>
      </c>
      <c r="D661" s="159">
        <v>1</v>
      </c>
      <c r="E661" s="159">
        <v>4165.21</v>
      </c>
      <c r="F661" s="159">
        <v>4165.21</v>
      </c>
      <c r="G661" s="160" t="s">
        <v>2</v>
      </c>
      <c r="H661" s="34" t="s">
        <v>925</v>
      </c>
    </row>
    <row r="662" spans="1:8" ht="33">
      <c r="A662" s="160">
        <v>3</v>
      </c>
      <c r="B662" s="160" t="s">
        <v>4907</v>
      </c>
      <c r="C662" s="157" t="s">
        <v>927</v>
      </c>
      <c r="D662" s="159">
        <v>8</v>
      </c>
      <c r="E662" s="159">
        <v>371.17</v>
      </c>
      <c r="F662" s="159">
        <v>2969.36</v>
      </c>
      <c r="G662" s="160" t="s">
        <v>5444</v>
      </c>
      <c r="H662" s="34" t="s">
        <v>925</v>
      </c>
    </row>
    <row r="663" spans="1:8" ht="33">
      <c r="A663" s="160">
        <v>4</v>
      </c>
      <c r="B663" s="160" t="s">
        <v>4871</v>
      </c>
      <c r="C663" s="157" t="s">
        <v>927</v>
      </c>
      <c r="D663" s="159">
        <v>8</v>
      </c>
      <c r="E663" s="159">
        <v>260.08999999999997</v>
      </c>
      <c r="F663" s="159">
        <v>2080.7199999999998</v>
      </c>
      <c r="G663" s="160" t="s">
        <v>2</v>
      </c>
      <c r="H663" s="34" t="s">
        <v>925</v>
      </c>
    </row>
    <row r="664" spans="1:8" ht="16.5">
      <c r="A664" s="160">
        <v>5</v>
      </c>
      <c r="B664" s="160" t="s">
        <v>1247</v>
      </c>
      <c r="C664" s="157" t="s">
        <v>14</v>
      </c>
      <c r="D664" s="159">
        <v>1</v>
      </c>
      <c r="E664" s="159">
        <v>370.24</v>
      </c>
      <c r="F664" s="159">
        <v>370.24</v>
      </c>
      <c r="G664" s="160" t="s">
        <v>2</v>
      </c>
    </row>
    <row r="665" spans="1:8" ht="33">
      <c r="A665" s="160">
        <v>6</v>
      </c>
      <c r="B665" s="160" t="s">
        <v>955</v>
      </c>
      <c r="C665" s="157" t="s">
        <v>14</v>
      </c>
      <c r="D665" s="159">
        <v>1</v>
      </c>
      <c r="E665" s="159">
        <v>499.67</v>
      </c>
      <c r="F665" s="159">
        <v>499.67</v>
      </c>
      <c r="G665" s="160" t="s">
        <v>2</v>
      </c>
      <c r="H665" s="34" t="s">
        <v>925</v>
      </c>
    </row>
    <row r="666" spans="1:8" ht="33">
      <c r="A666" s="160"/>
      <c r="B666" s="160" t="s">
        <v>933</v>
      </c>
      <c r="C666" s="157" t="s">
        <v>17</v>
      </c>
      <c r="D666" s="159">
        <v>280</v>
      </c>
      <c r="E666" s="159"/>
      <c r="F666" s="159">
        <v>17155.28</v>
      </c>
      <c r="G666" s="160"/>
      <c r="H666" s="34" t="s">
        <v>925</v>
      </c>
    </row>
    <row r="667" spans="1:8" ht="33">
      <c r="A667" s="160"/>
      <c r="B667" s="160" t="s">
        <v>934</v>
      </c>
      <c r="C667" s="157" t="s">
        <v>17</v>
      </c>
      <c r="D667" s="159"/>
      <c r="E667" s="159"/>
      <c r="F667" s="159">
        <v>61.27</v>
      </c>
      <c r="G667" s="160"/>
      <c r="H667" s="34" t="s">
        <v>925</v>
      </c>
    </row>
    <row r="668" spans="1:8" ht="33">
      <c r="A668" s="160"/>
      <c r="B668" s="160"/>
      <c r="C668" s="157"/>
      <c r="D668" s="159"/>
      <c r="E668" s="159"/>
      <c r="F668" s="159"/>
      <c r="G668" s="160"/>
      <c r="H668" s="34" t="s">
        <v>925</v>
      </c>
    </row>
    <row r="669" spans="1:8" ht="33">
      <c r="A669" s="160" t="s">
        <v>1325</v>
      </c>
      <c r="B669" s="160" t="s">
        <v>1250</v>
      </c>
      <c r="C669" s="157" t="s">
        <v>17</v>
      </c>
      <c r="D669" s="159">
        <v>240</v>
      </c>
      <c r="E669" s="159">
        <v>71.48</v>
      </c>
      <c r="F669" s="159"/>
      <c r="G669" s="160" t="s">
        <v>2</v>
      </c>
      <c r="H669" s="34" t="s">
        <v>925</v>
      </c>
    </row>
    <row r="670" spans="1:8" ht="33">
      <c r="A670" s="160">
        <v>1</v>
      </c>
      <c r="B670" s="160" t="s">
        <v>1243</v>
      </c>
      <c r="C670" s="157" t="s">
        <v>927</v>
      </c>
      <c r="D670" s="159">
        <v>8</v>
      </c>
      <c r="E670" s="159">
        <v>883.76</v>
      </c>
      <c r="F670" s="159">
        <v>7070.08</v>
      </c>
      <c r="G670" s="160" t="s">
        <v>2</v>
      </c>
      <c r="H670" s="34" t="s">
        <v>925</v>
      </c>
    </row>
    <row r="671" spans="1:8" ht="33">
      <c r="A671" s="160">
        <v>2</v>
      </c>
      <c r="B671" s="160" t="s">
        <v>1245</v>
      </c>
      <c r="C671" s="157" t="s">
        <v>14</v>
      </c>
      <c r="D671" s="159">
        <v>1</v>
      </c>
      <c r="E671" s="159">
        <v>4165.21</v>
      </c>
      <c r="F671" s="159">
        <v>4165.21</v>
      </c>
      <c r="G671" s="160" t="s">
        <v>2</v>
      </c>
      <c r="H671" s="34" t="s">
        <v>925</v>
      </c>
    </row>
    <row r="672" spans="1:8" ht="33">
      <c r="A672" s="160">
        <v>3</v>
      </c>
      <c r="B672" s="160" t="s">
        <v>4907</v>
      </c>
      <c r="C672" s="157" t="s">
        <v>927</v>
      </c>
      <c r="D672" s="159">
        <v>8</v>
      </c>
      <c r="E672" s="159">
        <v>371.17</v>
      </c>
      <c r="F672" s="159">
        <v>2969.36</v>
      </c>
      <c r="G672" s="160" t="s">
        <v>5444</v>
      </c>
      <c r="H672" s="34" t="s">
        <v>925</v>
      </c>
    </row>
    <row r="673" spans="1:8" ht="33">
      <c r="A673" s="160">
        <v>4</v>
      </c>
      <c r="B673" s="160" t="s">
        <v>4871</v>
      </c>
      <c r="C673" s="157" t="s">
        <v>927</v>
      </c>
      <c r="D673" s="159">
        <v>8</v>
      </c>
      <c r="E673" s="159">
        <v>260.08999999999997</v>
      </c>
      <c r="F673" s="159">
        <v>2080.7199999999998</v>
      </c>
      <c r="G673" s="160" t="s">
        <v>5435</v>
      </c>
      <c r="H673" s="34" t="s">
        <v>925</v>
      </c>
    </row>
    <row r="674" spans="1:8" ht="33">
      <c r="A674" s="160">
        <v>5</v>
      </c>
      <c r="B674" s="160" t="s">
        <v>1247</v>
      </c>
      <c r="C674" s="157" t="s">
        <v>14</v>
      </c>
      <c r="D674" s="159">
        <v>1</v>
      </c>
      <c r="E674" s="159">
        <v>370.24</v>
      </c>
      <c r="F674" s="159">
        <v>370.24</v>
      </c>
      <c r="G674" s="160" t="s">
        <v>2</v>
      </c>
      <c r="H674" s="34" t="s">
        <v>925</v>
      </c>
    </row>
    <row r="675" spans="1:8" ht="33">
      <c r="A675" s="160">
        <v>6</v>
      </c>
      <c r="B675" s="160" t="s">
        <v>955</v>
      </c>
      <c r="C675" s="157" t="s">
        <v>14</v>
      </c>
      <c r="D675" s="159">
        <v>1</v>
      </c>
      <c r="E675" s="159">
        <v>499.67</v>
      </c>
      <c r="F675" s="159">
        <v>499.67</v>
      </c>
      <c r="G675" s="160" t="s">
        <v>2</v>
      </c>
      <c r="H675" s="34" t="s">
        <v>925</v>
      </c>
    </row>
    <row r="676" spans="1:8" ht="33">
      <c r="A676" s="160"/>
      <c r="B676" s="160" t="s">
        <v>933</v>
      </c>
      <c r="C676" s="157" t="s">
        <v>17</v>
      </c>
      <c r="D676" s="159">
        <v>240</v>
      </c>
      <c r="E676" s="159"/>
      <c r="F676" s="159">
        <v>17155.28</v>
      </c>
      <c r="G676" s="160"/>
      <c r="H676" s="34" t="s">
        <v>925</v>
      </c>
    </row>
    <row r="677" spans="1:8" ht="16.5">
      <c r="A677" s="160"/>
      <c r="B677" s="160" t="s">
        <v>934</v>
      </c>
      <c r="C677" s="157" t="s">
        <v>17</v>
      </c>
      <c r="D677" s="159"/>
      <c r="E677" s="159"/>
      <c r="F677" s="159">
        <v>71.48</v>
      </c>
      <c r="G677" s="160"/>
    </row>
    <row r="678" spans="1:8" ht="33">
      <c r="A678" s="160"/>
      <c r="B678" s="160"/>
      <c r="C678" s="157"/>
      <c r="D678" s="159"/>
      <c r="E678" s="159"/>
      <c r="F678" s="159"/>
      <c r="G678" s="160"/>
      <c r="H678" s="34" t="s">
        <v>925</v>
      </c>
    </row>
    <row r="679" spans="1:8" ht="33">
      <c r="A679" s="160" t="s">
        <v>1327</v>
      </c>
      <c r="B679" s="160" t="s">
        <v>1253</v>
      </c>
      <c r="C679" s="157" t="s">
        <v>17</v>
      </c>
      <c r="D679" s="159">
        <v>160</v>
      </c>
      <c r="E679" s="159">
        <v>129.68</v>
      </c>
      <c r="F679" s="159"/>
      <c r="G679" s="160" t="s">
        <v>2</v>
      </c>
      <c r="H679" s="34" t="s">
        <v>925</v>
      </c>
    </row>
    <row r="680" spans="1:8" ht="33">
      <c r="A680" s="160">
        <v>1</v>
      </c>
      <c r="B680" s="160" t="s">
        <v>1243</v>
      </c>
      <c r="C680" s="157" t="s">
        <v>927</v>
      </c>
      <c r="D680" s="159">
        <v>8</v>
      </c>
      <c r="E680" s="159">
        <v>883.76</v>
      </c>
      <c r="F680" s="159">
        <v>7070.08</v>
      </c>
      <c r="G680" s="160" t="s">
        <v>2</v>
      </c>
      <c r="H680" s="34" t="s">
        <v>925</v>
      </c>
    </row>
    <row r="681" spans="1:8" ht="33">
      <c r="A681" s="160">
        <v>2</v>
      </c>
      <c r="B681" s="160" t="s">
        <v>1245</v>
      </c>
      <c r="C681" s="157" t="s">
        <v>14</v>
      </c>
      <c r="D681" s="159">
        <v>1</v>
      </c>
      <c r="E681" s="159">
        <v>4165.21</v>
      </c>
      <c r="F681" s="159">
        <v>4165.21</v>
      </c>
      <c r="G681" s="160" t="s">
        <v>2</v>
      </c>
      <c r="H681" s="34" t="s">
        <v>925</v>
      </c>
    </row>
    <row r="682" spans="1:8" ht="33">
      <c r="A682" s="160">
        <v>3</v>
      </c>
      <c r="B682" s="160" t="s">
        <v>4907</v>
      </c>
      <c r="C682" s="157" t="s">
        <v>927</v>
      </c>
      <c r="D682" s="159">
        <v>8</v>
      </c>
      <c r="E682" s="159">
        <v>371.17</v>
      </c>
      <c r="F682" s="159">
        <v>2969.36</v>
      </c>
      <c r="G682" s="160" t="s">
        <v>5444</v>
      </c>
      <c r="H682" s="34" t="s">
        <v>925</v>
      </c>
    </row>
    <row r="683" spans="1:8" ht="33">
      <c r="A683" s="160">
        <v>4</v>
      </c>
      <c r="B683" s="160" t="s">
        <v>4871</v>
      </c>
      <c r="C683" s="157" t="s">
        <v>927</v>
      </c>
      <c r="D683" s="159">
        <v>10</v>
      </c>
      <c r="E683" s="159">
        <v>260.08999999999997</v>
      </c>
      <c r="F683" s="159">
        <v>2600.9</v>
      </c>
      <c r="G683" s="160" t="s">
        <v>5435</v>
      </c>
      <c r="H683" s="34" t="s">
        <v>925</v>
      </c>
    </row>
    <row r="684" spans="1:8" ht="33">
      <c r="A684" s="160">
        <v>5</v>
      </c>
      <c r="B684" s="160" t="s">
        <v>1255</v>
      </c>
      <c r="C684" s="157" t="s">
        <v>927</v>
      </c>
      <c r="D684" s="159">
        <v>8</v>
      </c>
      <c r="E684" s="159">
        <v>371.17</v>
      </c>
      <c r="F684" s="159">
        <v>2969.36</v>
      </c>
      <c r="G684" s="160" t="s">
        <v>2</v>
      </c>
      <c r="H684" s="34" t="s">
        <v>925</v>
      </c>
    </row>
    <row r="685" spans="1:8" ht="33">
      <c r="A685" s="160">
        <v>6</v>
      </c>
      <c r="B685" s="160" t="s">
        <v>1247</v>
      </c>
      <c r="C685" s="157" t="s">
        <v>14</v>
      </c>
      <c r="D685" s="159">
        <v>1</v>
      </c>
      <c r="E685" s="159">
        <v>370.24</v>
      </c>
      <c r="F685" s="159">
        <v>370.24</v>
      </c>
      <c r="G685" s="160" t="s">
        <v>2</v>
      </c>
      <c r="H685" s="34" t="s">
        <v>925</v>
      </c>
    </row>
    <row r="686" spans="1:8" ht="33">
      <c r="A686" s="160">
        <v>7</v>
      </c>
      <c r="B686" s="160" t="s">
        <v>955</v>
      </c>
      <c r="C686" s="157" t="s">
        <v>14</v>
      </c>
      <c r="D686" s="159">
        <v>1</v>
      </c>
      <c r="E686" s="159">
        <v>604.35</v>
      </c>
      <c r="F686" s="159">
        <v>604.35</v>
      </c>
      <c r="G686" s="160" t="s">
        <v>2</v>
      </c>
      <c r="H686" s="34" t="s">
        <v>925</v>
      </c>
    </row>
    <row r="687" spans="1:8" ht="33">
      <c r="A687" s="160"/>
      <c r="B687" s="160" t="s">
        <v>933</v>
      </c>
      <c r="C687" s="157" t="s">
        <v>17</v>
      </c>
      <c r="D687" s="159">
        <v>160</v>
      </c>
      <c r="E687" s="159"/>
      <c r="F687" s="159">
        <v>20749.500000000004</v>
      </c>
      <c r="G687" s="160"/>
      <c r="H687" s="34" t="s">
        <v>925</v>
      </c>
    </row>
    <row r="688" spans="1:8" ht="33">
      <c r="A688" s="160"/>
      <c r="B688" s="160" t="s">
        <v>934</v>
      </c>
      <c r="C688" s="157" t="s">
        <v>17</v>
      </c>
      <c r="D688" s="159"/>
      <c r="E688" s="159"/>
      <c r="F688" s="159">
        <v>129.68</v>
      </c>
      <c r="G688" s="160"/>
      <c r="H688" s="34" t="s">
        <v>925</v>
      </c>
    </row>
    <row r="689" spans="1:8" ht="33">
      <c r="A689" s="160"/>
      <c r="B689" s="160"/>
      <c r="C689" s="157"/>
      <c r="D689" s="159"/>
      <c r="E689" s="159"/>
      <c r="F689" s="159"/>
      <c r="G689" s="160"/>
      <c r="H689" s="34" t="s">
        <v>925</v>
      </c>
    </row>
    <row r="690" spans="1:8" ht="28.5">
      <c r="A690" s="160" t="s">
        <v>1332</v>
      </c>
      <c r="B690" s="160" t="s">
        <v>464</v>
      </c>
      <c r="C690" s="157" t="s">
        <v>0</v>
      </c>
      <c r="D690" s="159">
        <v>1</v>
      </c>
      <c r="E690" s="159">
        <v>3092.05</v>
      </c>
      <c r="F690" s="159"/>
      <c r="G690" s="160" t="s">
        <v>2</v>
      </c>
    </row>
    <row r="691" spans="1:8" ht="33">
      <c r="A691" s="160">
        <v>1</v>
      </c>
      <c r="B691" s="160" t="s">
        <v>1259</v>
      </c>
      <c r="C691" s="157" t="s">
        <v>0</v>
      </c>
      <c r="D691" s="159">
        <v>1</v>
      </c>
      <c r="E691" s="159">
        <v>2739.78</v>
      </c>
      <c r="F691" s="159">
        <v>2739.78</v>
      </c>
      <c r="G691" s="160" t="s">
        <v>2</v>
      </c>
      <c r="H691" s="34" t="s">
        <v>925</v>
      </c>
    </row>
    <row r="692" spans="1:8" ht="33">
      <c r="A692" s="160">
        <v>2</v>
      </c>
      <c r="B692" s="160" t="s">
        <v>4909</v>
      </c>
      <c r="C692" s="157" t="s">
        <v>927</v>
      </c>
      <c r="D692" s="159">
        <v>0.24</v>
      </c>
      <c r="E692" s="159">
        <v>379.5</v>
      </c>
      <c r="F692" s="159">
        <v>91.08</v>
      </c>
      <c r="G692" s="160" t="s">
        <v>2</v>
      </c>
      <c r="H692" s="34" t="s">
        <v>925</v>
      </c>
    </row>
    <row r="693" spans="1:8" ht="33">
      <c r="A693" s="160">
        <v>3</v>
      </c>
      <c r="B693" s="160" t="s">
        <v>4871</v>
      </c>
      <c r="C693" s="157" t="s">
        <v>927</v>
      </c>
      <c r="D693" s="159">
        <v>0.48</v>
      </c>
      <c r="E693" s="159">
        <v>260.08999999999997</v>
      </c>
      <c r="F693" s="159">
        <v>124.84</v>
      </c>
      <c r="G693" s="160" t="s">
        <v>2</v>
      </c>
      <c r="H693" s="34" t="s">
        <v>925</v>
      </c>
    </row>
    <row r="694" spans="1:8" ht="33">
      <c r="A694" s="160">
        <v>4</v>
      </c>
      <c r="B694" s="160" t="s">
        <v>1263</v>
      </c>
      <c r="C694" s="157" t="s">
        <v>14</v>
      </c>
      <c r="D694" s="159">
        <v>1</v>
      </c>
      <c r="E694" s="159">
        <v>9.26</v>
      </c>
      <c r="F694" s="159">
        <v>9.26</v>
      </c>
      <c r="G694" s="160" t="s">
        <v>2</v>
      </c>
      <c r="H694" s="34" t="s">
        <v>925</v>
      </c>
    </row>
    <row r="695" spans="1:8" ht="33">
      <c r="A695" s="160">
        <v>5</v>
      </c>
      <c r="B695" s="160" t="s">
        <v>1265</v>
      </c>
      <c r="C695" s="157" t="s">
        <v>14</v>
      </c>
      <c r="D695" s="159">
        <v>1</v>
      </c>
      <c r="E695" s="159">
        <v>9.26</v>
      </c>
      <c r="F695" s="159">
        <v>9.26</v>
      </c>
      <c r="G695" s="160" t="s">
        <v>2</v>
      </c>
      <c r="H695" s="34" t="s">
        <v>925</v>
      </c>
    </row>
    <row r="696" spans="1:8" ht="33">
      <c r="A696" s="160">
        <v>6</v>
      </c>
      <c r="B696" s="160" t="s">
        <v>1267</v>
      </c>
      <c r="C696" s="157" t="s">
        <v>14</v>
      </c>
      <c r="D696" s="159">
        <v>1</v>
      </c>
      <c r="E696" s="159">
        <v>27.77</v>
      </c>
      <c r="F696" s="159">
        <v>27.77</v>
      </c>
      <c r="G696" s="160" t="s">
        <v>2</v>
      </c>
      <c r="H696" s="34" t="s">
        <v>925</v>
      </c>
    </row>
    <row r="697" spans="1:8" ht="33">
      <c r="A697" s="160">
        <v>7</v>
      </c>
      <c r="B697" s="160" t="s">
        <v>931</v>
      </c>
      <c r="C697" s="157" t="s">
        <v>14</v>
      </c>
      <c r="D697" s="159">
        <v>1</v>
      </c>
      <c r="E697" s="159">
        <v>90.06</v>
      </c>
      <c r="F697" s="159">
        <v>90.06</v>
      </c>
      <c r="G697" s="160" t="s">
        <v>2</v>
      </c>
      <c r="H697" s="34" t="s">
        <v>925</v>
      </c>
    </row>
    <row r="698" spans="1:8" ht="33">
      <c r="A698" s="160"/>
      <c r="B698" s="160" t="s">
        <v>933</v>
      </c>
      <c r="C698" s="157" t="s">
        <v>0</v>
      </c>
      <c r="D698" s="159">
        <v>1</v>
      </c>
      <c r="E698" s="159"/>
      <c r="F698" s="159">
        <v>3092.0500000000006</v>
      </c>
      <c r="G698" s="160"/>
      <c r="H698" s="34" t="s">
        <v>925</v>
      </c>
    </row>
    <row r="699" spans="1:8" ht="33">
      <c r="A699" s="160"/>
      <c r="B699" s="160" t="s">
        <v>934</v>
      </c>
      <c r="C699" s="157" t="s">
        <v>0</v>
      </c>
      <c r="D699" s="159"/>
      <c r="E699" s="159"/>
      <c r="F699" s="159">
        <v>3092.05</v>
      </c>
      <c r="G699" s="160"/>
      <c r="H699" s="34" t="s">
        <v>925</v>
      </c>
    </row>
    <row r="700" spans="1:8" ht="33">
      <c r="A700" s="160"/>
      <c r="B700" s="160"/>
      <c r="C700" s="157"/>
      <c r="D700" s="159"/>
      <c r="E700" s="159"/>
      <c r="F700" s="159"/>
      <c r="G700" s="160"/>
      <c r="H700" s="34" t="s">
        <v>925</v>
      </c>
    </row>
    <row r="701" spans="1:8" ht="28.5">
      <c r="A701" s="160" t="s">
        <v>1346</v>
      </c>
      <c r="B701" s="160" t="s">
        <v>4501</v>
      </c>
      <c r="C701" s="157" t="s">
        <v>0</v>
      </c>
      <c r="D701" s="159">
        <v>1</v>
      </c>
      <c r="E701" s="159">
        <v>3383.23</v>
      </c>
      <c r="F701" s="159"/>
      <c r="G701" s="160" t="s">
        <v>2</v>
      </c>
    </row>
    <row r="702" spans="1:8" ht="33">
      <c r="A702" s="160">
        <v>1</v>
      </c>
      <c r="B702" s="160" t="s">
        <v>1259</v>
      </c>
      <c r="C702" s="157" t="s">
        <v>0</v>
      </c>
      <c r="D702" s="159">
        <v>1</v>
      </c>
      <c r="E702" s="159">
        <v>2739.78</v>
      </c>
      <c r="F702" s="159">
        <v>2739.78</v>
      </c>
      <c r="G702" s="160" t="s">
        <v>2</v>
      </c>
      <c r="H702" s="34" t="s">
        <v>925</v>
      </c>
    </row>
    <row r="703" spans="1:8" ht="33">
      <c r="A703" s="160">
        <v>2</v>
      </c>
      <c r="B703" s="160" t="s">
        <v>4912</v>
      </c>
      <c r="C703" s="157" t="s">
        <v>927</v>
      </c>
      <c r="D703" s="159">
        <v>0.28000000000000003</v>
      </c>
      <c r="E703" s="159">
        <v>758.99</v>
      </c>
      <c r="F703" s="159">
        <v>212.52</v>
      </c>
      <c r="G703" s="160" t="s">
        <v>2</v>
      </c>
      <c r="H703" s="34" t="s">
        <v>925</v>
      </c>
    </row>
    <row r="704" spans="1:8" ht="33">
      <c r="A704" s="160">
        <v>3</v>
      </c>
      <c r="B704" s="160" t="s">
        <v>4874</v>
      </c>
      <c r="C704" s="157" t="s">
        <v>927</v>
      </c>
      <c r="D704" s="159">
        <v>0.55000000000000004</v>
      </c>
      <c r="E704" s="159">
        <v>520.19000000000005</v>
      </c>
      <c r="F704" s="159">
        <v>286.10000000000002</v>
      </c>
      <c r="G704" s="160" t="s">
        <v>5436</v>
      </c>
      <c r="H704" s="34" t="s">
        <v>925</v>
      </c>
    </row>
    <row r="705" spans="1:8" ht="33">
      <c r="A705" s="160">
        <v>4</v>
      </c>
      <c r="B705" s="160" t="s">
        <v>1263</v>
      </c>
      <c r="C705" s="157" t="s">
        <v>14</v>
      </c>
      <c r="D705" s="159">
        <v>1</v>
      </c>
      <c r="E705" s="159">
        <v>9.26</v>
      </c>
      <c r="F705" s="159">
        <v>9.26</v>
      </c>
      <c r="G705" s="160" t="s">
        <v>2</v>
      </c>
      <c r="H705" s="34" t="s">
        <v>925</v>
      </c>
    </row>
    <row r="706" spans="1:8" ht="33">
      <c r="A706" s="160">
        <v>5</v>
      </c>
      <c r="B706" s="160" t="s">
        <v>1265</v>
      </c>
      <c r="C706" s="157" t="s">
        <v>14</v>
      </c>
      <c r="D706" s="159">
        <v>1</v>
      </c>
      <c r="E706" s="159">
        <v>9.26</v>
      </c>
      <c r="F706" s="159">
        <v>9.26</v>
      </c>
      <c r="G706" s="160" t="s">
        <v>2</v>
      </c>
      <c r="H706" s="34" t="s">
        <v>925</v>
      </c>
    </row>
    <row r="707" spans="1:8" ht="33">
      <c r="A707" s="160">
        <v>6</v>
      </c>
      <c r="B707" s="160" t="s">
        <v>1267</v>
      </c>
      <c r="C707" s="157" t="s">
        <v>14</v>
      </c>
      <c r="D707" s="159">
        <v>1</v>
      </c>
      <c r="E707" s="159">
        <v>27.77</v>
      </c>
      <c r="F707" s="159">
        <v>27.77</v>
      </c>
      <c r="G707" s="160" t="s">
        <v>2</v>
      </c>
      <c r="H707" s="34" t="s">
        <v>925</v>
      </c>
    </row>
    <row r="708" spans="1:8" ht="33">
      <c r="A708" s="160">
        <v>7</v>
      </c>
      <c r="B708" s="160" t="s">
        <v>931</v>
      </c>
      <c r="C708" s="157" t="s">
        <v>14</v>
      </c>
      <c r="D708" s="159">
        <v>1</v>
      </c>
      <c r="E708" s="159">
        <v>98.54</v>
      </c>
      <c r="F708" s="159">
        <v>98.54</v>
      </c>
      <c r="G708" s="160" t="s">
        <v>2</v>
      </c>
      <c r="H708" s="34" t="s">
        <v>925</v>
      </c>
    </row>
    <row r="709" spans="1:8" ht="33">
      <c r="A709" s="160"/>
      <c r="B709" s="160" t="s">
        <v>933</v>
      </c>
      <c r="C709" s="157" t="s">
        <v>0</v>
      </c>
      <c r="D709" s="159">
        <v>1</v>
      </c>
      <c r="E709" s="159"/>
      <c r="F709" s="159">
        <v>3383.2300000000005</v>
      </c>
      <c r="G709" s="160"/>
      <c r="H709" s="34" t="s">
        <v>925</v>
      </c>
    </row>
    <row r="710" spans="1:8" ht="33">
      <c r="A710" s="160"/>
      <c r="B710" s="160" t="s">
        <v>934</v>
      </c>
      <c r="C710" s="157" t="s">
        <v>0</v>
      </c>
      <c r="D710" s="159"/>
      <c r="E710" s="159"/>
      <c r="F710" s="159">
        <v>3383.23</v>
      </c>
      <c r="G710" s="160"/>
      <c r="H710" s="34" t="s">
        <v>925</v>
      </c>
    </row>
    <row r="711" spans="1:8" ht="33">
      <c r="A711" s="160"/>
      <c r="B711" s="160"/>
      <c r="C711" s="157"/>
      <c r="D711" s="159"/>
      <c r="E711" s="159"/>
      <c r="F711" s="159"/>
      <c r="G711" s="160"/>
      <c r="H711" s="34" t="s">
        <v>925</v>
      </c>
    </row>
    <row r="712" spans="1:8" ht="28.5">
      <c r="A712" s="160" t="s">
        <v>1351</v>
      </c>
      <c r="B712" s="160" t="s">
        <v>1270</v>
      </c>
      <c r="C712" s="157" t="s">
        <v>0</v>
      </c>
      <c r="D712" s="159">
        <v>1</v>
      </c>
      <c r="E712" s="159">
        <v>3177.86</v>
      </c>
      <c r="F712" s="159"/>
      <c r="G712" s="160" t="s">
        <v>2</v>
      </c>
    </row>
    <row r="713" spans="1:8" ht="33">
      <c r="A713" s="160">
        <v>1</v>
      </c>
      <c r="B713" s="160" t="s">
        <v>1272</v>
      </c>
      <c r="C713" s="157" t="s">
        <v>0</v>
      </c>
      <c r="D713" s="159">
        <v>1</v>
      </c>
      <c r="E713" s="159">
        <v>2823.09</v>
      </c>
      <c r="F713" s="159">
        <v>2823.09</v>
      </c>
      <c r="G713" s="160" t="s">
        <v>2</v>
      </c>
      <c r="H713" s="34" t="s">
        <v>925</v>
      </c>
    </row>
    <row r="714" spans="1:8" ht="33">
      <c r="A714" s="160">
        <v>2</v>
      </c>
      <c r="B714" s="160" t="s">
        <v>4909</v>
      </c>
      <c r="C714" s="157" t="s">
        <v>927</v>
      </c>
      <c r="D714" s="159">
        <v>0.24</v>
      </c>
      <c r="E714" s="159">
        <v>379.5</v>
      </c>
      <c r="F714" s="159">
        <v>91.08</v>
      </c>
      <c r="G714" s="160" t="s">
        <v>2</v>
      </c>
      <c r="H714" s="34" t="s">
        <v>925</v>
      </c>
    </row>
    <row r="715" spans="1:8" ht="33">
      <c r="A715" s="160">
        <v>3</v>
      </c>
      <c r="B715" s="160" t="s">
        <v>4871</v>
      </c>
      <c r="C715" s="157" t="s">
        <v>927</v>
      </c>
      <c r="D715" s="159">
        <v>0.48</v>
      </c>
      <c r="E715" s="159">
        <v>260.08999999999997</v>
      </c>
      <c r="F715" s="159">
        <v>124.84</v>
      </c>
      <c r="G715" s="160" t="s">
        <v>2</v>
      </c>
      <c r="H715" s="34" t="s">
        <v>925</v>
      </c>
    </row>
    <row r="716" spans="1:8" ht="33">
      <c r="A716" s="160">
        <v>4</v>
      </c>
      <c r="B716" s="160" t="s">
        <v>1263</v>
      </c>
      <c r="C716" s="157" t="s">
        <v>14</v>
      </c>
      <c r="D716" s="159">
        <v>1</v>
      </c>
      <c r="E716" s="159">
        <v>9.26</v>
      </c>
      <c r="F716" s="159">
        <v>9.26</v>
      </c>
      <c r="G716" s="160" t="s">
        <v>2</v>
      </c>
      <c r="H716" s="34" t="s">
        <v>925</v>
      </c>
    </row>
    <row r="717" spans="1:8" ht="33">
      <c r="A717" s="160">
        <v>5</v>
      </c>
      <c r="B717" s="160" t="s">
        <v>1265</v>
      </c>
      <c r="C717" s="157" t="s">
        <v>14</v>
      </c>
      <c r="D717" s="159">
        <v>1</v>
      </c>
      <c r="E717" s="159">
        <v>9.26</v>
      </c>
      <c r="F717" s="159">
        <v>9.26</v>
      </c>
      <c r="G717" s="160" t="s">
        <v>2</v>
      </c>
      <c r="H717" s="34" t="s">
        <v>925</v>
      </c>
    </row>
    <row r="718" spans="1:8" ht="33">
      <c r="A718" s="160">
        <v>6</v>
      </c>
      <c r="B718" s="160" t="s">
        <v>1267</v>
      </c>
      <c r="C718" s="157" t="s">
        <v>14</v>
      </c>
      <c r="D718" s="159">
        <v>1</v>
      </c>
      <c r="E718" s="159">
        <v>27.77</v>
      </c>
      <c r="F718" s="159">
        <v>27.77</v>
      </c>
      <c r="G718" s="160" t="s">
        <v>2</v>
      </c>
      <c r="H718" s="34" t="s">
        <v>925</v>
      </c>
    </row>
    <row r="719" spans="1:8" ht="33">
      <c r="A719" s="160">
        <v>7</v>
      </c>
      <c r="B719" s="160" t="s">
        <v>931</v>
      </c>
      <c r="C719" s="157" t="s">
        <v>14</v>
      </c>
      <c r="D719" s="159">
        <v>1</v>
      </c>
      <c r="E719" s="159">
        <v>92.56</v>
      </c>
      <c r="F719" s="159">
        <v>92.56</v>
      </c>
      <c r="G719" s="160" t="s">
        <v>2</v>
      </c>
      <c r="H719" s="34" t="s">
        <v>925</v>
      </c>
    </row>
    <row r="720" spans="1:8" ht="33">
      <c r="A720" s="160"/>
      <c r="B720" s="160" t="s">
        <v>933</v>
      </c>
      <c r="C720" s="157" t="s">
        <v>0</v>
      </c>
      <c r="D720" s="159">
        <v>1</v>
      </c>
      <c r="E720" s="159"/>
      <c r="F720" s="159">
        <v>3177.8600000000006</v>
      </c>
      <c r="G720" s="160"/>
      <c r="H720" s="34" t="s">
        <v>925</v>
      </c>
    </row>
    <row r="721" spans="1:8" ht="16.5">
      <c r="A721" s="160"/>
      <c r="B721" s="160" t="s">
        <v>934</v>
      </c>
      <c r="C721" s="157" t="s">
        <v>0</v>
      </c>
      <c r="D721" s="159"/>
      <c r="E721" s="159"/>
      <c r="F721" s="159">
        <v>3177.86</v>
      </c>
      <c r="G721" s="160"/>
    </row>
    <row r="722" spans="1:8" ht="33">
      <c r="A722" s="160"/>
      <c r="B722" s="160"/>
      <c r="C722" s="157"/>
      <c r="D722" s="159"/>
      <c r="E722" s="159"/>
      <c r="F722" s="159"/>
      <c r="G722" s="160"/>
      <c r="H722" s="34" t="s">
        <v>925</v>
      </c>
    </row>
    <row r="723" spans="1:8" ht="42.75">
      <c r="A723" s="160" t="s">
        <v>1356</v>
      </c>
      <c r="B723" s="160" t="s">
        <v>1275</v>
      </c>
      <c r="C723" s="157" t="s">
        <v>0</v>
      </c>
      <c r="D723" s="159">
        <v>1</v>
      </c>
      <c r="E723" s="159">
        <v>3273.2</v>
      </c>
      <c r="F723" s="159"/>
      <c r="G723" s="160" t="s">
        <v>4368</v>
      </c>
      <c r="H723" s="34" t="s">
        <v>925</v>
      </c>
    </row>
    <row r="724" spans="1:8" ht="42.75">
      <c r="A724" s="160">
        <v>1</v>
      </c>
      <c r="B724" s="160" t="s">
        <v>1277</v>
      </c>
      <c r="C724" s="157" t="s">
        <v>0</v>
      </c>
      <c r="D724" s="159">
        <v>1</v>
      </c>
      <c r="E724" s="159">
        <v>2915.65</v>
      </c>
      <c r="F724" s="159">
        <v>2915.65</v>
      </c>
      <c r="G724" s="160" t="s">
        <v>4368</v>
      </c>
      <c r="H724" s="34" t="s">
        <v>925</v>
      </c>
    </row>
    <row r="725" spans="1:8" ht="33">
      <c r="A725" s="160">
        <v>2</v>
      </c>
      <c r="B725" s="160" t="s">
        <v>4909</v>
      </c>
      <c r="C725" s="157" t="s">
        <v>927</v>
      </c>
      <c r="D725" s="159">
        <v>0.24</v>
      </c>
      <c r="E725" s="159">
        <v>379.5</v>
      </c>
      <c r="F725" s="159">
        <v>91.08</v>
      </c>
      <c r="G725" s="160" t="s">
        <v>2</v>
      </c>
      <c r="H725" s="34" t="s">
        <v>925</v>
      </c>
    </row>
    <row r="726" spans="1:8" ht="33">
      <c r="A726" s="160">
        <v>3</v>
      </c>
      <c r="B726" s="160" t="s">
        <v>4871</v>
      </c>
      <c r="C726" s="157" t="s">
        <v>927</v>
      </c>
      <c r="D726" s="159">
        <v>0.48</v>
      </c>
      <c r="E726" s="159">
        <v>260.08999999999997</v>
      </c>
      <c r="F726" s="159">
        <v>124.84</v>
      </c>
      <c r="G726" s="160" t="s">
        <v>2</v>
      </c>
      <c r="H726" s="34" t="s">
        <v>925</v>
      </c>
    </row>
    <row r="727" spans="1:8" ht="33">
      <c r="A727" s="160">
        <v>4</v>
      </c>
      <c r="B727" s="160" t="s">
        <v>1263</v>
      </c>
      <c r="C727" s="157" t="s">
        <v>14</v>
      </c>
      <c r="D727" s="159">
        <v>1</v>
      </c>
      <c r="E727" s="159">
        <v>9.26</v>
      </c>
      <c r="F727" s="159">
        <v>9.26</v>
      </c>
      <c r="G727" s="160" t="s">
        <v>2</v>
      </c>
      <c r="H727" s="34" t="s">
        <v>925</v>
      </c>
    </row>
    <row r="728" spans="1:8" ht="33">
      <c r="A728" s="160">
        <v>5</v>
      </c>
      <c r="B728" s="160" t="s">
        <v>1265</v>
      </c>
      <c r="C728" s="157" t="s">
        <v>14</v>
      </c>
      <c r="D728" s="159">
        <v>1</v>
      </c>
      <c r="E728" s="159">
        <v>9.26</v>
      </c>
      <c r="F728" s="159">
        <v>9.26</v>
      </c>
      <c r="G728" s="160" t="s">
        <v>2</v>
      </c>
      <c r="H728" s="34" t="s">
        <v>925</v>
      </c>
    </row>
    <row r="729" spans="1:8" ht="16.5">
      <c r="A729" s="160">
        <v>6</v>
      </c>
      <c r="B729" s="160" t="s">
        <v>1267</v>
      </c>
      <c r="C729" s="157" t="s">
        <v>14</v>
      </c>
      <c r="D729" s="159">
        <v>1</v>
      </c>
      <c r="E729" s="159">
        <v>27.77</v>
      </c>
      <c r="F729" s="159">
        <v>27.77</v>
      </c>
      <c r="G729" s="160" t="s">
        <v>2</v>
      </c>
    </row>
    <row r="730" spans="1:8" ht="33">
      <c r="A730" s="160">
        <v>7</v>
      </c>
      <c r="B730" s="160" t="s">
        <v>931</v>
      </c>
      <c r="C730" s="157" t="s">
        <v>14</v>
      </c>
      <c r="D730" s="159">
        <v>1</v>
      </c>
      <c r="E730" s="159">
        <v>95.34</v>
      </c>
      <c r="F730" s="159">
        <v>95.34</v>
      </c>
      <c r="G730" s="160" t="s">
        <v>2</v>
      </c>
      <c r="H730" s="34" t="s">
        <v>925</v>
      </c>
    </row>
    <row r="731" spans="1:8" ht="33">
      <c r="A731" s="160"/>
      <c r="B731" s="160" t="s">
        <v>933</v>
      </c>
      <c r="C731" s="157" t="s">
        <v>0</v>
      </c>
      <c r="D731" s="159">
        <v>1</v>
      </c>
      <c r="E731" s="159"/>
      <c r="F731" s="159">
        <v>3273.2000000000007</v>
      </c>
      <c r="G731" s="160"/>
      <c r="H731" s="34" t="s">
        <v>925</v>
      </c>
    </row>
    <row r="732" spans="1:8" ht="33">
      <c r="A732" s="160"/>
      <c r="B732" s="160" t="s">
        <v>934</v>
      </c>
      <c r="C732" s="157" t="s">
        <v>0</v>
      </c>
      <c r="D732" s="159"/>
      <c r="E732" s="159"/>
      <c r="F732" s="159">
        <v>3273.2</v>
      </c>
      <c r="G732" s="160"/>
      <c r="H732" s="34" t="s">
        <v>925</v>
      </c>
    </row>
    <row r="733" spans="1:8" ht="33">
      <c r="A733" s="160"/>
      <c r="B733" s="160"/>
      <c r="C733" s="157"/>
      <c r="D733" s="159"/>
      <c r="E733" s="159"/>
      <c r="F733" s="159"/>
      <c r="G733" s="160"/>
      <c r="H733" s="34" t="s">
        <v>925</v>
      </c>
    </row>
    <row r="734" spans="1:8" ht="42.75">
      <c r="A734" s="160" t="s">
        <v>1359</v>
      </c>
      <c r="B734" s="160" t="s">
        <v>4505</v>
      </c>
      <c r="C734" s="157" t="s">
        <v>0</v>
      </c>
      <c r="D734" s="159">
        <v>1</v>
      </c>
      <c r="E734" s="159">
        <v>3564.38</v>
      </c>
      <c r="F734" s="159"/>
      <c r="G734" s="160" t="s">
        <v>4368</v>
      </c>
      <c r="H734" s="34" t="s">
        <v>925</v>
      </c>
    </row>
    <row r="735" spans="1:8" ht="42.75">
      <c r="A735" s="160">
        <v>1</v>
      </c>
      <c r="B735" s="160" t="s">
        <v>1277</v>
      </c>
      <c r="C735" s="157" t="s">
        <v>0</v>
      </c>
      <c r="D735" s="159">
        <v>1</v>
      </c>
      <c r="E735" s="159">
        <v>2915.65</v>
      </c>
      <c r="F735" s="159">
        <v>2915.65</v>
      </c>
      <c r="G735" s="160" t="s">
        <v>4368</v>
      </c>
      <c r="H735" s="34" t="s">
        <v>925</v>
      </c>
    </row>
    <row r="736" spans="1:8" ht="33">
      <c r="A736" s="160">
        <v>2</v>
      </c>
      <c r="B736" s="160" t="s">
        <v>4912</v>
      </c>
      <c r="C736" s="157" t="s">
        <v>927</v>
      </c>
      <c r="D736" s="159">
        <v>0.28000000000000003</v>
      </c>
      <c r="E736" s="159">
        <v>758.99</v>
      </c>
      <c r="F736" s="159">
        <v>212.52</v>
      </c>
      <c r="G736" s="160" t="s">
        <v>2</v>
      </c>
      <c r="H736" s="34" t="s">
        <v>925</v>
      </c>
    </row>
    <row r="737" spans="1:8" ht="33">
      <c r="A737" s="160">
        <v>3</v>
      </c>
      <c r="B737" s="160" t="s">
        <v>4874</v>
      </c>
      <c r="C737" s="157" t="s">
        <v>927</v>
      </c>
      <c r="D737" s="159">
        <v>0.55000000000000004</v>
      </c>
      <c r="E737" s="159">
        <v>520.19000000000005</v>
      </c>
      <c r="F737" s="159">
        <v>286.10000000000002</v>
      </c>
      <c r="G737" s="160" t="s">
        <v>5436</v>
      </c>
      <c r="H737" s="34" t="s">
        <v>925</v>
      </c>
    </row>
    <row r="738" spans="1:8" ht="33">
      <c r="A738" s="160">
        <v>4</v>
      </c>
      <c r="B738" s="160" t="s">
        <v>1263</v>
      </c>
      <c r="C738" s="157" t="s">
        <v>14</v>
      </c>
      <c r="D738" s="159">
        <v>1</v>
      </c>
      <c r="E738" s="159">
        <v>9.26</v>
      </c>
      <c r="F738" s="159">
        <v>9.26</v>
      </c>
      <c r="G738" s="160" t="s">
        <v>2</v>
      </c>
      <c r="H738" s="34" t="s">
        <v>925</v>
      </c>
    </row>
    <row r="739" spans="1:8" ht="33">
      <c r="A739" s="160">
        <v>5</v>
      </c>
      <c r="B739" s="160" t="s">
        <v>1265</v>
      </c>
      <c r="C739" s="157" t="s">
        <v>14</v>
      </c>
      <c r="D739" s="159">
        <v>1</v>
      </c>
      <c r="E739" s="159">
        <v>9.26</v>
      </c>
      <c r="F739" s="159">
        <v>9.26</v>
      </c>
      <c r="G739" s="160" t="s">
        <v>2</v>
      </c>
      <c r="H739" s="34" t="s">
        <v>925</v>
      </c>
    </row>
    <row r="740" spans="1:8" ht="33">
      <c r="A740" s="160">
        <v>6</v>
      </c>
      <c r="B740" s="160" t="s">
        <v>1267</v>
      </c>
      <c r="C740" s="157" t="s">
        <v>14</v>
      </c>
      <c r="D740" s="159">
        <v>1</v>
      </c>
      <c r="E740" s="159">
        <v>27.77</v>
      </c>
      <c r="F740" s="159">
        <v>27.77</v>
      </c>
      <c r="G740" s="160" t="s">
        <v>2</v>
      </c>
      <c r="H740" s="34" t="s">
        <v>925</v>
      </c>
    </row>
    <row r="741" spans="1:8" ht="33">
      <c r="A741" s="160">
        <v>7</v>
      </c>
      <c r="B741" s="160" t="s">
        <v>931</v>
      </c>
      <c r="C741" s="157" t="s">
        <v>14</v>
      </c>
      <c r="D741" s="159">
        <v>1</v>
      </c>
      <c r="E741" s="159">
        <v>103.82</v>
      </c>
      <c r="F741" s="159">
        <v>103.82</v>
      </c>
      <c r="G741" s="160" t="s">
        <v>2</v>
      </c>
      <c r="H741" s="34" t="s">
        <v>925</v>
      </c>
    </row>
    <row r="742" spans="1:8" ht="16.5">
      <c r="A742" s="160"/>
      <c r="B742" s="160" t="s">
        <v>933</v>
      </c>
      <c r="C742" s="157" t="s">
        <v>0</v>
      </c>
      <c r="D742" s="159">
        <v>1</v>
      </c>
      <c r="E742" s="159"/>
      <c r="F742" s="159">
        <v>3564.3800000000006</v>
      </c>
      <c r="G742" s="160"/>
    </row>
    <row r="743" spans="1:8" ht="33">
      <c r="A743" s="160"/>
      <c r="B743" s="160" t="s">
        <v>934</v>
      </c>
      <c r="C743" s="157" t="s">
        <v>0</v>
      </c>
      <c r="D743" s="159"/>
      <c r="E743" s="159"/>
      <c r="F743" s="159">
        <v>3564.38</v>
      </c>
      <c r="G743" s="160"/>
      <c r="H743" s="34" t="s">
        <v>925</v>
      </c>
    </row>
    <row r="744" spans="1:8" ht="33">
      <c r="A744" s="160"/>
      <c r="B744" s="160"/>
      <c r="C744" s="157"/>
      <c r="D744" s="159"/>
      <c r="E744" s="159"/>
      <c r="F744" s="159"/>
      <c r="G744" s="160"/>
      <c r="H744" s="34" t="s">
        <v>925</v>
      </c>
    </row>
    <row r="745" spans="1:8" ht="33">
      <c r="A745" s="160" t="s">
        <v>1362</v>
      </c>
      <c r="B745" s="160" t="s">
        <v>1280</v>
      </c>
      <c r="C745" s="157" t="s">
        <v>0</v>
      </c>
      <c r="D745" s="159">
        <v>1</v>
      </c>
      <c r="E745" s="159">
        <v>3430.46</v>
      </c>
      <c r="F745" s="159"/>
      <c r="G745" s="160" t="s">
        <v>2</v>
      </c>
      <c r="H745" s="34" t="s">
        <v>925</v>
      </c>
    </row>
    <row r="746" spans="1:8" ht="33">
      <c r="A746" s="160">
        <v>1</v>
      </c>
      <c r="B746" s="160" t="s">
        <v>1282</v>
      </c>
      <c r="C746" s="157" t="s">
        <v>0</v>
      </c>
      <c r="D746" s="159">
        <v>1</v>
      </c>
      <c r="E746" s="159">
        <v>3017.46</v>
      </c>
      <c r="F746" s="159">
        <v>3017.46</v>
      </c>
      <c r="G746" s="160" t="s">
        <v>2</v>
      </c>
      <c r="H746" s="34" t="s">
        <v>925</v>
      </c>
    </row>
    <row r="747" spans="1:8" ht="33">
      <c r="A747" s="160">
        <v>2</v>
      </c>
      <c r="B747" s="160" t="s">
        <v>4909</v>
      </c>
      <c r="C747" s="157" t="s">
        <v>927</v>
      </c>
      <c r="D747" s="159">
        <v>0.24</v>
      </c>
      <c r="E747" s="159">
        <v>379.5</v>
      </c>
      <c r="F747" s="159">
        <v>91.08</v>
      </c>
      <c r="G747" s="160" t="s">
        <v>2</v>
      </c>
      <c r="H747" s="34" t="s">
        <v>925</v>
      </c>
    </row>
    <row r="748" spans="1:8" ht="33">
      <c r="A748" s="160">
        <v>3</v>
      </c>
      <c r="B748" s="160" t="s">
        <v>4871</v>
      </c>
      <c r="C748" s="157" t="s">
        <v>927</v>
      </c>
      <c r="D748" s="159">
        <v>0.64</v>
      </c>
      <c r="E748" s="159">
        <v>260.08999999999997</v>
      </c>
      <c r="F748" s="159">
        <v>166.46</v>
      </c>
      <c r="G748" s="160" t="s">
        <v>2</v>
      </c>
      <c r="H748" s="34" t="s">
        <v>925</v>
      </c>
    </row>
    <row r="749" spans="1:8" ht="33">
      <c r="A749" s="160">
        <v>4</v>
      </c>
      <c r="B749" s="160" t="s">
        <v>1263</v>
      </c>
      <c r="C749" s="157" t="s">
        <v>14</v>
      </c>
      <c r="D749" s="159">
        <v>1</v>
      </c>
      <c r="E749" s="159">
        <v>12.03</v>
      </c>
      <c r="F749" s="159">
        <v>12.03</v>
      </c>
      <c r="G749" s="160" t="s">
        <v>2</v>
      </c>
      <c r="H749" s="34" t="s">
        <v>925</v>
      </c>
    </row>
    <row r="750" spans="1:8" ht="33">
      <c r="A750" s="160">
        <v>5</v>
      </c>
      <c r="B750" s="160" t="s">
        <v>1265</v>
      </c>
      <c r="C750" s="157" t="s">
        <v>14</v>
      </c>
      <c r="D750" s="159">
        <v>1</v>
      </c>
      <c r="E750" s="159">
        <v>9.26</v>
      </c>
      <c r="F750" s="159">
        <v>9.26</v>
      </c>
      <c r="G750" s="160" t="s">
        <v>2</v>
      </c>
      <c r="H750" s="34" t="s">
        <v>925</v>
      </c>
    </row>
    <row r="751" spans="1:8" ht="33">
      <c r="A751" s="160">
        <v>6</v>
      </c>
      <c r="B751" s="160" t="s">
        <v>1267</v>
      </c>
      <c r="C751" s="157" t="s">
        <v>14</v>
      </c>
      <c r="D751" s="159">
        <v>1</v>
      </c>
      <c r="E751" s="159">
        <v>34.25</v>
      </c>
      <c r="F751" s="159">
        <v>34.25</v>
      </c>
      <c r="G751" s="160" t="s">
        <v>2</v>
      </c>
      <c r="H751" s="34" t="s">
        <v>925</v>
      </c>
    </row>
    <row r="752" spans="1:8" ht="33">
      <c r="A752" s="160">
        <v>7</v>
      </c>
      <c r="B752" s="160" t="s">
        <v>931</v>
      </c>
      <c r="C752" s="157" t="s">
        <v>14</v>
      </c>
      <c r="D752" s="159">
        <v>1</v>
      </c>
      <c r="E752" s="159">
        <v>99.92</v>
      </c>
      <c r="F752" s="159">
        <v>99.92</v>
      </c>
      <c r="G752" s="160" t="s">
        <v>2</v>
      </c>
      <c r="H752" s="34" t="s">
        <v>925</v>
      </c>
    </row>
    <row r="753" spans="1:8" ht="33">
      <c r="A753" s="160"/>
      <c r="B753" s="160" t="s">
        <v>933</v>
      </c>
      <c r="C753" s="157" t="s">
        <v>0</v>
      </c>
      <c r="D753" s="159">
        <v>1</v>
      </c>
      <c r="E753" s="159"/>
      <c r="F753" s="159">
        <v>3430.4600000000005</v>
      </c>
      <c r="G753" s="160"/>
      <c r="H753" s="34" t="s">
        <v>925</v>
      </c>
    </row>
    <row r="754" spans="1:8" ht="33">
      <c r="A754" s="160"/>
      <c r="B754" s="160" t="s">
        <v>934</v>
      </c>
      <c r="C754" s="157" t="s">
        <v>0</v>
      </c>
      <c r="D754" s="159"/>
      <c r="E754" s="159"/>
      <c r="F754" s="159">
        <v>3430.46</v>
      </c>
      <c r="G754" s="160"/>
      <c r="H754" s="34" t="s">
        <v>925</v>
      </c>
    </row>
    <row r="755" spans="1:8" ht="16.5">
      <c r="A755" s="160"/>
      <c r="B755" s="160"/>
      <c r="C755" s="157"/>
      <c r="D755" s="159"/>
      <c r="E755" s="159"/>
      <c r="F755" s="159"/>
      <c r="G755" s="160"/>
    </row>
    <row r="756" spans="1:8" ht="42.75">
      <c r="A756" s="160" t="s">
        <v>1368</v>
      </c>
      <c r="B756" s="160" t="s">
        <v>16</v>
      </c>
      <c r="C756" s="157" t="s">
        <v>0</v>
      </c>
      <c r="D756" s="159">
        <v>1</v>
      </c>
      <c r="E756" s="159">
        <v>3574.67</v>
      </c>
      <c r="F756" s="159"/>
      <c r="G756" s="160" t="s">
        <v>4368</v>
      </c>
      <c r="H756" s="34" t="s">
        <v>925</v>
      </c>
    </row>
    <row r="757" spans="1:8" ht="42.75">
      <c r="A757" s="160">
        <v>1</v>
      </c>
      <c r="B757" s="160" t="s">
        <v>1285</v>
      </c>
      <c r="C757" s="157" t="s">
        <v>0</v>
      </c>
      <c r="D757" s="159">
        <v>1</v>
      </c>
      <c r="E757" s="159">
        <v>3100.77</v>
      </c>
      <c r="F757" s="159">
        <v>3100.77</v>
      </c>
      <c r="G757" s="160" t="s">
        <v>4368</v>
      </c>
      <c r="H757" s="34" t="s">
        <v>925</v>
      </c>
    </row>
    <row r="758" spans="1:8" ht="33">
      <c r="A758" s="160">
        <v>2</v>
      </c>
      <c r="B758" s="160" t="s">
        <v>4909</v>
      </c>
      <c r="C758" s="157" t="s">
        <v>927</v>
      </c>
      <c r="D758" s="159">
        <v>0.32</v>
      </c>
      <c r="E758" s="159">
        <v>379.5</v>
      </c>
      <c r="F758" s="159">
        <v>121.44</v>
      </c>
      <c r="G758" s="160" t="s">
        <v>2</v>
      </c>
      <c r="H758" s="34" t="s">
        <v>925</v>
      </c>
    </row>
    <row r="759" spans="1:8" ht="33">
      <c r="A759" s="160">
        <v>3</v>
      </c>
      <c r="B759" s="160" t="s">
        <v>4871</v>
      </c>
      <c r="C759" s="157" t="s">
        <v>927</v>
      </c>
      <c r="D759" s="159">
        <v>0.72</v>
      </c>
      <c r="E759" s="159">
        <v>260.08999999999997</v>
      </c>
      <c r="F759" s="159">
        <v>187.26</v>
      </c>
      <c r="G759" s="160" t="s">
        <v>2</v>
      </c>
      <c r="H759" s="34" t="s">
        <v>925</v>
      </c>
    </row>
    <row r="760" spans="1:8" ht="33">
      <c r="A760" s="160">
        <v>4</v>
      </c>
      <c r="B760" s="160" t="s">
        <v>1263</v>
      </c>
      <c r="C760" s="157" t="s">
        <v>14</v>
      </c>
      <c r="D760" s="159">
        <v>1</v>
      </c>
      <c r="E760" s="159">
        <v>12.03</v>
      </c>
      <c r="F760" s="159">
        <v>12.03</v>
      </c>
      <c r="G760" s="160" t="s">
        <v>2</v>
      </c>
      <c r="H760" s="34" t="s">
        <v>925</v>
      </c>
    </row>
    <row r="761" spans="1:8" ht="33">
      <c r="A761" s="160">
        <v>5</v>
      </c>
      <c r="B761" s="160" t="s">
        <v>1265</v>
      </c>
      <c r="C761" s="157" t="s">
        <v>14</v>
      </c>
      <c r="D761" s="159">
        <v>1</v>
      </c>
      <c r="E761" s="159">
        <v>12.03</v>
      </c>
      <c r="F761" s="159">
        <v>12.03</v>
      </c>
      <c r="G761" s="160" t="s">
        <v>2</v>
      </c>
      <c r="H761" s="34" t="s">
        <v>925</v>
      </c>
    </row>
    <row r="762" spans="1:8" ht="33">
      <c r="A762" s="160">
        <v>6</v>
      </c>
      <c r="B762" s="160" t="s">
        <v>1267</v>
      </c>
      <c r="C762" s="157" t="s">
        <v>14</v>
      </c>
      <c r="D762" s="159">
        <v>1</v>
      </c>
      <c r="E762" s="159">
        <v>37.020000000000003</v>
      </c>
      <c r="F762" s="159">
        <v>37.020000000000003</v>
      </c>
      <c r="G762" s="160" t="s">
        <v>2</v>
      </c>
      <c r="H762" s="34" t="s">
        <v>925</v>
      </c>
    </row>
    <row r="763" spans="1:8" ht="33">
      <c r="A763" s="160">
        <v>7</v>
      </c>
      <c r="B763" s="160" t="s">
        <v>931</v>
      </c>
      <c r="C763" s="157" t="s">
        <v>14</v>
      </c>
      <c r="D763" s="159">
        <v>1</v>
      </c>
      <c r="E763" s="159">
        <v>104.12</v>
      </c>
      <c r="F763" s="159">
        <v>104.12</v>
      </c>
      <c r="G763" s="160" t="s">
        <v>2</v>
      </c>
      <c r="H763" s="34" t="s">
        <v>925</v>
      </c>
    </row>
    <row r="764" spans="1:8" ht="33">
      <c r="A764" s="160"/>
      <c r="B764" s="160" t="s">
        <v>933</v>
      </c>
      <c r="C764" s="157" t="s">
        <v>0</v>
      </c>
      <c r="D764" s="159">
        <v>1</v>
      </c>
      <c r="E764" s="159"/>
      <c r="F764" s="159">
        <v>3574.6700000000005</v>
      </c>
      <c r="G764" s="160"/>
      <c r="H764" s="34" t="s">
        <v>925</v>
      </c>
    </row>
    <row r="765" spans="1:8" ht="33">
      <c r="A765" s="160"/>
      <c r="B765" s="160" t="s">
        <v>934</v>
      </c>
      <c r="C765" s="157" t="s">
        <v>0</v>
      </c>
      <c r="D765" s="159"/>
      <c r="E765" s="159"/>
      <c r="F765" s="159">
        <v>3574.67</v>
      </c>
      <c r="G765" s="160"/>
      <c r="H765" s="34" t="s">
        <v>925</v>
      </c>
    </row>
    <row r="766" spans="1:8" ht="33">
      <c r="A766" s="160"/>
      <c r="B766" s="160"/>
      <c r="C766" s="157"/>
      <c r="D766" s="159"/>
      <c r="E766" s="159"/>
      <c r="F766" s="159"/>
      <c r="G766" s="160"/>
      <c r="H766" s="34" t="s">
        <v>925</v>
      </c>
    </row>
    <row r="767" spans="1:8" ht="42.75">
      <c r="A767" s="160" t="s">
        <v>1371</v>
      </c>
      <c r="B767" s="160" t="s">
        <v>4509</v>
      </c>
      <c r="C767" s="157" t="s">
        <v>0</v>
      </c>
      <c r="D767" s="159">
        <v>1</v>
      </c>
      <c r="E767" s="159">
        <v>3990.67</v>
      </c>
      <c r="F767" s="159"/>
      <c r="G767" s="160" t="s">
        <v>4368</v>
      </c>
      <c r="H767" s="34" t="s">
        <v>925</v>
      </c>
    </row>
    <row r="768" spans="1:8" ht="42.75">
      <c r="A768" s="160">
        <v>1</v>
      </c>
      <c r="B768" s="160" t="s">
        <v>1285</v>
      </c>
      <c r="C768" s="157" t="s">
        <v>0</v>
      </c>
      <c r="D768" s="159">
        <v>1</v>
      </c>
      <c r="E768" s="159">
        <v>3100.77</v>
      </c>
      <c r="F768" s="159">
        <v>3100.77</v>
      </c>
      <c r="G768" s="160" t="s">
        <v>4368</v>
      </c>
    </row>
    <row r="769" spans="1:8" ht="33">
      <c r="A769" s="160">
        <v>2</v>
      </c>
      <c r="B769" s="160" t="s">
        <v>4912</v>
      </c>
      <c r="C769" s="157" t="s">
        <v>927</v>
      </c>
      <c r="D769" s="159">
        <v>0.37</v>
      </c>
      <c r="E769" s="159">
        <v>758.99</v>
      </c>
      <c r="F769" s="159">
        <v>280.83</v>
      </c>
      <c r="G769" s="160" t="s">
        <v>2</v>
      </c>
      <c r="H769" s="34" t="s">
        <v>925</v>
      </c>
    </row>
    <row r="770" spans="1:8" ht="33">
      <c r="A770" s="160">
        <v>3</v>
      </c>
      <c r="B770" s="160" t="s">
        <v>4874</v>
      </c>
      <c r="C770" s="157" t="s">
        <v>927</v>
      </c>
      <c r="D770" s="159">
        <v>0.83</v>
      </c>
      <c r="E770" s="159">
        <v>520.19000000000005</v>
      </c>
      <c r="F770" s="159">
        <v>431.76</v>
      </c>
      <c r="G770" s="160" t="s">
        <v>5436</v>
      </c>
      <c r="H770" s="34" t="s">
        <v>925</v>
      </c>
    </row>
    <row r="771" spans="1:8" ht="33">
      <c r="A771" s="160">
        <v>4</v>
      </c>
      <c r="B771" s="160" t="s">
        <v>1263</v>
      </c>
      <c r="C771" s="157" t="s">
        <v>14</v>
      </c>
      <c r="D771" s="159">
        <v>1</v>
      </c>
      <c r="E771" s="159">
        <v>12.03</v>
      </c>
      <c r="F771" s="159">
        <v>12.03</v>
      </c>
      <c r="G771" s="160" t="s">
        <v>2</v>
      </c>
      <c r="H771" s="34" t="s">
        <v>925</v>
      </c>
    </row>
    <row r="772" spans="1:8" ht="33">
      <c r="A772" s="160">
        <v>5</v>
      </c>
      <c r="B772" s="160" t="s">
        <v>1265</v>
      </c>
      <c r="C772" s="157" t="s">
        <v>14</v>
      </c>
      <c r="D772" s="159">
        <v>1</v>
      </c>
      <c r="E772" s="159">
        <v>12.03</v>
      </c>
      <c r="F772" s="159">
        <v>12.03</v>
      </c>
      <c r="G772" s="160" t="s">
        <v>2</v>
      </c>
      <c r="H772" s="34" t="s">
        <v>925</v>
      </c>
    </row>
    <row r="773" spans="1:8" ht="33">
      <c r="A773" s="160">
        <v>6</v>
      </c>
      <c r="B773" s="160" t="s">
        <v>1267</v>
      </c>
      <c r="C773" s="157" t="s">
        <v>14</v>
      </c>
      <c r="D773" s="159">
        <v>1</v>
      </c>
      <c r="E773" s="159">
        <v>37.020000000000003</v>
      </c>
      <c r="F773" s="159">
        <v>37.020000000000003</v>
      </c>
      <c r="G773" s="160" t="s">
        <v>2</v>
      </c>
      <c r="H773" s="34" t="s">
        <v>925</v>
      </c>
    </row>
    <row r="774" spans="1:8" ht="33">
      <c r="A774" s="160">
        <v>7</v>
      </c>
      <c r="B774" s="160" t="s">
        <v>931</v>
      </c>
      <c r="C774" s="157" t="s">
        <v>14</v>
      </c>
      <c r="D774" s="159">
        <v>1</v>
      </c>
      <c r="E774" s="159">
        <v>116.23</v>
      </c>
      <c r="F774" s="159">
        <v>116.23</v>
      </c>
      <c r="G774" s="160" t="s">
        <v>2</v>
      </c>
      <c r="H774" s="34" t="s">
        <v>925</v>
      </c>
    </row>
    <row r="775" spans="1:8" ht="33">
      <c r="A775" s="160"/>
      <c r="B775" s="160" t="s">
        <v>933</v>
      </c>
      <c r="C775" s="157" t="s">
        <v>0</v>
      </c>
      <c r="D775" s="159">
        <v>1</v>
      </c>
      <c r="E775" s="159"/>
      <c r="F775" s="159">
        <v>3990.67</v>
      </c>
      <c r="G775" s="160"/>
      <c r="H775" s="34" t="s">
        <v>925</v>
      </c>
    </row>
    <row r="776" spans="1:8" ht="33">
      <c r="A776" s="160"/>
      <c r="B776" s="160" t="s">
        <v>934</v>
      </c>
      <c r="C776" s="157" t="s">
        <v>0</v>
      </c>
      <c r="D776" s="159"/>
      <c r="E776" s="159"/>
      <c r="F776" s="159">
        <v>3990.67</v>
      </c>
      <c r="G776" s="160"/>
      <c r="H776" s="34" t="s">
        <v>925</v>
      </c>
    </row>
    <row r="777" spans="1:8" ht="33">
      <c r="A777" s="160"/>
      <c r="B777" s="160"/>
      <c r="C777" s="157"/>
      <c r="D777" s="159"/>
      <c r="E777" s="159"/>
      <c r="F777" s="159"/>
      <c r="G777" s="160"/>
      <c r="H777" s="34" t="s">
        <v>925</v>
      </c>
    </row>
    <row r="778" spans="1:8" ht="33">
      <c r="A778" s="160" t="s">
        <v>1374</v>
      </c>
      <c r="B778" s="160" t="s">
        <v>1287</v>
      </c>
      <c r="C778" s="157" t="s">
        <v>0</v>
      </c>
      <c r="D778" s="159">
        <v>1</v>
      </c>
      <c r="E778" s="159">
        <v>3824.73</v>
      </c>
      <c r="F778" s="159"/>
      <c r="G778" s="160" t="s">
        <v>2</v>
      </c>
      <c r="H778" s="34" t="s">
        <v>925</v>
      </c>
    </row>
    <row r="779" spans="1:8" ht="33">
      <c r="A779" s="160">
        <v>1</v>
      </c>
      <c r="B779" s="160" t="s">
        <v>1289</v>
      </c>
      <c r="C779" s="157" t="s">
        <v>0</v>
      </c>
      <c r="D779" s="159">
        <v>1</v>
      </c>
      <c r="E779" s="159">
        <v>3285.89</v>
      </c>
      <c r="F779" s="159">
        <v>3285.89</v>
      </c>
      <c r="G779" s="160" t="s">
        <v>2</v>
      </c>
      <c r="H779" s="34" t="s">
        <v>925</v>
      </c>
    </row>
    <row r="780" spans="1:8" ht="16.5">
      <c r="A780" s="160">
        <v>2</v>
      </c>
      <c r="B780" s="160" t="s">
        <v>4909</v>
      </c>
      <c r="C780" s="157" t="s">
        <v>927</v>
      </c>
      <c r="D780" s="159">
        <v>0.4</v>
      </c>
      <c r="E780" s="159">
        <v>379.5</v>
      </c>
      <c r="F780" s="159">
        <v>151.80000000000001</v>
      </c>
      <c r="G780" s="160" t="s">
        <v>2</v>
      </c>
    </row>
    <row r="781" spans="1:8" ht="33">
      <c r="A781" s="160">
        <v>3</v>
      </c>
      <c r="B781" s="160" t="s">
        <v>4871</v>
      </c>
      <c r="C781" s="157" t="s">
        <v>927</v>
      </c>
      <c r="D781" s="159">
        <v>0.8</v>
      </c>
      <c r="E781" s="159">
        <v>260.08999999999997</v>
      </c>
      <c r="F781" s="159">
        <v>208.07</v>
      </c>
      <c r="G781" s="160" t="s">
        <v>2</v>
      </c>
      <c r="H781" s="34" t="s">
        <v>925</v>
      </c>
    </row>
    <row r="782" spans="1:8" ht="33">
      <c r="A782" s="160">
        <v>4</v>
      </c>
      <c r="B782" s="160" t="s">
        <v>1263</v>
      </c>
      <c r="C782" s="157" t="s">
        <v>14</v>
      </c>
      <c r="D782" s="159">
        <v>1</v>
      </c>
      <c r="E782" s="159">
        <v>12.03</v>
      </c>
      <c r="F782" s="159">
        <v>12.03</v>
      </c>
      <c r="G782" s="160" t="s">
        <v>2</v>
      </c>
      <c r="H782" s="34" t="s">
        <v>925</v>
      </c>
    </row>
    <row r="783" spans="1:8" ht="33">
      <c r="A783" s="160">
        <v>5</v>
      </c>
      <c r="B783" s="160" t="s">
        <v>1265</v>
      </c>
      <c r="C783" s="157" t="s">
        <v>14</v>
      </c>
      <c r="D783" s="159">
        <v>1</v>
      </c>
      <c r="E783" s="159">
        <v>9.26</v>
      </c>
      <c r="F783" s="159">
        <v>9.26</v>
      </c>
      <c r="G783" s="160" t="s">
        <v>2</v>
      </c>
      <c r="H783" s="34" t="s">
        <v>925</v>
      </c>
    </row>
    <row r="784" spans="1:8" ht="33">
      <c r="A784" s="160">
        <v>6</v>
      </c>
      <c r="B784" s="160" t="s">
        <v>1267</v>
      </c>
      <c r="C784" s="157" t="s">
        <v>14</v>
      </c>
      <c r="D784" s="159">
        <v>1</v>
      </c>
      <c r="E784" s="159">
        <v>46.28</v>
      </c>
      <c r="F784" s="159">
        <v>46.28</v>
      </c>
      <c r="G784" s="160" t="s">
        <v>2</v>
      </c>
      <c r="H784" s="34" t="s">
        <v>925</v>
      </c>
    </row>
    <row r="785" spans="1:8" ht="33">
      <c r="A785" s="160">
        <v>7</v>
      </c>
      <c r="B785" s="160" t="s">
        <v>931</v>
      </c>
      <c r="C785" s="157" t="s">
        <v>14</v>
      </c>
      <c r="D785" s="159">
        <v>1</v>
      </c>
      <c r="E785" s="159">
        <v>111.4</v>
      </c>
      <c r="F785" s="159">
        <v>111.4</v>
      </c>
      <c r="G785" s="160" t="s">
        <v>2</v>
      </c>
      <c r="H785" s="34" t="s">
        <v>925</v>
      </c>
    </row>
    <row r="786" spans="1:8" ht="33">
      <c r="A786" s="160"/>
      <c r="B786" s="160" t="s">
        <v>933</v>
      </c>
      <c r="C786" s="157" t="s">
        <v>0</v>
      </c>
      <c r="D786" s="159">
        <v>1</v>
      </c>
      <c r="E786" s="159"/>
      <c r="F786" s="159">
        <v>3824.7300000000009</v>
      </c>
      <c r="G786" s="160"/>
      <c r="H786" s="34" t="s">
        <v>925</v>
      </c>
    </row>
    <row r="787" spans="1:8" ht="33">
      <c r="A787" s="160"/>
      <c r="B787" s="160" t="s">
        <v>934</v>
      </c>
      <c r="C787" s="157" t="s">
        <v>0</v>
      </c>
      <c r="D787" s="159"/>
      <c r="E787" s="159"/>
      <c r="F787" s="159">
        <v>3824.73</v>
      </c>
      <c r="G787" s="160"/>
      <c r="H787" s="34" t="s">
        <v>925</v>
      </c>
    </row>
    <row r="788" spans="1:8" ht="33">
      <c r="A788" s="160"/>
      <c r="B788" s="160"/>
      <c r="C788" s="157"/>
      <c r="D788" s="159"/>
      <c r="E788" s="159"/>
      <c r="F788" s="159"/>
      <c r="G788" s="160"/>
      <c r="H788" s="34" t="s">
        <v>925</v>
      </c>
    </row>
    <row r="789" spans="1:8" ht="42.75">
      <c r="A789" s="160" t="s">
        <v>1377</v>
      </c>
      <c r="B789" s="160" t="s">
        <v>1292</v>
      </c>
      <c r="C789" s="157" t="s">
        <v>0</v>
      </c>
      <c r="D789" s="159">
        <v>1</v>
      </c>
      <c r="E789" s="159">
        <v>4068.69</v>
      </c>
      <c r="F789" s="159"/>
      <c r="G789" s="160" t="s">
        <v>4369</v>
      </c>
      <c r="H789" s="34" t="s">
        <v>925</v>
      </c>
    </row>
    <row r="790" spans="1:8" ht="33">
      <c r="A790" s="160">
        <v>1</v>
      </c>
      <c r="B790" s="160" t="s">
        <v>1294</v>
      </c>
      <c r="C790" s="157" t="s">
        <v>1295</v>
      </c>
      <c r="D790" s="159">
        <v>4.5</v>
      </c>
      <c r="E790" s="159">
        <v>154.58000000000001</v>
      </c>
      <c r="F790" s="159">
        <v>695.61</v>
      </c>
      <c r="G790" s="160" t="s">
        <v>2</v>
      </c>
      <c r="H790" s="34" t="s">
        <v>925</v>
      </c>
    </row>
    <row r="791" spans="1:8" ht="33">
      <c r="A791" s="160">
        <v>2</v>
      </c>
      <c r="B791" s="160" t="s">
        <v>1297</v>
      </c>
      <c r="C791" s="157" t="s">
        <v>1121</v>
      </c>
      <c r="D791" s="159">
        <v>0.75</v>
      </c>
      <c r="E791" s="159">
        <v>661.81</v>
      </c>
      <c r="F791" s="159">
        <v>496.36</v>
      </c>
      <c r="G791" s="160" t="s">
        <v>2</v>
      </c>
      <c r="H791" s="34" t="s">
        <v>925</v>
      </c>
    </row>
    <row r="792" spans="1:8" ht="16.5">
      <c r="A792" s="160">
        <v>3</v>
      </c>
      <c r="B792" s="160" t="s">
        <v>1299</v>
      </c>
      <c r="C792" s="157" t="s">
        <v>1121</v>
      </c>
      <c r="D792" s="159">
        <v>0.53</v>
      </c>
      <c r="E792" s="159">
        <v>673.84</v>
      </c>
      <c r="F792" s="159">
        <v>357.14</v>
      </c>
      <c r="G792" s="160" t="s">
        <v>2</v>
      </c>
    </row>
    <row r="793" spans="1:8" ht="33">
      <c r="A793" s="160">
        <v>4</v>
      </c>
      <c r="B793" s="160" t="s">
        <v>1301</v>
      </c>
      <c r="C793" s="157" t="s">
        <v>927</v>
      </c>
      <c r="D793" s="159">
        <v>0.24</v>
      </c>
      <c r="E793" s="159">
        <v>371.17</v>
      </c>
      <c r="F793" s="159">
        <v>89.08</v>
      </c>
      <c r="G793" s="160" t="s">
        <v>2</v>
      </c>
      <c r="H793" s="34" t="s">
        <v>925</v>
      </c>
    </row>
    <row r="794" spans="1:8" ht="33">
      <c r="A794" s="160">
        <v>5</v>
      </c>
      <c r="B794" s="160" t="s">
        <v>1261</v>
      </c>
      <c r="C794" s="157" t="s">
        <v>927</v>
      </c>
      <c r="D794" s="159">
        <v>0.24</v>
      </c>
      <c r="E794" s="159">
        <v>371.17</v>
      </c>
      <c r="F794" s="159">
        <v>89.08</v>
      </c>
      <c r="G794" s="160" t="s">
        <v>2</v>
      </c>
      <c r="H794" s="34" t="s">
        <v>925</v>
      </c>
    </row>
    <row r="795" spans="1:8" ht="33">
      <c r="A795" s="160">
        <v>6</v>
      </c>
      <c r="B795" s="160" t="s">
        <v>4871</v>
      </c>
      <c r="C795" s="157" t="s">
        <v>927</v>
      </c>
      <c r="D795" s="159">
        <v>3.6</v>
      </c>
      <c r="E795" s="159">
        <v>260.08999999999997</v>
      </c>
      <c r="F795" s="159">
        <v>936.32</v>
      </c>
      <c r="G795" s="160" t="s">
        <v>5435</v>
      </c>
      <c r="H795" s="34" t="s">
        <v>925</v>
      </c>
    </row>
    <row r="796" spans="1:8" ht="33">
      <c r="A796" s="160">
        <v>7</v>
      </c>
      <c r="B796" s="160" t="s">
        <v>1265</v>
      </c>
      <c r="C796" s="157" t="s">
        <v>14</v>
      </c>
      <c r="D796" s="159">
        <v>1</v>
      </c>
      <c r="E796" s="159">
        <v>9.26</v>
      </c>
      <c r="F796" s="159">
        <v>9.26</v>
      </c>
      <c r="G796" s="160" t="s">
        <v>2</v>
      </c>
      <c r="H796" s="34" t="s">
        <v>925</v>
      </c>
    </row>
    <row r="797" spans="1:8" ht="33">
      <c r="A797" s="160">
        <v>8</v>
      </c>
      <c r="B797" s="160" t="s">
        <v>1303</v>
      </c>
      <c r="C797" s="157" t="s">
        <v>14</v>
      </c>
      <c r="D797" s="159">
        <v>1</v>
      </c>
      <c r="E797" s="159">
        <v>1277.33</v>
      </c>
      <c r="F797" s="159">
        <v>1277.33</v>
      </c>
      <c r="G797" s="160" t="s">
        <v>2</v>
      </c>
      <c r="H797" s="34" t="s">
        <v>925</v>
      </c>
    </row>
    <row r="798" spans="1:8" ht="33">
      <c r="A798" s="160">
        <v>9</v>
      </c>
      <c r="B798" s="160" t="s">
        <v>931</v>
      </c>
      <c r="C798" s="157" t="s">
        <v>14</v>
      </c>
      <c r="D798" s="159">
        <v>1</v>
      </c>
      <c r="E798" s="159">
        <v>118.51</v>
      </c>
      <c r="F798" s="159">
        <v>118.51</v>
      </c>
      <c r="G798" s="160" t="s">
        <v>2</v>
      </c>
      <c r="H798" s="34" t="s">
        <v>925</v>
      </c>
    </row>
    <row r="799" spans="1:8" ht="33">
      <c r="A799" s="160"/>
      <c r="B799" s="160" t="s">
        <v>933</v>
      </c>
      <c r="C799" s="157" t="s">
        <v>0</v>
      </c>
      <c r="D799" s="159">
        <v>1</v>
      </c>
      <c r="E799" s="159"/>
      <c r="F799" s="159">
        <v>4068.6900000000005</v>
      </c>
      <c r="G799" s="160"/>
      <c r="H799" s="34" t="s">
        <v>925</v>
      </c>
    </row>
    <row r="800" spans="1:8" ht="33">
      <c r="A800" s="160"/>
      <c r="B800" s="160" t="s">
        <v>934</v>
      </c>
      <c r="C800" s="157" t="s">
        <v>0</v>
      </c>
      <c r="D800" s="159"/>
      <c r="E800" s="159"/>
      <c r="F800" s="159">
        <v>4068.69</v>
      </c>
      <c r="G800" s="160"/>
      <c r="H800" s="34" t="s">
        <v>925</v>
      </c>
    </row>
    <row r="801" spans="1:8" ht="16.5">
      <c r="A801" s="160"/>
      <c r="B801" s="160"/>
      <c r="C801" s="157"/>
      <c r="D801" s="159"/>
      <c r="E801" s="159"/>
      <c r="F801" s="159"/>
      <c r="G801" s="160"/>
    </row>
    <row r="802" spans="1:8" ht="42.75">
      <c r="A802" s="160" t="s">
        <v>1380</v>
      </c>
      <c r="B802" s="160" t="s">
        <v>1306</v>
      </c>
      <c r="C802" s="157" t="s">
        <v>0</v>
      </c>
      <c r="D802" s="159">
        <v>1</v>
      </c>
      <c r="E802" s="159">
        <v>4214.1400000000003</v>
      </c>
      <c r="F802" s="159"/>
      <c r="G802" s="160" t="s">
        <v>4369</v>
      </c>
      <c r="H802" s="34" t="s">
        <v>925</v>
      </c>
    </row>
    <row r="803" spans="1:8" ht="33">
      <c r="A803" s="160">
        <v>1</v>
      </c>
      <c r="B803" s="160" t="s">
        <v>1294</v>
      </c>
      <c r="C803" s="157" t="s">
        <v>1295</v>
      </c>
      <c r="D803" s="159">
        <v>5.5</v>
      </c>
      <c r="E803" s="159">
        <v>154.58000000000001</v>
      </c>
      <c r="F803" s="159">
        <v>850.19</v>
      </c>
      <c r="G803" s="160" t="s">
        <v>2</v>
      </c>
      <c r="H803" s="34" t="s">
        <v>925</v>
      </c>
    </row>
    <row r="804" spans="1:8" ht="33">
      <c r="A804" s="160">
        <v>2</v>
      </c>
      <c r="B804" s="160" t="s">
        <v>1297</v>
      </c>
      <c r="C804" s="157" t="s">
        <v>1121</v>
      </c>
      <c r="D804" s="159">
        <v>0.74</v>
      </c>
      <c r="E804" s="159">
        <v>661.81</v>
      </c>
      <c r="F804" s="159">
        <v>489.74</v>
      </c>
      <c r="G804" s="160" t="s">
        <v>2</v>
      </c>
      <c r="H804" s="34" t="s">
        <v>925</v>
      </c>
    </row>
    <row r="805" spans="1:8" ht="33">
      <c r="A805" s="160">
        <v>3</v>
      </c>
      <c r="B805" s="160" t="s">
        <v>1299</v>
      </c>
      <c r="C805" s="157" t="s">
        <v>1121</v>
      </c>
      <c r="D805" s="159">
        <v>0.52</v>
      </c>
      <c r="E805" s="159">
        <v>673.84</v>
      </c>
      <c r="F805" s="159">
        <v>350.4</v>
      </c>
      <c r="G805" s="160" t="s">
        <v>2</v>
      </c>
      <c r="H805" s="34" t="s">
        <v>925</v>
      </c>
    </row>
    <row r="806" spans="1:8" ht="33">
      <c r="A806" s="160">
        <v>4</v>
      </c>
      <c r="B806" s="160" t="s">
        <v>1301</v>
      </c>
      <c r="C806" s="157" t="s">
        <v>927</v>
      </c>
      <c r="D806" s="159">
        <v>0.24</v>
      </c>
      <c r="E806" s="159">
        <v>371.17</v>
      </c>
      <c r="F806" s="159">
        <v>89.08</v>
      </c>
      <c r="G806" s="160" t="s">
        <v>2</v>
      </c>
      <c r="H806" s="34" t="s">
        <v>925</v>
      </c>
    </row>
    <row r="807" spans="1:8" ht="33">
      <c r="A807" s="160">
        <v>5</v>
      </c>
      <c r="B807" s="160" t="s">
        <v>1261</v>
      </c>
      <c r="C807" s="157" t="s">
        <v>927</v>
      </c>
      <c r="D807" s="159">
        <v>0.24</v>
      </c>
      <c r="E807" s="159">
        <v>371.17</v>
      </c>
      <c r="F807" s="159">
        <v>89.08</v>
      </c>
      <c r="G807" s="160" t="s">
        <v>2</v>
      </c>
      <c r="H807" s="34" t="s">
        <v>925</v>
      </c>
    </row>
    <row r="808" spans="1:8" ht="33">
      <c r="A808" s="160">
        <v>6</v>
      </c>
      <c r="B808" s="160" t="s">
        <v>4871</v>
      </c>
      <c r="C808" s="157" t="s">
        <v>927</v>
      </c>
      <c r="D808" s="159">
        <v>3.6</v>
      </c>
      <c r="E808" s="159">
        <v>260.08999999999997</v>
      </c>
      <c r="F808" s="159">
        <v>936.32</v>
      </c>
      <c r="G808" s="160" t="s">
        <v>5435</v>
      </c>
      <c r="H808" s="34" t="s">
        <v>925</v>
      </c>
    </row>
    <row r="809" spans="1:8" ht="33">
      <c r="A809" s="160">
        <v>7</v>
      </c>
      <c r="B809" s="160" t="s">
        <v>1265</v>
      </c>
      <c r="C809" s="157" t="s">
        <v>14</v>
      </c>
      <c r="D809" s="159">
        <v>1</v>
      </c>
      <c r="E809" s="159">
        <v>9.26</v>
      </c>
      <c r="F809" s="159">
        <v>9.26</v>
      </c>
      <c r="G809" s="160" t="s">
        <v>2</v>
      </c>
      <c r="H809" s="34" t="s">
        <v>925</v>
      </c>
    </row>
    <row r="810" spans="1:8" ht="28.5">
      <c r="A810" s="160">
        <v>8</v>
      </c>
      <c r="B810" s="160" t="s">
        <v>1303</v>
      </c>
      <c r="C810" s="157" t="s">
        <v>14</v>
      </c>
      <c r="D810" s="159">
        <v>1</v>
      </c>
      <c r="E810" s="159">
        <v>1277.33</v>
      </c>
      <c r="F810" s="159">
        <v>1277.33</v>
      </c>
      <c r="G810" s="160" t="s">
        <v>2</v>
      </c>
    </row>
    <row r="811" spans="1:8" ht="33">
      <c r="A811" s="160">
        <v>9</v>
      </c>
      <c r="B811" s="160" t="s">
        <v>931</v>
      </c>
      <c r="C811" s="157" t="s">
        <v>14</v>
      </c>
      <c r="D811" s="159">
        <v>1</v>
      </c>
      <c r="E811" s="159">
        <v>122.74</v>
      </c>
      <c r="F811" s="159">
        <v>122.74</v>
      </c>
      <c r="G811" s="160" t="s">
        <v>2</v>
      </c>
      <c r="H811" s="34" t="s">
        <v>925</v>
      </c>
    </row>
    <row r="812" spans="1:8" ht="33">
      <c r="A812" s="160"/>
      <c r="B812" s="160" t="s">
        <v>933</v>
      </c>
      <c r="C812" s="157" t="s">
        <v>0</v>
      </c>
      <c r="D812" s="159">
        <v>1</v>
      </c>
      <c r="E812" s="159"/>
      <c r="F812" s="159">
        <v>4214.1400000000003</v>
      </c>
      <c r="G812" s="160"/>
      <c r="H812" s="34" t="s">
        <v>925</v>
      </c>
    </row>
    <row r="813" spans="1:8" ht="33">
      <c r="A813" s="160"/>
      <c r="B813" s="160" t="s">
        <v>934</v>
      </c>
      <c r="C813" s="157" t="s">
        <v>0</v>
      </c>
      <c r="D813" s="159"/>
      <c r="E813" s="159"/>
      <c r="F813" s="159">
        <v>4214.1400000000003</v>
      </c>
      <c r="G813" s="160"/>
      <c r="H813" s="34" t="s">
        <v>925</v>
      </c>
    </row>
    <row r="814" spans="1:8" ht="33">
      <c r="A814" s="160"/>
      <c r="B814" s="160"/>
      <c r="C814" s="157"/>
      <c r="D814" s="159"/>
      <c r="E814" s="159"/>
      <c r="F814" s="159"/>
      <c r="G814" s="160"/>
      <c r="H814" s="34" t="s">
        <v>925</v>
      </c>
    </row>
    <row r="815" spans="1:8" ht="42.75">
      <c r="A815" s="160" t="s">
        <v>1383</v>
      </c>
      <c r="B815" s="160" t="s">
        <v>1309</v>
      </c>
      <c r="C815" s="157" t="s">
        <v>0</v>
      </c>
      <c r="D815" s="159">
        <v>1</v>
      </c>
      <c r="E815" s="159">
        <v>4366.54</v>
      </c>
      <c r="F815" s="159"/>
      <c r="G815" s="160" t="s">
        <v>4369</v>
      </c>
      <c r="H815" s="34" t="s">
        <v>925</v>
      </c>
    </row>
    <row r="816" spans="1:8" ht="33">
      <c r="A816" s="160">
        <v>1</v>
      </c>
      <c r="B816" s="160" t="s">
        <v>1294</v>
      </c>
      <c r="C816" s="157" t="s">
        <v>1295</v>
      </c>
      <c r="D816" s="159">
        <v>6.5</v>
      </c>
      <c r="E816" s="159">
        <v>154.58000000000001</v>
      </c>
      <c r="F816" s="159">
        <v>1004.77</v>
      </c>
      <c r="G816" s="160" t="s">
        <v>2</v>
      </c>
      <c r="H816" s="34" t="s">
        <v>925</v>
      </c>
    </row>
    <row r="817" spans="1:8" ht="33">
      <c r="A817" s="160">
        <v>2</v>
      </c>
      <c r="B817" s="160" t="s">
        <v>1297</v>
      </c>
      <c r="C817" s="157" t="s">
        <v>1121</v>
      </c>
      <c r="D817" s="159">
        <v>0.73</v>
      </c>
      <c r="E817" s="159">
        <v>661.81</v>
      </c>
      <c r="F817" s="159">
        <v>483.12</v>
      </c>
      <c r="G817" s="160" t="s">
        <v>2</v>
      </c>
      <c r="H817" s="34" t="s">
        <v>925</v>
      </c>
    </row>
    <row r="818" spans="1:8" ht="33">
      <c r="A818" s="160">
        <v>3</v>
      </c>
      <c r="B818" s="160" t="s">
        <v>1299</v>
      </c>
      <c r="C818" s="157" t="s">
        <v>1121</v>
      </c>
      <c r="D818" s="159">
        <v>0.52</v>
      </c>
      <c r="E818" s="159">
        <v>673.84</v>
      </c>
      <c r="F818" s="159">
        <v>350.4</v>
      </c>
      <c r="G818" s="160" t="s">
        <v>2</v>
      </c>
      <c r="H818" s="34" t="s">
        <v>925</v>
      </c>
    </row>
    <row r="819" spans="1:8" ht="16.5">
      <c r="A819" s="160">
        <v>4</v>
      </c>
      <c r="B819" s="160" t="s">
        <v>1301</v>
      </c>
      <c r="C819" s="157" t="s">
        <v>927</v>
      </c>
      <c r="D819" s="159">
        <v>0.24</v>
      </c>
      <c r="E819" s="159">
        <v>371.17</v>
      </c>
      <c r="F819" s="159">
        <v>89.08</v>
      </c>
      <c r="G819" s="160" t="s">
        <v>2</v>
      </c>
    </row>
    <row r="820" spans="1:8" ht="33">
      <c r="A820" s="160">
        <v>5</v>
      </c>
      <c r="B820" s="160" t="s">
        <v>1261</v>
      </c>
      <c r="C820" s="157" t="s">
        <v>927</v>
      </c>
      <c r="D820" s="159">
        <v>0.24</v>
      </c>
      <c r="E820" s="159">
        <v>371.17</v>
      </c>
      <c r="F820" s="159">
        <v>89.08</v>
      </c>
      <c r="G820" s="160" t="s">
        <v>2</v>
      </c>
      <c r="H820" s="34" t="s">
        <v>925</v>
      </c>
    </row>
    <row r="821" spans="1:8" ht="33">
      <c r="A821" s="160">
        <v>6</v>
      </c>
      <c r="B821" s="160" t="s">
        <v>4871</v>
      </c>
      <c r="C821" s="157" t="s">
        <v>927</v>
      </c>
      <c r="D821" s="159">
        <v>3.6</v>
      </c>
      <c r="E821" s="159">
        <v>260.08999999999997</v>
      </c>
      <c r="F821" s="159">
        <v>936.32</v>
      </c>
      <c r="G821" s="160" t="s">
        <v>5435</v>
      </c>
      <c r="H821" s="34" t="s">
        <v>925</v>
      </c>
    </row>
    <row r="822" spans="1:8" ht="33">
      <c r="A822" s="160">
        <v>7</v>
      </c>
      <c r="B822" s="160" t="s">
        <v>1265</v>
      </c>
      <c r="C822" s="157" t="s">
        <v>14</v>
      </c>
      <c r="D822" s="159">
        <v>1</v>
      </c>
      <c r="E822" s="159">
        <v>9.26</v>
      </c>
      <c r="F822" s="159">
        <v>9.26</v>
      </c>
      <c r="G822" s="160" t="s">
        <v>2</v>
      </c>
      <c r="H822" s="34" t="s">
        <v>925</v>
      </c>
    </row>
    <row r="823" spans="1:8" ht="33">
      <c r="A823" s="160">
        <v>8</v>
      </c>
      <c r="B823" s="160" t="s">
        <v>1303</v>
      </c>
      <c r="C823" s="157" t="s">
        <v>14</v>
      </c>
      <c r="D823" s="159">
        <v>1</v>
      </c>
      <c r="E823" s="159">
        <v>1277.33</v>
      </c>
      <c r="F823" s="159">
        <v>1277.33</v>
      </c>
      <c r="G823" s="160" t="s">
        <v>2</v>
      </c>
      <c r="H823" s="34" t="s">
        <v>925</v>
      </c>
    </row>
    <row r="824" spans="1:8" ht="33">
      <c r="A824" s="160">
        <v>9</v>
      </c>
      <c r="B824" s="160" t="s">
        <v>931</v>
      </c>
      <c r="C824" s="157" t="s">
        <v>14</v>
      </c>
      <c r="D824" s="159">
        <v>1</v>
      </c>
      <c r="E824" s="159">
        <v>127.18</v>
      </c>
      <c r="F824" s="159">
        <v>127.18</v>
      </c>
      <c r="G824" s="160" t="s">
        <v>2</v>
      </c>
      <c r="H824" s="34" t="s">
        <v>925</v>
      </c>
    </row>
    <row r="825" spans="1:8" ht="33">
      <c r="A825" s="160"/>
      <c r="B825" s="160" t="s">
        <v>933</v>
      </c>
      <c r="C825" s="157" t="s">
        <v>0</v>
      </c>
      <c r="D825" s="159">
        <v>1</v>
      </c>
      <c r="E825" s="159"/>
      <c r="F825" s="159">
        <v>4366.5400000000009</v>
      </c>
      <c r="G825" s="160"/>
      <c r="H825" s="34" t="s">
        <v>925</v>
      </c>
    </row>
    <row r="826" spans="1:8" ht="33">
      <c r="A826" s="160"/>
      <c r="B826" s="160" t="s">
        <v>934</v>
      </c>
      <c r="C826" s="157" t="s">
        <v>0</v>
      </c>
      <c r="D826" s="159"/>
      <c r="E826" s="159"/>
      <c r="F826" s="159">
        <v>4366.54</v>
      </c>
      <c r="G826" s="160"/>
      <c r="H826" s="34" t="s">
        <v>925</v>
      </c>
    </row>
    <row r="827" spans="1:8" ht="33">
      <c r="A827" s="160"/>
      <c r="B827" s="160"/>
      <c r="C827" s="157"/>
      <c r="D827" s="159"/>
      <c r="E827" s="159"/>
      <c r="F827" s="159"/>
      <c r="G827" s="160"/>
      <c r="H827" s="34" t="s">
        <v>925</v>
      </c>
    </row>
    <row r="828" spans="1:8" ht="42.75">
      <c r="A828" s="160" t="s">
        <v>1386</v>
      </c>
      <c r="B828" s="160" t="s">
        <v>1312</v>
      </c>
      <c r="C828" s="157" t="s">
        <v>0</v>
      </c>
      <c r="D828" s="159">
        <v>1</v>
      </c>
      <c r="E828" s="159">
        <v>4439.33</v>
      </c>
      <c r="F828" s="159"/>
      <c r="G828" s="160" t="s">
        <v>4369</v>
      </c>
    </row>
    <row r="829" spans="1:8" ht="33">
      <c r="A829" s="160">
        <v>1</v>
      </c>
      <c r="B829" s="160" t="s">
        <v>1294</v>
      </c>
      <c r="C829" s="157" t="s">
        <v>1295</v>
      </c>
      <c r="D829" s="159">
        <v>7</v>
      </c>
      <c r="E829" s="159">
        <v>154.58000000000001</v>
      </c>
      <c r="F829" s="159">
        <v>1082.06</v>
      </c>
      <c r="G829" s="160" t="s">
        <v>2</v>
      </c>
      <c r="H829" s="34" t="s">
        <v>925</v>
      </c>
    </row>
    <row r="830" spans="1:8" ht="33">
      <c r="A830" s="160">
        <v>2</v>
      </c>
      <c r="B830" s="160" t="s">
        <v>1297</v>
      </c>
      <c r="C830" s="157" t="s">
        <v>1121</v>
      </c>
      <c r="D830" s="159">
        <v>0.72</v>
      </c>
      <c r="E830" s="159">
        <v>661.81</v>
      </c>
      <c r="F830" s="159">
        <v>476.5</v>
      </c>
      <c r="G830" s="160" t="s">
        <v>2</v>
      </c>
      <c r="H830" s="34" t="s">
        <v>925</v>
      </c>
    </row>
    <row r="831" spans="1:8" ht="33">
      <c r="A831" s="160">
        <v>3</v>
      </c>
      <c r="B831" s="160" t="s">
        <v>1299</v>
      </c>
      <c r="C831" s="157" t="s">
        <v>1121</v>
      </c>
      <c r="D831" s="159">
        <v>0.52</v>
      </c>
      <c r="E831" s="159">
        <v>673.84</v>
      </c>
      <c r="F831" s="159">
        <v>350.4</v>
      </c>
      <c r="G831" s="160" t="s">
        <v>2</v>
      </c>
      <c r="H831" s="34" t="s">
        <v>925</v>
      </c>
    </row>
    <row r="832" spans="1:8" ht="33">
      <c r="A832" s="160">
        <v>4</v>
      </c>
      <c r="B832" s="160" t="s">
        <v>1301</v>
      </c>
      <c r="C832" s="157" t="s">
        <v>927</v>
      </c>
      <c r="D832" s="159">
        <v>0.24</v>
      </c>
      <c r="E832" s="159">
        <v>371.17</v>
      </c>
      <c r="F832" s="159">
        <v>89.08</v>
      </c>
      <c r="G832" s="160" t="s">
        <v>2</v>
      </c>
      <c r="H832" s="34" t="s">
        <v>925</v>
      </c>
    </row>
    <row r="833" spans="1:8" ht="33">
      <c r="A833" s="160">
        <v>5</v>
      </c>
      <c r="B833" s="160" t="s">
        <v>1261</v>
      </c>
      <c r="C833" s="157" t="s">
        <v>927</v>
      </c>
      <c r="D833" s="159">
        <v>0.24</v>
      </c>
      <c r="E833" s="159">
        <v>371.17</v>
      </c>
      <c r="F833" s="159">
        <v>89.08</v>
      </c>
      <c r="G833" s="160" t="s">
        <v>2</v>
      </c>
      <c r="H833" s="34" t="s">
        <v>925</v>
      </c>
    </row>
    <row r="834" spans="1:8" ht="33">
      <c r="A834" s="160">
        <v>6</v>
      </c>
      <c r="B834" s="160" t="s">
        <v>4871</v>
      </c>
      <c r="C834" s="157" t="s">
        <v>927</v>
      </c>
      <c r="D834" s="159">
        <v>3.6</v>
      </c>
      <c r="E834" s="159">
        <v>260.08999999999997</v>
      </c>
      <c r="F834" s="159">
        <v>936.32</v>
      </c>
      <c r="G834" s="160" t="s">
        <v>5435</v>
      </c>
      <c r="H834" s="34" t="s">
        <v>925</v>
      </c>
    </row>
    <row r="835" spans="1:8" ht="33">
      <c r="A835" s="160">
        <v>7</v>
      </c>
      <c r="B835" s="160" t="s">
        <v>1265</v>
      </c>
      <c r="C835" s="157" t="s">
        <v>14</v>
      </c>
      <c r="D835" s="159">
        <v>1</v>
      </c>
      <c r="E835" s="159">
        <v>9.26</v>
      </c>
      <c r="F835" s="159">
        <v>9.26</v>
      </c>
      <c r="G835" s="160" t="s">
        <v>2</v>
      </c>
      <c r="H835" s="34" t="s">
        <v>925</v>
      </c>
    </row>
    <row r="836" spans="1:8" ht="33">
      <c r="A836" s="160">
        <v>8</v>
      </c>
      <c r="B836" s="160" t="s">
        <v>1303</v>
      </c>
      <c r="C836" s="157" t="s">
        <v>14</v>
      </c>
      <c r="D836" s="159">
        <v>1</v>
      </c>
      <c r="E836" s="159">
        <v>1277.33</v>
      </c>
      <c r="F836" s="159">
        <v>1277.33</v>
      </c>
      <c r="G836" s="160" t="s">
        <v>2</v>
      </c>
      <c r="H836" s="34" t="s">
        <v>925</v>
      </c>
    </row>
    <row r="837" spans="1:8" ht="16.5">
      <c r="A837" s="160">
        <v>9</v>
      </c>
      <c r="B837" s="160" t="s">
        <v>931</v>
      </c>
      <c r="C837" s="157" t="s">
        <v>14</v>
      </c>
      <c r="D837" s="159">
        <v>1</v>
      </c>
      <c r="E837" s="159">
        <v>129.30000000000001</v>
      </c>
      <c r="F837" s="159">
        <v>129.30000000000001</v>
      </c>
      <c r="G837" s="160" t="s">
        <v>2</v>
      </c>
    </row>
    <row r="838" spans="1:8" ht="33">
      <c r="A838" s="160"/>
      <c r="B838" s="160" t="s">
        <v>933</v>
      </c>
      <c r="C838" s="157" t="s">
        <v>0</v>
      </c>
      <c r="D838" s="159">
        <v>1</v>
      </c>
      <c r="E838" s="159"/>
      <c r="F838" s="159">
        <v>4439.3300000000008</v>
      </c>
      <c r="G838" s="160"/>
      <c r="H838" s="34" t="s">
        <v>925</v>
      </c>
    </row>
    <row r="839" spans="1:8" ht="33">
      <c r="A839" s="160"/>
      <c r="B839" s="160" t="s">
        <v>934</v>
      </c>
      <c r="C839" s="157" t="s">
        <v>0</v>
      </c>
      <c r="D839" s="159"/>
      <c r="E839" s="159"/>
      <c r="F839" s="159">
        <v>4439.33</v>
      </c>
      <c r="G839" s="160"/>
      <c r="H839" s="34" t="s">
        <v>925</v>
      </c>
    </row>
    <row r="840" spans="1:8" ht="33">
      <c r="A840" s="160"/>
      <c r="B840" s="160"/>
      <c r="C840" s="157"/>
      <c r="D840" s="159"/>
      <c r="E840" s="159"/>
      <c r="F840" s="159"/>
      <c r="G840" s="160"/>
      <c r="H840" s="34" t="s">
        <v>925</v>
      </c>
    </row>
    <row r="841" spans="1:8" ht="42.75">
      <c r="A841" s="160" t="s">
        <v>1388</v>
      </c>
      <c r="B841" s="160" t="s">
        <v>1315</v>
      </c>
      <c r="C841" s="157" t="s">
        <v>0</v>
      </c>
      <c r="D841" s="159">
        <v>1</v>
      </c>
      <c r="E841" s="159">
        <v>6364.97</v>
      </c>
      <c r="F841" s="159"/>
      <c r="G841" s="160" t="s">
        <v>4369</v>
      </c>
      <c r="H841" s="34" t="s">
        <v>925</v>
      </c>
    </row>
    <row r="842" spans="1:8" ht="33">
      <c r="A842" s="160">
        <v>1</v>
      </c>
      <c r="B842" s="160" t="s">
        <v>1301</v>
      </c>
      <c r="C842" s="157" t="s">
        <v>927</v>
      </c>
      <c r="D842" s="159">
        <v>0.26</v>
      </c>
      <c r="E842" s="159">
        <v>371.17</v>
      </c>
      <c r="F842" s="159">
        <v>96.5</v>
      </c>
      <c r="G842" s="160" t="s">
        <v>2</v>
      </c>
      <c r="H842" s="34" t="s">
        <v>925</v>
      </c>
    </row>
    <row r="843" spans="1:8" ht="33">
      <c r="A843" s="160">
        <v>2</v>
      </c>
      <c r="B843" s="160" t="s">
        <v>1261</v>
      </c>
      <c r="C843" s="157" t="s">
        <v>927</v>
      </c>
      <c r="D843" s="159">
        <v>0.26</v>
      </c>
      <c r="E843" s="159">
        <v>371.17</v>
      </c>
      <c r="F843" s="159">
        <v>96.5</v>
      </c>
      <c r="G843" s="160" t="s">
        <v>2</v>
      </c>
      <c r="H843" s="34" t="s">
        <v>925</v>
      </c>
    </row>
    <row r="844" spans="1:8" ht="33">
      <c r="A844" s="160">
        <v>3</v>
      </c>
      <c r="B844" s="160" t="s">
        <v>4871</v>
      </c>
      <c r="C844" s="157" t="s">
        <v>927</v>
      </c>
      <c r="D844" s="159">
        <v>3.8</v>
      </c>
      <c r="E844" s="159">
        <v>260.08999999999997</v>
      </c>
      <c r="F844" s="159">
        <v>988.34</v>
      </c>
      <c r="G844" s="160" t="s">
        <v>5435</v>
      </c>
      <c r="H844" s="34" t="s">
        <v>925</v>
      </c>
    </row>
    <row r="845" spans="1:8" ht="33">
      <c r="A845" s="160">
        <v>4</v>
      </c>
      <c r="B845" s="160" t="s">
        <v>1265</v>
      </c>
      <c r="C845" s="157" t="s">
        <v>14</v>
      </c>
      <c r="D845" s="159">
        <v>1</v>
      </c>
      <c r="E845" s="159">
        <v>37.020000000000003</v>
      </c>
      <c r="F845" s="159">
        <v>37.020000000000003</v>
      </c>
      <c r="G845" s="160" t="s">
        <v>2</v>
      </c>
      <c r="H845" s="34" t="s">
        <v>925</v>
      </c>
    </row>
    <row r="846" spans="1:8" ht="28.5">
      <c r="A846" s="160">
        <v>5</v>
      </c>
      <c r="B846" s="160" t="s">
        <v>1303</v>
      </c>
      <c r="C846" s="157" t="s">
        <v>14</v>
      </c>
      <c r="D846" s="159">
        <v>1</v>
      </c>
      <c r="E846" s="159">
        <v>1277.33</v>
      </c>
      <c r="F846" s="159">
        <v>1277.33</v>
      </c>
      <c r="G846" s="160" t="s">
        <v>2</v>
      </c>
    </row>
    <row r="847" spans="1:8" ht="33">
      <c r="A847" s="160">
        <v>6</v>
      </c>
      <c r="B847" s="160" t="s">
        <v>1317</v>
      </c>
      <c r="C847" s="157" t="s">
        <v>0</v>
      </c>
      <c r="D847" s="159">
        <v>1</v>
      </c>
      <c r="E847" s="159">
        <v>3683.89</v>
      </c>
      <c r="F847" s="159">
        <v>3683.89</v>
      </c>
      <c r="G847" s="160" t="s">
        <v>2</v>
      </c>
      <c r="H847" s="34" t="s">
        <v>925</v>
      </c>
    </row>
    <row r="848" spans="1:8" ht="33">
      <c r="A848" s="160">
        <v>7</v>
      </c>
      <c r="B848" s="160" t="s">
        <v>931</v>
      </c>
      <c r="C848" s="157" t="s">
        <v>14</v>
      </c>
      <c r="D848" s="159">
        <v>1</v>
      </c>
      <c r="E848" s="159">
        <v>185.39</v>
      </c>
      <c r="F848" s="159">
        <v>185.39</v>
      </c>
      <c r="G848" s="160" t="s">
        <v>2</v>
      </c>
      <c r="H848" s="34" t="s">
        <v>925</v>
      </c>
    </row>
    <row r="849" spans="1:8" ht="33">
      <c r="A849" s="160"/>
      <c r="B849" s="160" t="s">
        <v>933</v>
      </c>
      <c r="C849" s="157" t="s">
        <v>0</v>
      </c>
      <c r="D849" s="159">
        <v>1</v>
      </c>
      <c r="E849" s="159"/>
      <c r="F849" s="159">
        <v>6364.97</v>
      </c>
      <c r="G849" s="160"/>
      <c r="H849" s="34" t="s">
        <v>925</v>
      </c>
    </row>
    <row r="850" spans="1:8" ht="33">
      <c r="A850" s="160"/>
      <c r="B850" s="160" t="s">
        <v>934</v>
      </c>
      <c r="C850" s="157" t="s">
        <v>0</v>
      </c>
      <c r="D850" s="159"/>
      <c r="E850" s="159"/>
      <c r="F850" s="159">
        <v>6364.97</v>
      </c>
      <c r="G850" s="160"/>
      <c r="H850" s="34" t="s">
        <v>925</v>
      </c>
    </row>
    <row r="851" spans="1:8" ht="33">
      <c r="A851" s="160"/>
      <c r="B851" s="160"/>
      <c r="C851" s="157"/>
      <c r="D851" s="159"/>
      <c r="E851" s="159"/>
      <c r="F851" s="159"/>
      <c r="G851" s="160"/>
      <c r="H851" s="34" t="s">
        <v>925</v>
      </c>
    </row>
    <row r="852" spans="1:8" ht="42.75">
      <c r="A852" s="160" t="s">
        <v>1391</v>
      </c>
      <c r="B852" s="160" t="s">
        <v>4517</v>
      </c>
      <c r="C852" s="157" t="s">
        <v>0</v>
      </c>
      <c r="D852" s="159">
        <v>1</v>
      </c>
      <c r="E852" s="159">
        <v>7948.38</v>
      </c>
      <c r="F852" s="159"/>
      <c r="G852" s="160" t="s">
        <v>4369</v>
      </c>
      <c r="H852" s="34" t="s">
        <v>925</v>
      </c>
    </row>
    <row r="853" spans="1:8" ht="33">
      <c r="A853" s="160">
        <v>1</v>
      </c>
      <c r="B853" s="160" t="s">
        <v>4918</v>
      </c>
      <c r="C853" s="157" t="s">
        <v>927</v>
      </c>
      <c r="D853" s="159">
        <v>0.3</v>
      </c>
      <c r="E853" s="159">
        <v>742.33</v>
      </c>
      <c r="F853" s="159">
        <v>222.7</v>
      </c>
      <c r="G853" s="160" t="s">
        <v>2</v>
      </c>
      <c r="H853" s="34" t="s">
        <v>925</v>
      </c>
    </row>
    <row r="854" spans="1:8" ht="33">
      <c r="A854" s="160">
        <v>2</v>
      </c>
      <c r="B854" s="160" t="s">
        <v>4920</v>
      </c>
      <c r="C854" s="157" t="s">
        <v>927</v>
      </c>
      <c r="D854" s="159">
        <v>0.3</v>
      </c>
      <c r="E854" s="159">
        <v>742.33</v>
      </c>
      <c r="F854" s="159">
        <v>222.7</v>
      </c>
      <c r="G854" s="160" t="s">
        <v>2</v>
      </c>
      <c r="H854" s="34" t="s">
        <v>925</v>
      </c>
    </row>
    <row r="855" spans="1:8" ht="33">
      <c r="A855" s="160">
        <v>3</v>
      </c>
      <c r="B855" s="160" t="s">
        <v>4874</v>
      </c>
      <c r="C855" s="157" t="s">
        <v>927</v>
      </c>
      <c r="D855" s="159">
        <v>4.37</v>
      </c>
      <c r="E855" s="159">
        <v>520.19000000000005</v>
      </c>
      <c r="F855" s="159">
        <v>2273.23</v>
      </c>
      <c r="G855" s="160" t="s">
        <v>5436</v>
      </c>
      <c r="H855" s="34" t="s">
        <v>925</v>
      </c>
    </row>
    <row r="856" spans="1:8" ht="33">
      <c r="A856" s="160">
        <v>4</v>
      </c>
      <c r="B856" s="160" t="s">
        <v>1265</v>
      </c>
      <c r="C856" s="157" t="s">
        <v>14</v>
      </c>
      <c r="D856" s="159">
        <v>1</v>
      </c>
      <c r="E856" s="159">
        <v>37.020000000000003</v>
      </c>
      <c r="F856" s="159">
        <v>37.020000000000003</v>
      </c>
      <c r="G856" s="160" t="s">
        <v>2</v>
      </c>
      <c r="H856" s="34" t="s">
        <v>925</v>
      </c>
    </row>
    <row r="857" spans="1:8" ht="33">
      <c r="A857" s="160">
        <v>5</v>
      </c>
      <c r="B857" s="160" t="s">
        <v>1303</v>
      </c>
      <c r="C857" s="157" t="s">
        <v>14</v>
      </c>
      <c r="D857" s="159">
        <v>1</v>
      </c>
      <c r="E857" s="159">
        <v>1277.33</v>
      </c>
      <c r="F857" s="159">
        <v>1277.33</v>
      </c>
      <c r="G857" s="160" t="s">
        <v>2</v>
      </c>
      <c r="H857" s="34" t="s">
        <v>925</v>
      </c>
    </row>
    <row r="858" spans="1:8" ht="33">
      <c r="A858" s="160">
        <v>6</v>
      </c>
      <c r="B858" s="160" t="s">
        <v>1317</v>
      </c>
      <c r="C858" s="157" t="s">
        <v>0</v>
      </c>
      <c r="D858" s="159">
        <v>1</v>
      </c>
      <c r="E858" s="159">
        <v>3683.89</v>
      </c>
      <c r="F858" s="159">
        <v>3683.89</v>
      </c>
      <c r="G858" s="160" t="s">
        <v>2</v>
      </c>
      <c r="H858" s="34" t="s">
        <v>925</v>
      </c>
    </row>
    <row r="859" spans="1:8" ht="16.5">
      <c r="A859" s="160">
        <v>7</v>
      </c>
      <c r="B859" s="160" t="s">
        <v>931</v>
      </c>
      <c r="C859" s="157" t="s">
        <v>14</v>
      </c>
      <c r="D859" s="159">
        <v>1</v>
      </c>
      <c r="E859" s="159">
        <v>231.51</v>
      </c>
      <c r="F859" s="159">
        <v>231.51</v>
      </c>
      <c r="G859" s="160" t="s">
        <v>2</v>
      </c>
    </row>
    <row r="860" spans="1:8" ht="33">
      <c r="A860" s="160"/>
      <c r="B860" s="160" t="s">
        <v>933</v>
      </c>
      <c r="C860" s="157" t="s">
        <v>0</v>
      </c>
      <c r="D860" s="159">
        <v>1</v>
      </c>
      <c r="E860" s="159"/>
      <c r="F860" s="159">
        <v>7948.38</v>
      </c>
      <c r="G860" s="160"/>
      <c r="H860" s="34" t="s">
        <v>925</v>
      </c>
    </row>
    <row r="861" spans="1:8" ht="33">
      <c r="A861" s="160"/>
      <c r="B861" s="160" t="s">
        <v>934</v>
      </c>
      <c r="C861" s="157" t="s">
        <v>0</v>
      </c>
      <c r="D861" s="159"/>
      <c r="E861" s="159"/>
      <c r="F861" s="159">
        <v>7948.38</v>
      </c>
      <c r="G861" s="160"/>
      <c r="H861" s="34" t="s">
        <v>925</v>
      </c>
    </row>
    <row r="862" spans="1:8" ht="33">
      <c r="A862" s="160"/>
      <c r="B862" s="160"/>
      <c r="C862" s="157"/>
      <c r="D862" s="159"/>
      <c r="E862" s="159"/>
      <c r="F862" s="159"/>
      <c r="G862" s="160"/>
      <c r="H862" s="34" t="s">
        <v>925</v>
      </c>
    </row>
    <row r="863" spans="1:8" ht="42.75">
      <c r="A863" s="160" t="s">
        <v>1394</v>
      </c>
      <c r="B863" s="160" t="s">
        <v>4519</v>
      </c>
      <c r="C863" s="157" t="s">
        <v>0</v>
      </c>
      <c r="D863" s="159">
        <v>1</v>
      </c>
      <c r="E863" s="159">
        <v>1625.82</v>
      </c>
      <c r="F863" s="159"/>
      <c r="G863" s="160" t="s">
        <v>5445</v>
      </c>
      <c r="H863" s="34" t="s">
        <v>925</v>
      </c>
    </row>
    <row r="864" spans="1:8" ht="33">
      <c r="A864" s="160">
        <v>1</v>
      </c>
      <c r="B864" s="160" t="s">
        <v>4923</v>
      </c>
      <c r="C864" s="157" t="s">
        <v>0</v>
      </c>
      <c r="D864" s="159">
        <v>1</v>
      </c>
      <c r="E864" s="159">
        <v>1388.4</v>
      </c>
      <c r="F864" s="159">
        <v>1388.4</v>
      </c>
      <c r="G864" s="160" t="s">
        <v>2</v>
      </c>
      <c r="H864" s="34" t="s">
        <v>925</v>
      </c>
    </row>
    <row r="865" spans="1:8" ht="33">
      <c r="A865" s="160">
        <v>2</v>
      </c>
      <c r="B865" s="160" t="s">
        <v>4909</v>
      </c>
      <c r="C865" s="157" t="s">
        <v>927</v>
      </c>
      <c r="D865" s="159">
        <v>0.19</v>
      </c>
      <c r="E865" s="159">
        <v>379.5</v>
      </c>
      <c r="F865" s="159">
        <v>72.11</v>
      </c>
      <c r="G865" s="160" t="s">
        <v>2</v>
      </c>
      <c r="H865" s="34" t="s">
        <v>925</v>
      </c>
    </row>
    <row r="866" spans="1:8" ht="33">
      <c r="A866" s="160">
        <v>3</v>
      </c>
      <c r="B866" s="160" t="s">
        <v>4871</v>
      </c>
      <c r="C866" s="157" t="s">
        <v>927</v>
      </c>
      <c r="D866" s="159">
        <v>0.39</v>
      </c>
      <c r="E866" s="159">
        <v>260.08999999999997</v>
      </c>
      <c r="F866" s="159">
        <v>101.44</v>
      </c>
      <c r="G866" s="160" t="s">
        <v>2</v>
      </c>
      <c r="H866" s="34" t="s">
        <v>925</v>
      </c>
    </row>
    <row r="867" spans="1:8" ht="33">
      <c r="A867" s="160">
        <v>4</v>
      </c>
      <c r="B867" s="160" t="s">
        <v>1267</v>
      </c>
      <c r="C867" s="157" t="s">
        <v>14</v>
      </c>
      <c r="D867" s="159">
        <v>1</v>
      </c>
      <c r="E867" s="159">
        <v>16.52</v>
      </c>
      <c r="F867" s="159">
        <v>16.52</v>
      </c>
      <c r="G867" s="160" t="s">
        <v>2</v>
      </c>
      <c r="H867" s="34" t="s">
        <v>925</v>
      </c>
    </row>
    <row r="868" spans="1:8" ht="33">
      <c r="A868" s="160">
        <v>5</v>
      </c>
      <c r="B868" s="160" t="s">
        <v>955</v>
      </c>
      <c r="C868" s="157" t="s">
        <v>14</v>
      </c>
      <c r="D868" s="159">
        <v>1</v>
      </c>
      <c r="E868" s="159">
        <v>47.35</v>
      </c>
      <c r="F868" s="159">
        <v>47.35</v>
      </c>
      <c r="G868" s="160" t="s">
        <v>2</v>
      </c>
      <c r="H868" s="34" t="s">
        <v>925</v>
      </c>
    </row>
    <row r="869" spans="1:8" ht="33">
      <c r="A869" s="160"/>
      <c r="B869" s="160" t="s">
        <v>933</v>
      </c>
      <c r="C869" s="157" t="s">
        <v>0</v>
      </c>
      <c r="D869" s="159">
        <v>1</v>
      </c>
      <c r="E869" s="159"/>
      <c r="F869" s="159">
        <v>1625.82</v>
      </c>
      <c r="G869" s="160"/>
      <c r="H869" s="34" t="s">
        <v>925</v>
      </c>
    </row>
    <row r="870" spans="1:8" ht="33">
      <c r="A870" s="160"/>
      <c r="B870" s="160" t="s">
        <v>934</v>
      </c>
      <c r="C870" s="157" t="s">
        <v>0</v>
      </c>
      <c r="D870" s="159"/>
      <c r="E870" s="159"/>
      <c r="F870" s="159">
        <v>1625.82</v>
      </c>
      <c r="G870" s="160"/>
      <c r="H870" s="34" t="s">
        <v>925</v>
      </c>
    </row>
    <row r="871" spans="1:8" ht="33">
      <c r="A871" s="160"/>
      <c r="B871" s="160"/>
      <c r="C871" s="157"/>
      <c r="D871" s="159"/>
      <c r="E871" s="159"/>
      <c r="F871" s="159"/>
      <c r="G871" s="160"/>
      <c r="H871" s="34" t="s">
        <v>925</v>
      </c>
    </row>
    <row r="872" spans="1:8" ht="42.75">
      <c r="A872" s="160" t="s">
        <v>1397</v>
      </c>
      <c r="B872" s="160" t="s">
        <v>4521</v>
      </c>
      <c r="C872" s="157" t="s">
        <v>0</v>
      </c>
      <c r="D872" s="159">
        <v>1</v>
      </c>
      <c r="E872" s="159">
        <v>1860.17</v>
      </c>
      <c r="F872" s="159"/>
      <c r="G872" s="160" t="s">
        <v>5445</v>
      </c>
    </row>
    <row r="873" spans="1:8" ht="33">
      <c r="A873" s="160">
        <v>1</v>
      </c>
      <c r="B873" s="160" t="s">
        <v>4923</v>
      </c>
      <c r="C873" s="157" t="s">
        <v>0</v>
      </c>
      <c r="D873" s="159">
        <v>1</v>
      </c>
      <c r="E873" s="159">
        <v>1388.4</v>
      </c>
      <c r="F873" s="159">
        <v>1388.4</v>
      </c>
      <c r="G873" s="160" t="s">
        <v>2</v>
      </c>
      <c r="H873" s="34" t="s">
        <v>925</v>
      </c>
    </row>
    <row r="874" spans="1:8" ht="33">
      <c r="A874" s="160">
        <v>2</v>
      </c>
      <c r="B874" s="160" t="s">
        <v>4912</v>
      </c>
      <c r="C874" s="157" t="s">
        <v>927</v>
      </c>
      <c r="D874" s="159">
        <v>0.22</v>
      </c>
      <c r="E874" s="159">
        <v>758.99</v>
      </c>
      <c r="F874" s="159">
        <v>166.98</v>
      </c>
      <c r="G874" s="160" t="s">
        <v>2</v>
      </c>
      <c r="H874" s="34" t="s">
        <v>925</v>
      </c>
    </row>
    <row r="875" spans="1:8" ht="33">
      <c r="A875" s="160">
        <v>3</v>
      </c>
      <c r="B875" s="160" t="s">
        <v>4874</v>
      </c>
      <c r="C875" s="157" t="s">
        <v>927</v>
      </c>
      <c r="D875" s="159">
        <v>0.45</v>
      </c>
      <c r="E875" s="159">
        <v>520.19000000000005</v>
      </c>
      <c r="F875" s="159">
        <v>234.09</v>
      </c>
      <c r="G875" s="160" t="s">
        <v>5436</v>
      </c>
      <c r="H875" s="34" t="s">
        <v>925</v>
      </c>
    </row>
    <row r="876" spans="1:8" ht="33">
      <c r="A876" s="160">
        <v>4</v>
      </c>
      <c r="B876" s="160" t="s">
        <v>1267</v>
      </c>
      <c r="C876" s="157" t="s">
        <v>14</v>
      </c>
      <c r="D876" s="159">
        <v>1</v>
      </c>
      <c r="E876" s="159">
        <v>16.52</v>
      </c>
      <c r="F876" s="159">
        <v>16.52</v>
      </c>
      <c r="G876" s="160" t="s">
        <v>2</v>
      </c>
      <c r="H876" s="34" t="s">
        <v>925</v>
      </c>
    </row>
    <row r="877" spans="1:8" ht="33">
      <c r="A877" s="160">
        <v>5</v>
      </c>
      <c r="B877" s="160" t="s">
        <v>955</v>
      </c>
      <c r="C877" s="157" t="s">
        <v>14</v>
      </c>
      <c r="D877" s="159">
        <v>1</v>
      </c>
      <c r="E877" s="159">
        <v>54.18</v>
      </c>
      <c r="F877" s="159">
        <v>54.18</v>
      </c>
      <c r="G877" s="160" t="s">
        <v>2</v>
      </c>
      <c r="H877" s="34" t="s">
        <v>925</v>
      </c>
    </row>
    <row r="878" spans="1:8" ht="33">
      <c r="A878" s="160"/>
      <c r="B878" s="160" t="s">
        <v>933</v>
      </c>
      <c r="C878" s="157" t="s">
        <v>0</v>
      </c>
      <c r="D878" s="159">
        <v>1</v>
      </c>
      <c r="E878" s="159"/>
      <c r="F878" s="159">
        <v>1860.17</v>
      </c>
      <c r="G878" s="160"/>
      <c r="H878" s="34" t="s">
        <v>925</v>
      </c>
    </row>
    <row r="879" spans="1:8" ht="33">
      <c r="A879" s="160"/>
      <c r="B879" s="160" t="s">
        <v>934</v>
      </c>
      <c r="C879" s="157" t="s">
        <v>0</v>
      </c>
      <c r="D879" s="159"/>
      <c r="E879" s="159"/>
      <c r="F879" s="159">
        <v>1860.17</v>
      </c>
      <c r="G879" s="160"/>
      <c r="H879" s="34" t="s">
        <v>925</v>
      </c>
    </row>
    <row r="880" spans="1:8" ht="33">
      <c r="A880" s="160"/>
      <c r="B880" s="160"/>
      <c r="C880" s="157"/>
      <c r="D880" s="159"/>
      <c r="E880" s="159"/>
      <c r="F880" s="159"/>
      <c r="G880" s="160"/>
      <c r="H880" s="34" t="s">
        <v>925</v>
      </c>
    </row>
    <row r="881" spans="1:8" ht="33">
      <c r="A881" s="160" t="s">
        <v>1399</v>
      </c>
      <c r="B881" s="160" t="s">
        <v>1320</v>
      </c>
      <c r="C881" s="157" t="s">
        <v>0</v>
      </c>
      <c r="D881" s="159">
        <v>1</v>
      </c>
      <c r="E881" s="159">
        <v>4716.5200000000004</v>
      </c>
      <c r="F881" s="159"/>
      <c r="G881" s="160" t="s">
        <v>2</v>
      </c>
      <c r="H881" s="34" t="s">
        <v>925</v>
      </c>
    </row>
    <row r="882" spans="1:8" ht="33">
      <c r="A882" s="160">
        <v>1</v>
      </c>
      <c r="B882" s="160" t="s">
        <v>1322</v>
      </c>
      <c r="C882" s="157" t="s">
        <v>0</v>
      </c>
      <c r="D882" s="159">
        <v>1</v>
      </c>
      <c r="E882" s="159">
        <v>4165.21</v>
      </c>
      <c r="F882" s="159">
        <v>4165.21</v>
      </c>
      <c r="G882" s="160" t="s">
        <v>2</v>
      </c>
      <c r="H882" s="34" t="s">
        <v>925</v>
      </c>
    </row>
    <row r="883" spans="1:8" ht="33">
      <c r="A883" s="160">
        <v>2</v>
      </c>
      <c r="B883" s="160" t="s">
        <v>1261</v>
      </c>
      <c r="C883" s="157" t="s">
        <v>927</v>
      </c>
      <c r="D883" s="159">
        <v>0.5</v>
      </c>
      <c r="E883" s="159">
        <v>371.17</v>
      </c>
      <c r="F883" s="159">
        <v>185.59</v>
      </c>
      <c r="G883" s="160" t="s">
        <v>2</v>
      </c>
      <c r="H883" s="34" t="s">
        <v>925</v>
      </c>
    </row>
    <row r="884" spans="1:8" ht="33">
      <c r="A884" s="160">
        <v>3</v>
      </c>
      <c r="B884" s="160" t="s">
        <v>4871</v>
      </c>
      <c r="C884" s="157" t="s">
        <v>927</v>
      </c>
      <c r="D884" s="159">
        <v>0.7</v>
      </c>
      <c r="E884" s="159">
        <v>260.08999999999997</v>
      </c>
      <c r="F884" s="159">
        <v>182.06</v>
      </c>
      <c r="G884" s="160" t="s">
        <v>2</v>
      </c>
      <c r="H884" s="34" t="s">
        <v>925</v>
      </c>
    </row>
    <row r="885" spans="1:8" ht="16.5">
      <c r="A885" s="160">
        <v>4</v>
      </c>
      <c r="B885" s="160" t="s">
        <v>1263</v>
      </c>
      <c r="C885" s="157" t="s">
        <v>14</v>
      </c>
      <c r="D885" s="159">
        <v>1</v>
      </c>
      <c r="E885" s="159">
        <v>9.26</v>
      </c>
      <c r="F885" s="159">
        <v>9.26</v>
      </c>
      <c r="G885" s="160" t="s">
        <v>2</v>
      </c>
    </row>
    <row r="886" spans="1:8" ht="33">
      <c r="A886" s="160">
        <v>5</v>
      </c>
      <c r="B886" s="160" t="s">
        <v>1265</v>
      </c>
      <c r="C886" s="157" t="s">
        <v>14</v>
      </c>
      <c r="D886" s="159">
        <v>1</v>
      </c>
      <c r="E886" s="159">
        <v>9.26</v>
      </c>
      <c r="F886" s="159">
        <v>9.26</v>
      </c>
      <c r="G886" s="160" t="s">
        <v>2</v>
      </c>
      <c r="H886" s="34" t="s">
        <v>925</v>
      </c>
    </row>
    <row r="887" spans="1:8" ht="33">
      <c r="A887" s="160">
        <v>6</v>
      </c>
      <c r="B887" s="160" t="s">
        <v>1267</v>
      </c>
      <c r="C887" s="157" t="s">
        <v>14</v>
      </c>
      <c r="D887" s="159">
        <v>1</v>
      </c>
      <c r="E887" s="159">
        <v>27.77</v>
      </c>
      <c r="F887" s="159">
        <v>27.77</v>
      </c>
      <c r="G887" s="160" t="s">
        <v>2</v>
      </c>
      <c r="H887" s="34" t="s">
        <v>925</v>
      </c>
    </row>
    <row r="888" spans="1:8" ht="33">
      <c r="A888" s="160">
        <v>7</v>
      </c>
      <c r="B888" s="160" t="s">
        <v>931</v>
      </c>
      <c r="C888" s="157" t="s">
        <v>14</v>
      </c>
      <c r="D888" s="159">
        <v>1</v>
      </c>
      <c r="E888" s="159">
        <v>137.37</v>
      </c>
      <c r="F888" s="159">
        <v>137.37</v>
      </c>
      <c r="G888" s="160" t="s">
        <v>2</v>
      </c>
      <c r="H888" s="34" t="s">
        <v>925</v>
      </c>
    </row>
    <row r="889" spans="1:8" ht="33">
      <c r="A889" s="160"/>
      <c r="B889" s="160" t="s">
        <v>933</v>
      </c>
      <c r="C889" s="157" t="s">
        <v>0</v>
      </c>
      <c r="D889" s="159">
        <v>1</v>
      </c>
      <c r="E889" s="159"/>
      <c r="F889" s="159">
        <v>4716.5200000000013</v>
      </c>
      <c r="G889" s="160"/>
      <c r="H889" s="34" t="s">
        <v>925</v>
      </c>
    </row>
    <row r="890" spans="1:8" ht="33">
      <c r="A890" s="160"/>
      <c r="B890" s="160" t="s">
        <v>934</v>
      </c>
      <c r="C890" s="157" t="s">
        <v>0</v>
      </c>
      <c r="D890" s="159"/>
      <c r="E890" s="159"/>
      <c r="F890" s="159">
        <v>4716.5200000000004</v>
      </c>
      <c r="G890" s="160"/>
      <c r="H890" s="34" t="s">
        <v>925</v>
      </c>
    </row>
    <row r="891" spans="1:8" ht="33">
      <c r="A891" s="160"/>
      <c r="B891" s="160"/>
      <c r="C891" s="157"/>
      <c r="D891" s="159"/>
      <c r="E891" s="159"/>
      <c r="F891" s="159"/>
      <c r="G891" s="160"/>
      <c r="H891" s="34" t="s">
        <v>925</v>
      </c>
    </row>
    <row r="892" spans="1:8" ht="33">
      <c r="A892" s="160" t="s">
        <v>1401</v>
      </c>
      <c r="B892" s="160" t="s">
        <v>1328</v>
      </c>
      <c r="C892" s="157" t="s">
        <v>3</v>
      </c>
      <c r="D892" s="159">
        <v>1</v>
      </c>
      <c r="E892" s="159">
        <v>246.17</v>
      </c>
      <c r="F892" s="159"/>
      <c r="G892" s="160" t="s">
        <v>2</v>
      </c>
      <c r="H892" s="34" t="s">
        <v>925</v>
      </c>
    </row>
    <row r="893" spans="1:8" ht="33">
      <c r="A893" s="160">
        <v>1</v>
      </c>
      <c r="B893" s="160" t="s">
        <v>1294</v>
      </c>
      <c r="C893" s="157" t="s">
        <v>1295</v>
      </c>
      <c r="D893" s="159">
        <v>0.02</v>
      </c>
      <c r="E893" s="159">
        <v>154.58000000000001</v>
      </c>
      <c r="F893" s="159">
        <v>3.09</v>
      </c>
      <c r="G893" s="160" t="s">
        <v>2</v>
      </c>
      <c r="H893" s="34" t="s">
        <v>925</v>
      </c>
    </row>
    <row r="894" spans="1:8" ht="33">
      <c r="A894" s="160">
        <v>2</v>
      </c>
      <c r="B894" s="160" t="s">
        <v>4871</v>
      </c>
      <c r="C894" s="157" t="s">
        <v>927</v>
      </c>
      <c r="D894" s="159">
        <v>0.48</v>
      </c>
      <c r="E894" s="159">
        <v>260.08999999999997</v>
      </c>
      <c r="F894" s="159">
        <v>124.84</v>
      </c>
      <c r="G894" s="160" t="s">
        <v>5435</v>
      </c>
      <c r="H894" s="34" t="s">
        <v>925</v>
      </c>
    </row>
    <row r="895" spans="1:8" ht="33">
      <c r="A895" s="160">
        <v>3</v>
      </c>
      <c r="B895" s="160" t="s">
        <v>1330</v>
      </c>
      <c r="C895" s="157" t="s">
        <v>14</v>
      </c>
      <c r="D895" s="159">
        <v>1</v>
      </c>
      <c r="E895" s="159">
        <v>111.07</v>
      </c>
      <c r="F895" s="159">
        <v>111.07</v>
      </c>
      <c r="G895" s="160" t="s">
        <v>2</v>
      </c>
      <c r="H895" s="34" t="s">
        <v>925</v>
      </c>
    </row>
    <row r="896" spans="1:8" ht="33">
      <c r="A896" s="160">
        <v>4</v>
      </c>
      <c r="B896" s="160" t="s">
        <v>931</v>
      </c>
      <c r="C896" s="157" t="s">
        <v>14</v>
      </c>
      <c r="D896" s="159">
        <v>1</v>
      </c>
      <c r="E896" s="159">
        <v>7.17</v>
      </c>
      <c r="F896" s="159">
        <v>7.17</v>
      </c>
      <c r="G896" s="160" t="s">
        <v>2</v>
      </c>
      <c r="H896" s="34" t="s">
        <v>925</v>
      </c>
    </row>
    <row r="897" spans="1:8" ht="16.5">
      <c r="A897" s="160"/>
      <c r="B897" s="160" t="s">
        <v>933</v>
      </c>
      <c r="C897" s="157" t="s">
        <v>3</v>
      </c>
      <c r="D897" s="159">
        <v>1</v>
      </c>
      <c r="E897" s="159"/>
      <c r="F897" s="159">
        <v>246.17</v>
      </c>
      <c r="G897" s="160"/>
    </row>
    <row r="898" spans="1:8" ht="33">
      <c r="A898" s="160"/>
      <c r="B898" s="160" t="s">
        <v>934</v>
      </c>
      <c r="C898" s="157" t="s">
        <v>3</v>
      </c>
      <c r="D898" s="159"/>
      <c r="E898" s="159"/>
      <c r="F898" s="159">
        <v>246.17</v>
      </c>
      <c r="G898" s="160"/>
      <c r="H898" s="34" t="s">
        <v>925</v>
      </c>
    </row>
    <row r="899" spans="1:8" ht="33">
      <c r="A899" s="160"/>
      <c r="B899" s="160"/>
      <c r="C899" s="157"/>
      <c r="D899" s="159"/>
      <c r="E899" s="159"/>
      <c r="F899" s="159"/>
      <c r="G899" s="160"/>
      <c r="H899" s="34" t="s">
        <v>925</v>
      </c>
    </row>
    <row r="900" spans="1:8" ht="33">
      <c r="A900" s="160" t="s">
        <v>1403</v>
      </c>
      <c r="B900" s="160" t="s">
        <v>1333</v>
      </c>
      <c r="C900" s="157" t="s">
        <v>3</v>
      </c>
      <c r="D900" s="159">
        <v>10</v>
      </c>
      <c r="E900" s="159">
        <v>889.16</v>
      </c>
      <c r="F900" s="159"/>
      <c r="G900" s="160" t="s">
        <v>4370</v>
      </c>
      <c r="H900" s="34" t="s">
        <v>925</v>
      </c>
    </row>
    <row r="901" spans="1:8" ht="33">
      <c r="A901" s="160">
        <v>1</v>
      </c>
      <c r="B901" s="160" t="s">
        <v>1335</v>
      </c>
      <c r="C901" s="157" t="s">
        <v>0</v>
      </c>
      <c r="D901" s="159">
        <v>0.03</v>
      </c>
      <c r="E901" s="159">
        <v>19993</v>
      </c>
      <c r="F901" s="159">
        <v>599.79</v>
      </c>
      <c r="G901" s="160" t="s">
        <v>5446</v>
      </c>
      <c r="H901" s="34" t="s">
        <v>925</v>
      </c>
    </row>
    <row r="902" spans="1:8" ht="33">
      <c r="A902" s="160">
        <v>2</v>
      </c>
      <c r="B902" s="160" t="s">
        <v>1336</v>
      </c>
      <c r="C902" s="157" t="s">
        <v>0</v>
      </c>
      <c r="D902" s="159">
        <v>0.03</v>
      </c>
      <c r="E902" s="159">
        <v>21288.84</v>
      </c>
      <c r="F902" s="159">
        <v>638.66999999999996</v>
      </c>
      <c r="G902" s="160" t="s">
        <v>2</v>
      </c>
      <c r="H902" s="34" t="s">
        <v>925</v>
      </c>
    </row>
    <row r="903" spans="1:8" ht="33">
      <c r="A903" s="160">
        <v>3</v>
      </c>
      <c r="B903" s="160" t="s">
        <v>1338</v>
      </c>
      <c r="C903" s="157" t="s">
        <v>3</v>
      </c>
      <c r="D903" s="159">
        <v>3.33</v>
      </c>
      <c r="E903" s="159">
        <v>77.75</v>
      </c>
      <c r="F903" s="159">
        <v>258.91000000000003</v>
      </c>
      <c r="G903" s="160" t="s">
        <v>2</v>
      </c>
      <c r="H903" s="34" t="s">
        <v>925</v>
      </c>
    </row>
    <row r="904" spans="1:8" ht="33">
      <c r="A904" s="160">
        <v>4</v>
      </c>
      <c r="B904" s="160" t="s">
        <v>1340</v>
      </c>
      <c r="C904" s="157" t="s">
        <v>14</v>
      </c>
      <c r="D904" s="159">
        <v>1</v>
      </c>
      <c r="E904" s="159">
        <v>509.08</v>
      </c>
      <c r="F904" s="159">
        <v>509.08</v>
      </c>
      <c r="G904" s="160" t="s">
        <v>2</v>
      </c>
      <c r="H904" s="34" t="s">
        <v>925</v>
      </c>
    </row>
    <row r="905" spans="1:8" ht="33">
      <c r="A905" s="160">
        <v>5</v>
      </c>
      <c r="B905" s="160" t="s">
        <v>4927</v>
      </c>
      <c r="C905" s="157" t="s">
        <v>927</v>
      </c>
      <c r="D905" s="159">
        <v>9.6</v>
      </c>
      <c r="E905" s="159">
        <v>379.5</v>
      </c>
      <c r="F905" s="159">
        <v>3643.2</v>
      </c>
      <c r="G905" s="160" t="s">
        <v>5447</v>
      </c>
      <c r="H905" s="34" t="s">
        <v>925</v>
      </c>
    </row>
    <row r="906" spans="1:8" ht="33">
      <c r="A906" s="160">
        <v>6</v>
      </c>
      <c r="B906" s="160" t="s">
        <v>4871</v>
      </c>
      <c r="C906" s="157" t="s">
        <v>927</v>
      </c>
      <c r="D906" s="159">
        <v>11.2</v>
      </c>
      <c r="E906" s="159">
        <v>260.08999999999997</v>
      </c>
      <c r="F906" s="159">
        <v>2913.01</v>
      </c>
      <c r="G906" s="160" t="s">
        <v>2</v>
      </c>
      <c r="H906" s="34" t="s">
        <v>925</v>
      </c>
    </row>
    <row r="907" spans="1:8" ht="33">
      <c r="A907" s="160">
        <v>7</v>
      </c>
      <c r="B907" s="160" t="s">
        <v>1342</v>
      </c>
      <c r="C907" s="157" t="s">
        <v>18</v>
      </c>
      <c r="D907" s="159">
        <v>1</v>
      </c>
      <c r="E907" s="159">
        <v>33.32</v>
      </c>
      <c r="F907" s="159">
        <v>33.32</v>
      </c>
      <c r="G907" s="160" t="s">
        <v>2</v>
      </c>
      <c r="H907" s="34" t="s">
        <v>925</v>
      </c>
    </row>
    <row r="908" spans="1:8" ht="33">
      <c r="A908" s="160">
        <v>8</v>
      </c>
      <c r="B908" s="160" t="s">
        <v>1344</v>
      </c>
      <c r="C908" s="157" t="s">
        <v>18</v>
      </c>
      <c r="D908" s="159">
        <v>1.1000000000000001</v>
      </c>
      <c r="E908" s="159">
        <v>33.32</v>
      </c>
      <c r="F908" s="159">
        <v>36.65</v>
      </c>
      <c r="G908" s="160" t="s">
        <v>2</v>
      </c>
      <c r="H908" s="34" t="s">
        <v>925</v>
      </c>
    </row>
    <row r="909" spans="1:8" ht="16.5">
      <c r="A909" s="160">
        <v>9</v>
      </c>
      <c r="B909" s="160" t="s">
        <v>931</v>
      </c>
      <c r="C909" s="157" t="s">
        <v>14</v>
      </c>
      <c r="D909" s="159">
        <v>1</v>
      </c>
      <c r="E909" s="159">
        <v>258.98</v>
      </c>
      <c r="F909" s="159">
        <v>258.98</v>
      </c>
      <c r="G909" s="160" t="s">
        <v>2</v>
      </c>
    </row>
    <row r="910" spans="1:8" ht="33">
      <c r="A910" s="160"/>
      <c r="B910" s="160" t="s">
        <v>933</v>
      </c>
      <c r="C910" s="157" t="s">
        <v>3</v>
      </c>
      <c r="D910" s="159">
        <v>10</v>
      </c>
      <c r="E910" s="159"/>
      <c r="F910" s="159">
        <v>8891.6099999999988</v>
      </c>
      <c r="G910" s="160"/>
      <c r="H910" s="34" t="s">
        <v>925</v>
      </c>
    </row>
    <row r="911" spans="1:8" ht="33">
      <c r="A911" s="160"/>
      <c r="B911" s="160" t="s">
        <v>934</v>
      </c>
      <c r="C911" s="157" t="s">
        <v>3</v>
      </c>
      <c r="D911" s="159"/>
      <c r="E911" s="159"/>
      <c r="F911" s="159">
        <v>889.16</v>
      </c>
      <c r="G911" s="160"/>
      <c r="H911" s="34" t="s">
        <v>925</v>
      </c>
    </row>
    <row r="912" spans="1:8" ht="33">
      <c r="A912" s="160"/>
      <c r="B912" s="160"/>
      <c r="C912" s="157"/>
      <c r="D912" s="159"/>
      <c r="E912" s="159"/>
      <c r="F912" s="159"/>
      <c r="G912" s="160"/>
      <c r="H912" s="34" t="s">
        <v>925</v>
      </c>
    </row>
    <row r="913" spans="1:8" ht="42.75">
      <c r="A913" s="160" t="s">
        <v>1405</v>
      </c>
      <c r="B913" s="160" t="s">
        <v>1384</v>
      </c>
      <c r="C913" s="157" t="s">
        <v>3</v>
      </c>
      <c r="D913" s="159">
        <v>10</v>
      </c>
      <c r="E913" s="159">
        <v>1112.19</v>
      </c>
      <c r="F913" s="159"/>
      <c r="G913" s="160" t="s">
        <v>4365</v>
      </c>
      <c r="H913" s="34" t="s">
        <v>925</v>
      </c>
    </row>
    <row r="914" spans="1:8" ht="33">
      <c r="A914" s="160">
        <v>1</v>
      </c>
      <c r="B914" s="160" t="s">
        <v>1335</v>
      </c>
      <c r="C914" s="157" t="s">
        <v>0</v>
      </c>
      <c r="D914" s="159">
        <v>0.03</v>
      </c>
      <c r="E914" s="159">
        <v>19993</v>
      </c>
      <c r="F914" s="159">
        <v>599.79</v>
      </c>
      <c r="G914" s="160" t="s">
        <v>5446</v>
      </c>
      <c r="H914" s="34" t="s">
        <v>925</v>
      </c>
    </row>
    <row r="915" spans="1:8" ht="33">
      <c r="A915" s="160">
        <v>2</v>
      </c>
      <c r="B915" s="160" t="s">
        <v>1336</v>
      </c>
      <c r="C915" s="157" t="s">
        <v>0</v>
      </c>
      <c r="D915" s="159">
        <v>0.03</v>
      </c>
      <c r="E915" s="159">
        <v>21288.84</v>
      </c>
      <c r="F915" s="159">
        <v>638.66999999999996</v>
      </c>
      <c r="G915" s="160" t="s">
        <v>2</v>
      </c>
      <c r="H915" s="34" t="s">
        <v>925</v>
      </c>
    </row>
    <row r="916" spans="1:8" ht="33">
      <c r="A916" s="160">
        <v>3</v>
      </c>
      <c r="B916" s="160" t="s">
        <v>1338</v>
      </c>
      <c r="C916" s="157" t="s">
        <v>3</v>
      </c>
      <c r="D916" s="159">
        <v>3.33</v>
      </c>
      <c r="E916" s="159">
        <v>77.75</v>
      </c>
      <c r="F916" s="159">
        <v>258.91000000000003</v>
      </c>
      <c r="G916" s="160" t="s">
        <v>2</v>
      </c>
      <c r="H916" s="34" t="s">
        <v>925</v>
      </c>
    </row>
    <row r="917" spans="1:8" ht="33">
      <c r="A917" s="160">
        <v>4</v>
      </c>
      <c r="B917" s="160" t="s">
        <v>1340</v>
      </c>
      <c r="C917" s="157" t="s">
        <v>14</v>
      </c>
      <c r="D917" s="159">
        <v>1</v>
      </c>
      <c r="E917" s="159">
        <v>509.08</v>
      </c>
      <c r="F917" s="159">
        <v>509.08</v>
      </c>
      <c r="G917" s="160" t="s">
        <v>2</v>
      </c>
      <c r="H917" s="34" t="s">
        <v>925</v>
      </c>
    </row>
    <row r="918" spans="1:8" ht="28.5">
      <c r="A918" s="160">
        <v>5</v>
      </c>
      <c r="B918" s="160" t="s">
        <v>4927</v>
      </c>
      <c r="C918" s="157" t="s">
        <v>927</v>
      </c>
      <c r="D918" s="159">
        <v>12.77</v>
      </c>
      <c r="E918" s="159">
        <v>379.5</v>
      </c>
      <c r="F918" s="159">
        <v>4846.22</v>
      </c>
      <c r="G918" s="160" t="s">
        <v>5447</v>
      </c>
    </row>
    <row r="919" spans="1:8" ht="33">
      <c r="A919" s="160">
        <v>6</v>
      </c>
      <c r="B919" s="160" t="s">
        <v>4871</v>
      </c>
      <c r="C919" s="157" t="s">
        <v>927</v>
      </c>
      <c r="D919" s="159">
        <v>14.9</v>
      </c>
      <c r="E919" s="159">
        <v>260.08999999999997</v>
      </c>
      <c r="F919" s="159">
        <v>3875.34</v>
      </c>
      <c r="G919" s="160" t="s">
        <v>5435</v>
      </c>
      <c r="H919" s="34" t="s">
        <v>925</v>
      </c>
    </row>
    <row r="920" spans="1:8" ht="33">
      <c r="A920" s="160">
        <v>7</v>
      </c>
      <c r="B920" s="160" t="s">
        <v>1342</v>
      </c>
      <c r="C920" s="157" t="s">
        <v>18</v>
      </c>
      <c r="D920" s="159">
        <v>1</v>
      </c>
      <c r="E920" s="159">
        <v>33.32</v>
      </c>
      <c r="F920" s="159">
        <v>33.32</v>
      </c>
      <c r="G920" s="160" t="s">
        <v>2</v>
      </c>
      <c r="H920" s="34" t="s">
        <v>925</v>
      </c>
    </row>
    <row r="921" spans="1:8" ht="33">
      <c r="A921" s="160">
        <v>8</v>
      </c>
      <c r="B921" s="160" t="s">
        <v>1344</v>
      </c>
      <c r="C921" s="157" t="s">
        <v>18</v>
      </c>
      <c r="D921" s="159">
        <v>1.1000000000000001</v>
      </c>
      <c r="E921" s="159">
        <v>33.32</v>
      </c>
      <c r="F921" s="159">
        <v>36.65</v>
      </c>
      <c r="G921" s="160" t="s">
        <v>2</v>
      </c>
      <c r="H921" s="34" t="s">
        <v>925</v>
      </c>
    </row>
    <row r="922" spans="1:8" ht="33">
      <c r="A922" s="160">
        <v>9</v>
      </c>
      <c r="B922" s="160" t="s">
        <v>931</v>
      </c>
      <c r="C922" s="157" t="s">
        <v>14</v>
      </c>
      <c r="D922" s="159">
        <v>1</v>
      </c>
      <c r="E922" s="159">
        <v>323.94</v>
      </c>
      <c r="F922" s="159">
        <v>323.94</v>
      </c>
      <c r="G922" s="160" t="s">
        <v>2</v>
      </c>
      <c r="H922" s="34" t="s">
        <v>925</v>
      </c>
    </row>
    <row r="923" spans="1:8" ht="33">
      <c r="A923" s="160"/>
      <c r="B923" s="160" t="s">
        <v>933</v>
      </c>
      <c r="C923" s="157" t="s">
        <v>3</v>
      </c>
      <c r="D923" s="159">
        <v>10</v>
      </c>
      <c r="E923" s="159"/>
      <c r="F923" s="159">
        <v>11121.92</v>
      </c>
      <c r="G923" s="160"/>
      <c r="H923" s="34" t="s">
        <v>925</v>
      </c>
    </row>
    <row r="924" spans="1:8" ht="33">
      <c r="A924" s="160"/>
      <c r="B924" s="160" t="s">
        <v>934</v>
      </c>
      <c r="C924" s="157" t="s">
        <v>3</v>
      </c>
      <c r="D924" s="159"/>
      <c r="E924" s="159"/>
      <c r="F924" s="159">
        <v>1112.19</v>
      </c>
      <c r="G924" s="160"/>
      <c r="H924" s="34" t="s">
        <v>925</v>
      </c>
    </row>
    <row r="925" spans="1:8" ht="33">
      <c r="A925" s="160"/>
      <c r="B925" s="160"/>
      <c r="C925" s="157"/>
      <c r="D925" s="159"/>
      <c r="E925" s="159"/>
      <c r="F925" s="159"/>
      <c r="G925" s="160"/>
      <c r="H925" s="34" t="s">
        <v>925</v>
      </c>
    </row>
    <row r="926" spans="1:8" ht="57">
      <c r="A926" s="160" t="s">
        <v>1407</v>
      </c>
      <c r="B926" s="160" t="s">
        <v>1347</v>
      </c>
      <c r="C926" s="157" t="s">
        <v>3</v>
      </c>
      <c r="D926" s="159">
        <v>100</v>
      </c>
      <c r="E926" s="159">
        <v>744.92</v>
      </c>
      <c r="F926" s="159"/>
      <c r="G926" s="160" t="s">
        <v>4371</v>
      </c>
      <c r="H926" s="34" t="s">
        <v>925</v>
      </c>
    </row>
    <row r="927" spans="1:8" ht="28.5">
      <c r="A927" s="160">
        <v>1</v>
      </c>
      <c r="B927" s="160" t="s">
        <v>1335</v>
      </c>
      <c r="C927" s="157" t="s">
        <v>0</v>
      </c>
      <c r="D927" s="159">
        <v>0.3</v>
      </c>
      <c r="E927" s="159">
        <v>19993</v>
      </c>
      <c r="F927" s="159">
        <v>5997.9</v>
      </c>
      <c r="G927" s="160" t="s">
        <v>5446</v>
      </c>
    </row>
    <row r="928" spans="1:8" ht="33">
      <c r="A928" s="160">
        <v>2</v>
      </c>
      <c r="B928" s="160" t="s">
        <v>1336</v>
      </c>
      <c r="C928" s="157" t="s">
        <v>0</v>
      </c>
      <c r="D928" s="159">
        <v>0.21</v>
      </c>
      <c r="E928" s="159">
        <v>21288.84</v>
      </c>
      <c r="F928" s="159">
        <v>4470.66</v>
      </c>
      <c r="G928" s="160" t="s">
        <v>2</v>
      </c>
      <c r="H928" s="34" t="s">
        <v>925</v>
      </c>
    </row>
    <row r="929" spans="1:8" ht="33">
      <c r="A929" s="160">
        <v>3</v>
      </c>
      <c r="B929" s="160" t="s">
        <v>1338</v>
      </c>
      <c r="C929" s="157" t="s">
        <v>3</v>
      </c>
      <c r="D929" s="159">
        <v>33.299999999999997</v>
      </c>
      <c r="E929" s="159">
        <v>77.75</v>
      </c>
      <c r="F929" s="159">
        <v>2589.08</v>
      </c>
      <c r="G929" s="160" t="s">
        <v>2</v>
      </c>
      <c r="H929" s="34" t="s">
        <v>925</v>
      </c>
    </row>
    <row r="930" spans="1:8" ht="33">
      <c r="A930" s="160">
        <v>4</v>
      </c>
      <c r="B930" s="160" t="s">
        <v>1349</v>
      </c>
      <c r="C930" s="157" t="s">
        <v>14</v>
      </c>
      <c r="D930" s="159">
        <v>1</v>
      </c>
      <c r="E930" s="159">
        <v>2147.4</v>
      </c>
      <c r="F930" s="159">
        <v>2147.4</v>
      </c>
      <c r="G930" s="160" t="s">
        <v>2</v>
      </c>
      <c r="H930" s="34" t="s">
        <v>925</v>
      </c>
    </row>
    <row r="931" spans="1:8" ht="33">
      <c r="A931" s="160">
        <v>5</v>
      </c>
      <c r="B931" s="160" t="s">
        <v>4927</v>
      </c>
      <c r="C931" s="157" t="s">
        <v>927</v>
      </c>
      <c r="D931" s="159">
        <v>88</v>
      </c>
      <c r="E931" s="159">
        <v>379.5</v>
      </c>
      <c r="F931" s="159">
        <v>33396</v>
      </c>
      <c r="G931" s="160" t="s">
        <v>5447</v>
      </c>
      <c r="H931" s="34" t="s">
        <v>925</v>
      </c>
    </row>
    <row r="932" spans="1:8" ht="33">
      <c r="A932" s="160">
        <v>6</v>
      </c>
      <c r="B932" s="160" t="s">
        <v>4871</v>
      </c>
      <c r="C932" s="157" t="s">
        <v>927</v>
      </c>
      <c r="D932" s="159">
        <v>88</v>
      </c>
      <c r="E932" s="159">
        <v>260.08999999999997</v>
      </c>
      <c r="F932" s="159">
        <v>22887.919999999998</v>
      </c>
      <c r="G932" s="160" t="s">
        <v>5435</v>
      </c>
      <c r="H932" s="34" t="s">
        <v>925</v>
      </c>
    </row>
    <row r="933" spans="1:8" ht="33">
      <c r="A933" s="160">
        <v>7</v>
      </c>
      <c r="B933" s="160" t="s">
        <v>1342</v>
      </c>
      <c r="C933" s="157" t="s">
        <v>18</v>
      </c>
      <c r="D933" s="159">
        <v>12</v>
      </c>
      <c r="E933" s="159">
        <v>33.32</v>
      </c>
      <c r="F933" s="159">
        <v>399.84</v>
      </c>
      <c r="G933" s="160" t="s">
        <v>2</v>
      </c>
      <c r="H933" s="34" t="s">
        <v>925</v>
      </c>
    </row>
    <row r="934" spans="1:8" ht="33">
      <c r="A934" s="160">
        <v>8</v>
      </c>
      <c r="B934" s="160" t="s">
        <v>1344</v>
      </c>
      <c r="C934" s="157" t="s">
        <v>18</v>
      </c>
      <c r="D934" s="159">
        <v>13</v>
      </c>
      <c r="E934" s="159">
        <v>33.32</v>
      </c>
      <c r="F934" s="159">
        <v>433.16</v>
      </c>
      <c r="G934" s="160" t="s">
        <v>2</v>
      </c>
      <c r="H934" s="34" t="s">
        <v>925</v>
      </c>
    </row>
    <row r="935" spans="1:8" ht="33">
      <c r="A935" s="160">
        <v>9</v>
      </c>
      <c r="B935" s="160" t="s">
        <v>931</v>
      </c>
      <c r="C935" s="157" t="s">
        <v>14</v>
      </c>
      <c r="D935" s="159">
        <v>1</v>
      </c>
      <c r="E935" s="159">
        <v>2169.66</v>
      </c>
      <c r="F935" s="159">
        <v>2169.66</v>
      </c>
      <c r="G935" s="160" t="s">
        <v>2</v>
      </c>
      <c r="H935" s="34" t="s">
        <v>925</v>
      </c>
    </row>
    <row r="936" spans="1:8" ht="16.5">
      <c r="A936" s="160"/>
      <c r="B936" s="160" t="s">
        <v>933</v>
      </c>
      <c r="C936" s="157" t="s">
        <v>3</v>
      </c>
      <c r="D936" s="159">
        <v>100</v>
      </c>
      <c r="E936" s="159"/>
      <c r="F936" s="159">
        <v>74491.62</v>
      </c>
      <c r="G936" s="160"/>
    </row>
    <row r="937" spans="1:8" ht="33">
      <c r="A937" s="160"/>
      <c r="B937" s="160" t="s">
        <v>934</v>
      </c>
      <c r="C937" s="157" t="s">
        <v>3</v>
      </c>
      <c r="D937" s="159"/>
      <c r="E937" s="159"/>
      <c r="F937" s="159">
        <v>744.92</v>
      </c>
      <c r="G937" s="160"/>
      <c r="H937" s="34" t="s">
        <v>925</v>
      </c>
    </row>
    <row r="938" spans="1:8" ht="33">
      <c r="A938" s="160"/>
      <c r="B938" s="160"/>
      <c r="C938" s="157"/>
      <c r="D938" s="159"/>
      <c r="E938" s="159"/>
      <c r="F938" s="159"/>
      <c r="G938" s="160"/>
      <c r="H938" s="34" t="s">
        <v>925</v>
      </c>
    </row>
    <row r="939" spans="1:8" ht="85.5">
      <c r="A939" s="160" t="s">
        <v>1409</v>
      </c>
      <c r="B939" s="160" t="s">
        <v>1347</v>
      </c>
      <c r="C939" s="157" t="s">
        <v>3</v>
      </c>
      <c r="D939" s="159">
        <v>100</v>
      </c>
      <c r="E939" s="159">
        <v>936.23</v>
      </c>
      <c r="F939" s="159"/>
      <c r="G939" s="160" t="s">
        <v>4374</v>
      </c>
      <c r="H939" s="34" t="s">
        <v>925</v>
      </c>
    </row>
    <row r="940" spans="1:8" ht="33">
      <c r="A940" s="160">
        <v>1</v>
      </c>
      <c r="B940" s="160" t="s">
        <v>1335</v>
      </c>
      <c r="C940" s="157" t="s">
        <v>0</v>
      </c>
      <c r="D940" s="159">
        <v>0.3</v>
      </c>
      <c r="E940" s="159">
        <v>19993</v>
      </c>
      <c r="F940" s="159">
        <v>5997.9</v>
      </c>
      <c r="G940" s="160" t="s">
        <v>5446</v>
      </c>
      <c r="H940" s="34" t="s">
        <v>925</v>
      </c>
    </row>
    <row r="941" spans="1:8" ht="33">
      <c r="A941" s="160">
        <v>2</v>
      </c>
      <c r="B941" s="160" t="s">
        <v>1336</v>
      </c>
      <c r="C941" s="157" t="s">
        <v>0</v>
      </c>
      <c r="D941" s="159">
        <v>0.21</v>
      </c>
      <c r="E941" s="159">
        <v>21288.84</v>
      </c>
      <c r="F941" s="159">
        <v>4470.66</v>
      </c>
      <c r="G941" s="160" t="s">
        <v>2</v>
      </c>
      <c r="H941" s="34" t="s">
        <v>925</v>
      </c>
    </row>
    <row r="942" spans="1:8" ht="33">
      <c r="A942" s="160">
        <v>3</v>
      </c>
      <c r="B942" s="160" t="s">
        <v>1338</v>
      </c>
      <c r="C942" s="157" t="s">
        <v>3</v>
      </c>
      <c r="D942" s="159">
        <v>33.299999999999997</v>
      </c>
      <c r="E942" s="159">
        <v>77.75</v>
      </c>
      <c r="F942" s="159">
        <v>2589.08</v>
      </c>
      <c r="G942" s="160" t="s">
        <v>2</v>
      </c>
      <c r="H942" s="34" t="s">
        <v>925</v>
      </c>
    </row>
    <row r="943" spans="1:8" ht="33">
      <c r="A943" s="160">
        <v>4</v>
      </c>
      <c r="B943" s="160" t="s">
        <v>1349</v>
      </c>
      <c r="C943" s="157" t="s">
        <v>14</v>
      </c>
      <c r="D943" s="159">
        <v>1</v>
      </c>
      <c r="E943" s="159">
        <v>2147.4</v>
      </c>
      <c r="F943" s="159">
        <v>2147.4</v>
      </c>
      <c r="G943" s="160" t="s">
        <v>2</v>
      </c>
      <c r="H943" s="34" t="s">
        <v>925</v>
      </c>
    </row>
    <row r="944" spans="1:8" ht="33">
      <c r="A944" s="160">
        <v>5</v>
      </c>
      <c r="B944" s="160" t="s">
        <v>4927</v>
      </c>
      <c r="C944" s="157" t="s">
        <v>927</v>
      </c>
      <c r="D944" s="159">
        <v>117.04</v>
      </c>
      <c r="E944" s="159">
        <v>379.5</v>
      </c>
      <c r="F944" s="159">
        <v>44416.68</v>
      </c>
      <c r="G944" s="160" t="s">
        <v>5447</v>
      </c>
      <c r="H944" s="34" t="s">
        <v>925</v>
      </c>
    </row>
    <row r="945" spans="1:8" ht="16.5">
      <c r="A945" s="160">
        <v>6</v>
      </c>
      <c r="B945" s="160" t="s">
        <v>4871</v>
      </c>
      <c r="C945" s="157" t="s">
        <v>927</v>
      </c>
      <c r="D945" s="159">
        <v>117.04</v>
      </c>
      <c r="E945" s="159">
        <v>260.08999999999997</v>
      </c>
      <c r="F945" s="159">
        <v>30440.93</v>
      </c>
      <c r="G945" s="160" t="s">
        <v>5435</v>
      </c>
    </row>
    <row r="946" spans="1:8" ht="33">
      <c r="A946" s="160">
        <v>7</v>
      </c>
      <c r="B946" s="160" t="s">
        <v>1342</v>
      </c>
      <c r="C946" s="157" t="s">
        <v>18</v>
      </c>
      <c r="D946" s="159">
        <v>12</v>
      </c>
      <c r="E946" s="159">
        <v>33.32</v>
      </c>
      <c r="F946" s="159">
        <v>399.84</v>
      </c>
      <c r="G946" s="160" t="s">
        <v>2</v>
      </c>
      <c r="H946" s="34" t="s">
        <v>925</v>
      </c>
    </row>
    <row r="947" spans="1:8" ht="33">
      <c r="A947" s="160">
        <v>8</v>
      </c>
      <c r="B947" s="160" t="s">
        <v>1344</v>
      </c>
      <c r="C947" s="157" t="s">
        <v>18</v>
      </c>
      <c r="D947" s="159">
        <v>13</v>
      </c>
      <c r="E947" s="159">
        <v>33.32</v>
      </c>
      <c r="F947" s="159">
        <v>433.16</v>
      </c>
      <c r="G947" s="160" t="s">
        <v>2</v>
      </c>
      <c r="H947" s="34" t="s">
        <v>925</v>
      </c>
    </row>
    <row r="948" spans="1:8" ht="33">
      <c r="A948" s="160">
        <v>9</v>
      </c>
      <c r="B948" s="160" t="s">
        <v>931</v>
      </c>
      <c r="C948" s="157" t="s">
        <v>14</v>
      </c>
      <c r="D948" s="159">
        <v>1</v>
      </c>
      <c r="E948" s="159">
        <v>2726.87</v>
      </c>
      <c r="F948" s="159">
        <v>2726.87</v>
      </c>
      <c r="G948" s="160" t="s">
        <v>2</v>
      </c>
      <c r="H948" s="34" t="s">
        <v>925</v>
      </c>
    </row>
    <row r="949" spans="1:8" ht="33">
      <c r="A949" s="160"/>
      <c r="B949" s="160" t="s">
        <v>933</v>
      </c>
      <c r="C949" s="157" t="s">
        <v>3</v>
      </c>
      <c r="D949" s="159">
        <v>100</v>
      </c>
      <c r="E949" s="159"/>
      <c r="F949" s="159">
        <v>93622.51999999999</v>
      </c>
      <c r="G949" s="160"/>
      <c r="H949" s="34" t="s">
        <v>925</v>
      </c>
    </row>
    <row r="950" spans="1:8" ht="33">
      <c r="A950" s="160"/>
      <c r="B950" s="160" t="s">
        <v>934</v>
      </c>
      <c r="C950" s="157" t="s">
        <v>3</v>
      </c>
      <c r="D950" s="159"/>
      <c r="E950" s="159"/>
      <c r="F950" s="159">
        <v>936.23</v>
      </c>
      <c r="G950" s="160"/>
      <c r="H950" s="34" t="s">
        <v>925</v>
      </c>
    </row>
    <row r="951" spans="1:8" ht="33">
      <c r="A951" s="160"/>
      <c r="B951" s="160"/>
      <c r="C951" s="157"/>
      <c r="D951" s="159"/>
      <c r="E951" s="159"/>
      <c r="F951" s="159"/>
      <c r="G951" s="160"/>
      <c r="H951" s="34" t="s">
        <v>925</v>
      </c>
    </row>
    <row r="952" spans="1:8" ht="33">
      <c r="A952" s="160" t="s">
        <v>1416</v>
      </c>
      <c r="B952" s="160" t="s">
        <v>1352</v>
      </c>
      <c r="C952" s="157" t="s">
        <v>3</v>
      </c>
      <c r="D952" s="159">
        <v>100</v>
      </c>
      <c r="E952" s="159">
        <v>511.34</v>
      </c>
      <c r="F952" s="159"/>
      <c r="G952" s="160" t="s">
        <v>2</v>
      </c>
      <c r="H952" s="34" t="s">
        <v>925</v>
      </c>
    </row>
    <row r="953" spans="1:8" ht="33">
      <c r="A953" s="160">
        <v>1</v>
      </c>
      <c r="B953" s="160" t="s">
        <v>1335</v>
      </c>
      <c r="C953" s="157" t="s">
        <v>0</v>
      </c>
      <c r="D953" s="159">
        <v>0.23</v>
      </c>
      <c r="E953" s="159">
        <v>19993</v>
      </c>
      <c r="F953" s="159">
        <v>4598.3900000000003</v>
      </c>
      <c r="G953" s="160" t="s">
        <v>5446</v>
      </c>
      <c r="H953" s="34" t="s">
        <v>925</v>
      </c>
    </row>
    <row r="954" spans="1:8" ht="28.5">
      <c r="A954" s="160">
        <v>2</v>
      </c>
      <c r="B954" s="160" t="s">
        <v>1336</v>
      </c>
      <c r="C954" s="157" t="s">
        <v>0</v>
      </c>
      <c r="D954" s="159">
        <v>0.13</v>
      </c>
      <c r="E954" s="159">
        <v>21288.84</v>
      </c>
      <c r="F954" s="159">
        <v>2767.55</v>
      </c>
      <c r="G954" s="160" t="s">
        <v>2</v>
      </c>
    </row>
    <row r="955" spans="1:8" ht="33">
      <c r="A955" s="160">
        <v>3</v>
      </c>
      <c r="B955" s="160" t="s">
        <v>1338</v>
      </c>
      <c r="C955" s="157" t="s">
        <v>3</v>
      </c>
      <c r="D955" s="159">
        <v>33.299999999999997</v>
      </c>
      <c r="E955" s="159">
        <v>77.75</v>
      </c>
      <c r="F955" s="159">
        <v>2589.08</v>
      </c>
      <c r="G955" s="160" t="s">
        <v>2</v>
      </c>
      <c r="H955" s="34" t="s">
        <v>925</v>
      </c>
    </row>
    <row r="956" spans="1:8" ht="33">
      <c r="A956" s="160">
        <v>4</v>
      </c>
      <c r="B956" s="160" t="s">
        <v>1354</v>
      </c>
      <c r="C956" s="157" t="s">
        <v>14</v>
      </c>
      <c r="D956" s="159">
        <v>1</v>
      </c>
      <c r="E956" s="159">
        <v>1295.8399999999999</v>
      </c>
      <c r="F956" s="159">
        <v>1295.8399999999999</v>
      </c>
      <c r="G956" s="160" t="s">
        <v>2</v>
      </c>
      <c r="H956" s="34" t="s">
        <v>925</v>
      </c>
    </row>
    <row r="957" spans="1:8" ht="33">
      <c r="A957" s="160">
        <v>5</v>
      </c>
      <c r="B957" s="160" t="s">
        <v>4927</v>
      </c>
      <c r="C957" s="157" t="s">
        <v>927</v>
      </c>
      <c r="D957" s="159">
        <v>72</v>
      </c>
      <c r="E957" s="159">
        <v>379.5</v>
      </c>
      <c r="F957" s="159">
        <v>27324</v>
      </c>
      <c r="G957" s="160" t="s">
        <v>5447</v>
      </c>
      <c r="H957" s="34" t="s">
        <v>925</v>
      </c>
    </row>
    <row r="958" spans="1:8" ht="33">
      <c r="A958" s="160">
        <v>6</v>
      </c>
      <c r="B958" s="160" t="s">
        <v>4871</v>
      </c>
      <c r="C958" s="157" t="s">
        <v>927</v>
      </c>
      <c r="D958" s="159">
        <v>40</v>
      </c>
      <c r="E958" s="159">
        <v>260.08999999999997</v>
      </c>
      <c r="F958" s="159">
        <v>10403.6</v>
      </c>
      <c r="G958" s="160" t="s">
        <v>2</v>
      </c>
      <c r="H958" s="34" t="s">
        <v>925</v>
      </c>
    </row>
    <row r="959" spans="1:8" ht="33">
      <c r="A959" s="160">
        <v>7</v>
      </c>
      <c r="B959" s="160" t="s">
        <v>1342</v>
      </c>
      <c r="C959" s="157" t="s">
        <v>18</v>
      </c>
      <c r="D959" s="159">
        <v>10</v>
      </c>
      <c r="E959" s="159">
        <v>33.32</v>
      </c>
      <c r="F959" s="159">
        <v>333.2</v>
      </c>
      <c r="G959" s="160" t="s">
        <v>2</v>
      </c>
      <c r="H959" s="34" t="s">
        <v>925</v>
      </c>
    </row>
    <row r="960" spans="1:8" ht="33">
      <c r="A960" s="160">
        <v>8</v>
      </c>
      <c r="B960" s="160" t="s">
        <v>1344</v>
      </c>
      <c r="C960" s="157" t="s">
        <v>18</v>
      </c>
      <c r="D960" s="159">
        <v>10</v>
      </c>
      <c r="E960" s="159">
        <v>33.32</v>
      </c>
      <c r="F960" s="159">
        <v>333.2</v>
      </c>
      <c r="G960" s="160" t="s">
        <v>2</v>
      </c>
      <c r="H960" s="34" t="s">
        <v>925</v>
      </c>
    </row>
    <row r="961" spans="1:8" ht="33">
      <c r="A961" s="160">
        <v>9</v>
      </c>
      <c r="B961" s="160" t="s">
        <v>931</v>
      </c>
      <c r="C961" s="157" t="s">
        <v>14</v>
      </c>
      <c r="D961" s="159">
        <v>1</v>
      </c>
      <c r="E961" s="159">
        <v>1489.35</v>
      </c>
      <c r="F961" s="159">
        <v>1489.35</v>
      </c>
      <c r="G961" s="160" t="s">
        <v>2</v>
      </c>
      <c r="H961" s="34" t="s">
        <v>925</v>
      </c>
    </row>
    <row r="962" spans="1:8" ht="33">
      <c r="A962" s="160"/>
      <c r="B962" s="160" t="s">
        <v>933</v>
      </c>
      <c r="C962" s="157" t="s">
        <v>3</v>
      </c>
      <c r="D962" s="159">
        <v>100</v>
      </c>
      <c r="E962" s="159"/>
      <c r="F962" s="159">
        <v>51134.209999999992</v>
      </c>
      <c r="G962" s="160"/>
      <c r="H962" s="34" t="s">
        <v>925</v>
      </c>
    </row>
    <row r="963" spans="1:8" ht="16.5">
      <c r="A963" s="160"/>
      <c r="B963" s="160" t="s">
        <v>934</v>
      </c>
      <c r="C963" s="157" t="s">
        <v>3</v>
      </c>
      <c r="D963" s="159"/>
      <c r="E963" s="159"/>
      <c r="F963" s="159">
        <v>511.34</v>
      </c>
      <c r="G963" s="160"/>
    </row>
    <row r="964" spans="1:8" ht="33">
      <c r="A964" s="160"/>
      <c r="B964" s="160"/>
      <c r="C964" s="157"/>
      <c r="D964" s="159"/>
      <c r="E964" s="159"/>
      <c r="F964" s="159"/>
      <c r="G964" s="160"/>
      <c r="H964" s="34" t="s">
        <v>925</v>
      </c>
    </row>
    <row r="965" spans="1:8" ht="42.75">
      <c r="A965" s="160" t="s">
        <v>1419</v>
      </c>
      <c r="B965" s="160" t="s">
        <v>1389</v>
      </c>
      <c r="C965" s="157" t="s">
        <v>3</v>
      </c>
      <c r="D965" s="159">
        <v>100</v>
      </c>
      <c r="E965" s="159">
        <v>639.58000000000004</v>
      </c>
      <c r="F965" s="159"/>
      <c r="G965" s="160" t="s">
        <v>4365</v>
      </c>
      <c r="H965" s="34" t="s">
        <v>925</v>
      </c>
    </row>
    <row r="966" spans="1:8" ht="33">
      <c r="A966" s="160">
        <v>1</v>
      </c>
      <c r="B966" s="160" t="s">
        <v>1335</v>
      </c>
      <c r="C966" s="157" t="s">
        <v>0</v>
      </c>
      <c r="D966" s="159">
        <v>0.23</v>
      </c>
      <c r="E966" s="159">
        <v>19993</v>
      </c>
      <c r="F966" s="159">
        <v>4598.3900000000003</v>
      </c>
      <c r="G966" s="160" t="s">
        <v>5446</v>
      </c>
      <c r="H966" s="34" t="s">
        <v>925</v>
      </c>
    </row>
    <row r="967" spans="1:8" ht="33">
      <c r="A967" s="160">
        <v>2</v>
      </c>
      <c r="B967" s="160" t="s">
        <v>1336</v>
      </c>
      <c r="C967" s="157" t="s">
        <v>0</v>
      </c>
      <c r="D967" s="159">
        <v>0.13</v>
      </c>
      <c r="E967" s="159">
        <v>21288.84</v>
      </c>
      <c r="F967" s="159">
        <v>2767.55</v>
      </c>
      <c r="G967" s="160" t="s">
        <v>2</v>
      </c>
      <c r="H967" s="34" t="s">
        <v>925</v>
      </c>
    </row>
    <row r="968" spans="1:8" ht="33">
      <c r="A968" s="160">
        <v>3</v>
      </c>
      <c r="B968" s="160" t="s">
        <v>1338</v>
      </c>
      <c r="C968" s="157" t="s">
        <v>3</v>
      </c>
      <c r="D968" s="159">
        <v>33.299999999999997</v>
      </c>
      <c r="E968" s="159">
        <v>77.75</v>
      </c>
      <c r="F968" s="159">
        <v>2589.08</v>
      </c>
      <c r="G968" s="160" t="s">
        <v>2</v>
      </c>
      <c r="H968" s="34" t="s">
        <v>925</v>
      </c>
    </row>
    <row r="969" spans="1:8" ht="33">
      <c r="A969" s="160">
        <v>4</v>
      </c>
      <c r="B969" s="160" t="s">
        <v>1354</v>
      </c>
      <c r="C969" s="157" t="s">
        <v>14</v>
      </c>
      <c r="D969" s="159">
        <v>1</v>
      </c>
      <c r="E969" s="159">
        <v>1295.8399999999999</v>
      </c>
      <c r="F969" s="159">
        <v>1295.8399999999999</v>
      </c>
      <c r="G969" s="160" t="s">
        <v>2</v>
      </c>
      <c r="H969" s="34" t="s">
        <v>925</v>
      </c>
    </row>
    <row r="970" spans="1:8" ht="33">
      <c r="A970" s="160">
        <v>5</v>
      </c>
      <c r="B970" s="160" t="s">
        <v>4927</v>
      </c>
      <c r="C970" s="157" t="s">
        <v>927</v>
      </c>
      <c r="D970" s="159">
        <v>95.76</v>
      </c>
      <c r="E970" s="159">
        <v>379.5</v>
      </c>
      <c r="F970" s="159">
        <v>36340.92</v>
      </c>
      <c r="G970" s="160" t="s">
        <v>5447</v>
      </c>
      <c r="H970" s="34" t="s">
        <v>925</v>
      </c>
    </row>
    <row r="971" spans="1:8" ht="33">
      <c r="A971" s="160">
        <v>6</v>
      </c>
      <c r="B971" s="160" t="s">
        <v>4871</v>
      </c>
      <c r="C971" s="157" t="s">
        <v>927</v>
      </c>
      <c r="D971" s="159">
        <v>53.2</v>
      </c>
      <c r="E971" s="159">
        <v>260.08999999999997</v>
      </c>
      <c r="F971" s="159">
        <v>13836.79</v>
      </c>
      <c r="G971" s="160" t="s">
        <v>5435</v>
      </c>
      <c r="H971" s="34" t="s">
        <v>925</v>
      </c>
    </row>
    <row r="972" spans="1:8" ht="16.5">
      <c r="A972" s="160">
        <v>7</v>
      </c>
      <c r="B972" s="160" t="s">
        <v>1342</v>
      </c>
      <c r="C972" s="157" t="s">
        <v>18</v>
      </c>
      <c r="D972" s="159">
        <v>10</v>
      </c>
      <c r="E972" s="159">
        <v>33.32</v>
      </c>
      <c r="F972" s="159">
        <v>333.2</v>
      </c>
      <c r="G972" s="160" t="s">
        <v>2</v>
      </c>
    </row>
    <row r="973" spans="1:8" ht="33">
      <c r="A973" s="160">
        <v>8</v>
      </c>
      <c r="B973" s="160" t="s">
        <v>1344</v>
      </c>
      <c r="C973" s="157" t="s">
        <v>18</v>
      </c>
      <c r="D973" s="159">
        <v>10</v>
      </c>
      <c r="E973" s="159">
        <v>33.32</v>
      </c>
      <c r="F973" s="159">
        <v>333.2</v>
      </c>
      <c r="G973" s="160" t="s">
        <v>2</v>
      </c>
      <c r="H973" s="34" t="s">
        <v>925</v>
      </c>
    </row>
    <row r="974" spans="1:8" ht="33">
      <c r="A974" s="160">
        <v>9</v>
      </c>
      <c r="B974" s="160" t="s">
        <v>931</v>
      </c>
      <c r="C974" s="157" t="s">
        <v>14</v>
      </c>
      <c r="D974" s="159">
        <v>1</v>
      </c>
      <c r="E974" s="159">
        <v>1862.85</v>
      </c>
      <c r="F974" s="159">
        <v>1862.85</v>
      </c>
      <c r="G974" s="160" t="s">
        <v>2</v>
      </c>
      <c r="H974" s="34" t="s">
        <v>925</v>
      </c>
    </row>
    <row r="975" spans="1:8" ht="33">
      <c r="A975" s="160"/>
      <c r="B975" s="160" t="s">
        <v>933</v>
      </c>
      <c r="C975" s="157" t="s">
        <v>3</v>
      </c>
      <c r="D975" s="159">
        <v>100</v>
      </c>
      <c r="E975" s="159"/>
      <c r="F975" s="159">
        <v>63957.819999999992</v>
      </c>
      <c r="G975" s="160"/>
      <c r="H975" s="34" t="s">
        <v>925</v>
      </c>
    </row>
    <row r="976" spans="1:8" ht="33">
      <c r="A976" s="160"/>
      <c r="B976" s="160" t="s">
        <v>934</v>
      </c>
      <c r="C976" s="157" t="s">
        <v>3</v>
      </c>
      <c r="D976" s="159"/>
      <c r="E976" s="159"/>
      <c r="F976" s="159">
        <v>639.58000000000004</v>
      </c>
      <c r="G976" s="160"/>
      <c r="H976" s="34" t="s">
        <v>925</v>
      </c>
    </row>
    <row r="977" spans="1:8" ht="33">
      <c r="A977" s="160"/>
      <c r="B977" s="160"/>
      <c r="C977" s="157"/>
      <c r="D977" s="159"/>
      <c r="E977" s="159"/>
      <c r="F977" s="159"/>
      <c r="G977" s="160"/>
      <c r="H977" s="34" t="s">
        <v>925</v>
      </c>
    </row>
    <row r="978" spans="1:8" ht="33">
      <c r="A978" s="160" t="s">
        <v>1424</v>
      </c>
      <c r="B978" s="160" t="s">
        <v>4531</v>
      </c>
      <c r="C978" s="157" t="s">
        <v>3</v>
      </c>
      <c r="D978" s="159">
        <v>100</v>
      </c>
      <c r="E978" s="159">
        <v>1016.51</v>
      </c>
      <c r="F978" s="159"/>
      <c r="G978" s="160" t="s">
        <v>2</v>
      </c>
      <c r="H978" s="34" t="s">
        <v>925</v>
      </c>
    </row>
    <row r="979" spans="1:8" ht="33">
      <c r="A979" s="160">
        <v>1</v>
      </c>
      <c r="B979" s="160" t="s">
        <v>1335</v>
      </c>
      <c r="C979" s="157" t="s">
        <v>0</v>
      </c>
      <c r="D979" s="159">
        <v>0.23</v>
      </c>
      <c r="E979" s="159">
        <v>19993</v>
      </c>
      <c r="F979" s="159">
        <v>4598.3900000000003</v>
      </c>
      <c r="G979" s="160" t="s">
        <v>5446</v>
      </c>
      <c r="H979" s="34" t="s">
        <v>925</v>
      </c>
    </row>
    <row r="980" spans="1:8" ht="33">
      <c r="A980" s="160">
        <v>2</v>
      </c>
      <c r="B980" s="160" t="s">
        <v>1336</v>
      </c>
      <c r="C980" s="157" t="s">
        <v>0</v>
      </c>
      <c r="D980" s="159">
        <v>0.13</v>
      </c>
      <c r="E980" s="159">
        <v>21288.84</v>
      </c>
      <c r="F980" s="159">
        <v>2767.55</v>
      </c>
      <c r="G980" s="160" t="s">
        <v>2</v>
      </c>
      <c r="H980" s="34" t="s">
        <v>925</v>
      </c>
    </row>
    <row r="981" spans="1:8" ht="16.5">
      <c r="A981" s="160">
        <v>3</v>
      </c>
      <c r="B981" s="160" t="s">
        <v>1338</v>
      </c>
      <c r="C981" s="157" t="s">
        <v>3</v>
      </c>
      <c r="D981" s="159">
        <v>33.299999999999997</v>
      </c>
      <c r="E981" s="159">
        <v>77.75</v>
      </c>
      <c r="F981" s="159">
        <v>2589.08</v>
      </c>
      <c r="G981" s="160" t="s">
        <v>2</v>
      </c>
    </row>
    <row r="982" spans="1:8" ht="33">
      <c r="A982" s="160">
        <v>4</v>
      </c>
      <c r="B982" s="160" t="s">
        <v>1354</v>
      </c>
      <c r="C982" s="157" t="s">
        <v>14</v>
      </c>
      <c r="D982" s="159">
        <v>1</v>
      </c>
      <c r="E982" s="159">
        <v>1295.8399999999999</v>
      </c>
      <c r="F982" s="159">
        <v>1295.8399999999999</v>
      </c>
      <c r="G982" s="160" t="s">
        <v>2</v>
      </c>
      <c r="H982" s="34" t="s">
        <v>925</v>
      </c>
    </row>
    <row r="983" spans="1:8" ht="33">
      <c r="A983" s="160">
        <v>5</v>
      </c>
      <c r="B983" s="160" t="s">
        <v>4930</v>
      </c>
      <c r="C983" s="157" t="s">
        <v>927</v>
      </c>
      <c r="D983" s="159">
        <v>82.8</v>
      </c>
      <c r="E983" s="159">
        <v>758.99</v>
      </c>
      <c r="F983" s="159">
        <v>62844.37</v>
      </c>
      <c r="G983" s="160" t="s">
        <v>5447</v>
      </c>
      <c r="H983" s="34" t="s">
        <v>925</v>
      </c>
    </row>
    <row r="984" spans="1:8" ht="33">
      <c r="A984" s="160">
        <v>6</v>
      </c>
      <c r="B984" s="160" t="s">
        <v>4874</v>
      </c>
      <c r="C984" s="157" t="s">
        <v>927</v>
      </c>
      <c r="D984" s="159">
        <v>46</v>
      </c>
      <c r="E984" s="159">
        <v>520.19000000000005</v>
      </c>
      <c r="F984" s="159">
        <v>23928.74</v>
      </c>
      <c r="G984" s="160" t="s">
        <v>5436</v>
      </c>
      <c r="H984" s="34" t="s">
        <v>925</v>
      </c>
    </row>
    <row r="985" spans="1:8" ht="33">
      <c r="A985" s="160">
        <v>7</v>
      </c>
      <c r="B985" s="160" t="s">
        <v>1342</v>
      </c>
      <c r="C985" s="157" t="s">
        <v>18</v>
      </c>
      <c r="D985" s="159">
        <v>10</v>
      </c>
      <c r="E985" s="159">
        <v>33.32</v>
      </c>
      <c r="F985" s="159">
        <v>333.2</v>
      </c>
      <c r="G985" s="160" t="s">
        <v>2</v>
      </c>
      <c r="H985" s="34" t="s">
        <v>925</v>
      </c>
    </row>
    <row r="986" spans="1:8" ht="33">
      <c r="A986" s="160">
        <v>8</v>
      </c>
      <c r="B986" s="160" t="s">
        <v>1344</v>
      </c>
      <c r="C986" s="157" t="s">
        <v>18</v>
      </c>
      <c r="D986" s="159">
        <v>10</v>
      </c>
      <c r="E986" s="159">
        <v>33.32</v>
      </c>
      <c r="F986" s="159">
        <v>333.2</v>
      </c>
      <c r="G986" s="160" t="s">
        <v>2</v>
      </c>
      <c r="H986" s="34" t="s">
        <v>925</v>
      </c>
    </row>
    <row r="987" spans="1:8" ht="33">
      <c r="A987" s="160">
        <v>9</v>
      </c>
      <c r="B987" s="160" t="s">
        <v>931</v>
      </c>
      <c r="C987" s="157" t="s">
        <v>14</v>
      </c>
      <c r="D987" s="159">
        <v>1</v>
      </c>
      <c r="E987" s="159">
        <v>2960.71</v>
      </c>
      <c r="F987" s="159">
        <v>2960.71</v>
      </c>
      <c r="G987" s="160" t="s">
        <v>2</v>
      </c>
      <c r="H987" s="34" t="s">
        <v>925</v>
      </c>
    </row>
    <row r="988" spans="1:8" ht="33">
      <c r="A988" s="160"/>
      <c r="B988" s="160" t="s">
        <v>933</v>
      </c>
      <c r="C988" s="157" t="s">
        <v>3</v>
      </c>
      <c r="D988" s="159">
        <v>100</v>
      </c>
      <c r="E988" s="159"/>
      <c r="F988" s="159">
        <v>101651.08000000002</v>
      </c>
      <c r="G988" s="160"/>
      <c r="H988" s="34" t="s">
        <v>925</v>
      </c>
    </row>
    <row r="989" spans="1:8" ht="33">
      <c r="A989" s="160"/>
      <c r="B989" s="160" t="s">
        <v>934</v>
      </c>
      <c r="C989" s="157" t="s">
        <v>3</v>
      </c>
      <c r="D989" s="159"/>
      <c r="E989" s="159"/>
      <c r="F989" s="159">
        <v>1016.51</v>
      </c>
      <c r="G989" s="160"/>
      <c r="H989" s="34" t="s">
        <v>925</v>
      </c>
    </row>
    <row r="990" spans="1:8" ht="16.5">
      <c r="A990" s="160"/>
      <c r="B990" s="160"/>
      <c r="C990" s="157"/>
      <c r="D990" s="159"/>
      <c r="E990" s="159"/>
      <c r="F990" s="159"/>
      <c r="G990" s="160"/>
    </row>
    <row r="991" spans="1:8" ht="33">
      <c r="A991" s="160" t="s">
        <v>1429</v>
      </c>
      <c r="B991" s="160" t="s">
        <v>1357</v>
      </c>
      <c r="C991" s="157" t="s">
        <v>3</v>
      </c>
      <c r="D991" s="159">
        <v>10</v>
      </c>
      <c r="E991" s="159">
        <v>608.94000000000005</v>
      </c>
      <c r="F991" s="159"/>
      <c r="G991" s="160" t="s">
        <v>4372</v>
      </c>
      <c r="H991" s="34" t="s">
        <v>925</v>
      </c>
    </row>
    <row r="992" spans="1:8" ht="33">
      <c r="A992" s="160">
        <v>1</v>
      </c>
      <c r="B992" s="160" t="s">
        <v>1335</v>
      </c>
      <c r="C992" s="157" t="s">
        <v>0</v>
      </c>
      <c r="D992" s="159">
        <v>0.03</v>
      </c>
      <c r="E992" s="159">
        <v>19993</v>
      </c>
      <c r="F992" s="159">
        <v>599.79</v>
      </c>
      <c r="G992" s="160" t="s">
        <v>5446</v>
      </c>
      <c r="H992" s="34" t="s">
        <v>925</v>
      </c>
    </row>
    <row r="993" spans="1:8" ht="33">
      <c r="A993" s="160">
        <v>2</v>
      </c>
      <c r="B993" s="160" t="s">
        <v>1336</v>
      </c>
      <c r="C993" s="157" t="s">
        <v>0</v>
      </c>
      <c r="D993" s="159">
        <v>0.02</v>
      </c>
      <c r="E993" s="159">
        <v>21288.84</v>
      </c>
      <c r="F993" s="159">
        <v>425.78</v>
      </c>
      <c r="G993" s="160" t="s">
        <v>2</v>
      </c>
      <c r="H993" s="34" t="s">
        <v>925</v>
      </c>
    </row>
    <row r="994" spans="1:8" ht="33">
      <c r="A994" s="160">
        <v>3</v>
      </c>
      <c r="B994" s="160" t="s">
        <v>1349</v>
      </c>
      <c r="C994" s="157" t="s">
        <v>14</v>
      </c>
      <c r="D994" s="159">
        <v>1</v>
      </c>
      <c r="E994" s="159">
        <v>214.74</v>
      </c>
      <c r="F994" s="159">
        <v>214.74</v>
      </c>
      <c r="G994" s="160" t="s">
        <v>2</v>
      </c>
      <c r="H994" s="34" t="s">
        <v>925</v>
      </c>
    </row>
    <row r="995" spans="1:8" ht="33">
      <c r="A995" s="160">
        <v>4</v>
      </c>
      <c r="B995" s="160" t="s">
        <v>4927</v>
      </c>
      <c r="C995" s="157" t="s">
        <v>927</v>
      </c>
      <c r="D995" s="159">
        <v>7.2</v>
      </c>
      <c r="E995" s="159">
        <v>379.5</v>
      </c>
      <c r="F995" s="159">
        <v>2732.4</v>
      </c>
      <c r="G995" s="160" t="s">
        <v>5447</v>
      </c>
      <c r="H995" s="34" t="s">
        <v>925</v>
      </c>
    </row>
    <row r="996" spans="1:8" ht="33">
      <c r="A996" s="160">
        <v>5</v>
      </c>
      <c r="B996" s="160" t="s">
        <v>4871</v>
      </c>
      <c r="C996" s="157" t="s">
        <v>927</v>
      </c>
      <c r="D996" s="159">
        <v>7.2</v>
      </c>
      <c r="E996" s="159">
        <v>260.08999999999997</v>
      </c>
      <c r="F996" s="159">
        <v>1872.65</v>
      </c>
      <c r="G996" s="160" t="s">
        <v>2</v>
      </c>
      <c r="H996" s="34" t="s">
        <v>925</v>
      </c>
    </row>
    <row r="997" spans="1:8" ht="33">
      <c r="A997" s="160">
        <v>6</v>
      </c>
      <c r="B997" s="160" t="s">
        <v>1342</v>
      </c>
      <c r="C997" s="157" t="s">
        <v>18</v>
      </c>
      <c r="D997" s="159">
        <v>1</v>
      </c>
      <c r="E997" s="159">
        <v>33.32</v>
      </c>
      <c r="F997" s="159">
        <v>33.32</v>
      </c>
      <c r="G997" s="160" t="s">
        <v>2</v>
      </c>
      <c r="H997" s="34" t="s">
        <v>925</v>
      </c>
    </row>
    <row r="998" spans="1:8" ht="33">
      <c r="A998" s="160">
        <v>7</v>
      </c>
      <c r="B998" s="160" t="s">
        <v>1344</v>
      </c>
      <c r="C998" s="157" t="s">
        <v>18</v>
      </c>
      <c r="D998" s="159">
        <v>1</v>
      </c>
      <c r="E998" s="159">
        <v>33.32</v>
      </c>
      <c r="F998" s="159">
        <v>33.32</v>
      </c>
      <c r="G998" s="160" t="s">
        <v>2</v>
      </c>
      <c r="H998" s="34" t="s">
        <v>925</v>
      </c>
    </row>
    <row r="999" spans="1:8" ht="16.5">
      <c r="A999" s="160">
        <v>8</v>
      </c>
      <c r="B999" s="160" t="s">
        <v>931</v>
      </c>
      <c r="C999" s="157" t="s">
        <v>14</v>
      </c>
      <c r="D999" s="159">
        <v>1</v>
      </c>
      <c r="E999" s="159">
        <v>177.36</v>
      </c>
      <c r="F999" s="159">
        <v>177.36</v>
      </c>
      <c r="G999" s="160" t="s">
        <v>2</v>
      </c>
    </row>
    <row r="1000" spans="1:8" ht="33">
      <c r="A1000" s="160"/>
      <c r="B1000" s="160" t="s">
        <v>933</v>
      </c>
      <c r="C1000" s="157" t="s">
        <v>3</v>
      </c>
      <c r="D1000" s="159">
        <v>10</v>
      </c>
      <c r="E1000" s="159"/>
      <c r="F1000" s="159">
        <v>6089.36</v>
      </c>
      <c r="G1000" s="160"/>
      <c r="H1000" s="34" t="s">
        <v>925</v>
      </c>
    </row>
    <row r="1001" spans="1:8" ht="33">
      <c r="A1001" s="160"/>
      <c r="B1001" s="160" t="s">
        <v>934</v>
      </c>
      <c r="C1001" s="157" t="s">
        <v>3</v>
      </c>
      <c r="D1001" s="159"/>
      <c r="E1001" s="159"/>
      <c r="F1001" s="159">
        <v>608.94000000000005</v>
      </c>
      <c r="G1001" s="160"/>
      <c r="H1001" s="34" t="s">
        <v>925</v>
      </c>
    </row>
    <row r="1002" spans="1:8" ht="33">
      <c r="A1002" s="160"/>
      <c r="B1002" s="160"/>
      <c r="C1002" s="157"/>
      <c r="D1002" s="159"/>
      <c r="E1002" s="159"/>
      <c r="F1002" s="159"/>
      <c r="G1002" s="160"/>
      <c r="H1002" s="34" t="s">
        <v>925</v>
      </c>
    </row>
    <row r="1003" spans="1:8" ht="71.25">
      <c r="A1003" s="160" t="s">
        <v>1430</v>
      </c>
      <c r="B1003" s="160" t="s">
        <v>1392</v>
      </c>
      <c r="C1003" s="157" t="s">
        <v>3</v>
      </c>
      <c r="D1003" s="159">
        <v>10</v>
      </c>
      <c r="E1003" s="159">
        <v>765.73</v>
      </c>
      <c r="F1003" s="159"/>
      <c r="G1003" s="160" t="s">
        <v>4375</v>
      </c>
      <c r="H1003" s="34" t="s">
        <v>925</v>
      </c>
    </row>
    <row r="1004" spans="1:8" ht="33">
      <c r="A1004" s="160">
        <v>1</v>
      </c>
      <c r="B1004" s="160" t="s">
        <v>1335</v>
      </c>
      <c r="C1004" s="157" t="s">
        <v>0</v>
      </c>
      <c r="D1004" s="159">
        <v>0.03</v>
      </c>
      <c r="E1004" s="159">
        <v>19993</v>
      </c>
      <c r="F1004" s="159">
        <v>599.79</v>
      </c>
      <c r="G1004" s="160" t="s">
        <v>5446</v>
      </c>
      <c r="H1004" s="34" t="s">
        <v>925</v>
      </c>
    </row>
    <row r="1005" spans="1:8" ht="33">
      <c r="A1005" s="160">
        <v>2</v>
      </c>
      <c r="B1005" s="160" t="s">
        <v>1336</v>
      </c>
      <c r="C1005" s="157" t="s">
        <v>0</v>
      </c>
      <c r="D1005" s="159">
        <v>0.02</v>
      </c>
      <c r="E1005" s="159">
        <v>21288.84</v>
      </c>
      <c r="F1005" s="159">
        <v>425.78</v>
      </c>
      <c r="G1005" s="160" t="s">
        <v>2</v>
      </c>
      <c r="H1005" s="34" t="s">
        <v>925</v>
      </c>
    </row>
    <row r="1006" spans="1:8" ht="33">
      <c r="A1006" s="160">
        <v>3</v>
      </c>
      <c r="B1006" s="160" t="s">
        <v>1349</v>
      </c>
      <c r="C1006" s="157" t="s">
        <v>14</v>
      </c>
      <c r="D1006" s="159">
        <v>1</v>
      </c>
      <c r="E1006" s="159">
        <v>214.74</v>
      </c>
      <c r="F1006" s="159">
        <v>214.74</v>
      </c>
      <c r="G1006" s="160" t="s">
        <v>2</v>
      </c>
      <c r="H1006" s="34" t="s">
        <v>925</v>
      </c>
    </row>
    <row r="1007" spans="1:8" ht="33">
      <c r="A1007" s="160">
        <v>4</v>
      </c>
      <c r="B1007" s="160" t="s">
        <v>4927</v>
      </c>
      <c r="C1007" s="157" t="s">
        <v>927</v>
      </c>
      <c r="D1007" s="159">
        <v>9.58</v>
      </c>
      <c r="E1007" s="159">
        <v>379.5</v>
      </c>
      <c r="F1007" s="159">
        <v>3635.61</v>
      </c>
      <c r="G1007" s="160" t="s">
        <v>5447</v>
      </c>
      <c r="H1007" s="34" t="s">
        <v>925</v>
      </c>
    </row>
    <row r="1008" spans="1:8" ht="16.5">
      <c r="A1008" s="160">
        <v>5</v>
      </c>
      <c r="B1008" s="160" t="s">
        <v>4871</v>
      </c>
      <c r="C1008" s="157" t="s">
        <v>927</v>
      </c>
      <c r="D1008" s="159">
        <v>9.58</v>
      </c>
      <c r="E1008" s="159">
        <v>260.08999999999997</v>
      </c>
      <c r="F1008" s="159">
        <v>2491.66</v>
      </c>
      <c r="G1008" s="160" t="s">
        <v>5435</v>
      </c>
    </row>
    <row r="1009" spans="1:8" ht="33">
      <c r="A1009" s="160">
        <v>6</v>
      </c>
      <c r="B1009" s="160" t="s">
        <v>1342</v>
      </c>
      <c r="C1009" s="157" t="s">
        <v>18</v>
      </c>
      <c r="D1009" s="159">
        <v>1</v>
      </c>
      <c r="E1009" s="159">
        <v>33.32</v>
      </c>
      <c r="F1009" s="159">
        <v>33.32</v>
      </c>
      <c r="G1009" s="160" t="s">
        <v>2</v>
      </c>
      <c r="H1009" s="34" t="s">
        <v>925</v>
      </c>
    </row>
    <row r="1010" spans="1:8" ht="33">
      <c r="A1010" s="160">
        <v>7</v>
      </c>
      <c r="B1010" s="160" t="s">
        <v>1344</v>
      </c>
      <c r="C1010" s="157" t="s">
        <v>18</v>
      </c>
      <c r="D1010" s="159">
        <v>1</v>
      </c>
      <c r="E1010" s="159">
        <v>33.32</v>
      </c>
      <c r="F1010" s="159">
        <v>33.32</v>
      </c>
      <c r="G1010" s="160" t="s">
        <v>2</v>
      </c>
      <c r="H1010" s="34" t="s">
        <v>925</v>
      </c>
    </row>
    <row r="1011" spans="1:8" ht="33">
      <c r="A1011" s="160">
        <v>8</v>
      </c>
      <c r="B1011" s="160" t="s">
        <v>931</v>
      </c>
      <c r="C1011" s="157" t="s">
        <v>14</v>
      </c>
      <c r="D1011" s="159">
        <v>1</v>
      </c>
      <c r="E1011" s="159">
        <v>223.03</v>
      </c>
      <c r="F1011" s="159">
        <v>223.03</v>
      </c>
      <c r="G1011" s="160" t="s">
        <v>2</v>
      </c>
      <c r="H1011" s="34" t="s">
        <v>925</v>
      </c>
    </row>
    <row r="1012" spans="1:8" ht="33">
      <c r="A1012" s="160"/>
      <c r="B1012" s="160" t="s">
        <v>933</v>
      </c>
      <c r="C1012" s="157" t="s">
        <v>3</v>
      </c>
      <c r="D1012" s="159">
        <v>10</v>
      </c>
      <c r="E1012" s="159"/>
      <c r="F1012" s="159">
        <v>7657.2499999999991</v>
      </c>
      <c r="G1012" s="160"/>
      <c r="H1012" s="34" t="s">
        <v>925</v>
      </c>
    </row>
    <row r="1013" spans="1:8" ht="33">
      <c r="A1013" s="160"/>
      <c r="B1013" s="160" t="s">
        <v>934</v>
      </c>
      <c r="C1013" s="157" t="s">
        <v>3</v>
      </c>
      <c r="D1013" s="159"/>
      <c r="E1013" s="159"/>
      <c r="F1013" s="159">
        <v>765.73</v>
      </c>
      <c r="G1013" s="160"/>
      <c r="H1013" s="34" t="s">
        <v>925</v>
      </c>
    </row>
    <row r="1014" spans="1:8" ht="33">
      <c r="A1014" s="160"/>
      <c r="B1014" s="160"/>
      <c r="C1014" s="157"/>
      <c r="D1014" s="159"/>
      <c r="E1014" s="159"/>
      <c r="F1014" s="159"/>
      <c r="G1014" s="160"/>
      <c r="H1014" s="34" t="s">
        <v>925</v>
      </c>
    </row>
    <row r="1015" spans="1:8" ht="33">
      <c r="A1015" s="160" t="s">
        <v>1432</v>
      </c>
      <c r="B1015" s="160" t="s">
        <v>1360</v>
      </c>
      <c r="C1015" s="157" t="s">
        <v>3</v>
      </c>
      <c r="D1015" s="159">
        <v>10</v>
      </c>
      <c r="E1015" s="159">
        <v>387.95</v>
      </c>
      <c r="F1015" s="159"/>
      <c r="G1015" s="160" t="s">
        <v>4373</v>
      </c>
      <c r="H1015" s="34" t="s">
        <v>925</v>
      </c>
    </row>
    <row r="1016" spans="1:8" ht="33">
      <c r="A1016" s="160">
        <v>1</v>
      </c>
      <c r="B1016" s="160" t="s">
        <v>1335</v>
      </c>
      <c r="C1016" s="157" t="s">
        <v>0</v>
      </c>
      <c r="D1016" s="159">
        <v>0.02</v>
      </c>
      <c r="E1016" s="159">
        <v>19993</v>
      </c>
      <c r="F1016" s="159">
        <v>399.86</v>
      </c>
      <c r="G1016" s="160" t="s">
        <v>5446</v>
      </c>
      <c r="H1016" s="34" t="s">
        <v>925</v>
      </c>
    </row>
    <row r="1017" spans="1:8" ht="28.5">
      <c r="A1017" s="160">
        <v>2</v>
      </c>
      <c r="B1017" s="160" t="s">
        <v>1336</v>
      </c>
      <c r="C1017" s="157" t="s">
        <v>0</v>
      </c>
      <c r="D1017" s="159">
        <v>0.01</v>
      </c>
      <c r="E1017" s="159">
        <v>21288.84</v>
      </c>
      <c r="F1017" s="159">
        <v>212.89</v>
      </c>
      <c r="G1017" s="160" t="s">
        <v>2</v>
      </c>
    </row>
    <row r="1018" spans="1:8" ht="33">
      <c r="A1018" s="160">
        <v>3</v>
      </c>
      <c r="B1018" s="160" t="s">
        <v>1354</v>
      </c>
      <c r="C1018" s="157" t="s">
        <v>14</v>
      </c>
      <c r="D1018" s="159">
        <v>1</v>
      </c>
      <c r="E1018" s="159">
        <v>129.58000000000001</v>
      </c>
      <c r="F1018" s="159">
        <v>129.58000000000001</v>
      </c>
      <c r="G1018" s="160" t="s">
        <v>2</v>
      </c>
      <c r="H1018" s="34" t="s">
        <v>925</v>
      </c>
    </row>
    <row r="1019" spans="1:8" ht="33">
      <c r="A1019" s="160">
        <v>4</v>
      </c>
      <c r="B1019" s="160" t="s">
        <v>4927</v>
      </c>
      <c r="C1019" s="157" t="s">
        <v>927</v>
      </c>
      <c r="D1019" s="159">
        <v>5.6</v>
      </c>
      <c r="E1019" s="159">
        <v>379.5</v>
      </c>
      <c r="F1019" s="159">
        <v>2125.1999999999998</v>
      </c>
      <c r="G1019" s="160" t="s">
        <v>5447</v>
      </c>
      <c r="H1019" s="34" t="s">
        <v>925</v>
      </c>
    </row>
    <row r="1020" spans="1:8" ht="33">
      <c r="A1020" s="160">
        <v>5</v>
      </c>
      <c r="B1020" s="160" t="s">
        <v>4871</v>
      </c>
      <c r="C1020" s="157" t="s">
        <v>927</v>
      </c>
      <c r="D1020" s="159">
        <v>3.2</v>
      </c>
      <c r="E1020" s="159">
        <v>260.08999999999997</v>
      </c>
      <c r="F1020" s="159">
        <v>832.29</v>
      </c>
      <c r="G1020" s="160" t="s">
        <v>2</v>
      </c>
      <c r="H1020" s="34" t="s">
        <v>925</v>
      </c>
    </row>
    <row r="1021" spans="1:8" ht="33">
      <c r="A1021" s="160">
        <v>6</v>
      </c>
      <c r="B1021" s="160" t="s">
        <v>1342</v>
      </c>
      <c r="C1021" s="157" t="s">
        <v>18</v>
      </c>
      <c r="D1021" s="159">
        <v>1</v>
      </c>
      <c r="E1021" s="159">
        <v>33.32</v>
      </c>
      <c r="F1021" s="159">
        <v>33.32</v>
      </c>
      <c r="G1021" s="160" t="s">
        <v>2</v>
      </c>
      <c r="H1021" s="34" t="s">
        <v>925</v>
      </c>
    </row>
    <row r="1022" spans="1:8" ht="33">
      <c r="A1022" s="160">
        <v>7</v>
      </c>
      <c r="B1022" s="160" t="s">
        <v>1344</v>
      </c>
      <c r="C1022" s="157" t="s">
        <v>18</v>
      </c>
      <c r="D1022" s="159">
        <v>1</v>
      </c>
      <c r="E1022" s="159">
        <v>33.32</v>
      </c>
      <c r="F1022" s="159">
        <v>33.32</v>
      </c>
      <c r="G1022" s="160" t="s">
        <v>2</v>
      </c>
      <c r="H1022" s="34" t="s">
        <v>925</v>
      </c>
    </row>
    <row r="1023" spans="1:8" ht="33">
      <c r="A1023" s="160">
        <v>8</v>
      </c>
      <c r="B1023" s="160" t="s">
        <v>931</v>
      </c>
      <c r="C1023" s="157" t="s">
        <v>14</v>
      </c>
      <c r="D1023" s="159">
        <v>1</v>
      </c>
      <c r="E1023" s="159">
        <v>112.99</v>
      </c>
      <c r="F1023" s="159">
        <v>112.99</v>
      </c>
      <c r="G1023" s="160" t="s">
        <v>2</v>
      </c>
      <c r="H1023" s="34" t="s">
        <v>925</v>
      </c>
    </row>
    <row r="1024" spans="1:8" ht="33">
      <c r="A1024" s="160"/>
      <c r="B1024" s="160" t="s">
        <v>933</v>
      </c>
      <c r="C1024" s="157" t="s">
        <v>3</v>
      </c>
      <c r="D1024" s="159">
        <v>10</v>
      </c>
      <c r="E1024" s="159"/>
      <c r="F1024" s="159">
        <v>3879.45</v>
      </c>
      <c r="G1024" s="160"/>
      <c r="H1024" s="34" t="s">
        <v>925</v>
      </c>
    </row>
    <row r="1025" spans="1:8" ht="33">
      <c r="A1025" s="160"/>
      <c r="B1025" s="160" t="s">
        <v>934</v>
      </c>
      <c r="C1025" s="157" t="s">
        <v>3</v>
      </c>
      <c r="D1025" s="159"/>
      <c r="E1025" s="159"/>
      <c r="F1025" s="159">
        <v>387.95</v>
      </c>
      <c r="G1025" s="160"/>
      <c r="H1025" s="34" t="s">
        <v>925</v>
      </c>
    </row>
    <row r="1026" spans="1:8" ht="16.5">
      <c r="A1026" s="160"/>
      <c r="B1026" s="160"/>
      <c r="C1026" s="157"/>
      <c r="D1026" s="159"/>
      <c r="E1026" s="159"/>
      <c r="F1026" s="159"/>
      <c r="G1026" s="160"/>
    </row>
    <row r="1027" spans="1:8" ht="57">
      <c r="A1027" s="160" t="s">
        <v>1434</v>
      </c>
      <c r="B1027" s="160" t="s">
        <v>1395</v>
      </c>
      <c r="C1027" s="157" t="s">
        <v>3</v>
      </c>
      <c r="D1027" s="159">
        <v>10</v>
      </c>
      <c r="E1027" s="159">
        <v>488.66</v>
      </c>
      <c r="F1027" s="159"/>
      <c r="G1027" s="160" t="s">
        <v>4376</v>
      </c>
      <c r="H1027" s="34" t="s">
        <v>925</v>
      </c>
    </row>
    <row r="1028" spans="1:8" ht="33">
      <c r="A1028" s="160">
        <v>1</v>
      </c>
      <c r="B1028" s="160" t="s">
        <v>1335</v>
      </c>
      <c r="C1028" s="157" t="s">
        <v>0</v>
      </c>
      <c r="D1028" s="159">
        <v>0.02</v>
      </c>
      <c r="E1028" s="159">
        <v>19993</v>
      </c>
      <c r="F1028" s="159">
        <v>399.86</v>
      </c>
      <c r="G1028" s="160" t="s">
        <v>5446</v>
      </c>
      <c r="H1028" s="34" t="s">
        <v>925</v>
      </c>
    </row>
    <row r="1029" spans="1:8" ht="33">
      <c r="A1029" s="160">
        <v>2</v>
      </c>
      <c r="B1029" s="160" t="s">
        <v>1336</v>
      </c>
      <c r="C1029" s="157" t="s">
        <v>0</v>
      </c>
      <c r="D1029" s="159">
        <v>0.01</v>
      </c>
      <c r="E1029" s="159">
        <v>21288.84</v>
      </c>
      <c r="F1029" s="159">
        <v>212.89</v>
      </c>
      <c r="G1029" s="160" t="s">
        <v>2</v>
      </c>
      <c r="H1029" s="34" t="s">
        <v>925</v>
      </c>
    </row>
    <row r="1030" spans="1:8" ht="33">
      <c r="A1030" s="160">
        <v>3</v>
      </c>
      <c r="B1030" s="160" t="s">
        <v>1354</v>
      </c>
      <c r="C1030" s="157" t="s">
        <v>14</v>
      </c>
      <c r="D1030" s="159">
        <v>1</v>
      </c>
      <c r="E1030" s="159">
        <v>129.58000000000001</v>
      </c>
      <c r="F1030" s="159">
        <v>129.58000000000001</v>
      </c>
      <c r="G1030" s="160" t="s">
        <v>2</v>
      </c>
      <c r="H1030" s="34" t="s">
        <v>925</v>
      </c>
    </row>
    <row r="1031" spans="1:8" ht="33">
      <c r="A1031" s="160">
        <v>4</v>
      </c>
      <c r="B1031" s="160" t="s">
        <v>4927</v>
      </c>
      <c r="C1031" s="157" t="s">
        <v>927</v>
      </c>
      <c r="D1031" s="159">
        <v>7.45</v>
      </c>
      <c r="E1031" s="159">
        <v>379.5</v>
      </c>
      <c r="F1031" s="159">
        <v>2827.28</v>
      </c>
      <c r="G1031" s="160" t="s">
        <v>5447</v>
      </c>
      <c r="H1031" s="34" t="s">
        <v>925</v>
      </c>
    </row>
    <row r="1032" spans="1:8" ht="33">
      <c r="A1032" s="160">
        <v>5</v>
      </c>
      <c r="B1032" s="160" t="s">
        <v>4871</v>
      </c>
      <c r="C1032" s="157" t="s">
        <v>927</v>
      </c>
      <c r="D1032" s="159">
        <v>4.26</v>
      </c>
      <c r="E1032" s="159">
        <v>260.08999999999997</v>
      </c>
      <c r="F1032" s="159">
        <v>1107.98</v>
      </c>
      <c r="G1032" s="160" t="s">
        <v>5435</v>
      </c>
      <c r="H1032" s="34" t="s">
        <v>925</v>
      </c>
    </row>
    <row r="1033" spans="1:8" ht="33">
      <c r="A1033" s="160">
        <v>6</v>
      </c>
      <c r="B1033" s="160" t="s">
        <v>1342</v>
      </c>
      <c r="C1033" s="157" t="s">
        <v>18</v>
      </c>
      <c r="D1033" s="159">
        <v>1</v>
      </c>
      <c r="E1033" s="159">
        <v>33.32</v>
      </c>
      <c r="F1033" s="159">
        <v>33.32</v>
      </c>
      <c r="G1033" s="160" t="s">
        <v>2</v>
      </c>
      <c r="H1033" s="34" t="s">
        <v>925</v>
      </c>
    </row>
    <row r="1034" spans="1:8" ht="33">
      <c r="A1034" s="160">
        <v>7</v>
      </c>
      <c r="B1034" s="160" t="s">
        <v>1344</v>
      </c>
      <c r="C1034" s="157" t="s">
        <v>18</v>
      </c>
      <c r="D1034" s="159">
        <v>1</v>
      </c>
      <c r="E1034" s="159">
        <v>33.32</v>
      </c>
      <c r="F1034" s="159">
        <v>33.32</v>
      </c>
      <c r="G1034" s="160" t="s">
        <v>2</v>
      </c>
      <c r="H1034" s="34" t="s">
        <v>925</v>
      </c>
    </row>
    <row r="1035" spans="1:8" ht="16.5">
      <c r="A1035" s="160">
        <v>8</v>
      </c>
      <c r="B1035" s="160" t="s">
        <v>931</v>
      </c>
      <c r="C1035" s="157" t="s">
        <v>14</v>
      </c>
      <c r="D1035" s="159">
        <v>1</v>
      </c>
      <c r="E1035" s="159">
        <v>142.33000000000001</v>
      </c>
      <c r="F1035" s="159">
        <v>142.33000000000001</v>
      </c>
      <c r="G1035" s="160" t="s">
        <v>2</v>
      </c>
    </row>
    <row r="1036" spans="1:8" ht="33">
      <c r="A1036" s="160"/>
      <c r="B1036" s="160" t="s">
        <v>933</v>
      </c>
      <c r="C1036" s="157" t="s">
        <v>3</v>
      </c>
      <c r="D1036" s="159">
        <v>10</v>
      </c>
      <c r="E1036" s="159"/>
      <c r="F1036" s="159">
        <v>4886.5599999999995</v>
      </c>
      <c r="G1036" s="160"/>
      <c r="H1036" s="34" t="s">
        <v>925</v>
      </c>
    </row>
    <row r="1037" spans="1:8" ht="33">
      <c r="A1037" s="160"/>
      <c r="B1037" s="160" t="s">
        <v>934</v>
      </c>
      <c r="C1037" s="157" t="s">
        <v>3</v>
      </c>
      <c r="D1037" s="159"/>
      <c r="E1037" s="159"/>
      <c r="F1037" s="159">
        <v>488.66</v>
      </c>
      <c r="G1037" s="160"/>
      <c r="H1037" s="34" t="s">
        <v>925</v>
      </c>
    </row>
    <row r="1038" spans="1:8" ht="33">
      <c r="A1038" s="160"/>
      <c r="B1038" s="160"/>
      <c r="C1038" s="157"/>
      <c r="D1038" s="159"/>
      <c r="E1038" s="159"/>
      <c r="F1038" s="159"/>
      <c r="G1038" s="160"/>
      <c r="H1038" s="34" t="s">
        <v>925</v>
      </c>
    </row>
    <row r="1039" spans="1:8" ht="33">
      <c r="A1039" s="160" t="s">
        <v>1436</v>
      </c>
      <c r="B1039" s="160" t="s">
        <v>4537</v>
      </c>
      <c r="C1039" s="157" t="s">
        <v>3</v>
      </c>
      <c r="D1039" s="159">
        <v>10</v>
      </c>
      <c r="E1039" s="159">
        <v>783.95</v>
      </c>
      <c r="F1039" s="159"/>
      <c r="G1039" s="160" t="s">
        <v>4373</v>
      </c>
      <c r="H1039" s="34" t="s">
        <v>925</v>
      </c>
    </row>
    <row r="1040" spans="1:8" ht="33">
      <c r="A1040" s="160">
        <v>1</v>
      </c>
      <c r="B1040" s="160" t="s">
        <v>1335</v>
      </c>
      <c r="C1040" s="157" t="s">
        <v>0</v>
      </c>
      <c r="D1040" s="159">
        <v>0.02</v>
      </c>
      <c r="E1040" s="159">
        <v>19993</v>
      </c>
      <c r="F1040" s="159">
        <v>399.86</v>
      </c>
      <c r="G1040" s="160" t="s">
        <v>5446</v>
      </c>
      <c r="H1040" s="34" t="s">
        <v>925</v>
      </c>
    </row>
    <row r="1041" spans="1:8" ht="33">
      <c r="A1041" s="160">
        <v>2</v>
      </c>
      <c r="B1041" s="160" t="s">
        <v>1336</v>
      </c>
      <c r="C1041" s="157" t="s">
        <v>0</v>
      </c>
      <c r="D1041" s="159">
        <v>0.01</v>
      </c>
      <c r="E1041" s="159">
        <v>21288.84</v>
      </c>
      <c r="F1041" s="159">
        <v>212.89</v>
      </c>
      <c r="G1041" s="160" t="s">
        <v>2</v>
      </c>
      <c r="H1041" s="34" t="s">
        <v>925</v>
      </c>
    </row>
    <row r="1042" spans="1:8" ht="33">
      <c r="A1042" s="160">
        <v>3</v>
      </c>
      <c r="B1042" s="160" t="s">
        <v>1354</v>
      </c>
      <c r="C1042" s="157" t="s">
        <v>14</v>
      </c>
      <c r="D1042" s="159">
        <v>1</v>
      </c>
      <c r="E1042" s="159">
        <v>129.58000000000001</v>
      </c>
      <c r="F1042" s="159">
        <v>129.58000000000001</v>
      </c>
      <c r="G1042" s="160" t="s">
        <v>2</v>
      </c>
      <c r="H1042" s="34" t="s">
        <v>925</v>
      </c>
    </row>
    <row r="1043" spans="1:8" ht="33">
      <c r="A1043" s="160">
        <v>4</v>
      </c>
      <c r="B1043" s="160" t="s">
        <v>4930</v>
      </c>
      <c r="C1043" s="157" t="s">
        <v>927</v>
      </c>
      <c r="D1043" s="159">
        <v>6.44</v>
      </c>
      <c r="E1043" s="159">
        <v>758.99</v>
      </c>
      <c r="F1043" s="159">
        <v>4887.8999999999996</v>
      </c>
      <c r="G1043" s="160" t="s">
        <v>5447</v>
      </c>
      <c r="H1043" s="34" t="s">
        <v>925</v>
      </c>
    </row>
    <row r="1044" spans="1:8" ht="28.5">
      <c r="A1044" s="160">
        <v>5</v>
      </c>
      <c r="B1044" s="160" t="s">
        <v>4874</v>
      </c>
      <c r="C1044" s="157" t="s">
        <v>927</v>
      </c>
      <c r="D1044" s="159">
        <v>3.68</v>
      </c>
      <c r="E1044" s="159">
        <v>520.19000000000005</v>
      </c>
      <c r="F1044" s="159">
        <v>1914.3</v>
      </c>
      <c r="G1044" s="160" t="s">
        <v>5436</v>
      </c>
    </row>
    <row r="1045" spans="1:8" ht="33">
      <c r="A1045" s="160">
        <v>6</v>
      </c>
      <c r="B1045" s="160" t="s">
        <v>1342</v>
      </c>
      <c r="C1045" s="157" t="s">
        <v>18</v>
      </c>
      <c r="D1045" s="159">
        <v>1</v>
      </c>
      <c r="E1045" s="159">
        <v>33.32</v>
      </c>
      <c r="F1045" s="159">
        <v>33.32</v>
      </c>
      <c r="G1045" s="160" t="s">
        <v>2</v>
      </c>
      <c r="H1045" s="34" t="s">
        <v>925</v>
      </c>
    </row>
    <row r="1046" spans="1:8" ht="33">
      <c r="A1046" s="160">
        <v>7</v>
      </c>
      <c r="B1046" s="160" t="s">
        <v>1344</v>
      </c>
      <c r="C1046" s="157" t="s">
        <v>18</v>
      </c>
      <c r="D1046" s="159">
        <v>1</v>
      </c>
      <c r="E1046" s="159">
        <v>33.32</v>
      </c>
      <c r="F1046" s="159">
        <v>33.32</v>
      </c>
      <c r="G1046" s="160" t="s">
        <v>2</v>
      </c>
      <c r="H1046" s="34" t="s">
        <v>925</v>
      </c>
    </row>
    <row r="1047" spans="1:8" ht="33">
      <c r="A1047" s="160">
        <v>8</v>
      </c>
      <c r="B1047" s="160" t="s">
        <v>931</v>
      </c>
      <c r="C1047" s="157" t="s">
        <v>14</v>
      </c>
      <c r="D1047" s="159">
        <v>1</v>
      </c>
      <c r="E1047" s="159">
        <v>228.34</v>
      </c>
      <c r="F1047" s="159">
        <v>228.34</v>
      </c>
      <c r="G1047" s="160" t="s">
        <v>2</v>
      </c>
      <c r="H1047" s="34" t="s">
        <v>925</v>
      </c>
    </row>
    <row r="1048" spans="1:8" ht="33">
      <c r="A1048" s="160"/>
      <c r="B1048" s="160" t="s">
        <v>933</v>
      </c>
      <c r="C1048" s="157" t="s">
        <v>3</v>
      </c>
      <c r="D1048" s="159">
        <v>10</v>
      </c>
      <c r="E1048" s="159"/>
      <c r="F1048" s="159">
        <v>7839.5099999999993</v>
      </c>
      <c r="G1048" s="160"/>
      <c r="H1048" s="34" t="s">
        <v>925</v>
      </c>
    </row>
    <row r="1049" spans="1:8" ht="33">
      <c r="A1049" s="160"/>
      <c r="B1049" s="160" t="s">
        <v>934</v>
      </c>
      <c r="C1049" s="157" t="s">
        <v>3</v>
      </c>
      <c r="D1049" s="159"/>
      <c r="E1049" s="159"/>
      <c r="F1049" s="159">
        <v>783.95</v>
      </c>
      <c r="G1049" s="160"/>
      <c r="H1049" s="34" t="s">
        <v>925</v>
      </c>
    </row>
    <row r="1050" spans="1:8" ht="33">
      <c r="A1050" s="160"/>
      <c r="B1050" s="160"/>
      <c r="C1050" s="157"/>
      <c r="D1050" s="159"/>
      <c r="E1050" s="159"/>
      <c r="F1050" s="159"/>
      <c r="G1050" s="160"/>
      <c r="H1050" s="34" t="s">
        <v>925</v>
      </c>
    </row>
    <row r="1051" spans="1:8" ht="28.5">
      <c r="A1051" s="160" t="s">
        <v>1447</v>
      </c>
      <c r="B1051" s="160" t="s">
        <v>404</v>
      </c>
      <c r="C1051" s="157" t="s">
        <v>17</v>
      </c>
      <c r="D1051" s="159">
        <v>10</v>
      </c>
      <c r="E1051" s="159">
        <v>593.49</v>
      </c>
      <c r="F1051" s="159"/>
      <c r="G1051" s="160" t="s">
        <v>2</v>
      </c>
    </row>
    <row r="1052" spans="1:8" ht="33">
      <c r="A1052" s="160">
        <v>1</v>
      </c>
      <c r="B1052" s="160" t="s">
        <v>1364</v>
      </c>
      <c r="C1052" s="157" t="s">
        <v>3</v>
      </c>
      <c r="D1052" s="159">
        <v>0.25</v>
      </c>
      <c r="E1052" s="159">
        <v>2776.81</v>
      </c>
      <c r="F1052" s="159">
        <v>694.2</v>
      </c>
      <c r="G1052" s="160" t="s">
        <v>5448</v>
      </c>
      <c r="H1052" s="34" t="s">
        <v>925</v>
      </c>
    </row>
    <row r="1053" spans="1:8" ht="33">
      <c r="A1053" s="160">
        <v>2</v>
      </c>
      <c r="B1053" s="160" t="s">
        <v>1366</v>
      </c>
      <c r="C1053" s="157" t="s">
        <v>14</v>
      </c>
      <c r="D1053" s="159">
        <v>1</v>
      </c>
      <c r="E1053" s="159">
        <v>462.8</v>
      </c>
      <c r="F1053" s="159">
        <v>462.8</v>
      </c>
      <c r="G1053" s="160" t="s">
        <v>2</v>
      </c>
      <c r="H1053" s="34" t="s">
        <v>925</v>
      </c>
    </row>
    <row r="1054" spans="1:8" ht="33">
      <c r="A1054" s="160">
        <v>3</v>
      </c>
      <c r="B1054" s="160" t="s">
        <v>4927</v>
      </c>
      <c r="C1054" s="157" t="s">
        <v>927</v>
      </c>
      <c r="D1054" s="159">
        <v>7.2</v>
      </c>
      <c r="E1054" s="159">
        <v>379.5</v>
      </c>
      <c r="F1054" s="159">
        <v>2732.4</v>
      </c>
      <c r="G1054" s="160" t="s">
        <v>5447</v>
      </c>
      <c r="H1054" s="34" t="s">
        <v>925</v>
      </c>
    </row>
    <row r="1055" spans="1:8" ht="33">
      <c r="A1055" s="160">
        <v>4</v>
      </c>
      <c r="B1055" s="160" t="s">
        <v>4871</v>
      </c>
      <c r="C1055" s="157" t="s">
        <v>927</v>
      </c>
      <c r="D1055" s="159">
        <v>7.2</v>
      </c>
      <c r="E1055" s="159">
        <v>260.08999999999997</v>
      </c>
      <c r="F1055" s="159">
        <v>1872.65</v>
      </c>
      <c r="G1055" s="160" t="s">
        <v>5435</v>
      </c>
      <c r="H1055" s="34" t="s">
        <v>925</v>
      </c>
    </row>
    <row r="1056" spans="1:8" ht="33">
      <c r="A1056" s="160">
        <v>5</v>
      </c>
      <c r="B1056" s="160" t="s">
        <v>931</v>
      </c>
      <c r="C1056" s="157" t="s">
        <v>14</v>
      </c>
      <c r="D1056" s="159">
        <v>1</v>
      </c>
      <c r="E1056" s="159">
        <v>172.86</v>
      </c>
      <c r="F1056" s="159">
        <v>172.86</v>
      </c>
      <c r="G1056" s="160" t="s">
        <v>2</v>
      </c>
      <c r="H1056" s="34" t="s">
        <v>925</v>
      </c>
    </row>
    <row r="1057" spans="1:8" ht="33">
      <c r="A1057" s="160"/>
      <c r="B1057" s="160" t="s">
        <v>933</v>
      </c>
      <c r="C1057" s="157" t="s">
        <v>17</v>
      </c>
      <c r="D1057" s="159">
        <v>10</v>
      </c>
      <c r="E1057" s="159"/>
      <c r="F1057" s="159">
        <v>5934.91</v>
      </c>
      <c r="G1057" s="160"/>
      <c r="H1057" s="34" t="s">
        <v>925</v>
      </c>
    </row>
    <row r="1058" spans="1:8" ht="16.5">
      <c r="A1058" s="160"/>
      <c r="B1058" s="160" t="s">
        <v>934</v>
      </c>
      <c r="C1058" s="157" t="s">
        <v>17</v>
      </c>
      <c r="D1058" s="159"/>
      <c r="E1058" s="159"/>
      <c r="F1058" s="159">
        <v>593.49</v>
      </c>
      <c r="G1058" s="160"/>
    </row>
    <row r="1059" spans="1:8" ht="33">
      <c r="A1059" s="160"/>
      <c r="B1059" s="160"/>
      <c r="C1059" s="157"/>
      <c r="D1059" s="159"/>
      <c r="E1059" s="159"/>
      <c r="F1059" s="159"/>
      <c r="G1059" s="160"/>
      <c r="H1059" s="34" t="s">
        <v>925</v>
      </c>
    </row>
    <row r="1060" spans="1:8" ht="33">
      <c r="A1060" s="160" t="s">
        <v>1454</v>
      </c>
      <c r="B1060" s="160" t="s">
        <v>1369</v>
      </c>
      <c r="C1060" s="157" t="s">
        <v>3</v>
      </c>
      <c r="D1060" s="159">
        <v>10</v>
      </c>
      <c r="E1060" s="159">
        <v>354.08</v>
      </c>
      <c r="F1060" s="159"/>
      <c r="G1060" s="160" t="s">
        <v>2</v>
      </c>
      <c r="H1060" s="34" t="s">
        <v>925</v>
      </c>
    </row>
    <row r="1061" spans="1:8" ht="33">
      <c r="A1061" s="160">
        <v>1</v>
      </c>
      <c r="B1061" s="160" t="s">
        <v>1364</v>
      </c>
      <c r="C1061" s="157" t="s">
        <v>3</v>
      </c>
      <c r="D1061" s="159">
        <v>0.25</v>
      </c>
      <c r="E1061" s="159">
        <v>2776.81</v>
      </c>
      <c r="F1061" s="159">
        <v>694.2</v>
      </c>
      <c r="G1061" s="160" t="s">
        <v>5448</v>
      </c>
      <c r="H1061" s="34" t="s">
        <v>925</v>
      </c>
    </row>
    <row r="1062" spans="1:8" ht="33">
      <c r="A1062" s="160">
        <v>2</v>
      </c>
      <c r="B1062" s="160" t="s">
        <v>1366</v>
      </c>
      <c r="C1062" s="157" t="s">
        <v>14</v>
      </c>
      <c r="D1062" s="159">
        <v>1</v>
      </c>
      <c r="E1062" s="159">
        <v>185.12</v>
      </c>
      <c r="F1062" s="159">
        <v>185.12</v>
      </c>
      <c r="G1062" s="160" t="s">
        <v>2</v>
      </c>
      <c r="H1062" s="34" t="s">
        <v>925</v>
      </c>
    </row>
    <row r="1063" spans="1:8" ht="33">
      <c r="A1063" s="160">
        <v>3</v>
      </c>
      <c r="B1063" s="160" t="s">
        <v>4927</v>
      </c>
      <c r="C1063" s="157" t="s">
        <v>927</v>
      </c>
      <c r="D1063" s="159">
        <v>4</v>
      </c>
      <c r="E1063" s="159">
        <v>379.5</v>
      </c>
      <c r="F1063" s="159">
        <v>1518</v>
      </c>
      <c r="G1063" s="160" t="s">
        <v>5447</v>
      </c>
      <c r="H1063" s="34" t="s">
        <v>925</v>
      </c>
    </row>
    <row r="1064" spans="1:8" ht="33">
      <c r="A1064" s="160">
        <v>4</v>
      </c>
      <c r="B1064" s="160" t="s">
        <v>4871</v>
      </c>
      <c r="C1064" s="157" t="s">
        <v>927</v>
      </c>
      <c r="D1064" s="159">
        <v>4</v>
      </c>
      <c r="E1064" s="159">
        <v>260.08999999999997</v>
      </c>
      <c r="F1064" s="159">
        <v>1040.3599999999999</v>
      </c>
      <c r="G1064" s="160" t="s">
        <v>5435</v>
      </c>
      <c r="H1064" s="34" t="s">
        <v>925</v>
      </c>
    </row>
    <row r="1065" spans="1:8" ht="33">
      <c r="A1065" s="160">
        <v>5</v>
      </c>
      <c r="B1065" s="160" t="s">
        <v>931</v>
      </c>
      <c r="C1065" s="157" t="s">
        <v>14</v>
      </c>
      <c r="D1065" s="159">
        <v>1</v>
      </c>
      <c r="E1065" s="159">
        <v>103.13</v>
      </c>
      <c r="F1065" s="159">
        <v>103.13</v>
      </c>
      <c r="G1065" s="160" t="s">
        <v>2</v>
      </c>
      <c r="H1065" s="34" t="s">
        <v>925</v>
      </c>
    </row>
    <row r="1066" spans="1:8" ht="16.5">
      <c r="A1066" s="160"/>
      <c r="B1066" s="160" t="s">
        <v>933</v>
      </c>
      <c r="C1066" s="157" t="s">
        <v>3</v>
      </c>
      <c r="D1066" s="159">
        <v>10</v>
      </c>
      <c r="E1066" s="159"/>
      <c r="F1066" s="159">
        <v>3540.8100000000004</v>
      </c>
      <c r="G1066" s="160"/>
    </row>
    <row r="1067" spans="1:8" ht="33">
      <c r="A1067" s="160"/>
      <c r="B1067" s="160" t="s">
        <v>934</v>
      </c>
      <c r="C1067" s="157" t="s">
        <v>3</v>
      </c>
      <c r="D1067" s="159"/>
      <c r="E1067" s="159"/>
      <c r="F1067" s="159">
        <v>354.08</v>
      </c>
      <c r="G1067" s="160"/>
      <c r="H1067" s="34" t="s">
        <v>925</v>
      </c>
    </row>
    <row r="1068" spans="1:8" ht="33">
      <c r="A1068" s="160"/>
      <c r="B1068" s="160"/>
      <c r="C1068" s="157"/>
      <c r="D1068" s="159"/>
      <c r="E1068" s="159"/>
      <c r="F1068" s="159"/>
      <c r="G1068" s="160"/>
      <c r="H1068" s="34" t="s">
        <v>925</v>
      </c>
    </row>
    <row r="1069" spans="1:8" ht="33">
      <c r="A1069" s="160" t="s">
        <v>1459</v>
      </c>
      <c r="B1069" s="160" t="s">
        <v>1372</v>
      </c>
      <c r="C1069" s="157" t="s">
        <v>17</v>
      </c>
      <c r="D1069" s="159">
        <v>10</v>
      </c>
      <c r="E1069" s="159">
        <v>722.08</v>
      </c>
      <c r="F1069" s="159"/>
      <c r="G1069" s="160" t="s">
        <v>2</v>
      </c>
      <c r="H1069" s="34" t="s">
        <v>925</v>
      </c>
    </row>
    <row r="1070" spans="1:8" ht="33">
      <c r="A1070" s="160">
        <v>1</v>
      </c>
      <c r="B1070" s="160" t="s">
        <v>1364</v>
      </c>
      <c r="C1070" s="157" t="s">
        <v>3</v>
      </c>
      <c r="D1070" s="159">
        <v>0.25</v>
      </c>
      <c r="E1070" s="159">
        <v>2776.81</v>
      </c>
      <c r="F1070" s="159">
        <v>694.2</v>
      </c>
      <c r="G1070" s="160" t="s">
        <v>5448</v>
      </c>
      <c r="H1070" s="34" t="s">
        <v>925</v>
      </c>
    </row>
    <row r="1071" spans="1:8" ht="33">
      <c r="A1071" s="160">
        <v>2</v>
      </c>
      <c r="B1071" s="160" t="s">
        <v>1366</v>
      </c>
      <c r="C1071" s="157" t="s">
        <v>14</v>
      </c>
      <c r="D1071" s="159">
        <v>1</v>
      </c>
      <c r="E1071" s="159">
        <v>462.8</v>
      </c>
      <c r="F1071" s="159">
        <v>462.8</v>
      </c>
      <c r="G1071" s="160" t="s">
        <v>2</v>
      </c>
      <c r="H1071" s="34" t="s">
        <v>925</v>
      </c>
    </row>
    <row r="1072" spans="1:8" ht="33">
      <c r="A1072" s="160">
        <v>3</v>
      </c>
      <c r="B1072" s="160" t="s">
        <v>4927</v>
      </c>
      <c r="C1072" s="157" t="s">
        <v>927</v>
      </c>
      <c r="D1072" s="159">
        <v>7.2</v>
      </c>
      <c r="E1072" s="159">
        <v>379.5</v>
      </c>
      <c r="F1072" s="159">
        <v>2732.4</v>
      </c>
      <c r="G1072" s="160" t="s">
        <v>5447</v>
      </c>
      <c r="H1072" s="34" t="s">
        <v>925</v>
      </c>
    </row>
    <row r="1073" spans="1:8" ht="33">
      <c r="A1073" s="160">
        <v>4</v>
      </c>
      <c r="B1073" s="160" t="s">
        <v>4871</v>
      </c>
      <c r="C1073" s="157" t="s">
        <v>927</v>
      </c>
      <c r="D1073" s="159">
        <v>12</v>
      </c>
      <c r="E1073" s="159">
        <v>260.08999999999997</v>
      </c>
      <c r="F1073" s="159">
        <v>3121.08</v>
      </c>
      <c r="G1073" s="160" t="s">
        <v>5435</v>
      </c>
      <c r="H1073" s="34" t="s">
        <v>925</v>
      </c>
    </row>
    <row r="1074" spans="1:8" ht="16.5">
      <c r="A1074" s="160">
        <v>5</v>
      </c>
      <c r="B1074" s="160" t="s">
        <v>931</v>
      </c>
      <c r="C1074" s="157" t="s">
        <v>14</v>
      </c>
      <c r="D1074" s="159">
        <v>1</v>
      </c>
      <c r="E1074" s="159">
        <v>210.31</v>
      </c>
      <c r="F1074" s="159">
        <v>210.31</v>
      </c>
      <c r="G1074" s="160" t="s">
        <v>2</v>
      </c>
    </row>
    <row r="1075" spans="1:8" ht="33">
      <c r="A1075" s="160"/>
      <c r="B1075" s="160" t="s">
        <v>933</v>
      </c>
      <c r="C1075" s="157" t="s">
        <v>17</v>
      </c>
      <c r="D1075" s="159">
        <v>10</v>
      </c>
      <c r="E1075" s="159"/>
      <c r="F1075" s="159">
        <v>7220.79</v>
      </c>
      <c r="G1075" s="160"/>
      <c r="H1075" s="34" t="s">
        <v>925</v>
      </c>
    </row>
    <row r="1076" spans="1:8" ht="33">
      <c r="A1076" s="160"/>
      <c r="B1076" s="160" t="s">
        <v>934</v>
      </c>
      <c r="C1076" s="157" t="s">
        <v>17</v>
      </c>
      <c r="D1076" s="159"/>
      <c r="E1076" s="159"/>
      <c r="F1076" s="159">
        <v>722.08</v>
      </c>
      <c r="G1076" s="160"/>
      <c r="H1076" s="34" t="s">
        <v>925</v>
      </c>
    </row>
    <row r="1077" spans="1:8" ht="33">
      <c r="A1077" s="160"/>
      <c r="B1077" s="160"/>
      <c r="C1077" s="157"/>
      <c r="D1077" s="159"/>
      <c r="E1077" s="159"/>
      <c r="F1077" s="159"/>
      <c r="G1077" s="160"/>
      <c r="H1077" s="34" t="s">
        <v>925</v>
      </c>
    </row>
    <row r="1078" spans="1:8" ht="33">
      <c r="A1078" s="160" t="s">
        <v>1468</v>
      </c>
      <c r="B1078" s="160" t="s">
        <v>1375</v>
      </c>
      <c r="C1078" s="157" t="s">
        <v>3</v>
      </c>
      <c r="D1078" s="159">
        <v>10</v>
      </c>
      <c r="E1078" s="159">
        <v>427.91</v>
      </c>
      <c r="F1078" s="159"/>
      <c r="G1078" s="160" t="s">
        <v>2</v>
      </c>
      <c r="H1078" s="34" t="s">
        <v>925</v>
      </c>
    </row>
    <row r="1079" spans="1:8" ht="33">
      <c r="A1079" s="160">
        <v>1</v>
      </c>
      <c r="B1079" s="160" t="s">
        <v>1364</v>
      </c>
      <c r="C1079" s="157" t="s">
        <v>3</v>
      </c>
      <c r="D1079" s="159">
        <v>0.25</v>
      </c>
      <c r="E1079" s="159">
        <v>2776.81</v>
      </c>
      <c r="F1079" s="159">
        <v>694.2</v>
      </c>
      <c r="G1079" s="160" t="s">
        <v>5448</v>
      </c>
      <c r="H1079" s="34" t="s">
        <v>925</v>
      </c>
    </row>
    <row r="1080" spans="1:8" ht="33">
      <c r="A1080" s="160">
        <v>2</v>
      </c>
      <c r="B1080" s="160" t="s">
        <v>1366</v>
      </c>
      <c r="C1080" s="157" t="s">
        <v>14</v>
      </c>
      <c r="D1080" s="159">
        <v>1</v>
      </c>
      <c r="E1080" s="159">
        <v>277.68</v>
      </c>
      <c r="F1080" s="159">
        <v>277.68</v>
      </c>
      <c r="G1080" s="160" t="s">
        <v>2</v>
      </c>
      <c r="H1080" s="34" t="s">
        <v>925</v>
      </c>
    </row>
    <row r="1081" spans="1:8" ht="33">
      <c r="A1081" s="160">
        <v>3</v>
      </c>
      <c r="B1081" s="160" t="s">
        <v>4927</v>
      </c>
      <c r="C1081" s="157" t="s">
        <v>927</v>
      </c>
      <c r="D1081" s="159">
        <v>4</v>
      </c>
      <c r="E1081" s="159">
        <v>379.5</v>
      </c>
      <c r="F1081" s="159">
        <v>1518</v>
      </c>
      <c r="G1081" s="160" t="s">
        <v>5447</v>
      </c>
      <c r="H1081" s="34" t="s">
        <v>925</v>
      </c>
    </row>
    <row r="1082" spans="1:8" ht="16.5">
      <c r="A1082" s="160">
        <v>4</v>
      </c>
      <c r="B1082" s="160" t="s">
        <v>4871</v>
      </c>
      <c r="C1082" s="157" t="s">
        <v>927</v>
      </c>
      <c r="D1082" s="159">
        <v>6.4</v>
      </c>
      <c r="E1082" s="159">
        <v>260.08999999999997</v>
      </c>
      <c r="F1082" s="159">
        <v>1664.58</v>
      </c>
      <c r="G1082" s="160" t="s">
        <v>5435</v>
      </c>
    </row>
    <row r="1083" spans="1:8" ht="33">
      <c r="A1083" s="160">
        <v>5</v>
      </c>
      <c r="B1083" s="160" t="s">
        <v>931</v>
      </c>
      <c r="C1083" s="157" t="s">
        <v>14</v>
      </c>
      <c r="D1083" s="159">
        <v>1</v>
      </c>
      <c r="E1083" s="159">
        <v>124.63</v>
      </c>
      <c r="F1083" s="159">
        <v>124.63</v>
      </c>
      <c r="G1083" s="160" t="s">
        <v>2</v>
      </c>
      <c r="H1083" s="34" t="s">
        <v>925</v>
      </c>
    </row>
    <row r="1084" spans="1:8" ht="33">
      <c r="A1084" s="160"/>
      <c r="B1084" s="160" t="s">
        <v>933</v>
      </c>
      <c r="C1084" s="157" t="s">
        <v>3</v>
      </c>
      <c r="D1084" s="159">
        <v>10</v>
      </c>
      <c r="E1084" s="159"/>
      <c r="F1084" s="159">
        <v>4279.09</v>
      </c>
      <c r="G1084" s="160"/>
      <c r="H1084" s="34" t="s">
        <v>925</v>
      </c>
    </row>
    <row r="1085" spans="1:8" ht="33">
      <c r="A1085" s="160"/>
      <c r="B1085" s="160" t="s">
        <v>934</v>
      </c>
      <c r="C1085" s="157" t="s">
        <v>3</v>
      </c>
      <c r="D1085" s="159"/>
      <c r="E1085" s="159"/>
      <c r="F1085" s="159">
        <v>427.91</v>
      </c>
      <c r="G1085" s="160"/>
      <c r="H1085" s="34" t="s">
        <v>925</v>
      </c>
    </row>
    <row r="1086" spans="1:8" ht="33">
      <c r="A1086" s="160"/>
      <c r="B1086" s="160"/>
      <c r="C1086" s="157"/>
      <c r="D1086" s="159"/>
      <c r="E1086" s="159"/>
      <c r="F1086" s="159"/>
      <c r="G1086" s="160"/>
      <c r="H1086" s="34" t="s">
        <v>925</v>
      </c>
    </row>
    <row r="1087" spans="1:8" ht="33">
      <c r="A1087" s="160" t="s">
        <v>1471</v>
      </c>
      <c r="B1087" s="160" t="s">
        <v>1378</v>
      </c>
      <c r="C1087" s="157" t="s">
        <v>17</v>
      </c>
      <c r="D1087" s="159">
        <v>10</v>
      </c>
      <c r="E1087" s="159">
        <v>838.77</v>
      </c>
      <c r="F1087" s="159"/>
      <c r="G1087" s="160" t="s">
        <v>2</v>
      </c>
      <c r="H1087" s="34" t="s">
        <v>925</v>
      </c>
    </row>
    <row r="1088" spans="1:8" ht="33">
      <c r="A1088" s="160">
        <v>1</v>
      </c>
      <c r="B1088" s="160" t="s">
        <v>1364</v>
      </c>
      <c r="C1088" s="157" t="s">
        <v>3</v>
      </c>
      <c r="D1088" s="159">
        <v>0.25</v>
      </c>
      <c r="E1088" s="159">
        <v>2776.81</v>
      </c>
      <c r="F1088" s="159">
        <v>694.2</v>
      </c>
      <c r="G1088" s="160" t="s">
        <v>5448</v>
      </c>
      <c r="H1088" s="34" t="s">
        <v>925</v>
      </c>
    </row>
    <row r="1089" spans="1:8" ht="33">
      <c r="A1089" s="160">
        <v>2</v>
      </c>
      <c r="B1089" s="160" t="s">
        <v>1366</v>
      </c>
      <c r="C1089" s="157" t="s">
        <v>14</v>
      </c>
      <c r="D1089" s="159">
        <v>1</v>
      </c>
      <c r="E1089" s="159">
        <v>555.36</v>
      </c>
      <c r="F1089" s="159">
        <v>555.36</v>
      </c>
      <c r="G1089" s="160" t="s">
        <v>2</v>
      </c>
      <c r="H1089" s="34" t="s">
        <v>925</v>
      </c>
    </row>
    <row r="1090" spans="1:8" ht="33">
      <c r="A1090" s="160">
        <v>3</v>
      </c>
      <c r="B1090" s="160" t="s">
        <v>4927</v>
      </c>
      <c r="C1090" s="157" t="s">
        <v>927</v>
      </c>
      <c r="D1090" s="159">
        <v>7.2</v>
      </c>
      <c r="E1090" s="159">
        <v>379.5</v>
      </c>
      <c r="F1090" s="159">
        <v>2732.4</v>
      </c>
      <c r="G1090" s="160" t="s">
        <v>5447</v>
      </c>
      <c r="H1090" s="34" t="s">
        <v>925</v>
      </c>
    </row>
    <row r="1091" spans="1:8" ht="33">
      <c r="A1091" s="160">
        <v>4</v>
      </c>
      <c r="B1091" s="160" t="s">
        <v>4871</v>
      </c>
      <c r="C1091" s="157" t="s">
        <v>927</v>
      </c>
      <c r="D1091" s="159">
        <v>16</v>
      </c>
      <c r="E1091" s="159">
        <v>260.08999999999997</v>
      </c>
      <c r="F1091" s="159">
        <v>4161.4399999999996</v>
      </c>
      <c r="G1091" s="160" t="s">
        <v>5435</v>
      </c>
      <c r="H1091" s="34" t="s">
        <v>925</v>
      </c>
    </row>
    <row r="1092" spans="1:8" ht="16.5">
      <c r="A1092" s="160">
        <v>5</v>
      </c>
      <c r="B1092" s="160" t="s">
        <v>931</v>
      </c>
      <c r="C1092" s="157" t="s">
        <v>14</v>
      </c>
      <c r="D1092" s="159">
        <v>1</v>
      </c>
      <c r="E1092" s="159">
        <v>244.3</v>
      </c>
      <c r="F1092" s="159">
        <v>244.3</v>
      </c>
      <c r="G1092" s="160" t="s">
        <v>2</v>
      </c>
    </row>
    <row r="1093" spans="1:8" ht="33">
      <c r="A1093" s="160"/>
      <c r="B1093" s="160" t="s">
        <v>933</v>
      </c>
      <c r="C1093" s="157" t="s">
        <v>17</v>
      </c>
      <c r="D1093" s="159">
        <v>10</v>
      </c>
      <c r="E1093" s="159"/>
      <c r="F1093" s="159">
        <v>8387.6999999999989</v>
      </c>
      <c r="G1093" s="160"/>
      <c r="H1093" s="34" t="s">
        <v>925</v>
      </c>
    </row>
    <row r="1094" spans="1:8" ht="33">
      <c r="A1094" s="160"/>
      <c r="B1094" s="160" t="s">
        <v>934</v>
      </c>
      <c r="C1094" s="157" t="s">
        <v>17</v>
      </c>
      <c r="D1094" s="159"/>
      <c r="E1094" s="159"/>
      <c r="F1094" s="159">
        <v>838.77</v>
      </c>
      <c r="G1094" s="160"/>
      <c r="H1094" s="34" t="s">
        <v>925</v>
      </c>
    </row>
    <row r="1095" spans="1:8" ht="33">
      <c r="A1095" s="160"/>
      <c r="B1095" s="160"/>
      <c r="C1095" s="157"/>
      <c r="D1095" s="159"/>
      <c r="E1095" s="159"/>
      <c r="F1095" s="159"/>
      <c r="G1095" s="160"/>
      <c r="H1095" s="34" t="s">
        <v>925</v>
      </c>
    </row>
    <row r="1096" spans="1:8" ht="33">
      <c r="A1096" s="160" t="s">
        <v>1474</v>
      </c>
      <c r="B1096" s="160" t="s">
        <v>1381</v>
      </c>
      <c r="C1096" s="157" t="s">
        <v>3</v>
      </c>
      <c r="D1096" s="159">
        <v>10</v>
      </c>
      <c r="E1096" s="159">
        <v>497.96</v>
      </c>
      <c r="F1096" s="159"/>
      <c r="G1096" s="160" t="s">
        <v>2</v>
      </c>
      <c r="H1096" s="34" t="s">
        <v>925</v>
      </c>
    </row>
    <row r="1097" spans="1:8" ht="33">
      <c r="A1097" s="160">
        <v>1</v>
      </c>
      <c r="B1097" s="160" t="s">
        <v>1364</v>
      </c>
      <c r="C1097" s="157" t="s">
        <v>3</v>
      </c>
      <c r="D1097" s="159">
        <v>0.25</v>
      </c>
      <c r="E1097" s="159">
        <v>2776.81</v>
      </c>
      <c r="F1097" s="159">
        <v>694.2</v>
      </c>
      <c r="G1097" s="160" t="s">
        <v>5448</v>
      </c>
      <c r="H1097" s="34" t="s">
        <v>925</v>
      </c>
    </row>
    <row r="1098" spans="1:8" ht="33">
      <c r="A1098" s="160">
        <v>2</v>
      </c>
      <c r="B1098" s="160" t="s">
        <v>1366</v>
      </c>
      <c r="C1098" s="157" t="s">
        <v>14</v>
      </c>
      <c r="D1098" s="159">
        <v>1</v>
      </c>
      <c r="E1098" s="159">
        <v>370.24</v>
      </c>
      <c r="F1098" s="159">
        <v>370.24</v>
      </c>
      <c r="G1098" s="160" t="s">
        <v>2</v>
      </c>
      <c r="H1098" s="34" t="s">
        <v>925</v>
      </c>
    </row>
    <row r="1099" spans="1:8" ht="33">
      <c r="A1099" s="160">
        <v>3</v>
      </c>
      <c r="B1099" s="160" t="s">
        <v>4927</v>
      </c>
      <c r="C1099" s="157" t="s">
        <v>927</v>
      </c>
      <c r="D1099" s="159">
        <v>5</v>
      </c>
      <c r="E1099" s="159">
        <v>379.5</v>
      </c>
      <c r="F1099" s="159">
        <v>1897.5</v>
      </c>
      <c r="G1099" s="160" t="s">
        <v>5447</v>
      </c>
      <c r="H1099" s="34" t="s">
        <v>925</v>
      </c>
    </row>
    <row r="1100" spans="1:8" ht="33">
      <c r="A1100" s="160">
        <v>4</v>
      </c>
      <c r="B1100" s="160" t="s">
        <v>4871</v>
      </c>
      <c r="C1100" s="157" t="s">
        <v>927</v>
      </c>
      <c r="D1100" s="159">
        <v>7.2</v>
      </c>
      <c r="E1100" s="159">
        <v>260.08999999999997</v>
      </c>
      <c r="F1100" s="159">
        <v>1872.65</v>
      </c>
      <c r="G1100" s="160" t="s">
        <v>5435</v>
      </c>
      <c r="H1100" s="34" t="s">
        <v>925</v>
      </c>
    </row>
    <row r="1101" spans="1:8" ht="33">
      <c r="A1101" s="160">
        <v>5</v>
      </c>
      <c r="B1101" s="160" t="s">
        <v>931</v>
      </c>
      <c r="C1101" s="157" t="s">
        <v>14</v>
      </c>
      <c r="D1101" s="159">
        <v>1</v>
      </c>
      <c r="E1101" s="159">
        <v>145.04</v>
      </c>
      <c r="F1101" s="159">
        <v>145.04</v>
      </c>
      <c r="G1101" s="160" t="s">
        <v>2</v>
      </c>
      <c r="H1101" s="34" t="s">
        <v>925</v>
      </c>
    </row>
    <row r="1102" spans="1:8" ht="16.5">
      <c r="A1102" s="160"/>
      <c r="B1102" s="160" t="s">
        <v>933</v>
      </c>
      <c r="C1102" s="157" t="s">
        <v>3</v>
      </c>
      <c r="D1102" s="159">
        <v>10</v>
      </c>
      <c r="E1102" s="159"/>
      <c r="F1102" s="159">
        <v>4979.63</v>
      </c>
      <c r="G1102" s="160"/>
    </row>
    <row r="1103" spans="1:8" ht="33">
      <c r="A1103" s="160"/>
      <c r="B1103" s="160" t="s">
        <v>934</v>
      </c>
      <c r="C1103" s="157" t="s">
        <v>3</v>
      </c>
      <c r="D1103" s="159"/>
      <c r="E1103" s="159"/>
      <c r="F1103" s="159">
        <v>497.96</v>
      </c>
      <c r="G1103" s="160"/>
      <c r="H1103" s="34" t="s">
        <v>925</v>
      </c>
    </row>
    <row r="1104" spans="1:8" ht="33">
      <c r="A1104" s="160"/>
      <c r="B1104" s="160"/>
      <c r="C1104" s="157"/>
      <c r="D1104" s="159"/>
      <c r="E1104" s="159"/>
      <c r="F1104" s="159"/>
      <c r="G1104" s="160"/>
      <c r="H1104" s="34" t="s">
        <v>925</v>
      </c>
    </row>
    <row r="1105" spans="1:8" ht="42.75">
      <c r="A1105" s="160" t="s">
        <v>1483</v>
      </c>
      <c r="B1105" s="160" t="s">
        <v>404</v>
      </c>
      <c r="C1105" s="157" t="s">
        <v>17</v>
      </c>
      <c r="D1105" s="159">
        <v>10</v>
      </c>
      <c r="E1105" s="159">
        <v>750.28</v>
      </c>
      <c r="F1105" s="159"/>
      <c r="G1105" s="160" t="s">
        <v>4365</v>
      </c>
      <c r="H1105" s="34" t="s">
        <v>925</v>
      </c>
    </row>
    <row r="1106" spans="1:8" ht="33">
      <c r="A1106" s="160">
        <v>1</v>
      </c>
      <c r="B1106" s="160" t="s">
        <v>1364</v>
      </c>
      <c r="C1106" s="157" t="s">
        <v>3</v>
      </c>
      <c r="D1106" s="159">
        <v>0.25</v>
      </c>
      <c r="E1106" s="159">
        <v>2776.81</v>
      </c>
      <c r="F1106" s="159">
        <v>694.2</v>
      </c>
      <c r="G1106" s="160" t="s">
        <v>5448</v>
      </c>
      <c r="H1106" s="34" t="s">
        <v>925</v>
      </c>
    </row>
    <row r="1107" spans="1:8" ht="33">
      <c r="A1107" s="160">
        <v>2</v>
      </c>
      <c r="B1107" s="160" t="s">
        <v>1366</v>
      </c>
      <c r="C1107" s="157" t="s">
        <v>14</v>
      </c>
      <c r="D1107" s="159">
        <v>1</v>
      </c>
      <c r="E1107" s="159">
        <v>462.8</v>
      </c>
      <c r="F1107" s="159">
        <v>462.8</v>
      </c>
      <c r="G1107" s="160" t="s">
        <v>2</v>
      </c>
      <c r="H1107" s="34" t="s">
        <v>925</v>
      </c>
    </row>
    <row r="1108" spans="1:8" ht="33">
      <c r="A1108" s="160">
        <v>3</v>
      </c>
      <c r="B1108" s="160" t="s">
        <v>4927</v>
      </c>
      <c r="C1108" s="157" t="s">
        <v>927</v>
      </c>
      <c r="D1108" s="159">
        <v>9.58</v>
      </c>
      <c r="E1108" s="159">
        <v>379.5</v>
      </c>
      <c r="F1108" s="159">
        <v>3635.61</v>
      </c>
      <c r="G1108" s="160" t="s">
        <v>5447</v>
      </c>
      <c r="H1108" s="34" t="s">
        <v>925</v>
      </c>
    </row>
    <row r="1109" spans="1:8" ht="33">
      <c r="A1109" s="160">
        <v>4</v>
      </c>
      <c r="B1109" s="160" t="s">
        <v>4871</v>
      </c>
      <c r="C1109" s="157" t="s">
        <v>927</v>
      </c>
      <c r="D1109" s="159">
        <v>9.58</v>
      </c>
      <c r="E1109" s="159">
        <v>260.08999999999997</v>
      </c>
      <c r="F1109" s="159">
        <v>2491.66</v>
      </c>
      <c r="G1109" s="160" t="s">
        <v>5435</v>
      </c>
      <c r="H1109" s="34" t="s">
        <v>925</v>
      </c>
    </row>
    <row r="1110" spans="1:8" ht="33">
      <c r="A1110" s="160">
        <v>5</v>
      </c>
      <c r="B1110" s="160" t="s">
        <v>931</v>
      </c>
      <c r="C1110" s="157" t="s">
        <v>14</v>
      </c>
      <c r="D1110" s="159">
        <v>1</v>
      </c>
      <c r="E1110" s="159">
        <v>218.53</v>
      </c>
      <c r="F1110" s="159">
        <v>218.53</v>
      </c>
      <c r="G1110" s="160" t="s">
        <v>2</v>
      </c>
      <c r="H1110" s="34" t="s">
        <v>925</v>
      </c>
    </row>
    <row r="1111" spans="1:8" ht="33">
      <c r="A1111" s="160"/>
      <c r="B1111" s="160" t="s">
        <v>933</v>
      </c>
      <c r="C1111" s="157" t="s">
        <v>17</v>
      </c>
      <c r="D1111" s="159">
        <v>10</v>
      </c>
      <c r="E1111" s="159"/>
      <c r="F1111" s="159">
        <v>7502.8</v>
      </c>
      <c r="G1111" s="160"/>
      <c r="H1111" s="34" t="s">
        <v>925</v>
      </c>
    </row>
    <row r="1112" spans="1:8" ht="16.5">
      <c r="A1112" s="160"/>
      <c r="B1112" s="160" t="s">
        <v>934</v>
      </c>
      <c r="C1112" s="157" t="s">
        <v>17</v>
      </c>
      <c r="D1112" s="159"/>
      <c r="E1112" s="159"/>
      <c r="F1112" s="159">
        <v>750.28</v>
      </c>
      <c r="G1112" s="160"/>
    </row>
    <row r="1113" spans="1:8" ht="33">
      <c r="A1113" s="160"/>
      <c r="B1113" s="160"/>
      <c r="C1113" s="157"/>
      <c r="D1113" s="159"/>
      <c r="E1113" s="159"/>
      <c r="F1113" s="159"/>
      <c r="G1113" s="160"/>
      <c r="H1113" s="34" t="s">
        <v>925</v>
      </c>
    </row>
    <row r="1114" spans="1:8" ht="42.75">
      <c r="A1114" s="160" t="s">
        <v>1488</v>
      </c>
      <c r="B1114" s="160" t="s">
        <v>1369</v>
      </c>
      <c r="C1114" s="157" t="s">
        <v>3</v>
      </c>
      <c r="D1114" s="159">
        <v>10</v>
      </c>
      <c r="E1114" s="159">
        <v>441.04</v>
      </c>
      <c r="F1114" s="159"/>
      <c r="G1114" s="160" t="s">
        <v>4365</v>
      </c>
      <c r="H1114" s="34" t="s">
        <v>925</v>
      </c>
    </row>
    <row r="1115" spans="1:8" ht="33">
      <c r="A1115" s="160">
        <v>1</v>
      </c>
      <c r="B1115" s="160" t="s">
        <v>1364</v>
      </c>
      <c r="C1115" s="157" t="s">
        <v>3</v>
      </c>
      <c r="D1115" s="159">
        <v>0.25</v>
      </c>
      <c r="E1115" s="159">
        <v>2776.81</v>
      </c>
      <c r="F1115" s="159">
        <v>694.2</v>
      </c>
      <c r="G1115" s="160" t="s">
        <v>5448</v>
      </c>
      <c r="H1115" s="34" t="s">
        <v>925</v>
      </c>
    </row>
    <row r="1116" spans="1:8" ht="33">
      <c r="A1116" s="160">
        <v>2</v>
      </c>
      <c r="B1116" s="160" t="s">
        <v>1366</v>
      </c>
      <c r="C1116" s="157" t="s">
        <v>14</v>
      </c>
      <c r="D1116" s="159">
        <v>1</v>
      </c>
      <c r="E1116" s="159">
        <v>185.12</v>
      </c>
      <c r="F1116" s="159">
        <v>185.12</v>
      </c>
      <c r="G1116" s="160" t="s">
        <v>2</v>
      </c>
      <c r="H1116" s="34" t="s">
        <v>925</v>
      </c>
    </row>
    <row r="1117" spans="1:8" ht="33">
      <c r="A1117" s="160">
        <v>3</v>
      </c>
      <c r="B1117" s="160" t="s">
        <v>4927</v>
      </c>
      <c r="C1117" s="157" t="s">
        <v>927</v>
      </c>
      <c r="D1117" s="159">
        <v>5.32</v>
      </c>
      <c r="E1117" s="159">
        <v>379.5</v>
      </c>
      <c r="F1117" s="159">
        <v>2018.94</v>
      </c>
      <c r="G1117" s="160" t="s">
        <v>5447</v>
      </c>
      <c r="H1117" s="34" t="s">
        <v>925</v>
      </c>
    </row>
    <row r="1118" spans="1:8" ht="33">
      <c r="A1118" s="160">
        <v>4</v>
      </c>
      <c r="B1118" s="160" t="s">
        <v>4871</v>
      </c>
      <c r="C1118" s="157" t="s">
        <v>927</v>
      </c>
      <c r="D1118" s="159">
        <v>5.32</v>
      </c>
      <c r="E1118" s="159">
        <v>260.08999999999997</v>
      </c>
      <c r="F1118" s="159">
        <v>1383.68</v>
      </c>
      <c r="G1118" s="160" t="s">
        <v>5435</v>
      </c>
      <c r="H1118" s="34" t="s">
        <v>925</v>
      </c>
    </row>
    <row r="1119" spans="1:8" ht="33">
      <c r="A1119" s="160">
        <v>5</v>
      </c>
      <c r="B1119" s="160" t="s">
        <v>931</v>
      </c>
      <c r="C1119" s="157" t="s">
        <v>14</v>
      </c>
      <c r="D1119" s="159">
        <v>1</v>
      </c>
      <c r="E1119" s="159">
        <v>128.46</v>
      </c>
      <c r="F1119" s="159">
        <v>128.46</v>
      </c>
      <c r="G1119" s="160" t="s">
        <v>2</v>
      </c>
      <c r="H1119" s="34" t="s">
        <v>925</v>
      </c>
    </row>
    <row r="1120" spans="1:8" ht="33">
      <c r="A1120" s="160"/>
      <c r="B1120" s="160" t="s">
        <v>933</v>
      </c>
      <c r="C1120" s="157" t="s">
        <v>3</v>
      </c>
      <c r="D1120" s="159">
        <v>10</v>
      </c>
      <c r="E1120" s="159"/>
      <c r="F1120" s="159">
        <v>4410.4000000000005</v>
      </c>
      <c r="G1120" s="160"/>
      <c r="H1120" s="34" t="s">
        <v>925</v>
      </c>
    </row>
    <row r="1121" spans="1:8" ht="33">
      <c r="A1121" s="160"/>
      <c r="B1121" s="160" t="s">
        <v>934</v>
      </c>
      <c r="C1121" s="157" t="s">
        <v>3</v>
      </c>
      <c r="D1121" s="159"/>
      <c r="E1121" s="159"/>
      <c r="F1121" s="159">
        <v>441.04</v>
      </c>
      <c r="G1121" s="160"/>
      <c r="H1121" s="34" t="s">
        <v>925</v>
      </c>
    </row>
    <row r="1122" spans="1:8" ht="33">
      <c r="A1122" s="160"/>
      <c r="B1122" s="160"/>
      <c r="C1122" s="157"/>
      <c r="D1122" s="159"/>
      <c r="E1122" s="159"/>
      <c r="F1122" s="159"/>
      <c r="G1122" s="160"/>
      <c r="H1122" s="34" t="s">
        <v>925</v>
      </c>
    </row>
    <row r="1123" spans="1:8" ht="42.75">
      <c r="A1123" s="160" t="s">
        <v>1493</v>
      </c>
      <c r="B1123" s="160" t="s">
        <v>1372</v>
      </c>
      <c r="C1123" s="157" t="s">
        <v>17</v>
      </c>
      <c r="D1123" s="159">
        <v>10</v>
      </c>
      <c r="E1123" s="159">
        <v>921.2</v>
      </c>
      <c r="F1123" s="159"/>
      <c r="G1123" s="160" t="s">
        <v>4365</v>
      </c>
    </row>
    <row r="1124" spans="1:8" ht="33">
      <c r="A1124" s="160">
        <v>1</v>
      </c>
      <c r="B1124" s="160" t="s">
        <v>1364</v>
      </c>
      <c r="C1124" s="157" t="s">
        <v>3</v>
      </c>
      <c r="D1124" s="159">
        <v>0.25</v>
      </c>
      <c r="E1124" s="159">
        <v>2776.81</v>
      </c>
      <c r="F1124" s="159">
        <v>694.2</v>
      </c>
      <c r="G1124" s="160" t="s">
        <v>5448</v>
      </c>
      <c r="H1124" s="34" t="s">
        <v>925</v>
      </c>
    </row>
    <row r="1125" spans="1:8" ht="33">
      <c r="A1125" s="160">
        <v>2</v>
      </c>
      <c r="B1125" s="160" t="s">
        <v>1366</v>
      </c>
      <c r="C1125" s="157" t="s">
        <v>14</v>
      </c>
      <c r="D1125" s="159">
        <v>1</v>
      </c>
      <c r="E1125" s="159">
        <v>462.8</v>
      </c>
      <c r="F1125" s="159">
        <v>462.8</v>
      </c>
      <c r="G1125" s="160" t="s">
        <v>2</v>
      </c>
      <c r="H1125" s="34" t="s">
        <v>925</v>
      </c>
    </row>
    <row r="1126" spans="1:8" ht="33">
      <c r="A1126" s="160">
        <v>3</v>
      </c>
      <c r="B1126" s="160" t="s">
        <v>4927</v>
      </c>
      <c r="C1126" s="157" t="s">
        <v>927</v>
      </c>
      <c r="D1126" s="159">
        <v>9.58</v>
      </c>
      <c r="E1126" s="159">
        <v>379.5</v>
      </c>
      <c r="F1126" s="159">
        <v>3635.61</v>
      </c>
      <c r="G1126" s="160" t="s">
        <v>5447</v>
      </c>
      <c r="H1126" s="34" t="s">
        <v>925</v>
      </c>
    </row>
    <row r="1127" spans="1:8" ht="33">
      <c r="A1127" s="160">
        <v>4</v>
      </c>
      <c r="B1127" s="160" t="s">
        <v>4871</v>
      </c>
      <c r="C1127" s="157" t="s">
        <v>927</v>
      </c>
      <c r="D1127" s="159">
        <v>15.96</v>
      </c>
      <c r="E1127" s="159">
        <v>260.08999999999997</v>
      </c>
      <c r="F1127" s="159">
        <v>4151.04</v>
      </c>
      <c r="G1127" s="160" t="s">
        <v>5435</v>
      </c>
      <c r="H1127" s="34" t="s">
        <v>925</v>
      </c>
    </row>
    <row r="1128" spans="1:8" ht="33">
      <c r="A1128" s="160">
        <v>5</v>
      </c>
      <c r="B1128" s="160" t="s">
        <v>931</v>
      </c>
      <c r="C1128" s="157" t="s">
        <v>14</v>
      </c>
      <c r="D1128" s="159">
        <v>1</v>
      </c>
      <c r="E1128" s="159">
        <v>268.31</v>
      </c>
      <c r="F1128" s="159">
        <v>268.31</v>
      </c>
      <c r="G1128" s="160" t="s">
        <v>2</v>
      </c>
      <c r="H1128" s="34" t="s">
        <v>925</v>
      </c>
    </row>
    <row r="1129" spans="1:8" ht="33">
      <c r="A1129" s="160"/>
      <c r="B1129" s="160" t="s">
        <v>933</v>
      </c>
      <c r="C1129" s="157" t="s">
        <v>17</v>
      </c>
      <c r="D1129" s="159">
        <v>10</v>
      </c>
      <c r="E1129" s="159"/>
      <c r="F1129" s="159">
        <v>9211.9600000000009</v>
      </c>
      <c r="G1129" s="160"/>
      <c r="H1129" s="34" t="s">
        <v>925</v>
      </c>
    </row>
    <row r="1130" spans="1:8" ht="33">
      <c r="A1130" s="160"/>
      <c r="B1130" s="160" t="s">
        <v>934</v>
      </c>
      <c r="C1130" s="157" t="s">
        <v>17</v>
      </c>
      <c r="D1130" s="159"/>
      <c r="E1130" s="159"/>
      <c r="F1130" s="159">
        <v>921.2</v>
      </c>
      <c r="G1130" s="160"/>
      <c r="H1130" s="34" t="s">
        <v>925</v>
      </c>
    </row>
    <row r="1131" spans="1:8" ht="33">
      <c r="A1131" s="160"/>
      <c r="B1131" s="160"/>
      <c r="C1131" s="157"/>
      <c r="D1131" s="159"/>
      <c r="E1131" s="159"/>
      <c r="F1131" s="159"/>
      <c r="G1131" s="160"/>
      <c r="H1131" s="34" t="s">
        <v>925</v>
      </c>
    </row>
    <row r="1132" spans="1:8" ht="42.75">
      <c r="A1132" s="160" t="s">
        <v>1507</v>
      </c>
      <c r="B1132" s="160" t="s">
        <v>1375</v>
      </c>
      <c r="C1132" s="157" t="s">
        <v>3</v>
      </c>
      <c r="D1132" s="159">
        <v>10</v>
      </c>
      <c r="E1132" s="159">
        <v>536.03</v>
      </c>
      <c r="F1132" s="159"/>
      <c r="G1132" s="160" t="s">
        <v>4365</v>
      </c>
      <c r="H1132" s="34" t="s">
        <v>925</v>
      </c>
    </row>
    <row r="1133" spans="1:8" ht="33">
      <c r="A1133" s="160">
        <v>1</v>
      </c>
      <c r="B1133" s="160" t="s">
        <v>1364</v>
      </c>
      <c r="C1133" s="157" t="s">
        <v>3</v>
      </c>
      <c r="D1133" s="159">
        <v>0.25</v>
      </c>
      <c r="E1133" s="159">
        <v>2776.81</v>
      </c>
      <c r="F1133" s="159">
        <v>694.2</v>
      </c>
      <c r="G1133" s="160" t="s">
        <v>5448</v>
      </c>
      <c r="H1133" s="34" t="s">
        <v>925</v>
      </c>
    </row>
    <row r="1134" spans="1:8" ht="16.5">
      <c r="A1134" s="160">
        <v>2</v>
      </c>
      <c r="B1134" s="160" t="s">
        <v>1366</v>
      </c>
      <c r="C1134" s="157" t="s">
        <v>14</v>
      </c>
      <c r="D1134" s="159">
        <v>1</v>
      </c>
      <c r="E1134" s="159">
        <v>277.68</v>
      </c>
      <c r="F1134" s="159">
        <v>277.68</v>
      </c>
      <c r="G1134" s="160" t="s">
        <v>2</v>
      </c>
    </row>
    <row r="1135" spans="1:8" ht="33">
      <c r="A1135" s="160">
        <v>3</v>
      </c>
      <c r="B1135" s="160" t="s">
        <v>4927</v>
      </c>
      <c r="C1135" s="157" t="s">
        <v>927</v>
      </c>
      <c r="D1135" s="159">
        <v>5.32</v>
      </c>
      <c r="E1135" s="159">
        <v>379.5</v>
      </c>
      <c r="F1135" s="159">
        <v>2018.94</v>
      </c>
      <c r="G1135" s="160" t="s">
        <v>5447</v>
      </c>
      <c r="H1135" s="34" t="s">
        <v>925</v>
      </c>
    </row>
    <row r="1136" spans="1:8" ht="33">
      <c r="A1136" s="160">
        <v>4</v>
      </c>
      <c r="B1136" s="160" t="s">
        <v>4871</v>
      </c>
      <c r="C1136" s="157" t="s">
        <v>927</v>
      </c>
      <c r="D1136" s="159">
        <v>8.51</v>
      </c>
      <c r="E1136" s="159">
        <v>260.08999999999997</v>
      </c>
      <c r="F1136" s="159">
        <v>2213.37</v>
      </c>
      <c r="G1136" s="160" t="s">
        <v>5435</v>
      </c>
      <c r="H1136" s="34" t="s">
        <v>925</v>
      </c>
    </row>
    <row r="1137" spans="1:8" ht="33">
      <c r="A1137" s="160">
        <v>5</v>
      </c>
      <c r="B1137" s="160" t="s">
        <v>931</v>
      </c>
      <c r="C1137" s="157" t="s">
        <v>14</v>
      </c>
      <c r="D1137" s="159">
        <v>1</v>
      </c>
      <c r="E1137" s="159">
        <v>156.13</v>
      </c>
      <c r="F1137" s="159">
        <v>156.13</v>
      </c>
      <c r="G1137" s="160" t="s">
        <v>2</v>
      </c>
      <c r="H1137" s="34" t="s">
        <v>925</v>
      </c>
    </row>
    <row r="1138" spans="1:8" ht="33">
      <c r="A1138" s="160"/>
      <c r="B1138" s="160" t="s">
        <v>933</v>
      </c>
      <c r="C1138" s="157" t="s">
        <v>3</v>
      </c>
      <c r="D1138" s="159">
        <v>10</v>
      </c>
      <c r="E1138" s="159"/>
      <c r="F1138" s="159">
        <v>5360.3200000000006</v>
      </c>
      <c r="G1138" s="160"/>
      <c r="H1138" s="34" t="s">
        <v>925</v>
      </c>
    </row>
    <row r="1139" spans="1:8" ht="33">
      <c r="A1139" s="160"/>
      <c r="B1139" s="160" t="s">
        <v>934</v>
      </c>
      <c r="C1139" s="157" t="s">
        <v>3</v>
      </c>
      <c r="D1139" s="159"/>
      <c r="E1139" s="159"/>
      <c r="F1139" s="159">
        <v>536.03</v>
      </c>
      <c r="G1139" s="160"/>
      <c r="H1139" s="34" t="s">
        <v>925</v>
      </c>
    </row>
    <row r="1140" spans="1:8" ht="33">
      <c r="A1140" s="160"/>
      <c r="B1140" s="160"/>
      <c r="C1140" s="157"/>
      <c r="D1140" s="159"/>
      <c r="E1140" s="159"/>
      <c r="F1140" s="159"/>
      <c r="G1140" s="160"/>
      <c r="H1140" s="34" t="s">
        <v>925</v>
      </c>
    </row>
    <row r="1141" spans="1:8" ht="42.75">
      <c r="A1141" s="160" t="s">
        <v>1512</v>
      </c>
      <c r="B1141" s="160" t="s">
        <v>1378</v>
      </c>
      <c r="C1141" s="157" t="s">
        <v>17</v>
      </c>
      <c r="D1141" s="159">
        <v>10</v>
      </c>
      <c r="E1141" s="159">
        <v>1073.25</v>
      </c>
      <c r="F1141" s="159"/>
      <c r="G1141" s="160" t="s">
        <v>4365</v>
      </c>
      <c r="H1141" s="34" t="s">
        <v>925</v>
      </c>
    </row>
    <row r="1142" spans="1:8" ht="33">
      <c r="A1142" s="160">
        <v>1</v>
      </c>
      <c r="B1142" s="160" t="s">
        <v>1364</v>
      </c>
      <c r="C1142" s="157" t="s">
        <v>3</v>
      </c>
      <c r="D1142" s="159">
        <v>0.25</v>
      </c>
      <c r="E1142" s="159">
        <v>2776.81</v>
      </c>
      <c r="F1142" s="159">
        <v>694.2</v>
      </c>
      <c r="G1142" s="160" t="s">
        <v>5448</v>
      </c>
      <c r="H1142" s="34" t="s">
        <v>925</v>
      </c>
    </row>
    <row r="1143" spans="1:8" ht="33">
      <c r="A1143" s="160">
        <v>2</v>
      </c>
      <c r="B1143" s="160" t="s">
        <v>1366</v>
      </c>
      <c r="C1143" s="157" t="s">
        <v>14</v>
      </c>
      <c r="D1143" s="159">
        <v>1</v>
      </c>
      <c r="E1143" s="159">
        <v>555.36</v>
      </c>
      <c r="F1143" s="159">
        <v>555.36</v>
      </c>
      <c r="G1143" s="160" t="s">
        <v>2</v>
      </c>
      <c r="H1143" s="34" t="s">
        <v>925</v>
      </c>
    </row>
    <row r="1144" spans="1:8" ht="33">
      <c r="A1144" s="160">
        <v>3</v>
      </c>
      <c r="B1144" s="160" t="s">
        <v>4927</v>
      </c>
      <c r="C1144" s="157" t="s">
        <v>927</v>
      </c>
      <c r="D1144" s="159">
        <v>9.58</v>
      </c>
      <c r="E1144" s="159">
        <v>379.5</v>
      </c>
      <c r="F1144" s="159">
        <v>3635.61</v>
      </c>
      <c r="G1144" s="160" t="s">
        <v>5447</v>
      </c>
      <c r="H1144" s="34" t="s">
        <v>925</v>
      </c>
    </row>
    <row r="1145" spans="1:8" ht="16.5">
      <c r="A1145" s="160">
        <v>4</v>
      </c>
      <c r="B1145" s="160" t="s">
        <v>4871</v>
      </c>
      <c r="C1145" s="157" t="s">
        <v>927</v>
      </c>
      <c r="D1145" s="159">
        <v>21.28</v>
      </c>
      <c r="E1145" s="159">
        <v>260.08999999999997</v>
      </c>
      <c r="F1145" s="159">
        <v>5534.72</v>
      </c>
      <c r="G1145" s="160" t="s">
        <v>5435</v>
      </c>
    </row>
    <row r="1146" spans="1:8" ht="33">
      <c r="A1146" s="160">
        <v>5</v>
      </c>
      <c r="B1146" s="160" t="s">
        <v>931</v>
      </c>
      <c r="C1146" s="157" t="s">
        <v>14</v>
      </c>
      <c r="D1146" s="159">
        <v>1</v>
      </c>
      <c r="E1146" s="159">
        <v>312.60000000000002</v>
      </c>
      <c r="F1146" s="159">
        <v>312.60000000000002</v>
      </c>
      <c r="G1146" s="160" t="s">
        <v>2</v>
      </c>
      <c r="H1146" s="34" t="s">
        <v>925</v>
      </c>
    </row>
    <row r="1147" spans="1:8" ht="33">
      <c r="A1147" s="160"/>
      <c r="B1147" s="160" t="s">
        <v>933</v>
      </c>
      <c r="C1147" s="157" t="s">
        <v>17</v>
      </c>
      <c r="D1147" s="159">
        <v>10</v>
      </c>
      <c r="E1147" s="159"/>
      <c r="F1147" s="159">
        <v>10732.49</v>
      </c>
      <c r="G1147" s="160"/>
      <c r="H1147" s="34" t="s">
        <v>925</v>
      </c>
    </row>
    <row r="1148" spans="1:8" ht="33">
      <c r="A1148" s="160"/>
      <c r="B1148" s="160" t="s">
        <v>934</v>
      </c>
      <c r="C1148" s="157" t="s">
        <v>17</v>
      </c>
      <c r="D1148" s="159"/>
      <c r="E1148" s="159"/>
      <c r="F1148" s="159">
        <v>1073.25</v>
      </c>
      <c r="G1148" s="160"/>
      <c r="H1148" s="34" t="s">
        <v>925</v>
      </c>
    </row>
    <row r="1149" spans="1:8" ht="33">
      <c r="A1149" s="160"/>
      <c r="B1149" s="160"/>
      <c r="C1149" s="157"/>
      <c r="D1149" s="159"/>
      <c r="E1149" s="159"/>
      <c r="F1149" s="159"/>
      <c r="G1149" s="160"/>
      <c r="H1149" s="34" t="s">
        <v>925</v>
      </c>
    </row>
    <row r="1150" spans="1:8" ht="42.75">
      <c r="A1150" s="160" t="s">
        <v>1517</v>
      </c>
      <c r="B1150" s="160" t="s">
        <v>1381</v>
      </c>
      <c r="C1150" s="157" t="s">
        <v>3</v>
      </c>
      <c r="D1150" s="159">
        <v>10</v>
      </c>
      <c r="E1150" s="159">
        <v>626.22</v>
      </c>
      <c r="F1150" s="159"/>
      <c r="G1150" s="160" t="s">
        <v>4365</v>
      </c>
      <c r="H1150" s="34" t="s">
        <v>925</v>
      </c>
    </row>
    <row r="1151" spans="1:8" ht="33">
      <c r="A1151" s="160">
        <v>1</v>
      </c>
      <c r="B1151" s="160" t="s">
        <v>1364</v>
      </c>
      <c r="C1151" s="157" t="s">
        <v>3</v>
      </c>
      <c r="D1151" s="159">
        <v>0.25</v>
      </c>
      <c r="E1151" s="159">
        <v>2776.81</v>
      </c>
      <c r="F1151" s="159">
        <v>694.2</v>
      </c>
      <c r="G1151" s="160" t="s">
        <v>5448</v>
      </c>
      <c r="H1151" s="34" t="s">
        <v>925</v>
      </c>
    </row>
    <row r="1152" spans="1:8" ht="16.5">
      <c r="A1152" s="160">
        <v>2</v>
      </c>
      <c r="B1152" s="160" t="s">
        <v>1366</v>
      </c>
      <c r="C1152" s="157" t="s">
        <v>14</v>
      </c>
      <c r="D1152" s="159">
        <v>1</v>
      </c>
      <c r="E1152" s="159">
        <v>370.24</v>
      </c>
      <c r="F1152" s="159">
        <v>370.24</v>
      </c>
      <c r="G1152" s="160" t="s">
        <v>2</v>
      </c>
    </row>
    <row r="1153" spans="1:8" ht="33">
      <c r="A1153" s="160">
        <v>3</v>
      </c>
      <c r="B1153" s="160" t="s">
        <v>4927</v>
      </c>
      <c r="C1153" s="157" t="s">
        <v>927</v>
      </c>
      <c r="D1153" s="159">
        <v>6.65</v>
      </c>
      <c r="E1153" s="159">
        <v>379.5</v>
      </c>
      <c r="F1153" s="159">
        <v>2523.6799999999998</v>
      </c>
      <c r="G1153" s="160" t="s">
        <v>5447</v>
      </c>
      <c r="H1153" s="34" t="s">
        <v>925</v>
      </c>
    </row>
    <row r="1154" spans="1:8" ht="33">
      <c r="A1154" s="160">
        <v>4</v>
      </c>
      <c r="B1154" s="160" t="s">
        <v>4871</v>
      </c>
      <c r="C1154" s="157" t="s">
        <v>927</v>
      </c>
      <c r="D1154" s="159">
        <v>9.58</v>
      </c>
      <c r="E1154" s="159">
        <v>260.08999999999997</v>
      </c>
      <c r="F1154" s="159">
        <v>2491.66</v>
      </c>
      <c r="G1154" s="160" t="s">
        <v>5435</v>
      </c>
      <c r="H1154" s="34" t="s">
        <v>925</v>
      </c>
    </row>
    <row r="1155" spans="1:8" ht="33">
      <c r="A1155" s="160">
        <v>5</v>
      </c>
      <c r="B1155" s="160" t="s">
        <v>931</v>
      </c>
      <c r="C1155" s="157" t="s">
        <v>14</v>
      </c>
      <c r="D1155" s="159">
        <v>1</v>
      </c>
      <c r="E1155" s="159">
        <v>182.39</v>
      </c>
      <c r="F1155" s="159">
        <v>182.39</v>
      </c>
      <c r="G1155" s="160" t="s">
        <v>2</v>
      </c>
      <c r="H1155" s="34" t="s">
        <v>925</v>
      </c>
    </row>
    <row r="1156" spans="1:8" ht="33">
      <c r="A1156" s="160"/>
      <c r="B1156" s="160" t="s">
        <v>933</v>
      </c>
      <c r="C1156" s="157" t="s">
        <v>3</v>
      </c>
      <c r="D1156" s="159">
        <v>10</v>
      </c>
      <c r="E1156" s="159"/>
      <c r="F1156" s="159">
        <v>6262.17</v>
      </c>
      <c r="G1156" s="160"/>
      <c r="H1156" s="34" t="s">
        <v>925</v>
      </c>
    </row>
    <row r="1157" spans="1:8" ht="33">
      <c r="A1157" s="160"/>
      <c r="B1157" s="160" t="s">
        <v>934</v>
      </c>
      <c r="C1157" s="157" t="s">
        <v>3</v>
      </c>
      <c r="D1157" s="159"/>
      <c r="E1157" s="159"/>
      <c r="F1157" s="159">
        <v>626.22</v>
      </c>
      <c r="G1157" s="160"/>
      <c r="H1157" s="34" t="s">
        <v>925</v>
      </c>
    </row>
    <row r="1158" spans="1:8" ht="33">
      <c r="A1158" s="160"/>
      <c r="B1158" s="160"/>
      <c r="C1158" s="157"/>
      <c r="D1158" s="159"/>
      <c r="E1158" s="159"/>
      <c r="F1158" s="159"/>
      <c r="G1158" s="160"/>
      <c r="H1158" s="34" t="s">
        <v>925</v>
      </c>
    </row>
    <row r="1159" spans="1:8" ht="28.5">
      <c r="A1159" s="160" t="s">
        <v>1524</v>
      </c>
      <c r="B1159" s="160" t="s">
        <v>4551</v>
      </c>
      <c r="C1159" s="157" t="s">
        <v>17</v>
      </c>
      <c r="D1159" s="159">
        <v>10</v>
      </c>
      <c r="E1159" s="159">
        <v>1210.1099999999999</v>
      </c>
      <c r="F1159" s="159"/>
      <c r="G1159" s="160" t="s">
        <v>2</v>
      </c>
    </row>
    <row r="1160" spans="1:8" ht="33">
      <c r="A1160" s="160">
        <v>1</v>
      </c>
      <c r="B1160" s="160" t="s">
        <v>1364</v>
      </c>
      <c r="C1160" s="157" t="s">
        <v>3</v>
      </c>
      <c r="D1160" s="159">
        <v>0.25</v>
      </c>
      <c r="E1160" s="159">
        <v>2776.81</v>
      </c>
      <c r="F1160" s="159">
        <v>694.2</v>
      </c>
      <c r="G1160" s="160" t="s">
        <v>5448</v>
      </c>
      <c r="H1160" s="34" t="s">
        <v>925</v>
      </c>
    </row>
    <row r="1161" spans="1:8" ht="33">
      <c r="A1161" s="160">
        <v>2</v>
      </c>
      <c r="B1161" s="160" t="s">
        <v>1366</v>
      </c>
      <c r="C1161" s="157" t="s">
        <v>14</v>
      </c>
      <c r="D1161" s="159">
        <v>1</v>
      </c>
      <c r="E1161" s="159">
        <v>462.8</v>
      </c>
      <c r="F1161" s="159">
        <v>462.8</v>
      </c>
      <c r="G1161" s="160" t="s">
        <v>2</v>
      </c>
      <c r="H1161" s="34" t="s">
        <v>925</v>
      </c>
    </row>
    <row r="1162" spans="1:8" ht="33">
      <c r="A1162" s="160">
        <v>3</v>
      </c>
      <c r="B1162" s="160" t="s">
        <v>4930</v>
      </c>
      <c r="C1162" s="157" t="s">
        <v>927</v>
      </c>
      <c r="D1162" s="159">
        <v>8.2799999999999994</v>
      </c>
      <c r="E1162" s="159">
        <v>758.99</v>
      </c>
      <c r="F1162" s="159">
        <v>6284.44</v>
      </c>
      <c r="G1162" s="160" t="s">
        <v>5447</v>
      </c>
      <c r="H1162" s="34" t="s">
        <v>925</v>
      </c>
    </row>
    <row r="1163" spans="1:8" ht="33">
      <c r="A1163" s="160">
        <v>4</v>
      </c>
      <c r="B1163" s="160" t="s">
        <v>4874</v>
      </c>
      <c r="C1163" s="157" t="s">
        <v>927</v>
      </c>
      <c r="D1163" s="159">
        <v>8.2799999999999994</v>
      </c>
      <c r="E1163" s="159">
        <v>520.19000000000005</v>
      </c>
      <c r="F1163" s="159">
        <v>4307.17</v>
      </c>
      <c r="G1163" s="160" t="s">
        <v>5436</v>
      </c>
      <c r="H1163" s="34" t="s">
        <v>925</v>
      </c>
    </row>
    <row r="1164" spans="1:8" ht="33">
      <c r="A1164" s="160">
        <v>5</v>
      </c>
      <c r="B1164" s="160" t="s">
        <v>931</v>
      </c>
      <c r="C1164" s="157" t="s">
        <v>14</v>
      </c>
      <c r="D1164" s="159">
        <v>1</v>
      </c>
      <c r="E1164" s="159">
        <v>352.46</v>
      </c>
      <c r="F1164" s="159">
        <v>352.46</v>
      </c>
      <c r="G1164" s="160" t="s">
        <v>2</v>
      </c>
      <c r="H1164" s="34" t="s">
        <v>925</v>
      </c>
    </row>
    <row r="1165" spans="1:8" ht="33">
      <c r="A1165" s="160"/>
      <c r="B1165" s="160" t="s">
        <v>933</v>
      </c>
      <c r="C1165" s="157" t="s">
        <v>17</v>
      </c>
      <c r="D1165" s="159">
        <v>10</v>
      </c>
      <c r="E1165" s="159"/>
      <c r="F1165" s="159">
        <v>12101.07</v>
      </c>
      <c r="G1165" s="160"/>
      <c r="H1165" s="34" t="s">
        <v>925</v>
      </c>
    </row>
    <row r="1166" spans="1:8" ht="33">
      <c r="A1166" s="160"/>
      <c r="B1166" s="160" t="s">
        <v>934</v>
      </c>
      <c r="C1166" s="157" t="s">
        <v>17</v>
      </c>
      <c r="D1166" s="159"/>
      <c r="E1166" s="159"/>
      <c r="F1166" s="159">
        <v>1210.1099999999999</v>
      </c>
      <c r="G1166" s="160"/>
      <c r="H1166" s="34" t="s">
        <v>925</v>
      </c>
    </row>
    <row r="1167" spans="1:8" ht="16.5">
      <c r="A1167" s="160"/>
      <c r="B1167" s="160"/>
      <c r="C1167" s="157"/>
      <c r="D1167" s="159"/>
      <c r="E1167" s="159"/>
      <c r="F1167" s="159"/>
      <c r="G1167" s="160"/>
    </row>
    <row r="1168" spans="1:8" ht="33">
      <c r="A1168" s="160" t="s">
        <v>1532</v>
      </c>
      <c r="B1168" s="160" t="s">
        <v>4553</v>
      </c>
      <c r="C1168" s="157" t="s">
        <v>3</v>
      </c>
      <c r="D1168" s="159">
        <v>10</v>
      </c>
      <c r="E1168" s="159">
        <v>696.65</v>
      </c>
      <c r="F1168" s="159"/>
      <c r="G1168" s="160" t="s">
        <v>2</v>
      </c>
      <c r="H1168" s="34" t="s">
        <v>925</v>
      </c>
    </row>
    <row r="1169" spans="1:8" ht="33">
      <c r="A1169" s="160">
        <v>1</v>
      </c>
      <c r="B1169" s="160" t="s">
        <v>1364</v>
      </c>
      <c r="C1169" s="157" t="s">
        <v>3</v>
      </c>
      <c r="D1169" s="159">
        <v>0.25</v>
      </c>
      <c r="E1169" s="159">
        <v>2776.81</v>
      </c>
      <c r="F1169" s="159">
        <v>694.2</v>
      </c>
      <c r="G1169" s="160" t="s">
        <v>5448</v>
      </c>
      <c r="H1169" s="34" t="s">
        <v>925</v>
      </c>
    </row>
    <row r="1170" spans="1:8" ht="33">
      <c r="A1170" s="160">
        <v>2</v>
      </c>
      <c r="B1170" s="160" t="s">
        <v>1366</v>
      </c>
      <c r="C1170" s="157" t="s">
        <v>14</v>
      </c>
      <c r="D1170" s="159">
        <v>1</v>
      </c>
      <c r="E1170" s="159">
        <v>185.12</v>
      </c>
      <c r="F1170" s="159">
        <v>185.12</v>
      </c>
      <c r="G1170" s="160" t="s">
        <v>2</v>
      </c>
      <c r="H1170" s="34" t="s">
        <v>925</v>
      </c>
    </row>
    <row r="1171" spans="1:8" ht="33">
      <c r="A1171" s="160">
        <v>3</v>
      </c>
      <c r="B1171" s="160" t="s">
        <v>4930</v>
      </c>
      <c r="C1171" s="157" t="s">
        <v>927</v>
      </c>
      <c r="D1171" s="159">
        <v>4.5999999999999996</v>
      </c>
      <c r="E1171" s="159">
        <v>758.99</v>
      </c>
      <c r="F1171" s="159">
        <v>3491.35</v>
      </c>
      <c r="G1171" s="160" t="s">
        <v>5447</v>
      </c>
      <c r="H1171" s="34" t="s">
        <v>925</v>
      </c>
    </row>
    <row r="1172" spans="1:8" ht="33">
      <c r="A1172" s="160">
        <v>4</v>
      </c>
      <c r="B1172" s="160" t="s">
        <v>4874</v>
      </c>
      <c r="C1172" s="157" t="s">
        <v>927</v>
      </c>
      <c r="D1172" s="159">
        <v>4.5999999999999996</v>
      </c>
      <c r="E1172" s="159">
        <v>520.19000000000005</v>
      </c>
      <c r="F1172" s="159">
        <v>2392.87</v>
      </c>
      <c r="G1172" s="160" t="s">
        <v>5436</v>
      </c>
      <c r="H1172" s="34" t="s">
        <v>925</v>
      </c>
    </row>
    <row r="1173" spans="1:8" ht="33">
      <c r="A1173" s="160">
        <v>5</v>
      </c>
      <c r="B1173" s="160" t="s">
        <v>931</v>
      </c>
      <c r="C1173" s="157" t="s">
        <v>14</v>
      </c>
      <c r="D1173" s="159">
        <v>1</v>
      </c>
      <c r="E1173" s="159">
        <v>202.91</v>
      </c>
      <c r="F1173" s="159">
        <v>202.91</v>
      </c>
      <c r="G1173" s="160" t="s">
        <v>2</v>
      </c>
      <c r="H1173" s="34" t="s">
        <v>925</v>
      </c>
    </row>
    <row r="1174" spans="1:8" ht="33">
      <c r="A1174" s="160"/>
      <c r="B1174" s="160" t="s">
        <v>933</v>
      </c>
      <c r="C1174" s="157" t="s">
        <v>3</v>
      </c>
      <c r="D1174" s="159">
        <v>10</v>
      </c>
      <c r="E1174" s="159"/>
      <c r="F1174" s="159">
        <v>6966.45</v>
      </c>
      <c r="G1174" s="160"/>
      <c r="H1174" s="34" t="s">
        <v>925</v>
      </c>
    </row>
    <row r="1175" spans="1:8" ht="16.5">
      <c r="A1175" s="160"/>
      <c r="B1175" s="160" t="s">
        <v>934</v>
      </c>
      <c r="C1175" s="157" t="s">
        <v>3</v>
      </c>
      <c r="D1175" s="159"/>
      <c r="E1175" s="159"/>
      <c r="F1175" s="159">
        <v>696.65</v>
      </c>
      <c r="G1175" s="160"/>
    </row>
    <row r="1176" spans="1:8" ht="33">
      <c r="A1176" s="160"/>
      <c r="B1176" s="160"/>
      <c r="C1176" s="157"/>
      <c r="D1176" s="159"/>
      <c r="E1176" s="159"/>
      <c r="F1176" s="159"/>
      <c r="G1176" s="160"/>
      <c r="H1176" s="34" t="s">
        <v>925</v>
      </c>
    </row>
    <row r="1177" spans="1:8" ht="33">
      <c r="A1177" s="160" t="s">
        <v>1542</v>
      </c>
      <c r="B1177" s="160" t="s">
        <v>4555</v>
      </c>
      <c r="C1177" s="157" t="s">
        <v>17</v>
      </c>
      <c r="D1177" s="159">
        <v>10</v>
      </c>
      <c r="E1177" s="159">
        <v>1505.87</v>
      </c>
      <c r="F1177" s="159"/>
      <c r="G1177" s="160" t="s">
        <v>2</v>
      </c>
      <c r="H1177" s="34" t="s">
        <v>925</v>
      </c>
    </row>
    <row r="1178" spans="1:8" ht="33">
      <c r="A1178" s="160">
        <v>1</v>
      </c>
      <c r="B1178" s="160" t="s">
        <v>1364</v>
      </c>
      <c r="C1178" s="157" t="s">
        <v>3</v>
      </c>
      <c r="D1178" s="159">
        <v>0.25</v>
      </c>
      <c r="E1178" s="159">
        <v>2776.81</v>
      </c>
      <c r="F1178" s="159">
        <v>694.2</v>
      </c>
      <c r="G1178" s="160" t="s">
        <v>5448</v>
      </c>
      <c r="H1178" s="34" t="s">
        <v>925</v>
      </c>
    </row>
    <row r="1179" spans="1:8" ht="33">
      <c r="A1179" s="160">
        <v>2</v>
      </c>
      <c r="B1179" s="160" t="s">
        <v>1366</v>
      </c>
      <c r="C1179" s="157" t="s">
        <v>14</v>
      </c>
      <c r="D1179" s="159">
        <v>1</v>
      </c>
      <c r="E1179" s="159">
        <v>462.8</v>
      </c>
      <c r="F1179" s="159">
        <v>462.8</v>
      </c>
      <c r="G1179" s="160" t="s">
        <v>2</v>
      </c>
      <c r="H1179" s="34" t="s">
        <v>925</v>
      </c>
    </row>
    <row r="1180" spans="1:8" ht="33">
      <c r="A1180" s="160">
        <v>3</v>
      </c>
      <c r="B1180" s="160" t="s">
        <v>4930</v>
      </c>
      <c r="C1180" s="157" t="s">
        <v>927</v>
      </c>
      <c r="D1180" s="159">
        <v>8.2799999999999994</v>
      </c>
      <c r="E1180" s="159">
        <v>758.99</v>
      </c>
      <c r="F1180" s="159">
        <v>6284.44</v>
      </c>
      <c r="G1180" s="160" t="s">
        <v>5447</v>
      </c>
      <c r="H1180" s="34" t="s">
        <v>925</v>
      </c>
    </row>
    <row r="1181" spans="1:8" ht="33">
      <c r="A1181" s="160">
        <v>4</v>
      </c>
      <c r="B1181" s="160" t="s">
        <v>4874</v>
      </c>
      <c r="C1181" s="157" t="s">
        <v>927</v>
      </c>
      <c r="D1181" s="159">
        <v>13.8</v>
      </c>
      <c r="E1181" s="159">
        <v>520.19000000000005</v>
      </c>
      <c r="F1181" s="159">
        <v>7178.62</v>
      </c>
      <c r="G1181" s="160" t="s">
        <v>5436</v>
      </c>
      <c r="H1181" s="34" t="s">
        <v>925</v>
      </c>
    </row>
    <row r="1182" spans="1:8" ht="33">
      <c r="A1182" s="160">
        <v>5</v>
      </c>
      <c r="B1182" s="160" t="s">
        <v>931</v>
      </c>
      <c r="C1182" s="157" t="s">
        <v>14</v>
      </c>
      <c r="D1182" s="159">
        <v>1</v>
      </c>
      <c r="E1182" s="159">
        <v>438.6</v>
      </c>
      <c r="F1182" s="159">
        <v>438.6</v>
      </c>
      <c r="G1182" s="160" t="s">
        <v>2</v>
      </c>
      <c r="H1182" s="34" t="s">
        <v>925</v>
      </c>
    </row>
    <row r="1183" spans="1:8" ht="16.5">
      <c r="A1183" s="160"/>
      <c r="B1183" s="160" t="s">
        <v>933</v>
      </c>
      <c r="C1183" s="157" t="s">
        <v>17</v>
      </c>
      <c r="D1183" s="159">
        <v>10</v>
      </c>
      <c r="E1183" s="159"/>
      <c r="F1183" s="159">
        <v>15058.66</v>
      </c>
      <c r="G1183" s="160"/>
    </row>
    <row r="1184" spans="1:8" ht="33">
      <c r="A1184" s="160"/>
      <c r="B1184" s="160" t="s">
        <v>934</v>
      </c>
      <c r="C1184" s="157" t="s">
        <v>17</v>
      </c>
      <c r="D1184" s="159"/>
      <c r="E1184" s="159"/>
      <c r="F1184" s="159">
        <v>1505.87</v>
      </c>
      <c r="G1184" s="160"/>
      <c r="H1184" s="34" t="s">
        <v>925</v>
      </c>
    </row>
    <row r="1185" spans="1:8" ht="33">
      <c r="A1185" s="160"/>
      <c r="B1185" s="160"/>
      <c r="C1185" s="157"/>
      <c r="D1185" s="159"/>
      <c r="E1185" s="159"/>
      <c r="F1185" s="159"/>
      <c r="G1185" s="160"/>
      <c r="H1185" s="34" t="s">
        <v>925</v>
      </c>
    </row>
    <row r="1186" spans="1:8" ht="33">
      <c r="A1186" s="160" t="s">
        <v>1549</v>
      </c>
      <c r="B1186" s="160" t="s">
        <v>4557</v>
      </c>
      <c r="C1186" s="157" t="s">
        <v>3</v>
      </c>
      <c r="D1186" s="159">
        <v>10</v>
      </c>
      <c r="E1186" s="159">
        <v>854.06</v>
      </c>
      <c r="F1186" s="159"/>
      <c r="G1186" s="160" t="s">
        <v>2</v>
      </c>
      <c r="H1186" s="34" t="s">
        <v>925</v>
      </c>
    </row>
    <row r="1187" spans="1:8" ht="33">
      <c r="A1187" s="160">
        <v>1</v>
      </c>
      <c r="B1187" s="160" t="s">
        <v>1364</v>
      </c>
      <c r="C1187" s="157" t="s">
        <v>3</v>
      </c>
      <c r="D1187" s="159">
        <v>0.25</v>
      </c>
      <c r="E1187" s="159">
        <v>2776.81</v>
      </c>
      <c r="F1187" s="159">
        <v>694.2</v>
      </c>
      <c r="G1187" s="160" t="s">
        <v>5448</v>
      </c>
      <c r="H1187" s="34" t="s">
        <v>925</v>
      </c>
    </row>
    <row r="1188" spans="1:8" ht="33">
      <c r="A1188" s="160">
        <v>2</v>
      </c>
      <c r="B1188" s="160" t="s">
        <v>1366</v>
      </c>
      <c r="C1188" s="157" t="s">
        <v>14</v>
      </c>
      <c r="D1188" s="159">
        <v>1</v>
      </c>
      <c r="E1188" s="159">
        <v>277.68</v>
      </c>
      <c r="F1188" s="159">
        <v>277.68</v>
      </c>
      <c r="G1188" s="160" t="s">
        <v>2</v>
      </c>
      <c r="H1188" s="34" t="s">
        <v>925</v>
      </c>
    </row>
    <row r="1189" spans="1:8" ht="33">
      <c r="A1189" s="160">
        <v>3</v>
      </c>
      <c r="B1189" s="160" t="s">
        <v>4930</v>
      </c>
      <c r="C1189" s="157" t="s">
        <v>927</v>
      </c>
      <c r="D1189" s="159">
        <v>4.5999999999999996</v>
      </c>
      <c r="E1189" s="159">
        <v>758.99</v>
      </c>
      <c r="F1189" s="159">
        <v>3491.35</v>
      </c>
      <c r="G1189" s="160" t="s">
        <v>5447</v>
      </c>
      <c r="H1189" s="34" t="s">
        <v>925</v>
      </c>
    </row>
    <row r="1190" spans="1:8" ht="33">
      <c r="A1190" s="160">
        <v>4</v>
      </c>
      <c r="B1190" s="160" t="s">
        <v>4874</v>
      </c>
      <c r="C1190" s="157" t="s">
        <v>927</v>
      </c>
      <c r="D1190" s="159">
        <v>7.36</v>
      </c>
      <c r="E1190" s="159">
        <v>520.19000000000005</v>
      </c>
      <c r="F1190" s="159">
        <v>3828.6</v>
      </c>
      <c r="G1190" s="160" t="s">
        <v>5436</v>
      </c>
      <c r="H1190" s="34" t="s">
        <v>925</v>
      </c>
    </row>
    <row r="1191" spans="1:8" ht="16.5">
      <c r="A1191" s="160">
        <v>5</v>
      </c>
      <c r="B1191" s="160" t="s">
        <v>931</v>
      </c>
      <c r="C1191" s="157" t="s">
        <v>14</v>
      </c>
      <c r="D1191" s="159">
        <v>1</v>
      </c>
      <c r="E1191" s="159">
        <v>248.75</v>
      </c>
      <c r="F1191" s="159">
        <v>248.75</v>
      </c>
      <c r="G1191" s="160" t="s">
        <v>2</v>
      </c>
    </row>
    <row r="1192" spans="1:8" ht="33">
      <c r="A1192" s="160"/>
      <c r="B1192" s="160" t="s">
        <v>933</v>
      </c>
      <c r="C1192" s="157" t="s">
        <v>3</v>
      </c>
      <c r="D1192" s="159">
        <v>10</v>
      </c>
      <c r="E1192" s="159"/>
      <c r="F1192" s="159">
        <v>8540.58</v>
      </c>
      <c r="G1192" s="160"/>
      <c r="H1192" s="34" t="s">
        <v>925</v>
      </c>
    </row>
    <row r="1193" spans="1:8" ht="33">
      <c r="A1193" s="160"/>
      <c r="B1193" s="160" t="s">
        <v>934</v>
      </c>
      <c r="C1193" s="157" t="s">
        <v>3</v>
      </c>
      <c r="D1193" s="159"/>
      <c r="E1193" s="159"/>
      <c r="F1193" s="159">
        <v>854.06</v>
      </c>
      <c r="G1193" s="160"/>
      <c r="H1193" s="34" t="s">
        <v>925</v>
      </c>
    </row>
    <row r="1194" spans="1:8" ht="33">
      <c r="A1194" s="160"/>
      <c r="B1194" s="160"/>
      <c r="C1194" s="157"/>
      <c r="D1194" s="159"/>
      <c r="E1194" s="159"/>
      <c r="F1194" s="159"/>
      <c r="G1194" s="160"/>
      <c r="H1194" s="34" t="s">
        <v>925</v>
      </c>
    </row>
    <row r="1195" spans="1:8" ht="33">
      <c r="A1195" s="160" t="s">
        <v>1556</v>
      </c>
      <c r="B1195" s="160" t="s">
        <v>4559</v>
      </c>
      <c r="C1195" s="157" t="s">
        <v>17</v>
      </c>
      <c r="D1195" s="159">
        <v>10</v>
      </c>
      <c r="E1195" s="159">
        <v>1761.87</v>
      </c>
      <c r="F1195" s="159"/>
      <c r="G1195" s="160" t="s">
        <v>2</v>
      </c>
      <c r="H1195" s="34" t="s">
        <v>925</v>
      </c>
    </row>
    <row r="1196" spans="1:8" ht="33">
      <c r="A1196" s="160">
        <v>1</v>
      </c>
      <c r="B1196" s="160" t="s">
        <v>1364</v>
      </c>
      <c r="C1196" s="157" t="s">
        <v>3</v>
      </c>
      <c r="D1196" s="159">
        <v>0.25</v>
      </c>
      <c r="E1196" s="159">
        <v>2776.81</v>
      </c>
      <c r="F1196" s="159">
        <v>694.2</v>
      </c>
      <c r="G1196" s="160" t="s">
        <v>5448</v>
      </c>
      <c r="H1196" s="34" t="s">
        <v>925</v>
      </c>
    </row>
    <row r="1197" spans="1:8" ht="33">
      <c r="A1197" s="160">
        <v>2</v>
      </c>
      <c r="B1197" s="160" t="s">
        <v>1366</v>
      </c>
      <c r="C1197" s="157" t="s">
        <v>14</v>
      </c>
      <c r="D1197" s="159">
        <v>1</v>
      </c>
      <c r="E1197" s="159">
        <v>555.36</v>
      </c>
      <c r="F1197" s="159">
        <v>555.36</v>
      </c>
      <c r="G1197" s="160" t="s">
        <v>2</v>
      </c>
      <c r="H1197" s="34" t="s">
        <v>925</v>
      </c>
    </row>
    <row r="1198" spans="1:8" ht="33">
      <c r="A1198" s="160">
        <v>3</v>
      </c>
      <c r="B1198" s="160" t="s">
        <v>4930</v>
      </c>
      <c r="C1198" s="157" t="s">
        <v>927</v>
      </c>
      <c r="D1198" s="159">
        <v>8.2799999999999994</v>
      </c>
      <c r="E1198" s="159">
        <v>758.99</v>
      </c>
      <c r="F1198" s="159">
        <v>6284.44</v>
      </c>
      <c r="G1198" s="160" t="s">
        <v>5447</v>
      </c>
      <c r="H1198" s="34" t="s">
        <v>925</v>
      </c>
    </row>
    <row r="1199" spans="1:8" ht="28.5">
      <c r="A1199" s="160">
        <v>4</v>
      </c>
      <c r="B1199" s="160" t="s">
        <v>4874</v>
      </c>
      <c r="C1199" s="157" t="s">
        <v>927</v>
      </c>
      <c r="D1199" s="159">
        <v>18.399999999999999</v>
      </c>
      <c r="E1199" s="159">
        <v>520.19000000000005</v>
      </c>
      <c r="F1199" s="159">
        <v>9571.5</v>
      </c>
      <c r="G1199" s="160" t="s">
        <v>5436</v>
      </c>
    </row>
    <row r="1200" spans="1:8" ht="33">
      <c r="A1200" s="160">
        <v>5</v>
      </c>
      <c r="B1200" s="160" t="s">
        <v>931</v>
      </c>
      <c r="C1200" s="157" t="s">
        <v>14</v>
      </c>
      <c r="D1200" s="159">
        <v>1</v>
      </c>
      <c r="E1200" s="159">
        <v>513.16999999999996</v>
      </c>
      <c r="F1200" s="159">
        <v>513.16999999999996</v>
      </c>
      <c r="G1200" s="160" t="s">
        <v>2</v>
      </c>
      <c r="H1200" s="34" t="s">
        <v>925</v>
      </c>
    </row>
    <row r="1201" spans="1:8" ht="33">
      <c r="A1201" s="160"/>
      <c r="B1201" s="160" t="s">
        <v>933</v>
      </c>
      <c r="C1201" s="157" t="s">
        <v>17</v>
      </c>
      <c r="D1201" s="159">
        <v>10</v>
      </c>
      <c r="E1201" s="159"/>
      <c r="F1201" s="159">
        <v>17618.669999999998</v>
      </c>
      <c r="G1201" s="160"/>
      <c r="H1201" s="34" t="s">
        <v>925</v>
      </c>
    </row>
    <row r="1202" spans="1:8" ht="33">
      <c r="A1202" s="160"/>
      <c r="B1202" s="160" t="s">
        <v>934</v>
      </c>
      <c r="C1202" s="157" t="s">
        <v>17</v>
      </c>
      <c r="D1202" s="159"/>
      <c r="E1202" s="159"/>
      <c r="F1202" s="159">
        <v>1761.87</v>
      </c>
      <c r="G1202" s="160"/>
      <c r="H1202" s="34" t="s">
        <v>925</v>
      </c>
    </row>
    <row r="1203" spans="1:8" ht="33">
      <c r="A1203" s="160"/>
      <c r="B1203" s="160"/>
      <c r="C1203" s="157"/>
      <c r="D1203" s="159"/>
      <c r="E1203" s="159"/>
      <c r="F1203" s="159"/>
      <c r="G1203" s="160"/>
      <c r="H1203" s="34" t="s">
        <v>925</v>
      </c>
    </row>
    <row r="1204" spans="1:8" ht="33">
      <c r="A1204" s="160" t="s">
        <v>1563</v>
      </c>
      <c r="B1204" s="160" t="s">
        <v>4561</v>
      </c>
      <c r="C1204" s="157" t="s">
        <v>3</v>
      </c>
      <c r="D1204" s="159">
        <v>10</v>
      </c>
      <c r="E1204" s="159">
        <v>1002.79</v>
      </c>
      <c r="F1204" s="159"/>
      <c r="G1204" s="160" t="s">
        <v>2</v>
      </c>
      <c r="H1204" s="34" t="s">
        <v>925</v>
      </c>
    </row>
    <row r="1205" spans="1:8" ht="33">
      <c r="A1205" s="160">
        <v>1</v>
      </c>
      <c r="B1205" s="160" t="s">
        <v>1364</v>
      </c>
      <c r="C1205" s="157" t="s">
        <v>3</v>
      </c>
      <c r="D1205" s="159">
        <v>0.25</v>
      </c>
      <c r="E1205" s="159">
        <v>2776.81</v>
      </c>
      <c r="F1205" s="159">
        <v>694.2</v>
      </c>
      <c r="G1205" s="160" t="s">
        <v>5448</v>
      </c>
      <c r="H1205" s="34" t="s">
        <v>925</v>
      </c>
    </row>
    <row r="1206" spans="1:8" ht="33">
      <c r="A1206" s="160">
        <v>2</v>
      </c>
      <c r="B1206" s="160" t="s">
        <v>1366</v>
      </c>
      <c r="C1206" s="157" t="s">
        <v>14</v>
      </c>
      <c r="D1206" s="159">
        <v>1</v>
      </c>
      <c r="E1206" s="159">
        <v>370.24</v>
      </c>
      <c r="F1206" s="159">
        <v>370.24</v>
      </c>
      <c r="G1206" s="160" t="s">
        <v>2</v>
      </c>
      <c r="H1206" s="34" t="s">
        <v>925</v>
      </c>
    </row>
    <row r="1207" spans="1:8" ht="28.5">
      <c r="A1207" s="160">
        <v>3</v>
      </c>
      <c r="B1207" s="160" t="s">
        <v>4930</v>
      </c>
      <c r="C1207" s="157" t="s">
        <v>927</v>
      </c>
      <c r="D1207" s="159">
        <v>5.75</v>
      </c>
      <c r="E1207" s="159">
        <v>758.99</v>
      </c>
      <c r="F1207" s="159">
        <v>4364.1899999999996</v>
      </c>
      <c r="G1207" s="160" t="s">
        <v>5447</v>
      </c>
    </row>
    <row r="1208" spans="1:8" ht="33">
      <c r="A1208" s="160">
        <v>4</v>
      </c>
      <c r="B1208" s="160" t="s">
        <v>4874</v>
      </c>
      <c r="C1208" s="157" t="s">
        <v>927</v>
      </c>
      <c r="D1208" s="159">
        <v>8.2799999999999994</v>
      </c>
      <c r="E1208" s="159">
        <v>520.19000000000005</v>
      </c>
      <c r="F1208" s="159">
        <v>4307.17</v>
      </c>
      <c r="G1208" s="160" t="s">
        <v>5436</v>
      </c>
      <c r="H1208" s="34" t="s">
        <v>925</v>
      </c>
    </row>
    <row r="1209" spans="1:8" ht="33">
      <c r="A1209" s="160">
        <v>5</v>
      </c>
      <c r="B1209" s="160" t="s">
        <v>931</v>
      </c>
      <c r="C1209" s="157" t="s">
        <v>14</v>
      </c>
      <c r="D1209" s="159">
        <v>1</v>
      </c>
      <c r="E1209" s="159">
        <v>292.07</v>
      </c>
      <c r="F1209" s="159">
        <v>292.07</v>
      </c>
      <c r="G1209" s="160" t="s">
        <v>2</v>
      </c>
      <c r="H1209" s="34" t="s">
        <v>925</v>
      </c>
    </row>
    <row r="1210" spans="1:8" ht="33">
      <c r="A1210" s="160"/>
      <c r="B1210" s="160" t="s">
        <v>933</v>
      </c>
      <c r="C1210" s="157" t="s">
        <v>3</v>
      </c>
      <c r="D1210" s="159">
        <v>10</v>
      </c>
      <c r="E1210" s="159"/>
      <c r="F1210" s="159">
        <v>10027.869999999999</v>
      </c>
      <c r="G1210" s="160"/>
      <c r="H1210" s="34" t="s">
        <v>925</v>
      </c>
    </row>
    <row r="1211" spans="1:8" ht="33">
      <c r="A1211" s="160"/>
      <c r="B1211" s="160" t="s">
        <v>934</v>
      </c>
      <c r="C1211" s="157" t="s">
        <v>3</v>
      </c>
      <c r="D1211" s="159"/>
      <c r="E1211" s="159"/>
      <c r="F1211" s="159">
        <v>1002.79</v>
      </c>
      <c r="G1211" s="160"/>
      <c r="H1211" s="34" t="s">
        <v>925</v>
      </c>
    </row>
    <row r="1212" spans="1:8" ht="33">
      <c r="A1212" s="160"/>
      <c r="B1212" s="160"/>
      <c r="C1212" s="157"/>
      <c r="D1212" s="159"/>
      <c r="E1212" s="159"/>
      <c r="F1212" s="159"/>
      <c r="G1212" s="160"/>
      <c r="H1212" s="34" t="s">
        <v>925</v>
      </c>
    </row>
    <row r="1213" spans="1:8" ht="33">
      <c r="A1213" s="160" t="s">
        <v>1570</v>
      </c>
      <c r="B1213" s="160" t="s">
        <v>1472</v>
      </c>
      <c r="C1213" s="157" t="s">
        <v>4563</v>
      </c>
      <c r="D1213" s="159">
        <v>10</v>
      </c>
      <c r="E1213" s="159">
        <v>246.92</v>
      </c>
      <c r="F1213" s="159"/>
      <c r="G1213" s="160" t="s">
        <v>2</v>
      </c>
      <c r="H1213" s="34" t="s">
        <v>925</v>
      </c>
    </row>
    <row r="1214" spans="1:8" ht="28.5">
      <c r="A1214" s="160">
        <v>1</v>
      </c>
      <c r="B1214" s="160" t="s">
        <v>1364</v>
      </c>
      <c r="C1214" s="157" t="s">
        <v>3</v>
      </c>
      <c r="D1214" s="159">
        <v>0.25</v>
      </c>
      <c r="E1214" s="159">
        <v>2776.81</v>
      </c>
      <c r="F1214" s="159">
        <v>694.2</v>
      </c>
      <c r="G1214" s="160" t="s">
        <v>5448</v>
      </c>
    </row>
    <row r="1215" spans="1:8" ht="33">
      <c r="A1215" s="160">
        <v>2</v>
      </c>
      <c r="B1215" s="160" t="s">
        <v>1366</v>
      </c>
      <c r="C1215" s="157" t="s">
        <v>14</v>
      </c>
      <c r="D1215" s="159">
        <v>1</v>
      </c>
      <c r="E1215" s="159">
        <v>185.12</v>
      </c>
      <c r="F1215" s="159">
        <v>185.12</v>
      </c>
      <c r="G1215" s="160" t="s">
        <v>2</v>
      </c>
      <c r="H1215" s="34" t="s">
        <v>925</v>
      </c>
    </row>
    <row r="1216" spans="1:8" ht="33">
      <c r="A1216" s="160">
        <v>3</v>
      </c>
      <c r="B1216" s="160" t="s">
        <v>4927</v>
      </c>
      <c r="C1216" s="157" t="s">
        <v>927</v>
      </c>
      <c r="D1216" s="159">
        <v>4</v>
      </c>
      <c r="E1216" s="159">
        <v>379.5</v>
      </c>
      <c r="F1216" s="159">
        <v>1518</v>
      </c>
      <c r="G1216" s="160" t="s">
        <v>5447</v>
      </c>
      <c r="H1216" s="34" t="s">
        <v>925</v>
      </c>
    </row>
    <row r="1217" spans="1:8" ht="33">
      <c r="A1217" s="160">
        <v>4</v>
      </c>
      <c r="B1217" s="160" t="s">
        <v>931</v>
      </c>
      <c r="C1217" s="157" t="s">
        <v>14</v>
      </c>
      <c r="D1217" s="159">
        <v>1</v>
      </c>
      <c r="E1217" s="159">
        <v>71.92</v>
      </c>
      <c r="F1217" s="159">
        <v>71.92</v>
      </c>
      <c r="G1217" s="160" t="s">
        <v>2</v>
      </c>
      <c r="H1217" s="34" t="s">
        <v>925</v>
      </c>
    </row>
    <row r="1218" spans="1:8" ht="33">
      <c r="A1218" s="160"/>
      <c r="B1218" s="160" t="s">
        <v>933</v>
      </c>
      <c r="C1218" s="157" t="s">
        <v>4563</v>
      </c>
      <c r="D1218" s="159">
        <v>10</v>
      </c>
      <c r="E1218" s="159"/>
      <c r="F1218" s="159">
        <v>2469.2400000000002</v>
      </c>
      <c r="G1218" s="160"/>
      <c r="H1218" s="34" t="s">
        <v>925</v>
      </c>
    </row>
    <row r="1219" spans="1:8" ht="33">
      <c r="A1219" s="160"/>
      <c r="B1219" s="160" t="s">
        <v>934</v>
      </c>
      <c r="C1219" s="157" t="s">
        <v>4563</v>
      </c>
      <c r="D1219" s="159"/>
      <c r="E1219" s="159"/>
      <c r="F1219" s="159">
        <v>246.92</v>
      </c>
      <c r="G1219" s="160"/>
      <c r="H1219" s="34" t="s">
        <v>925</v>
      </c>
    </row>
    <row r="1220" spans="1:8" ht="33">
      <c r="A1220" s="160"/>
      <c r="B1220" s="160"/>
      <c r="C1220" s="157"/>
      <c r="D1220" s="159"/>
      <c r="E1220" s="159"/>
      <c r="F1220" s="159"/>
      <c r="G1220" s="160"/>
      <c r="H1220" s="34" t="s">
        <v>925</v>
      </c>
    </row>
    <row r="1221" spans="1:8" ht="28.5">
      <c r="A1221" s="160" t="s">
        <v>1577</v>
      </c>
      <c r="B1221" s="160" t="s">
        <v>4565</v>
      </c>
      <c r="C1221" s="157" t="s">
        <v>4563</v>
      </c>
      <c r="D1221" s="159">
        <v>10</v>
      </c>
      <c r="E1221" s="159">
        <v>450.18</v>
      </c>
      <c r="F1221" s="159"/>
      <c r="G1221" s="160" t="s">
        <v>2</v>
      </c>
    </row>
    <row r="1222" spans="1:8" ht="33">
      <c r="A1222" s="160">
        <v>1</v>
      </c>
      <c r="B1222" s="160" t="s">
        <v>1364</v>
      </c>
      <c r="C1222" s="157" t="s">
        <v>3</v>
      </c>
      <c r="D1222" s="159">
        <v>0.25</v>
      </c>
      <c r="E1222" s="159">
        <v>2776.81</v>
      </c>
      <c r="F1222" s="159">
        <v>694.2</v>
      </c>
      <c r="G1222" s="160" t="s">
        <v>5448</v>
      </c>
      <c r="H1222" s="34" t="s">
        <v>925</v>
      </c>
    </row>
    <row r="1223" spans="1:8" ht="33">
      <c r="A1223" s="160">
        <v>2</v>
      </c>
      <c r="B1223" s="160" t="s">
        <v>1366</v>
      </c>
      <c r="C1223" s="157" t="s">
        <v>14</v>
      </c>
      <c r="D1223" s="159">
        <v>1</v>
      </c>
      <c r="E1223" s="159">
        <v>185.12</v>
      </c>
      <c r="F1223" s="159">
        <v>185.12</v>
      </c>
      <c r="G1223" s="160" t="s">
        <v>2</v>
      </c>
      <c r="H1223" s="34" t="s">
        <v>925</v>
      </c>
    </row>
    <row r="1224" spans="1:8" ht="33">
      <c r="A1224" s="160">
        <v>3</v>
      </c>
      <c r="B1224" s="160" t="s">
        <v>4930</v>
      </c>
      <c r="C1224" s="157" t="s">
        <v>927</v>
      </c>
      <c r="D1224" s="159">
        <v>4.5999999999999996</v>
      </c>
      <c r="E1224" s="159">
        <v>758.99</v>
      </c>
      <c r="F1224" s="159">
        <v>3491.35</v>
      </c>
      <c r="G1224" s="160" t="s">
        <v>5447</v>
      </c>
      <c r="H1224" s="34" t="s">
        <v>925</v>
      </c>
    </row>
    <row r="1225" spans="1:8" ht="33">
      <c r="A1225" s="160">
        <v>4</v>
      </c>
      <c r="B1225" s="160" t="s">
        <v>931</v>
      </c>
      <c r="C1225" s="157" t="s">
        <v>14</v>
      </c>
      <c r="D1225" s="159">
        <v>1</v>
      </c>
      <c r="E1225" s="159">
        <v>131.12</v>
      </c>
      <c r="F1225" s="159">
        <v>131.12</v>
      </c>
      <c r="G1225" s="160" t="s">
        <v>2</v>
      </c>
      <c r="H1225" s="34" t="s">
        <v>925</v>
      </c>
    </row>
    <row r="1226" spans="1:8" ht="33">
      <c r="A1226" s="160"/>
      <c r="B1226" s="160" t="s">
        <v>933</v>
      </c>
      <c r="C1226" s="157" t="s">
        <v>4563</v>
      </c>
      <c r="D1226" s="159">
        <v>10</v>
      </c>
      <c r="E1226" s="159"/>
      <c r="F1226" s="159">
        <v>4501.79</v>
      </c>
      <c r="G1226" s="160"/>
      <c r="H1226" s="34" t="s">
        <v>925</v>
      </c>
    </row>
    <row r="1227" spans="1:8" ht="33">
      <c r="A1227" s="160"/>
      <c r="B1227" s="160" t="s">
        <v>934</v>
      </c>
      <c r="C1227" s="157" t="s">
        <v>4563</v>
      </c>
      <c r="D1227" s="159"/>
      <c r="E1227" s="159"/>
      <c r="F1227" s="159">
        <v>450.18</v>
      </c>
      <c r="G1227" s="160"/>
      <c r="H1227" s="34" t="s">
        <v>925</v>
      </c>
    </row>
    <row r="1228" spans="1:8" ht="16.5">
      <c r="A1228" s="160"/>
      <c r="B1228" s="160"/>
      <c r="C1228" s="157"/>
      <c r="D1228" s="159"/>
      <c r="E1228" s="159"/>
      <c r="F1228" s="159"/>
      <c r="G1228" s="160"/>
    </row>
    <row r="1229" spans="1:8" ht="33">
      <c r="A1229" s="160" t="s">
        <v>1584</v>
      </c>
      <c r="B1229" s="160" t="s">
        <v>513</v>
      </c>
      <c r="C1229" s="157" t="s">
        <v>18</v>
      </c>
      <c r="D1229" s="159">
        <v>1000</v>
      </c>
      <c r="E1229" s="159">
        <v>29.75</v>
      </c>
      <c r="F1229" s="159"/>
      <c r="G1229" s="160" t="s">
        <v>4377</v>
      </c>
      <c r="H1229" s="34" t="s">
        <v>925</v>
      </c>
    </row>
    <row r="1230" spans="1:8" ht="33">
      <c r="A1230" s="160">
        <v>1</v>
      </c>
      <c r="B1230" s="160" t="s">
        <v>1411</v>
      </c>
      <c r="C1230" s="157" t="s">
        <v>1412</v>
      </c>
      <c r="D1230" s="159">
        <v>1.05</v>
      </c>
      <c r="E1230" s="159">
        <v>19854.16</v>
      </c>
      <c r="F1230" s="159">
        <v>20846.87</v>
      </c>
      <c r="G1230" s="160" t="s">
        <v>4377</v>
      </c>
      <c r="H1230" s="34" t="s">
        <v>925</v>
      </c>
    </row>
    <row r="1231" spans="1:8" ht="33">
      <c r="A1231" s="160">
        <v>2</v>
      </c>
      <c r="B1231" s="160" t="s">
        <v>4940</v>
      </c>
      <c r="C1231" s="157" t="s">
        <v>927</v>
      </c>
      <c r="D1231" s="159">
        <v>10.4</v>
      </c>
      <c r="E1231" s="159">
        <v>379.5</v>
      </c>
      <c r="F1231" s="159">
        <v>3946.8</v>
      </c>
      <c r="G1231" s="160" t="s">
        <v>5449</v>
      </c>
      <c r="H1231" s="34" t="s">
        <v>925</v>
      </c>
    </row>
    <row r="1232" spans="1:8" ht="33">
      <c r="A1232" s="160">
        <v>3</v>
      </c>
      <c r="B1232" s="160" t="s">
        <v>4942</v>
      </c>
      <c r="C1232" s="157" t="s">
        <v>927</v>
      </c>
      <c r="D1232" s="159">
        <v>10.4</v>
      </c>
      <c r="E1232" s="159">
        <v>379.5</v>
      </c>
      <c r="F1232" s="159">
        <v>3946.8</v>
      </c>
      <c r="G1232" s="160" t="s">
        <v>5450</v>
      </c>
      <c r="H1232" s="34" t="s">
        <v>925</v>
      </c>
    </row>
    <row r="1233" spans="1:8" ht="33">
      <c r="A1233" s="160">
        <v>4</v>
      </c>
      <c r="B1233" s="160" t="s">
        <v>1414</v>
      </c>
      <c r="C1233" s="157" t="s">
        <v>18</v>
      </c>
      <c r="D1233" s="159">
        <v>4</v>
      </c>
      <c r="E1233" s="159">
        <v>35.54</v>
      </c>
      <c r="F1233" s="159">
        <v>142.16</v>
      </c>
      <c r="G1233" s="160" t="s">
        <v>2</v>
      </c>
      <c r="H1233" s="34" t="s">
        <v>925</v>
      </c>
    </row>
    <row r="1234" spans="1:8" ht="33">
      <c r="A1234" s="160">
        <v>5</v>
      </c>
      <c r="B1234" s="160" t="s">
        <v>931</v>
      </c>
      <c r="C1234" s="157" t="s">
        <v>14</v>
      </c>
      <c r="D1234" s="159">
        <v>1</v>
      </c>
      <c r="E1234" s="159">
        <v>866.48</v>
      </c>
      <c r="F1234" s="159">
        <v>866.48</v>
      </c>
      <c r="G1234" s="160" t="s">
        <v>2</v>
      </c>
      <c r="H1234" s="34" t="s">
        <v>925</v>
      </c>
    </row>
    <row r="1235" spans="1:8" ht="16.5">
      <c r="A1235" s="160"/>
      <c r="B1235" s="160" t="s">
        <v>933</v>
      </c>
      <c r="C1235" s="157" t="s">
        <v>18</v>
      </c>
      <c r="D1235" s="159">
        <v>1000</v>
      </c>
      <c r="E1235" s="159"/>
      <c r="F1235" s="159">
        <v>29749.109999999997</v>
      </c>
      <c r="G1235" s="160"/>
    </row>
    <row r="1236" spans="1:8" ht="33">
      <c r="A1236" s="160"/>
      <c r="B1236" s="160" t="s">
        <v>934</v>
      </c>
      <c r="C1236" s="157" t="s">
        <v>18</v>
      </c>
      <c r="D1236" s="159"/>
      <c r="E1236" s="159"/>
      <c r="F1236" s="159">
        <v>29.75</v>
      </c>
      <c r="G1236" s="160"/>
      <c r="H1236" s="34" t="s">
        <v>925</v>
      </c>
    </row>
    <row r="1237" spans="1:8" ht="33">
      <c r="A1237" s="160"/>
      <c r="B1237" s="160"/>
      <c r="C1237" s="157"/>
      <c r="D1237" s="159"/>
      <c r="E1237" s="159"/>
      <c r="F1237" s="159"/>
      <c r="G1237" s="160"/>
      <c r="H1237" s="34" t="s">
        <v>925</v>
      </c>
    </row>
    <row r="1238" spans="1:8" ht="33">
      <c r="A1238" s="160" t="s">
        <v>1591</v>
      </c>
      <c r="B1238" s="160" t="s">
        <v>1417</v>
      </c>
      <c r="C1238" s="157" t="s">
        <v>18</v>
      </c>
      <c r="D1238" s="159">
        <v>1000</v>
      </c>
      <c r="E1238" s="159">
        <v>29.39</v>
      </c>
      <c r="F1238" s="159"/>
      <c r="G1238" s="160" t="s">
        <v>4377</v>
      </c>
      <c r="H1238" s="34" t="s">
        <v>925</v>
      </c>
    </row>
    <row r="1239" spans="1:8" ht="33">
      <c r="A1239" s="160">
        <v>1</v>
      </c>
      <c r="B1239" s="160" t="s">
        <v>1418</v>
      </c>
      <c r="C1239" s="157" t="s">
        <v>1412</v>
      </c>
      <c r="D1239" s="159">
        <v>1.05</v>
      </c>
      <c r="E1239" s="159">
        <v>19520.939999999999</v>
      </c>
      <c r="F1239" s="159">
        <v>20496.990000000002</v>
      </c>
      <c r="G1239" s="160" t="s">
        <v>4377</v>
      </c>
      <c r="H1239" s="34" t="s">
        <v>925</v>
      </c>
    </row>
    <row r="1240" spans="1:8" ht="33">
      <c r="A1240" s="160">
        <v>2</v>
      </c>
      <c r="B1240" s="160" t="s">
        <v>4940</v>
      </c>
      <c r="C1240" s="157" t="s">
        <v>927</v>
      </c>
      <c r="D1240" s="159">
        <v>10.4</v>
      </c>
      <c r="E1240" s="159">
        <v>379.5</v>
      </c>
      <c r="F1240" s="159">
        <v>3946.8</v>
      </c>
      <c r="G1240" s="160" t="s">
        <v>5449</v>
      </c>
      <c r="H1240" s="34" t="s">
        <v>925</v>
      </c>
    </row>
    <row r="1241" spans="1:8" ht="33">
      <c r="A1241" s="160">
        <v>3</v>
      </c>
      <c r="B1241" s="160" t="s">
        <v>4942</v>
      </c>
      <c r="C1241" s="157" t="s">
        <v>927</v>
      </c>
      <c r="D1241" s="159">
        <v>10.4</v>
      </c>
      <c r="E1241" s="159">
        <v>379.5</v>
      </c>
      <c r="F1241" s="159">
        <v>3946.8</v>
      </c>
      <c r="G1241" s="160" t="s">
        <v>5450</v>
      </c>
      <c r="H1241" s="34" t="s">
        <v>925</v>
      </c>
    </row>
    <row r="1242" spans="1:8" ht="33">
      <c r="A1242" s="160">
        <v>4</v>
      </c>
      <c r="B1242" s="160" t="s">
        <v>1414</v>
      </c>
      <c r="C1242" s="157" t="s">
        <v>18</v>
      </c>
      <c r="D1242" s="159">
        <v>4</v>
      </c>
      <c r="E1242" s="159">
        <v>35.54</v>
      </c>
      <c r="F1242" s="159">
        <v>142.16</v>
      </c>
      <c r="G1242" s="160" t="s">
        <v>2</v>
      </c>
      <c r="H1242" s="34" t="s">
        <v>925</v>
      </c>
    </row>
    <row r="1243" spans="1:8" ht="16.5">
      <c r="A1243" s="160">
        <v>5</v>
      </c>
      <c r="B1243" s="160" t="s">
        <v>931</v>
      </c>
      <c r="C1243" s="157" t="s">
        <v>14</v>
      </c>
      <c r="D1243" s="159">
        <v>1</v>
      </c>
      <c r="E1243" s="159">
        <v>855.98</v>
      </c>
      <c r="F1243" s="159">
        <v>855.98</v>
      </c>
      <c r="G1243" s="160" t="s">
        <v>2</v>
      </c>
    </row>
    <row r="1244" spans="1:8" ht="33">
      <c r="A1244" s="160"/>
      <c r="B1244" s="160" t="s">
        <v>933</v>
      </c>
      <c r="C1244" s="157" t="s">
        <v>18</v>
      </c>
      <c r="D1244" s="159">
        <v>1000</v>
      </c>
      <c r="E1244" s="159"/>
      <c r="F1244" s="159">
        <v>29388.73</v>
      </c>
      <c r="G1244" s="160"/>
      <c r="H1244" s="34" t="s">
        <v>925</v>
      </c>
    </row>
    <row r="1245" spans="1:8" ht="33">
      <c r="A1245" s="160"/>
      <c r="B1245" s="160" t="s">
        <v>934</v>
      </c>
      <c r="C1245" s="157" t="s">
        <v>18</v>
      </c>
      <c r="D1245" s="159"/>
      <c r="E1245" s="159"/>
      <c r="F1245" s="159">
        <v>29.39</v>
      </c>
      <c r="G1245" s="160"/>
      <c r="H1245" s="34" t="s">
        <v>925</v>
      </c>
    </row>
    <row r="1246" spans="1:8" ht="33">
      <c r="A1246" s="160"/>
      <c r="B1246" s="160"/>
      <c r="C1246" s="157"/>
      <c r="D1246" s="159"/>
      <c r="E1246" s="159"/>
      <c r="F1246" s="159"/>
      <c r="G1246" s="160"/>
      <c r="H1246" s="34" t="s">
        <v>925</v>
      </c>
    </row>
    <row r="1247" spans="1:8" ht="33">
      <c r="A1247" s="160" t="s">
        <v>1598</v>
      </c>
      <c r="B1247" s="160" t="s">
        <v>1420</v>
      </c>
      <c r="C1247" s="157" t="s">
        <v>18</v>
      </c>
      <c r="D1247" s="159">
        <v>1000</v>
      </c>
      <c r="E1247" s="159">
        <v>31.25</v>
      </c>
      <c r="F1247" s="159"/>
      <c r="G1247" s="160" t="s">
        <v>2</v>
      </c>
      <c r="H1247" s="34" t="s">
        <v>925</v>
      </c>
    </row>
    <row r="1248" spans="1:8" ht="33">
      <c r="A1248" s="160">
        <v>1</v>
      </c>
      <c r="B1248" s="160" t="s">
        <v>1422</v>
      </c>
      <c r="C1248" s="157" t="s">
        <v>1412</v>
      </c>
      <c r="D1248" s="159">
        <v>1.1000000000000001</v>
      </c>
      <c r="E1248" s="159">
        <v>20548.36</v>
      </c>
      <c r="F1248" s="159">
        <v>22603.200000000001</v>
      </c>
      <c r="G1248" s="160" t="s">
        <v>2</v>
      </c>
      <c r="H1248" s="34" t="s">
        <v>925</v>
      </c>
    </row>
    <row r="1249" spans="1:8" ht="33">
      <c r="A1249" s="160">
        <v>2</v>
      </c>
      <c r="B1249" s="160" t="s">
        <v>4940</v>
      </c>
      <c r="C1249" s="157" t="s">
        <v>927</v>
      </c>
      <c r="D1249" s="159">
        <v>10</v>
      </c>
      <c r="E1249" s="159">
        <v>379.5</v>
      </c>
      <c r="F1249" s="159">
        <v>3795</v>
      </c>
      <c r="G1249" s="160" t="s">
        <v>5449</v>
      </c>
      <c r="H1249" s="34" t="s">
        <v>925</v>
      </c>
    </row>
    <row r="1250" spans="1:8" ht="33">
      <c r="A1250" s="160">
        <v>3</v>
      </c>
      <c r="B1250" s="160" t="s">
        <v>4942</v>
      </c>
      <c r="C1250" s="157" t="s">
        <v>927</v>
      </c>
      <c r="D1250" s="159">
        <v>10</v>
      </c>
      <c r="E1250" s="159">
        <v>379.5</v>
      </c>
      <c r="F1250" s="159">
        <v>3795</v>
      </c>
      <c r="G1250" s="160" t="s">
        <v>5450</v>
      </c>
      <c r="H1250" s="34" t="s">
        <v>925</v>
      </c>
    </row>
    <row r="1251" spans="1:8" ht="16.5">
      <c r="A1251" s="160">
        <v>4</v>
      </c>
      <c r="B1251" s="160" t="s">
        <v>1414</v>
      </c>
      <c r="C1251" s="157" t="s">
        <v>18</v>
      </c>
      <c r="D1251" s="159">
        <v>4</v>
      </c>
      <c r="E1251" s="159">
        <v>35.54</v>
      </c>
      <c r="F1251" s="159">
        <v>142.16</v>
      </c>
      <c r="G1251" s="160" t="s">
        <v>2</v>
      </c>
    </row>
    <row r="1252" spans="1:8" ht="33">
      <c r="A1252" s="160">
        <v>5</v>
      </c>
      <c r="B1252" s="160" t="s">
        <v>931</v>
      </c>
      <c r="C1252" s="157" t="s">
        <v>14</v>
      </c>
      <c r="D1252" s="159">
        <v>1</v>
      </c>
      <c r="E1252" s="159">
        <v>910.06</v>
      </c>
      <c r="F1252" s="159">
        <v>910.06</v>
      </c>
      <c r="G1252" s="160" t="s">
        <v>2</v>
      </c>
      <c r="H1252" s="34" t="s">
        <v>925</v>
      </c>
    </row>
    <row r="1253" spans="1:8" ht="33">
      <c r="A1253" s="160"/>
      <c r="B1253" s="160" t="s">
        <v>933</v>
      </c>
      <c r="C1253" s="157" t="s">
        <v>18</v>
      </c>
      <c r="D1253" s="159">
        <v>1000</v>
      </c>
      <c r="E1253" s="159"/>
      <c r="F1253" s="159">
        <v>31245.420000000002</v>
      </c>
      <c r="G1253" s="160"/>
      <c r="H1253" s="34" t="s">
        <v>925</v>
      </c>
    </row>
    <row r="1254" spans="1:8" ht="33">
      <c r="A1254" s="160"/>
      <c r="B1254" s="160" t="s">
        <v>934</v>
      </c>
      <c r="C1254" s="157" t="s">
        <v>18</v>
      </c>
      <c r="D1254" s="159"/>
      <c r="E1254" s="159"/>
      <c r="F1254" s="159">
        <v>31.25</v>
      </c>
      <c r="G1254" s="160"/>
      <c r="H1254" s="34" t="s">
        <v>925</v>
      </c>
    </row>
    <row r="1255" spans="1:8" ht="33">
      <c r="A1255" s="160"/>
      <c r="B1255" s="160"/>
      <c r="C1255" s="157"/>
      <c r="D1255" s="159"/>
      <c r="E1255" s="159"/>
      <c r="F1255" s="159"/>
      <c r="G1255" s="160"/>
      <c r="H1255" s="34" t="s">
        <v>925</v>
      </c>
    </row>
    <row r="1256" spans="1:8" ht="33">
      <c r="A1256" s="160" t="s">
        <v>1605</v>
      </c>
      <c r="B1256" s="160" t="s">
        <v>1425</v>
      </c>
      <c r="C1256" s="157" t="s">
        <v>18</v>
      </c>
      <c r="D1256" s="159">
        <v>1000</v>
      </c>
      <c r="E1256" s="159">
        <v>31.43</v>
      </c>
      <c r="F1256" s="159"/>
      <c r="G1256" s="160" t="s">
        <v>2</v>
      </c>
      <c r="H1256" s="34" t="s">
        <v>925</v>
      </c>
    </row>
    <row r="1257" spans="1:8" ht="33">
      <c r="A1257" s="160">
        <v>1</v>
      </c>
      <c r="B1257" s="160" t="s">
        <v>1427</v>
      </c>
      <c r="C1257" s="157" t="s">
        <v>1412</v>
      </c>
      <c r="D1257" s="159">
        <v>1.1000000000000001</v>
      </c>
      <c r="E1257" s="159">
        <v>20714.97</v>
      </c>
      <c r="F1257" s="159">
        <v>22786.47</v>
      </c>
      <c r="G1257" s="160" t="s">
        <v>2</v>
      </c>
      <c r="H1257" s="34" t="s">
        <v>925</v>
      </c>
    </row>
    <row r="1258" spans="1:8" ht="28.5">
      <c r="A1258" s="160">
        <v>2</v>
      </c>
      <c r="B1258" s="160" t="s">
        <v>4940</v>
      </c>
      <c r="C1258" s="157" t="s">
        <v>927</v>
      </c>
      <c r="D1258" s="159">
        <v>10</v>
      </c>
      <c r="E1258" s="159">
        <v>379.5</v>
      </c>
      <c r="F1258" s="159">
        <v>3795</v>
      </c>
      <c r="G1258" s="160" t="s">
        <v>5449</v>
      </c>
    </row>
    <row r="1259" spans="1:8" ht="33">
      <c r="A1259" s="160">
        <v>3</v>
      </c>
      <c r="B1259" s="160" t="s">
        <v>4942</v>
      </c>
      <c r="C1259" s="157" t="s">
        <v>927</v>
      </c>
      <c r="D1259" s="159">
        <v>10</v>
      </c>
      <c r="E1259" s="159">
        <v>379.5</v>
      </c>
      <c r="F1259" s="159">
        <v>3795</v>
      </c>
      <c r="G1259" s="160" t="s">
        <v>5450</v>
      </c>
      <c r="H1259" s="34" t="s">
        <v>925</v>
      </c>
    </row>
    <row r="1260" spans="1:8" ht="33">
      <c r="A1260" s="160">
        <v>4</v>
      </c>
      <c r="B1260" s="160" t="s">
        <v>1414</v>
      </c>
      <c r="C1260" s="157" t="s">
        <v>18</v>
      </c>
      <c r="D1260" s="159">
        <v>4</v>
      </c>
      <c r="E1260" s="159">
        <v>35.54</v>
      </c>
      <c r="F1260" s="159">
        <v>142.16</v>
      </c>
      <c r="G1260" s="160" t="s">
        <v>2</v>
      </c>
      <c r="H1260" s="34" t="s">
        <v>925</v>
      </c>
    </row>
    <row r="1261" spans="1:8" ht="33">
      <c r="A1261" s="160">
        <v>5</v>
      </c>
      <c r="B1261" s="160" t="s">
        <v>931</v>
      </c>
      <c r="C1261" s="157" t="s">
        <v>14</v>
      </c>
      <c r="D1261" s="159">
        <v>1</v>
      </c>
      <c r="E1261" s="159">
        <v>915.56</v>
      </c>
      <c r="F1261" s="159">
        <v>915.56</v>
      </c>
      <c r="G1261" s="160" t="s">
        <v>2</v>
      </c>
      <c r="H1261" s="34" t="s">
        <v>925</v>
      </c>
    </row>
    <row r="1262" spans="1:8" ht="33">
      <c r="A1262" s="160"/>
      <c r="B1262" s="160" t="s">
        <v>933</v>
      </c>
      <c r="C1262" s="157" t="s">
        <v>18</v>
      </c>
      <c r="D1262" s="159">
        <v>1000</v>
      </c>
      <c r="E1262" s="159"/>
      <c r="F1262" s="159">
        <v>31434.190000000002</v>
      </c>
      <c r="G1262" s="160"/>
      <c r="H1262" s="34" t="s">
        <v>925</v>
      </c>
    </row>
    <row r="1263" spans="1:8" ht="33">
      <c r="A1263" s="160"/>
      <c r="B1263" s="160" t="s">
        <v>934</v>
      </c>
      <c r="C1263" s="157" t="s">
        <v>18</v>
      </c>
      <c r="D1263" s="159"/>
      <c r="E1263" s="159"/>
      <c r="F1263" s="159">
        <v>31.43</v>
      </c>
      <c r="G1263" s="160"/>
      <c r="H1263" s="34" t="s">
        <v>925</v>
      </c>
    </row>
    <row r="1264" spans="1:8" ht="33">
      <c r="A1264" s="160"/>
      <c r="B1264" s="160"/>
      <c r="C1264" s="157"/>
      <c r="D1264" s="159"/>
      <c r="E1264" s="159"/>
      <c r="F1264" s="159"/>
      <c r="G1264" s="160"/>
      <c r="H1264" s="34" t="s">
        <v>925</v>
      </c>
    </row>
    <row r="1265" spans="1:8" ht="71.25">
      <c r="A1265" s="160" t="s">
        <v>1612</v>
      </c>
      <c r="B1265" s="160" t="s">
        <v>1417</v>
      </c>
      <c r="C1265" s="157" t="s">
        <v>18</v>
      </c>
      <c r="D1265" s="159">
        <v>1000</v>
      </c>
      <c r="E1265" s="159">
        <v>32.07</v>
      </c>
      <c r="F1265" s="159"/>
      <c r="G1265" s="160" t="s">
        <v>4378</v>
      </c>
    </row>
    <row r="1266" spans="1:8" ht="33">
      <c r="A1266" s="160">
        <v>1</v>
      </c>
      <c r="B1266" s="160" t="s">
        <v>1418</v>
      </c>
      <c r="C1266" s="157" t="s">
        <v>1412</v>
      </c>
      <c r="D1266" s="159">
        <v>1.05</v>
      </c>
      <c r="E1266" s="159">
        <v>19520.939999999999</v>
      </c>
      <c r="F1266" s="159">
        <v>20496.990000000002</v>
      </c>
      <c r="G1266" s="160" t="s">
        <v>4377</v>
      </c>
      <c r="H1266" s="34" t="s">
        <v>925</v>
      </c>
    </row>
    <row r="1267" spans="1:8" ht="33">
      <c r="A1267" s="160">
        <v>2</v>
      </c>
      <c r="B1267" s="160" t="s">
        <v>4940</v>
      </c>
      <c r="C1267" s="157" t="s">
        <v>927</v>
      </c>
      <c r="D1267" s="159">
        <v>13.83</v>
      </c>
      <c r="E1267" s="159">
        <v>379.5</v>
      </c>
      <c r="F1267" s="159">
        <v>5248.49</v>
      </c>
      <c r="G1267" s="160" t="s">
        <v>5449</v>
      </c>
      <c r="H1267" s="34" t="s">
        <v>925</v>
      </c>
    </row>
    <row r="1268" spans="1:8" ht="33">
      <c r="A1268" s="160">
        <v>3</v>
      </c>
      <c r="B1268" s="160" t="s">
        <v>4942</v>
      </c>
      <c r="C1268" s="157" t="s">
        <v>927</v>
      </c>
      <c r="D1268" s="159">
        <v>13.83</v>
      </c>
      <c r="E1268" s="159">
        <v>379.5</v>
      </c>
      <c r="F1268" s="159">
        <v>5248.49</v>
      </c>
      <c r="G1268" s="160" t="s">
        <v>5450</v>
      </c>
      <c r="H1268" s="34" t="s">
        <v>925</v>
      </c>
    </row>
    <row r="1269" spans="1:8" ht="33">
      <c r="A1269" s="160">
        <v>4</v>
      </c>
      <c r="B1269" s="160" t="s">
        <v>1414</v>
      </c>
      <c r="C1269" s="157" t="s">
        <v>18</v>
      </c>
      <c r="D1269" s="159">
        <v>4</v>
      </c>
      <c r="E1269" s="159">
        <v>35.54</v>
      </c>
      <c r="F1269" s="159">
        <v>142.16</v>
      </c>
      <c r="G1269" s="160" t="s">
        <v>2</v>
      </c>
      <c r="H1269" s="34" t="s">
        <v>925</v>
      </c>
    </row>
    <row r="1270" spans="1:8" ht="33">
      <c r="A1270" s="160">
        <v>5</v>
      </c>
      <c r="B1270" s="160" t="s">
        <v>931</v>
      </c>
      <c r="C1270" s="157" t="s">
        <v>14</v>
      </c>
      <c r="D1270" s="159">
        <v>1</v>
      </c>
      <c r="E1270" s="159">
        <v>934.08</v>
      </c>
      <c r="F1270" s="159">
        <v>934.08</v>
      </c>
      <c r="G1270" s="160" t="s">
        <v>2</v>
      </c>
      <c r="H1270" s="34" t="s">
        <v>925</v>
      </c>
    </row>
    <row r="1271" spans="1:8" ht="33">
      <c r="A1271" s="160"/>
      <c r="B1271" s="160" t="s">
        <v>933</v>
      </c>
      <c r="C1271" s="157" t="s">
        <v>18</v>
      </c>
      <c r="D1271" s="159">
        <v>1000</v>
      </c>
      <c r="E1271" s="159"/>
      <c r="F1271" s="159">
        <v>32070.210000000003</v>
      </c>
      <c r="G1271" s="160"/>
      <c r="H1271" s="34" t="s">
        <v>925</v>
      </c>
    </row>
    <row r="1272" spans="1:8" ht="33">
      <c r="A1272" s="160"/>
      <c r="B1272" s="160" t="s">
        <v>934</v>
      </c>
      <c r="C1272" s="157" t="s">
        <v>18</v>
      </c>
      <c r="D1272" s="159"/>
      <c r="E1272" s="159"/>
      <c r="F1272" s="159">
        <v>32.07</v>
      </c>
      <c r="G1272" s="160"/>
      <c r="H1272" s="34" t="s">
        <v>925</v>
      </c>
    </row>
    <row r="1273" spans="1:8" ht="16.5">
      <c r="A1273" s="160"/>
      <c r="B1273" s="160"/>
      <c r="C1273" s="157"/>
      <c r="D1273" s="159"/>
      <c r="E1273" s="159"/>
      <c r="F1273" s="159"/>
      <c r="G1273" s="160"/>
    </row>
    <row r="1274" spans="1:8" ht="71.25">
      <c r="A1274" s="160" t="s">
        <v>1619</v>
      </c>
      <c r="B1274" s="160" t="s">
        <v>513</v>
      </c>
      <c r="C1274" s="157" t="s">
        <v>18</v>
      </c>
      <c r="D1274" s="159">
        <v>1000</v>
      </c>
      <c r="E1274" s="159">
        <v>32.43</v>
      </c>
      <c r="F1274" s="159"/>
      <c r="G1274" s="160" t="s">
        <v>4378</v>
      </c>
      <c r="H1274" s="34" t="s">
        <v>925</v>
      </c>
    </row>
    <row r="1275" spans="1:8" ht="33">
      <c r="A1275" s="160">
        <v>1</v>
      </c>
      <c r="B1275" s="160" t="s">
        <v>1411</v>
      </c>
      <c r="C1275" s="157" t="s">
        <v>1412</v>
      </c>
      <c r="D1275" s="159">
        <v>1.05</v>
      </c>
      <c r="E1275" s="159">
        <v>19854.16</v>
      </c>
      <c r="F1275" s="159">
        <v>20846.87</v>
      </c>
      <c r="G1275" s="160" t="s">
        <v>4377</v>
      </c>
      <c r="H1275" s="34" t="s">
        <v>925</v>
      </c>
    </row>
    <row r="1276" spans="1:8" ht="33">
      <c r="A1276" s="160">
        <v>2</v>
      </c>
      <c r="B1276" s="160" t="s">
        <v>4940</v>
      </c>
      <c r="C1276" s="157" t="s">
        <v>927</v>
      </c>
      <c r="D1276" s="159">
        <v>13.83</v>
      </c>
      <c r="E1276" s="159">
        <v>379.5</v>
      </c>
      <c r="F1276" s="159">
        <v>5248.49</v>
      </c>
      <c r="G1276" s="160" t="s">
        <v>5449</v>
      </c>
      <c r="H1276" s="34" t="s">
        <v>925</v>
      </c>
    </row>
    <row r="1277" spans="1:8" ht="33">
      <c r="A1277" s="160">
        <v>3</v>
      </c>
      <c r="B1277" s="160" t="s">
        <v>4942</v>
      </c>
      <c r="C1277" s="157" t="s">
        <v>927</v>
      </c>
      <c r="D1277" s="159">
        <v>13.83</v>
      </c>
      <c r="E1277" s="159">
        <v>379.5</v>
      </c>
      <c r="F1277" s="159">
        <v>5248.49</v>
      </c>
      <c r="G1277" s="160" t="s">
        <v>5450</v>
      </c>
      <c r="H1277" s="34" t="s">
        <v>925</v>
      </c>
    </row>
    <row r="1278" spans="1:8" ht="33">
      <c r="A1278" s="160">
        <v>4</v>
      </c>
      <c r="B1278" s="160" t="s">
        <v>1414</v>
      </c>
      <c r="C1278" s="157" t="s">
        <v>18</v>
      </c>
      <c r="D1278" s="159">
        <v>4</v>
      </c>
      <c r="E1278" s="159">
        <v>35.54</v>
      </c>
      <c r="F1278" s="159">
        <v>142.16</v>
      </c>
      <c r="G1278" s="160" t="s">
        <v>2</v>
      </c>
      <c r="H1278" s="34" t="s">
        <v>925</v>
      </c>
    </row>
    <row r="1279" spans="1:8" ht="33">
      <c r="A1279" s="160">
        <v>5</v>
      </c>
      <c r="B1279" s="160" t="s">
        <v>931</v>
      </c>
      <c r="C1279" s="157" t="s">
        <v>14</v>
      </c>
      <c r="D1279" s="159">
        <v>1</v>
      </c>
      <c r="E1279" s="159">
        <v>944.58</v>
      </c>
      <c r="F1279" s="159">
        <v>944.58</v>
      </c>
      <c r="G1279" s="160" t="s">
        <v>2</v>
      </c>
      <c r="H1279" s="34" t="s">
        <v>925</v>
      </c>
    </row>
    <row r="1280" spans="1:8" ht="33">
      <c r="A1280" s="160"/>
      <c r="B1280" s="160" t="s">
        <v>933</v>
      </c>
      <c r="C1280" s="157" t="s">
        <v>18</v>
      </c>
      <c r="D1280" s="159">
        <v>1000</v>
      </c>
      <c r="E1280" s="159"/>
      <c r="F1280" s="159">
        <v>32430.59</v>
      </c>
      <c r="G1280" s="160"/>
      <c r="H1280" s="34" t="s">
        <v>925</v>
      </c>
    </row>
    <row r="1281" spans="1:8" ht="16.5">
      <c r="A1281" s="160"/>
      <c r="B1281" s="160" t="s">
        <v>934</v>
      </c>
      <c r="C1281" s="157" t="s">
        <v>18</v>
      </c>
      <c r="D1281" s="159"/>
      <c r="E1281" s="159"/>
      <c r="F1281" s="159">
        <v>32.43</v>
      </c>
      <c r="G1281" s="160"/>
    </row>
    <row r="1282" spans="1:8" ht="33">
      <c r="A1282" s="160"/>
      <c r="B1282" s="160"/>
      <c r="C1282" s="157"/>
      <c r="D1282" s="159"/>
      <c r="E1282" s="159"/>
      <c r="F1282" s="159"/>
      <c r="G1282" s="160"/>
      <c r="H1282" s="34" t="s">
        <v>925</v>
      </c>
    </row>
    <row r="1283" spans="1:8" ht="42.75">
      <c r="A1283" s="160" t="s">
        <v>1624</v>
      </c>
      <c r="B1283" s="160" t="s">
        <v>1420</v>
      </c>
      <c r="C1283" s="157" t="s">
        <v>18</v>
      </c>
      <c r="D1283" s="159">
        <v>1000</v>
      </c>
      <c r="E1283" s="159">
        <v>33.83</v>
      </c>
      <c r="F1283" s="159"/>
      <c r="G1283" s="160" t="s">
        <v>4365</v>
      </c>
      <c r="H1283" s="34" t="s">
        <v>925</v>
      </c>
    </row>
    <row r="1284" spans="1:8" ht="33">
      <c r="A1284" s="160">
        <v>1</v>
      </c>
      <c r="B1284" s="160" t="s">
        <v>1422</v>
      </c>
      <c r="C1284" s="157" t="s">
        <v>1412</v>
      </c>
      <c r="D1284" s="159">
        <v>1.1000000000000001</v>
      </c>
      <c r="E1284" s="159">
        <v>20548.36</v>
      </c>
      <c r="F1284" s="159">
        <v>22603.200000000001</v>
      </c>
      <c r="G1284" s="160" t="s">
        <v>2</v>
      </c>
      <c r="H1284" s="34" t="s">
        <v>925</v>
      </c>
    </row>
    <row r="1285" spans="1:8" ht="33">
      <c r="A1285" s="160">
        <v>2</v>
      </c>
      <c r="B1285" s="160" t="s">
        <v>4940</v>
      </c>
      <c r="C1285" s="157" t="s">
        <v>927</v>
      </c>
      <c r="D1285" s="159">
        <v>13.3</v>
      </c>
      <c r="E1285" s="159">
        <v>379.5</v>
      </c>
      <c r="F1285" s="159">
        <v>5047.3500000000004</v>
      </c>
      <c r="G1285" s="160" t="s">
        <v>5449</v>
      </c>
      <c r="H1285" s="34" t="s">
        <v>925</v>
      </c>
    </row>
    <row r="1286" spans="1:8" ht="33">
      <c r="A1286" s="160">
        <v>3</v>
      </c>
      <c r="B1286" s="160" t="s">
        <v>4942</v>
      </c>
      <c r="C1286" s="157" t="s">
        <v>927</v>
      </c>
      <c r="D1286" s="159">
        <v>13.3</v>
      </c>
      <c r="E1286" s="159">
        <v>379.5</v>
      </c>
      <c r="F1286" s="159">
        <v>5047.3500000000004</v>
      </c>
      <c r="G1286" s="160" t="s">
        <v>5450</v>
      </c>
      <c r="H1286" s="34" t="s">
        <v>925</v>
      </c>
    </row>
    <row r="1287" spans="1:8" ht="33">
      <c r="A1287" s="160">
        <v>4</v>
      </c>
      <c r="B1287" s="160" t="s">
        <v>1414</v>
      </c>
      <c r="C1287" s="157" t="s">
        <v>18</v>
      </c>
      <c r="D1287" s="159">
        <v>4</v>
      </c>
      <c r="E1287" s="159">
        <v>35.54</v>
      </c>
      <c r="F1287" s="159">
        <v>142.16</v>
      </c>
      <c r="G1287" s="160" t="s">
        <v>2</v>
      </c>
      <c r="H1287" s="34" t="s">
        <v>925</v>
      </c>
    </row>
    <row r="1288" spans="1:8" ht="33">
      <c r="A1288" s="160">
        <v>5</v>
      </c>
      <c r="B1288" s="160" t="s">
        <v>931</v>
      </c>
      <c r="C1288" s="157" t="s">
        <v>14</v>
      </c>
      <c r="D1288" s="159">
        <v>1</v>
      </c>
      <c r="E1288" s="159">
        <v>985.2</v>
      </c>
      <c r="F1288" s="159">
        <v>985.2</v>
      </c>
      <c r="G1288" s="160" t="s">
        <v>2</v>
      </c>
      <c r="H1288" s="34" t="s">
        <v>925</v>
      </c>
    </row>
    <row r="1289" spans="1:8" ht="16.5">
      <c r="A1289" s="160"/>
      <c r="B1289" s="160" t="s">
        <v>933</v>
      </c>
      <c r="C1289" s="157" t="s">
        <v>18</v>
      </c>
      <c r="D1289" s="159">
        <v>1000</v>
      </c>
      <c r="E1289" s="159"/>
      <c r="F1289" s="159">
        <v>33825.26</v>
      </c>
      <c r="G1289" s="160"/>
    </row>
    <row r="1290" spans="1:8" ht="33">
      <c r="A1290" s="160"/>
      <c r="B1290" s="160" t="s">
        <v>934</v>
      </c>
      <c r="C1290" s="157" t="s">
        <v>18</v>
      </c>
      <c r="D1290" s="159"/>
      <c r="E1290" s="159"/>
      <c r="F1290" s="159">
        <v>33.83</v>
      </c>
      <c r="G1290" s="160"/>
      <c r="H1290" s="34" t="s">
        <v>925</v>
      </c>
    </row>
    <row r="1291" spans="1:8" ht="33">
      <c r="A1291" s="160"/>
      <c r="B1291" s="160"/>
      <c r="C1291" s="157"/>
      <c r="D1291" s="159"/>
      <c r="E1291" s="159"/>
      <c r="F1291" s="159"/>
      <c r="G1291" s="160"/>
      <c r="H1291" s="34" t="s">
        <v>925</v>
      </c>
    </row>
    <row r="1292" spans="1:8" ht="42.75">
      <c r="A1292" s="160" t="s">
        <v>1629</v>
      </c>
      <c r="B1292" s="160" t="s">
        <v>1425</v>
      </c>
      <c r="C1292" s="157" t="s">
        <v>18</v>
      </c>
      <c r="D1292" s="159">
        <v>1000</v>
      </c>
      <c r="E1292" s="159">
        <v>34.01</v>
      </c>
      <c r="F1292" s="159"/>
      <c r="G1292" s="160" t="s">
        <v>4365</v>
      </c>
      <c r="H1292" s="34" t="s">
        <v>925</v>
      </c>
    </row>
    <row r="1293" spans="1:8" ht="33">
      <c r="A1293" s="160">
        <v>1</v>
      </c>
      <c r="B1293" s="160" t="s">
        <v>1427</v>
      </c>
      <c r="C1293" s="157" t="s">
        <v>1412</v>
      </c>
      <c r="D1293" s="159">
        <v>1.1000000000000001</v>
      </c>
      <c r="E1293" s="159">
        <v>20714.97</v>
      </c>
      <c r="F1293" s="159">
        <v>22786.47</v>
      </c>
      <c r="G1293" s="160" t="s">
        <v>2</v>
      </c>
      <c r="H1293" s="34" t="s">
        <v>925</v>
      </c>
    </row>
    <row r="1294" spans="1:8" ht="33">
      <c r="A1294" s="160">
        <v>2</v>
      </c>
      <c r="B1294" s="160" t="s">
        <v>4940</v>
      </c>
      <c r="C1294" s="157" t="s">
        <v>927</v>
      </c>
      <c r="D1294" s="159">
        <v>13.3</v>
      </c>
      <c r="E1294" s="159">
        <v>379.5</v>
      </c>
      <c r="F1294" s="159">
        <v>5047.3500000000004</v>
      </c>
      <c r="G1294" s="160" t="s">
        <v>5449</v>
      </c>
      <c r="H1294" s="34" t="s">
        <v>925</v>
      </c>
    </row>
    <row r="1295" spans="1:8" ht="33">
      <c r="A1295" s="160">
        <v>3</v>
      </c>
      <c r="B1295" s="160" t="s">
        <v>4942</v>
      </c>
      <c r="C1295" s="157" t="s">
        <v>927</v>
      </c>
      <c r="D1295" s="159">
        <v>13.3</v>
      </c>
      <c r="E1295" s="159">
        <v>379.5</v>
      </c>
      <c r="F1295" s="159">
        <v>5047.3500000000004</v>
      </c>
      <c r="G1295" s="160" t="s">
        <v>5450</v>
      </c>
      <c r="H1295" s="34" t="s">
        <v>925</v>
      </c>
    </row>
    <row r="1296" spans="1:8" ht="33">
      <c r="A1296" s="160">
        <v>4</v>
      </c>
      <c r="B1296" s="160" t="s">
        <v>1414</v>
      </c>
      <c r="C1296" s="157" t="s">
        <v>18</v>
      </c>
      <c r="D1296" s="159">
        <v>4</v>
      </c>
      <c r="E1296" s="159">
        <v>35.54</v>
      </c>
      <c r="F1296" s="159">
        <v>142.16</v>
      </c>
      <c r="G1296" s="160" t="s">
        <v>2</v>
      </c>
      <c r="H1296" s="34" t="s">
        <v>925</v>
      </c>
    </row>
    <row r="1297" spans="1:8" ht="16.5">
      <c r="A1297" s="160">
        <v>5</v>
      </c>
      <c r="B1297" s="160" t="s">
        <v>931</v>
      </c>
      <c r="C1297" s="157" t="s">
        <v>14</v>
      </c>
      <c r="D1297" s="159">
        <v>1</v>
      </c>
      <c r="E1297" s="159">
        <v>990.7</v>
      </c>
      <c r="F1297" s="159">
        <v>990.7</v>
      </c>
      <c r="G1297" s="160" t="s">
        <v>2</v>
      </c>
    </row>
    <row r="1298" spans="1:8" ht="33">
      <c r="A1298" s="160"/>
      <c r="B1298" s="160" t="s">
        <v>933</v>
      </c>
      <c r="C1298" s="157" t="s">
        <v>18</v>
      </c>
      <c r="D1298" s="159">
        <v>1000</v>
      </c>
      <c r="E1298" s="159"/>
      <c r="F1298" s="159">
        <v>34014.03</v>
      </c>
      <c r="G1298" s="160"/>
      <c r="H1298" s="34" t="s">
        <v>925</v>
      </c>
    </row>
    <row r="1299" spans="1:8" ht="33">
      <c r="A1299" s="160"/>
      <c r="B1299" s="160" t="s">
        <v>934</v>
      </c>
      <c r="C1299" s="157" t="s">
        <v>18</v>
      </c>
      <c r="D1299" s="159"/>
      <c r="E1299" s="159"/>
      <c r="F1299" s="159">
        <v>34.01</v>
      </c>
      <c r="G1299" s="160"/>
      <c r="H1299" s="34" t="s">
        <v>925</v>
      </c>
    </row>
    <row r="1300" spans="1:8" ht="33">
      <c r="A1300" s="160"/>
      <c r="B1300" s="160"/>
      <c r="C1300" s="157"/>
      <c r="D1300" s="159"/>
      <c r="E1300" s="159"/>
      <c r="F1300" s="159"/>
      <c r="G1300" s="160"/>
      <c r="H1300" s="34" t="s">
        <v>925</v>
      </c>
    </row>
    <row r="1301" spans="1:8" ht="33">
      <c r="A1301" s="160" t="s">
        <v>1634</v>
      </c>
      <c r="B1301" s="160" t="s">
        <v>4575</v>
      </c>
      <c r="C1301" s="157" t="s">
        <v>18</v>
      </c>
      <c r="D1301" s="159">
        <v>1000</v>
      </c>
      <c r="E1301" s="159">
        <v>40.32</v>
      </c>
      <c r="F1301" s="159"/>
      <c r="G1301" s="160" t="s">
        <v>4377</v>
      </c>
      <c r="H1301" s="34" t="s">
        <v>925</v>
      </c>
    </row>
    <row r="1302" spans="1:8" ht="33">
      <c r="A1302" s="160">
        <v>1</v>
      </c>
      <c r="B1302" s="160" t="s">
        <v>1411</v>
      </c>
      <c r="C1302" s="157" t="s">
        <v>1412</v>
      </c>
      <c r="D1302" s="159">
        <v>1.05</v>
      </c>
      <c r="E1302" s="159">
        <v>19854.16</v>
      </c>
      <c r="F1302" s="159">
        <v>20846.87</v>
      </c>
      <c r="G1302" s="160" t="s">
        <v>4377</v>
      </c>
      <c r="H1302" s="34" t="s">
        <v>925</v>
      </c>
    </row>
    <row r="1303" spans="1:8" ht="33">
      <c r="A1303" s="160">
        <v>2</v>
      </c>
      <c r="B1303" s="160" t="s">
        <v>4946</v>
      </c>
      <c r="C1303" s="157" t="s">
        <v>927</v>
      </c>
      <c r="D1303" s="159">
        <v>11.96</v>
      </c>
      <c r="E1303" s="159">
        <v>758.99</v>
      </c>
      <c r="F1303" s="159">
        <v>9077.52</v>
      </c>
      <c r="G1303" s="160" t="s">
        <v>5450</v>
      </c>
      <c r="H1303" s="34" t="s">
        <v>925</v>
      </c>
    </row>
    <row r="1304" spans="1:8" ht="33">
      <c r="A1304" s="160">
        <v>3</v>
      </c>
      <c r="B1304" s="160" t="s">
        <v>4948</v>
      </c>
      <c r="C1304" s="157" t="s">
        <v>927</v>
      </c>
      <c r="D1304" s="159">
        <v>11.96</v>
      </c>
      <c r="E1304" s="159">
        <v>758.99</v>
      </c>
      <c r="F1304" s="159">
        <v>9077.52</v>
      </c>
      <c r="G1304" s="160" t="s">
        <v>5449</v>
      </c>
      <c r="H1304" s="34" t="s">
        <v>925</v>
      </c>
    </row>
    <row r="1305" spans="1:8" ht="33">
      <c r="A1305" s="160">
        <v>4</v>
      </c>
      <c r="B1305" s="160" t="s">
        <v>1414</v>
      </c>
      <c r="C1305" s="157" t="s">
        <v>18</v>
      </c>
      <c r="D1305" s="159">
        <v>4</v>
      </c>
      <c r="E1305" s="159">
        <v>35.54</v>
      </c>
      <c r="F1305" s="159">
        <v>142.16</v>
      </c>
      <c r="G1305" s="160" t="s">
        <v>2</v>
      </c>
      <c r="H1305" s="34" t="s">
        <v>925</v>
      </c>
    </row>
    <row r="1306" spans="1:8" ht="33">
      <c r="A1306" s="160">
        <v>5</v>
      </c>
      <c r="B1306" s="160" t="s">
        <v>931</v>
      </c>
      <c r="C1306" s="157" t="s">
        <v>14</v>
      </c>
      <c r="D1306" s="159">
        <v>1</v>
      </c>
      <c r="E1306" s="159">
        <v>1174.32</v>
      </c>
      <c r="F1306" s="159">
        <v>1174.32</v>
      </c>
      <c r="G1306" s="160" t="s">
        <v>2</v>
      </c>
      <c r="H1306" s="34" t="s">
        <v>925</v>
      </c>
    </row>
    <row r="1307" spans="1:8" ht="16.5">
      <c r="A1307" s="160"/>
      <c r="B1307" s="160" t="s">
        <v>933</v>
      </c>
      <c r="C1307" s="157" t="s">
        <v>18</v>
      </c>
      <c r="D1307" s="159">
        <v>1000</v>
      </c>
      <c r="E1307" s="159"/>
      <c r="F1307" s="159">
        <v>40318.390000000007</v>
      </c>
      <c r="G1307" s="160"/>
    </row>
    <row r="1308" spans="1:8" ht="33">
      <c r="A1308" s="160"/>
      <c r="B1308" s="160" t="s">
        <v>934</v>
      </c>
      <c r="C1308" s="157" t="s">
        <v>18</v>
      </c>
      <c r="D1308" s="159"/>
      <c r="E1308" s="159"/>
      <c r="F1308" s="159">
        <v>40.32</v>
      </c>
      <c r="G1308" s="160"/>
      <c r="H1308" s="34" t="s">
        <v>925</v>
      </c>
    </row>
    <row r="1309" spans="1:8" ht="33">
      <c r="A1309" s="160"/>
      <c r="B1309" s="160"/>
      <c r="C1309" s="157"/>
      <c r="D1309" s="159"/>
      <c r="E1309" s="159"/>
      <c r="F1309" s="159"/>
      <c r="G1309" s="160"/>
      <c r="H1309" s="34" t="s">
        <v>925</v>
      </c>
    </row>
    <row r="1310" spans="1:8" ht="33">
      <c r="A1310" s="160" t="s">
        <v>1640</v>
      </c>
      <c r="B1310" s="160" t="s">
        <v>4577</v>
      </c>
      <c r="C1310" s="157" t="s">
        <v>18</v>
      </c>
      <c r="D1310" s="159">
        <v>1000</v>
      </c>
      <c r="E1310" s="159">
        <v>41.6</v>
      </c>
      <c r="F1310" s="159"/>
      <c r="G1310" s="160" t="s">
        <v>2</v>
      </c>
      <c r="H1310" s="34" t="s">
        <v>925</v>
      </c>
    </row>
    <row r="1311" spans="1:8" ht="33">
      <c r="A1311" s="160">
        <v>1</v>
      </c>
      <c r="B1311" s="160" t="s">
        <v>1427</v>
      </c>
      <c r="C1311" s="157" t="s">
        <v>1412</v>
      </c>
      <c r="D1311" s="159">
        <v>1.1000000000000001</v>
      </c>
      <c r="E1311" s="159">
        <v>20714.97</v>
      </c>
      <c r="F1311" s="159">
        <v>22786.47</v>
      </c>
      <c r="G1311" s="160" t="s">
        <v>2</v>
      </c>
      <c r="H1311" s="34" t="s">
        <v>925</v>
      </c>
    </row>
    <row r="1312" spans="1:8" ht="33">
      <c r="A1312" s="160">
        <v>2</v>
      </c>
      <c r="B1312" s="160" t="s">
        <v>4948</v>
      </c>
      <c r="C1312" s="157" t="s">
        <v>927</v>
      </c>
      <c r="D1312" s="159">
        <v>11.5</v>
      </c>
      <c r="E1312" s="159">
        <v>758.99</v>
      </c>
      <c r="F1312" s="159">
        <v>8728.39</v>
      </c>
      <c r="G1312" s="160" t="s">
        <v>5449</v>
      </c>
      <c r="H1312" s="34" t="s">
        <v>925</v>
      </c>
    </row>
    <row r="1313" spans="1:8" ht="33">
      <c r="A1313" s="160">
        <v>3</v>
      </c>
      <c r="B1313" s="160" t="s">
        <v>4946</v>
      </c>
      <c r="C1313" s="157" t="s">
        <v>927</v>
      </c>
      <c r="D1313" s="159">
        <v>11.5</v>
      </c>
      <c r="E1313" s="159">
        <v>758.99</v>
      </c>
      <c r="F1313" s="159">
        <v>8728.39</v>
      </c>
      <c r="G1313" s="160" t="s">
        <v>5450</v>
      </c>
      <c r="H1313" s="34" t="s">
        <v>925</v>
      </c>
    </row>
    <row r="1314" spans="1:8" ht="33">
      <c r="A1314" s="160">
        <v>4</v>
      </c>
      <c r="B1314" s="160" t="s">
        <v>1414</v>
      </c>
      <c r="C1314" s="157" t="s">
        <v>18</v>
      </c>
      <c r="D1314" s="159">
        <v>4</v>
      </c>
      <c r="E1314" s="159">
        <v>35.54</v>
      </c>
      <c r="F1314" s="159">
        <v>142.16</v>
      </c>
      <c r="G1314" s="160" t="s">
        <v>2</v>
      </c>
      <c r="H1314" s="34" t="s">
        <v>925</v>
      </c>
    </row>
    <row r="1315" spans="1:8" ht="16.5">
      <c r="A1315" s="160">
        <v>5</v>
      </c>
      <c r="B1315" s="160" t="s">
        <v>931</v>
      </c>
      <c r="C1315" s="157" t="s">
        <v>14</v>
      </c>
      <c r="D1315" s="159">
        <v>1</v>
      </c>
      <c r="E1315" s="159">
        <v>1211.56</v>
      </c>
      <c r="F1315" s="159">
        <v>1211.56</v>
      </c>
      <c r="G1315" s="160" t="s">
        <v>2</v>
      </c>
    </row>
    <row r="1316" spans="1:8" ht="33">
      <c r="A1316" s="160"/>
      <c r="B1316" s="160" t="s">
        <v>933</v>
      </c>
      <c r="C1316" s="157" t="s">
        <v>18</v>
      </c>
      <c r="D1316" s="159">
        <v>1000</v>
      </c>
      <c r="E1316" s="159"/>
      <c r="F1316" s="159">
        <v>41596.97</v>
      </c>
      <c r="G1316" s="160"/>
      <c r="H1316" s="34" t="s">
        <v>925</v>
      </c>
    </row>
    <row r="1317" spans="1:8" ht="33">
      <c r="A1317" s="160"/>
      <c r="B1317" s="160" t="s">
        <v>934</v>
      </c>
      <c r="C1317" s="157" t="s">
        <v>18</v>
      </c>
      <c r="D1317" s="159"/>
      <c r="E1317" s="159"/>
      <c r="F1317" s="159">
        <v>41.6</v>
      </c>
      <c r="G1317" s="160"/>
      <c r="H1317" s="34" t="s">
        <v>925</v>
      </c>
    </row>
    <row r="1318" spans="1:8" ht="33">
      <c r="A1318" s="160"/>
      <c r="B1318" s="160"/>
      <c r="C1318" s="157"/>
      <c r="D1318" s="159"/>
      <c r="E1318" s="159"/>
      <c r="F1318" s="159"/>
      <c r="G1318" s="160"/>
      <c r="H1318" s="34" t="s">
        <v>925</v>
      </c>
    </row>
    <row r="1319" spans="1:8" ht="33">
      <c r="A1319" s="160" t="s">
        <v>1646</v>
      </c>
      <c r="B1319" s="160" t="s">
        <v>1437</v>
      </c>
      <c r="C1319" s="157" t="s">
        <v>18</v>
      </c>
      <c r="D1319" s="159">
        <v>1000</v>
      </c>
      <c r="E1319" s="159">
        <v>32.92</v>
      </c>
      <c r="F1319" s="159"/>
      <c r="G1319" s="160" t="s">
        <v>2</v>
      </c>
      <c r="H1319" s="34" t="s">
        <v>925</v>
      </c>
    </row>
    <row r="1320" spans="1:8" ht="33">
      <c r="A1320" s="160">
        <v>1</v>
      </c>
      <c r="B1320" s="160" t="s">
        <v>1439</v>
      </c>
      <c r="C1320" s="157" t="s">
        <v>14</v>
      </c>
      <c r="D1320" s="159">
        <v>1</v>
      </c>
      <c r="E1320" s="159">
        <v>8330.42</v>
      </c>
      <c r="F1320" s="159">
        <v>8330.42</v>
      </c>
      <c r="G1320" s="160" t="s">
        <v>2</v>
      </c>
      <c r="H1320" s="34" t="s">
        <v>925</v>
      </c>
    </row>
    <row r="1321" spans="1:8" ht="33">
      <c r="A1321" s="160">
        <v>2</v>
      </c>
      <c r="B1321" s="160" t="s">
        <v>1441</v>
      </c>
      <c r="C1321" s="157" t="s">
        <v>927</v>
      </c>
      <c r="D1321" s="159">
        <v>2</v>
      </c>
      <c r="E1321" s="159">
        <v>1263.45</v>
      </c>
      <c r="F1321" s="159">
        <v>2526.9</v>
      </c>
      <c r="G1321" s="160" t="s">
        <v>2</v>
      </c>
      <c r="H1321" s="34" t="s">
        <v>925</v>
      </c>
    </row>
    <row r="1322" spans="1:8" ht="33">
      <c r="A1322" s="160">
        <v>3</v>
      </c>
      <c r="B1322" s="160" t="s">
        <v>1443</v>
      </c>
      <c r="C1322" s="157" t="s">
        <v>927</v>
      </c>
      <c r="D1322" s="159">
        <v>2</v>
      </c>
      <c r="E1322" s="159">
        <v>371.17</v>
      </c>
      <c r="F1322" s="159">
        <v>742.34</v>
      </c>
      <c r="G1322" s="160" t="s">
        <v>2</v>
      </c>
      <c r="H1322" s="34" t="s">
        <v>925</v>
      </c>
    </row>
    <row r="1323" spans="1:8" ht="16.5">
      <c r="A1323" s="160">
        <v>4</v>
      </c>
      <c r="B1323" s="160" t="s">
        <v>1445</v>
      </c>
      <c r="C1323" s="157" t="s">
        <v>18</v>
      </c>
      <c r="D1323" s="159">
        <v>1000</v>
      </c>
      <c r="E1323" s="159">
        <v>20.36</v>
      </c>
      <c r="F1323" s="159">
        <v>20360</v>
      </c>
      <c r="G1323" s="160" t="s">
        <v>2</v>
      </c>
    </row>
    <row r="1324" spans="1:8" ht="33">
      <c r="A1324" s="160">
        <v>5</v>
      </c>
      <c r="B1324" s="160" t="s">
        <v>931</v>
      </c>
      <c r="C1324" s="157" t="s">
        <v>14</v>
      </c>
      <c r="D1324" s="159">
        <v>1</v>
      </c>
      <c r="E1324" s="159">
        <v>958.79</v>
      </c>
      <c r="F1324" s="159">
        <v>958.79</v>
      </c>
      <c r="G1324" s="160" t="s">
        <v>2</v>
      </c>
      <c r="H1324" s="34" t="s">
        <v>925</v>
      </c>
    </row>
    <row r="1325" spans="1:8" ht="33">
      <c r="A1325" s="160"/>
      <c r="B1325" s="160" t="s">
        <v>933</v>
      </c>
      <c r="C1325" s="157" t="s">
        <v>18</v>
      </c>
      <c r="D1325" s="159">
        <v>1000</v>
      </c>
      <c r="E1325" s="159"/>
      <c r="F1325" s="159">
        <v>32918.449999999997</v>
      </c>
      <c r="G1325" s="160"/>
      <c r="H1325" s="34" t="s">
        <v>925</v>
      </c>
    </row>
    <row r="1326" spans="1:8" ht="33">
      <c r="A1326" s="160"/>
      <c r="B1326" s="160" t="s">
        <v>934</v>
      </c>
      <c r="C1326" s="157" t="s">
        <v>18</v>
      </c>
      <c r="D1326" s="159"/>
      <c r="E1326" s="159"/>
      <c r="F1326" s="159">
        <v>32.92</v>
      </c>
      <c r="G1326" s="160"/>
      <c r="H1326" s="34" t="s">
        <v>925</v>
      </c>
    </row>
    <row r="1327" spans="1:8" ht="33">
      <c r="A1327" s="160"/>
      <c r="B1327" s="160"/>
      <c r="C1327" s="157"/>
      <c r="D1327" s="159"/>
      <c r="E1327" s="159"/>
      <c r="F1327" s="159"/>
      <c r="G1327" s="160"/>
      <c r="H1327" s="34" t="s">
        <v>925</v>
      </c>
    </row>
    <row r="1328" spans="1:8" ht="33">
      <c r="A1328" s="160" t="s">
        <v>1650</v>
      </c>
      <c r="B1328" s="160" t="s">
        <v>1448</v>
      </c>
      <c r="C1328" s="157" t="s">
        <v>18</v>
      </c>
      <c r="D1328" s="159">
        <v>1</v>
      </c>
      <c r="E1328" s="159">
        <v>257.41000000000003</v>
      </c>
      <c r="F1328" s="159"/>
      <c r="G1328" s="160" t="s">
        <v>2</v>
      </c>
      <c r="H1328" s="34" t="s">
        <v>925</v>
      </c>
    </row>
    <row r="1329" spans="1:8" ht="33">
      <c r="A1329" s="160">
        <v>1</v>
      </c>
      <c r="B1329" s="160" t="s">
        <v>1450</v>
      </c>
      <c r="C1329" s="157" t="s">
        <v>18</v>
      </c>
      <c r="D1329" s="159">
        <v>1</v>
      </c>
      <c r="E1329" s="159">
        <v>111.07</v>
      </c>
      <c r="F1329" s="159">
        <v>111.07</v>
      </c>
      <c r="G1329" s="160" t="s">
        <v>2</v>
      </c>
      <c r="H1329" s="34" t="s">
        <v>925</v>
      </c>
    </row>
    <row r="1330" spans="1:8" ht="33">
      <c r="A1330" s="160">
        <v>2</v>
      </c>
      <c r="B1330" s="160" t="s">
        <v>1452</v>
      </c>
      <c r="C1330" s="157" t="s">
        <v>14</v>
      </c>
      <c r="D1330" s="159">
        <v>1</v>
      </c>
      <c r="E1330" s="159">
        <v>138.84</v>
      </c>
      <c r="F1330" s="159">
        <v>138.84</v>
      </c>
      <c r="G1330" s="160" t="s">
        <v>2</v>
      </c>
      <c r="H1330" s="34" t="s">
        <v>925</v>
      </c>
    </row>
    <row r="1331" spans="1:8" ht="16.5">
      <c r="A1331" s="160">
        <v>3</v>
      </c>
      <c r="B1331" s="160" t="s">
        <v>931</v>
      </c>
      <c r="C1331" s="157" t="s">
        <v>14</v>
      </c>
      <c r="D1331" s="159">
        <v>1</v>
      </c>
      <c r="E1331" s="159">
        <v>7.5</v>
      </c>
      <c r="F1331" s="159">
        <v>7.5</v>
      </c>
      <c r="G1331" s="160" t="s">
        <v>2</v>
      </c>
    </row>
    <row r="1332" spans="1:8" ht="33">
      <c r="A1332" s="160"/>
      <c r="B1332" s="160" t="s">
        <v>933</v>
      </c>
      <c r="C1332" s="157" t="s">
        <v>18</v>
      </c>
      <c r="D1332" s="159">
        <v>1</v>
      </c>
      <c r="E1332" s="159"/>
      <c r="F1332" s="159">
        <v>257.40999999999997</v>
      </c>
      <c r="G1332" s="160"/>
      <c r="H1332" s="34" t="s">
        <v>925</v>
      </c>
    </row>
    <row r="1333" spans="1:8" ht="33">
      <c r="A1333" s="160"/>
      <c r="B1333" s="160" t="s">
        <v>934</v>
      </c>
      <c r="C1333" s="157" t="s">
        <v>18</v>
      </c>
      <c r="D1333" s="159"/>
      <c r="E1333" s="159"/>
      <c r="F1333" s="159">
        <v>257.41000000000003</v>
      </c>
      <c r="G1333" s="160"/>
      <c r="H1333" s="34" t="s">
        <v>925</v>
      </c>
    </row>
    <row r="1334" spans="1:8" ht="33">
      <c r="A1334" s="160"/>
      <c r="B1334" s="160"/>
      <c r="C1334" s="157"/>
      <c r="D1334" s="159"/>
      <c r="E1334" s="159"/>
      <c r="F1334" s="159"/>
      <c r="G1334" s="160"/>
      <c r="H1334" s="34" t="s">
        <v>925</v>
      </c>
    </row>
    <row r="1335" spans="1:8" ht="33">
      <c r="A1335" s="160" t="s">
        <v>1657</v>
      </c>
      <c r="B1335" s="160" t="s">
        <v>1455</v>
      </c>
      <c r="C1335" s="157" t="s">
        <v>18</v>
      </c>
      <c r="D1335" s="159">
        <v>1</v>
      </c>
      <c r="E1335" s="159">
        <v>295.55</v>
      </c>
      <c r="F1335" s="159"/>
      <c r="G1335" s="160" t="s">
        <v>2</v>
      </c>
      <c r="H1335" s="34" t="s">
        <v>925</v>
      </c>
    </row>
    <row r="1336" spans="1:8" ht="33">
      <c r="A1336" s="160">
        <v>1</v>
      </c>
      <c r="B1336" s="160" t="s">
        <v>1457</v>
      </c>
      <c r="C1336" s="157" t="s">
        <v>18</v>
      </c>
      <c r="D1336" s="159">
        <v>1</v>
      </c>
      <c r="E1336" s="159">
        <v>148.1</v>
      </c>
      <c r="F1336" s="159">
        <v>148.1</v>
      </c>
      <c r="G1336" s="160" t="s">
        <v>2</v>
      </c>
      <c r="H1336" s="34" t="s">
        <v>925</v>
      </c>
    </row>
    <row r="1337" spans="1:8" ht="33">
      <c r="A1337" s="160">
        <v>2</v>
      </c>
      <c r="B1337" s="160" t="s">
        <v>1452</v>
      </c>
      <c r="C1337" s="157" t="s">
        <v>14</v>
      </c>
      <c r="D1337" s="159">
        <v>1</v>
      </c>
      <c r="E1337" s="159">
        <v>138.84</v>
      </c>
      <c r="F1337" s="159">
        <v>138.84</v>
      </c>
      <c r="G1337" s="160" t="s">
        <v>2</v>
      </c>
      <c r="H1337" s="34" t="s">
        <v>925</v>
      </c>
    </row>
    <row r="1338" spans="1:8" ht="33">
      <c r="A1338" s="160">
        <v>3</v>
      </c>
      <c r="B1338" s="160" t="s">
        <v>931</v>
      </c>
      <c r="C1338" s="157" t="s">
        <v>14</v>
      </c>
      <c r="D1338" s="159">
        <v>1</v>
      </c>
      <c r="E1338" s="159">
        <v>8.61</v>
      </c>
      <c r="F1338" s="159">
        <v>8.61</v>
      </c>
      <c r="G1338" s="160" t="s">
        <v>2</v>
      </c>
      <c r="H1338" s="34" t="s">
        <v>925</v>
      </c>
    </row>
    <row r="1339" spans="1:8" ht="33">
      <c r="A1339" s="160"/>
      <c r="B1339" s="160" t="s">
        <v>933</v>
      </c>
      <c r="C1339" s="157" t="s">
        <v>18</v>
      </c>
      <c r="D1339" s="159">
        <v>1</v>
      </c>
      <c r="E1339" s="159"/>
      <c r="F1339" s="159">
        <v>295.55</v>
      </c>
      <c r="G1339" s="160"/>
      <c r="H1339" s="34" t="s">
        <v>925</v>
      </c>
    </row>
    <row r="1340" spans="1:8" ht="33">
      <c r="A1340" s="160"/>
      <c r="B1340" s="160" t="s">
        <v>934</v>
      </c>
      <c r="C1340" s="157" t="s">
        <v>18</v>
      </c>
      <c r="D1340" s="159"/>
      <c r="E1340" s="159"/>
      <c r="F1340" s="159">
        <v>295.55</v>
      </c>
      <c r="G1340" s="160"/>
      <c r="H1340" s="34" t="s">
        <v>925</v>
      </c>
    </row>
    <row r="1341" spans="1:8" ht="33">
      <c r="A1341" s="160"/>
      <c r="B1341" s="160"/>
      <c r="C1341" s="157"/>
      <c r="D1341" s="159"/>
      <c r="E1341" s="159"/>
      <c r="F1341" s="159"/>
      <c r="G1341" s="160"/>
      <c r="H1341" s="34" t="s">
        <v>925</v>
      </c>
    </row>
    <row r="1342" spans="1:8" ht="28.5">
      <c r="A1342" s="160" t="s">
        <v>1661</v>
      </c>
      <c r="B1342" s="160" t="s">
        <v>1460</v>
      </c>
      <c r="C1342" s="157" t="s">
        <v>3</v>
      </c>
      <c r="D1342" s="159">
        <v>1</v>
      </c>
      <c r="E1342" s="159">
        <v>804.29</v>
      </c>
      <c r="F1342" s="159"/>
      <c r="G1342" s="160" t="s">
        <v>2</v>
      </c>
    </row>
    <row r="1343" spans="1:8" ht="33">
      <c r="A1343" s="160">
        <v>1</v>
      </c>
      <c r="B1343" s="160" t="s">
        <v>1462</v>
      </c>
      <c r="C1343" s="157" t="s">
        <v>14</v>
      </c>
      <c r="D1343" s="159">
        <v>1</v>
      </c>
      <c r="E1343" s="159">
        <v>27.77</v>
      </c>
      <c r="F1343" s="159">
        <v>27.77</v>
      </c>
      <c r="G1343" s="160" t="s">
        <v>2</v>
      </c>
      <c r="H1343" s="34" t="s">
        <v>925</v>
      </c>
    </row>
    <row r="1344" spans="1:8" ht="33">
      <c r="A1344" s="160">
        <v>2</v>
      </c>
      <c r="B1344" s="160" t="s">
        <v>1464</v>
      </c>
      <c r="C1344" s="157" t="s">
        <v>18</v>
      </c>
      <c r="D1344" s="159">
        <v>23.55</v>
      </c>
      <c r="E1344" s="159">
        <v>29.62</v>
      </c>
      <c r="F1344" s="159">
        <v>697.55</v>
      </c>
      <c r="G1344" s="160" t="s">
        <v>2</v>
      </c>
      <c r="H1344" s="34" t="s">
        <v>925</v>
      </c>
    </row>
    <row r="1345" spans="1:8" ht="33">
      <c r="A1345" s="160">
        <v>3</v>
      </c>
      <c r="B1345" s="160" t="s">
        <v>1466</v>
      </c>
      <c r="C1345" s="157" t="s">
        <v>14</v>
      </c>
      <c r="D1345" s="159">
        <v>1</v>
      </c>
      <c r="E1345" s="159">
        <v>55.54</v>
      </c>
      <c r="F1345" s="159">
        <v>55.54</v>
      </c>
      <c r="G1345" s="160" t="s">
        <v>2</v>
      </c>
      <c r="H1345" s="34" t="s">
        <v>925</v>
      </c>
    </row>
    <row r="1346" spans="1:8" ht="33">
      <c r="A1346" s="160">
        <v>4</v>
      </c>
      <c r="B1346" s="160" t="s">
        <v>931</v>
      </c>
      <c r="C1346" s="157" t="s">
        <v>14</v>
      </c>
      <c r="D1346" s="159">
        <v>1</v>
      </c>
      <c r="E1346" s="159">
        <v>23.43</v>
      </c>
      <c r="F1346" s="159">
        <v>23.43</v>
      </c>
      <c r="G1346" s="160" t="s">
        <v>2</v>
      </c>
      <c r="H1346" s="34" t="s">
        <v>925</v>
      </c>
    </row>
    <row r="1347" spans="1:8" ht="33">
      <c r="A1347" s="160"/>
      <c r="B1347" s="160" t="s">
        <v>933</v>
      </c>
      <c r="C1347" s="157" t="s">
        <v>3</v>
      </c>
      <c r="D1347" s="159">
        <v>1</v>
      </c>
      <c r="E1347" s="159"/>
      <c r="F1347" s="159">
        <v>804.28999999999985</v>
      </c>
      <c r="G1347" s="160"/>
      <c r="H1347" s="34" t="s">
        <v>925</v>
      </c>
    </row>
    <row r="1348" spans="1:8" ht="33">
      <c r="A1348" s="160"/>
      <c r="B1348" s="160" t="s">
        <v>934</v>
      </c>
      <c r="C1348" s="157" t="s">
        <v>3</v>
      </c>
      <c r="D1348" s="159"/>
      <c r="E1348" s="159"/>
      <c r="F1348" s="159">
        <v>804.29</v>
      </c>
      <c r="G1348" s="160"/>
      <c r="H1348" s="34" t="s">
        <v>925</v>
      </c>
    </row>
    <row r="1349" spans="1:8" ht="33">
      <c r="A1349" s="160"/>
      <c r="B1349" s="160"/>
      <c r="C1349" s="157"/>
      <c r="D1349" s="159"/>
      <c r="E1349" s="159"/>
      <c r="F1349" s="159"/>
      <c r="G1349" s="160"/>
      <c r="H1349" s="34" t="s">
        <v>925</v>
      </c>
    </row>
    <row r="1350" spans="1:8" ht="33">
      <c r="A1350" s="160" t="s">
        <v>1663</v>
      </c>
      <c r="B1350" s="160" t="s">
        <v>1469</v>
      </c>
      <c r="C1350" s="157" t="s">
        <v>3</v>
      </c>
      <c r="D1350" s="159">
        <v>1</v>
      </c>
      <c r="E1350" s="159">
        <v>1403.17</v>
      </c>
      <c r="F1350" s="159"/>
      <c r="G1350" s="160" t="s">
        <v>2</v>
      </c>
      <c r="H1350" s="34" t="s">
        <v>925</v>
      </c>
    </row>
    <row r="1351" spans="1:8" ht="33">
      <c r="A1351" s="160">
        <v>1</v>
      </c>
      <c r="B1351" s="160" t="s">
        <v>1462</v>
      </c>
      <c r="C1351" s="157" t="s">
        <v>14</v>
      </c>
      <c r="D1351" s="159">
        <v>1</v>
      </c>
      <c r="E1351" s="159">
        <v>27.77</v>
      </c>
      <c r="F1351" s="159">
        <v>27.77</v>
      </c>
      <c r="G1351" s="160" t="s">
        <v>2</v>
      </c>
      <c r="H1351" s="34" t="s">
        <v>925</v>
      </c>
    </row>
    <row r="1352" spans="1:8" ht="33">
      <c r="A1352" s="160">
        <v>2</v>
      </c>
      <c r="B1352" s="160" t="s">
        <v>1464</v>
      </c>
      <c r="C1352" s="157" t="s">
        <v>18</v>
      </c>
      <c r="D1352" s="159">
        <v>43.18</v>
      </c>
      <c r="E1352" s="159">
        <v>29.62</v>
      </c>
      <c r="F1352" s="159">
        <v>1278.99</v>
      </c>
      <c r="G1352" s="160" t="s">
        <v>2</v>
      </c>
      <c r="H1352" s="34" t="s">
        <v>925</v>
      </c>
    </row>
    <row r="1353" spans="1:8" ht="16.5">
      <c r="A1353" s="160">
        <v>3</v>
      </c>
      <c r="B1353" s="160" t="s">
        <v>1466</v>
      </c>
      <c r="C1353" s="157" t="s">
        <v>14</v>
      </c>
      <c r="D1353" s="159">
        <v>1</v>
      </c>
      <c r="E1353" s="159">
        <v>55.54</v>
      </c>
      <c r="F1353" s="159">
        <v>55.54</v>
      </c>
      <c r="G1353" s="160" t="s">
        <v>2</v>
      </c>
    </row>
    <row r="1354" spans="1:8" ht="33">
      <c r="A1354" s="160">
        <v>4</v>
      </c>
      <c r="B1354" s="160" t="s">
        <v>931</v>
      </c>
      <c r="C1354" s="157" t="s">
        <v>14</v>
      </c>
      <c r="D1354" s="159">
        <v>1</v>
      </c>
      <c r="E1354" s="159">
        <v>40.869999999999997</v>
      </c>
      <c r="F1354" s="159">
        <v>40.869999999999997</v>
      </c>
      <c r="G1354" s="160" t="s">
        <v>2</v>
      </c>
      <c r="H1354" s="34" t="s">
        <v>925</v>
      </c>
    </row>
    <row r="1355" spans="1:8" ht="33">
      <c r="A1355" s="160"/>
      <c r="B1355" s="160" t="s">
        <v>933</v>
      </c>
      <c r="C1355" s="157" t="s">
        <v>3</v>
      </c>
      <c r="D1355" s="159">
        <v>1</v>
      </c>
      <c r="E1355" s="159"/>
      <c r="F1355" s="159">
        <v>1403.1699999999998</v>
      </c>
      <c r="G1355" s="160"/>
      <c r="H1355" s="34" t="s">
        <v>925</v>
      </c>
    </row>
    <row r="1356" spans="1:8" ht="33">
      <c r="A1356" s="160"/>
      <c r="B1356" s="160" t="s">
        <v>934</v>
      </c>
      <c r="C1356" s="157" t="s">
        <v>3</v>
      </c>
      <c r="D1356" s="159"/>
      <c r="E1356" s="159"/>
      <c r="F1356" s="159">
        <v>1403.17</v>
      </c>
      <c r="G1356" s="160"/>
      <c r="H1356" s="34" t="s">
        <v>925</v>
      </c>
    </row>
    <row r="1357" spans="1:8" ht="33">
      <c r="A1357" s="160"/>
      <c r="B1357" s="160"/>
      <c r="C1357" s="157"/>
      <c r="D1357" s="159"/>
      <c r="E1357" s="159"/>
      <c r="F1357" s="159"/>
      <c r="G1357" s="160"/>
      <c r="H1357" s="34" t="s">
        <v>925</v>
      </c>
    </row>
    <row r="1358" spans="1:8" ht="42.75">
      <c r="A1358" s="160" t="s">
        <v>1665</v>
      </c>
      <c r="B1358" s="160" t="s">
        <v>1475</v>
      </c>
      <c r="C1358" s="157" t="s">
        <v>17</v>
      </c>
      <c r="D1358" s="159">
        <v>1</v>
      </c>
      <c r="E1358" s="159">
        <v>1457.4</v>
      </c>
      <c r="F1358" s="159"/>
      <c r="G1358" s="160" t="s">
        <v>4380</v>
      </c>
      <c r="H1358" s="34" t="s">
        <v>925</v>
      </c>
    </row>
    <row r="1359" spans="1:8" ht="33">
      <c r="A1359" s="160">
        <v>1</v>
      </c>
      <c r="B1359" s="160" t="s">
        <v>1477</v>
      </c>
      <c r="C1359" s="157" t="s">
        <v>0</v>
      </c>
      <c r="D1359" s="159">
        <v>0.1</v>
      </c>
      <c r="E1359" s="159">
        <v>3023.94</v>
      </c>
      <c r="F1359" s="159">
        <v>302.39</v>
      </c>
      <c r="G1359" s="160" t="s">
        <v>2</v>
      </c>
      <c r="H1359" s="34" t="s">
        <v>925</v>
      </c>
    </row>
    <row r="1360" spans="1:8" ht="33">
      <c r="A1360" s="160">
        <v>2</v>
      </c>
      <c r="B1360" s="160" t="s">
        <v>1479</v>
      </c>
      <c r="C1360" s="157" t="s">
        <v>17</v>
      </c>
      <c r="D1360" s="159">
        <v>1</v>
      </c>
      <c r="E1360" s="159">
        <v>329.51</v>
      </c>
      <c r="F1360" s="159">
        <v>329.51</v>
      </c>
      <c r="G1360" s="160" t="s">
        <v>2</v>
      </c>
      <c r="H1360" s="34" t="s">
        <v>925</v>
      </c>
    </row>
    <row r="1361" spans="1:8" ht="33">
      <c r="A1361" s="160">
        <v>3</v>
      </c>
      <c r="B1361" s="160" t="s">
        <v>1104</v>
      </c>
      <c r="C1361" s="157" t="s">
        <v>0</v>
      </c>
      <c r="D1361" s="159">
        <v>0.1</v>
      </c>
      <c r="E1361" s="159">
        <v>1378.09</v>
      </c>
      <c r="F1361" s="159">
        <v>137.81</v>
      </c>
      <c r="G1361" s="160" t="s">
        <v>1148</v>
      </c>
      <c r="H1361" s="34" t="s">
        <v>925</v>
      </c>
    </row>
    <row r="1362" spans="1:8" ht="42.75">
      <c r="A1362" s="160">
        <v>4</v>
      </c>
      <c r="B1362" s="160" t="s">
        <v>513</v>
      </c>
      <c r="C1362" s="157" t="s">
        <v>18</v>
      </c>
      <c r="D1362" s="159">
        <v>19</v>
      </c>
      <c r="E1362" s="159">
        <v>29.75</v>
      </c>
      <c r="F1362" s="159">
        <v>565.25</v>
      </c>
      <c r="G1362" s="160" t="s">
        <v>5451</v>
      </c>
      <c r="H1362" s="34" t="s">
        <v>925</v>
      </c>
    </row>
    <row r="1363" spans="1:8" ht="33">
      <c r="A1363" s="160">
        <v>5</v>
      </c>
      <c r="B1363" s="160" t="s">
        <v>1481</v>
      </c>
      <c r="C1363" s="157" t="s">
        <v>18</v>
      </c>
      <c r="D1363" s="159">
        <v>19</v>
      </c>
      <c r="E1363" s="159">
        <v>4.21</v>
      </c>
      <c r="F1363" s="159">
        <v>79.989999999999995</v>
      </c>
      <c r="G1363" s="160" t="s">
        <v>2</v>
      </c>
      <c r="H1363" s="34" t="s">
        <v>925</v>
      </c>
    </row>
    <row r="1364" spans="1:8" ht="16.5">
      <c r="A1364" s="160">
        <v>6</v>
      </c>
      <c r="B1364" s="160" t="s">
        <v>931</v>
      </c>
      <c r="C1364" s="157" t="s">
        <v>14</v>
      </c>
      <c r="D1364" s="159">
        <v>1</v>
      </c>
      <c r="E1364" s="159">
        <v>42.45</v>
      </c>
      <c r="F1364" s="159">
        <v>42.45</v>
      </c>
      <c r="G1364" s="160" t="s">
        <v>2</v>
      </c>
    </row>
    <row r="1365" spans="1:8" ht="33">
      <c r="A1365" s="160"/>
      <c r="B1365" s="160" t="s">
        <v>933</v>
      </c>
      <c r="C1365" s="157" t="s">
        <v>17</v>
      </c>
      <c r="D1365" s="159">
        <v>1</v>
      </c>
      <c r="E1365" s="159"/>
      <c r="F1365" s="159">
        <v>1457.4</v>
      </c>
      <c r="G1365" s="160"/>
      <c r="H1365" s="34" t="s">
        <v>925</v>
      </c>
    </row>
    <row r="1366" spans="1:8" ht="33">
      <c r="A1366" s="160"/>
      <c r="B1366" s="160" t="s">
        <v>934</v>
      </c>
      <c r="C1366" s="157" t="s">
        <v>17</v>
      </c>
      <c r="D1366" s="159"/>
      <c r="E1366" s="159"/>
      <c r="F1366" s="159">
        <v>1457.4</v>
      </c>
      <c r="G1366" s="160"/>
      <c r="H1366" s="34" t="s">
        <v>925</v>
      </c>
    </row>
    <row r="1367" spans="1:8" ht="33">
      <c r="A1367" s="160"/>
      <c r="B1367" s="160"/>
      <c r="C1367" s="157"/>
      <c r="D1367" s="159"/>
      <c r="E1367" s="159"/>
      <c r="F1367" s="159"/>
      <c r="G1367" s="160"/>
      <c r="H1367" s="34" t="s">
        <v>925</v>
      </c>
    </row>
    <row r="1368" spans="1:8" ht="42.75">
      <c r="A1368" s="160" t="s">
        <v>1674</v>
      </c>
      <c r="B1368" s="160" t="s">
        <v>1484</v>
      </c>
      <c r="C1368" s="157" t="s">
        <v>17</v>
      </c>
      <c r="D1368" s="159">
        <v>1</v>
      </c>
      <c r="E1368" s="159">
        <v>1787.01</v>
      </c>
      <c r="F1368" s="159"/>
      <c r="G1368" s="160" t="s">
        <v>4380</v>
      </c>
      <c r="H1368" s="34" t="s">
        <v>925</v>
      </c>
    </row>
    <row r="1369" spans="1:8" ht="33">
      <c r="A1369" s="160">
        <v>1</v>
      </c>
      <c r="B1369" s="160" t="s">
        <v>1477</v>
      </c>
      <c r="C1369" s="157" t="s">
        <v>0</v>
      </c>
      <c r="D1369" s="159">
        <v>0.14000000000000001</v>
      </c>
      <c r="E1369" s="159">
        <v>3023.94</v>
      </c>
      <c r="F1369" s="159">
        <v>423.35</v>
      </c>
      <c r="G1369" s="160" t="s">
        <v>2</v>
      </c>
      <c r="H1369" s="34" t="s">
        <v>925</v>
      </c>
    </row>
    <row r="1370" spans="1:8" ht="33">
      <c r="A1370" s="160">
        <v>2</v>
      </c>
      <c r="B1370" s="160" t="s">
        <v>1486</v>
      </c>
      <c r="C1370" s="157" t="s">
        <v>17</v>
      </c>
      <c r="D1370" s="159">
        <v>1</v>
      </c>
      <c r="E1370" s="159">
        <v>370.24</v>
      </c>
      <c r="F1370" s="159">
        <v>370.24</v>
      </c>
      <c r="G1370" s="160" t="s">
        <v>2</v>
      </c>
      <c r="H1370" s="34" t="s">
        <v>925</v>
      </c>
    </row>
    <row r="1371" spans="1:8" ht="33">
      <c r="A1371" s="160">
        <v>3</v>
      </c>
      <c r="B1371" s="160" t="s">
        <v>1104</v>
      </c>
      <c r="C1371" s="157" t="s">
        <v>0</v>
      </c>
      <c r="D1371" s="159">
        <v>0.14000000000000001</v>
      </c>
      <c r="E1371" s="159">
        <v>1378.09</v>
      </c>
      <c r="F1371" s="159">
        <v>192.93</v>
      </c>
      <c r="G1371" s="160" t="s">
        <v>1148</v>
      </c>
      <c r="H1371" s="34" t="s">
        <v>925</v>
      </c>
    </row>
    <row r="1372" spans="1:8" ht="16.5">
      <c r="A1372" s="160">
        <v>4</v>
      </c>
      <c r="B1372" s="160" t="s">
        <v>1425</v>
      </c>
      <c r="C1372" s="157" t="s">
        <v>18</v>
      </c>
      <c r="D1372" s="159">
        <v>21</v>
      </c>
      <c r="E1372" s="159">
        <v>31.43</v>
      </c>
      <c r="F1372" s="159">
        <v>660.03</v>
      </c>
      <c r="G1372" s="160" t="s">
        <v>1605</v>
      </c>
    </row>
    <row r="1373" spans="1:8" ht="33">
      <c r="A1373" s="160">
        <v>5</v>
      </c>
      <c r="B1373" s="160" t="s">
        <v>1481</v>
      </c>
      <c r="C1373" s="157" t="s">
        <v>18</v>
      </c>
      <c r="D1373" s="159">
        <v>21</v>
      </c>
      <c r="E1373" s="159">
        <v>4.21</v>
      </c>
      <c r="F1373" s="159">
        <v>88.41</v>
      </c>
      <c r="G1373" s="160" t="s">
        <v>2</v>
      </c>
      <c r="H1373" s="34" t="s">
        <v>925</v>
      </c>
    </row>
    <row r="1374" spans="1:8" ht="33">
      <c r="A1374" s="160">
        <v>6</v>
      </c>
      <c r="B1374" s="160" t="s">
        <v>931</v>
      </c>
      <c r="C1374" s="157" t="s">
        <v>14</v>
      </c>
      <c r="D1374" s="159">
        <v>1</v>
      </c>
      <c r="E1374" s="159">
        <v>52.05</v>
      </c>
      <c r="F1374" s="159">
        <v>52.05</v>
      </c>
      <c r="G1374" s="160" t="s">
        <v>2</v>
      </c>
      <c r="H1374" s="34" t="s">
        <v>925</v>
      </c>
    </row>
    <row r="1375" spans="1:8" ht="33">
      <c r="A1375" s="160"/>
      <c r="B1375" s="160" t="s">
        <v>933</v>
      </c>
      <c r="C1375" s="157" t="s">
        <v>17</v>
      </c>
      <c r="D1375" s="159">
        <v>1</v>
      </c>
      <c r="E1375" s="159"/>
      <c r="F1375" s="159">
        <v>1787.01</v>
      </c>
      <c r="G1375" s="160"/>
      <c r="H1375" s="34" t="s">
        <v>925</v>
      </c>
    </row>
    <row r="1376" spans="1:8" ht="33">
      <c r="A1376" s="160"/>
      <c r="B1376" s="160" t="s">
        <v>934</v>
      </c>
      <c r="C1376" s="157" t="s">
        <v>17</v>
      </c>
      <c r="D1376" s="159"/>
      <c r="E1376" s="159"/>
      <c r="F1376" s="159">
        <v>1787.01</v>
      </c>
      <c r="G1376" s="160"/>
      <c r="H1376" s="34" t="s">
        <v>925</v>
      </c>
    </row>
    <row r="1377" spans="1:8" ht="33">
      <c r="A1377" s="160"/>
      <c r="B1377" s="160"/>
      <c r="C1377" s="157"/>
      <c r="D1377" s="159"/>
      <c r="E1377" s="159"/>
      <c r="F1377" s="159"/>
      <c r="G1377" s="160"/>
      <c r="H1377" s="34" t="s">
        <v>925</v>
      </c>
    </row>
    <row r="1378" spans="1:8" ht="42.75">
      <c r="A1378" s="160" t="s">
        <v>1679</v>
      </c>
      <c r="B1378" s="160" t="s">
        <v>1489</v>
      </c>
      <c r="C1378" s="157" t="s">
        <v>17</v>
      </c>
      <c r="D1378" s="159">
        <v>1</v>
      </c>
      <c r="E1378" s="159">
        <v>2084.6999999999998</v>
      </c>
      <c r="F1378" s="159"/>
      <c r="G1378" s="160" t="s">
        <v>4380</v>
      </c>
      <c r="H1378" s="34" t="s">
        <v>925</v>
      </c>
    </row>
    <row r="1379" spans="1:8" ht="33">
      <c r="A1379" s="160">
        <v>1</v>
      </c>
      <c r="B1379" s="160" t="s">
        <v>1477</v>
      </c>
      <c r="C1379" s="157" t="s">
        <v>0</v>
      </c>
      <c r="D1379" s="159">
        <v>0.18</v>
      </c>
      <c r="E1379" s="159">
        <v>3023.94</v>
      </c>
      <c r="F1379" s="159">
        <v>544.30999999999995</v>
      </c>
      <c r="G1379" s="160" t="s">
        <v>2</v>
      </c>
      <c r="H1379" s="34" t="s">
        <v>925</v>
      </c>
    </row>
    <row r="1380" spans="1:8" ht="33">
      <c r="A1380" s="160">
        <v>2</v>
      </c>
      <c r="B1380" s="160" t="s">
        <v>1491</v>
      </c>
      <c r="C1380" s="157" t="s">
        <v>17</v>
      </c>
      <c r="D1380" s="159">
        <v>1</v>
      </c>
      <c r="E1380" s="159">
        <v>411.89</v>
      </c>
      <c r="F1380" s="159">
        <v>411.89</v>
      </c>
      <c r="G1380" s="160" t="s">
        <v>2</v>
      </c>
      <c r="H1380" s="34" t="s">
        <v>925</v>
      </c>
    </row>
    <row r="1381" spans="1:8" ht="33">
      <c r="A1381" s="160">
        <v>3</v>
      </c>
      <c r="B1381" s="160" t="s">
        <v>1104</v>
      </c>
      <c r="C1381" s="157" t="s">
        <v>0</v>
      </c>
      <c r="D1381" s="159">
        <v>0.18</v>
      </c>
      <c r="E1381" s="159">
        <v>1378.09</v>
      </c>
      <c r="F1381" s="159">
        <v>248.06</v>
      </c>
      <c r="G1381" s="160" t="s">
        <v>1148</v>
      </c>
      <c r="H1381" s="34" t="s">
        <v>925</v>
      </c>
    </row>
    <row r="1382" spans="1:8" ht="16.5">
      <c r="A1382" s="160">
        <v>4</v>
      </c>
      <c r="B1382" s="160" t="s">
        <v>1425</v>
      </c>
      <c r="C1382" s="157" t="s">
        <v>18</v>
      </c>
      <c r="D1382" s="159">
        <v>23</v>
      </c>
      <c r="E1382" s="159">
        <v>31.43</v>
      </c>
      <c r="F1382" s="159">
        <v>722.89</v>
      </c>
      <c r="G1382" s="160" t="s">
        <v>1605</v>
      </c>
    </row>
    <row r="1383" spans="1:8" ht="33">
      <c r="A1383" s="160">
        <v>5</v>
      </c>
      <c r="B1383" s="160" t="s">
        <v>1481</v>
      </c>
      <c r="C1383" s="157" t="s">
        <v>18</v>
      </c>
      <c r="D1383" s="159">
        <v>23</v>
      </c>
      <c r="E1383" s="159">
        <v>4.21</v>
      </c>
      <c r="F1383" s="159">
        <v>96.83</v>
      </c>
      <c r="G1383" s="160" t="s">
        <v>2</v>
      </c>
      <c r="H1383" s="34" t="s">
        <v>925</v>
      </c>
    </row>
    <row r="1384" spans="1:8" ht="33">
      <c r="A1384" s="160">
        <v>6</v>
      </c>
      <c r="B1384" s="160" t="s">
        <v>931</v>
      </c>
      <c r="C1384" s="157" t="s">
        <v>14</v>
      </c>
      <c r="D1384" s="159">
        <v>1</v>
      </c>
      <c r="E1384" s="159">
        <v>60.72</v>
      </c>
      <c r="F1384" s="159">
        <v>60.72</v>
      </c>
      <c r="G1384" s="160" t="s">
        <v>2</v>
      </c>
      <c r="H1384" s="34" t="s">
        <v>925</v>
      </c>
    </row>
    <row r="1385" spans="1:8" ht="33">
      <c r="A1385" s="160"/>
      <c r="B1385" s="160" t="s">
        <v>933</v>
      </c>
      <c r="C1385" s="157" t="s">
        <v>17</v>
      </c>
      <c r="D1385" s="159">
        <v>1</v>
      </c>
      <c r="E1385" s="159"/>
      <c r="F1385" s="159">
        <v>2084.6999999999998</v>
      </c>
      <c r="G1385" s="160"/>
      <c r="H1385" s="34" t="s">
        <v>925</v>
      </c>
    </row>
    <row r="1386" spans="1:8" ht="33">
      <c r="A1386" s="160"/>
      <c r="B1386" s="160" t="s">
        <v>934</v>
      </c>
      <c r="C1386" s="157" t="s">
        <v>17</v>
      </c>
      <c r="D1386" s="159"/>
      <c r="E1386" s="159"/>
      <c r="F1386" s="159">
        <v>2084.6999999999998</v>
      </c>
      <c r="G1386" s="160"/>
      <c r="H1386" s="34" t="s">
        <v>925</v>
      </c>
    </row>
    <row r="1387" spans="1:8" ht="33">
      <c r="A1387" s="160"/>
      <c r="B1387" s="160"/>
      <c r="C1387" s="157"/>
      <c r="D1387" s="159"/>
      <c r="E1387" s="159"/>
      <c r="F1387" s="159"/>
      <c r="G1387" s="160"/>
      <c r="H1387" s="34" t="s">
        <v>925</v>
      </c>
    </row>
    <row r="1388" spans="1:8" ht="57">
      <c r="A1388" s="160" t="s">
        <v>1684</v>
      </c>
      <c r="B1388" s="160" t="s">
        <v>1494</v>
      </c>
      <c r="C1388" s="157" t="s">
        <v>17</v>
      </c>
      <c r="D1388" s="159">
        <v>100</v>
      </c>
      <c r="E1388" s="159">
        <v>1413.2</v>
      </c>
      <c r="F1388" s="159"/>
      <c r="G1388" s="160" t="s">
        <v>2</v>
      </c>
      <c r="H1388" s="34" t="s">
        <v>925</v>
      </c>
    </row>
    <row r="1389" spans="1:8" ht="42.75">
      <c r="A1389" s="160">
        <v>1</v>
      </c>
      <c r="B1389" s="160" t="s">
        <v>1496</v>
      </c>
      <c r="C1389" s="157" t="s">
        <v>1497</v>
      </c>
      <c r="D1389" s="159">
        <v>400</v>
      </c>
      <c r="E1389" s="159">
        <v>37.020000000000003</v>
      </c>
      <c r="F1389" s="159">
        <v>14808</v>
      </c>
      <c r="G1389" s="160" t="s">
        <v>2</v>
      </c>
      <c r="H1389" s="34" t="s">
        <v>925</v>
      </c>
    </row>
    <row r="1390" spans="1:8" ht="28.5">
      <c r="A1390" s="160">
        <v>2</v>
      </c>
      <c r="B1390" s="160" t="s">
        <v>1499</v>
      </c>
      <c r="C1390" s="157" t="s">
        <v>0</v>
      </c>
      <c r="D1390" s="159">
        <v>4.5</v>
      </c>
      <c r="E1390" s="159">
        <v>15562.14</v>
      </c>
      <c r="F1390" s="159">
        <v>70029.63</v>
      </c>
      <c r="G1390" s="160" t="s">
        <v>2</v>
      </c>
    </row>
    <row r="1391" spans="1:8" ht="33">
      <c r="A1391" s="160">
        <v>3</v>
      </c>
      <c r="B1391" s="160" t="s">
        <v>1501</v>
      </c>
      <c r="C1391" s="157" t="s">
        <v>0</v>
      </c>
      <c r="D1391" s="159">
        <v>0.34</v>
      </c>
      <c r="E1391" s="159">
        <v>15562.14</v>
      </c>
      <c r="F1391" s="159">
        <v>5291.13</v>
      </c>
      <c r="G1391" s="160" t="s">
        <v>2</v>
      </c>
      <c r="H1391" s="34" t="s">
        <v>925</v>
      </c>
    </row>
    <row r="1392" spans="1:8" ht="33">
      <c r="A1392" s="160">
        <v>4</v>
      </c>
      <c r="B1392" s="160" t="s">
        <v>1503</v>
      </c>
      <c r="C1392" s="157" t="s">
        <v>927</v>
      </c>
      <c r="D1392" s="159">
        <v>10</v>
      </c>
      <c r="E1392" s="159">
        <v>379.5</v>
      </c>
      <c r="F1392" s="159">
        <v>3795</v>
      </c>
      <c r="G1392" s="160" t="s">
        <v>2</v>
      </c>
      <c r="H1392" s="34" t="s">
        <v>925</v>
      </c>
    </row>
    <row r="1393" spans="1:8" ht="33">
      <c r="A1393" s="160">
        <v>5</v>
      </c>
      <c r="B1393" s="160" t="s">
        <v>4871</v>
      </c>
      <c r="C1393" s="157" t="s">
        <v>927</v>
      </c>
      <c r="D1393" s="159">
        <v>160</v>
      </c>
      <c r="E1393" s="159">
        <v>260.08999999999997</v>
      </c>
      <c r="F1393" s="159">
        <v>41614.400000000001</v>
      </c>
      <c r="G1393" s="160" t="s">
        <v>5435</v>
      </c>
      <c r="H1393" s="34" t="s">
        <v>925</v>
      </c>
    </row>
    <row r="1394" spans="1:8" ht="33">
      <c r="A1394" s="160">
        <v>6</v>
      </c>
      <c r="B1394" s="160" t="s">
        <v>1505</v>
      </c>
      <c r="C1394" s="157" t="s">
        <v>18</v>
      </c>
      <c r="D1394" s="159">
        <v>50</v>
      </c>
      <c r="E1394" s="159">
        <v>33.32</v>
      </c>
      <c r="F1394" s="159">
        <v>1666</v>
      </c>
      <c r="G1394" s="160" t="s">
        <v>2</v>
      </c>
      <c r="H1394" s="34" t="s">
        <v>925</v>
      </c>
    </row>
    <row r="1395" spans="1:8" ht="33">
      <c r="A1395" s="160">
        <v>7</v>
      </c>
      <c r="B1395" s="160" t="s">
        <v>931</v>
      </c>
      <c r="C1395" s="157" t="s">
        <v>14</v>
      </c>
      <c r="D1395" s="159">
        <v>1</v>
      </c>
      <c r="E1395" s="159">
        <v>4116.12</v>
      </c>
      <c r="F1395" s="159">
        <v>4116.12</v>
      </c>
      <c r="G1395" s="160" t="s">
        <v>2</v>
      </c>
      <c r="H1395" s="34" t="s">
        <v>925</v>
      </c>
    </row>
    <row r="1396" spans="1:8" ht="33">
      <c r="A1396" s="160"/>
      <c r="B1396" s="160" t="s">
        <v>933</v>
      </c>
      <c r="C1396" s="157" t="s">
        <v>17</v>
      </c>
      <c r="D1396" s="159">
        <v>100</v>
      </c>
      <c r="E1396" s="159"/>
      <c r="F1396" s="159">
        <v>141320.28</v>
      </c>
      <c r="G1396" s="160"/>
      <c r="H1396" s="34" t="s">
        <v>925</v>
      </c>
    </row>
    <row r="1397" spans="1:8" ht="16.5">
      <c r="A1397" s="160"/>
      <c r="B1397" s="160" t="s">
        <v>934</v>
      </c>
      <c r="C1397" s="157" t="s">
        <v>17</v>
      </c>
      <c r="D1397" s="159"/>
      <c r="E1397" s="159"/>
      <c r="F1397" s="159">
        <v>1413.2</v>
      </c>
      <c r="G1397" s="160"/>
    </row>
    <row r="1398" spans="1:8" ht="33">
      <c r="A1398" s="160"/>
      <c r="B1398" s="160"/>
      <c r="C1398" s="157"/>
      <c r="D1398" s="159"/>
      <c r="E1398" s="159"/>
      <c r="F1398" s="159"/>
      <c r="G1398" s="160"/>
      <c r="H1398" s="34" t="s">
        <v>925</v>
      </c>
    </row>
    <row r="1399" spans="1:8" ht="57">
      <c r="A1399" s="160" t="s">
        <v>1687</v>
      </c>
      <c r="B1399" s="160" t="s">
        <v>1508</v>
      </c>
      <c r="C1399" s="157" t="s">
        <v>17</v>
      </c>
      <c r="D1399" s="159">
        <v>100</v>
      </c>
      <c r="E1399" s="159">
        <v>1132.81</v>
      </c>
      <c r="F1399" s="159"/>
      <c r="G1399" s="160" t="s">
        <v>2</v>
      </c>
      <c r="H1399" s="34" t="s">
        <v>925</v>
      </c>
    </row>
    <row r="1400" spans="1:8" ht="42.75">
      <c r="A1400" s="160">
        <v>1</v>
      </c>
      <c r="B1400" s="160" t="s">
        <v>1510</v>
      </c>
      <c r="C1400" s="157" t="s">
        <v>1497</v>
      </c>
      <c r="D1400" s="159">
        <v>400</v>
      </c>
      <c r="E1400" s="159">
        <v>32.4</v>
      </c>
      <c r="F1400" s="159">
        <v>12960</v>
      </c>
      <c r="G1400" s="160" t="s">
        <v>2</v>
      </c>
      <c r="H1400" s="34" t="s">
        <v>925</v>
      </c>
    </row>
    <row r="1401" spans="1:8" ht="33">
      <c r="A1401" s="160">
        <v>2</v>
      </c>
      <c r="B1401" s="160" t="s">
        <v>1499</v>
      </c>
      <c r="C1401" s="157" t="s">
        <v>0</v>
      </c>
      <c r="D1401" s="159">
        <v>3.2</v>
      </c>
      <c r="E1401" s="159">
        <v>15562.14</v>
      </c>
      <c r="F1401" s="159">
        <v>49798.85</v>
      </c>
      <c r="G1401" s="160" t="s">
        <v>2</v>
      </c>
      <c r="H1401" s="34" t="s">
        <v>925</v>
      </c>
    </row>
    <row r="1402" spans="1:8" ht="33">
      <c r="A1402" s="160">
        <v>3</v>
      </c>
      <c r="B1402" s="160" t="s">
        <v>1501</v>
      </c>
      <c r="C1402" s="157" t="s">
        <v>0</v>
      </c>
      <c r="D1402" s="159">
        <v>0.17</v>
      </c>
      <c r="E1402" s="159">
        <v>15562.14</v>
      </c>
      <c r="F1402" s="159">
        <v>2645.56</v>
      </c>
      <c r="G1402" s="160" t="s">
        <v>2</v>
      </c>
      <c r="H1402" s="34" t="s">
        <v>925</v>
      </c>
    </row>
    <row r="1403" spans="1:8" ht="33">
      <c r="A1403" s="160">
        <v>4</v>
      </c>
      <c r="B1403" s="160" t="s">
        <v>1503</v>
      </c>
      <c r="C1403" s="157" t="s">
        <v>927</v>
      </c>
      <c r="D1403" s="159">
        <v>60</v>
      </c>
      <c r="E1403" s="159">
        <v>379.5</v>
      </c>
      <c r="F1403" s="159">
        <v>22770</v>
      </c>
      <c r="G1403" s="160" t="s">
        <v>2</v>
      </c>
      <c r="H1403" s="34" t="s">
        <v>925</v>
      </c>
    </row>
    <row r="1404" spans="1:8" ht="33">
      <c r="A1404" s="160">
        <v>5</v>
      </c>
      <c r="B1404" s="160" t="s">
        <v>4871</v>
      </c>
      <c r="C1404" s="157" t="s">
        <v>927</v>
      </c>
      <c r="D1404" s="159">
        <v>80</v>
      </c>
      <c r="E1404" s="159">
        <v>260.08999999999997</v>
      </c>
      <c r="F1404" s="159">
        <v>20807.2</v>
      </c>
      <c r="G1404" s="160" t="s">
        <v>5435</v>
      </c>
      <c r="H1404" s="34" t="s">
        <v>925</v>
      </c>
    </row>
    <row r="1405" spans="1:8" ht="33">
      <c r="A1405" s="160">
        <v>6</v>
      </c>
      <c r="B1405" s="160" t="s">
        <v>1505</v>
      </c>
      <c r="C1405" s="157" t="s">
        <v>18</v>
      </c>
      <c r="D1405" s="159">
        <v>30</v>
      </c>
      <c r="E1405" s="159">
        <v>33.32</v>
      </c>
      <c r="F1405" s="159">
        <v>999.6</v>
      </c>
      <c r="G1405" s="160" t="s">
        <v>2</v>
      </c>
      <c r="H1405" s="34" t="s">
        <v>925</v>
      </c>
    </row>
    <row r="1406" spans="1:8" ht="33">
      <c r="A1406" s="160">
        <v>7</v>
      </c>
      <c r="B1406" s="160" t="s">
        <v>931</v>
      </c>
      <c r="C1406" s="157" t="s">
        <v>14</v>
      </c>
      <c r="D1406" s="159">
        <v>1</v>
      </c>
      <c r="E1406" s="159">
        <v>3299.44</v>
      </c>
      <c r="F1406" s="159">
        <v>3299.44</v>
      </c>
      <c r="G1406" s="160" t="s">
        <v>2</v>
      </c>
      <c r="H1406" s="34" t="s">
        <v>925</v>
      </c>
    </row>
    <row r="1407" spans="1:8" ht="33">
      <c r="A1407" s="160"/>
      <c r="B1407" s="160" t="s">
        <v>933</v>
      </c>
      <c r="C1407" s="157" t="s">
        <v>17</v>
      </c>
      <c r="D1407" s="159">
        <v>100</v>
      </c>
      <c r="E1407" s="159"/>
      <c r="F1407" s="159">
        <v>113280.65000000001</v>
      </c>
      <c r="G1407" s="160"/>
      <c r="H1407" s="34" t="s">
        <v>925</v>
      </c>
    </row>
    <row r="1408" spans="1:8" ht="33">
      <c r="A1408" s="160"/>
      <c r="B1408" s="160" t="s">
        <v>934</v>
      </c>
      <c r="C1408" s="157" t="s">
        <v>17</v>
      </c>
      <c r="D1408" s="159"/>
      <c r="E1408" s="159"/>
      <c r="F1408" s="159">
        <v>1132.81</v>
      </c>
      <c r="G1408" s="160"/>
      <c r="H1408" s="34" t="s">
        <v>925</v>
      </c>
    </row>
    <row r="1409" spans="1:8" ht="33">
      <c r="A1409" s="160"/>
      <c r="B1409" s="160"/>
      <c r="C1409" s="157"/>
      <c r="D1409" s="159"/>
      <c r="E1409" s="159"/>
      <c r="F1409" s="159"/>
      <c r="G1409" s="160"/>
      <c r="H1409" s="34" t="s">
        <v>925</v>
      </c>
    </row>
    <row r="1410" spans="1:8" ht="57">
      <c r="A1410" s="160" t="s">
        <v>1699</v>
      </c>
      <c r="B1410" s="160" t="s">
        <v>1513</v>
      </c>
      <c r="C1410" s="157" t="s">
        <v>17</v>
      </c>
      <c r="D1410" s="159">
        <v>100</v>
      </c>
      <c r="E1410" s="159">
        <v>857.52</v>
      </c>
      <c r="F1410" s="159"/>
      <c r="G1410" s="160" t="s">
        <v>2</v>
      </c>
    </row>
    <row r="1411" spans="1:8" ht="42.75">
      <c r="A1411" s="160">
        <v>1</v>
      </c>
      <c r="B1411" s="160" t="s">
        <v>1515</v>
      </c>
      <c r="C1411" s="157" t="s">
        <v>1497</v>
      </c>
      <c r="D1411" s="159">
        <v>400</v>
      </c>
      <c r="E1411" s="159">
        <v>27.77</v>
      </c>
      <c r="F1411" s="159">
        <v>11108</v>
      </c>
      <c r="G1411" s="160" t="s">
        <v>2</v>
      </c>
      <c r="H1411" s="34" t="s">
        <v>925</v>
      </c>
    </row>
    <row r="1412" spans="1:8" ht="33">
      <c r="A1412" s="160">
        <v>2</v>
      </c>
      <c r="B1412" s="160" t="s">
        <v>1499</v>
      </c>
      <c r="C1412" s="157" t="s">
        <v>0</v>
      </c>
      <c r="D1412" s="159">
        <v>2.1</v>
      </c>
      <c r="E1412" s="159">
        <v>15562.14</v>
      </c>
      <c r="F1412" s="159">
        <v>32680.49</v>
      </c>
      <c r="G1412" s="160" t="s">
        <v>2</v>
      </c>
      <c r="H1412" s="34" t="s">
        <v>925</v>
      </c>
    </row>
    <row r="1413" spans="1:8" ht="33">
      <c r="A1413" s="160">
        <v>3</v>
      </c>
      <c r="B1413" s="160" t="s">
        <v>1501</v>
      </c>
      <c r="C1413" s="157" t="s">
        <v>0</v>
      </c>
      <c r="D1413" s="159">
        <v>0.17</v>
      </c>
      <c r="E1413" s="159">
        <v>15562.14</v>
      </c>
      <c r="F1413" s="159">
        <v>2645.56</v>
      </c>
      <c r="G1413" s="160" t="s">
        <v>2</v>
      </c>
      <c r="H1413" s="34" t="s">
        <v>925</v>
      </c>
    </row>
    <row r="1414" spans="1:8" ht="33">
      <c r="A1414" s="160">
        <v>4</v>
      </c>
      <c r="B1414" s="160" t="s">
        <v>1503</v>
      </c>
      <c r="C1414" s="157" t="s">
        <v>927</v>
      </c>
      <c r="D1414" s="159">
        <v>40</v>
      </c>
      <c r="E1414" s="159">
        <v>379.5</v>
      </c>
      <c r="F1414" s="159">
        <v>15180</v>
      </c>
      <c r="G1414" s="160" t="s">
        <v>2</v>
      </c>
      <c r="H1414" s="34" t="s">
        <v>925</v>
      </c>
    </row>
    <row r="1415" spans="1:8" ht="33">
      <c r="A1415" s="160">
        <v>5</v>
      </c>
      <c r="B1415" s="160" t="s">
        <v>4871</v>
      </c>
      <c r="C1415" s="157" t="s">
        <v>927</v>
      </c>
      <c r="D1415" s="159">
        <v>80</v>
      </c>
      <c r="E1415" s="159">
        <v>260.08999999999997</v>
      </c>
      <c r="F1415" s="159">
        <v>20807.2</v>
      </c>
      <c r="G1415" s="160" t="s">
        <v>5435</v>
      </c>
      <c r="H1415" s="34" t="s">
        <v>925</v>
      </c>
    </row>
    <row r="1416" spans="1:8" ht="33">
      <c r="A1416" s="160">
        <v>6</v>
      </c>
      <c r="B1416" s="160" t="s">
        <v>1505</v>
      </c>
      <c r="C1416" s="157" t="s">
        <v>18</v>
      </c>
      <c r="D1416" s="159">
        <v>25</v>
      </c>
      <c r="E1416" s="159">
        <v>33.32</v>
      </c>
      <c r="F1416" s="159">
        <v>833</v>
      </c>
      <c r="G1416" s="160" t="s">
        <v>2</v>
      </c>
      <c r="H1416" s="34" t="s">
        <v>925</v>
      </c>
    </row>
    <row r="1417" spans="1:8" ht="33">
      <c r="A1417" s="160">
        <v>7</v>
      </c>
      <c r="B1417" s="160" t="s">
        <v>931</v>
      </c>
      <c r="C1417" s="157" t="s">
        <v>14</v>
      </c>
      <c r="D1417" s="159">
        <v>1</v>
      </c>
      <c r="E1417" s="159">
        <v>2497.63</v>
      </c>
      <c r="F1417" s="159">
        <v>2497.63</v>
      </c>
      <c r="G1417" s="160" t="s">
        <v>2</v>
      </c>
      <c r="H1417" s="34" t="s">
        <v>925</v>
      </c>
    </row>
    <row r="1418" spans="1:8" ht="33">
      <c r="A1418" s="160"/>
      <c r="B1418" s="160" t="s">
        <v>933</v>
      </c>
      <c r="C1418" s="157" t="s">
        <v>17</v>
      </c>
      <c r="D1418" s="159">
        <v>100</v>
      </c>
      <c r="E1418" s="159"/>
      <c r="F1418" s="159">
        <v>85751.88</v>
      </c>
      <c r="G1418" s="160"/>
      <c r="H1418" s="34" t="s">
        <v>925</v>
      </c>
    </row>
    <row r="1419" spans="1:8" ht="33">
      <c r="A1419" s="160"/>
      <c r="B1419" s="160" t="s">
        <v>934</v>
      </c>
      <c r="C1419" s="157" t="s">
        <v>17</v>
      </c>
      <c r="D1419" s="159"/>
      <c r="E1419" s="159"/>
      <c r="F1419" s="159">
        <v>857.52</v>
      </c>
      <c r="G1419" s="160"/>
      <c r="H1419" s="34" t="s">
        <v>925</v>
      </c>
    </row>
    <row r="1420" spans="1:8" ht="16.5">
      <c r="A1420" s="160"/>
      <c r="B1420" s="160"/>
      <c r="C1420" s="157"/>
      <c r="D1420" s="159"/>
      <c r="E1420" s="159"/>
      <c r="F1420" s="159"/>
      <c r="G1420" s="160"/>
    </row>
    <row r="1421" spans="1:8" ht="33">
      <c r="A1421" s="160" t="s">
        <v>1706</v>
      </c>
      <c r="B1421" s="160" t="s">
        <v>1518</v>
      </c>
      <c r="C1421" s="157" t="s">
        <v>17</v>
      </c>
      <c r="D1421" s="159">
        <v>12</v>
      </c>
      <c r="E1421" s="159">
        <v>2860.1</v>
      </c>
      <c r="F1421" s="159"/>
      <c r="G1421" s="160" t="s">
        <v>2</v>
      </c>
      <c r="H1421" s="34" t="s">
        <v>925</v>
      </c>
    </row>
    <row r="1422" spans="1:8" ht="33">
      <c r="A1422" s="160">
        <v>1</v>
      </c>
      <c r="B1422" s="160" t="s">
        <v>1520</v>
      </c>
      <c r="C1422" s="157" t="s">
        <v>17</v>
      </c>
      <c r="D1422" s="159">
        <v>12</v>
      </c>
      <c r="E1422" s="159">
        <v>1851.2</v>
      </c>
      <c r="F1422" s="159">
        <v>22214.400000000001</v>
      </c>
      <c r="G1422" s="160" t="s">
        <v>2</v>
      </c>
      <c r="H1422" s="34" t="s">
        <v>925</v>
      </c>
    </row>
    <row r="1423" spans="1:8" ht="33">
      <c r="A1423" s="160">
        <v>2</v>
      </c>
      <c r="B1423" s="160" t="s">
        <v>1522</v>
      </c>
      <c r="C1423" s="157" t="s">
        <v>17</v>
      </c>
      <c r="D1423" s="159">
        <v>12</v>
      </c>
      <c r="E1423" s="159">
        <v>925.6</v>
      </c>
      <c r="F1423" s="159">
        <v>11107.2</v>
      </c>
      <c r="G1423" s="160" t="s">
        <v>2</v>
      </c>
      <c r="H1423" s="34" t="s">
        <v>925</v>
      </c>
    </row>
    <row r="1424" spans="1:8" ht="33">
      <c r="A1424" s="160">
        <v>3</v>
      </c>
      <c r="B1424" s="160" t="s">
        <v>931</v>
      </c>
      <c r="C1424" s="157" t="s">
        <v>14</v>
      </c>
      <c r="D1424" s="159">
        <v>1</v>
      </c>
      <c r="E1424" s="159">
        <v>999.65</v>
      </c>
      <c r="F1424" s="159">
        <v>999.65</v>
      </c>
      <c r="G1424" s="160" t="s">
        <v>2</v>
      </c>
      <c r="H1424" s="34" t="s">
        <v>925</v>
      </c>
    </row>
    <row r="1425" spans="1:8" ht="33">
      <c r="A1425" s="160"/>
      <c r="B1425" s="160" t="s">
        <v>933</v>
      </c>
      <c r="C1425" s="157" t="s">
        <v>17</v>
      </c>
      <c r="D1425" s="159">
        <v>12</v>
      </c>
      <c r="E1425" s="159"/>
      <c r="F1425" s="159">
        <v>34321.250000000007</v>
      </c>
      <c r="G1425" s="160"/>
      <c r="H1425" s="34" t="s">
        <v>925</v>
      </c>
    </row>
    <row r="1426" spans="1:8" ht="33">
      <c r="A1426" s="160"/>
      <c r="B1426" s="160" t="s">
        <v>934</v>
      </c>
      <c r="C1426" s="157" t="s">
        <v>17</v>
      </c>
      <c r="D1426" s="159"/>
      <c r="E1426" s="159"/>
      <c r="F1426" s="159">
        <v>2860.1</v>
      </c>
      <c r="G1426" s="160"/>
      <c r="H1426" s="34" t="s">
        <v>925</v>
      </c>
    </row>
    <row r="1427" spans="1:8" ht="33">
      <c r="A1427" s="160"/>
      <c r="B1427" s="160"/>
      <c r="C1427" s="157"/>
      <c r="D1427" s="159"/>
      <c r="E1427" s="159"/>
      <c r="F1427" s="159"/>
      <c r="G1427" s="160"/>
      <c r="H1427" s="34" t="s">
        <v>925</v>
      </c>
    </row>
    <row r="1428" spans="1:8" ht="42.75">
      <c r="A1428" s="160" t="s">
        <v>1710</v>
      </c>
      <c r="B1428" s="160" t="s">
        <v>1525</v>
      </c>
      <c r="C1428" s="157" t="s">
        <v>3</v>
      </c>
      <c r="D1428" s="159">
        <v>1000</v>
      </c>
      <c r="E1428" s="159">
        <v>589.29999999999995</v>
      </c>
      <c r="F1428" s="159"/>
      <c r="G1428" s="160" t="s">
        <v>2</v>
      </c>
      <c r="H1428" s="34" t="s">
        <v>925</v>
      </c>
    </row>
    <row r="1429" spans="1:8" ht="33">
      <c r="A1429" s="160">
        <v>1</v>
      </c>
      <c r="B1429" s="160" t="s">
        <v>1527</v>
      </c>
      <c r="C1429" s="157" t="s">
        <v>1528</v>
      </c>
      <c r="D1429" s="159">
        <v>875</v>
      </c>
      <c r="E1429" s="159">
        <v>124.96</v>
      </c>
      <c r="F1429" s="159">
        <v>109340</v>
      </c>
      <c r="G1429" s="160" t="s">
        <v>2</v>
      </c>
      <c r="H1429" s="34" t="s">
        <v>925</v>
      </c>
    </row>
    <row r="1430" spans="1:8" ht="33">
      <c r="A1430" s="160">
        <v>2</v>
      </c>
      <c r="B1430" s="160" t="s">
        <v>1530</v>
      </c>
      <c r="C1430" s="157" t="s">
        <v>3</v>
      </c>
      <c r="D1430" s="159">
        <v>1000</v>
      </c>
      <c r="E1430" s="159">
        <v>462.8</v>
      </c>
      <c r="F1430" s="159">
        <v>462800</v>
      </c>
      <c r="G1430" s="160" t="s">
        <v>2</v>
      </c>
      <c r="H1430" s="34" t="s">
        <v>925</v>
      </c>
    </row>
    <row r="1431" spans="1:8" ht="33">
      <c r="A1431" s="160">
        <v>3</v>
      </c>
      <c r="B1431" s="160" t="s">
        <v>931</v>
      </c>
      <c r="C1431" s="157" t="s">
        <v>14</v>
      </c>
      <c r="D1431" s="159">
        <v>1</v>
      </c>
      <c r="E1431" s="159">
        <v>17164.2</v>
      </c>
      <c r="F1431" s="159">
        <v>17164.2</v>
      </c>
      <c r="G1431" s="160" t="s">
        <v>2</v>
      </c>
      <c r="H1431" s="34" t="s">
        <v>925</v>
      </c>
    </row>
    <row r="1432" spans="1:8" ht="16.5">
      <c r="A1432" s="160"/>
      <c r="B1432" s="160" t="s">
        <v>933</v>
      </c>
      <c r="C1432" s="157" t="s">
        <v>3</v>
      </c>
      <c r="D1432" s="159">
        <v>1000</v>
      </c>
      <c r="E1432" s="159"/>
      <c r="F1432" s="159">
        <v>589304.19999999995</v>
      </c>
      <c r="G1432" s="160"/>
    </row>
    <row r="1433" spans="1:8" ht="33">
      <c r="A1433" s="160"/>
      <c r="B1433" s="160" t="s">
        <v>934</v>
      </c>
      <c r="C1433" s="157" t="s">
        <v>3</v>
      </c>
      <c r="D1433" s="159"/>
      <c r="E1433" s="159"/>
      <c r="F1433" s="159">
        <v>589.29999999999995</v>
      </c>
      <c r="G1433" s="160"/>
      <c r="H1433" s="34" t="s">
        <v>925</v>
      </c>
    </row>
    <row r="1434" spans="1:8" ht="33">
      <c r="A1434" s="160"/>
      <c r="B1434" s="160"/>
      <c r="C1434" s="157"/>
      <c r="D1434" s="159"/>
      <c r="E1434" s="159"/>
      <c r="F1434" s="159"/>
      <c r="G1434" s="160"/>
      <c r="H1434" s="34" t="s">
        <v>925</v>
      </c>
    </row>
    <row r="1435" spans="1:8" ht="42.75">
      <c r="A1435" s="160" t="s">
        <v>1722</v>
      </c>
      <c r="B1435" s="160" t="s">
        <v>1533</v>
      </c>
      <c r="C1435" s="157" t="s">
        <v>17</v>
      </c>
      <c r="D1435" s="159">
        <v>10</v>
      </c>
      <c r="E1435" s="159">
        <v>2178.44</v>
      </c>
      <c r="F1435" s="159"/>
      <c r="G1435" s="160" t="s">
        <v>4381</v>
      </c>
      <c r="H1435" s="34" t="s">
        <v>925</v>
      </c>
    </row>
    <row r="1436" spans="1:8" ht="33">
      <c r="A1436" s="160">
        <v>1</v>
      </c>
      <c r="B1436" s="160" t="s">
        <v>1535</v>
      </c>
      <c r="C1436" s="157" t="s">
        <v>1536</v>
      </c>
      <c r="D1436" s="159">
        <v>25</v>
      </c>
      <c r="E1436" s="159">
        <v>249.91</v>
      </c>
      <c r="F1436" s="159">
        <v>6247.75</v>
      </c>
      <c r="G1436" s="160" t="s">
        <v>2</v>
      </c>
      <c r="H1436" s="34" t="s">
        <v>925</v>
      </c>
    </row>
    <row r="1437" spans="1:8" ht="33">
      <c r="A1437" s="160">
        <v>2</v>
      </c>
      <c r="B1437" s="160" t="s">
        <v>1538</v>
      </c>
      <c r="C1437" s="157" t="s">
        <v>1220</v>
      </c>
      <c r="D1437" s="159">
        <v>25</v>
      </c>
      <c r="E1437" s="159">
        <v>573.87</v>
      </c>
      <c r="F1437" s="159">
        <v>14346.75</v>
      </c>
      <c r="G1437" s="160" t="s">
        <v>2</v>
      </c>
      <c r="H1437" s="34" t="s">
        <v>925</v>
      </c>
    </row>
    <row r="1438" spans="1:8" ht="33">
      <c r="A1438" s="160">
        <v>3</v>
      </c>
      <c r="B1438" s="160" t="s">
        <v>1540</v>
      </c>
      <c r="C1438" s="157" t="s">
        <v>14</v>
      </c>
      <c r="D1438" s="159">
        <v>1</v>
      </c>
      <c r="E1438" s="159">
        <v>555.36</v>
      </c>
      <c r="F1438" s="159">
        <v>555.36</v>
      </c>
      <c r="G1438" s="160" t="s">
        <v>2</v>
      </c>
      <c r="H1438" s="34" t="s">
        <v>925</v>
      </c>
    </row>
    <row r="1439" spans="1:8" ht="33">
      <c r="A1439" s="160">
        <v>4</v>
      </c>
      <c r="B1439" s="160" t="s">
        <v>931</v>
      </c>
      <c r="C1439" s="157" t="s">
        <v>14</v>
      </c>
      <c r="D1439" s="159">
        <v>1</v>
      </c>
      <c r="E1439" s="159">
        <v>634.5</v>
      </c>
      <c r="F1439" s="159">
        <v>634.5</v>
      </c>
      <c r="G1439" s="160" t="s">
        <v>2</v>
      </c>
      <c r="H1439" s="34" t="s">
        <v>925</v>
      </c>
    </row>
    <row r="1440" spans="1:8" ht="33">
      <c r="A1440" s="160"/>
      <c r="B1440" s="160" t="s">
        <v>933</v>
      </c>
      <c r="C1440" s="157" t="s">
        <v>17</v>
      </c>
      <c r="D1440" s="159">
        <v>10</v>
      </c>
      <c r="E1440" s="159"/>
      <c r="F1440" s="159">
        <v>21784.36</v>
      </c>
      <c r="G1440" s="160"/>
      <c r="H1440" s="34" t="s">
        <v>925</v>
      </c>
    </row>
    <row r="1441" spans="1:8" ht="16.5">
      <c r="A1441" s="160"/>
      <c r="B1441" s="160" t="s">
        <v>934</v>
      </c>
      <c r="C1441" s="157" t="s">
        <v>17</v>
      </c>
      <c r="D1441" s="159"/>
      <c r="E1441" s="159"/>
      <c r="F1441" s="159">
        <v>2178.44</v>
      </c>
      <c r="G1441" s="160"/>
    </row>
    <row r="1442" spans="1:8" ht="33">
      <c r="A1442" s="160"/>
      <c r="B1442" s="160"/>
      <c r="C1442" s="157"/>
      <c r="D1442" s="159"/>
      <c r="E1442" s="159"/>
      <c r="F1442" s="159"/>
      <c r="G1442" s="160"/>
      <c r="H1442" s="34" t="s">
        <v>925</v>
      </c>
    </row>
    <row r="1443" spans="1:8" ht="42.75">
      <c r="A1443" s="160" t="s">
        <v>1728</v>
      </c>
      <c r="B1443" s="160" t="s">
        <v>1543</v>
      </c>
      <c r="C1443" s="157" t="s">
        <v>17</v>
      </c>
      <c r="D1443" s="159">
        <v>10</v>
      </c>
      <c r="E1443" s="159">
        <v>2421.54</v>
      </c>
      <c r="F1443" s="159"/>
      <c r="G1443" s="160" t="s">
        <v>4381</v>
      </c>
      <c r="H1443" s="34" t="s">
        <v>925</v>
      </c>
    </row>
    <row r="1444" spans="1:8" ht="33">
      <c r="A1444" s="160">
        <v>1</v>
      </c>
      <c r="B1444" s="160" t="s">
        <v>1545</v>
      </c>
      <c r="C1444" s="157" t="s">
        <v>1536</v>
      </c>
      <c r="D1444" s="159">
        <v>25</v>
      </c>
      <c r="E1444" s="159">
        <v>251.76</v>
      </c>
      <c r="F1444" s="159">
        <v>6294</v>
      </c>
      <c r="G1444" s="160" t="s">
        <v>2</v>
      </c>
      <c r="H1444" s="34" t="s">
        <v>925</v>
      </c>
    </row>
    <row r="1445" spans="1:8" ht="33">
      <c r="A1445" s="160">
        <v>2</v>
      </c>
      <c r="B1445" s="160" t="s">
        <v>1547</v>
      </c>
      <c r="C1445" s="157" t="s">
        <v>1220</v>
      </c>
      <c r="D1445" s="159">
        <v>25</v>
      </c>
      <c r="E1445" s="159">
        <v>666.43</v>
      </c>
      <c r="F1445" s="159">
        <v>16660.75</v>
      </c>
      <c r="G1445" s="160" t="s">
        <v>2</v>
      </c>
      <c r="H1445" s="34" t="s">
        <v>925</v>
      </c>
    </row>
    <row r="1446" spans="1:8" ht="33">
      <c r="A1446" s="160">
        <v>3</v>
      </c>
      <c r="B1446" s="160" t="s">
        <v>1540</v>
      </c>
      <c r="C1446" s="157" t="s">
        <v>14</v>
      </c>
      <c r="D1446" s="159">
        <v>1</v>
      </c>
      <c r="E1446" s="159">
        <v>555.36</v>
      </c>
      <c r="F1446" s="159">
        <v>555.36</v>
      </c>
      <c r="G1446" s="160" t="s">
        <v>2</v>
      </c>
      <c r="H1446" s="34" t="s">
        <v>925</v>
      </c>
    </row>
    <row r="1447" spans="1:8" ht="33">
      <c r="A1447" s="160">
        <v>4</v>
      </c>
      <c r="B1447" s="160" t="s">
        <v>931</v>
      </c>
      <c r="C1447" s="157" t="s">
        <v>14</v>
      </c>
      <c r="D1447" s="159">
        <v>1</v>
      </c>
      <c r="E1447" s="159">
        <v>705.3</v>
      </c>
      <c r="F1447" s="159">
        <v>705.3</v>
      </c>
      <c r="G1447" s="160" t="s">
        <v>2</v>
      </c>
      <c r="H1447" s="34" t="s">
        <v>925</v>
      </c>
    </row>
    <row r="1448" spans="1:8" ht="33">
      <c r="A1448" s="160"/>
      <c r="B1448" s="160" t="s">
        <v>933</v>
      </c>
      <c r="C1448" s="157" t="s">
        <v>17</v>
      </c>
      <c r="D1448" s="159">
        <v>10</v>
      </c>
      <c r="E1448" s="159"/>
      <c r="F1448" s="159">
        <v>24215.41</v>
      </c>
      <c r="G1448" s="160"/>
      <c r="H1448" s="34" t="s">
        <v>925</v>
      </c>
    </row>
    <row r="1449" spans="1:8" ht="33">
      <c r="A1449" s="160"/>
      <c r="B1449" s="160" t="s">
        <v>934</v>
      </c>
      <c r="C1449" s="157" t="s">
        <v>17</v>
      </c>
      <c r="D1449" s="159"/>
      <c r="E1449" s="159"/>
      <c r="F1449" s="159">
        <v>2421.54</v>
      </c>
      <c r="G1449" s="160"/>
      <c r="H1449" s="34" t="s">
        <v>925</v>
      </c>
    </row>
    <row r="1450" spans="1:8" ht="33">
      <c r="A1450" s="160"/>
      <c r="B1450" s="160"/>
      <c r="C1450" s="157"/>
      <c r="D1450" s="159"/>
      <c r="E1450" s="159"/>
      <c r="F1450" s="159"/>
      <c r="G1450" s="160"/>
      <c r="H1450" s="34" t="s">
        <v>925</v>
      </c>
    </row>
    <row r="1451" spans="1:8" ht="42.75">
      <c r="A1451" s="160" t="s">
        <v>1740</v>
      </c>
      <c r="B1451" s="160" t="s">
        <v>1550</v>
      </c>
      <c r="C1451" s="157" t="s">
        <v>17</v>
      </c>
      <c r="D1451" s="159">
        <v>10</v>
      </c>
      <c r="E1451" s="159">
        <v>2576.48</v>
      </c>
      <c r="F1451" s="159"/>
      <c r="G1451" s="160" t="s">
        <v>2</v>
      </c>
      <c r="H1451" s="34" t="s">
        <v>925</v>
      </c>
    </row>
    <row r="1452" spans="1:8" ht="33">
      <c r="A1452" s="160">
        <v>1</v>
      </c>
      <c r="B1452" s="160" t="s">
        <v>1552</v>
      </c>
      <c r="C1452" s="157" t="s">
        <v>1536</v>
      </c>
      <c r="D1452" s="159">
        <v>25</v>
      </c>
      <c r="E1452" s="159">
        <v>237.88</v>
      </c>
      <c r="F1452" s="159">
        <v>5947</v>
      </c>
      <c r="G1452" s="160" t="s">
        <v>2</v>
      </c>
      <c r="H1452" s="34" t="s">
        <v>925</v>
      </c>
    </row>
    <row r="1453" spans="1:8" ht="33">
      <c r="A1453" s="160">
        <v>2</v>
      </c>
      <c r="B1453" s="160" t="s">
        <v>1554</v>
      </c>
      <c r="C1453" s="157" t="s">
        <v>1220</v>
      </c>
      <c r="D1453" s="159">
        <v>25</v>
      </c>
      <c r="E1453" s="159">
        <v>740.48</v>
      </c>
      <c r="F1453" s="159">
        <v>18512</v>
      </c>
      <c r="G1453" s="160" t="s">
        <v>2</v>
      </c>
      <c r="H1453" s="34" t="s">
        <v>925</v>
      </c>
    </row>
    <row r="1454" spans="1:8" ht="28.5">
      <c r="A1454" s="160">
        <v>3</v>
      </c>
      <c r="B1454" s="160" t="s">
        <v>1540</v>
      </c>
      <c r="C1454" s="157" t="s">
        <v>14</v>
      </c>
      <c r="D1454" s="159">
        <v>1</v>
      </c>
      <c r="E1454" s="159">
        <v>555.36</v>
      </c>
      <c r="F1454" s="159">
        <v>555.36</v>
      </c>
      <c r="G1454" s="160" t="s">
        <v>2</v>
      </c>
    </row>
    <row r="1455" spans="1:8" ht="33">
      <c r="A1455" s="160">
        <v>4</v>
      </c>
      <c r="B1455" s="160" t="s">
        <v>931</v>
      </c>
      <c r="C1455" s="157" t="s">
        <v>14</v>
      </c>
      <c r="D1455" s="159">
        <v>1</v>
      </c>
      <c r="E1455" s="159">
        <v>750.43</v>
      </c>
      <c r="F1455" s="159">
        <v>750.43</v>
      </c>
      <c r="G1455" s="160" t="s">
        <v>2</v>
      </c>
      <c r="H1455" s="34" t="s">
        <v>925</v>
      </c>
    </row>
    <row r="1456" spans="1:8" ht="33">
      <c r="A1456" s="160"/>
      <c r="B1456" s="160" t="s">
        <v>933</v>
      </c>
      <c r="C1456" s="157" t="s">
        <v>17</v>
      </c>
      <c r="D1456" s="159">
        <v>10</v>
      </c>
      <c r="E1456" s="159"/>
      <c r="F1456" s="159">
        <v>25764.79</v>
      </c>
      <c r="G1456" s="160"/>
      <c r="H1456" s="34" t="s">
        <v>925</v>
      </c>
    </row>
    <row r="1457" spans="1:8" ht="33">
      <c r="A1457" s="160"/>
      <c r="B1457" s="160" t="s">
        <v>934</v>
      </c>
      <c r="C1457" s="157" t="s">
        <v>17</v>
      </c>
      <c r="D1457" s="159"/>
      <c r="E1457" s="159"/>
      <c r="F1457" s="159">
        <v>2576.48</v>
      </c>
      <c r="G1457" s="160"/>
      <c r="H1457" s="34" t="s">
        <v>925</v>
      </c>
    </row>
    <row r="1458" spans="1:8" ht="33">
      <c r="A1458" s="160"/>
      <c r="B1458" s="160"/>
      <c r="C1458" s="157"/>
      <c r="D1458" s="159"/>
      <c r="E1458" s="159"/>
      <c r="F1458" s="159"/>
      <c r="G1458" s="160"/>
      <c r="H1458" s="34" t="s">
        <v>925</v>
      </c>
    </row>
    <row r="1459" spans="1:8" ht="42.75">
      <c r="A1459" s="160" t="s">
        <v>1750</v>
      </c>
      <c r="B1459" s="160" t="s">
        <v>1557</v>
      </c>
      <c r="C1459" s="157" t="s">
        <v>17</v>
      </c>
      <c r="D1459" s="159">
        <v>10</v>
      </c>
      <c r="E1459" s="159">
        <v>3622.81</v>
      </c>
      <c r="F1459" s="159"/>
      <c r="G1459" s="160" t="s">
        <v>2</v>
      </c>
      <c r="H1459" s="34" t="s">
        <v>925</v>
      </c>
    </row>
    <row r="1460" spans="1:8" ht="33">
      <c r="A1460" s="160">
        <v>1</v>
      </c>
      <c r="B1460" s="160" t="s">
        <v>1559</v>
      </c>
      <c r="C1460" s="157" t="s">
        <v>1536</v>
      </c>
      <c r="D1460" s="159">
        <v>25</v>
      </c>
      <c r="E1460" s="159">
        <v>311</v>
      </c>
      <c r="F1460" s="159">
        <v>7775</v>
      </c>
      <c r="G1460" s="160" t="s">
        <v>2</v>
      </c>
      <c r="H1460" s="34" t="s">
        <v>925</v>
      </c>
    </row>
    <row r="1461" spans="1:8" ht="33">
      <c r="A1461" s="160">
        <v>2</v>
      </c>
      <c r="B1461" s="160" t="s">
        <v>1561</v>
      </c>
      <c r="C1461" s="157" t="s">
        <v>1220</v>
      </c>
      <c r="D1461" s="159">
        <v>25</v>
      </c>
      <c r="E1461" s="159">
        <v>1073.7</v>
      </c>
      <c r="F1461" s="159">
        <v>26842.5</v>
      </c>
      <c r="G1461" s="160" t="s">
        <v>2</v>
      </c>
      <c r="H1461" s="34" t="s">
        <v>925</v>
      </c>
    </row>
    <row r="1462" spans="1:8" ht="33">
      <c r="A1462" s="160">
        <v>3</v>
      </c>
      <c r="B1462" s="160" t="s">
        <v>1540</v>
      </c>
      <c r="C1462" s="157" t="s">
        <v>14</v>
      </c>
      <c r="D1462" s="159">
        <v>1</v>
      </c>
      <c r="E1462" s="159">
        <v>555.36</v>
      </c>
      <c r="F1462" s="159">
        <v>555.36</v>
      </c>
      <c r="G1462" s="160" t="s">
        <v>2</v>
      </c>
      <c r="H1462" s="34" t="s">
        <v>925</v>
      </c>
    </row>
    <row r="1463" spans="1:8" ht="33">
      <c r="A1463" s="160">
        <v>4</v>
      </c>
      <c r="B1463" s="160" t="s">
        <v>931</v>
      </c>
      <c r="C1463" s="157" t="s">
        <v>14</v>
      </c>
      <c r="D1463" s="159">
        <v>1</v>
      </c>
      <c r="E1463" s="159">
        <v>1055.19</v>
      </c>
      <c r="F1463" s="159">
        <v>1055.19</v>
      </c>
      <c r="G1463" s="160" t="s">
        <v>2</v>
      </c>
      <c r="H1463" s="34" t="s">
        <v>925</v>
      </c>
    </row>
    <row r="1464" spans="1:8" ht="16.5">
      <c r="A1464" s="160"/>
      <c r="B1464" s="160" t="s">
        <v>933</v>
      </c>
      <c r="C1464" s="157" t="s">
        <v>17</v>
      </c>
      <c r="D1464" s="159">
        <v>10</v>
      </c>
      <c r="E1464" s="159"/>
      <c r="F1464" s="159">
        <v>36228.050000000003</v>
      </c>
      <c r="G1464" s="160"/>
    </row>
    <row r="1465" spans="1:8" ht="33">
      <c r="A1465" s="160"/>
      <c r="B1465" s="160" t="s">
        <v>934</v>
      </c>
      <c r="C1465" s="157" t="s">
        <v>17</v>
      </c>
      <c r="D1465" s="159"/>
      <c r="E1465" s="159"/>
      <c r="F1465" s="159">
        <v>3622.81</v>
      </c>
      <c r="G1465" s="160"/>
      <c r="H1465" s="34" t="s">
        <v>925</v>
      </c>
    </row>
    <row r="1466" spans="1:8" ht="33">
      <c r="A1466" s="160"/>
      <c r="B1466" s="160"/>
      <c r="C1466" s="157"/>
      <c r="D1466" s="159"/>
      <c r="E1466" s="159"/>
      <c r="F1466" s="159"/>
      <c r="G1466" s="160"/>
      <c r="H1466" s="34" t="s">
        <v>925</v>
      </c>
    </row>
    <row r="1467" spans="1:8" ht="42.75">
      <c r="A1467" s="160" t="s">
        <v>1769</v>
      </c>
      <c r="B1467" s="160" t="s">
        <v>1564</v>
      </c>
      <c r="C1467" s="157" t="s">
        <v>17</v>
      </c>
      <c r="D1467" s="159">
        <v>10</v>
      </c>
      <c r="E1467" s="159">
        <v>5298.36</v>
      </c>
      <c r="F1467" s="159"/>
      <c r="G1467" s="160" t="s">
        <v>2</v>
      </c>
      <c r="H1467" s="34" t="s">
        <v>925</v>
      </c>
    </row>
    <row r="1468" spans="1:8" ht="33">
      <c r="A1468" s="160">
        <v>1</v>
      </c>
      <c r="B1468" s="160" t="s">
        <v>1566</v>
      </c>
      <c r="C1468" s="157" t="s">
        <v>1536</v>
      </c>
      <c r="D1468" s="159">
        <v>25</v>
      </c>
      <c r="E1468" s="159">
        <v>434.11</v>
      </c>
      <c r="F1468" s="159">
        <v>10852.75</v>
      </c>
      <c r="G1468" s="160" t="s">
        <v>2</v>
      </c>
      <c r="H1468" s="34" t="s">
        <v>925</v>
      </c>
    </row>
    <row r="1469" spans="1:8" ht="33">
      <c r="A1469" s="160">
        <v>2</v>
      </c>
      <c r="B1469" s="160" t="s">
        <v>1568</v>
      </c>
      <c r="C1469" s="157" t="s">
        <v>1220</v>
      </c>
      <c r="D1469" s="159">
        <v>25</v>
      </c>
      <c r="E1469" s="159">
        <v>1601.29</v>
      </c>
      <c r="F1469" s="159">
        <v>40032.25</v>
      </c>
      <c r="G1469" s="160" t="s">
        <v>2</v>
      </c>
      <c r="H1469" s="34" t="s">
        <v>925</v>
      </c>
    </row>
    <row r="1470" spans="1:8" ht="33">
      <c r="A1470" s="160">
        <v>3</v>
      </c>
      <c r="B1470" s="160" t="s">
        <v>1540</v>
      </c>
      <c r="C1470" s="157" t="s">
        <v>14</v>
      </c>
      <c r="D1470" s="159">
        <v>1</v>
      </c>
      <c r="E1470" s="159">
        <v>555.36</v>
      </c>
      <c r="F1470" s="159">
        <v>555.36</v>
      </c>
      <c r="G1470" s="160" t="s">
        <v>2</v>
      </c>
      <c r="H1470" s="34" t="s">
        <v>925</v>
      </c>
    </row>
    <row r="1471" spans="1:8" ht="33">
      <c r="A1471" s="160">
        <v>4</v>
      </c>
      <c r="B1471" s="160" t="s">
        <v>931</v>
      </c>
      <c r="C1471" s="157" t="s">
        <v>14</v>
      </c>
      <c r="D1471" s="159">
        <v>1</v>
      </c>
      <c r="E1471" s="159">
        <v>1543.21</v>
      </c>
      <c r="F1471" s="159">
        <v>1543.21</v>
      </c>
      <c r="G1471" s="160" t="s">
        <v>2</v>
      </c>
      <c r="H1471" s="34" t="s">
        <v>925</v>
      </c>
    </row>
    <row r="1472" spans="1:8" ht="33">
      <c r="A1472" s="160"/>
      <c r="B1472" s="160" t="s">
        <v>933</v>
      </c>
      <c r="C1472" s="157" t="s">
        <v>17</v>
      </c>
      <c r="D1472" s="159">
        <v>10</v>
      </c>
      <c r="E1472" s="159"/>
      <c r="F1472" s="159">
        <v>52983.57</v>
      </c>
      <c r="G1472" s="160"/>
      <c r="H1472" s="34" t="s">
        <v>925</v>
      </c>
    </row>
    <row r="1473" spans="1:8" ht="33">
      <c r="A1473" s="160"/>
      <c r="B1473" s="160" t="s">
        <v>934</v>
      </c>
      <c r="C1473" s="157" t="s">
        <v>17</v>
      </c>
      <c r="D1473" s="159"/>
      <c r="E1473" s="159"/>
      <c r="F1473" s="159">
        <v>5298.36</v>
      </c>
      <c r="G1473" s="160"/>
      <c r="H1473" s="34" t="s">
        <v>925</v>
      </c>
    </row>
    <row r="1474" spans="1:8" ht="16.5">
      <c r="A1474" s="160"/>
      <c r="B1474" s="160"/>
      <c r="C1474" s="157"/>
      <c r="D1474" s="159"/>
      <c r="E1474" s="159"/>
      <c r="F1474" s="159"/>
      <c r="G1474" s="160"/>
    </row>
    <row r="1475" spans="1:8" ht="42.75">
      <c r="A1475" s="160" t="s">
        <v>1776</v>
      </c>
      <c r="B1475" s="160" t="s">
        <v>1571</v>
      </c>
      <c r="C1475" s="157" t="s">
        <v>17</v>
      </c>
      <c r="D1475" s="159">
        <v>10</v>
      </c>
      <c r="E1475" s="159">
        <v>8306.2199999999993</v>
      </c>
      <c r="F1475" s="159"/>
      <c r="G1475" s="160" t="s">
        <v>2</v>
      </c>
      <c r="H1475" s="34" t="s">
        <v>925</v>
      </c>
    </row>
    <row r="1476" spans="1:8" ht="33">
      <c r="A1476" s="160">
        <v>1</v>
      </c>
      <c r="B1476" s="160" t="s">
        <v>1573</v>
      </c>
      <c r="C1476" s="157" t="s">
        <v>1536</v>
      </c>
      <c r="D1476" s="159">
        <v>25</v>
      </c>
      <c r="E1476" s="159">
        <v>491.49</v>
      </c>
      <c r="F1476" s="159">
        <v>12287.25</v>
      </c>
      <c r="G1476" s="160" t="s">
        <v>2</v>
      </c>
      <c r="H1476" s="34" t="s">
        <v>925</v>
      </c>
    </row>
    <row r="1477" spans="1:8" ht="33">
      <c r="A1477" s="160">
        <v>2</v>
      </c>
      <c r="B1477" s="160" t="s">
        <v>1575</v>
      </c>
      <c r="C1477" s="157" t="s">
        <v>1220</v>
      </c>
      <c r="D1477" s="159">
        <v>25</v>
      </c>
      <c r="E1477" s="159">
        <v>2712.01</v>
      </c>
      <c r="F1477" s="159">
        <v>67800.25</v>
      </c>
      <c r="G1477" s="160" t="s">
        <v>2</v>
      </c>
      <c r="H1477" s="34" t="s">
        <v>925</v>
      </c>
    </row>
    <row r="1478" spans="1:8" ht="33">
      <c r="A1478" s="160">
        <v>3</v>
      </c>
      <c r="B1478" s="160" t="s">
        <v>1540</v>
      </c>
      <c r="C1478" s="157" t="s">
        <v>14</v>
      </c>
      <c r="D1478" s="159">
        <v>1</v>
      </c>
      <c r="E1478" s="159">
        <v>555.36</v>
      </c>
      <c r="F1478" s="159">
        <v>555.36</v>
      </c>
      <c r="G1478" s="160" t="s">
        <v>2</v>
      </c>
      <c r="H1478" s="34" t="s">
        <v>925</v>
      </c>
    </row>
    <row r="1479" spans="1:8" ht="33">
      <c r="A1479" s="160">
        <v>4</v>
      </c>
      <c r="B1479" s="160" t="s">
        <v>931</v>
      </c>
      <c r="C1479" s="157" t="s">
        <v>14</v>
      </c>
      <c r="D1479" s="159">
        <v>1</v>
      </c>
      <c r="E1479" s="159">
        <v>2419.29</v>
      </c>
      <c r="F1479" s="159">
        <v>2419.29</v>
      </c>
      <c r="G1479" s="160" t="s">
        <v>2</v>
      </c>
      <c r="H1479" s="34" t="s">
        <v>925</v>
      </c>
    </row>
    <row r="1480" spans="1:8" ht="33">
      <c r="A1480" s="160"/>
      <c r="B1480" s="160" t="s">
        <v>933</v>
      </c>
      <c r="C1480" s="157" t="s">
        <v>17</v>
      </c>
      <c r="D1480" s="159">
        <v>10</v>
      </c>
      <c r="E1480" s="159"/>
      <c r="F1480" s="159">
        <v>83062.149999999994</v>
      </c>
      <c r="G1480" s="160"/>
      <c r="H1480" s="34" t="s">
        <v>925</v>
      </c>
    </row>
    <row r="1481" spans="1:8" ht="33">
      <c r="A1481" s="160"/>
      <c r="B1481" s="160" t="s">
        <v>934</v>
      </c>
      <c r="C1481" s="157" t="s">
        <v>17</v>
      </c>
      <c r="D1481" s="159"/>
      <c r="E1481" s="159"/>
      <c r="F1481" s="159">
        <v>8306.2199999999993</v>
      </c>
      <c r="G1481" s="160"/>
      <c r="H1481" s="34" t="s">
        <v>925</v>
      </c>
    </row>
    <row r="1482" spans="1:8" ht="33">
      <c r="A1482" s="160"/>
      <c r="B1482" s="160"/>
      <c r="C1482" s="157"/>
      <c r="D1482" s="159"/>
      <c r="E1482" s="159"/>
      <c r="F1482" s="159"/>
      <c r="G1482" s="160"/>
      <c r="H1482" s="34" t="s">
        <v>925</v>
      </c>
    </row>
    <row r="1483" spans="1:8" ht="33">
      <c r="A1483" s="160" t="s">
        <v>1781</v>
      </c>
      <c r="B1483" s="160" t="s">
        <v>1578</v>
      </c>
      <c r="C1483" s="157" t="s">
        <v>17</v>
      </c>
      <c r="D1483" s="159">
        <v>9</v>
      </c>
      <c r="E1483" s="159">
        <v>157.31</v>
      </c>
      <c r="F1483" s="159"/>
      <c r="G1483" s="160" t="s">
        <v>4382</v>
      </c>
      <c r="H1483" s="34" t="s">
        <v>925</v>
      </c>
    </row>
    <row r="1484" spans="1:8" ht="28.5">
      <c r="A1484" s="160">
        <v>1</v>
      </c>
      <c r="B1484" s="160" t="s">
        <v>1580</v>
      </c>
      <c r="C1484" s="157" t="s">
        <v>17</v>
      </c>
      <c r="D1484" s="159">
        <v>9</v>
      </c>
      <c r="E1484" s="159">
        <v>101.82</v>
      </c>
      <c r="F1484" s="159">
        <v>916.38</v>
      </c>
      <c r="G1484" s="160" t="s">
        <v>2</v>
      </c>
    </row>
    <row r="1485" spans="1:8" ht="33">
      <c r="A1485" s="160">
        <v>2</v>
      </c>
      <c r="B1485" s="160" t="s">
        <v>1582</v>
      </c>
      <c r="C1485" s="157" t="s">
        <v>17</v>
      </c>
      <c r="D1485" s="159">
        <v>9</v>
      </c>
      <c r="E1485" s="159">
        <v>50.91</v>
      </c>
      <c r="F1485" s="159">
        <v>458.19</v>
      </c>
      <c r="G1485" s="160" t="s">
        <v>4383</v>
      </c>
      <c r="H1485" s="34" t="s">
        <v>925</v>
      </c>
    </row>
    <row r="1486" spans="1:8" ht="33">
      <c r="A1486" s="160">
        <v>3</v>
      </c>
      <c r="B1486" s="160" t="s">
        <v>931</v>
      </c>
      <c r="C1486" s="157" t="s">
        <v>14</v>
      </c>
      <c r="D1486" s="159">
        <v>1</v>
      </c>
      <c r="E1486" s="159">
        <v>41.24</v>
      </c>
      <c r="F1486" s="159">
        <v>41.24</v>
      </c>
      <c r="G1486" s="160" t="s">
        <v>2</v>
      </c>
      <c r="H1486" s="34" t="s">
        <v>925</v>
      </c>
    </row>
    <row r="1487" spans="1:8" ht="33">
      <c r="A1487" s="160"/>
      <c r="B1487" s="160" t="s">
        <v>933</v>
      </c>
      <c r="C1487" s="157" t="s">
        <v>17</v>
      </c>
      <c r="D1487" s="159">
        <v>9</v>
      </c>
      <c r="E1487" s="159"/>
      <c r="F1487" s="159">
        <v>1415.81</v>
      </c>
      <c r="G1487" s="160"/>
      <c r="H1487" s="34" t="s">
        <v>925</v>
      </c>
    </row>
    <row r="1488" spans="1:8" ht="33">
      <c r="A1488" s="160"/>
      <c r="B1488" s="160" t="s">
        <v>934</v>
      </c>
      <c r="C1488" s="157" t="s">
        <v>17</v>
      </c>
      <c r="D1488" s="159"/>
      <c r="E1488" s="159"/>
      <c r="F1488" s="159">
        <v>157.31</v>
      </c>
      <c r="G1488" s="160"/>
      <c r="H1488" s="34" t="s">
        <v>925</v>
      </c>
    </row>
    <row r="1489" spans="1:8" ht="33">
      <c r="A1489" s="160"/>
      <c r="B1489" s="160"/>
      <c r="C1489" s="157"/>
      <c r="D1489" s="159"/>
      <c r="E1489" s="159"/>
      <c r="F1489" s="159"/>
      <c r="G1489" s="160"/>
      <c r="H1489" s="34" t="s">
        <v>925</v>
      </c>
    </row>
    <row r="1490" spans="1:8" ht="33">
      <c r="A1490" s="160" t="s">
        <v>1786</v>
      </c>
      <c r="B1490" s="160" t="s">
        <v>1585</v>
      </c>
      <c r="C1490" s="157" t="s">
        <v>17</v>
      </c>
      <c r="D1490" s="159">
        <v>13</v>
      </c>
      <c r="E1490" s="159">
        <v>228.8</v>
      </c>
      <c r="F1490" s="159"/>
      <c r="G1490" s="160" t="s">
        <v>4382</v>
      </c>
      <c r="H1490" s="34" t="s">
        <v>925</v>
      </c>
    </row>
    <row r="1491" spans="1:8" ht="33">
      <c r="A1491" s="160">
        <v>1</v>
      </c>
      <c r="B1491" s="160" t="s">
        <v>1587</v>
      </c>
      <c r="C1491" s="157" t="s">
        <v>17</v>
      </c>
      <c r="D1491" s="159">
        <v>13</v>
      </c>
      <c r="E1491" s="159">
        <v>161.97999999999999</v>
      </c>
      <c r="F1491" s="159">
        <v>2105.7399999999998</v>
      </c>
      <c r="G1491" s="160" t="s">
        <v>2</v>
      </c>
      <c r="H1491" s="34" t="s">
        <v>925</v>
      </c>
    </row>
    <row r="1492" spans="1:8" ht="33">
      <c r="A1492" s="160">
        <v>2</v>
      </c>
      <c r="B1492" s="160" t="s">
        <v>1589</v>
      </c>
      <c r="C1492" s="157" t="s">
        <v>17</v>
      </c>
      <c r="D1492" s="159">
        <v>13</v>
      </c>
      <c r="E1492" s="159">
        <v>60.16</v>
      </c>
      <c r="F1492" s="159">
        <v>782.08</v>
      </c>
      <c r="G1492" s="160" t="s">
        <v>4383</v>
      </c>
      <c r="H1492" s="34" t="s">
        <v>925</v>
      </c>
    </row>
    <row r="1493" spans="1:8" ht="33">
      <c r="A1493" s="160">
        <v>3</v>
      </c>
      <c r="B1493" s="160" t="s">
        <v>931</v>
      </c>
      <c r="C1493" s="157" t="s">
        <v>14</v>
      </c>
      <c r="D1493" s="159">
        <v>1</v>
      </c>
      <c r="E1493" s="159">
        <v>86.63</v>
      </c>
      <c r="F1493" s="159">
        <v>86.63</v>
      </c>
      <c r="G1493" s="160" t="s">
        <v>2</v>
      </c>
      <c r="H1493" s="34" t="s">
        <v>925</v>
      </c>
    </row>
    <row r="1494" spans="1:8" ht="16.5">
      <c r="A1494" s="160"/>
      <c r="B1494" s="160" t="s">
        <v>933</v>
      </c>
      <c r="C1494" s="157" t="s">
        <v>17</v>
      </c>
      <c r="D1494" s="159">
        <v>13</v>
      </c>
      <c r="E1494" s="159"/>
      <c r="F1494" s="159">
        <v>2974.45</v>
      </c>
      <c r="G1494" s="160"/>
    </row>
    <row r="1495" spans="1:8" ht="33">
      <c r="A1495" s="160"/>
      <c r="B1495" s="160" t="s">
        <v>934</v>
      </c>
      <c r="C1495" s="157" t="s">
        <v>17</v>
      </c>
      <c r="D1495" s="159"/>
      <c r="E1495" s="159"/>
      <c r="F1495" s="159">
        <v>228.8</v>
      </c>
      <c r="G1495" s="160"/>
      <c r="H1495" s="34" t="s">
        <v>925</v>
      </c>
    </row>
    <row r="1496" spans="1:8" ht="33">
      <c r="A1496" s="160"/>
      <c r="B1496" s="160"/>
      <c r="C1496" s="157"/>
      <c r="D1496" s="159"/>
      <c r="E1496" s="159"/>
      <c r="F1496" s="159"/>
      <c r="G1496" s="160"/>
      <c r="H1496" s="34" t="s">
        <v>925</v>
      </c>
    </row>
    <row r="1497" spans="1:8" ht="33">
      <c r="A1497" s="160" t="s">
        <v>1791</v>
      </c>
      <c r="B1497" s="160" t="s">
        <v>1592</v>
      </c>
      <c r="C1497" s="157" t="s">
        <v>17</v>
      </c>
      <c r="D1497" s="159">
        <v>9</v>
      </c>
      <c r="E1497" s="159">
        <v>810.36</v>
      </c>
      <c r="F1497" s="159"/>
      <c r="G1497" s="160" t="s">
        <v>2</v>
      </c>
      <c r="H1497" s="34" t="s">
        <v>925</v>
      </c>
    </row>
    <row r="1498" spans="1:8" ht="33">
      <c r="A1498" s="160">
        <v>1</v>
      </c>
      <c r="B1498" s="160" t="s">
        <v>1594</v>
      </c>
      <c r="C1498" s="157" t="s">
        <v>17</v>
      </c>
      <c r="D1498" s="159">
        <v>9</v>
      </c>
      <c r="E1498" s="159">
        <v>64.790000000000006</v>
      </c>
      <c r="F1498" s="159">
        <v>583.11</v>
      </c>
      <c r="G1498" s="160" t="s">
        <v>2</v>
      </c>
      <c r="H1498" s="34" t="s">
        <v>925</v>
      </c>
    </row>
    <row r="1499" spans="1:8" ht="33">
      <c r="A1499" s="160">
        <v>2</v>
      </c>
      <c r="B1499" s="160" t="s">
        <v>1596</v>
      </c>
      <c r="C1499" s="157" t="s">
        <v>17</v>
      </c>
      <c r="D1499" s="159">
        <v>9</v>
      </c>
      <c r="E1499" s="159">
        <v>721.97</v>
      </c>
      <c r="F1499" s="159">
        <v>6497.73</v>
      </c>
      <c r="G1499" s="160" t="s">
        <v>4383</v>
      </c>
      <c r="H1499" s="34" t="s">
        <v>925</v>
      </c>
    </row>
    <row r="1500" spans="1:8" ht="33">
      <c r="A1500" s="160">
        <v>3</v>
      </c>
      <c r="B1500" s="160" t="s">
        <v>931</v>
      </c>
      <c r="C1500" s="157" t="s">
        <v>14</v>
      </c>
      <c r="D1500" s="159">
        <v>1</v>
      </c>
      <c r="E1500" s="159">
        <v>212.43</v>
      </c>
      <c r="F1500" s="159">
        <v>212.43</v>
      </c>
      <c r="G1500" s="160" t="s">
        <v>2</v>
      </c>
      <c r="H1500" s="34" t="s">
        <v>925</v>
      </c>
    </row>
    <row r="1501" spans="1:8" ht="33">
      <c r="A1501" s="160"/>
      <c r="B1501" s="160" t="s">
        <v>933</v>
      </c>
      <c r="C1501" s="157" t="s">
        <v>17</v>
      </c>
      <c r="D1501" s="159">
        <v>9</v>
      </c>
      <c r="E1501" s="159"/>
      <c r="F1501" s="159">
        <v>7293.2699999999995</v>
      </c>
      <c r="G1501" s="160"/>
      <c r="H1501" s="34" t="s">
        <v>925</v>
      </c>
    </row>
    <row r="1502" spans="1:8" ht="33">
      <c r="A1502" s="160"/>
      <c r="B1502" s="160" t="s">
        <v>934</v>
      </c>
      <c r="C1502" s="157" t="s">
        <v>17</v>
      </c>
      <c r="D1502" s="159"/>
      <c r="E1502" s="159"/>
      <c r="F1502" s="159">
        <v>810.36</v>
      </c>
      <c r="G1502" s="160"/>
      <c r="H1502" s="34" t="s">
        <v>925</v>
      </c>
    </row>
    <row r="1503" spans="1:8" ht="33">
      <c r="A1503" s="160"/>
      <c r="B1503" s="160"/>
      <c r="C1503" s="157"/>
      <c r="D1503" s="159"/>
      <c r="E1503" s="159"/>
      <c r="F1503" s="159"/>
      <c r="G1503" s="160"/>
      <c r="H1503" s="34" t="s">
        <v>925</v>
      </c>
    </row>
    <row r="1504" spans="1:8" ht="28.5">
      <c r="A1504" s="160" t="s">
        <v>1796</v>
      </c>
      <c r="B1504" s="160" t="s">
        <v>1599</v>
      </c>
      <c r="C1504" s="157" t="s">
        <v>17</v>
      </c>
      <c r="D1504" s="159">
        <v>13</v>
      </c>
      <c r="E1504" s="159">
        <v>1110.67</v>
      </c>
      <c r="F1504" s="159"/>
      <c r="G1504" s="160" t="s">
        <v>2</v>
      </c>
    </row>
    <row r="1505" spans="1:8" ht="33">
      <c r="A1505" s="160">
        <v>1</v>
      </c>
      <c r="B1505" s="160" t="s">
        <v>1601</v>
      </c>
      <c r="C1505" s="157" t="s">
        <v>17</v>
      </c>
      <c r="D1505" s="159">
        <v>13</v>
      </c>
      <c r="E1505" s="159">
        <v>106.44</v>
      </c>
      <c r="F1505" s="159">
        <v>1383.72</v>
      </c>
      <c r="G1505" s="160" t="s">
        <v>2</v>
      </c>
      <c r="H1505" s="34" t="s">
        <v>925</v>
      </c>
    </row>
    <row r="1506" spans="1:8" ht="33">
      <c r="A1506" s="160">
        <v>2</v>
      </c>
      <c r="B1506" s="160" t="s">
        <v>1603</v>
      </c>
      <c r="C1506" s="157" t="s">
        <v>17</v>
      </c>
      <c r="D1506" s="159">
        <v>13</v>
      </c>
      <c r="E1506" s="159">
        <v>971.88</v>
      </c>
      <c r="F1506" s="159">
        <v>12634.44</v>
      </c>
      <c r="G1506" s="160" t="s">
        <v>4383</v>
      </c>
      <c r="H1506" s="34" t="s">
        <v>925</v>
      </c>
    </row>
    <row r="1507" spans="1:8" ht="33">
      <c r="A1507" s="160">
        <v>3</v>
      </c>
      <c r="B1507" s="160" t="s">
        <v>931</v>
      </c>
      <c r="C1507" s="157" t="s">
        <v>14</v>
      </c>
      <c r="D1507" s="159">
        <v>1</v>
      </c>
      <c r="E1507" s="159">
        <v>420.54</v>
      </c>
      <c r="F1507" s="159">
        <v>420.54</v>
      </c>
      <c r="G1507" s="160" t="s">
        <v>2</v>
      </c>
      <c r="H1507" s="34" t="s">
        <v>925</v>
      </c>
    </row>
    <row r="1508" spans="1:8" ht="33">
      <c r="A1508" s="160"/>
      <c r="B1508" s="160" t="s">
        <v>933</v>
      </c>
      <c r="C1508" s="157" t="s">
        <v>17</v>
      </c>
      <c r="D1508" s="159">
        <v>13</v>
      </c>
      <c r="E1508" s="159"/>
      <c r="F1508" s="159">
        <v>14438.7</v>
      </c>
      <c r="G1508" s="160"/>
      <c r="H1508" s="34" t="s">
        <v>925</v>
      </c>
    </row>
    <row r="1509" spans="1:8" ht="33">
      <c r="A1509" s="160"/>
      <c r="B1509" s="160" t="s">
        <v>934</v>
      </c>
      <c r="C1509" s="157" t="s">
        <v>17</v>
      </c>
      <c r="D1509" s="159"/>
      <c r="E1509" s="159"/>
      <c r="F1509" s="159">
        <v>1110.67</v>
      </c>
      <c r="G1509" s="160"/>
      <c r="H1509" s="34" t="s">
        <v>925</v>
      </c>
    </row>
    <row r="1510" spans="1:8" ht="33">
      <c r="A1510" s="160"/>
      <c r="B1510" s="160"/>
      <c r="C1510" s="157"/>
      <c r="D1510" s="159"/>
      <c r="E1510" s="159"/>
      <c r="F1510" s="159"/>
      <c r="G1510" s="160"/>
      <c r="H1510" s="34" t="s">
        <v>925</v>
      </c>
    </row>
    <row r="1511" spans="1:8" ht="33">
      <c r="A1511" s="160" t="s">
        <v>1801</v>
      </c>
      <c r="B1511" s="160" t="s">
        <v>1606</v>
      </c>
      <c r="C1511" s="157" t="s">
        <v>17</v>
      </c>
      <c r="D1511" s="159">
        <v>9</v>
      </c>
      <c r="E1511" s="159">
        <v>344.8</v>
      </c>
      <c r="F1511" s="159"/>
      <c r="G1511" s="160" t="s">
        <v>4383</v>
      </c>
      <c r="H1511" s="34" t="s">
        <v>925</v>
      </c>
    </row>
    <row r="1512" spans="1:8" ht="33">
      <c r="A1512" s="160">
        <v>1</v>
      </c>
      <c r="B1512" s="160" t="s">
        <v>1608</v>
      </c>
      <c r="C1512" s="157" t="s">
        <v>17</v>
      </c>
      <c r="D1512" s="159">
        <v>9</v>
      </c>
      <c r="E1512" s="159">
        <v>185.12</v>
      </c>
      <c r="F1512" s="159">
        <v>1666.08</v>
      </c>
      <c r="G1512" s="160" t="s">
        <v>2</v>
      </c>
      <c r="H1512" s="34" t="s">
        <v>925</v>
      </c>
    </row>
    <row r="1513" spans="1:8" ht="33">
      <c r="A1513" s="160">
        <v>2</v>
      </c>
      <c r="B1513" s="160" t="s">
        <v>1610</v>
      </c>
      <c r="C1513" s="157" t="s">
        <v>17</v>
      </c>
      <c r="D1513" s="159">
        <v>9</v>
      </c>
      <c r="E1513" s="159">
        <v>87.93</v>
      </c>
      <c r="F1513" s="159">
        <v>791.37</v>
      </c>
      <c r="G1513" s="160" t="s">
        <v>4383</v>
      </c>
      <c r="H1513" s="34" t="s">
        <v>925</v>
      </c>
    </row>
    <row r="1514" spans="1:8" ht="28.5">
      <c r="A1514" s="160">
        <v>3</v>
      </c>
      <c r="B1514" s="160" t="s">
        <v>1540</v>
      </c>
      <c r="C1514" s="157" t="s">
        <v>14</v>
      </c>
      <c r="D1514" s="159">
        <v>1</v>
      </c>
      <c r="E1514" s="159">
        <v>555.36</v>
      </c>
      <c r="F1514" s="159">
        <v>555.36</v>
      </c>
      <c r="G1514" s="160" t="s">
        <v>2</v>
      </c>
    </row>
    <row r="1515" spans="1:8" ht="33">
      <c r="A1515" s="160">
        <v>4</v>
      </c>
      <c r="B1515" s="160" t="s">
        <v>931</v>
      </c>
      <c r="C1515" s="157" t="s">
        <v>14</v>
      </c>
      <c r="D1515" s="159">
        <v>1</v>
      </c>
      <c r="E1515" s="159">
        <v>90.38</v>
      </c>
      <c r="F1515" s="159">
        <v>90.38</v>
      </c>
      <c r="G1515" s="160" t="s">
        <v>2</v>
      </c>
      <c r="H1515" s="34" t="s">
        <v>925</v>
      </c>
    </row>
    <row r="1516" spans="1:8" ht="33">
      <c r="A1516" s="160"/>
      <c r="B1516" s="160" t="s">
        <v>933</v>
      </c>
      <c r="C1516" s="157" t="s">
        <v>17</v>
      </c>
      <c r="D1516" s="159">
        <v>9</v>
      </c>
      <c r="E1516" s="159"/>
      <c r="F1516" s="159">
        <v>3103.19</v>
      </c>
      <c r="G1516" s="160"/>
      <c r="H1516" s="34" t="s">
        <v>925</v>
      </c>
    </row>
    <row r="1517" spans="1:8" ht="33">
      <c r="A1517" s="160"/>
      <c r="B1517" s="160" t="s">
        <v>934</v>
      </c>
      <c r="C1517" s="157" t="s">
        <v>17</v>
      </c>
      <c r="D1517" s="159"/>
      <c r="E1517" s="159"/>
      <c r="F1517" s="159">
        <v>344.8</v>
      </c>
      <c r="G1517" s="160"/>
      <c r="H1517" s="34" t="s">
        <v>925</v>
      </c>
    </row>
    <row r="1518" spans="1:8" ht="33">
      <c r="A1518" s="160"/>
      <c r="B1518" s="160"/>
      <c r="C1518" s="157"/>
      <c r="D1518" s="159"/>
      <c r="E1518" s="159"/>
      <c r="F1518" s="159"/>
      <c r="G1518" s="160"/>
      <c r="H1518" s="34" t="s">
        <v>925</v>
      </c>
    </row>
    <row r="1519" spans="1:8" ht="33">
      <c r="A1519" s="160" t="s">
        <v>1806</v>
      </c>
      <c r="B1519" s="160" t="s">
        <v>1613</v>
      </c>
      <c r="C1519" s="157" t="s">
        <v>17</v>
      </c>
      <c r="D1519" s="159">
        <v>9</v>
      </c>
      <c r="E1519" s="159">
        <v>1231.43</v>
      </c>
      <c r="F1519" s="159"/>
      <c r="G1519" s="160" t="s">
        <v>2</v>
      </c>
      <c r="H1519" s="34" t="s">
        <v>925</v>
      </c>
    </row>
    <row r="1520" spans="1:8" ht="33">
      <c r="A1520" s="160">
        <v>1</v>
      </c>
      <c r="B1520" s="160" t="s">
        <v>1615</v>
      </c>
      <c r="C1520" s="157" t="s">
        <v>17</v>
      </c>
      <c r="D1520" s="159">
        <v>9</v>
      </c>
      <c r="E1520" s="159">
        <v>115.7</v>
      </c>
      <c r="F1520" s="159">
        <v>1041.3</v>
      </c>
      <c r="G1520" s="160" t="s">
        <v>2</v>
      </c>
      <c r="H1520" s="34" t="s">
        <v>925</v>
      </c>
    </row>
    <row r="1521" spans="1:8" ht="33">
      <c r="A1521" s="160">
        <v>2</v>
      </c>
      <c r="B1521" s="160" t="s">
        <v>1617</v>
      </c>
      <c r="C1521" s="157" t="s">
        <v>17</v>
      </c>
      <c r="D1521" s="159">
        <v>9</v>
      </c>
      <c r="E1521" s="159">
        <v>1018.16</v>
      </c>
      <c r="F1521" s="159">
        <v>9163.44</v>
      </c>
      <c r="G1521" s="160" t="s">
        <v>5452</v>
      </c>
      <c r="H1521" s="34" t="s">
        <v>925</v>
      </c>
    </row>
    <row r="1522" spans="1:8" ht="33">
      <c r="A1522" s="160">
        <v>3</v>
      </c>
      <c r="B1522" s="160" t="s">
        <v>1540</v>
      </c>
      <c r="C1522" s="157" t="s">
        <v>14</v>
      </c>
      <c r="D1522" s="159">
        <v>1</v>
      </c>
      <c r="E1522" s="159">
        <v>555.36</v>
      </c>
      <c r="F1522" s="159">
        <v>555.36</v>
      </c>
      <c r="G1522" s="160" t="s">
        <v>2</v>
      </c>
      <c r="H1522" s="34" t="s">
        <v>925</v>
      </c>
    </row>
    <row r="1523" spans="1:8" ht="33">
      <c r="A1523" s="160">
        <v>4</v>
      </c>
      <c r="B1523" s="160" t="s">
        <v>931</v>
      </c>
      <c r="C1523" s="157" t="s">
        <v>14</v>
      </c>
      <c r="D1523" s="159">
        <v>1</v>
      </c>
      <c r="E1523" s="159">
        <v>322.8</v>
      </c>
      <c r="F1523" s="159">
        <v>322.8</v>
      </c>
      <c r="G1523" s="160" t="s">
        <v>2</v>
      </c>
      <c r="H1523" s="34" t="s">
        <v>925</v>
      </c>
    </row>
    <row r="1524" spans="1:8" ht="16.5">
      <c r="A1524" s="160"/>
      <c r="B1524" s="160" t="s">
        <v>933</v>
      </c>
      <c r="C1524" s="157" t="s">
        <v>17</v>
      </c>
      <c r="D1524" s="159">
        <v>9</v>
      </c>
      <c r="E1524" s="159"/>
      <c r="F1524" s="159">
        <v>11082.9</v>
      </c>
      <c r="G1524" s="160"/>
    </row>
    <row r="1525" spans="1:8" ht="33">
      <c r="A1525" s="160"/>
      <c r="B1525" s="160" t="s">
        <v>934</v>
      </c>
      <c r="C1525" s="157" t="s">
        <v>17</v>
      </c>
      <c r="D1525" s="159"/>
      <c r="E1525" s="159"/>
      <c r="F1525" s="159">
        <v>1231.43</v>
      </c>
      <c r="G1525" s="160"/>
      <c r="H1525" s="34" t="s">
        <v>925</v>
      </c>
    </row>
    <row r="1526" spans="1:8" ht="33">
      <c r="A1526" s="160"/>
      <c r="B1526" s="160"/>
      <c r="C1526" s="157"/>
      <c r="D1526" s="159"/>
      <c r="E1526" s="159"/>
      <c r="F1526" s="159"/>
      <c r="G1526" s="160"/>
      <c r="H1526" s="34" t="s">
        <v>925</v>
      </c>
    </row>
    <row r="1527" spans="1:8" ht="33">
      <c r="A1527" s="160" t="s">
        <v>1811</v>
      </c>
      <c r="B1527" s="160" t="s">
        <v>1620</v>
      </c>
      <c r="C1527" s="157" t="s">
        <v>17</v>
      </c>
      <c r="D1527" s="159">
        <v>9</v>
      </c>
      <c r="E1527" s="159">
        <v>152.54</v>
      </c>
      <c r="F1527" s="159"/>
      <c r="G1527" s="160" t="s">
        <v>2</v>
      </c>
      <c r="H1527" s="34" t="s">
        <v>925</v>
      </c>
    </row>
    <row r="1528" spans="1:8" ht="33">
      <c r="A1528" s="160">
        <v>1</v>
      </c>
      <c r="B1528" s="160" t="s">
        <v>1580</v>
      </c>
      <c r="C1528" s="157" t="s">
        <v>17</v>
      </c>
      <c r="D1528" s="159">
        <v>9</v>
      </c>
      <c r="E1528" s="159">
        <v>101.82</v>
      </c>
      <c r="F1528" s="159">
        <v>916.38</v>
      </c>
      <c r="G1528" s="160" t="s">
        <v>2</v>
      </c>
      <c r="H1528" s="34" t="s">
        <v>925</v>
      </c>
    </row>
    <row r="1529" spans="1:8" ht="33">
      <c r="A1529" s="160">
        <v>2</v>
      </c>
      <c r="B1529" s="160" t="s">
        <v>1622</v>
      </c>
      <c r="C1529" s="157" t="s">
        <v>17</v>
      </c>
      <c r="D1529" s="159">
        <v>9</v>
      </c>
      <c r="E1529" s="159">
        <v>46.28</v>
      </c>
      <c r="F1529" s="159">
        <v>416.52</v>
      </c>
      <c r="G1529" s="160" t="s">
        <v>2</v>
      </c>
      <c r="H1529" s="34" t="s">
        <v>925</v>
      </c>
    </row>
    <row r="1530" spans="1:8" ht="33">
      <c r="A1530" s="160">
        <v>3</v>
      </c>
      <c r="B1530" s="160" t="s">
        <v>931</v>
      </c>
      <c r="C1530" s="157" t="s">
        <v>14</v>
      </c>
      <c r="D1530" s="159">
        <v>1</v>
      </c>
      <c r="E1530" s="159">
        <v>39.99</v>
      </c>
      <c r="F1530" s="159">
        <v>39.99</v>
      </c>
      <c r="G1530" s="160" t="s">
        <v>2</v>
      </c>
      <c r="H1530" s="34" t="s">
        <v>925</v>
      </c>
    </row>
    <row r="1531" spans="1:8" ht="33">
      <c r="A1531" s="160"/>
      <c r="B1531" s="160" t="s">
        <v>933</v>
      </c>
      <c r="C1531" s="157" t="s">
        <v>17</v>
      </c>
      <c r="D1531" s="159">
        <v>9</v>
      </c>
      <c r="E1531" s="159"/>
      <c r="F1531" s="159">
        <v>1372.89</v>
      </c>
      <c r="G1531" s="160"/>
      <c r="H1531" s="34" t="s">
        <v>925</v>
      </c>
    </row>
    <row r="1532" spans="1:8" ht="33">
      <c r="A1532" s="160"/>
      <c r="B1532" s="160" t="s">
        <v>934</v>
      </c>
      <c r="C1532" s="157" t="s">
        <v>17</v>
      </c>
      <c r="D1532" s="159"/>
      <c r="E1532" s="159"/>
      <c r="F1532" s="159">
        <v>152.54</v>
      </c>
      <c r="G1532" s="160"/>
      <c r="H1532" s="34" t="s">
        <v>925</v>
      </c>
    </row>
    <row r="1533" spans="1:8" ht="33">
      <c r="A1533" s="160"/>
      <c r="B1533" s="160"/>
      <c r="C1533" s="157"/>
      <c r="D1533" s="159"/>
      <c r="E1533" s="159"/>
      <c r="F1533" s="159"/>
      <c r="G1533" s="160"/>
      <c r="H1533" s="34" t="s">
        <v>925</v>
      </c>
    </row>
    <row r="1534" spans="1:8" ht="28.5">
      <c r="A1534" s="160" t="s">
        <v>1816</v>
      </c>
      <c r="B1534" s="160" t="s">
        <v>1625</v>
      </c>
      <c r="C1534" s="157" t="s">
        <v>17</v>
      </c>
      <c r="D1534" s="159">
        <v>9</v>
      </c>
      <c r="E1534" s="159">
        <v>219.28</v>
      </c>
      <c r="F1534" s="159"/>
      <c r="G1534" s="160" t="s">
        <v>2</v>
      </c>
    </row>
    <row r="1535" spans="1:8" ht="33">
      <c r="A1535" s="160">
        <v>1</v>
      </c>
      <c r="B1535" s="160" t="s">
        <v>1587</v>
      </c>
      <c r="C1535" s="157" t="s">
        <v>17</v>
      </c>
      <c r="D1535" s="159">
        <v>9</v>
      </c>
      <c r="E1535" s="159">
        <v>161.97999999999999</v>
      </c>
      <c r="F1535" s="159">
        <v>1457.82</v>
      </c>
      <c r="G1535" s="160" t="s">
        <v>2</v>
      </c>
      <c r="H1535" s="34" t="s">
        <v>925</v>
      </c>
    </row>
    <row r="1536" spans="1:8" ht="33">
      <c r="A1536" s="160">
        <v>2</v>
      </c>
      <c r="B1536" s="160" t="s">
        <v>1627</v>
      </c>
      <c r="C1536" s="157" t="s">
        <v>17</v>
      </c>
      <c r="D1536" s="159">
        <v>9</v>
      </c>
      <c r="E1536" s="159">
        <v>50.91</v>
      </c>
      <c r="F1536" s="159">
        <v>458.19</v>
      </c>
      <c r="G1536" s="160" t="s">
        <v>2</v>
      </c>
      <c r="H1536" s="34" t="s">
        <v>925</v>
      </c>
    </row>
    <row r="1537" spans="1:8" ht="33">
      <c r="A1537" s="160">
        <v>3</v>
      </c>
      <c r="B1537" s="160" t="s">
        <v>931</v>
      </c>
      <c r="C1537" s="157" t="s">
        <v>14</v>
      </c>
      <c r="D1537" s="159">
        <v>1</v>
      </c>
      <c r="E1537" s="159">
        <v>57.48</v>
      </c>
      <c r="F1537" s="159">
        <v>57.48</v>
      </c>
      <c r="G1537" s="160" t="s">
        <v>2</v>
      </c>
      <c r="H1537" s="34" t="s">
        <v>925</v>
      </c>
    </row>
    <row r="1538" spans="1:8" ht="33">
      <c r="A1538" s="160"/>
      <c r="B1538" s="160" t="s">
        <v>933</v>
      </c>
      <c r="C1538" s="157" t="s">
        <v>17</v>
      </c>
      <c r="D1538" s="159">
        <v>9</v>
      </c>
      <c r="E1538" s="159"/>
      <c r="F1538" s="159">
        <v>1973.49</v>
      </c>
      <c r="G1538" s="160"/>
      <c r="H1538" s="34" t="s">
        <v>925</v>
      </c>
    </row>
    <row r="1539" spans="1:8" ht="33">
      <c r="A1539" s="160"/>
      <c r="B1539" s="160" t="s">
        <v>934</v>
      </c>
      <c r="C1539" s="157" t="s">
        <v>17</v>
      </c>
      <c r="D1539" s="159"/>
      <c r="E1539" s="159"/>
      <c r="F1539" s="159">
        <v>219.28</v>
      </c>
      <c r="G1539" s="160"/>
      <c r="H1539" s="34" t="s">
        <v>925</v>
      </c>
    </row>
    <row r="1540" spans="1:8" ht="33">
      <c r="A1540" s="160"/>
      <c r="B1540" s="160"/>
      <c r="C1540" s="157"/>
      <c r="D1540" s="159"/>
      <c r="E1540" s="159"/>
      <c r="F1540" s="159"/>
      <c r="G1540" s="160"/>
      <c r="H1540" s="34" t="s">
        <v>925</v>
      </c>
    </row>
    <row r="1541" spans="1:8" ht="33">
      <c r="A1541" s="160" t="s">
        <v>1824</v>
      </c>
      <c r="B1541" s="160" t="s">
        <v>1630</v>
      </c>
      <c r="C1541" s="157" t="s">
        <v>17</v>
      </c>
      <c r="D1541" s="159">
        <v>9</v>
      </c>
      <c r="E1541" s="159">
        <v>311.44</v>
      </c>
      <c r="F1541" s="159"/>
      <c r="G1541" s="160" t="s">
        <v>2</v>
      </c>
      <c r="H1541" s="34" t="s">
        <v>925</v>
      </c>
    </row>
    <row r="1542" spans="1:8" ht="33">
      <c r="A1542" s="160">
        <v>1</v>
      </c>
      <c r="B1542" s="160" t="s">
        <v>1608</v>
      </c>
      <c r="C1542" s="157" t="s">
        <v>17</v>
      </c>
      <c r="D1542" s="159">
        <v>9</v>
      </c>
      <c r="E1542" s="159">
        <v>185.12</v>
      </c>
      <c r="F1542" s="159">
        <v>1666.08</v>
      </c>
      <c r="G1542" s="160" t="s">
        <v>2</v>
      </c>
      <c r="H1542" s="34" t="s">
        <v>925</v>
      </c>
    </row>
    <row r="1543" spans="1:8" ht="33">
      <c r="A1543" s="160">
        <v>2</v>
      </c>
      <c r="B1543" s="160" t="s">
        <v>1632</v>
      </c>
      <c r="C1543" s="157" t="s">
        <v>17</v>
      </c>
      <c r="D1543" s="159">
        <v>9</v>
      </c>
      <c r="E1543" s="159">
        <v>55.54</v>
      </c>
      <c r="F1543" s="159">
        <v>499.86</v>
      </c>
      <c r="G1543" s="160" t="s">
        <v>2</v>
      </c>
      <c r="H1543" s="34" t="s">
        <v>925</v>
      </c>
    </row>
    <row r="1544" spans="1:8" ht="28.5">
      <c r="A1544" s="160">
        <v>3</v>
      </c>
      <c r="B1544" s="160" t="s">
        <v>1540</v>
      </c>
      <c r="C1544" s="157" t="s">
        <v>14</v>
      </c>
      <c r="D1544" s="159">
        <v>1</v>
      </c>
      <c r="E1544" s="159">
        <v>555.36</v>
      </c>
      <c r="F1544" s="159">
        <v>555.36</v>
      </c>
      <c r="G1544" s="160" t="s">
        <v>2</v>
      </c>
    </row>
    <row r="1545" spans="1:8" ht="33">
      <c r="A1545" s="160">
        <v>4</v>
      </c>
      <c r="B1545" s="160" t="s">
        <v>931</v>
      </c>
      <c r="C1545" s="157" t="s">
        <v>14</v>
      </c>
      <c r="D1545" s="159">
        <v>1</v>
      </c>
      <c r="E1545" s="159">
        <v>81.64</v>
      </c>
      <c r="F1545" s="159">
        <v>81.64</v>
      </c>
      <c r="G1545" s="160" t="s">
        <v>2</v>
      </c>
      <c r="H1545" s="34" t="s">
        <v>925</v>
      </c>
    </row>
    <row r="1546" spans="1:8" ht="33">
      <c r="A1546" s="160"/>
      <c r="B1546" s="160" t="s">
        <v>933</v>
      </c>
      <c r="C1546" s="157" t="s">
        <v>17</v>
      </c>
      <c r="D1546" s="159">
        <v>9</v>
      </c>
      <c r="E1546" s="159"/>
      <c r="F1546" s="159">
        <v>2802.94</v>
      </c>
      <c r="G1546" s="160"/>
      <c r="H1546" s="34" t="s">
        <v>925</v>
      </c>
    </row>
    <row r="1547" spans="1:8" ht="33">
      <c r="A1547" s="160"/>
      <c r="B1547" s="160" t="s">
        <v>934</v>
      </c>
      <c r="C1547" s="157" t="s">
        <v>17</v>
      </c>
      <c r="D1547" s="159"/>
      <c r="E1547" s="159"/>
      <c r="F1547" s="159">
        <v>311.44</v>
      </c>
      <c r="G1547" s="160"/>
      <c r="H1547" s="34" t="s">
        <v>925</v>
      </c>
    </row>
    <row r="1548" spans="1:8" ht="33">
      <c r="A1548" s="160"/>
      <c r="B1548" s="160"/>
      <c r="C1548" s="157"/>
      <c r="D1548" s="159"/>
      <c r="E1548" s="159"/>
      <c r="F1548" s="159"/>
      <c r="G1548" s="160"/>
      <c r="H1548" s="34" t="s">
        <v>925</v>
      </c>
    </row>
    <row r="1549" spans="1:8" ht="33">
      <c r="A1549" s="160" t="s">
        <v>1831</v>
      </c>
      <c r="B1549" s="160" t="s">
        <v>1635</v>
      </c>
      <c r="C1549" s="157" t="s">
        <v>3</v>
      </c>
      <c r="D1549" s="159">
        <v>10</v>
      </c>
      <c r="E1549" s="159">
        <v>314.57</v>
      </c>
      <c r="F1549" s="159"/>
      <c r="G1549" s="160" t="s">
        <v>2</v>
      </c>
      <c r="H1549" s="34" t="s">
        <v>925</v>
      </c>
    </row>
    <row r="1550" spans="1:8" ht="33">
      <c r="A1550" s="160">
        <v>1</v>
      </c>
      <c r="B1550" s="160" t="s">
        <v>1637</v>
      </c>
      <c r="C1550" s="157" t="s">
        <v>0</v>
      </c>
      <c r="D1550" s="159">
        <v>0.15</v>
      </c>
      <c r="E1550" s="159">
        <v>3304.6</v>
      </c>
      <c r="F1550" s="159">
        <v>495.69</v>
      </c>
      <c r="G1550" s="160" t="s">
        <v>1873</v>
      </c>
      <c r="H1550" s="34" t="s">
        <v>925</v>
      </c>
    </row>
    <row r="1551" spans="1:8" ht="16.5">
      <c r="A1551" s="160">
        <v>2</v>
      </c>
      <c r="B1551" s="160" t="s">
        <v>1638</v>
      </c>
      <c r="C1551" s="157" t="s">
        <v>927</v>
      </c>
      <c r="D1551" s="159">
        <v>4</v>
      </c>
      <c r="E1551" s="159">
        <v>379.5</v>
      </c>
      <c r="F1551" s="159">
        <v>1518</v>
      </c>
      <c r="G1551" s="160" t="s">
        <v>2</v>
      </c>
    </row>
    <row r="1552" spans="1:8" ht="33">
      <c r="A1552" s="160">
        <v>3</v>
      </c>
      <c r="B1552" s="160" t="s">
        <v>4871</v>
      </c>
      <c r="C1552" s="157" t="s">
        <v>927</v>
      </c>
      <c r="D1552" s="159">
        <v>4</v>
      </c>
      <c r="E1552" s="159">
        <v>260.08999999999997</v>
      </c>
      <c r="F1552" s="159">
        <v>1040.3599999999999</v>
      </c>
      <c r="G1552" s="160" t="s">
        <v>5435</v>
      </c>
      <c r="H1552" s="34" t="s">
        <v>925</v>
      </c>
    </row>
    <row r="1553" spans="1:8" ht="33">
      <c r="A1553" s="160">
        <v>4</v>
      </c>
      <c r="B1553" s="160" t="s">
        <v>955</v>
      </c>
      <c r="C1553" s="157" t="s">
        <v>14</v>
      </c>
      <c r="D1553" s="159">
        <v>1</v>
      </c>
      <c r="E1553" s="159">
        <v>91.62</v>
      </c>
      <c r="F1553" s="159">
        <v>91.62</v>
      </c>
      <c r="G1553" s="160" t="s">
        <v>2</v>
      </c>
      <c r="H1553" s="34" t="s">
        <v>925</v>
      </c>
    </row>
    <row r="1554" spans="1:8" ht="33">
      <c r="A1554" s="160"/>
      <c r="B1554" s="160" t="s">
        <v>933</v>
      </c>
      <c r="C1554" s="157" t="s">
        <v>3</v>
      </c>
      <c r="D1554" s="159">
        <v>10</v>
      </c>
      <c r="E1554" s="159"/>
      <c r="F1554" s="159">
        <v>3145.67</v>
      </c>
      <c r="G1554" s="160"/>
      <c r="H1554" s="34" t="s">
        <v>925</v>
      </c>
    </row>
    <row r="1555" spans="1:8" ht="33">
      <c r="A1555" s="160"/>
      <c r="B1555" s="160" t="s">
        <v>934</v>
      </c>
      <c r="C1555" s="157" t="s">
        <v>3</v>
      </c>
      <c r="D1555" s="159"/>
      <c r="E1555" s="159"/>
      <c r="F1555" s="159">
        <v>314.57</v>
      </c>
      <c r="G1555" s="160"/>
      <c r="H1555" s="34" t="s">
        <v>925</v>
      </c>
    </row>
    <row r="1556" spans="1:8" ht="33">
      <c r="A1556" s="160"/>
      <c r="B1556" s="160"/>
      <c r="C1556" s="157"/>
      <c r="D1556" s="159"/>
      <c r="E1556" s="159"/>
      <c r="F1556" s="159"/>
      <c r="G1556" s="160"/>
      <c r="H1556" s="34" t="s">
        <v>925</v>
      </c>
    </row>
    <row r="1557" spans="1:8" ht="33">
      <c r="A1557" s="160" t="s">
        <v>1838</v>
      </c>
      <c r="B1557" s="160" t="s">
        <v>1641</v>
      </c>
      <c r="C1557" s="157" t="s">
        <v>3</v>
      </c>
      <c r="D1557" s="159">
        <v>1</v>
      </c>
      <c r="E1557" s="159">
        <v>473.85</v>
      </c>
      <c r="F1557" s="159"/>
      <c r="G1557" s="160" t="s">
        <v>2</v>
      </c>
      <c r="H1557" s="34" t="s">
        <v>925</v>
      </c>
    </row>
    <row r="1558" spans="1:8" ht="16.5">
      <c r="A1558" s="160">
        <v>1</v>
      </c>
      <c r="B1558" s="160" t="s">
        <v>1643</v>
      </c>
      <c r="C1558" s="157" t="s">
        <v>0</v>
      </c>
      <c r="D1558" s="159">
        <v>0.02</v>
      </c>
      <c r="E1558" s="159">
        <v>4757.01</v>
      </c>
      <c r="F1558" s="159">
        <v>95.14</v>
      </c>
      <c r="G1558" s="160" t="s">
        <v>1859</v>
      </c>
    </row>
    <row r="1559" spans="1:8" ht="33">
      <c r="A1559" s="160">
        <v>2</v>
      </c>
      <c r="B1559" s="160" t="s">
        <v>1638</v>
      </c>
      <c r="C1559" s="157" t="s">
        <v>927</v>
      </c>
      <c r="D1559" s="159">
        <v>0.66</v>
      </c>
      <c r="E1559" s="159">
        <v>379.5</v>
      </c>
      <c r="F1559" s="159">
        <v>250.47</v>
      </c>
      <c r="G1559" s="160" t="s">
        <v>2</v>
      </c>
      <c r="H1559" s="34" t="s">
        <v>925</v>
      </c>
    </row>
    <row r="1560" spans="1:8" ht="33">
      <c r="A1560" s="160">
        <v>3</v>
      </c>
      <c r="B1560" s="160" t="s">
        <v>1644</v>
      </c>
      <c r="C1560" s="157" t="s">
        <v>927</v>
      </c>
      <c r="D1560" s="159">
        <v>0.44</v>
      </c>
      <c r="E1560" s="159">
        <v>260.08999999999997</v>
      </c>
      <c r="F1560" s="159">
        <v>114.44</v>
      </c>
      <c r="G1560" s="160" t="s">
        <v>2</v>
      </c>
      <c r="H1560" s="34" t="s">
        <v>925</v>
      </c>
    </row>
    <row r="1561" spans="1:8" ht="33">
      <c r="A1561" s="160">
        <v>4</v>
      </c>
      <c r="B1561" s="160" t="s">
        <v>955</v>
      </c>
      <c r="C1561" s="157" t="s">
        <v>14</v>
      </c>
      <c r="D1561" s="159">
        <v>1</v>
      </c>
      <c r="E1561" s="159">
        <v>13.8</v>
      </c>
      <c r="F1561" s="159">
        <v>13.8</v>
      </c>
      <c r="G1561" s="160" t="s">
        <v>2</v>
      </c>
      <c r="H1561" s="34" t="s">
        <v>925</v>
      </c>
    </row>
    <row r="1562" spans="1:8" ht="33">
      <c r="A1562" s="160"/>
      <c r="B1562" s="160" t="s">
        <v>933</v>
      </c>
      <c r="C1562" s="157" t="s">
        <v>3</v>
      </c>
      <c r="D1562" s="159">
        <v>1</v>
      </c>
      <c r="E1562" s="159"/>
      <c r="F1562" s="159">
        <v>473.85</v>
      </c>
      <c r="G1562" s="160"/>
      <c r="H1562" s="34" t="s">
        <v>925</v>
      </c>
    </row>
    <row r="1563" spans="1:8" ht="33">
      <c r="A1563" s="160"/>
      <c r="B1563" s="160" t="s">
        <v>934</v>
      </c>
      <c r="C1563" s="157" t="s">
        <v>3</v>
      </c>
      <c r="D1563" s="159"/>
      <c r="E1563" s="159"/>
      <c r="F1563" s="159">
        <v>473.85</v>
      </c>
      <c r="G1563" s="160"/>
      <c r="H1563" s="34" t="s">
        <v>925</v>
      </c>
    </row>
    <row r="1564" spans="1:8" ht="33">
      <c r="A1564" s="160"/>
      <c r="B1564" s="160"/>
      <c r="C1564" s="157"/>
      <c r="D1564" s="159"/>
      <c r="E1564" s="159"/>
      <c r="F1564" s="159"/>
      <c r="G1564" s="160"/>
      <c r="H1564" s="34" t="s">
        <v>925</v>
      </c>
    </row>
    <row r="1565" spans="1:8" ht="28.5">
      <c r="A1565" s="160" t="s">
        <v>1845</v>
      </c>
      <c r="B1565" s="160" t="s">
        <v>1647</v>
      </c>
      <c r="C1565" s="157" t="s">
        <v>3</v>
      </c>
      <c r="D1565" s="159">
        <v>1</v>
      </c>
      <c r="E1565" s="159">
        <v>447.6</v>
      </c>
      <c r="F1565" s="159"/>
      <c r="G1565" s="160" t="s">
        <v>2</v>
      </c>
    </row>
    <row r="1566" spans="1:8" ht="33">
      <c r="A1566" s="160">
        <v>1</v>
      </c>
      <c r="B1566" s="160" t="s">
        <v>1649</v>
      </c>
      <c r="C1566" s="157" t="s">
        <v>0</v>
      </c>
      <c r="D1566" s="159">
        <v>0.02</v>
      </c>
      <c r="E1566" s="159">
        <v>3482.33</v>
      </c>
      <c r="F1566" s="159">
        <v>69.650000000000006</v>
      </c>
      <c r="G1566" s="160" t="s">
        <v>1866</v>
      </c>
      <c r="H1566" s="34" t="s">
        <v>925</v>
      </c>
    </row>
    <row r="1567" spans="1:8" ht="33">
      <c r="A1567" s="160">
        <v>2</v>
      </c>
      <c r="B1567" s="160" t="s">
        <v>1638</v>
      </c>
      <c r="C1567" s="157" t="s">
        <v>927</v>
      </c>
      <c r="D1567" s="159">
        <v>0.66</v>
      </c>
      <c r="E1567" s="159">
        <v>379.5</v>
      </c>
      <c r="F1567" s="159">
        <v>250.47</v>
      </c>
      <c r="G1567" s="160" t="s">
        <v>2</v>
      </c>
      <c r="H1567" s="34" t="s">
        <v>925</v>
      </c>
    </row>
    <row r="1568" spans="1:8" ht="33">
      <c r="A1568" s="160">
        <v>3</v>
      </c>
      <c r="B1568" s="160" t="s">
        <v>1644</v>
      </c>
      <c r="C1568" s="157" t="s">
        <v>927</v>
      </c>
      <c r="D1568" s="159">
        <v>0.44</v>
      </c>
      <c r="E1568" s="159">
        <v>260.08999999999997</v>
      </c>
      <c r="F1568" s="159">
        <v>114.44</v>
      </c>
      <c r="G1568" s="160" t="s">
        <v>2</v>
      </c>
      <c r="H1568" s="34" t="s">
        <v>925</v>
      </c>
    </row>
    <row r="1569" spans="1:8" ht="33">
      <c r="A1569" s="160">
        <v>4</v>
      </c>
      <c r="B1569" s="160" t="s">
        <v>955</v>
      </c>
      <c r="C1569" s="157" t="s">
        <v>14</v>
      </c>
      <c r="D1569" s="159">
        <v>1</v>
      </c>
      <c r="E1569" s="159">
        <v>13.04</v>
      </c>
      <c r="F1569" s="159">
        <v>13.04</v>
      </c>
      <c r="G1569" s="160" t="s">
        <v>2</v>
      </c>
      <c r="H1569" s="34" t="s">
        <v>925</v>
      </c>
    </row>
    <row r="1570" spans="1:8" ht="33">
      <c r="A1570" s="160"/>
      <c r="B1570" s="160" t="s">
        <v>933</v>
      </c>
      <c r="C1570" s="157" t="s">
        <v>3</v>
      </c>
      <c r="D1570" s="159">
        <v>1</v>
      </c>
      <c r="E1570" s="159"/>
      <c r="F1570" s="159">
        <v>447.6</v>
      </c>
      <c r="G1570" s="160"/>
      <c r="H1570" s="34" t="s">
        <v>925</v>
      </c>
    </row>
    <row r="1571" spans="1:8" ht="33">
      <c r="A1571" s="160"/>
      <c r="B1571" s="160" t="s">
        <v>934</v>
      </c>
      <c r="C1571" s="157" t="s">
        <v>3</v>
      </c>
      <c r="D1571" s="159"/>
      <c r="E1571" s="159"/>
      <c r="F1571" s="159">
        <v>447.6</v>
      </c>
      <c r="G1571" s="160"/>
      <c r="H1571" s="34" t="s">
        <v>925</v>
      </c>
    </row>
    <row r="1572" spans="1:8" ht="16.5">
      <c r="A1572" s="160"/>
      <c r="B1572" s="160"/>
      <c r="C1572" s="157"/>
      <c r="D1572" s="159"/>
      <c r="E1572" s="159"/>
      <c r="F1572" s="159"/>
      <c r="G1572" s="160"/>
    </row>
    <row r="1573" spans="1:8" ht="33">
      <c r="A1573" s="160" t="s">
        <v>1852</v>
      </c>
      <c r="B1573" s="160" t="s">
        <v>1651</v>
      </c>
      <c r="C1573" s="157" t="s">
        <v>3</v>
      </c>
      <c r="D1573" s="159">
        <v>200</v>
      </c>
      <c r="E1573" s="159">
        <v>98.13</v>
      </c>
      <c r="F1573" s="159"/>
      <c r="G1573" s="160" t="s">
        <v>4384</v>
      </c>
      <c r="H1573" s="34" t="s">
        <v>925</v>
      </c>
    </row>
    <row r="1574" spans="1:8" ht="33">
      <c r="A1574" s="160">
        <v>1</v>
      </c>
      <c r="B1574" s="160" t="s">
        <v>1637</v>
      </c>
      <c r="C1574" s="157" t="s">
        <v>0</v>
      </c>
      <c r="D1574" s="159">
        <v>1</v>
      </c>
      <c r="E1574" s="159">
        <v>3304.6</v>
      </c>
      <c r="F1574" s="159">
        <v>3304.6</v>
      </c>
      <c r="G1574" s="160" t="s">
        <v>1873</v>
      </c>
      <c r="H1574" s="34" t="s">
        <v>925</v>
      </c>
    </row>
    <row r="1575" spans="1:8" ht="33">
      <c r="A1575" s="160">
        <v>2</v>
      </c>
      <c r="B1575" s="160" t="s">
        <v>1653</v>
      </c>
      <c r="C1575" s="157" t="s">
        <v>14</v>
      </c>
      <c r="D1575" s="159">
        <v>1</v>
      </c>
      <c r="E1575" s="159">
        <v>5553.61</v>
      </c>
      <c r="F1575" s="159">
        <v>5553.61</v>
      </c>
      <c r="G1575" s="160" t="s">
        <v>2</v>
      </c>
      <c r="H1575" s="34" t="s">
        <v>925</v>
      </c>
    </row>
    <row r="1576" spans="1:8" ht="33">
      <c r="A1576" s="160">
        <v>3</v>
      </c>
      <c r="B1576" s="160" t="s">
        <v>1638</v>
      </c>
      <c r="C1576" s="157" t="s">
        <v>927</v>
      </c>
      <c r="D1576" s="159">
        <v>12</v>
      </c>
      <c r="E1576" s="159">
        <v>379.5</v>
      </c>
      <c r="F1576" s="159">
        <v>4554</v>
      </c>
      <c r="G1576" s="160" t="s">
        <v>2</v>
      </c>
      <c r="H1576" s="34" t="s">
        <v>925</v>
      </c>
    </row>
    <row r="1577" spans="1:8" ht="33">
      <c r="A1577" s="160">
        <v>4</v>
      </c>
      <c r="B1577" s="160" t="s">
        <v>1644</v>
      </c>
      <c r="C1577" s="157" t="s">
        <v>927</v>
      </c>
      <c r="D1577" s="159">
        <v>16</v>
      </c>
      <c r="E1577" s="159">
        <v>260.08999999999997</v>
      </c>
      <c r="F1577" s="159">
        <v>4161.4399999999996</v>
      </c>
      <c r="G1577" s="160" t="s">
        <v>2</v>
      </c>
      <c r="H1577" s="34" t="s">
        <v>925</v>
      </c>
    </row>
    <row r="1578" spans="1:8" ht="33">
      <c r="A1578" s="160">
        <v>5</v>
      </c>
      <c r="B1578" s="160" t="s">
        <v>1655</v>
      </c>
      <c r="C1578" s="157" t="s">
        <v>3</v>
      </c>
      <c r="D1578" s="159">
        <v>200</v>
      </c>
      <c r="E1578" s="159">
        <v>7.4</v>
      </c>
      <c r="F1578" s="159">
        <v>1480</v>
      </c>
      <c r="G1578" s="160" t="s">
        <v>2</v>
      </c>
      <c r="H1578" s="34" t="s">
        <v>925</v>
      </c>
    </row>
    <row r="1579" spans="1:8" ht="16.5">
      <c r="A1579" s="160">
        <v>6</v>
      </c>
      <c r="B1579" s="160" t="s">
        <v>931</v>
      </c>
      <c r="C1579" s="157" t="s">
        <v>14</v>
      </c>
      <c r="D1579" s="159">
        <v>1</v>
      </c>
      <c r="E1579" s="159">
        <v>571.61</v>
      </c>
      <c r="F1579" s="159">
        <v>571.61</v>
      </c>
      <c r="G1579" s="160" t="s">
        <v>2</v>
      </c>
    </row>
    <row r="1580" spans="1:8" ht="33">
      <c r="A1580" s="160"/>
      <c r="B1580" s="160" t="s">
        <v>933</v>
      </c>
      <c r="C1580" s="157" t="s">
        <v>3</v>
      </c>
      <c r="D1580" s="159">
        <v>200</v>
      </c>
      <c r="E1580" s="159"/>
      <c r="F1580" s="159">
        <v>19625.259999999998</v>
      </c>
      <c r="G1580" s="160"/>
      <c r="H1580" s="34" t="s">
        <v>925</v>
      </c>
    </row>
    <row r="1581" spans="1:8" ht="33">
      <c r="A1581" s="160"/>
      <c r="B1581" s="160" t="s">
        <v>934</v>
      </c>
      <c r="C1581" s="157" t="s">
        <v>3</v>
      </c>
      <c r="D1581" s="159"/>
      <c r="E1581" s="159"/>
      <c r="F1581" s="159">
        <v>98.13</v>
      </c>
      <c r="G1581" s="160"/>
      <c r="H1581" s="34" t="s">
        <v>925</v>
      </c>
    </row>
    <row r="1582" spans="1:8" ht="33">
      <c r="A1582" s="160"/>
      <c r="B1582" s="160"/>
      <c r="C1582" s="157"/>
      <c r="D1582" s="159"/>
      <c r="E1582" s="159"/>
      <c r="F1582" s="159"/>
      <c r="G1582" s="160"/>
      <c r="H1582" s="34" t="s">
        <v>925</v>
      </c>
    </row>
    <row r="1583" spans="1:8" ht="33">
      <c r="A1583" s="160" t="s">
        <v>1859</v>
      </c>
      <c r="B1583" s="160" t="s">
        <v>1643</v>
      </c>
      <c r="C1583" s="157" t="s">
        <v>0</v>
      </c>
      <c r="D1583" s="159">
        <v>1</v>
      </c>
      <c r="E1583" s="159">
        <v>4757.01</v>
      </c>
      <c r="F1583" s="159"/>
      <c r="G1583" s="160" t="s">
        <v>2</v>
      </c>
      <c r="H1583" s="34" t="s">
        <v>925</v>
      </c>
    </row>
    <row r="1584" spans="1:8" ht="33">
      <c r="A1584" s="160">
        <v>1</v>
      </c>
      <c r="B1584" s="160" t="s">
        <v>1294</v>
      </c>
      <c r="C1584" s="157" t="s">
        <v>1295</v>
      </c>
      <c r="D1584" s="159">
        <v>20</v>
      </c>
      <c r="E1584" s="159">
        <v>154.58000000000001</v>
      </c>
      <c r="F1584" s="159">
        <v>3091.6</v>
      </c>
      <c r="G1584" s="160" t="s">
        <v>2</v>
      </c>
      <c r="H1584" s="34" t="s">
        <v>925</v>
      </c>
    </row>
    <row r="1585" spans="1:8" ht="33">
      <c r="A1585" s="160">
        <v>2</v>
      </c>
      <c r="B1585" s="160" t="s">
        <v>1659</v>
      </c>
      <c r="C1585" s="157" t="s">
        <v>1121</v>
      </c>
      <c r="D1585" s="159">
        <v>0.67</v>
      </c>
      <c r="E1585" s="159">
        <v>1036.67</v>
      </c>
      <c r="F1585" s="159">
        <v>694.57</v>
      </c>
      <c r="G1585" s="160" t="s">
        <v>2</v>
      </c>
      <c r="H1585" s="34" t="s">
        <v>925</v>
      </c>
    </row>
    <row r="1586" spans="1:8" ht="16.5">
      <c r="A1586" s="160">
        <v>3</v>
      </c>
      <c r="B1586" s="160" t="s">
        <v>4871</v>
      </c>
      <c r="C1586" s="157" t="s">
        <v>927</v>
      </c>
      <c r="D1586" s="159">
        <v>3.2</v>
      </c>
      <c r="E1586" s="159">
        <v>260.08999999999997</v>
      </c>
      <c r="F1586" s="159">
        <v>832.29</v>
      </c>
      <c r="G1586" s="160" t="s">
        <v>2</v>
      </c>
    </row>
    <row r="1587" spans="1:8" ht="33">
      <c r="A1587" s="160">
        <v>4</v>
      </c>
      <c r="B1587" s="160" t="s">
        <v>955</v>
      </c>
      <c r="C1587" s="157" t="s">
        <v>14</v>
      </c>
      <c r="D1587" s="159">
        <v>1</v>
      </c>
      <c r="E1587" s="159">
        <v>138.55000000000001</v>
      </c>
      <c r="F1587" s="159">
        <v>138.55000000000001</v>
      </c>
      <c r="G1587" s="160" t="s">
        <v>2</v>
      </c>
      <c r="H1587" s="34" t="s">
        <v>925</v>
      </c>
    </row>
    <row r="1588" spans="1:8" ht="33">
      <c r="A1588" s="160"/>
      <c r="B1588" s="160" t="s">
        <v>933</v>
      </c>
      <c r="C1588" s="157" t="s">
        <v>0</v>
      </c>
      <c r="D1588" s="159">
        <v>1</v>
      </c>
      <c r="E1588" s="159"/>
      <c r="F1588" s="159">
        <v>4757.01</v>
      </c>
      <c r="G1588" s="160"/>
      <c r="H1588" s="34" t="s">
        <v>925</v>
      </c>
    </row>
    <row r="1589" spans="1:8" ht="33">
      <c r="A1589" s="160"/>
      <c r="B1589" s="160" t="s">
        <v>934</v>
      </c>
      <c r="C1589" s="157" t="s">
        <v>0</v>
      </c>
      <c r="D1589" s="159"/>
      <c r="E1589" s="159"/>
      <c r="F1589" s="159">
        <v>4757.01</v>
      </c>
      <c r="G1589" s="160"/>
      <c r="H1589" s="34" t="s">
        <v>925</v>
      </c>
    </row>
    <row r="1590" spans="1:8" ht="33">
      <c r="A1590" s="160"/>
      <c r="B1590" s="160"/>
      <c r="C1590" s="157"/>
      <c r="D1590" s="159"/>
      <c r="E1590" s="159"/>
      <c r="F1590" s="159"/>
      <c r="G1590" s="160"/>
      <c r="H1590" s="34" t="s">
        <v>925</v>
      </c>
    </row>
    <row r="1591" spans="1:8" ht="33">
      <c r="A1591" s="160" t="s">
        <v>1866</v>
      </c>
      <c r="B1591" s="160" t="s">
        <v>1649</v>
      </c>
      <c r="C1591" s="157" t="s">
        <v>0</v>
      </c>
      <c r="D1591" s="159">
        <v>1</v>
      </c>
      <c r="E1591" s="159">
        <v>3482.33</v>
      </c>
      <c r="F1591" s="159"/>
      <c r="G1591" s="160" t="s">
        <v>2</v>
      </c>
      <c r="H1591" s="34" t="s">
        <v>925</v>
      </c>
    </row>
    <row r="1592" spans="1:8" ht="33">
      <c r="A1592" s="160">
        <v>1</v>
      </c>
      <c r="B1592" s="160" t="s">
        <v>1294</v>
      </c>
      <c r="C1592" s="157" t="s">
        <v>1295</v>
      </c>
      <c r="D1592" s="159">
        <v>13</v>
      </c>
      <c r="E1592" s="159">
        <v>154.58000000000001</v>
      </c>
      <c r="F1592" s="159">
        <v>2009.54</v>
      </c>
      <c r="G1592" s="160" t="s">
        <v>2</v>
      </c>
      <c r="H1592" s="34" t="s">
        <v>925</v>
      </c>
    </row>
    <row r="1593" spans="1:8" ht="16.5">
      <c r="A1593" s="160">
        <v>2</v>
      </c>
      <c r="B1593" s="160" t="s">
        <v>1299</v>
      </c>
      <c r="C1593" s="157" t="s">
        <v>1121</v>
      </c>
      <c r="D1593" s="159">
        <v>0.8</v>
      </c>
      <c r="E1593" s="159">
        <v>673.84</v>
      </c>
      <c r="F1593" s="159">
        <v>539.07000000000005</v>
      </c>
      <c r="G1593" s="160" t="s">
        <v>2</v>
      </c>
    </row>
    <row r="1594" spans="1:8" ht="33">
      <c r="A1594" s="160">
        <v>3</v>
      </c>
      <c r="B1594" s="160" t="s">
        <v>4871</v>
      </c>
      <c r="C1594" s="157" t="s">
        <v>927</v>
      </c>
      <c r="D1594" s="159">
        <v>3.2</v>
      </c>
      <c r="E1594" s="159">
        <v>260.08999999999997</v>
      </c>
      <c r="F1594" s="159">
        <v>832.29</v>
      </c>
      <c r="G1594" s="160" t="s">
        <v>5435</v>
      </c>
      <c r="H1594" s="34" t="s">
        <v>925</v>
      </c>
    </row>
    <row r="1595" spans="1:8" ht="33">
      <c r="A1595" s="160">
        <v>4</v>
      </c>
      <c r="B1595" s="160" t="s">
        <v>955</v>
      </c>
      <c r="C1595" s="157" t="s">
        <v>14</v>
      </c>
      <c r="D1595" s="159">
        <v>1</v>
      </c>
      <c r="E1595" s="159">
        <v>101.43</v>
      </c>
      <c r="F1595" s="159">
        <v>101.43</v>
      </c>
      <c r="G1595" s="160" t="s">
        <v>2</v>
      </c>
      <c r="H1595" s="34" t="s">
        <v>925</v>
      </c>
    </row>
    <row r="1596" spans="1:8" ht="33">
      <c r="A1596" s="160"/>
      <c r="B1596" s="160" t="s">
        <v>933</v>
      </c>
      <c r="C1596" s="157" t="s">
        <v>0</v>
      </c>
      <c r="D1596" s="159">
        <v>1</v>
      </c>
      <c r="E1596" s="159"/>
      <c r="F1596" s="159">
        <v>3482.33</v>
      </c>
      <c r="G1596" s="160"/>
      <c r="H1596" s="34" t="s">
        <v>925</v>
      </c>
    </row>
    <row r="1597" spans="1:8" ht="33">
      <c r="A1597" s="160"/>
      <c r="B1597" s="160" t="s">
        <v>934</v>
      </c>
      <c r="C1597" s="157" t="s">
        <v>0</v>
      </c>
      <c r="D1597" s="159"/>
      <c r="E1597" s="159"/>
      <c r="F1597" s="159">
        <v>3482.33</v>
      </c>
      <c r="G1597" s="160"/>
      <c r="H1597" s="34" t="s">
        <v>925</v>
      </c>
    </row>
    <row r="1598" spans="1:8" ht="33">
      <c r="A1598" s="160"/>
      <c r="B1598" s="160"/>
      <c r="C1598" s="157"/>
      <c r="D1598" s="159"/>
      <c r="E1598" s="159"/>
      <c r="F1598" s="159"/>
      <c r="G1598" s="160"/>
      <c r="H1598" s="34" t="s">
        <v>925</v>
      </c>
    </row>
    <row r="1599" spans="1:8" ht="33">
      <c r="A1599" s="160" t="s">
        <v>1873</v>
      </c>
      <c r="B1599" s="160" t="s">
        <v>1637</v>
      </c>
      <c r="C1599" s="157" t="s">
        <v>0</v>
      </c>
      <c r="D1599" s="159">
        <v>1</v>
      </c>
      <c r="E1599" s="159">
        <v>3304.6</v>
      </c>
      <c r="F1599" s="159"/>
      <c r="G1599" s="160" t="s">
        <v>2</v>
      </c>
      <c r="H1599" s="34" t="s">
        <v>925</v>
      </c>
    </row>
    <row r="1600" spans="1:8" ht="28.5">
      <c r="A1600" s="160">
        <v>1</v>
      </c>
      <c r="B1600" s="160" t="s">
        <v>1294</v>
      </c>
      <c r="C1600" s="157" t="s">
        <v>1295</v>
      </c>
      <c r="D1600" s="159">
        <v>9</v>
      </c>
      <c r="E1600" s="159">
        <v>154.58000000000001</v>
      </c>
      <c r="F1600" s="159">
        <v>1391.22</v>
      </c>
      <c r="G1600" s="160" t="s">
        <v>2</v>
      </c>
    </row>
    <row r="1601" spans="1:8" ht="33">
      <c r="A1601" s="160">
        <v>2</v>
      </c>
      <c r="B1601" s="160" t="s">
        <v>1659</v>
      </c>
      <c r="C1601" s="157" t="s">
        <v>1121</v>
      </c>
      <c r="D1601" s="159">
        <v>0.95</v>
      </c>
      <c r="E1601" s="159">
        <v>1036.67</v>
      </c>
      <c r="F1601" s="159">
        <v>984.84</v>
      </c>
      <c r="G1601" s="160" t="s">
        <v>2</v>
      </c>
      <c r="H1601" s="34" t="s">
        <v>925</v>
      </c>
    </row>
    <row r="1602" spans="1:8" ht="33">
      <c r="A1602" s="160">
        <v>3</v>
      </c>
      <c r="B1602" s="160" t="s">
        <v>4871</v>
      </c>
      <c r="C1602" s="157" t="s">
        <v>927</v>
      </c>
      <c r="D1602" s="159">
        <v>3.2</v>
      </c>
      <c r="E1602" s="159">
        <v>260.08999999999997</v>
      </c>
      <c r="F1602" s="159">
        <v>832.29</v>
      </c>
      <c r="G1602" s="160" t="s">
        <v>2</v>
      </c>
      <c r="H1602" s="34" t="s">
        <v>925</v>
      </c>
    </row>
    <row r="1603" spans="1:8" ht="33">
      <c r="A1603" s="160">
        <v>4</v>
      </c>
      <c r="B1603" s="160" t="s">
        <v>955</v>
      </c>
      <c r="C1603" s="157" t="s">
        <v>14</v>
      </c>
      <c r="D1603" s="159">
        <v>1</v>
      </c>
      <c r="E1603" s="159">
        <v>96.25</v>
      </c>
      <c r="F1603" s="159">
        <v>96.25</v>
      </c>
      <c r="G1603" s="160" t="s">
        <v>2</v>
      </c>
      <c r="H1603" s="34" t="s">
        <v>925</v>
      </c>
    </row>
    <row r="1604" spans="1:8" ht="33">
      <c r="A1604" s="160"/>
      <c r="B1604" s="160" t="s">
        <v>933</v>
      </c>
      <c r="C1604" s="157" t="s">
        <v>0</v>
      </c>
      <c r="D1604" s="159">
        <v>1</v>
      </c>
      <c r="E1604" s="159"/>
      <c r="F1604" s="159">
        <v>3304.6</v>
      </c>
      <c r="G1604" s="160"/>
      <c r="H1604" s="34" t="s">
        <v>925</v>
      </c>
    </row>
    <row r="1605" spans="1:8" ht="33">
      <c r="A1605" s="160"/>
      <c r="B1605" s="160" t="s">
        <v>934</v>
      </c>
      <c r="C1605" s="157" t="s">
        <v>0</v>
      </c>
      <c r="D1605" s="159"/>
      <c r="E1605" s="159"/>
      <c r="F1605" s="159">
        <v>3304.6</v>
      </c>
      <c r="G1605" s="160"/>
      <c r="H1605" s="34" t="s">
        <v>925</v>
      </c>
    </row>
    <row r="1606" spans="1:8" ht="33">
      <c r="A1606" s="160"/>
      <c r="B1606" s="160"/>
      <c r="C1606" s="157"/>
      <c r="D1606" s="159"/>
      <c r="E1606" s="159"/>
      <c r="F1606" s="159"/>
      <c r="G1606" s="160"/>
      <c r="H1606" s="34" t="s">
        <v>925</v>
      </c>
    </row>
    <row r="1607" spans="1:8" ht="28.5">
      <c r="A1607" s="160" t="s">
        <v>1881</v>
      </c>
      <c r="B1607" s="160" t="s">
        <v>1666</v>
      </c>
      <c r="C1607" s="157" t="s">
        <v>3</v>
      </c>
      <c r="D1607" s="159">
        <v>1</v>
      </c>
      <c r="E1607" s="159">
        <v>1132.71</v>
      </c>
      <c r="F1607" s="159"/>
      <c r="G1607" s="160" t="s">
        <v>2</v>
      </c>
    </row>
    <row r="1608" spans="1:8" ht="33">
      <c r="A1608" s="160">
        <v>1</v>
      </c>
      <c r="B1608" s="160" t="s">
        <v>464</v>
      </c>
      <c r="C1608" s="157" t="s">
        <v>0</v>
      </c>
      <c r="D1608" s="159">
        <v>0.04</v>
      </c>
      <c r="E1608" s="159">
        <v>3092.05</v>
      </c>
      <c r="F1608" s="159">
        <v>123.68</v>
      </c>
      <c r="G1608" s="160" t="s">
        <v>1332</v>
      </c>
      <c r="H1608" s="34" t="s">
        <v>925</v>
      </c>
    </row>
    <row r="1609" spans="1:8" ht="33">
      <c r="A1609" s="160">
        <v>2</v>
      </c>
      <c r="B1609" s="160" t="s">
        <v>1668</v>
      </c>
      <c r="C1609" s="157" t="s">
        <v>1121</v>
      </c>
      <c r="D1609" s="159">
        <v>0.2</v>
      </c>
      <c r="E1609" s="159">
        <v>601.64</v>
      </c>
      <c r="F1609" s="159">
        <v>120.33</v>
      </c>
      <c r="G1609" s="160" t="s">
        <v>2</v>
      </c>
      <c r="H1609" s="34" t="s">
        <v>925</v>
      </c>
    </row>
    <row r="1610" spans="1:8" ht="33">
      <c r="A1610" s="160">
        <v>3</v>
      </c>
      <c r="B1610" s="160" t="s">
        <v>1670</v>
      </c>
      <c r="C1610" s="157" t="s">
        <v>927</v>
      </c>
      <c r="D1610" s="159">
        <v>0.64</v>
      </c>
      <c r="E1610" s="159">
        <v>379.5</v>
      </c>
      <c r="F1610" s="159">
        <v>242.88</v>
      </c>
      <c r="G1610" s="160" t="s">
        <v>2</v>
      </c>
      <c r="H1610" s="34" t="s">
        <v>925</v>
      </c>
    </row>
    <row r="1611" spans="1:8" ht="33">
      <c r="A1611" s="160">
        <v>4</v>
      </c>
      <c r="B1611" s="160" t="s">
        <v>4871</v>
      </c>
      <c r="C1611" s="157" t="s">
        <v>927</v>
      </c>
      <c r="D1611" s="159">
        <v>1.04</v>
      </c>
      <c r="E1611" s="159">
        <v>260.08999999999997</v>
      </c>
      <c r="F1611" s="159">
        <v>270.49</v>
      </c>
      <c r="G1611" s="160" t="s">
        <v>5435</v>
      </c>
      <c r="H1611" s="34" t="s">
        <v>925</v>
      </c>
    </row>
    <row r="1612" spans="1:8" ht="33">
      <c r="A1612" s="160">
        <v>5</v>
      </c>
      <c r="B1612" s="160" t="s">
        <v>1635</v>
      </c>
      <c r="C1612" s="157" t="s">
        <v>3</v>
      </c>
      <c r="D1612" s="159">
        <v>1</v>
      </c>
      <c r="E1612" s="159">
        <v>314.57</v>
      </c>
      <c r="F1612" s="159">
        <v>314.57</v>
      </c>
      <c r="G1612" s="160" t="s">
        <v>1831</v>
      </c>
      <c r="H1612" s="34" t="s">
        <v>925</v>
      </c>
    </row>
    <row r="1613" spans="1:8" ht="33">
      <c r="A1613" s="160">
        <v>6</v>
      </c>
      <c r="B1613" s="160" t="s">
        <v>1672</v>
      </c>
      <c r="C1613" s="157" t="s">
        <v>14</v>
      </c>
      <c r="D1613" s="159">
        <v>1</v>
      </c>
      <c r="E1613" s="159">
        <v>27.77</v>
      </c>
      <c r="F1613" s="159">
        <v>27.77</v>
      </c>
      <c r="G1613" s="160" t="s">
        <v>2</v>
      </c>
      <c r="H1613" s="34" t="s">
        <v>925</v>
      </c>
    </row>
    <row r="1614" spans="1:8" ht="16.5">
      <c r="A1614" s="160">
        <v>7</v>
      </c>
      <c r="B1614" s="160" t="s">
        <v>931</v>
      </c>
      <c r="C1614" s="157" t="s">
        <v>14</v>
      </c>
      <c r="D1614" s="159">
        <v>1</v>
      </c>
      <c r="E1614" s="159">
        <v>32.99</v>
      </c>
      <c r="F1614" s="159">
        <v>32.99</v>
      </c>
      <c r="G1614" s="160" t="s">
        <v>2</v>
      </c>
    </row>
    <row r="1615" spans="1:8" ht="33">
      <c r="A1615" s="160"/>
      <c r="B1615" s="160" t="s">
        <v>933</v>
      </c>
      <c r="C1615" s="157" t="s">
        <v>3</v>
      </c>
      <c r="D1615" s="159">
        <v>1</v>
      </c>
      <c r="E1615" s="159"/>
      <c r="F1615" s="159">
        <v>1132.71</v>
      </c>
      <c r="G1615" s="160"/>
      <c r="H1615" s="34" t="s">
        <v>925</v>
      </c>
    </row>
    <row r="1616" spans="1:8" ht="33">
      <c r="A1616" s="160"/>
      <c r="B1616" s="160" t="s">
        <v>934</v>
      </c>
      <c r="C1616" s="157" t="s">
        <v>3</v>
      </c>
      <c r="D1616" s="159"/>
      <c r="E1616" s="159"/>
      <c r="F1616" s="159">
        <v>1132.71</v>
      </c>
      <c r="G1616" s="160"/>
      <c r="H1616" s="34" t="s">
        <v>925</v>
      </c>
    </row>
    <row r="1617" spans="1:8" ht="33">
      <c r="A1617" s="160"/>
      <c r="B1617" s="160"/>
      <c r="C1617" s="157"/>
      <c r="D1617" s="159"/>
      <c r="E1617" s="159"/>
      <c r="F1617" s="159"/>
      <c r="G1617" s="160"/>
      <c r="H1617" s="34" t="s">
        <v>925</v>
      </c>
    </row>
    <row r="1618" spans="1:8" ht="33">
      <c r="A1618" s="160" t="s">
        <v>1888</v>
      </c>
      <c r="B1618" s="160" t="s">
        <v>1675</v>
      </c>
      <c r="C1618" s="157" t="s">
        <v>3</v>
      </c>
      <c r="D1618" s="159">
        <v>1</v>
      </c>
      <c r="E1618" s="159">
        <v>1303.03</v>
      </c>
      <c r="F1618" s="159"/>
      <c r="G1618" s="160" t="s">
        <v>2</v>
      </c>
      <c r="H1618" s="34" t="s">
        <v>925</v>
      </c>
    </row>
    <row r="1619" spans="1:8" ht="33">
      <c r="A1619" s="160">
        <v>1</v>
      </c>
      <c r="B1619" s="160" t="s">
        <v>464</v>
      </c>
      <c r="C1619" s="157" t="s">
        <v>0</v>
      </c>
      <c r="D1619" s="159">
        <v>0.05</v>
      </c>
      <c r="E1619" s="159">
        <v>3092.05</v>
      </c>
      <c r="F1619" s="159">
        <v>154.6</v>
      </c>
      <c r="G1619" s="160" t="s">
        <v>1332</v>
      </c>
      <c r="H1619" s="34" t="s">
        <v>925</v>
      </c>
    </row>
    <row r="1620" spans="1:8" ht="33">
      <c r="A1620" s="160">
        <v>2</v>
      </c>
      <c r="B1620" s="160" t="s">
        <v>1677</v>
      </c>
      <c r="C1620" s="157" t="s">
        <v>1121</v>
      </c>
      <c r="D1620" s="159">
        <v>0.25</v>
      </c>
      <c r="E1620" s="159">
        <v>647.91999999999996</v>
      </c>
      <c r="F1620" s="159">
        <v>161.97999999999999</v>
      </c>
      <c r="G1620" s="160" t="s">
        <v>2</v>
      </c>
      <c r="H1620" s="34" t="s">
        <v>925</v>
      </c>
    </row>
    <row r="1621" spans="1:8" ht="16.5">
      <c r="A1621" s="160">
        <v>3</v>
      </c>
      <c r="B1621" s="160" t="s">
        <v>1670</v>
      </c>
      <c r="C1621" s="157" t="s">
        <v>927</v>
      </c>
      <c r="D1621" s="159">
        <v>0.72</v>
      </c>
      <c r="E1621" s="159">
        <v>379.5</v>
      </c>
      <c r="F1621" s="159">
        <v>273.24</v>
      </c>
      <c r="G1621" s="160" t="s">
        <v>2</v>
      </c>
    </row>
    <row r="1622" spans="1:8" ht="33">
      <c r="A1622" s="160">
        <v>4</v>
      </c>
      <c r="B1622" s="160" t="s">
        <v>4871</v>
      </c>
      <c r="C1622" s="157" t="s">
        <v>927</v>
      </c>
      <c r="D1622" s="159">
        <v>1.28</v>
      </c>
      <c r="E1622" s="159">
        <v>260.08999999999997</v>
      </c>
      <c r="F1622" s="159">
        <v>332.92</v>
      </c>
      <c r="G1622" s="160" t="s">
        <v>5435</v>
      </c>
      <c r="H1622" s="34" t="s">
        <v>925</v>
      </c>
    </row>
    <row r="1623" spans="1:8" ht="33">
      <c r="A1623" s="160">
        <v>5</v>
      </c>
      <c r="B1623" s="160" t="s">
        <v>1672</v>
      </c>
      <c r="C1623" s="157" t="s">
        <v>14</v>
      </c>
      <c r="D1623" s="159">
        <v>1</v>
      </c>
      <c r="E1623" s="159">
        <v>27.77</v>
      </c>
      <c r="F1623" s="159">
        <v>27.77</v>
      </c>
      <c r="G1623" s="160" t="s">
        <v>2</v>
      </c>
      <c r="H1623" s="34" t="s">
        <v>925</v>
      </c>
    </row>
    <row r="1624" spans="1:8" ht="33">
      <c r="A1624" s="160">
        <v>6</v>
      </c>
      <c r="B1624" s="160" t="s">
        <v>1635</v>
      </c>
      <c r="C1624" s="157" t="s">
        <v>3</v>
      </c>
      <c r="D1624" s="159">
        <v>1</v>
      </c>
      <c r="E1624" s="159">
        <v>314.57</v>
      </c>
      <c r="F1624" s="159">
        <v>314.57</v>
      </c>
      <c r="G1624" s="160" t="s">
        <v>1831</v>
      </c>
      <c r="H1624" s="34" t="s">
        <v>925</v>
      </c>
    </row>
    <row r="1625" spans="1:8" ht="33">
      <c r="A1625" s="160">
        <v>7</v>
      </c>
      <c r="B1625" s="160" t="s">
        <v>931</v>
      </c>
      <c r="C1625" s="157" t="s">
        <v>14</v>
      </c>
      <c r="D1625" s="159">
        <v>1</v>
      </c>
      <c r="E1625" s="159">
        <v>37.950000000000003</v>
      </c>
      <c r="F1625" s="159">
        <v>37.950000000000003</v>
      </c>
      <c r="G1625" s="160" t="s">
        <v>2</v>
      </c>
      <c r="H1625" s="34" t="s">
        <v>925</v>
      </c>
    </row>
    <row r="1626" spans="1:8" ht="33">
      <c r="A1626" s="160"/>
      <c r="B1626" s="160" t="s">
        <v>933</v>
      </c>
      <c r="C1626" s="157" t="s">
        <v>3</v>
      </c>
      <c r="D1626" s="159">
        <v>1</v>
      </c>
      <c r="E1626" s="159"/>
      <c r="F1626" s="159">
        <v>1303.03</v>
      </c>
      <c r="G1626" s="160"/>
      <c r="H1626" s="34" t="s">
        <v>925</v>
      </c>
    </row>
    <row r="1627" spans="1:8" ht="33">
      <c r="A1627" s="160"/>
      <c r="B1627" s="160" t="s">
        <v>934</v>
      </c>
      <c r="C1627" s="157" t="s">
        <v>3</v>
      </c>
      <c r="D1627" s="159"/>
      <c r="E1627" s="159"/>
      <c r="F1627" s="159">
        <v>1303.03</v>
      </c>
      <c r="G1627" s="160"/>
      <c r="H1627" s="34" t="s">
        <v>925</v>
      </c>
    </row>
    <row r="1628" spans="1:8" ht="16.5">
      <c r="A1628" s="160"/>
      <c r="B1628" s="160"/>
      <c r="C1628" s="157"/>
      <c r="D1628" s="159"/>
      <c r="E1628" s="159"/>
      <c r="F1628" s="159"/>
      <c r="G1628" s="160"/>
    </row>
    <row r="1629" spans="1:8" ht="33">
      <c r="A1629" s="160" t="s">
        <v>1895</v>
      </c>
      <c r="B1629" s="160" t="s">
        <v>1680</v>
      </c>
      <c r="C1629" s="157" t="s">
        <v>3</v>
      </c>
      <c r="D1629" s="159">
        <v>1</v>
      </c>
      <c r="E1629" s="159">
        <v>1456.68</v>
      </c>
      <c r="F1629" s="159"/>
      <c r="G1629" s="160" t="s">
        <v>2</v>
      </c>
      <c r="H1629" s="34" t="s">
        <v>925</v>
      </c>
    </row>
    <row r="1630" spans="1:8" ht="33">
      <c r="A1630" s="160">
        <v>1</v>
      </c>
      <c r="B1630" s="160" t="s">
        <v>464</v>
      </c>
      <c r="C1630" s="157" t="s">
        <v>0</v>
      </c>
      <c r="D1630" s="159">
        <v>0.06</v>
      </c>
      <c r="E1630" s="159">
        <v>3092.05</v>
      </c>
      <c r="F1630" s="159">
        <v>185.52</v>
      </c>
      <c r="G1630" s="160" t="s">
        <v>1332</v>
      </c>
      <c r="H1630" s="34" t="s">
        <v>925</v>
      </c>
    </row>
    <row r="1631" spans="1:8" ht="33">
      <c r="A1631" s="160">
        <v>2</v>
      </c>
      <c r="B1631" s="160" t="s">
        <v>1682</v>
      </c>
      <c r="C1631" s="157" t="s">
        <v>1121</v>
      </c>
      <c r="D1631" s="159">
        <v>0.3</v>
      </c>
      <c r="E1631" s="159">
        <v>694.2</v>
      </c>
      <c r="F1631" s="159">
        <v>208.26</v>
      </c>
      <c r="G1631" s="160" t="s">
        <v>2</v>
      </c>
      <c r="H1631" s="34" t="s">
        <v>925</v>
      </c>
    </row>
    <row r="1632" spans="1:8" ht="33">
      <c r="A1632" s="160">
        <v>3</v>
      </c>
      <c r="B1632" s="160" t="s">
        <v>1670</v>
      </c>
      <c r="C1632" s="157" t="s">
        <v>927</v>
      </c>
      <c r="D1632" s="159">
        <v>0.8</v>
      </c>
      <c r="E1632" s="159">
        <v>379.5</v>
      </c>
      <c r="F1632" s="159">
        <v>303.60000000000002</v>
      </c>
      <c r="G1632" s="160" t="s">
        <v>2</v>
      </c>
      <c r="H1632" s="34" t="s">
        <v>925</v>
      </c>
    </row>
    <row r="1633" spans="1:8" ht="33">
      <c r="A1633" s="160">
        <v>4</v>
      </c>
      <c r="B1633" s="160" t="s">
        <v>4871</v>
      </c>
      <c r="C1633" s="157" t="s">
        <v>927</v>
      </c>
      <c r="D1633" s="159">
        <v>1.44</v>
      </c>
      <c r="E1633" s="159">
        <v>260.08999999999997</v>
      </c>
      <c r="F1633" s="159">
        <v>374.53</v>
      </c>
      <c r="G1633" s="160" t="s">
        <v>5435</v>
      </c>
      <c r="H1633" s="34" t="s">
        <v>925</v>
      </c>
    </row>
    <row r="1634" spans="1:8" ht="33">
      <c r="A1634" s="160">
        <v>5</v>
      </c>
      <c r="B1634" s="160" t="s">
        <v>1635</v>
      </c>
      <c r="C1634" s="157" t="s">
        <v>3</v>
      </c>
      <c r="D1634" s="159">
        <v>1</v>
      </c>
      <c r="E1634" s="159">
        <v>314.57</v>
      </c>
      <c r="F1634" s="159">
        <v>314.57</v>
      </c>
      <c r="G1634" s="160" t="s">
        <v>1831</v>
      </c>
      <c r="H1634" s="34" t="s">
        <v>925</v>
      </c>
    </row>
    <row r="1635" spans="1:8" ht="28.5">
      <c r="A1635" s="160">
        <v>6</v>
      </c>
      <c r="B1635" s="160" t="s">
        <v>1672</v>
      </c>
      <c r="C1635" s="157" t="s">
        <v>14</v>
      </c>
      <c r="D1635" s="159">
        <v>1</v>
      </c>
      <c r="E1635" s="159">
        <v>27.77</v>
      </c>
      <c r="F1635" s="159">
        <v>27.77</v>
      </c>
      <c r="G1635" s="160" t="s">
        <v>2</v>
      </c>
    </row>
    <row r="1636" spans="1:8" ht="33">
      <c r="A1636" s="160">
        <v>7</v>
      </c>
      <c r="B1636" s="160" t="s">
        <v>931</v>
      </c>
      <c r="C1636" s="157" t="s">
        <v>14</v>
      </c>
      <c r="D1636" s="159">
        <v>1</v>
      </c>
      <c r="E1636" s="159">
        <v>42.43</v>
      </c>
      <c r="F1636" s="159">
        <v>42.43</v>
      </c>
      <c r="G1636" s="160" t="s">
        <v>2</v>
      </c>
      <c r="H1636" s="34" t="s">
        <v>925</v>
      </c>
    </row>
    <row r="1637" spans="1:8" ht="33">
      <c r="A1637" s="160"/>
      <c r="B1637" s="160" t="s">
        <v>933</v>
      </c>
      <c r="C1637" s="157" t="s">
        <v>3</v>
      </c>
      <c r="D1637" s="159">
        <v>1</v>
      </c>
      <c r="E1637" s="159"/>
      <c r="F1637" s="159">
        <v>1456.6799999999998</v>
      </c>
      <c r="G1637" s="160"/>
      <c r="H1637" s="34" t="s">
        <v>925</v>
      </c>
    </row>
    <row r="1638" spans="1:8" ht="33">
      <c r="A1638" s="160"/>
      <c r="B1638" s="160" t="s">
        <v>934</v>
      </c>
      <c r="C1638" s="157" t="s">
        <v>3</v>
      </c>
      <c r="D1638" s="159"/>
      <c r="E1638" s="159"/>
      <c r="F1638" s="159">
        <v>1456.68</v>
      </c>
      <c r="G1638" s="160"/>
      <c r="H1638" s="34" t="s">
        <v>925</v>
      </c>
    </row>
    <row r="1639" spans="1:8" ht="33">
      <c r="A1639" s="160"/>
      <c r="B1639" s="160"/>
      <c r="C1639" s="157"/>
      <c r="D1639" s="159"/>
      <c r="E1639" s="159"/>
      <c r="F1639" s="159"/>
      <c r="G1639" s="160"/>
      <c r="H1639" s="34" t="s">
        <v>925</v>
      </c>
    </row>
    <row r="1640" spans="1:8" ht="33">
      <c r="A1640" s="160" t="s">
        <v>1902</v>
      </c>
      <c r="B1640" s="160" t="s">
        <v>1685</v>
      </c>
      <c r="C1640" s="157" t="s">
        <v>3</v>
      </c>
      <c r="D1640" s="159">
        <v>1</v>
      </c>
      <c r="E1640" s="159">
        <v>443.93</v>
      </c>
      <c r="F1640" s="159"/>
      <c r="G1640" s="160" t="s">
        <v>2</v>
      </c>
      <c r="H1640" s="34" t="s">
        <v>925</v>
      </c>
    </row>
    <row r="1641" spans="1:8" ht="33">
      <c r="A1641" s="160">
        <v>1</v>
      </c>
      <c r="B1641" s="160" t="s">
        <v>1637</v>
      </c>
      <c r="C1641" s="157" t="s">
        <v>0</v>
      </c>
      <c r="D1641" s="159">
        <v>0.02</v>
      </c>
      <c r="E1641" s="159">
        <v>3304.6</v>
      </c>
      <c r="F1641" s="159">
        <v>66.09</v>
      </c>
      <c r="G1641" s="160" t="s">
        <v>1873</v>
      </c>
      <c r="H1641" s="34" t="s">
        <v>925</v>
      </c>
    </row>
    <row r="1642" spans="1:8" ht="16.5">
      <c r="A1642" s="160">
        <v>2</v>
      </c>
      <c r="B1642" s="160" t="s">
        <v>1638</v>
      </c>
      <c r="C1642" s="157" t="s">
        <v>927</v>
      </c>
      <c r="D1642" s="159">
        <v>0.66</v>
      </c>
      <c r="E1642" s="159">
        <v>379.5</v>
      </c>
      <c r="F1642" s="159">
        <v>250.47</v>
      </c>
      <c r="G1642" s="160" t="s">
        <v>2</v>
      </c>
    </row>
    <row r="1643" spans="1:8" ht="33">
      <c r="A1643" s="160">
        <v>3</v>
      </c>
      <c r="B1643" s="160" t="s">
        <v>1644</v>
      </c>
      <c r="C1643" s="157" t="s">
        <v>927</v>
      </c>
      <c r="D1643" s="159">
        <v>0.44</v>
      </c>
      <c r="E1643" s="159">
        <v>260.08999999999997</v>
      </c>
      <c r="F1643" s="159">
        <v>114.44</v>
      </c>
      <c r="G1643" s="160" t="s">
        <v>2</v>
      </c>
      <c r="H1643" s="34" t="s">
        <v>925</v>
      </c>
    </row>
    <row r="1644" spans="1:8" ht="33">
      <c r="A1644" s="160">
        <v>4</v>
      </c>
      <c r="B1644" s="160" t="s">
        <v>955</v>
      </c>
      <c r="C1644" s="157" t="s">
        <v>14</v>
      </c>
      <c r="D1644" s="159">
        <v>1</v>
      </c>
      <c r="E1644" s="159">
        <v>12.93</v>
      </c>
      <c r="F1644" s="159">
        <v>12.93</v>
      </c>
      <c r="G1644" s="160" t="s">
        <v>2</v>
      </c>
      <c r="H1644" s="34" t="s">
        <v>925</v>
      </c>
    </row>
    <row r="1645" spans="1:8" ht="33">
      <c r="A1645" s="160"/>
      <c r="B1645" s="160" t="s">
        <v>933</v>
      </c>
      <c r="C1645" s="157" t="s">
        <v>3</v>
      </c>
      <c r="D1645" s="159">
        <v>1</v>
      </c>
      <c r="E1645" s="159"/>
      <c r="F1645" s="159">
        <v>443.93</v>
      </c>
      <c r="G1645" s="160"/>
      <c r="H1645" s="34" t="s">
        <v>925</v>
      </c>
    </row>
    <row r="1646" spans="1:8" ht="33">
      <c r="A1646" s="160"/>
      <c r="B1646" s="160" t="s">
        <v>934</v>
      </c>
      <c r="C1646" s="157" t="s">
        <v>3</v>
      </c>
      <c r="D1646" s="159"/>
      <c r="E1646" s="159"/>
      <c r="F1646" s="159">
        <v>443.93</v>
      </c>
      <c r="G1646" s="160"/>
      <c r="H1646" s="34" t="s">
        <v>925</v>
      </c>
    </row>
    <row r="1647" spans="1:8" ht="33">
      <c r="A1647" s="160"/>
      <c r="B1647" s="160"/>
      <c r="C1647" s="157"/>
      <c r="D1647" s="159"/>
      <c r="E1647" s="159"/>
      <c r="F1647" s="159"/>
      <c r="G1647" s="160"/>
      <c r="H1647" s="34" t="s">
        <v>925</v>
      </c>
    </row>
    <row r="1648" spans="1:8" ht="33">
      <c r="A1648" s="160" t="s">
        <v>1909</v>
      </c>
      <c r="B1648" s="160" t="s">
        <v>1688</v>
      </c>
      <c r="C1648" s="157" t="s">
        <v>1689</v>
      </c>
      <c r="D1648" s="159">
        <v>1</v>
      </c>
      <c r="E1648" s="159">
        <v>7490.61</v>
      </c>
      <c r="F1648" s="159"/>
      <c r="G1648" s="160" t="s">
        <v>2</v>
      </c>
      <c r="H1648" s="34" t="s">
        <v>925</v>
      </c>
    </row>
    <row r="1649" spans="1:8" ht="42.75">
      <c r="A1649" s="160">
        <v>1</v>
      </c>
      <c r="B1649" s="160" t="s">
        <v>1691</v>
      </c>
      <c r="C1649" s="157" t="s">
        <v>3</v>
      </c>
      <c r="D1649" s="159">
        <v>15</v>
      </c>
      <c r="E1649" s="159">
        <v>277.68</v>
      </c>
      <c r="F1649" s="159">
        <v>4165.2</v>
      </c>
      <c r="G1649" s="160" t="s">
        <v>2</v>
      </c>
    </row>
    <row r="1650" spans="1:8" ht="33">
      <c r="A1650" s="160">
        <v>2</v>
      </c>
      <c r="B1650" s="160" t="s">
        <v>1693</v>
      </c>
      <c r="C1650" s="157" t="s">
        <v>0</v>
      </c>
      <c r="D1650" s="159">
        <v>2.25</v>
      </c>
      <c r="E1650" s="159">
        <v>647.91999999999996</v>
      </c>
      <c r="F1650" s="159">
        <v>1457.82</v>
      </c>
      <c r="G1650" s="160" t="s">
        <v>2</v>
      </c>
      <c r="H1650" s="34" t="s">
        <v>925</v>
      </c>
    </row>
    <row r="1651" spans="1:8" ht="33">
      <c r="A1651" s="160">
        <v>3</v>
      </c>
      <c r="B1651" s="160" t="s">
        <v>4942</v>
      </c>
      <c r="C1651" s="157" t="s">
        <v>927</v>
      </c>
      <c r="D1651" s="159">
        <v>2</v>
      </c>
      <c r="E1651" s="159">
        <v>379.5</v>
      </c>
      <c r="F1651" s="159">
        <v>759</v>
      </c>
      <c r="G1651" s="160" t="s">
        <v>5450</v>
      </c>
      <c r="H1651" s="34" t="s">
        <v>925</v>
      </c>
    </row>
    <row r="1652" spans="1:8" ht="33">
      <c r="A1652" s="160">
        <v>4</v>
      </c>
      <c r="B1652" s="160" t="s">
        <v>1695</v>
      </c>
      <c r="C1652" s="157" t="s">
        <v>927</v>
      </c>
      <c r="D1652" s="159">
        <v>2</v>
      </c>
      <c r="E1652" s="159">
        <v>260.08999999999997</v>
      </c>
      <c r="F1652" s="159">
        <v>520.17999999999995</v>
      </c>
      <c r="G1652" s="160" t="s">
        <v>2</v>
      </c>
      <c r="H1652" s="34" t="s">
        <v>925</v>
      </c>
    </row>
    <row r="1653" spans="1:8" ht="33">
      <c r="A1653" s="160">
        <v>5</v>
      </c>
      <c r="B1653" s="160" t="s">
        <v>1697</v>
      </c>
      <c r="C1653" s="157" t="s">
        <v>14</v>
      </c>
      <c r="D1653" s="159">
        <v>1</v>
      </c>
      <c r="E1653" s="159">
        <v>370.24</v>
      </c>
      <c r="F1653" s="159">
        <v>370.24</v>
      </c>
      <c r="G1653" s="160" t="s">
        <v>2</v>
      </c>
      <c r="H1653" s="34" t="s">
        <v>925</v>
      </c>
    </row>
    <row r="1654" spans="1:8" ht="33">
      <c r="A1654" s="160">
        <v>6</v>
      </c>
      <c r="B1654" s="160" t="s">
        <v>931</v>
      </c>
      <c r="C1654" s="157" t="s">
        <v>14</v>
      </c>
      <c r="D1654" s="159">
        <v>1</v>
      </c>
      <c r="E1654" s="159">
        <v>218.17</v>
      </c>
      <c r="F1654" s="159">
        <v>218.17</v>
      </c>
      <c r="G1654" s="160" t="s">
        <v>2</v>
      </c>
      <c r="H1654" s="34" t="s">
        <v>925</v>
      </c>
    </row>
    <row r="1655" spans="1:8" ht="33">
      <c r="A1655" s="160"/>
      <c r="B1655" s="160" t="s">
        <v>933</v>
      </c>
      <c r="C1655" s="157" t="s">
        <v>1689</v>
      </c>
      <c r="D1655" s="159">
        <v>1</v>
      </c>
      <c r="E1655" s="159"/>
      <c r="F1655" s="159">
        <v>7490.61</v>
      </c>
      <c r="G1655" s="160"/>
      <c r="H1655" s="34" t="s">
        <v>925</v>
      </c>
    </row>
    <row r="1656" spans="1:8" ht="16.5">
      <c r="A1656" s="160"/>
      <c r="B1656" s="160" t="s">
        <v>934</v>
      </c>
      <c r="C1656" s="157" t="s">
        <v>1689</v>
      </c>
      <c r="D1656" s="159"/>
      <c r="E1656" s="159"/>
      <c r="F1656" s="159">
        <v>7490.61</v>
      </c>
      <c r="G1656" s="160"/>
    </row>
    <row r="1657" spans="1:8" ht="33">
      <c r="A1657" s="160"/>
      <c r="B1657" s="160"/>
      <c r="C1657" s="157"/>
      <c r="D1657" s="159"/>
      <c r="E1657" s="159"/>
      <c r="F1657" s="159"/>
      <c r="G1657" s="160"/>
      <c r="H1657" s="34" t="s">
        <v>925</v>
      </c>
    </row>
    <row r="1658" spans="1:8" ht="33">
      <c r="A1658" s="160" t="s">
        <v>1916</v>
      </c>
      <c r="B1658" s="160" t="s">
        <v>1700</v>
      </c>
      <c r="C1658" s="157" t="s">
        <v>17</v>
      </c>
      <c r="D1658" s="159">
        <v>1</v>
      </c>
      <c r="E1658" s="159">
        <v>1501.79</v>
      </c>
      <c r="F1658" s="159"/>
      <c r="G1658" s="160" t="s">
        <v>2</v>
      </c>
      <c r="H1658" s="34" t="s">
        <v>925</v>
      </c>
    </row>
    <row r="1659" spans="1:8" ht="33">
      <c r="A1659" s="160">
        <v>1</v>
      </c>
      <c r="B1659" s="160" t="s">
        <v>1702</v>
      </c>
      <c r="C1659" s="157" t="s">
        <v>17</v>
      </c>
      <c r="D1659" s="159">
        <v>1</v>
      </c>
      <c r="E1659" s="159">
        <v>1295.8399999999999</v>
      </c>
      <c r="F1659" s="159">
        <v>1295.8399999999999</v>
      </c>
      <c r="G1659" s="160" t="s">
        <v>2</v>
      </c>
      <c r="H1659" s="34" t="s">
        <v>925</v>
      </c>
    </row>
    <row r="1660" spans="1:8" ht="33">
      <c r="A1660" s="160">
        <v>2</v>
      </c>
      <c r="B1660" s="160" t="s">
        <v>1649</v>
      </c>
      <c r="C1660" s="157" t="s">
        <v>0</v>
      </c>
      <c r="D1660" s="159">
        <v>0.02</v>
      </c>
      <c r="E1660" s="159">
        <v>3482.33</v>
      </c>
      <c r="F1660" s="159">
        <v>69.650000000000006</v>
      </c>
      <c r="G1660" s="160" t="s">
        <v>1866</v>
      </c>
      <c r="H1660" s="34" t="s">
        <v>925</v>
      </c>
    </row>
    <row r="1661" spans="1:8" ht="33">
      <c r="A1661" s="160">
        <v>3</v>
      </c>
      <c r="B1661" s="160" t="s">
        <v>1704</v>
      </c>
      <c r="C1661" s="157" t="s">
        <v>14</v>
      </c>
      <c r="D1661" s="159">
        <v>1</v>
      </c>
      <c r="E1661" s="159">
        <v>92.56</v>
      </c>
      <c r="F1661" s="159">
        <v>92.56</v>
      </c>
      <c r="G1661" s="160" t="s">
        <v>2</v>
      </c>
      <c r="H1661" s="34" t="s">
        <v>925</v>
      </c>
    </row>
    <row r="1662" spans="1:8" ht="33">
      <c r="A1662" s="160">
        <v>4</v>
      </c>
      <c r="B1662" s="160" t="s">
        <v>931</v>
      </c>
      <c r="C1662" s="157" t="s">
        <v>14</v>
      </c>
      <c r="D1662" s="159">
        <v>1</v>
      </c>
      <c r="E1662" s="159">
        <v>43.74</v>
      </c>
      <c r="F1662" s="159">
        <v>43.74</v>
      </c>
      <c r="G1662" s="160" t="s">
        <v>2</v>
      </c>
      <c r="H1662" s="34" t="s">
        <v>925</v>
      </c>
    </row>
    <row r="1663" spans="1:8" ht="16.5">
      <c r="A1663" s="160"/>
      <c r="B1663" s="160" t="s">
        <v>933</v>
      </c>
      <c r="C1663" s="157" t="s">
        <v>17</v>
      </c>
      <c r="D1663" s="159">
        <v>1</v>
      </c>
      <c r="E1663" s="159"/>
      <c r="F1663" s="159">
        <v>1501.79</v>
      </c>
      <c r="G1663" s="160"/>
    </row>
    <row r="1664" spans="1:8" ht="33">
      <c r="A1664" s="160"/>
      <c r="B1664" s="160" t="s">
        <v>934</v>
      </c>
      <c r="C1664" s="157" t="s">
        <v>17</v>
      </c>
      <c r="D1664" s="159"/>
      <c r="E1664" s="159"/>
      <c r="F1664" s="159">
        <v>1501.79</v>
      </c>
      <c r="G1664" s="160"/>
      <c r="H1664" s="34" t="s">
        <v>925</v>
      </c>
    </row>
    <row r="1665" spans="1:8" ht="33">
      <c r="A1665" s="160"/>
      <c r="B1665" s="160"/>
      <c r="C1665" s="157"/>
      <c r="D1665" s="159"/>
      <c r="E1665" s="159"/>
      <c r="F1665" s="159"/>
      <c r="G1665" s="160"/>
      <c r="H1665" s="34" t="s">
        <v>925</v>
      </c>
    </row>
    <row r="1666" spans="1:8" ht="33">
      <c r="A1666" s="160" t="s">
        <v>1923</v>
      </c>
      <c r="B1666" s="160" t="s">
        <v>1697</v>
      </c>
      <c r="C1666" s="157" t="s">
        <v>15</v>
      </c>
      <c r="D1666" s="159">
        <v>1</v>
      </c>
      <c r="E1666" s="159">
        <v>1324.6</v>
      </c>
      <c r="F1666" s="159"/>
      <c r="G1666" s="160" t="s">
        <v>2</v>
      </c>
      <c r="H1666" s="34" t="s">
        <v>925</v>
      </c>
    </row>
    <row r="1667" spans="1:8" ht="33">
      <c r="A1667" s="160">
        <v>1</v>
      </c>
      <c r="B1667" s="160" t="s">
        <v>1708</v>
      </c>
      <c r="C1667" s="157" t="s">
        <v>1121</v>
      </c>
      <c r="D1667" s="159">
        <v>1.1000000000000001</v>
      </c>
      <c r="E1667" s="159">
        <v>601.64</v>
      </c>
      <c r="F1667" s="159">
        <v>661.8</v>
      </c>
      <c r="G1667" s="160" t="s">
        <v>2</v>
      </c>
      <c r="H1667" s="34" t="s">
        <v>925</v>
      </c>
    </row>
    <row r="1668" spans="1:8" ht="33">
      <c r="A1668" s="160">
        <v>2</v>
      </c>
      <c r="B1668" s="160" t="s">
        <v>4871</v>
      </c>
      <c r="C1668" s="157" t="s">
        <v>927</v>
      </c>
      <c r="D1668" s="159">
        <v>2.4</v>
      </c>
      <c r="E1668" s="159">
        <v>260.08999999999997</v>
      </c>
      <c r="F1668" s="159">
        <v>624.22</v>
      </c>
      <c r="G1668" s="160" t="s">
        <v>5435</v>
      </c>
      <c r="H1668" s="34" t="s">
        <v>925</v>
      </c>
    </row>
    <row r="1669" spans="1:8" ht="33">
      <c r="A1669" s="160">
        <v>3</v>
      </c>
      <c r="B1669" s="160" t="s">
        <v>931</v>
      </c>
      <c r="C1669" s="157" t="s">
        <v>14</v>
      </c>
      <c r="D1669" s="159">
        <v>1</v>
      </c>
      <c r="E1669" s="159">
        <v>38.58</v>
      </c>
      <c r="F1669" s="159">
        <v>38.58</v>
      </c>
      <c r="G1669" s="160" t="s">
        <v>2</v>
      </c>
      <c r="H1669" s="34" t="s">
        <v>925</v>
      </c>
    </row>
    <row r="1670" spans="1:8" ht="16.5">
      <c r="A1670" s="160"/>
      <c r="B1670" s="160" t="s">
        <v>933</v>
      </c>
      <c r="C1670" s="157" t="s">
        <v>15</v>
      </c>
      <c r="D1670" s="159">
        <v>1</v>
      </c>
      <c r="E1670" s="159"/>
      <c r="F1670" s="159">
        <v>1324.6</v>
      </c>
      <c r="G1670" s="160"/>
    </row>
    <row r="1671" spans="1:8" ht="33">
      <c r="A1671" s="160"/>
      <c r="B1671" s="160" t="s">
        <v>934</v>
      </c>
      <c r="C1671" s="157" t="s">
        <v>15</v>
      </c>
      <c r="D1671" s="159"/>
      <c r="E1671" s="159"/>
      <c r="F1671" s="159">
        <v>1324.6</v>
      </c>
      <c r="G1671" s="160"/>
      <c r="H1671" s="34" t="s">
        <v>925</v>
      </c>
    </row>
    <row r="1672" spans="1:8" ht="33">
      <c r="A1672" s="160"/>
      <c r="B1672" s="160"/>
      <c r="C1672" s="157"/>
      <c r="D1672" s="159"/>
      <c r="E1672" s="159"/>
      <c r="F1672" s="159"/>
      <c r="G1672" s="160"/>
      <c r="H1672" s="34" t="s">
        <v>925</v>
      </c>
    </row>
    <row r="1673" spans="1:8" ht="33">
      <c r="A1673" s="160" t="s">
        <v>1930</v>
      </c>
      <c r="B1673" s="160" t="s">
        <v>1711</v>
      </c>
      <c r="C1673" s="157" t="s">
        <v>3</v>
      </c>
      <c r="D1673" s="159">
        <v>1</v>
      </c>
      <c r="E1673" s="159">
        <v>1531.55</v>
      </c>
      <c r="F1673" s="159"/>
      <c r="G1673" s="160" t="s">
        <v>2</v>
      </c>
      <c r="H1673" s="34" t="s">
        <v>925</v>
      </c>
    </row>
    <row r="1674" spans="1:8" ht="33">
      <c r="A1674" s="160">
        <v>1</v>
      </c>
      <c r="B1674" s="160" t="s">
        <v>1713</v>
      </c>
      <c r="C1674" s="157" t="s">
        <v>0</v>
      </c>
      <c r="D1674" s="159">
        <v>0.06</v>
      </c>
      <c r="E1674" s="159">
        <v>2283.83</v>
      </c>
      <c r="F1674" s="159">
        <v>137.03</v>
      </c>
      <c r="G1674" s="160" t="s">
        <v>1937</v>
      </c>
      <c r="H1674" s="34" t="s">
        <v>925</v>
      </c>
    </row>
    <row r="1675" spans="1:8" ht="33">
      <c r="A1675" s="160">
        <v>2</v>
      </c>
      <c r="B1675" s="160" t="s">
        <v>1714</v>
      </c>
      <c r="C1675" s="157" t="s">
        <v>3</v>
      </c>
      <c r="D1675" s="159">
        <v>2</v>
      </c>
      <c r="E1675" s="159">
        <v>387.75</v>
      </c>
      <c r="F1675" s="159">
        <v>775.5</v>
      </c>
      <c r="G1675" s="160" t="s">
        <v>1944</v>
      </c>
      <c r="H1675" s="34" t="s">
        <v>925</v>
      </c>
    </row>
    <row r="1676" spans="1:8" ht="33">
      <c r="A1676" s="160">
        <v>3</v>
      </c>
      <c r="B1676" s="160" t="s">
        <v>4871</v>
      </c>
      <c r="C1676" s="157" t="s">
        <v>927</v>
      </c>
      <c r="D1676" s="159">
        <v>0.48</v>
      </c>
      <c r="E1676" s="159">
        <v>260.08999999999997</v>
      </c>
      <c r="F1676" s="159">
        <v>124.84</v>
      </c>
      <c r="G1676" s="160" t="s">
        <v>5435</v>
      </c>
      <c r="H1676" s="34" t="s">
        <v>925</v>
      </c>
    </row>
    <row r="1677" spans="1:8" ht="16.5">
      <c r="A1677" s="160">
        <v>4</v>
      </c>
      <c r="B1677" s="160" t="s">
        <v>1715</v>
      </c>
      <c r="C1677" s="157" t="s">
        <v>14</v>
      </c>
      <c r="D1677" s="159">
        <v>1</v>
      </c>
      <c r="E1677" s="159">
        <v>111.07</v>
      </c>
      <c r="F1677" s="159">
        <v>111.07</v>
      </c>
      <c r="G1677" s="160" t="s">
        <v>2</v>
      </c>
    </row>
    <row r="1678" spans="1:8" ht="33">
      <c r="A1678" s="160">
        <v>5</v>
      </c>
      <c r="B1678" s="160" t="s">
        <v>1717</v>
      </c>
      <c r="C1678" s="157" t="s">
        <v>14</v>
      </c>
      <c r="D1678" s="159">
        <v>1</v>
      </c>
      <c r="E1678" s="159">
        <v>27.77</v>
      </c>
      <c r="F1678" s="159">
        <v>27.77</v>
      </c>
      <c r="G1678" s="160" t="s">
        <v>2</v>
      </c>
      <c r="H1678" s="34" t="s">
        <v>925</v>
      </c>
    </row>
    <row r="1679" spans="1:8" ht="33">
      <c r="A1679" s="160">
        <v>6</v>
      </c>
      <c r="B1679" s="160" t="s">
        <v>1719</v>
      </c>
      <c r="C1679" s="157" t="s">
        <v>1497</v>
      </c>
      <c r="D1679" s="159">
        <v>1</v>
      </c>
      <c r="E1679" s="159">
        <v>51.56</v>
      </c>
      <c r="F1679" s="159">
        <v>51.56</v>
      </c>
      <c r="G1679" s="160" t="s">
        <v>1951</v>
      </c>
      <c r="H1679" s="34" t="s">
        <v>925</v>
      </c>
    </row>
    <row r="1680" spans="1:8" ht="33">
      <c r="A1680" s="160">
        <v>7</v>
      </c>
      <c r="B1680" s="160" t="s">
        <v>1720</v>
      </c>
      <c r="C1680" s="157" t="s">
        <v>3</v>
      </c>
      <c r="D1680" s="159">
        <v>1</v>
      </c>
      <c r="E1680" s="159">
        <v>231.4</v>
      </c>
      <c r="F1680" s="159">
        <v>231.4</v>
      </c>
      <c r="G1680" s="160" t="s">
        <v>2</v>
      </c>
      <c r="H1680" s="34" t="s">
        <v>925</v>
      </c>
    </row>
    <row r="1681" spans="1:8" ht="33">
      <c r="A1681" s="160">
        <v>8</v>
      </c>
      <c r="B1681" s="160" t="s">
        <v>1672</v>
      </c>
      <c r="C1681" s="157" t="s">
        <v>14</v>
      </c>
      <c r="D1681" s="159">
        <v>1</v>
      </c>
      <c r="E1681" s="159">
        <v>27.77</v>
      </c>
      <c r="F1681" s="159">
        <v>27.77</v>
      </c>
      <c r="G1681" s="160" t="s">
        <v>2</v>
      </c>
      <c r="H1681" s="34" t="s">
        <v>925</v>
      </c>
    </row>
    <row r="1682" spans="1:8" ht="33">
      <c r="A1682" s="160">
        <v>9</v>
      </c>
      <c r="B1682" s="160" t="s">
        <v>931</v>
      </c>
      <c r="C1682" s="157" t="s">
        <v>14</v>
      </c>
      <c r="D1682" s="159">
        <v>1</v>
      </c>
      <c r="E1682" s="159">
        <v>44.61</v>
      </c>
      <c r="F1682" s="159">
        <v>44.61</v>
      </c>
      <c r="G1682" s="160" t="s">
        <v>2</v>
      </c>
      <c r="H1682" s="34" t="s">
        <v>925</v>
      </c>
    </row>
    <row r="1683" spans="1:8" ht="33">
      <c r="A1683" s="160"/>
      <c r="B1683" s="160" t="s">
        <v>933</v>
      </c>
      <c r="C1683" s="157" t="s">
        <v>3</v>
      </c>
      <c r="D1683" s="159">
        <v>1</v>
      </c>
      <c r="E1683" s="159"/>
      <c r="F1683" s="159">
        <v>1531.5499999999997</v>
      </c>
      <c r="G1683" s="160"/>
      <c r="H1683" s="34" t="s">
        <v>925</v>
      </c>
    </row>
    <row r="1684" spans="1:8" ht="16.5">
      <c r="A1684" s="160"/>
      <c r="B1684" s="160" t="s">
        <v>934</v>
      </c>
      <c r="C1684" s="157" t="s">
        <v>3</v>
      </c>
      <c r="D1684" s="159"/>
      <c r="E1684" s="159"/>
      <c r="F1684" s="159">
        <v>1531.55</v>
      </c>
      <c r="G1684" s="160"/>
    </row>
    <row r="1685" spans="1:8" ht="33">
      <c r="A1685" s="160"/>
      <c r="B1685" s="160"/>
      <c r="C1685" s="157"/>
      <c r="D1685" s="159"/>
      <c r="E1685" s="159"/>
      <c r="F1685" s="159"/>
      <c r="G1685" s="160"/>
      <c r="H1685" s="34" t="s">
        <v>925</v>
      </c>
    </row>
    <row r="1686" spans="1:8" ht="33">
      <c r="A1686" s="160" t="s">
        <v>1937</v>
      </c>
      <c r="B1686" s="160" t="s">
        <v>1713</v>
      </c>
      <c r="C1686" s="157" t="s">
        <v>0</v>
      </c>
      <c r="D1686" s="159">
        <v>1</v>
      </c>
      <c r="E1686" s="159">
        <v>2283.83</v>
      </c>
      <c r="F1686" s="159"/>
      <c r="G1686" s="160" t="s">
        <v>2</v>
      </c>
      <c r="H1686" s="34" t="s">
        <v>925</v>
      </c>
    </row>
    <row r="1687" spans="1:8" ht="33">
      <c r="A1687" s="160">
        <v>1</v>
      </c>
      <c r="B1687" s="160" t="s">
        <v>1294</v>
      </c>
      <c r="C1687" s="157" t="s">
        <v>1295</v>
      </c>
      <c r="D1687" s="159">
        <v>8.5</v>
      </c>
      <c r="E1687" s="159">
        <v>154.58000000000001</v>
      </c>
      <c r="F1687" s="159">
        <v>1313.93</v>
      </c>
      <c r="G1687" s="160" t="s">
        <v>2</v>
      </c>
      <c r="H1687" s="34" t="s">
        <v>925</v>
      </c>
    </row>
    <row r="1688" spans="1:8" ht="33">
      <c r="A1688" s="160">
        <v>2</v>
      </c>
      <c r="B1688" s="160" t="s">
        <v>1297</v>
      </c>
      <c r="C1688" s="157" t="s">
        <v>1121</v>
      </c>
      <c r="D1688" s="159">
        <v>0.2</v>
      </c>
      <c r="E1688" s="159">
        <v>661.81</v>
      </c>
      <c r="F1688" s="159">
        <v>132.36000000000001</v>
      </c>
      <c r="G1688" s="160" t="s">
        <v>2</v>
      </c>
      <c r="H1688" s="34" t="s">
        <v>925</v>
      </c>
    </row>
    <row r="1689" spans="1:8" ht="33">
      <c r="A1689" s="160">
        <v>3</v>
      </c>
      <c r="B1689" s="160" t="s">
        <v>1299</v>
      </c>
      <c r="C1689" s="157" t="s">
        <v>1121</v>
      </c>
      <c r="D1689" s="159">
        <v>1</v>
      </c>
      <c r="E1689" s="159">
        <v>673.84</v>
      </c>
      <c r="F1689" s="159">
        <v>673.84</v>
      </c>
      <c r="G1689" s="160" t="s">
        <v>2</v>
      </c>
      <c r="H1689" s="34" t="s">
        <v>925</v>
      </c>
    </row>
    <row r="1690" spans="1:8" ht="33">
      <c r="A1690" s="160">
        <v>4</v>
      </c>
      <c r="B1690" s="160" t="s">
        <v>1724</v>
      </c>
      <c r="C1690" s="157" t="s">
        <v>14</v>
      </c>
      <c r="D1690" s="159">
        <v>1</v>
      </c>
      <c r="E1690" s="159">
        <v>83.3</v>
      </c>
      <c r="F1690" s="159">
        <v>83.3</v>
      </c>
      <c r="G1690" s="160" t="s">
        <v>2</v>
      </c>
      <c r="H1690" s="34" t="s">
        <v>925</v>
      </c>
    </row>
    <row r="1691" spans="1:8" ht="16.5">
      <c r="A1691" s="160">
        <v>5</v>
      </c>
      <c r="B1691" s="160" t="s">
        <v>1726</v>
      </c>
      <c r="C1691" s="157" t="s">
        <v>0</v>
      </c>
      <c r="D1691" s="159">
        <v>1</v>
      </c>
      <c r="E1691" s="159">
        <v>13.88</v>
      </c>
      <c r="F1691" s="159">
        <v>13.88</v>
      </c>
      <c r="G1691" s="160" t="s">
        <v>2</v>
      </c>
    </row>
    <row r="1692" spans="1:8" ht="33">
      <c r="A1692" s="160">
        <v>6</v>
      </c>
      <c r="B1692" s="160" t="s">
        <v>931</v>
      </c>
      <c r="C1692" s="157" t="s">
        <v>14</v>
      </c>
      <c r="D1692" s="159">
        <v>1</v>
      </c>
      <c r="E1692" s="159">
        <v>66.52</v>
      </c>
      <c r="F1692" s="159">
        <v>66.52</v>
      </c>
      <c r="G1692" s="160" t="s">
        <v>2</v>
      </c>
      <c r="H1692" s="34" t="s">
        <v>925</v>
      </c>
    </row>
    <row r="1693" spans="1:8" ht="33">
      <c r="A1693" s="160"/>
      <c r="B1693" s="160" t="s">
        <v>933</v>
      </c>
      <c r="C1693" s="157" t="s">
        <v>0</v>
      </c>
      <c r="D1693" s="159">
        <v>1</v>
      </c>
      <c r="E1693" s="159"/>
      <c r="F1693" s="159">
        <v>2283.8300000000004</v>
      </c>
      <c r="G1693" s="160"/>
      <c r="H1693" s="34" t="s">
        <v>925</v>
      </c>
    </row>
    <row r="1694" spans="1:8" ht="33">
      <c r="A1694" s="160"/>
      <c r="B1694" s="160" t="s">
        <v>934</v>
      </c>
      <c r="C1694" s="157" t="s">
        <v>0</v>
      </c>
      <c r="D1694" s="159"/>
      <c r="E1694" s="159"/>
      <c r="F1694" s="159">
        <v>2283.83</v>
      </c>
      <c r="G1694" s="160"/>
      <c r="H1694" s="34" t="s">
        <v>925</v>
      </c>
    </row>
    <row r="1695" spans="1:8" ht="33">
      <c r="A1695" s="160"/>
      <c r="B1695" s="160"/>
      <c r="C1695" s="157"/>
      <c r="D1695" s="159"/>
      <c r="E1695" s="159"/>
      <c r="F1695" s="159"/>
      <c r="G1695" s="160"/>
      <c r="H1695" s="34" t="s">
        <v>925</v>
      </c>
    </row>
    <row r="1696" spans="1:8" ht="33">
      <c r="A1696" s="160" t="s">
        <v>1944</v>
      </c>
      <c r="B1696" s="160" t="s">
        <v>1714</v>
      </c>
      <c r="C1696" s="157" t="s">
        <v>3</v>
      </c>
      <c r="D1696" s="159">
        <v>100</v>
      </c>
      <c r="E1696" s="159">
        <v>387.75</v>
      </c>
      <c r="F1696" s="159"/>
      <c r="G1696" s="160" t="s">
        <v>2</v>
      </c>
      <c r="H1696" s="34" t="s">
        <v>925</v>
      </c>
    </row>
    <row r="1697" spans="1:8" ht="33">
      <c r="A1697" s="160">
        <v>1</v>
      </c>
      <c r="B1697" s="160" t="s">
        <v>1730</v>
      </c>
      <c r="C1697" s="157" t="s">
        <v>927</v>
      </c>
      <c r="D1697" s="159">
        <v>8</v>
      </c>
      <c r="E1697" s="159">
        <v>416.52</v>
      </c>
      <c r="F1697" s="159">
        <v>3332.16</v>
      </c>
      <c r="G1697" s="160" t="s">
        <v>2</v>
      </c>
      <c r="H1697" s="34" t="s">
        <v>925</v>
      </c>
    </row>
    <row r="1698" spans="1:8" ht="28.5">
      <c r="A1698" s="160">
        <v>2</v>
      </c>
      <c r="B1698" s="160" t="s">
        <v>1732</v>
      </c>
      <c r="C1698" s="157" t="s">
        <v>927</v>
      </c>
      <c r="D1698" s="159">
        <v>8</v>
      </c>
      <c r="E1698" s="159">
        <v>925.6</v>
      </c>
      <c r="F1698" s="159">
        <v>7404.8</v>
      </c>
      <c r="G1698" s="160" t="s">
        <v>2</v>
      </c>
    </row>
    <row r="1699" spans="1:8" ht="33">
      <c r="A1699" s="160">
        <v>3</v>
      </c>
      <c r="B1699" s="160" t="s">
        <v>1734</v>
      </c>
      <c r="C1699" s="157" t="s">
        <v>927</v>
      </c>
      <c r="D1699" s="159">
        <v>8</v>
      </c>
      <c r="E1699" s="159">
        <v>277.68</v>
      </c>
      <c r="F1699" s="159">
        <v>2221.44</v>
      </c>
      <c r="G1699" s="160" t="s">
        <v>2</v>
      </c>
      <c r="H1699" s="34" t="s">
        <v>925</v>
      </c>
    </row>
    <row r="1700" spans="1:8" ht="33">
      <c r="A1700" s="160">
        <v>4</v>
      </c>
      <c r="B1700" s="160" t="s">
        <v>1736</v>
      </c>
      <c r="C1700" s="157" t="s">
        <v>927</v>
      </c>
      <c r="D1700" s="159">
        <v>8</v>
      </c>
      <c r="E1700" s="159">
        <v>462.8</v>
      </c>
      <c r="F1700" s="159">
        <v>3702.4</v>
      </c>
      <c r="G1700" s="160" t="s">
        <v>2</v>
      </c>
      <c r="H1700" s="34" t="s">
        <v>925</v>
      </c>
    </row>
    <row r="1701" spans="1:8" ht="33">
      <c r="A1701" s="160">
        <v>5</v>
      </c>
      <c r="B1701" s="160" t="s">
        <v>1127</v>
      </c>
      <c r="C1701" s="157" t="s">
        <v>927</v>
      </c>
      <c r="D1701" s="159">
        <v>8</v>
      </c>
      <c r="E1701" s="159">
        <v>423</v>
      </c>
      <c r="F1701" s="159">
        <v>3384</v>
      </c>
      <c r="G1701" s="160" t="s">
        <v>2</v>
      </c>
      <c r="H1701" s="34" t="s">
        <v>925</v>
      </c>
    </row>
    <row r="1702" spans="1:8" ht="33">
      <c r="A1702" s="160">
        <v>6</v>
      </c>
      <c r="B1702" s="160" t="s">
        <v>1738</v>
      </c>
      <c r="C1702" s="157" t="s">
        <v>927</v>
      </c>
      <c r="D1702" s="159">
        <v>8</v>
      </c>
      <c r="E1702" s="159">
        <v>379.5</v>
      </c>
      <c r="F1702" s="159">
        <v>3036</v>
      </c>
      <c r="G1702" s="160" t="s">
        <v>2</v>
      </c>
      <c r="H1702" s="34" t="s">
        <v>925</v>
      </c>
    </row>
    <row r="1703" spans="1:8" ht="33">
      <c r="A1703" s="160">
        <v>7</v>
      </c>
      <c r="B1703" s="160" t="s">
        <v>4871</v>
      </c>
      <c r="C1703" s="157" t="s">
        <v>927</v>
      </c>
      <c r="D1703" s="159">
        <v>56</v>
      </c>
      <c r="E1703" s="159">
        <v>260.08999999999997</v>
      </c>
      <c r="F1703" s="159">
        <v>14565.04</v>
      </c>
      <c r="G1703" s="160" t="s">
        <v>5435</v>
      </c>
      <c r="H1703" s="34" t="s">
        <v>925</v>
      </c>
    </row>
    <row r="1704" spans="1:8" ht="33">
      <c r="A1704" s="160">
        <v>8</v>
      </c>
      <c r="B1704" s="160" t="s">
        <v>931</v>
      </c>
      <c r="C1704" s="157" t="s">
        <v>14</v>
      </c>
      <c r="D1704" s="159">
        <v>1</v>
      </c>
      <c r="E1704" s="159">
        <v>1129.3800000000001</v>
      </c>
      <c r="F1704" s="159">
        <v>1129.3800000000001</v>
      </c>
      <c r="G1704" s="160" t="s">
        <v>2</v>
      </c>
      <c r="H1704" s="34" t="s">
        <v>925</v>
      </c>
    </row>
    <row r="1705" spans="1:8" ht="16.5">
      <c r="A1705" s="160"/>
      <c r="B1705" s="160" t="s">
        <v>933</v>
      </c>
      <c r="C1705" s="157" t="s">
        <v>3</v>
      </c>
      <c r="D1705" s="159">
        <v>100</v>
      </c>
      <c r="E1705" s="159"/>
      <c r="F1705" s="159">
        <v>38775.219999999994</v>
      </c>
      <c r="G1705" s="160"/>
    </row>
    <row r="1706" spans="1:8" ht="33">
      <c r="A1706" s="160"/>
      <c r="B1706" s="160" t="s">
        <v>934</v>
      </c>
      <c r="C1706" s="157" t="s">
        <v>3</v>
      </c>
      <c r="D1706" s="159"/>
      <c r="E1706" s="159"/>
      <c r="F1706" s="159">
        <v>387.75</v>
      </c>
      <c r="G1706" s="160"/>
      <c r="H1706" s="34" t="s">
        <v>925</v>
      </c>
    </row>
    <row r="1707" spans="1:8" ht="33">
      <c r="A1707" s="160"/>
      <c r="B1707" s="160"/>
      <c r="C1707" s="157"/>
      <c r="D1707" s="159"/>
      <c r="E1707" s="159"/>
      <c r="F1707" s="159"/>
      <c r="G1707" s="160"/>
      <c r="H1707" s="34" t="s">
        <v>925</v>
      </c>
    </row>
    <row r="1708" spans="1:8" ht="33">
      <c r="A1708" s="160" t="s">
        <v>1951</v>
      </c>
      <c r="B1708" s="160" t="s">
        <v>1719</v>
      </c>
      <c r="C1708" s="157" t="s">
        <v>1497</v>
      </c>
      <c r="D1708" s="159">
        <v>10</v>
      </c>
      <c r="E1708" s="159">
        <v>51.56</v>
      </c>
      <c r="F1708" s="159"/>
      <c r="G1708" s="160" t="s">
        <v>2</v>
      </c>
      <c r="H1708" s="34" t="s">
        <v>925</v>
      </c>
    </row>
    <row r="1709" spans="1:8" ht="33">
      <c r="A1709" s="160">
        <v>1</v>
      </c>
      <c r="B1709" s="160" t="s">
        <v>1742</v>
      </c>
      <c r="C1709" s="157" t="s">
        <v>1497</v>
      </c>
      <c r="D1709" s="159">
        <v>10</v>
      </c>
      <c r="E1709" s="159">
        <v>27.77</v>
      </c>
      <c r="F1709" s="159">
        <v>277.7</v>
      </c>
      <c r="G1709" s="160" t="s">
        <v>2</v>
      </c>
      <c r="H1709" s="34" t="s">
        <v>925</v>
      </c>
    </row>
    <row r="1710" spans="1:8" ht="33">
      <c r="A1710" s="160">
        <v>2</v>
      </c>
      <c r="B1710" s="160" t="s">
        <v>1744</v>
      </c>
      <c r="C1710" s="157" t="s">
        <v>18</v>
      </c>
      <c r="D1710" s="159">
        <v>11</v>
      </c>
      <c r="E1710" s="159">
        <v>19.52</v>
      </c>
      <c r="F1710" s="159">
        <v>214.72</v>
      </c>
      <c r="G1710" s="160" t="s">
        <v>2</v>
      </c>
      <c r="H1710" s="34" t="s">
        <v>925</v>
      </c>
    </row>
    <row r="1711" spans="1:8" ht="33">
      <c r="A1711" s="160">
        <v>3</v>
      </c>
      <c r="B1711" s="160" t="s">
        <v>1746</v>
      </c>
      <c r="C1711" s="157" t="s">
        <v>0</v>
      </c>
      <c r="D1711" s="159">
        <v>0.03</v>
      </c>
      <c r="E1711" s="159">
        <v>9.26</v>
      </c>
      <c r="F1711" s="159">
        <v>0.28000000000000003</v>
      </c>
      <c r="G1711" s="160" t="s">
        <v>2</v>
      </c>
      <c r="H1711" s="34" t="s">
        <v>925</v>
      </c>
    </row>
    <row r="1712" spans="1:8" ht="16.5">
      <c r="A1712" s="160">
        <v>4</v>
      </c>
      <c r="B1712" s="160" t="s">
        <v>1748</v>
      </c>
      <c r="C1712" s="157" t="s">
        <v>1497</v>
      </c>
      <c r="D1712" s="159">
        <v>1</v>
      </c>
      <c r="E1712" s="159">
        <v>7.87</v>
      </c>
      <c r="F1712" s="159">
        <v>7.87</v>
      </c>
      <c r="G1712" s="160" t="s">
        <v>2</v>
      </c>
    </row>
    <row r="1713" spans="1:8" ht="33">
      <c r="A1713" s="160">
        <v>5</v>
      </c>
      <c r="B1713" s="160" t="s">
        <v>931</v>
      </c>
      <c r="C1713" s="157" t="s">
        <v>14</v>
      </c>
      <c r="D1713" s="159">
        <v>1</v>
      </c>
      <c r="E1713" s="159">
        <v>15.02</v>
      </c>
      <c r="F1713" s="159">
        <v>15.02</v>
      </c>
      <c r="G1713" s="160" t="s">
        <v>2</v>
      </c>
      <c r="H1713" s="34" t="s">
        <v>925</v>
      </c>
    </row>
    <row r="1714" spans="1:8" ht="33">
      <c r="A1714" s="160"/>
      <c r="B1714" s="160" t="s">
        <v>933</v>
      </c>
      <c r="C1714" s="157" t="s">
        <v>1497</v>
      </c>
      <c r="D1714" s="159">
        <v>10</v>
      </c>
      <c r="E1714" s="159"/>
      <c r="F1714" s="159">
        <v>515.58999999999992</v>
      </c>
      <c r="G1714" s="160"/>
      <c r="H1714" s="34" t="s">
        <v>925</v>
      </c>
    </row>
    <row r="1715" spans="1:8" ht="33">
      <c r="A1715" s="160"/>
      <c r="B1715" s="160" t="s">
        <v>934</v>
      </c>
      <c r="C1715" s="157" t="s">
        <v>1497</v>
      </c>
      <c r="D1715" s="159"/>
      <c r="E1715" s="159"/>
      <c r="F1715" s="159">
        <v>51.56</v>
      </c>
      <c r="G1715" s="160"/>
      <c r="H1715" s="34" t="s">
        <v>925</v>
      </c>
    </row>
    <row r="1716" spans="1:8" ht="33">
      <c r="A1716" s="160"/>
      <c r="B1716" s="160"/>
      <c r="C1716" s="157"/>
      <c r="D1716" s="159"/>
      <c r="E1716" s="159"/>
      <c r="F1716" s="159"/>
      <c r="G1716" s="160"/>
      <c r="H1716" s="34" t="s">
        <v>925</v>
      </c>
    </row>
    <row r="1717" spans="1:8" ht="33">
      <c r="A1717" s="160" t="s">
        <v>1958</v>
      </c>
      <c r="B1717" s="160" t="s">
        <v>1751</v>
      </c>
      <c r="C1717" s="157" t="s">
        <v>3</v>
      </c>
      <c r="D1717" s="159">
        <v>1</v>
      </c>
      <c r="E1717" s="159">
        <v>5198.51</v>
      </c>
      <c r="F1717" s="159"/>
      <c r="G1717" s="160" t="s">
        <v>2</v>
      </c>
      <c r="H1717" s="34" t="s">
        <v>925</v>
      </c>
    </row>
    <row r="1718" spans="1:8" ht="42.75">
      <c r="A1718" s="160">
        <v>1</v>
      </c>
      <c r="B1718" s="160" t="s">
        <v>1753</v>
      </c>
      <c r="C1718" s="157" t="s">
        <v>0</v>
      </c>
      <c r="D1718" s="159">
        <v>0.1</v>
      </c>
      <c r="E1718" s="159">
        <v>6115.63</v>
      </c>
      <c r="F1718" s="159">
        <v>611.55999999999995</v>
      </c>
      <c r="G1718" s="160" t="s">
        <v>2</v>
      </c>
      <c r="H1718" s="34" t="s">
        <v>925</v>
      </c>
    </row>
    <row r="1719" spans="1:8" ht="16.5">
      <c r="A1719" s="160">
        <v>2</v>
      </c>
      <c r="B1719" s="160" t="s">
        <v>1755</v>
      </c>
      <c r="C1719" s="157" t="s">
        <v>3</v>
      </c>
      <c r="D1719" s="159">
        <v>1</v>
      </c>
      <c r="E1719" s="159">
        <v>83.3</v>
      </c>
      <c r="F1719" s="159">
        <v>83.3</v>
      </c>
      <c r="G1719" s="160" t="s">
        <v>2</v>
      </c>
    </row>
    <row r="1720" spans="1:8" ht="33">
      <c r="A1720" s="160">
        <v>3</v>
      </c>
      <c r="B1720" s="160" t="s">
        <v>1757</v>
      </c>
      <c r="C1720" s="157" t="s">
        <v>14</v>
      </c>
      <c r="D1720" s="159">
        <v>1</v>
      </c>
      <c r="E1720" s="159">
        <v>44.43</v>
      </c>
      <c r="F1720" s="159">
        <v>44.43</v>
      </c>
      <c r="G1720" s="160" t="s">
        <v>2</v>
      </c>
      <c r="H1720" s="34" t="s">
        <v>925</v>
      </c>
    </row>
    <row r="1721" spans="1:8" ht="33">
      <c r="A1721" s="160">
        <v>4</v>
      </c>
      <c r="B1721" s="160" t="s">
        <v>1759</v>
      </c>
      <c r="C1721" s="157" t="s">
        <v>14</v>
      </c>
      <c r="D1721" s="159">
        <v>1</v>
      </c>
      <c r="E1721" s="159">
        <v>207.15</v>
      </c>
      <c r="F1721" s="159">
        <v>207.15</v>
      </c>
      <c r="G1721" s="160" t="s">
        <v>2</v>
      </c>
      <c r="H1721" s="34" t="s">
        <v>925</v>
      </c>
    </row>
    <row r="1722" spans="1:8" ht="33">
      <c r="A1722" s="160">
        <v>5</v>
      </c>
      <c r="B1722" s="160" t="s">
        <v>1761</v>
      </c>
      <c r="C1722" s="157" t="s">
        <v>0</v>
      </c>
      <c r="D1722" s="159">
        <v>0.15</v>
      </c>
      <c r="E1722" s="159">
        <v>25054.560000000001</v>
      </c>
      <c r="F1722" s="159">
        <v>3758.18</v>
      </c>
      <c r="G1722" s="160" t="s">
        <v>2</v>
      </c>
      <c r="H1722" s="34" t="s">
        <v>925</v>
      </c>
    </row>
    <row r="1723" spans="1:8" ht="33">
      <c r="A1723" s="160">
        <v>6</v>
      </c>
      <c r="B1723" s="160" t="s">
        <v>1763</v>
      </c>
      <c r="C1723" s="157" t="s">
        <v>3</v>
      </c>
      <c r="D1723" s="159">
        <v>1</v>
      </c>
      <c r="E1723" s="159">
        <v>46.28</v>
      </c>
      <c r="F1723" s="159">
        <v>46.28</v>
      </c>
      <c r="G1723" s="160" t="s">
        <v>2</v>
      </c>
      <c r="H1723" s="34" t="s">
        <v>925</v>
      </c>
    </row>
    <row r="1724" spans="1:8" ht="33">
      <c r="A1724" s="160">
        <v>7</v>
      </c>
      <c r="B1724" s="160" t="s">
        <v>1765</v>
      </c>
      <c r="C1724" s="157" t="s">
        <v>0</v>
      </c>
      <c r="D1724" s="159">
        <v>0.1</v>
      </c>
      <c r="E1724" s="159">
        <v>648.04</v>
      </c>
      <c r="F1724" s="159">
        <v>64.8</v>
      </c>
      <c r="G1724" s="160" t="s">
        <v>2</v>
      </c>
      <c r="H1724" s="34" t="s">
        <v>925</v>
      </c>
    </row>
    <row r="1725" spans="1:8" ht="33">
      <c r="A1725" s="160">
        <v>8</v>
      </c>
      <c r="B1725" s="160" t="s">
        <v>1767</v>
      </c>
      <c r="C1725" s="157" t="s">
        <v>14</v>
      </c>
      <c r="D1725" s="159">
        <v>1</v>
      </c>
      <c r="E1725" s="159">
        <v>231.4</v>
      </c>
      <c r="F1725" s="159">
        <v>231.4</v>
      </c>
      <c r="G1725" s="160" t="s">
        <v>2</v>
      </c>
      <c r="H1725" s="34" t="s">
        <v>925</v>
      </c>
    </row>
    <row r="1726" spans="1:8" ht="16.5">
      <c r="A1726" s="160">
        <v>9</v>
      </c>
      <c r="B1726" s="160" t="s">
        <v>931</v>
      </c>
      <c r="C1726" s="157" t="s">
        <v>14</v>
      </c>
      <c r="D1726" s="159">
        <v>1</v>
      </c>
      <c r="E1726" s="159">
        <v>151.41</v>
      </c>
      <c r="F1726" s="159">
        <v>151.41</v>
      </c>
      <c r="G1726" s="160" t="s">
        <v>2</v>
      </c>
    </row>
    <row r="1727" spans="1:8" ht="33">
      <c r="A1727" s="160"/>
      <c r="B1727" s="160" t="s">
        <v>933</v>
      </c>
      <c r="C1727" s="157" t="s">
        <v>3</v>
      </c>
      <c r="D1727" s="159">
        <v>1</v>
      </c>
      <c r="E1727" s="159"/>
      <c r="F1727" s="159">
        <v>5198.5099999999993</v>
      </c>
      <c r="G1727" s="160"/>
      <c r="H1727" s="34" t="s">
        <v>925</v>
      </c>
    </row>
    <row r="1728" spans="1:8" ht="33">
      <c r="A1728" s="160"/>
      <c r="B1728" s="160" t="s">
        <v>934</v>
      </c>
      <c r="C1728" s="157" t="s">
        <v>3</v>
      </c>
      <c r="D1728" s="159"/>
      <c r="E1728" s="159"/>
      <c r="F1728" s="159">
        <v>5198.51</v>
      </c>
      <c r="G1728" s="160"/>
      <c r="H1728" s="34" t="s">
        <v>925</v>
      </c>
    </row>
    <row r="1729" spans="1:8" ht="33">
      <c r="A1729" s="160"/>
      <c r="B1729" s="160"/>
      <c r="C1729" s="157"/>
      <c r="D1729" s="159"/>
      <c r="E1729" s="159"/>
      <c r="F1729" s="159"/>
      <c r="G1729" s="160"/>
      <c r="H1729" s="34" t="s">
        <v>925</v>
      </c>
    </row>
    <row r="1730" spans="1:8" ht="33">
      <c r="A1730" s="160" t="s">
        <v>1965</v>
      </c>
      <c r="B1730" s="160" t="s">
        <v>1770</v>
      </c>
      <c r="C1730" s="157" t="s">
        <v>17</v>
      </c>
      <c r="D1730" s="159">
        <v>2.4</v>
      </c>
      <c r="E1730" s="159">
        <v>3425.4</v>
      </c>
      <c r="F1730" s="159"/>
      <c r="G1730" s="160" t="s">
        <v>2</v>
      </c>
      <c r="H1730" s="34" t="s">
        <v>925</v>
      </c>
    </row>
    <row r="1731" spans="1:8" ht="33">
      <c r="A1731" s="160">
        <v>1</v>
      </c>
      <c r="B1731" s="160" t="s">
        <v>1772</v>
      </c>
      <c r="C1731" s="157" t="s">
        <v>1497</v>
      </c>
      <c r="D1731" s="159">
        <v>1</v>
      </c>
      <c r="E1731" s="159">
        <v>5783.16</v>
      </c>
      <c r="F1731" s="159">
        <v>5783.16</v>
      </c>
      <c r="G1731" s="160" t="s">
        <v>5426</v>
      </c>
      <c r="H1731" s="34" t="s">
        <v>925</v>
      </c>
    </row>
    <row r="1732" spans="1:8" ht="33">
      <c r="A1732" s="160">
        <v>2</v>
      </c>
      <c r="B1732" s="160" t="s">
        <v>4962</v>
      </c>
      <c r="C1732" s="157" t="s">
        <v>927</v>
      </c>
      <c r="D1732" s="159">
        <v>0.56999999999999995</v>
      </c>
      <c r="E1732" s="159">
        <v>379.5</v>
      </c>
      <c r="F1732" s="159">
        <v>216.32</v>
      </c>
      <c r="G1732" s="160" t="s">
        <v>5453</v>
      </c>
      <c r="H1732" s="34" t="s">
        <v>925</v>
      </c>
    </row>
    <row r="1733" spans="1:8" ht="16.5">
      <c r="A1733" s="160">
        <v>3</v>
      </c>
      <c r="B1733" s="160" t="s">
        <v>4871</v>
      </c>
      <c r="C1733" s="157" t="s">
        <v>927</v>
      </c>
      <c r="D1733" s="159">
        <v>1.1399999999999999</v>
      </c>
      <c r="E1733" s="159">
        <v>260.08999999999997</v>
      </c>
      <c r="F1733" s="159">
        <v>296.5</v>
      </c>
      <c r="G1733" s="160" t="s">
        <v>5435</v>
      </c>
    </row>
    <row r="1734" spans="1:8" ht="33">
      <c r="A1734" s="160">
        <v>4</v>
      </c>
      <c r="B1734" s="160" t="s">
        <v>1774</v>
      </c>
      <c r="C1734" s="157" t="s">
        <v>927</v>
      </c>
      <c r="D1734" s="159">
        <v>1</v>
      </c>
      <c r="E1734" s="159">
        <v>1314.35</v>
      </c>
      <c r="F1734" s="159">
        <v>1314.35</v>
      </c>
      <c r="G1734" s="160" t="s">
        <v>2</v>
      </c>
      <c r="H1734" s="34" t="s">
        <v>925</v>
      </c>
    </row>
    <row r="1735" spans="1:8" ht="33">
      <c r="A1735" s="160">
        <v>5</v>
      </c>
      <c r="B1735" s="160" t="s">
        <v>4964</v>
      </c>
      <c r="C1735" s="157" t="s">
        <v>927</v>
      </c>
      <c r="D1735" s="159">
        <v>1</v>
      </c>
      <c r="E1735" s="159">
        <v>371.17</v>
      </c>
      <c r="F1735" s="159">
        <v>371.17</v>
      </c>
      <c r="G1735" s="160" t="s">
        <v>5454</v>
      </c>
      <c r="H1735" s="34" t="s">
        <v>925</v>
      </c>
    </row>
    <row r="1736" spans="1:8" ht="33">
      <c r="A1736" s="160">
        <v>6</v>
      </c>
      <c r="B1736" s="160" t="s">
        <v>931</v>
      </c>
      <c r="C1736" s="157" t="s">
        <v>14</v>
      </c>
      <c r="D1736" s="159">
        <v>1</v>
      </c>
      <c r="E1736" s="159">
        <v>239.45</v>
      </c>
      <c r="F1736" s="159">
        <v>239.45</v>
      </c>
      <c r="G1736" s="160" t="s">
        <v>2</v>
      </c>
      <c r="H1736" s="34" t="s">
        <v>925</v>
      </c>
    </row>
    <row r="1737" spans="1:8" ht="33">
      <c r="A1737" s="160"/>
      <c r="B1737" s="160" t="s">
        <v>933</v>
      </c>
      <c r="C1737" s="157" t="s">
        <v>17</v>
      </c>
      <c r="D1737" s="159">
        <v>2.4</v>
      </c>
      <c r="E1737" s="159"/>
      <c r="F1737" s="159">
        <v>8220.9500000000007</v>
      </c>
      <c r="G1737" s="160"/>
      <c r="H1737" s="34" t="s">
        <v>925</v>
      </c>
    </row>
    <row r="1738" spans="1:8" ht="33">
      <c r="A1738" s="160"/>
      <c r="B1738" s="160" t="s">
        <v>934</v>
      </c>
      <c r="C1738" s="157" t="s">
        <v>17</v>
      </c>
      <c r="D1738" s="159"/>
      <c r="E1738" s="159"/>
      <c r="F1738" s="159">
        <v>3425.4</v>
      </c>
      <c r="G1738" s="160"/>
      <c r="H1738" s="34" t="s">
        <v>925</v>
      </c>
    </row>
    <row r="1739" spans="1:8" ht="33">
      <c r="A1739" s="160"/>
      <c r="B1739" s="160"/>
      <c r="C1739" s="157"/>
      <c r="D1739" s="159"/>
      <c r="E1739" s="159"/>
      <c r="F1739" s="159"/>
      <c r="G1739" s="160"/>
      <c r="H1739" s="34" t="s">
        <v>925</v>
      </c>
    </row>
    <row r="1740" spans="1:8" ht="28.5">
      <c r="A1740" s="160" t="s">
        <v>1972</v>
      </c>
      <c r="B1740" s="160" t="s">
        <v>1777</v>
      </c>
      <c r="C1740" s="157" t="s">
        <v>17</v>
      </c>
      <c r="D1740" s="159">
        <v>2.4</v>
      </c>
      <c r="E1740" s="159">
        <v>4459.07</v>
      </c>
      <c r="F1740" s="159"/>
      <c r="G1740" s="160" t="s">
        <v>2</v>
      </c>
    </row>
    <row r="1741" spans="1:8" ht="33">
      <c r="A1741" s="160">
        <v>1</v>
      </c>
      <c r="B1741" s="160" t="s">
        <v>1779</v>
      </c>
      <c r="C1741" s="157" t="s">
        <v>1497</v>
      </c>
      <c r="D1741" s="159">
        <v>1</v>
      </c>
      <c r="E1741" s="159">
        <v>8043.48</v>
      </c>
      <c r="F1741" s="159">
        <v>8043.48</v>
      </c>
      <c r="G1741" s="160" t="s">
        <v>5426</v>
      </c>
      <c r="H1741" s="34" t="s">
        <v>925</v>
      </c>
    </row>
    <row r="1742" spans="1:8" ht="33">
      <c r="A1742" s="160">
        <v>2</v>
      </c>
      <c r="B1742" s="160" t="s">
        <v>4962</v>
      </c>
      <c r="C1742" s="157" t="s">
        <v>927</v>
      </c>
      <c r="D1742" s="159">
        <v>0.56999999999999995</v>
      </c>
      <c r="E1742" s="159">
        <v>379.5</v>
      </c>
      <c r="F1742" s="159">
        <v>216.32</v>
      </c>
      <c r="G1742" s="160" t="s">
        <v>5453</v>
      </c>
      <c r="H1742" s="34" t="s">
        <v>925</v>
      </c>
    </row>
    <row r="1743" spans="1:8" ht="33">
      <c r="A1743" s="160">
        <v>3</v>
      </c>
      <c r="B1743" s="160" t="s">
        <v>4871</v>
      </c>
      <c r="C1743" s="157" t="s">
        <v>927</v>
      </c>
      <c r="D1743" s="159">
        <v>1.71</v>
      </c>
      <c r="E1743" s="159">
        <v>260.08999999999997</v>
      </c>
      <c r="F1743" s="159">
        <v>444.75</v>
      </c>
      <c r="G1743" s="160" t="s">
        <v>5435</v>
      </c>
      <c r="H1743" s="34" t="s">
        <v>925</v>
      </c>
    </row>
    <row r="1744" spans="1:8" ht="33">
      <c r="A1744" s="160">
        <v>4</v>
      </c>
      <c r="B1744" s="160" t="s">
        <v>1774</v>
      </c>
      <c r="C1744" s="157" t="s">
        <v>927</v>
      </c>
      <c r="D1744" s="159">
        <v>1</v>
      </c>
      <c r="E1744" s="159">
        <v>1314.35</v>
      </c>
      <c r="F1744" s="159">
        <v>1314.35</v>
      </c>
      <c r="G1744" s="160" t="s">
        <v>2</v>
      </c>
      <c r="H1744" s="34" t="s">
        <v>925</v>
      </c>
    </row>
    <row r="1745" spans="1:8" ht="33">
      <c r="A1745" s="160">
        <v>5</v>
      </c>
      <c r="B1745" s="160" t="s">
        <v>4964</v>
      </c>
      <c r="C1745" s="157" t="s">
        <v>927</v>
      </c>
      <c r="D1745" s="159">
        <v>1</v>
      </c>
      <c r="E1745" s="159">
        <v>371.17</v>
      </c>
      <c r="F1745" s="159">
        <v>371.17</v>
      </c>
      <c r="G1745" s="160" t="s">
        <v>5454</v>
      </c>
      <c r="H1745" s="34" t="s">
        <v>925</v>
      </c>
    </row>
    <row r="1746" spans="1:8" ht="33">
      <c r="A1746" s="160">
        <v>6</v>
      </c>
      <c r="B1746" s="160" t="s">
        <v>931</v>
      </c>
      <c r="C1746" s="157" t="s">
        <v>14</v>
      </c>
      <c r="D1746" s="159">
        <v>1</v>
      </c>
      <c r="E1746" s="159">
        <v>311.7</v>
      </c>
      <c r="F1746" s="159">
        <v>311.7</v>
      </c>
      <c r="G1746" s="160" t="s">
        <v>2</v>
      </c>
      <c r="H1746" s="34" t="s">
        <v>925</v>
      </c>
    </row>
    <row r="1747" spans="1:8" ht="16.5">
      <c r="A1747" s="160"/>
      <c r="B1747" s="160" t="s">
        <v>933</v>
      </c>
      <c r="C1747" s="157" t="s">
        <v>17</v>
      </c>
      <c r="D1747" s="159">
        <v>2.4</v>
      </c>
      <c r="E1747" s="159"/>
      <c r="F1747" s="159">
        <v>10701.77</v>
      </c>
      <c r="G1747" s="160"/>
    </row>
    <row r="1748" spans="1:8" ht="33">
      <c r="A1748" s="160"/>
      <c r="B1748" s="160" t="s">
        <v>934</v>
      </c>
      <c r="C1748" s="157" t="s">
        <v>17</v>
      </c>
      <c r="D1748" s="159"/>
      <c r="E1748" s="159"/>
      <c r="F1748" s="159">
        <v>4459.07</v>
      </c>
      <c r="G1748" s="160"/>
      <c r="H1748" s="34" t="s">
        <v>925</v>
      </c>
    </row>
    <row r="1749" spans="1:8" ht="33">
      <c r="A1749" s="160"/>
      <c r="B1749" s="160"/>
      <c r="C1749" s="157"/>
      <c r="D1749" s="159"/>
      <c r="E1749" s="159"/>
      <c r="F1749" s="159"/>
      <c r="G1749" s="160"/>
      <c r="H1749" s="34" t="s">
        <v>925</v>
      </c>
    </row>
    <row r="1750" spans="1:8" ht="33">
      <c r="A1750" s="160" t="s">
        <v>1979</v>
      </c>
      <c r="B1750" s="160" t="s">
        <v>1782</v>
      </c>
      <c r="C1750" s="157" t="s">
        <v>17</v>
      </c>
      <c r="D1750" s="159">
        <v>2.4</v>
      </c>
      <c r="E1750" s="159">
        <v>6178.39</v>
      </c>
      <c r="F1750" s="159"/>
      <c r="G1750" s="160" t="s">
        <v>2</v>
      </c>
      <c r="H1750" s="34" t="s">
        <v>925</v>
      </c>
    </row>
    <row r="1751" spans="1:8" ht="33">
      <c r="A1751" s="160">
        <v>1</v>
      </c>
      <c r="B1751" s="160" t="s">
        <v>1784</v>
      </c>
      <c r="C1751" s="157" t="s">
        <v>1497</v>
      </c>
      <c r="D1751" s="159">
        <v>1</v>
      </c>
      <c r="E1751" s="159">
        <v>11782.91</v>
      </c>
      <c r="F1751" s="159">
        <v>11782.91</v>
      </c>
      <c r="G1751" s="160" t="s">
        <v>5426</v>
      </c>
      <c r="H1751" s="34" t="s">
        <v>925</v>
      </c>
    </row>
    <row r="1752" spans="1:8" ht="33">
      <c r="A1752" s="160">
        <v>2</v>
      </c>
      <c r="B1752" s="160" t="s">
        <v>4962</v>
      </c>
      <c r="C1752" s="157" t="s">
        <v>927</v>
      </c>
      <c r="D1752" s="159">
        <v>0.8</v>
      </c>
      <c r="E1752" s="159">
        <v>379.5</v>
      </c>
      <c r="F1752" s="159">
        <v>303.60000000000002</v>
      </c>
      <c r="G1752" s="160" t="s">
        <v>5453</v>
      </c>
      <c r="H1752" s="34" t="s">
        <v>925</v>
      </c>
    </row>
    <row r="1753" spans="1:8" ht="33">
      <c r="A1753" s="160">
        <v>3</v>
      </c>
      <c r="B1753" s="160" t="s">
        <v>4871</v>
      </c>
      <c r="C1753" s="157" t="s">
        <v>927</v>
      </c>
      <c r="D1753" s="159">
        <v>2.4</v>
      </c>
      <c r="E1753" s="159">
        <v>260.08999999999997</v>
      </c>
      <c r="F1753" s="159">
        <v>624.22</v>
      </c>
      <c r="G1753" s="160" t="s">
        <v>5435</v>
      </c>
      <c r="H1753" s="34" t="s">
        <v>925</v>
      </c>
    </row>
    <row r="1754" spans="1:8" ht="16.5">
      <c r="A1754" s="160">
        <v>4</v>
      </c>
      <c r="B1754" s="160" t="s">
        <v>1774</v>
      </c>
      <c r="C1754" s="157" t="s">
        <v>927</v>
      </c>
      <c r="D1754" s="159">
        <v>1</v>
      </c>
      <c r="E1754" s="159">
        <v>1314.35</v>
      </c>
      <c r="F1754" s="159">
        <v>1314.35</v>
      </c>
      <c r="G1754" s="160" t="s">
        <v>2</v>
      </c>
    </row>
    <row r="1755" spans="1:8" ht="33">
      <c r="A1755" s="160">
        <v>5</v>
      </c>
      <c r="B1755" s="160" t="s">
        <v>4964</v>
      </c>
      <c r="C1755" s="157" t="s">
        <v>927</v>
      </c>
      <c r="D1755" s="159">
        <v>1</v>
      </c>
      <c r="E1755" s="159">
        <v>371.17</v>
      </c>
      <c r="F1755" s="159">
        <v>371.17</v>
      </c>
      <c r="G1755" s="160" t="s">
        <v>5454</v>
      </c>
      <c r="H1755" s="34" t="s">
        <v>925</v>
      </c>
    </row>
    <row r="1756" spans="1:8" ht="33">
      <c r="A1756" s="160">
        <v>6</v>
      </c>
      <c r="B1756" s="160" t="s">
        <v>931</v>
      </c>
      <c r="C1756" s="157" t="s">
        <v>14</v>
      </c>
      <c r="D1756" s="159">
        <v>1</v>
      </c>
      <c r="E1756" s="159">
        <v>431.89</v>
      </c>
      <c r="F1756" s="159">
        <v>431.89</v>
      </c>
      <c r="G1756" s="160" t="s">
        <v>2</v>
      </c>
      <c r="H1756" s="34" t="s">
        <v>925</v>
      </c>
    </row>
    <row r="1757" spans="1:8" ht="33">
      <c r="A1757" s="160"/>
      <c r="B1757" s="160" t="s">
        <v>933</v>
      </c>
      <c r="C1757" s="157" t="s">
        <v>17</v>
      </c>
      <c r="D1757" s="159">
        <v>2.4</v>
      </c>
      <c r="E1757" s="159"/>
      <c r="F1757" s="159">
        <v>14828.14</v>
      </c>
      <c r="G1757" s="160"/>
      <c r="H1757" s="34" t="s">
        <v>925</v>
      </c>
    </row>
    <row r="1758" spans="1:8" ht="33">
      <c r="A1758" s="160"/>
      <c r="B1758" s="160" t="s">
        <v>934</v>
      </c>
      <c r="C1758" s="157" t="s">
        <v>17</v>
      </c>
      <c r="D1758" s="159"/>
      <c r="E1758" s="159"/>
      <c r="F1758" s="159">
        <v>6178.39</v>
      </c>
      <c r="G1758" s="160"/>
      <c r="H1758" s="34" t="s">
        <v>925</v>
      </c>
    </row>
    <row r="1759" spans="1:8" ht="33">
      <c r="A1759" s="160"/>
      <c r="B1759" s="160"/>
      <c r="C1759" s="157"/>
      <c r="D1759" s="159"/>
      <c r="E1759" s="159"/>
      <c r="F1759" s="159"/>
      <c r="G1759" s="160"/>
      <c r="H1759" s="34" t="s">
        <v>925</v>
      </c>
    </row>
    <row r="1760" spans="1:8" ht="33">
      <c r="A1760" s="160" t="s">
        <v>1986</v>
      </c>
      <c r="B1760" s="160" t="s">
        <v>1787</v>
      </c>
      <c r="C1760" s="157" t="s">
        <v>17</v>
      </c>
      <c r="D1760" s="159">
        <v>2.4</v>
      </c>
      <c r="E1760" s="159">
        <v>8051.6</v>
      </c>
      <c r="F1760" s="159"/>
      <c r="G1760" s="160" t="s">
        <v>2</v>
      </c>
      <c r="H1760" s="34" t="s">
        <v>925</v>
      </c>
    </row>
    <row r="1761" spans="1:8" ht="28.5">
      <c r="A1761" s="160">
        <v>1</v>
      </c>
      <c r="B1761" s="160" t="s">
        <v>1789</v>
      </c>
      <c r="C1761" s="157" t="s">
        <v>1497</v>
      </c>
      <c r="D1761" s="159">
        <v>1</v>
      </c>
      <c r="E1761" s="159">
        <v>17142.14</v>
      </c>
      <c r="F1761" s="159">
        <v>17142.14</v>
      </c>
      <c r="G1761" s="160" t="s">
        <v>5426</v>
      </c>
    </row>
    <row r="1762" spans="1:8" ht="33">
      <c r="A1762" s="160">
        <v>2</v>
      </c>
      <c r="B1762" s="160" t="s">
        <v>4962</v>
      </c>
      <c r="C1762" s="157" t="s">
        <v>927</v>
      </c>
      <c r="D1762" s="159">
        <v>0.53</v>
      </c>
      <c r="E1762" s="159">
        <v>379.5</v>
      </c>
      <c r="F1762" s="159">
        <v>201.14</v>
      </c>
      <c r="G1762" s="160" t="s">
        <v>5453</v>
      </c>
      <c r="H1762" s="34" t="s">
        <v>925</v>
      </c>
    </row>
    <row r="1763" spans="1:8" ht="33">
      <c r="A1763" s="160">
        <v>3</v>
      </c>
      <c r="B1763" s="160" t="s">
        <v>4871</v>
      </c>
      <c r="C1763" s="157" t="s">
        <v>927</v>
      </c>
      <c r="D1763" s="159">
        <v>2.12</v>
      </c>
      <c r="E1763" s="159">
        <v>260.08999999999997</v>
      </c>
      <c r="F1763" s="159">
        <v>551.39</v>
      </c>
      <c r="G1763" s="160" t="s">
        <v>5435</v>
      </c>
      <c r="H1763" s="34" t="s">
        <v>925</v>
      </c>
    </row>
    <row r="1764" spans="1:8" ht="33">
      <c r="A1764" s="160">
        <v>4</v>
      </c>
      <c r="B1764" s="160" t="s">
        <v>1441</v>
      </c>
      <c r="C1764" s="157" t="s">
        <v>927</v>
      </c>
      <c r="D1764" s="159">
        <v>0.53</v>
      </c>
      <c r="E1764" s="159">
        <v>1263.45</v>
      </c>
      <c r="F1764" s="159">
        <v>669.63</v>
      </c>
      <c r="G1764" s="160" t="s">
        <v>2</v>
      </c>
      <c r="H1764" s="34" t="s">
        <v>925</v>
      </c>
    </row>
    <row r="1765" spans="1:8" ht="33">
      <c r="A1765" s="160">
        <v>5</v>
      </c>
      <c r="B1765" s="160" t="s">
        <v>1443</v>
      </c>
      <c r="C1765" s="157" t="s">
        <v>927</v>
      </c>
      <c r="D1765" s="159">
        <v>0.53</v>
      </c>
      <c r="E1765" s="159">
        <v>371.17</v>
      </c>
      <c r="F1765" s="159">
        <v>196.72</v>
      </c>
      <c r="G1765" s="160" t="s">
        <v>2</v>
      </c>
      <c r="H1765" s="34" t="s">
        <v>925</v>
      </c>
    </row>
    <row r="1766" spans="1:8" ht="33">
      <c r="A1766" s="160">
        <v>6</v>
      </c>
      <c r="B1766" s="160" t="s">
        <v>931</v>
      </c>
      <c r="C1766" s="157" t="s">
        <v>14</v>
      </c>
      <c r="D1766" s="159">
        <v>1</v>
      </c>
      <c r="E1766" s="159">
        <v>562.83000000000004</v>
      </c>
      <c r="F1766" s="159">
        <v>562.83000000000004</v>
      </c>
      <c r="G1766" s="160" t="s">
        <v>2</v>
      </c>
      <c r="H1766" s="34" t="s">
        <v>925</v>
      </c>
    </row>
    <row r="1767" spans="1:8" ht="33">
      <c r="A1767" s="160"/>
      <c r="B1767" s="160" t="s">
        <v>933</v>
      </c>
      <c r="C1767" s="157" t="s">
        <v>17</v>
      </c>
      <c r="D1767" s="159">
        <v>2.4</v>
      </c>
      <c r="E1767" s="159"/>
      <c r="F1767" s="159">
        <v>19323.850000000002</v>
      </c>
      <c r="G1767" s="160"/>
      <c r="H1767" s="34" t="s">
        <v>925</v>
      </c>
    </row>
    <row r="1768" spans="1:8" ht="16.5">
      <c r="A1768" s="160"/>
      <c r="B1768" s="160" t="s">
        <v>934</v>
      </c>
      <c r="C1768" s="157" t="s">
        <v>17</v>
      </c>
      <c r="D1768" s="159"/>
      <c r="E1768" s="159"/>
      <c r="F1768" s="159">
        <v>8051.6</v>
      </c>
      <c r="G1768" s="160"/>
    </row>
    <row r="1769" spans="1:8" ht="33">
      <c r="A1769" s="160"/>
      <c r="B1769" s="160"/>
      <c r="C1769" s="157"/>
      <c r="D1769" s="159"/>
      <c r="E1769" s="159"/>
      <c r="F1769" s="159"/>
      <c r="G1769" s="160"/>
      <c r="H1769" s="34" t="s">
        <v>925</v>
      </c>
    </row>
    <row r="1770" spans="1:8" ht="33">
      <c r="A1770" s="160" t="s">
        <v>1993</v>
      </c>
      <c r="B1770" s="160" t="s">
        <v>1792</v>
      </c>
      <c r="C1770" s="157" t="s">
        <v>17</v>
      </c>
      <c r="D1770" s="159">
        <v>2.4</v>
      </c>
      <c r="E1770" s="159">
        <v>9975.0300000000007</v>
      </c>
      <c r="F1770" s="159"/>
      <c r="G1770" s="160" t="s">
        <v>2</v>
      </c>
      <c r="H1770" s="34" t="s">
        <v>925</v>
      </c>
    </row>
    <row r="1771" spans="1:8" ht="33">
      <c r="A1771" s="160">
        <v>1</v>
      </c>
      <c r="B1771" s="160" t="s">
        <v>1794</v>
      </c>
      <c r="C1771" s="157" t="s">
        <v>1497</v>
      </c>
      <c r="D1771" s="159">
        <v>1</v>
      </c>
      <c r="E1771" s="159">
        <v>21196.28</v>
      </c>
      <c r="F1771" s="159">
        <v>21196.28</v>
      </c>
      <c r="G1771" s="160" t="s">
        <v>5426</v>
      </c>
      <c r="H1771" s="34" t="s">
        <v>925</v>
      </c>
    </row>
    <row r="1772" spans="1:8" ht="33">
      <c r="A1772" s="160">
        <v>2</v>
      </c>
      <c r="B1772" s="160" t="s">
        <v>4962</v>
      </c>
      <c r="C1772" s="157" t="s">
        <v>927</v>
      </c>
      <c r="D1772" s="159">
        <v>0.67</v>
      </c>
      <c r="E1772" s="159">
        <v>379.5</v>
      </c>
      <c r="F1772" s="159">
        <v>254.27</v>
      </c>
      <c r="G1772" s="160" t="s">
        <v>5453</v>
      </c>
      <c r="H1772" s="34" t="s">
        <v>925</v>
      </c>
    </row>
    <row r="1773" spans="1:8" ht="33">
      <c r="A1773" s="160">
        <v>3</v>
      </c>
      <c r="B1773" s="160" t="s">
        <v>4871</v>
      </c>
      <c r="C1773" s="157" t="s">
        <v>927</v>
      </c>
      <c r="D1773" s="159">
        <v>2.68</v>
      </c>
      <c r="E1773" s="159">
        <v>260.08999999999997</v>
      </c>
      <c r="F1773" s="159">
        <v>697.04</v>
      </c>
      <c r="G1773" s="160" t="s">
        <v>5435</v>
      </c>
      <c r="H1773" s="34" t="s">
        <v>925</v>
      </c>
    </row>
    <row r="1774" spans="1:8" ht="33">
      <c r="A1774" s="160">
        <v>4</v>
      </c>
      <c r="B1774" s="160" t="s">
        <v>1441</v>
      </c>
      <c r="C1774" s="157" t="s">
        <v>927</v>
      </c>
      <c r="D1774" s="159">
        <v>0.67</v>
      </c>
      <c r="E1774" s="159">
        <v>1263.45</v>
      </c>
      <c r="F1774" s="159">
        <v>846.51</v>
      </c>
      <c r="G1774" s="160" t="s">
        <v>2</v>
      </c>
      <c r="H1774" s="34" t="s">
        <v>925</v>
      </c>
    </row>
    <row r="1775" spans="1:8" ht="16.5">
      <c r="A1775" s="160">
        <v>5</v>
      </c>
      <c r="B1775" s="160" t="s">
        <v>1443</v>
      </c>
      <c r="C1775" s="157" t="s">
        <v>927</v>
      </c>
      <c r="D1775" s="159">
        <v>0.67</v>
      </c>
      <c r="E1775" s="159">
        <v>371.17</v>
      </c>
      <c r="F1775" s="159">
        <v>248.68</v>
      </c>
      <c r="G1775" s="160" t="s">
        <v>2</v>
      </c>
    </row>
    <row r="1776" spans="1:8" ht="33">
      <c r="A1776" s="160">
        <v>6</v>
      </c>
      <c r="B1776" s="160" t="s">
        <v>931</v>
      </c>
      <c r="C1776" s="157" t="s">
        <v>14</v>
      </c>
      <c r="D1776" s="159">
        <v>1</v>
      </c>
      <c r="E1776" s="159">
        <v>697.28</v>
      </c>
      <c r="F1776" s="159">
        <v>697.28</v>
      </c>
      <c r="G1776" s="160" t="s">
        <v>2</v>
      </c>
      <c r="H1776" s="34" t="s">
        <v>925</v>
      </c>
    </row>
    <row r="1777" spans="1:8" ht="33">
      <c r="A1777" s="160"/>
      <c r="B1777" s="160" t="s">
        <v>933</v>
      </c>
      <c r="C1777" s="157" t="s">
        <v>17</v>
      </c>
      <c r="D1777" s="159">
        <v>2.4</v>
      </c>
      <c r="E1777" s="159"/>
      <c r="F1777" s="159">
        <v>23940.059999999998</v>
      </c>
      <c r="G1777" s="160"/>
      <c r="H1777" s="34" t="s">
        <v>925</v>
      </c>
    </row>
    <row r="1778" spans="1:8" ht="33">
      <c r="A1778" s="160"/>
      <c r="B1778" s="160" t="s">
        <v>934</v>
      </c>
      <c r="C1778" s="157" t="s">
        <v>17</v>
      </c>
      <c r="D1778" s="159"/>
      <c r="E1778" s="159"/>
      <c r="F1778" s="159">
        <v>9975.0300000000007</v>
      </c>
      <c r="G1778" s="160"/>
      <c r="H1778" s="34" t="s">
        <v>925</v>
      </c>
    </row>
    <row r="1779" spans="1:8" ht="33">
      <c r="A1779" s="160"/>
      <c r="B1779" s="160"/>
      <c r="C1779" s="157"/>
      <c r="D1779" s="159"/>
      <c r="E1779" s="159"/>
      <c r="F1779" s="159"/>
      <c r="G1779" s="160"/>
      <c r="H1779" s="34" t="s">
        <v>925</v>
      </c>
    </row>
    <row r="1780" spans="1:8" ht="33">
      <c r="A1780" s="160" t="s">
        <v>2000</v>
      </c>
      <c r="B1780" s="160" t="s">
        <v>1797</v>
      </c>
      <c r="C1780" s="157" t="s">
        <v>17</v>
      </c>
      <c r="D1780" s="159">
        <v>2.4</v>
      </c>
      <c r="E1780" s="159">
        <v>12012.46</v>
      </c>
      <c r="F1780" s="159"/>
      <c r="G1780" s="160" t="s">
        <v>2</v>
      </c>
      <c r="H1780" s="34" t="s">
        <v>925</v>
      </c>
    </row>
    <row r="1781" spans="1:8" ht="33">
      <c r="A1781" s="160">
        <v>1</v>
      </c>
      <c r="B1781" s="160" t="s">
        <v>1799</v>
      </c>
      <c r="C1781" s="157" t="s">
        <v>1497</v>
      </c>
      <c r="D1781" s="159">
        <v>1</v>
      </c>
      <c r="E1781" s="159">
        <v>25546.61</v>
      </c>
      <c r="F1781" s="159">
        <v>25546.61</v>
      </c>
      <c r="G1781" s="160" t="s">
        <v>5426</v>
      </c>
      <c r="H1781" s="34" t="s">
        <v>925</v>
      </c>
    </row>
    <row r="1782" spans="1:8" ht="28.5">
      <c r="A1782" s="160">
        <v>2</v>
      </c>
      <c r="B1782" s="160" t="s">
        <v>4962</v>
      </c>
      <c r="C1782" s="157" t="s">
        <v>927</v>
      </c>
      <c r="D1782" s="159">
        <v>0.8</v>
      </c>
      <c r="E1782" s="159">
        <v>379.5</v>
      </c>
      <c r="F1782" s="159">
        <v>303.60000000000002</v>
      </c>
      <c r="G1782" s="160" t="s">
        <v>5453</v>
      </c>
    </row>
    <row r="1783" spans="1:8" ht="33">
      <c r="A1783" s="160">
        <v>3</v>
      </c>
      <c r="B1783" s="160" t="s">
        <v>4871</v>
      </c>
      <c r="C1783" s="157" t="s">
        <v>927</v>
      </c>
      <c r="D1783" s="159">
        <v>3.2</v>
      </c>
      <c r="E1783" s="159">
        <v>260.08999999999997</v>
      </c>
      <c r="F1783" s="159">
        <v>832.29</v>
      </c>
      <c r="G1783" s="160" t="s">
        <v>5435</v>
      </c>
      <c r="H1783" s="34" t="s">
        <v>925</v>
      </c>
    </row>
    <row r="1784" spans="1:8" ht="33">
      <c r="A1784" s="160">
        <v>4</v>
      </c>
      <c r="B1784" s="160" t="s">
        <v>1441</v>
      </c>
      <c r="C1784" s="157" t="s">
        <v>927</v>
      </c>
      <c r="D1784" s="159">
        <v>0.8</v>
      </c>
      <c r="E1784" s="159">
        <v>1263.45</v>
      </c>
      <c r="F1784" s="159">
        <v>1010.76</v>
      </c>
      <c r="G1784" s="160" t="s">
        <v>2</v>
      </c>
      <c r="H1784" s="34" t="s">
        <v>925</v>
      </c>
    </row>
    <row r="1785" spans="1:8" ht="33">
      <c r="A1785" s="160">
        <v>5</v>
      </c>
      <c r="B1785" s="160" t="s">
        <v>1443</v>
      </c>
      <c r="C1785" s="157" t="s">
        <v>927</v>
      </c>
      <c r="D1785" s="159">
        <v>0.8</v>
      </c>
      <c r="E1785" s="159">
        <v>371.17</v>
      </c>
      <c r="F1785" s="159">
        <v>296.94</v>
      </c>
      <c r="G1785" s="160" t="s">
        <v>2</v>
      </c>
      <c r="H1785" s="34" t="s">
        <v>925</v>
      </c>
    </row>
    <row r="1786" spans="1:8" ht="33">
      <c r="A1786" s="160">
        <v>6</v>
      </c>
      <c r="B1786" s="160" t="s">
        <v>931</v>
      </c>
      <c r="C1786" s="157" t="s">
        <v>14</v>
      </c>
      <c r="D1786" s="159">
        <v>1</v>
      </c>
      <c r="E1786" s="159">
        <v>839.71</v>
      </c>
      <c r="F1786" s="159">
        <v>839.71</v>
      </c>
      <c r="G1786" s="160" t="s">
        <v>2</v>
      </c>
      <c r="H1786" s="34" t="s">
        <v>925</v>
      </c>
    </row>
    <row r="1787" spans="1:8" ht="33">
      <c r="A1787" s="160"/>
      <c r="B1787" s="160" t="s">
        <v>933</v>
      </c>
      <c r="C1787" s="157" t="s">
        <v>17</v>
      </c>
      <c r="D1787" s="159">
        <v>2.4</v>
      </c>
      <c r="E1787" s="159"/>
      <c r="F1787" s="159">
        <v>28829.909999999996</v>
      </c>
      <c r="G1787" s="160"/>
      <c r="H1787" s="34" t="s">
        <v>925</v>
      </c>
    </row>
    <row r="1788" spans="1:8" ht="33">
      <c r="A1788" s="160"/>
      <c r="B1788" s="160" t="s">
        <v>934</v>
      </c>
      <c r="C1788" s="157" t="s">
        <v>17</v>
      </c>
      <c r="D1788" s="159"/>
      <c r="E1788" s="159"/>
      <c r="F1788" s="159">
        <v>12012.46</v>
      </c>
      <c r="G1788" s="160"/>
      <c r="H1788" s="34" t="s">
        <v>925</v>
      </c>
    </row>
    <row r="1789" spans="1:8" ht="33">
      <c r="A1789" s="160"/>
      <c r="B1789" s="160"/>
      <c r="C1789" s="157"/>
      <c r="D1789" s="159"/>
      <c r="E1789" s="159"/>
      <c r="F1789" s="159"/>
      <c r="G1789" s="160"/>
      <c r="H1789" s="34" t="s">
        <v>925</v>
      </c>
    </row>
    <row r="1790" spans="1:8" ht="33">
      <c r="A1790" s="160" t="s">
        <v>2007</v>
      </c>
      <c r="B1790" s="160" t="s">
        <v>1802</v>
      </c>
      <c r="C1790" s="157" t="s">
        <v>17</v>
      </c>
      <c r="D1790" s="159">
        <v>2.4</v>
      </c>
      <c r="E1790" s="159">
        <v>15170.49</v>
      </c>
      <c r="F1790" s="159"/>
      <c r="G1790" s="160" t="s">
        <v>2</v>
      </c>
      <c r="H1790" s="34" t="s">
        <v>925</v>
      </c>
    </row>
    <row r="1791" spans="1:8" ht="28.5">
      <c r="A1791" s="160">
        <v>1</v>
      </c>
      <c r="B1791" s="160" t="s">
        <v>1804</v>
      </c>
      <c r="C1791" s="157" t="s">
        <v>1497</v>
      </c>
      <c r="D1791" s="159">
        <v>1</v>
      </c>
      <c r="E1791" s="159">
        <v>32599.69</v>
      </c>
      <c r="F1791" s="159">
        <v>32599.69</v>
      </c>
      <c r="G1791" s="160" t="s">
        <v>5426</v>
      </c>
    </row>
    <row r="1792" spans="1:8" ht="33">
      <c r="A1792" s="160">
        <v>2</v>
      </c>
      <c r="B1792" s="160" t="s">
        <v>4962</v>
      </c>
      <c r="C1792" s="157" t="s">
        <v>927</v>
      </c>
      <c r="D1792" s="159">
        <v>0.9</v>
      </c>
      <c r="E1792" s="159">
        <v>379.5</v>
      </c>
      <c r="F1792" s="159">
        <v>341.55</v>
      </c>
      <c r="G1792" s="160" t="s">
        <v>5453</v>
      </c>
      <c r="H1792" s="34" t="s">
        <v>925</v>
      </c>
    </row>
    <row r="1793" spans="1:8" ht="33">
      <c r="A1793" s="160">
        <v>3</v>
      </c>
      <c r="B1793" s="160" t="s">
        <v>4871</v>
      </c>
      <c r="C1793" s="157" t="s">
        <v>927</v>
      </c>
      <c r="D1793" s="159">
        <v>3.6</v>
      </c>
      <c r="E1793" s="159">
        <v>260.08999999999997</v>
      </c>
      <c r="F1793" s="159">
        <v>936.32</v>
      </c>
      <c r="G1793" s="160" t="s">
        <v>5435</v>
      </c>
      <c r="H1793" s="34" t="s">
        <v>925</v>
      </c>
    </row>
    <row r="1794" spans="1:8" ht="33">
      <c r="A1794" s="160">
        <v>4</v>
      </c>
      <c r="B1794" s="160" t="s">
        <v>1441</v>
      </c>
      <c r="C1794" s="157" t="s">
        <v>927</v>
      </c>
      <c r="D1794" s="159">
        <v>0.9</v>
      </c>
      <c r="E1794" s="159">
        <v>1263.45</v>
      </c>
      <c r="F1794" s="159">
        <v>1137.1099999999999</v>
      </c>
      <c r="G1794" s="160" t="s">
        <v>2</v>
      </c>
      <c r="H1794" s="34" t="s">
        <v>925</v>
      </c>
    </row>
    <row r="1795" spans="1:8" ht="33">
      <c r="A1795" s="160">
        <v>5</v>
      </c>
      <c r="B1795" s="160" t="s">
        <v>1443</v>
      </c>
      <c r="C1795" s="157" t="s">
        <v>927</v>
      </c>
      <c r="D1795" s="159">
        <v>0.9</v>
      </c>
      <c r="E1795" s="159">
        <v>371.17</v>
      </c>
      <c r="F1795" s="159">
        <v>334.05</v>
      </c>
      <c r="G1795" s="160" t="s">
        <v>2</v>
      </c>
      <c r="H1795" s="34" t="s">
        <v>925</v>
      </c>
    </row>
    <row r="1796" spans="1:8" ht="33">
      <c r="A1796" s="160">
        <v>6</v>
      </c>
      <c r="B1796" s="160" t="s">
        <v>931</v>
      </c>
      <c r="C1796" s="157" t="s">
        <v>14</v>
      </c>
      <c r="D1796" s="159">
        <v>1</v>
      </c>
      <c r="E1796" s="159">
        <v>1060.46</v>
      </c>
      <c r="F1796" s="159">
        <v>1060.46</v>
      </c>
      <c r="G1796" s="160" t="s">
        <v>2</v>
      </c>
      <c r="H1796" s="34" t="s">
        <v>925</v>
      </c>
    </row>
    <row r="1797" spans="1:8" ht="33">
      <c r="A1797" s="160"/>
      <c r="B1797" s="160" t="s">
        <v>933</v>
      </c>
      <c r="C1797" s="157" t="s">
        <v>17</v>
      </c>
      <c r="D1797" s="159">
        <v>2.4</v>
      </c>
      <c r="E1797" s="159"/>
      <c r="F1797" s="159">
        <v>36409.18</v>
      </c>
      <c r="G1797" s="160"/>
      <c r="H1797" s="34" t="s">
        <v>925</v>
      </c>
    </row>
    <row r="1798" spans="1:8" ht="16.5">
      <c r="A1798" s="160"/>
      <c r="B1798" s="160" t="s">
        <v>934</v>
      </c>
      <c r="C1798" s="157" t="s">
        <v>17</v>
      </c>
      <c r="D1798" s="159"/>
      <c r="E1798" s="159"/>
      <c r="F1798" s="159">
        <v>15170.49</v>
      </c>
      <c r="G1798" s="160"/>
    </row>
    <row r="1799" spans="1:8" ht="33">
      <c r="A1799" s="160"/>
      <c r="B1799" s="160"/>
      <c r="C1799" s="157"/>
      <c r="D1799" s="159"/>
      <c r="E1799" s="159"/>
      <c r="F1799" s="159"/>
      <c r="G1799" s="160"/>
      <c r="H1799" s="34" t="s">
        <v>925</v>
      </c>
    </row>
    <row r="1800" spans="1:8" ht="33">
      <c r="A1800" s="160" t="s">
        <v>2014</v>
      </c>
      <c r="B1800" s="160" t="s">
        <v>1807</v>
      </c>
      <c r="C1800" s="157" t="s">
        <v>17</v>
      </c>
      <c r="D1800" s="159">
        <v>2.4</v>
      </c>
      <c r="E1800" s="159">
        <v>18793.3</v>
      </c>
      <c r="F1800" s="159"/>
      <c r="G1800" s="160" t="s">
        <v>2</v>
      </c>
      <c r="H1800" s="34" t="s">
        <v>925</v>
      </c>
    </row>
    <row r="1801" spans="1:8" ht="33">
      <c r="A1801" s="160">
        <v>1</v>
      </c>
      <c r="B1801" s="160" t="s">
        <v>1809</v>
      </c>
      <c r="C1801" s="157" t="s">
        <v>1497</v>
      </c>
      <c r="D1801" s="159">
        <v>1</v>
      </c>
      <c r="E1801" s="159">
        <v>40735.730000000003</v>
      </c>
      <c r="F1801" s="159">
        <v>40735.730000000003</v>
      </c>
      <c r="G1801" s="160" t="s">
        <v>5426</v>
      </c>
      <c r="H1801" s="34" t="s">
        <v>925</v>
      </c>
    </row>
    <row r="1802" spans="1:8" ht="33">
      <c r="A1802" s="160">
        <v>2</v>
      </c>
      <c r="B1802" s="160" t="s">
        <v>4962</v>
      </c>
      <c r="C1802" s="157" t="s">
        <v>927</v>
      </c>
      <c r="D1802" s="159">
        <v>1</v>
      </c>
      <c r="E1802" s="159">
        <v>379.5</v>
      </c>
      <c r="F1802" s="159">
        <v>379.5</v>
      </c>
      <c r="G1802" s="160" t="s">
        <v>5453</v>
      </c>
      <c r="H1802" s="34" t="s">
        <v>925</v>
      </c>
    </row>
    <row r="1803" spans="1:8" ht="33">
      <c r="A1803" s="160">
        <v>3</v>
      </c>
      <c r="B1803" s="160" t="s">
        <v>4871</v>
      </c>
      <c r="C1803" s="157" t="s">
        <v>927</v>
      </c>
      <c r="D1803" s="159">
        <v>4</v>
      </c>
      <c r="E1803" s="159">
        <v>260.08999999999997</v>
      </c>
      <c r="F1803" s="159">
        <v>1040.3599999999999</v>
      </c>
      <c r="G1803" s="160" t="s">
        <v>5435</v>
      </c>
      <c r="H1803" s="34" t="s">
        <v>925</v>
      </c>
    </row>
    <row r="1804" spans="1:8" ht="33">
      <c r="A1804" s="160">
        <v>4</v>
      </c>
      <c r="B1804" s="160" t="s">
        <v>1441</v>
      </c>
      <c r="C1804" s="157" t="s">
        <v>927</v>
      </c>
      <c r="D1804" s="159">
        <v>1</v>
      </c>
      <c r="E1804" s="159">
        <v>1263.45</v>
      </c>
      <c r="F1804" s="159">
        <v>1263.45</v>
      </c>
      <c r="G1804" s="160" t="s">
        <v>2</v>
      </c>
      <c r="H1804" s="34" t="s">
        <v>925</v>
      </c>
    </row>
    <row r="1805" spans="1:8" ht="16.5">
      <c r="A1805" s="160">
        <v>5</v>
      </c>
      <c r="B1805" s="160" t="s">
        <v>1443</v>
      </c>
      <c r="C1805" s="157" t="s">
        <v>927</v>
      </c>
      <c r="D1805" s="159">
        <v>1</v>
      </c>
      <c r="E1805" s="159">
        <v>371.17</v>
      </c>
      <c r="F1805" s="159">
        <v>371.17</v>
      </c>
      <c r="G1805" s="160" t="s">
        <v>2</v>
      </c>
    </row>
    <row r="1806" spans="1:8" ht="33">
      <c r="A1806" s="160">
        <v>6</v>
      </c>
      <c r="B1806" s="160" t="s">
        <v>931</v>
      </c>
      <c r="C1806" s="157" t="s">
        <v>14</v>
      </c>
      <c r="D1806" s="159">
        <v>1</v>
      </c>
      <c r="E1806" s="159">
        <v>1313.71</v>
      </c>
      <c r="F1806" s="159">
        <v>1313.71</v>
      </c>
      <c r="G1806" s="160" t="s">
        <v>2</v>
      </c>
      <c r="H1806" s="34" t="s">
        <v>925</v>
      </c>
    </row>
    <row r="1807" spans="1:8" ht="33">
      <c r="A1807" s="160"/>
      <c r="B1807" s="160" t="s">
        <v>933</v>
      </c>
      <c r="C1807" s="157" t="s">
        <v>17</v>
      </c>
      <c r="D1807" s="159">
        <v>2.4</v>
      </c>
      <c r="E1807" s="159"/>
      <c r="F1807" s="159">
        <v>45103.92</v>
      </c>
      <c r="G1807" s="160"/>
      <c r="H1807" s="34" t="s">
        <v>925</v>
      </c>
    </row>
    <row r="1808" spans="1:8" ht="33">
      <c r="A1808" s="160"/>
      <c r="B1808" s="160" t="s">
        <v>934</v>
      </c>
      <c r="C1808" s="157" t="s">
        <v>17</v>
      </c>
      <c r="D1808" s="159"/>
      <c r="E1808" s="159"/>
      <c r="F1808" s="159">
        <v>18793.3</v>
      </c>
      <c r="G1808" s="160"/>
      <c r="H1808" s="34" t="s">
        <v>925</v>
      </c>
    </row>
    <row r="1809" spans="1:8" ht="33">
      <c r="A1809" s="160"/>
      <c r="B1809" s="160"/>
      <c r="C1809" s="157"/>
      <c r="D1809" s="159"/>
      <c r="E1809" s="159"/>
      <c r="F1809" s="159"/>
      <c r="G1809" s="160"/>
      <c r="H1809" s="34" t="s">
        <v>925</v>
      </c>
    </row>
    <row r="1810" spans="1:8" ht="33">
      <c r="A1810" s="160" t="s">
        <v>2021</v>
      </c>
      <c r="B1810" s="160" t="s">
        <v>1812</v>
      </c>
      <c r="C1810" s="157" t="s">
        <v>17</v>
      </c>
      <c r="D1810" s="159">
        <v>2.4</v>
      </c>
      <c r="E1810" s="159">
        <v>22550.81</v>
      </c>
      <c r="F1810" s="159"/>
      <c r="G1810" s="160" t="s">
        <v>2</v>
      </c>
      <c r="H1810" s="34" t="s">
        <v>925</v>
      </c>
    </row>
    <row r="1811" spans="1:8" ht="33">
      <c r="A1811" s="160">
        <v>1</v>
      </c>
      <c r="B1811" s="160" t="s">
        <v>1814</v>
      </c>
      <c r="C1811" s="157" t="s">
        <v>1497</v>
      </c>
      <c r="D1811" s="159">
        <v>1</v>
      </c>
      <c r="E1811" s="159">
        <v>48899.54</v>
      </c>
      <c r="F1811" s="159">
        <v>48899.54</v>
      </c>
      <c r="G1811" s="160" t="s">
        <v>5426</v>
      </c>
      <c r="H1811" s="34" t="s">
        <v>925</v>
      </c>
    </row>
    <row r="1812" spans="1:8" ht="28.5">
      <c r="A1812" s="160">
        <v>2</v>
      </c>
      <c r="B1812" s="160" t="s">
        <v>4962</v>
      </c>
      <c r="C1812" s="157" t="s">
        <v>927</v>
      </c>
      <c r="D1812" s="159">
        <v>1.1000000000000001</v>
      </c>
      <c r="E1812" s="159">
        <v>379.5</v>
      </c>
      <c r="F1812" s="159">
        <v>417.45</v>
      </c>
      <c r="G1812" s="160" t="s">
        <v>5453</v>
      </c>
    </row>
    <row r="1813" spans="1:8" ht="33">
      <c r="A1813" s="160">
        <v>3</v>
      </c>
      <c r="B1813" s="160" t="s">
        <v>4871</v>
      </c>
      <c r="C1813" s="157" t="s">
        <v>927</v>
      </c>
      <c r="D1813" s="159">
        <v>5.5</v>
      </c>
      <c r="E1813" s="159">
        <v>260.08999999999997</v>
      </c>
      <c r="F1813" s="159">
        <v>1430.5</v>
      </c>
      <c r="G1813" s="160" t="s">
        <v>5435</v>
      </c>
      <c r="H1813" s="34" t="s">
        <v>925</v>
      </c>
    </row>
    <row r="1814" spans="1:8" ht="33">
      <c r="A1814" s="160">
        <v>4</v>
      </c>
      <c r="B1814" s="160" t="s">
        <v>1441</v>
      </c>
      <c r="C1814" s="157" t="s">
        <v>927</v>
      </c>
      <c r="D1814" s="159">
        <v>1.1000000000000001</v>
      </c>
      <c r="E1814" s="159">
        <v>1263.45</v>
      </c>
      <c r="F1814" s="159">
        <v>1389.8</v>
      </c>
      <c r="G1814" s="160" t="s">
        <v>2</v>
      </c>
      <c r="H1814" s="34" t="s">
        <v>925</v>
      </c>
    </row>
    <row r="1815" spans="1:8" ht="33">
      <c r="A1815" s="160">
        <v>5</v>
      </c>
      <c r="B1815" s="160" t="s">
        <v>1443</v>
      </c>
      <c r="C1815" s="157" t="s">
        <v>927</v>
      </c>
      <c r="D1815" s="159">
        <v>1.1000000000000001</v>
      </c>
      <c r="E1815" s="159">
        <v>371.17</v>
      </c>
      <c r="F1815" s="159">
        <v>408.29</v>
      </c>
      <c r="G1815" s="160" t="s">
        <v>2</v>
      </c>
      <c r="H1815" s="34" t="s">
        <v>925</v>
      </c>
    </row>
    <row r="1816" spans="1:8" ht="33">
      <c r="A1816" s="160">
        <v>6</v>
      </c>
      <c r="B1816" s="160" t="s">
        <v>931</v>
      </c>
      <c r="C1816" s="157" t="s">
        <v>14</v>
      </c>
      <c r="D1816" s="159">
        <v>1</v>
      </c>
      <c r="E1816" s="159">
        <v>1576.37</v>
      </c>
      <c r="F1816" s="159">
        <v>1576.37</v>
      </c>
      <c r="G1816" s="160" t="s">
        <v>2</v>
      </c>
      <c r="H1816" s="34" t="s">
        <v>925</v>
      </c>
    </row>
    <row r="1817" spans="1:8" ht="33">
      <c r="A1817" s="160"/>
      <c r="B1817" s="160" t="s">
        <v>933</v>
      </c>
      <c r="C1817" s="157" t="s">
        <v>17</v>
      </c>
      <c r="D1817" s="159">
        <v>2.4</v>
      </c>
      <c r="E1817" s="159"/>
      <c r="F1817" s="159">
        <v>54121.950000000004</v>
      </c>
      <c r="G1817" s="160"/>
      <c r="H1817" s="34" t="s">
        <v>925</v>
      </c>
    </row>
    <row r="1818" spans="1:8" ht="33">
      <c r="A1818" s="160"/>
      <c r="B1818" s="160" t="s">
        <v>934</v>
      </c>
      <c r="C1818" s="157" t="s">
        <v>17</v>
      </c>
      <c r="D1818" s="159"/>
      <c r="E1818" s="159"/>
      <c r="F1818" s="159">
        <v>22550.81</v>
      </c>
      <c r="G1818" s="160"/>
      <c r="H1818" s="34" t="s">
        <v>925</v>
      </c>
    </row>
    <row r="1819" spans="1:8" ht="16.5">
      <c r="A1819" s="160"/>
      <c r="B1819" s="160"/>
      <c r="C1819" s="157"/>
      <c r="D1819" s="159"/>
      <c r="E1819" s="159"/>
      <c r="F1819" s="159"/>
      <c r="G1819" s="160"/>
    </row>
    <row r="1820" spans="1:8" ht="33">
      <c r="A1820" s="160" t="s">
        <v>2028</v>
      </c>
      <c r="B1820" s="160" t="s">
        <v>1817</v>
      </c>
      <c r="C1820" s="157" t="s">
        <v>1818</v>
      </c>
      <c r="D1820" s="159">
        <v>1</v>
      </c>
      <c r="E1820" s="159">
        <v>1087.79</v>
      </c>
      <c r="F1820" s="159"/>
      <c r="G1820" s="160" t="s">
        <v>2</v>
      </c>
      <c r="H1820" s="34" t="s">
        <v>925</v>
      </c>
    </row>
    <row r="1821" spans="1:8" ht="33">
      <c r="A1821" s="160">
        <v>1</v>
      </c>
      <c r="B1821" s="160" t="s">
        <v>1820</v>
      </c>
      <c r="C1821" s="157" t="s">
        <v>1818</v>
      </c>
      <c r="D1821" s="159">
        <v>1</v>
      </c>
      <c r="E1821" s="159">
        <v>1014.46</v>
      </c>
      <c r="F1821" s="159">
        <v>1014.46</v>
      </c>
      <c r="G1821" s="160" t="s">
        <v>2</v>
      </c>
      <c r="H1821" s="34" t="s">
        <v>925</v>
      </c>
    </row>
    <row r="1822" spans="1:8" ht="33">
      <c r="A1822" s="160">
        <v>2</v>
      </c>
      <c r="B1822" s="160" t="s">
        <v>1822</v>
      </c>
      <c r="C1822" s="157" t="s">
        <v>1818</v>
      </c>
      <c r="D1822" s="159">
        <v>1</v>
      </c>
      <c r="E1822" s="159">
        <v>41.65</v>
      </c>
      <c r="F1822" s="159">
        <v>41.65</v>
      </c>
      <c r="G1822" s="160" t="s">
        <v>2</v>
      </c>
      <c r="H1822" s="34" t="s">
        <v>925</v>
      </c>
    </row>
    <row r="1823" spans="1:8" ht="33">
      <c r="A1823" s="160">
        <v>3</v>
      </c>
      <c r="B1823" s="160" t="s">
        <v>931</v>
      </c>
      <c r="C1823" s="157" t="s">
        <v>14</v>
      </c>
      <c r="D1823" s="159">
        <v>1</v>
      </c>
      <c r="E1823" s="159">
        <v>31.68</v>
      </c>
      <c r="F1823" s="159">
        <v>31.68</v>
      </c>
      <c r="G1823" s="160" t="s">
        <v>2</v>
      </c>
      <c r="H1823" s="34" t="s">
        <v>925</v>
      </c>
    </row>
    <row r="1824" spans="1:8" ht="33">
      <c r="A1824" s="160"/>
      <c r="B1824" s="160" t="s">
        <v>933</v>
      </c>
      <c r="C1824" s="157" t="s">
        <v>1818</v>
      </c>
      <c r="D1824" s="159">
        <v>1</v>
      </c>
      <c r="E1824" s="159"/>
      <c r="F1824" s="159">
        <v>1087.7900000000002</v>
      </c>
      <c r="G1824" s="160"/>
      <c r="H1824" s="34" t="s">
        <v>925</v>
      </c>
    </row>
    <row r="1825" spans="1:8" ht="33">
      <c r="A1825" s="160"/>
      <c r="B1825" s="160" t="s">
        <v>934</v>
      </c>
      <c r="C1825" s="157" t="s">
        <v>1818</v>
      </c>
      <c r="D1825" s="159"/>
      <c r="E1825" s="159"/>
      <c r="F1825" s="159">
        <v>1087.79</v>
      </c>
      <c r="G1825" s="160"/>
      <c r="H1825" s="34" t="s">
        <v>925</v>
      </c>
    </row>
    <row r="1826" spans="1:8" ht="16.5">
      <c r="A1826" s="160"/>
      <c r="B1826" s="160"/>
      <c r="C1826" s="157"/>
      <c r="D1826" s="159"/>
      <c r="E1826" s="159"/>
      <c r="F1826" s="159"/>
      <c r="G1826" s="160"/>
    </row>
    <row r="1827" spans="1:8" ht="33">
      <c r="A1827" s="160" t="s">
        <v>2031</v>
      </c>
      <c r="B1827" s="160" t="s">
        <v>1825</v>
      </c>
      <c r="C1827" s="157" t="s">
        <v>1818</v>
      </c>
      <c r="D1827" s="159">
        <v>1</v>
      </c>
      <c r="E1827" s="159">
        <v>1214.5999999999999</v>
      </c>
      <c r="F1827" s="159"/>
      <c r="G1827" s="160" t="s">
        <v>2</v>
      </c>
      <c r="H1827" s="34" t="s">
        <v>925</v>
      </c>
    </row>
    <row r="1828" spans="1:8" ht="33">
      <c r="A1828" s="160">
        <v>1</v>
      </c>
      <c r="B1828" s="160" t="s">
        <v>1827</v>
      </c>
      <c r="C1828" s="157" t="s">
        <v>1818</v>
      </c>
      <c r="D1828" s="159">
        <v>1</v>
      </c>
      <c r="E1828" s="159">
        <v>1132.94</v>
      </c>
      <c r="F1828" s="159">
        <v>1132.94</v>
      </c>
      <c r="G1828" s="160" t="s">
        <v>2</v>
      </c>
      <c r="H1828" s="34" t="s">
        <v>925</v>
      </c>
    </row>
    <row r="1829" spans="1:8" ht="33">
      <c r="A1829" s="160">
        <v>2</v>
      </c>
      <c r="B1829" s="160" t="s">
        <v>1829</v>
      </c>
      <c r="C1829" s="157" t="s">
        <v>1818</v>
      </c>
      <c r="D1829" s="159">
        <v>1</v>
      </c>
      <c r="E1829" s="159">
        <v>46.28</v>
      </c>
      <c r="F1829" s="159">
        <v>46.28</v>
      </c>
      <c r="G1829" s="160" t="s">
        <v>2</v>
      </c>
      <c r="H1829" s="34" t="s">
        <v>925</v>
      </c>
    </row>
    <row r="1830" spans="1:8" ht="33">
      <c r="A1830" s="160">
        <v>3</v>
      </c>
      <c r="B1830" s="160" t="s">
        <v>931</v>
      </c>
      <c r="C1830" s="157" t="s">
        <v>14</v>
      </c>
      <c r="D1830" s="159">
        <v>1</v>
      </c>
      <c r="E1830" s="159">
        <v>35.380000000000003</v>
      </c>
      <c r="F1830" s="159">
        <v>35.380000000000003</v>
      </c>
      <c r="G1830" s="160" t="s">
        <v>2</v>
      </c>
      <c r="H1830" s="34" t="s">
        <v>925</v>
      </c>
    </row>
    <row r="1831" spans="1:8" ht="33">
      <c r="A1831" s="160"/>
      <c r="B1831" s="160" t="s">
        <v>933</v>
      </c>
      <c r="C1831" s="157" t="s">
        <v>1818</v>
      </c>
      <c r="D1831" s="159">
        <v>1</v>
      </c>
      <c r="E1831" s="159"/>
      <c r="F1831" s="159">
        <v>1214.6000000000001</v>
      </c>
      <c r="G1831" s="160"/>
      <c r="H1831" s="34" t="s">
        <v>925</v>
      </c>
    </row>
    <row r="1832" spans="1:8" ht="33">
      <c r="A1832" s="160"/>
      <c r="B1832" s="160" t="s">
        <v>934</v>
      </c>
      <c r="C1832" s="157" t="s">
        <v>1818</v>
      </c>
      <c r="D1832" s="159"/>
      <c r="E1832" s="159"/>
      <c r="F1832" s="159">
        <v>1214.5999999999999</v>
      </c>
      <c r="G1832" s="160"/>
      <c r="H1832" s="34" t="s">
        <v>925</v>
      </c>
    </row>
    <row r="1833" spans="1:8" ht="16.5">
      <c r="A1833" s="160"/>
      <c r="B1833" s="160"/>
      <c r="C1833" s="157"/>
      <c r="D1833" s="159"/>
      <c r="E1833" s="159"/>
      <c r="F1833" s="159"/>
      <c r="G1833" s="160"/>
    </row>
    <row r="1834" spans="1:8" ht="33">
      <c r="A1834" s="160" t="s">
        <v>2036</v>
      </c>
      <c r="B1834" s="160" t="s">
        <v>1832</v>
      </c>
      <c r="C1834" s="157" t="s">
        <v>1818</v>
      </c>
      <c r="D1834" s="159">
        <v>1</v>
      </c>
      <c r="E1834" s="159">
        <v>1478.68</v>
      </c>
      <c r="F1834" s="159"/>
      <c r="G1834" s="160" t="s">
        <v>2</v>
      </c>
      <c r="H1834" s="34" t="s">
        <v>925</v>
      </c>
    </row>
    <row r="1835" spans="1:8" ht="33">
      <c r="A1835" s="160">
        <v>1</v>
      </c>
      <c r="B1835" s="160" t="s">
        <v>1834</v>
      </c>
      <c r="C1835" s="157" t="s">
        <v>1818</v>
      </c>
      <c r="D1835" s="159">
        <v>1</v>
      </c>
      <c r="E1835" s="159">
        <v>1384.7</v>
      </c>
      <c r="F1835" s="159">
        <v>1384.7</v>
      </c>
      <c r="G1835" s="160" t="s">
        <v>2</v>
      </c>
      <c r="H1835" s="34" t="s">
        <v>925</v>
      </c>
    </row>
    <row r="1836" spans="1:8" ht="33">
      <c r="A1836" s="160">
        <v>2</v>
      </c>
      <c r="B1836" s="160" t="s">
        <v>1836</v>
      </c>
      <c r="C1836" s="157" t="s">
        <v>1818</v>
      </c>
      <c r="D1836" s="159">
        <v>1</v>
      </c>
      <c r="E1836" s="159">
        <v>50.91</v>
      </c>
      <c r="F1836" s="159">
        <v>50.91</v>
      </c>
      <c r="G1836" s="160" t="s">
        <v>2</v>
      </c>
      <c r="H1836" s="34" t="s">
        <v>925</v>
      </c>
    </row>
    <row r="1837" spans="1:8" ht="33">
      <c r="A1837" s="160">
        <v>3</v>
      </c>
      <c r="B1837" s="160" t="s">
        <v>931</v>
      </c>
      <c r="C1837" s="157" t="s">
        <v>14</v>
      </c>
      <c r="D1837" s="159">
        <v>1</v>
      </c>
      <c r="E1837" s="159">
        <v>43.07</v>
      </c>
      <c r="F1837" s="159">
        <v>43.07</v>
      </c>
      <c r="G1837" s="160" t="s">
        <v>2</v>
      </c>
      <c r="H1837" s="34" t="s">
        <v>925</v>
      </c>
    </row>
    <row r="1838" spans="1:8" ht="33">
      <c r="A1838" s="160"/>
      <c r="B1838" s="160" t="s">
        <v>933</v>
      </c>
      <c r="C1838" s="157" t="s">
        <v>1818</v>
      </c>
      <c r="D1838" s="159">
        <v>1</v>
      </c>
      <c r="E1838" s="159"/>
      <c r="F1838" s="159">
        <v>1478.68</v>
      </c>
      <c r="G1838" s="160"/>
      <c r="H1838" s="34" t="s">
        <v>925</v>
      </c>
    </row>
    <row r="1839" spans="1:8" ht="33">
      <c r="A1839" s="160"/>
      <c r="B1839" s="160" t="s">
        <v>934</v>
      </c>
      <c r="C1839" s="157" t="s">
        <v>1818</v>
      </c>
      <c r="D1839" s="159"/>
      <c r="E1839" s="159"/>
      <c r="F1839" s="159">
        <v>1478.68</v>
      </c>
      <c r="G1839" s="160"/>
      <c r="H1839" s="34" t="s">
        <v>925</v>
      </c>
    </row>
    <row r="1840" spans="1:8" ht="16.5">
      <c r="A1840" s="160"/>
      <c r="B1840" s="160"/>
      <c r="C1840" s="157"/>
      <c r="D1840" s="159"/>
      <c r="E1840" s="159"/>
      <c r="F1840" s="159"/>
      <c r="G1840" s="160"/>
    </row>
    <row r="1841" spans="1:8" ht="33">
      <c r="A1841" s="160" t="s">
        <v>2041</v>
      </c>
      <c r="B1841" s="160" t="s">
        <v>1839</v>
      </c>
      <c r="C1841" s="157" t="s">
        <v>1818</v>
      </c>
      <c r="D1841" s="159">
        <v>1</v>
      </c>
      <c r="E1841" s="159">
        <v>1516.82</v>
      </c>
      <c r="F1841" s="159"/>
      <c r="G1841" s="160" t="s">
        <v>2</v>
      </c>
      <c r="H1841" s="34" t="s">
        <v>925</v>
      </c>
    </row>
    <row r="1842" spans="1:8" ht="33">
      <c r="A1842" s="160">
        <v>1</v>
      </c>
      <c r="B1842" s="160" t="s">
        <v>1841</v>
      </c>
      <c r="C1842" s="157" t="s">
        <v>1818</v>
      </c>
      <c r="D1842" s="159">
        <v>1</v>
      </c>
      <c r="E1842" s="159">
        <v>1417.1</v>
      </c>
      <c r="F1842" s="159">
        <v>1417.1</v>
      </c>
      <c r="G1842" s="160" t="s">
        <v>2</v>
      </c>
      <c r="H1842" s="34" t="s">
        <v>925</v>
      </c>
    </row>
    <row r="1843" spans="1:8" ht="33">
      <c r="A1843" s="160">
        <v>2</v>
      </c>
      <c r="B1843" s="160" t="s">
        <v>1843</v>
      </c>
      <c r="C1843" s="157" t="s">
        <v>1818</v>
      </c>
      <c r="D1843" s="159">
        <v>1</v>
      </c>
      <c r="E1843" s="159">
        <v>55.54</v>
      </c>
      <c r="F1843" s="159">
        <v>55.54</v>
      </c>
      <c r="G1843" s="160" t="s">
        <v>2</v>
      </c>
      <c r="H1843" s="34" t="s">
        <v>925</v>
      </c>
    </row>
    <row r="1844" spans="1:8" ht="33">
      <c r="A1844" s="160">
        <v>3</v>
      </c>
      <c r="B1844" s="160" t="s">
        <v>931</v>
      </c>
      <c r="C1844" s="157" t="s">
        <v>14</v>
      </c>
      <c r="D1844" s="159">
        <v>1</v>
      </c>
      <c r="E1844" s="159">
        <v>44.18</v>
      </c>
      <c r="F1844" s="159">
        <v>44.18</v>
      </c>
      <c r="G1844" s="160" t="s">
        <v>2</v>
      </c>
      <c r="H1844" s="34" t="s">
        <v>925</v>
      </c>
    </row>
    <row r="1845" spans="1:8" ht="33">
      <c r="A1845" s="160"/>
      <c r="B1845" s="160" t="s">
        <v>933</v>
      </c>
      <c r="C1845" s="157" t="s">
        <v>1818</v>
      </c>
      <c r="D1845" s="159">
        <v>1</v>
      </c>
      <c r="E1845" s="159"/>
      <c r="F1845" s="159">
        <v>1516.82</v>
      </c>
      <c r="G1845" s="160"/>
      <c r="H1845" s="34" t="s">
        <v>925</v>
      </c>
    </row>
    <row r="1846" spans="1:8" ht="33">
      <c r="A1846" s="160"/>
      <c r="B1846" s="160" t="s">
        <v>934</v>
      </c>
      <c r="C1846" s="157" t="s">
        <v>1818</v>
      </c>
      <c r="D1846" s="159"/>
      <c r="E1846" s="159"/>
      <c r="F1846" s="159">
        <v>1516.82</v>
      </c>
      <c r="G1846" s="160"/>
      <c r="H1846" s="34" t="s">
        <v>925</v>
      </c>
    </row>
    <row r="1847" spans="1:8" ht="16.5">
      <c r="A1847" s="160"/>
      <c r="B1847" s="160"/>
      <c r="C1847" s="157"/>
      <c r="D1847" s="159"/>
      <c r="E1847" s="159"/>
      <c r="F1847" s="159"/>
      <c r="G1847" s="160"/>
    </row>
    <row r="1848" spans="1:8" ht="33">
      <c r="A1848" s="160" t="s">
        <v>2046</v>
      </c>
      <c r="B1848" s="160" t="s">
        <v>1846</v>
      </c>
      <c r="C1848" s="157" t="s">
        <v>1818</v>
      </c>
      <c r="D1848" s="159">
        <v>1</v>
      </c>
      <c r="E1848" s="159">
        <v>1706.52</v>
      </c>
      <c r="F1848" s="159"/>
      <c r="G1848" s="160" t="s">
        <v>2</v>
      </c>
      <c r="H1848" s="34" t="s">
        <v>925</v>
      </c>
    </row>
    <row r="1849" spans="1:8" ht="33">
      <c r="A1849" s="160">
        <v>1</v>
      </c>
      <c r="B1849" s="160" t="s">
        <v>1848</v>
      </c>
      <c r="C1849" s="157" t="s">
        <v>1818</v>
      </c>
      <c r="D1849" s="159">
        <v>1</v>
      </c>
      <c r="E1849" s="159">
        <v>1596.66</v>
      </c>
      <c r="F1849" s="159">
        <v>1596.66</v>
      </c>
      <c r="G1849" s="160" t="s">
        <v>2</v>
      </c>
      <c r="H1849" s="34" t="s">
        <v>925</v>
      </c>
    </row>
    <row r="1850" spans="1:8" ht="33">
      <c r="A1850" s="160">
        <v>2</v>
      </c>
      <c r="B1850" s="160" t="s">
        <v>1850</v>
      </c>
      <c r="C1850" s="157" t="s">
        <v>1818</v>
      </c>
      <c r="D1850" s="159">
        <v>1</v>
      </c>
      <c r="E1850" s="159">
        <v>60.16</v>
      </c>
      <c r="F1850" s="159">
        <v>60.16</v>
      </c>
      <c r="G1850" s="160" t="s">
        <v>2</v>
      </c>
      <c r="H1850" s="34" t="s">
        <v>925</v>
      </c>
    </row>
    <row r="1851" spans="1:8" ht="33">
      <c r="A1851" s="160">
        <v>3</v>
      </c>
      <c r="B1851" s="160" t="s">
        <v>931</v>
      </c>
      <c r="C1851" s="157" t="s">
        <v>14</v>
      </c>
      <c r="D1851" s="159">
        <v>1</v>
      </c>
      <c r="E1851" s="159">
        <v>49.7</v>
      </c>
      <c r="F1851" s="159">
        <v>49.7</v>
      </c>
      <c r="G1851" s="160" t="s">
        <v>2</v>
      </c>
      <c r="H1851" s="34" t="s">
        <v>925</v>
      </c>
    </row>
    <row r="1852" spans="1:8" ht="33">
      <c r="A1852" s="160"/>
      <c r="B1852" s="160" t="s">
        <v>933</v>
      </c>
      <c r="C1852" s="157" t="s">
        <v>1818</v>
      </c>
      <c r="D1852" s="159">
        <v>1</v>
      </c>
      <c r="E1852" s="159"/>
      <c r="F1852" s="159">
        <v>1706.5200000000002</v>
      </c>
      <c r="G1852" s="160"/>
      <c r="H1852" s="34" t="s">
        <v>925</v>
      </c>
    </row>
    <row r="1853" spans="1:8" ht="33">
      <c r="A1853" s="160"/>
      <c r="B1853" s="160" t="s">
        <v>934</v>
      </c>
      <c r="C1853" s="157" t="s">
        <v>1818</v>
      </c>
      <c r="D1853" s="159"/>
      <c r="E1853" s="159"/>
      <c r="F1853" s="159">
        <v>1706.52</v>
      </c>
      <c r="G1853" s="160"/>
      <c r="H1853" s="34" t="s">
        <v>925</v>
      </c>
    </row>
    <row r="1854" spans="1:8" ht="33">
      <c r="A1854" s="160"/>
      <c r="B1854" s="160"/>
      <c r="C1854" s="157"/>
      <c r="D1854" s="159"/>
      <c r="E1854" s="159"/>
      <c r="F1854" s="159"/>
      <c r="G1854" s="160"/>
      <c r="H1854" s="34" t="s">
        <v>925</v>
      </c>
    </row>
    <row r="1855" spans="1:8" ht="33">
      <c r="A1855" s="160" t="s">
        <v>2053</v>
      </c>
      <c r="B1855" s="160" t="s">
        <v>1853</v>
      </c>
      <c r="C1855" s="157" t="s">
        <v>1818</v>
      </c>
      <c r="D1855" s="159">
        <v>1</v>
      </c>
      <c r="E1855" s="159">
        <v>1973.47</v>
      </c>
      <c r="F1855" s="159"/>
      <c r="G1855" s="160" t="s">
        <v>2</v>
      </c>
      <c r="H1855" s="34" t="s">
        <v>925</v>
      </c>
    </row>
    <row r="1856" spans="1:8" ht="28.5">
      <c r="A1856" s="160">
        <v>1</v>
      </c>
      <c r="B1856" s="160" t="s">
        <v>1855</v>
      </c>
      <c r="C1856" s="157" t="s">
        <v>1818</v>
      </c>
      <c r="D1856" s="159">
        <v>1</v>
      </c>
      <c r="E1856" s="159">
        <v>1851.2</v>
      </c>
      <c r="F1856" s="159">
        <v>1851.2</v>
      </c>
      <c r="G1856" s="160" t="s">
        <v>2</v>
      </c>
    </row>
    <row r="1857" spans="1:8" ht="33">
      <c r="A1857" s="160">
        <v>2</v>
      </c>
      <c r="B1857" s="160" t="s">
        <v>1857</v>
      </c>
      <c r="C1857" s="157" t="s">
        <v>1818</v>
      </c>
      <c r="D1857" s="159">
        <v>1</v>
      </c>
      <c r="E1857" s="159">
        <v>64.790000000000006</v>
      </c>
      <c r="F1857" s="159">
        <v>64.790000000000006</v>
      </c>
      <c r="G1857" s="160" t="s">
        <v>2</v>
      </c>
      <c r="H1857" s="34" t="s">
        <v>925</v>
      </c>
    </row>
    <row r="1858" spans="1:8" ht="33">
      <c r="A1858" s="160">
        <v>3</v>
      </c>
      <c r="B1858" s="160" t="s">
        <v>931</v>
      </c>
      <c r="C1858" s="157" t="s">
        <v>14</v>
      </c>
      <c r="D1858" s="159">
        <v>1</v>
      </c>
      <c r="E1858" s="159">
        <v>57.48</v>
      </c>
      <c r="F1858" s="159">
        <v>57.48</v>
      </c>
      <c r="G1858" s="160" t="s">
        <v>2</v>
      </c>
      <c r="H1858" s="34" t="s">
        <v>925</v>
      </c>
    </row>
    <row r="1859" spans="1:8" ht="33">
      <c r="A1859" s="160"/>
      <c r="B1859" s="160" t="s">
        <v>933</v>
      </c>
      <c r="C1859" s="157" t="s">
        <v>1818</v>
      </c>
      <c r="D1859" s="159">
        <v>1</v>
      </c>
      <c r="E1859" s="159"/>
      <c r="F1859" s="159">
        <v>1973.47</v>
      </c>
      <c r="G1859" s="160"/>
      <c r="H1859" s="34" t="s">
        <v>925</v>
      </c>
    </row>
    <row r="1860" spans="1:8" ht="33">
      <c r="A1860" s="160"/>
      <c r="B1860" s="160" t="s">
        <v>934</v>
      </c>
      <c r="C1860" s="157" t="s">
        <v>1818</v>
      </c>
      <c r="D1860" s="159"/>
      <c r="E1860" s="159"/>
      <c r="F1860" s="159">
        <v>1973.47</v>
      </c>
      <c r="G1860" s="160"/>
      <c r="H1860" s="34" t="s">
        <v>925</v>
      </c>
    </row>
    <row r="1861" spans="1:8" ht="33">
      <c r="A1861" s="160"/>
      <c r="B1861" s="160"/>
      <c r="C1861" s="157"/>
      <c r="D1861" s="159"/>
      <c r="E1861" s="159"/>
      <c r="F1861" s="159"/>
      <c r="G1861" s="160"/>
      <c r="H1861" s="34" t="s">
        <v>925</v>
      </c>
    </row>
    <row r="1862" spans="1:8" ht="33">
      <c r="A1862" s="160" t="s">
        <v>2058</v>
      </c>
      <c r="B1862" s="160" t="s">
        <v>1860</v>
      </c>
      <c r="C1862" s="157" t="s">
        <v>1818</v>
      </c>
      <c r="D1862" s="159">
        <v>1</v>
      </c>
      <c r="E1862" s="159">
        <v>2118.39</v>
      </c>
      <c r="F1862" s="159"/>
      <c r="G1862" s="160" t="s">
        <v>2</v>
      </c>
      <c r="H1862" s="34" t="s">
        <v>925</v>
      </c>
    </row>
    <row r="1863" spans="1:8" ht="33">
      <c r="A1863" s="160">
        <v>1</v>
      </c>
      <c r="B1863" s="160" t="s">
        <v>1862</v>
      </c>
      <c r="C1863" s="157" t="s">
        <v>1818</v>
      </c>
      <c r="D1863" s="159">
        <v>1</v>
      </c>
      <c r="E1863" s="159">
        <v>1987.27</v>
      </c>
      <c r="F1863" s="159">
        <v>1987.27</v>
      </c>
      <c r="G1863" s="160" t="s">
        <v>2</v>
      </c>
      <c r="H1863" s="34" t="s">
        <v>925</v>
      </c>
    </row>
    <row r="1864" spans="1:8" ht="33">
      <c r="A1864" s="160">
        <v>2</v>
      </c>
      <c r="B1864" s="160" t="s">
        <v>1864</v>
      </c>
      <c r="C1864" s="157" t="s">
        <v>1818</v>
      </c>
      <c r="D1864" s="159">
        <v>1</v>
      </c>
      <c r="E1864" s="159">
        <v>69.42</v>
      </c>
      <c r="F1864" s="159">
        <v>69.42</v>
      </c>
      <c r="G1864" s="160" t="s">
        <v>2</v>
      </c>
      <c r="H1864" s="34" t="s">
        <v>925</v>
      </c>
    </row>
    <row r="1865" spans="1:8" ht="33">
      <c r="A1865" s="160">
        <v>3</v>
      </c>
      <c r="B1865" s="160" t="s">
        <v>931</v>
      </c>
      <c r="C1865" s="157" t="s">
        <v>14</v>
      </c>
      <c r="D1865" s="159">
        <v>1</v>
      </c>
      <c r="E1865" s="159">
        <v>61.7</v>
      </c>
      <c r="F1865" s="159">
        <v>61.7</v>
      </c>
      <c r="G1865" s="160" t="s">
        <v>2</v>
      </c>
      <c r="H1865" s="34" t="s">
        <v>925</v>
      </c>
    </row>
    <row r="1866" spans="1:8" ht="33">
      <c r="A1866" s="160"/>
      <c r="B1866" s="160" t="s">
        <v>933</v>
      </c>
      <c r="C1866" s="157" t="s">
        <v>1818</v>
      </c>
      <c r="D1866" s="159">
        <v>1</v>
      </c>
      <c r="E1866" s="159"/>
      <c r="F1866" s="159">
        <v>2118.39</v>
      </c>
      <c r="G1866" s="160"/>
      <c r="H1866" s="34" t="s">
        <v>925</v>
      </c>
    </row>
    <row r="1867" spans="1:8" ht="16.5">
      <c r="A1867" s="160"/>
      <c r="B1867" s="160" t="s">
        <v>934</v>
      </c>
      <c r="C1867" s="157" t="s">
        <v>1818</v>
      </c>
      <c r="D1867" s="159"/>
      <c r="E1867" s="159"/>
      <c r="F1867" s="159">
        <v>2118.39</v>
      </c>
      <c r="G1867" s="160"/>
    </row>
    <row r="1868" spans="1:8" ht="33">
      <c r="A1868" s="160"/>
      <c r="B1868" s="160"/>
      <c r="C1868" s="157"/>
      <c r="D1868" s="159"/>
      <c r="E1868" s="159"/>
      <c r="F1868" s="159"/>
      <c r="G1868" s="160"/>
      <c r="H1868" s="34" t="s">
        <v>925</v>
      </c>
    </row>
    <row r="1869" spans="1:8" ht="33">
      <c r="A1869" s="160" t="s">
        <v>2063</v>
      </c>
      <c r="B1869" s="160" t="s">
        <v>1867</v>
      </c>
      <c r="C1869" s="157" t="s">
        <v>1818</v>
      </c>
      <c r="D1869" s="159">
        <v>1</v>
      </c>
      <c r="E1869" s="159">
        <v>2245.1799999999998</v>
      </c>
      <c r="F1869" s="159"/>
      <c r="G1869" s="160" t="s">
        <v>2</v>
      </c>
      <c r="H1869" s="34" t="s">
        <v>925</v>
      </c>
    </row>
    <row r="1870" spans="1:8" ht="33">
      <c r="A1870" s="160">
        <v>1</v>
      </c>
      <c r="B1870" s="160" t="s">
        <v>1869</v>
      </c>
      <c r="C1870" s="157" t="s">
        <v>1818</v>
      </c>
      <c r="D1870" s="159">
        <v>1</v>
      </c>
      <c r="E1870" s="159">
        <v>2105.7399999999998</v>
      </c>
      <c r="F1870" s="159">
        <v>2105.7399999999998</v>
      </c>
      <c r="G1870" s="160" t="s">
        <v>2</v>
      </c>
      <c r="H1870" s="34" t="s">
        <v>925</v>
      </c>
    </row>
    <row r="1871" spans="1:8" ht="33">
      <c r="A1871" s="160">
        <v>2</v>
      </c>
      <c r="B1871" s="160" t="s">
        <v>1871</v>
      </c>
      <c r="C1871" s="157" t="s">
        <v>1818</v>
      </c>
      <c r="D1871" s="159">
        <v>1</v>
      </c>
      <c r="E1871" s="159">
        <v>74.05</v>
      </c>
      <c r="F1871" s="159">
        <v>74.05</v>
      </c>
      <c r="G1871" s="160" t="s">
        <v>2</v>
      </c>
      <c r="H1871" s="34" t="s">
        <v>925</v>
      </c>
    </row>
    <row r="1872" spans="1:8" ht="33">
      <c r="A1872" s="160">
        <v>3</v>
      </c>
      <c r="B1872" s="160" t="s">
        <v>931</v>
      </c>
      <c r="C1872" s="157" t="s">
        <v>14</v>
      </c>
      <c r="D1872" s="159">
        <v>1</v>
      </c>
      <c r="E1872" s="159">
        <v>65.39</v>
      </c>
      <c r="F1872" s="159">
        <v>65.39</v>
      </c>
      <c r="G1872" s="160" t="s">
        <v>2</v>
      </c>
      <c r="H1872" s="34" t="s">
        <v>925</v>
      </c>
    </row>
    <row r="1873" spans="1:8" ht="33">
      <c r="A1873" s="160"/>
      <c r="B1873" s="160" t="s">
        <v>933</v>
      </c>
      <c r="C1873" s="157" t="s">
        <v>1818</v>
      </c>
      <c r="D1873" s="159">
        <v>1</v>
      </c>
      <c r="E1873" s="159"/>
      <c r="F1873" s="159">
        <v>2245.1799999999998</v>
      </c>
      <c r="G1873" s="160"/>
      <c r="H1873" s="34" t="s">
        <v>925</v>
      </c>
    </row>
    <row r="1874" spans="1:8" ht="33">
      <c r="A1874" s="160"/>
      <c r="B1874" s="160" t="s">
        <v>934</v>
      </c>
      <c r="C1874" s="157" t="s">
        <v>1818</v>
      </c>
      <c r="D1874" s="159"/>
      <c r="E1874" s="159"/>
      <c r="F1874" s="159">
        <v>2245.1799999999998</v>
      </c>
      <c r="G1874" s="160"/>
      <c r="H1874" s="34" t="s">
        <v>925</v>
      </c>
    </row>
    <row r="1875" spans="1:8" ht="16.5">
      <c r="A1875" s="160"/>
      <c r="B1875" s="160"/>
      <c r="C1875" s="157"/>
      <c r="D1875" s="159"/>
      <c r="E1875" s="159"/>
      <c r="F1875" s="159"/>
      <c r="G1875" s="160"/>
    </row>
    <row r="1876" spans="1:8" ht="33">
      <c r="A1876" s="160" t="s">
        <v>2068</v>
      </c>
      <c r="B1876" s="160" t="s">
        <v>1874</v>
      </c>
      <c r="C1876" s="157" t="s">
        <v>1875</v>
      </c>
      <c r="D1876" s="159">
        <v>1</v>
      </c>
      <c r="E1876" s="159">
        <v>798.92</v>
      </c>
      <c r="F1876" s="159"/>
      <c r="G1876" s="160" t="s">
        <v>2</v>
      </c>
      <c r="H1876" s="34" t="s">
        <v>925</v>
      </c>
    </row>
    <row r="1877" spans="1:8" ht="33">
      <c r="A1877" s="160">
        <v>1</v>
      </c>
      <c r="B1877" s="160" t="s">
        <v>1877</v>
      </c>
      <c r="C1877" s="157" t="s">
        <v>1875</v>
      </c>
      <c r="D1877" s="159">
        <v>1</v>
      </c>
      <c r="E1877" s="159">
        <v>706.23</v>
      </c>
      <c r="F1877" s="159">
        <v>706.23</v>
      </c>
      <c r="G1877" s="160" t="s">
        <v>2</v>
      </c>
      <c r="H1877" s="34" t="s">
        <v>925</v>
      </c>
    </row>
    <row r="1878" spans="1:8" ht="33">
      <c r="A1878" s="160">
        <v>2</v>
      </c>
      <c r="B1878" s="160" t="s">
        <v>1879</v>
      </c>
      <c r="C1878" s="157" t="s">
        <v>1875</v>
      </c>
      <c r="D1878" s="159">
        <v>1</v>
      </c>
      <c r="E1878" s="159">
        <v>69.42</v>
      </c>
      <c r="F1878" s="159">
        <v>69.42</v>
      </c>
      <c r="G1878" s="160" t="s">
        <v>2</v>
      </c>
      <c r="H1878" s="34" t="s">
        <v>925</v>
      </c>
    </row>
    <row r="1879" spans="1:8" ht="33">
      <c r="A1879" s="160">
        <v>3</v>
      </c>
      <c r="B1879" s="160" t="s">
        <v>931</v>
      </c>
      <c r="C1879" s="157" t="s">
        <v>14</v>
      </c>
      <c r="D1879" s="159">
        <v>1</v>
      </c>
      <c r="E1879" s="159">
        <v>23.27</v>
      </c>
      <c r="F1879" s="159">
        <v>23.27</v>
      </c>
      <c r="G1879" s="160" t="s">
        <v>2</v>
      </c>
      <c r="H1879" s="34" t="s">
        <v>925</v>
      </c>
    </row>
    <row r="1880" spans="1:8" ht="33">
      <c r="A1880" s="160"/>
      <c r="B1880" s="160" t="s">
        <v>933</v>
      </c>
      <c r="C1880" s="157" t="s">
        <v>1875</v>
      </c>
      <c r="D1880" s="159">
        <v>1</v>
      </c>
      <c r="E1880" s="159"/>
      <c r="F1880" s="159">
        <v>798.92</v>
      </c>
      <c r="G1880" s="160"/>
      <c r="H1880" s="34" t="s">
        <v>925</v>
      </c>
    </row>
    <row r="1881" spans="1:8" ht="33">
      <c r="A1881" s="160"/>
      <c r="B1881" s="160" t="s">
        <v>934</v>
      </c>
      <c r="C1881" s="157" t="s">
        <v>1875</v>
      </c>
      <c r="D1881" s="159"/>
      <c r="E1881" s="159"/>
      <c r="F1881" s="159">
        <v>798.92</v>
      </c>
      <c r="G1881" s="160"/>
      <c r="H1881" s="34" t="s">
        <v>925</v>
      </c>
    </row>
    <row r="1882" spans="1:8" ht="33">
      <c r="A1882" s="160"/>
      <c r="B1882" s="160"/>
      <c r="C1882" s="157"/>
      <c r="D1882" s="159"/>
      <c r="E1882" s="159"/>
      <c r="F1882" s="159"/>
      <c r="G1882" s="160"/>
      <c r="H1882" s="34" t="s">
        <v>925</v>
      </c>
    </row>
    <row r="1883" spans="1:8" ht="28.5">
      <c r="A1883" s="160" t="s">
        <v>2075</v>
      </c>
      <c r="B1883" s="160" t="s">
        <v>1882</v>
      </c>
      <c r="C1883" s="157" t="s">
        <v>1875</v>
      </c>
      <c r="D1883" s="159">
        <v>1</v>
      </c>
      <c r="E1883" s="159">
        <v>877.11</v>
      </c>
      <c r="F1883" s="159"/>
      <c r="G1883" s="160" t="s">
        <v>2</v>
      </c>
    </row>
    <row r="1884" spans="1:8" ht="33">
      <c r="A1884" s="160">
        <v>1</v>
      </c>
      <c r="B1884" s="160" t="s">
        <v>1884</v>
      </c>
      <c r="C1884" s="157" t="s">
        <v>1875</v>
      </c>
      <c r="D1884" s="159">
        <v>1</v>
      </c>
      <c r="E1884" s="159">
        <v>772.88</v>
      </c>
      <c r="F1884" s="159">
        <v>772.88</v>
      </c>
      <c r="G1884" s="160" t="s">
        <v>2</v>
      </c>
      <c r="H1884" s="34" t="s">
        <v>925</v>
      </c>
    </row>
    <row r="1885" spans="1:8" ht="33">
      <c r="A1885" s="160">
        <v>2</v>
      </c>
      <c r="B1885" s="160" t="s">
        <v>1886</v>
      </c>
      <c r="C1885" s="157" t="s">
        <v>1875</v>
      </c>
      <c r="D1885" s="159">
        <v>1</v>
      </c>
      <c r="E1885" s="159">
        <v>78.680000000000007</v>
      </c>
      <c r="F1885" s="159">
        <v>78.680000000000007</v>
      </c>
      <c r="G1885" s="160" t="s">
        <v>2</v>
      </c>
      <c r="H1885" s="34" t="s">
        <v>925</v>
      </c>
    </row>
    <row r="1886" spans="1:8" ht="33">
      <c r="A1886" s="160">
        <v>3</v>
      </c>
      <c r="B1886" s="160" t="s">
        <v>931</v>
      </c>
      <c r="C1886" s="157" t="s">
        <v>14</v>
      </c>
      <c r="D1886" s="159">
        <v>1</v>
      </c>
      <c r="E1886" s="159">
        <v>25.55</v>
      </c>
      <c r="F1886" s="159">
        <v>25.55</v>
      </c>
      <c r="G1886" s="160" t="s">
        <v>2</v>
      </c>
      <c r="H1886" s="34" t="s">
        <v>925</v>
      </c>
    </row>
    <row r="1887" spans="1:8" ht="33">
      <c r="A1887" s="160"/>
      <c r="B1887" s="160" t="s">
        <v>933</v>
      </c>
      <c r="C1887" s="157" t="s">
        <v>1875</v>
      </c>
      <c r="D1887" s="159">
        <v>1</v>
      </c>
      <c r="E1887" s="159"/>
      <c r="F1887" s="159">
        <v>877.1099999999999</v>
      </c>
      <c r="G1887" s="160"/>
      <c r="H1887" s="34" t="s">
        <v>925</v>
      </c>
    </row>
    <row r="1888" spans="1:8" ht="33">
      <c r="A1888" s="160"/>
      <c r="B1888" s="160" t="s">
        <v>934</v>
      </c>
      <c r="C1888" s="157" t="s">
        <v>1875</v>
      </c>
      <c r="D1888" s="159"/>
      <c r="E1888" s="159"/>
      <c r="F1888" s="159">
        <v>877.11</v>
      </c>
      <c r="G1888" s="160"/>
      <c r="H1888" s="34" t="s">
        <v>925</v>
      </c>
    </row>
    <row r="1889" spans="1:8" ht="33">
      <c r="A1889" s="160"/>
      <c r="B1889" s="160"/>
      <c r="C1889" s="157"/>
      <c r="D1889" s="159"/>
      <c r="E1889" s="159"/>
      <c r="F1889" s="159"/>
      <c r="G1889" s="160"/>
      <c r="H1889" s="34" t="s">
        <v>925</v>
      </c>
    </row>
    <row r="1890" spans="1:8" ht="33">
      <c r="A1890" s="160" t="s">
        <v>2082</v>
      </c>
      <c r="B1890" s="160" t="s">
        <v>1889</v>
      </c>
      <c r="C1890" s="157" t="s">
        <v>1875</v>
      </c>
      <c r="D1890" s="159">
        <v>1</v>
      </c>
      <c r="E1890" s="159">
        <v>984.82</v>
      </c>
      <c r="F1890" s="159"/>
      <c r="G1890" s="160" t="s">
        <v>2</v>
      </c>
      <c r="H1890" s="34" t="s">
        <v>925</v>
      </c>
    </row>
    <row r="1891" spans="1:8" ht="28.5">
      <c r="A1891" s="160">
        <v>1</v>
      </c>
      <c r="B1891" s="160" t="s">
        <v>1891</v>
      </c>
      <c r="C1891" s="157" t="s">
        <v>1875</v>
      </c>
      <c r="D1891" s="159">
        <v>1</v>
      </c>
      <c r="E1891" s="159">
        <v>868.21</v>
      </c>
      <c r="F1891" s="159">
        <v>868.21</v>
      </c>
      <c r="G1891" s="160" t="s">
        <v>2</v>
      </c>
    </row>
    <row r="1892" spans="1:8" ht="33">
      <c r="A1892" s="160">
        <v>2</v>
      </c>
      <c r="B1892" s="160" t="s">
        <v>1893</v>
      </c>
      <c r="C1892" s="157" t="s">
        <v>1875</v>
      </c>
      <c r="D1892" s="159">
        <v>1</v>
      </c>
      <c r="E1892" s="159">
        <v>87.93</v>
      </c>
      <c r="F1892" s="159">
        <v>87.93</v>
      </c>
      <c r="G1892" s="160" t="s">
        <v>2</v>
      </c>
      <c r="H1892" s="34" t="s">
        <v>925</v>
      </c>
    </row>
    <row r="1893" spans="1:8" ht="33">
      <c r="A1893" s="160">
        <v>3</v>
      </c>
      <c r="B1893" s="160" t="s">
        <v>931</v>
      </c>
      <c r="C1893" s="157" t="s">
        <v>14</v>
      </c>
      <c r="D1893" s="159">
        <v>1</v>
      </c>
      <c r="E1893" s="159">
        <v>28.68</v>
      </c>
      <c r="F1893" s="159">
        <v>28.68</v>
      </c>
      <c r="G1893" s="160" t="s">
        <v>2</v>
      </c>
      <c r="H1893" s="34" t="s">
        <v>925</v>
      </c>
    </row>
    <row r="1894" spans="1:8" ht="33">
      <c r="A1894" s="160"/>
      <c r="B1894" s="160" t="s">
        <v>933</v>
      </c>
      <c r="C1894" s="157" t="s">
        <v>1875</v>
      </c>
      <c r="D1894" s="159">
        <v>1</v>
      </c>
      <c r="E1894" s="159"/>
      <c r="F1894" s="159">
        <v>984.82</v>
      </c>
      <c r="G1894" s="160"/>
      <c r="H1894" s="34" t="s">
        <v>925</v>
      </c>
    </row>
    <row r="1895" spans="1:8" ht="33">
      <c r="A1895" s="160"/>
      <c r="B1895" s="160" t="s">
        <v>934</v>
      </c>
      <c r="C1895" s="157" t="s">
        <v>1875</v>
      </c>
      <c r="D1895" s="159"/>
      <c r="E1895" s="159"/>
      <c r="F1895" s="159">
        <v>984.82</v>
      </c>
      <c r="G1895" s="160"/>
      <c r="H1895" s="34" t="s">
        <v>925</v>
      </c>
    </row>
    <row r="1896" spans="1:8" ht="33">
      <c r="A1896" s="160"/>
      <c r="B1896" s="160"/>
      <c r="C1896" s="157"/>
      <c r="D1896" s="159"/>
      <c r="E1896" s="159"/>
      <c r="F1896" s="159"/>
      <c r="G1896" s="160"/>
      <c r="H1896" s="34" t="s">
        <v>925</v>
      </c>
    </row>
    <row r="1897" spans="1:8" ht="33">
      <c r="A1897" s="160" t="s">
        <v>2089</v>
      </c>
      <c r="B1897" s="160" t="s">
        <v>1896</v>
      </c>
      <c r="C1897" s="157" t="s">
        <v>1875</v>
      </c>
      <c r="D1897" s="159">
        <v>1</v>
      </c>
      <c r="E1897" s="159">
        <v>1063.01</v>
      </c>
      <c r="F1897" s="159"/>
      <c r="G1897" s="160" t="s">
        <v>2</v>
      </c>
      <c r="H1897" s="34" t="s">
        <v>925</v>
      </c>
    </row>
    <row r="1898" spans="1:8" ht="33">
      <c r="A1898" s="160">
        <v>1</v>
      </c>
      <c r="B1898" s="160" t="s">
        <v>1898</v>
      </c>
      <c r="C1898" s="157" t="s">
        <v>1875</v>
      </c>
      <c r="D1898" s="159">
        <v>1</v>
      </c>
      <c r="E1898" s="159">
        <v>934.86</v>
      </c>
      <c r="F1898" s="159">
        <v>934.86</v>
      </c>
      <c r="G1898" s="160" t="s">
        <v>2</v>
      </c>
      <c r="H1898" s="34" t="s">
        <v>925</v>
      </c>
    </row>
    <row r="1899" spans="1:8" ht="28.5">
      <c r="A1899" s="160">
        <v>2</v>
      </c>
      <c r="B1899" s="160" t="s">
        <v>1900</v>
      </c>
      <c r="C1899" s="157" t="s">
        <v>1875</v>
      </c>
      <c r="D1899" s="159">
        <v>1</v>
      </c>
      <c r="E1899" s="159">
        <v>97.19</v>
      </c>
      <c r="F1899" s="159">
        <v>97.19</v>
      </c>
      <c r="G1899" s="160" t="s">
        <v>2</v>
      </c>
    </row>
    <row r="1900" spans="1:8" ht="33">
      <c r="A1900" s="160">
        <v>3</v>
      </c>
      <c r="B1900" s="160" t="s">
        <v>931</v>
      </c>
      <c r="C1900" s="157" t="s">
        <v>14</v>
      </c>
      <c r="D1900" s="159">
        <v>1</v>
      </c>
      <c r="E1900" s="159">
        <v>30.96</v>
      </c>
      <c r="F1900" s="159">
        <v>30.96</v>
      </c>
      <c r="G1900" s="160" t="s">
        <v>2</v>
      </c>
      <c r="H1900" s="34" t="s">
        <v>925</v>
      </c>
    </row>
    <row r="1901" spans="1:8" ht="33">
      <c r="A1901" s="160"/>
      <c r="B1901" s="160" t="s">
        <v>933</v>
      </c>
      <c r="C1901" s="157" t="s">
        <v>1875</v>
      </c>
      <c r="D1901" s="159">
        <v>1</v>
      </c>
      <c r="E1901" s="159"/>
      <c r="F1901" s="159">
        <v>1063.01</v>
      </c>
      <c r="G1901" s="160"/>
      <c r="H1901" s="34" t="s">
        <v>925</v>
      </c>
    </row>
    <row r="1902" spans="1:8" ht="33">
      <c r="A1902" s="160"/>
      <c r="B1902" s="160" t="s">
        <v>934</v>
      </c>
      <c r="C1902" s="157" t="s">
        <v>1875</v>
      </c>
      <c r="D1902" s="159"/>
      <c r="E1902" s="159"/>
      <c r="F1902" s="159">
        <v>1063.01</v>
      </c>
      <c r="G1902" s="160"/>
      <c r="H1902" s="34" t="s">
        <v>925</v>
      </c>
    </row>
    <row r="1903" spans="1:8" ht="33">
      <c r="A1903" s="160"/>
      <c r="B1903" s="160"/>
      <c r="C1903" s="157"/>
      <c r="D1903" s="159"/>
      <c r="E1903" s="159"/>
      <c r="F1903" s="159"/>
      <c r="G1903" s="160"/>
      <c r="H1903" s="34" t="s">
        <v>925</v>
      </c>
    </row>
    <row r="1904" spans="1:8" ht="33">
      <c r="A1904" s="160" t="s">
        <v>2096</v>
      </c>
      <c r="B1904" s="160" t="s">
        <v>1903</v>
      </c>
      <c r="C1904" s="157" t="s">
        <v>1875</v>
      </c>
      <c r="D1904" s="159">
        <v>1</v>
      </c>
      <c r="E1904" s="159">
        <v>1916.27</v>
      </c>
      <c r="F1904" s="159"/>
      <c r="G1904" s="160" t="s">
        <v>2</v>
      </c>
      <c r="H1904" s="34" t="s">
        <v>925</v>
      </c>
    </row>
    <row r="1905" spans="1:8" ht="33">
      <c r="A1905" s="160">
        <v>1</v>
      </c>
      <c r="B1905" s="160" t="s">
        <v>1905</v>
      </c>
      <c r="C1905" s="157" t="s">
        <v>1875</v>
      </c>
      <c r="D1905" s="159">
        <v>1</v>
      </c>
      <c r="E1905" s="159">
        <v>1675.34</v>
      </c>
      <c r="F1905" s="159">
        <v>1675.34</v>
      </c>
      <c r="G1905" s="160" t="s">
        <v>2</v>
      </c>
      <c r="H1905" s="34" t="s">
        <v>925</v>
      </c>
    </row>
    <row r="1906" spans="1:8" ht="33">
      <c r="A1906" s="160">
        <v>2</v>
      </c>
      <c r="B1906" s="160" t="s">
        <v>1907</v>
      </c>
      <c r="C1906" s="157" t="s">
        <v>1875</v>
      </c>
      <c r="D1906" s="159">
        <v>1</v>
      </c>
      <c r="E1906" s="159">
        <v>185.12</v>
      </c>
      <c r="F1906" s="159">
        <v>185.12</v>
      </c>
      <c r="G1906" s="160" t="s">
        <v>2</v>
      </c>
      <c r="H1906" s="34" t="s">
        <v>925</v>
      </c>
    </row>
    <row r="1907" spans="1:8" ht="33">
      <c r="A1907" s="160">
        <v>3</v>
      </c>
      <c r="B1907" s="160" t="s">
        <v>931</v>
      </c>
      <c r="C1907" s="157" t="s">
        <v>14</v>
      </c>
      <c r="D1907" s="159">
        <v>1</v>
      </c>
      <c r="E1907" s="159">
        <v>55.81</v>
      </c>
      <c r="F1907" s="159">
        <v>55.81</v>
      </c>
      <c r="G1907" s="160" t="s">
        <v>2</v>
      </c>
      <c r="H1907" s="34" t="s">
        <v>925</v>
      </c>
    </row>
    <row r="1908" spans="1:8" ht="16.5">
      <c r="A1908" s="160"/>
      <c r="B1908" s="160" t="s">
        <v>933</v>
      </c>
      <c r="C1908" s="157" t="s">
        <v>1875</v>
      </c>
      <c r="D1908" s="159">
        <v>1</v>
      </c>
      <c r="E1908" s="159"/>
      <c r="F1908" s="159">
        <v>1916.27</v>
      </c>
      <c r="G1908" s="160"/>
    </row>
    <row r="1909" spans="1:8" ht="33">
      <c r="A1909" s="160"/>
      <c r="B1909" s="160" t="s">
        <v>934</v>
      </c>
      <c r="C1909" s="157" t="s">
        <v>1875</v>
      </c>
      <c r="D1909" s="159"/>
      <c r="E1909" s="159"/>
      <c r="F1909" s="159">
        <v>1916.27</v>
      </c>
      <c r="G1909" s="160"/>
      <c r="H1909" s="34" t="s">
        <v>925</v>
      </c>
    </row>
    <row r="1910" spans="1:8" ht="33">
      <c r="A1910" s="160"/>
      <c r="B1910" s="160"/>
      <c r="C1910" s="157"/>
      <c r="D1910" s="159"/>
      <c r="E1910" s="159"/>
      <c r="F1910" s="159"/>
      <c r="G1910" s="160"/>
      <c r="H1910" s="34" t="s">
        <v>925</v>
      </c>
    </row>
    <row r="1911" spans="1:8" ht="33">
      <c r="A1911" s="160" t="s">
        <v>2101</v>
      </c>
      <c r="B1911" s="160" t="s">
        <v>1910</v>
      </c>
      <c r="C1911" s="157" t="s">
        <v>1875</v>
      </c>
      <c r="D1911" s="159">
        <v>1</v>
      </c>
      <c r="E1911" s="159">
        <v>3598.97</v>
      </c>
      <c r="F1911" s="159"/>
      <c r="G1911" s="160" t="s">
        <v>2</v>
      </c>
      <c r="H1911" s="34" t="s">
        <v>925</v>
      </c>
    </row>
    <row r="1912" spans="1:8" ht="33">
      <c r="A1912" s="160">
        <v>1</v>
      </c>
      <c r="B1912" s="160" t="s">
        <v>1912</v>
      </c>
      <c r="C1912" s="157" t="s">
        <v>1875</v>
      </c>
      <c r="D1912" s="159">
        <v>1</v>
      </c>
      <c r="E1912" s="159">
        <v>3369.19</v>
      </c>
      <c r="F1912" s="159">
        <v>3369.19</v>
      </c>
      <c r="G1912" s="160" t="s">
        <v>2</v>
      </c>
      <c r="H1912" s="34" t="s">
        <v>925</v>
      </c>
    </row>
    <row r="1913" spans="1:8" ht="33">
      <c r="A1913" s="160">
        <v>2</v>
      </c>
      <c r="B1913" s="160" t="s">
        <v>1914</v>
      </c>
      <c r="C1913" s="157" t="s">
        <v>1875</v>
      </c>
      <c r="D1913" s="159">
        <v>1</v>
      </c>
      <c r="E1913" s="159">
        <v>124.96</v>
      </c>
      <c r="F1913" s="159">
        <v>124.96</v>
      </c>
      <c r="G1913" s="160" t="s">
        <v>2</v>
      </c>
      <c r="H1913" s="34" t="s">
        <v>925</v>
      </c>
    </row>
    <row r="1914" spans="1:8" ht="33">
      <c r="A1914" s="160">
        <v>3</v>
      </c>
      <c r="B1914" s="160" t="s">
        <v>931</v>
      </c>
      <c r="C1914" s="157" t="s">
        <v>14</v>
      </c>
      <c r="D1914" s="159">
        <v>1</v>
      </c>
      <c r="E1914" s="159">
        <v>104.82</v>
      </c>
      <c r="F1914" s="159">
        <v>104.82</v>
      </c>
      <c r="G1914" s="160" t="s">
        <v>2</v>
      </c>
      <c r="H1914" s="34" t="s">
        <v>925</v>
      </c>
    </row>
    <row r="1915" spans="1:8" ht="33">
      <c r="A1915" s="160"/>
      <c r="B1915" s="160" t="s">
        <v>933</v>
      </c>
      <c r="C1915" s="157" t="s">
        <v>1875</v>
      </c>
      <c r="D1915" s="159">
        <v>1</v>
      </c>
      <c r="E1915" s="159"/>
      <c r="F1915" s="159">
        <v>3598.9700000000003</v>
      </c>
      <c r="G1915" s="160"/>
      <c r="H1915" s="34" t="s">
        <v>925</v>
      </c>
    </row>
    <row r="1916" spans="1:8" ht="33">
      <c r="A1916" s="160"/>
      <c r="B1916" s="160" t="s">
        <v>934</v>
      </c>
      <c r="C1916" s="157" t="s">
        <v>1875</v>
      </c>
      <c r="D1916" s="159"/>
      <c r="E1916" s="159"/>
      <c r="F1916" s="159">
        <v>3598.97</v>
      </c>
      <c r="G1916" s="160"/>
      <c r="H1916" s="34" t="s">
        <v>925</v>
      </c>
    </row>
    <row r="1917" spans="1:8" ht="16.5">
      <c r="A1917" s="160"/>
      <c r="B1917" s="160"/>
      <c r="C1917" s="157"/>
      <c r="D1917" s="159"/>
      <c r="E1917" s="159"/>
      <c r="F1917" s="159"/>
      <c r="G1917" s="160"/>
    </row>
    <row r="1918" spans="1:8" ht="33">
      <c r="A1918" s="160" t="s">
        <v>2111</v>
      </c>
      <c r="B1918" s="160" t="s">
        <v>1917</v>
      </c>
      <c r="C1918" s="157" t="s">
        <v>1875</v>
      </c>
      <c r="D1918" s="159">
        <v>1</v>
      </c>
      <c r="E1918" s="159">
        <v>4180.5200000000004</v>
      </c>
      <c r="F1918" s="159"/>
      <c r="G1918" s="160" t="s">
        <v>2</v>
      </c>
      <c r="H1918" s="34" t="s">
        <v>925</v>
      </c>
    </row>
    <row r="1919" spans="1:8" ht="33">
      <c r="A1919" s="160">
        <v>1</v>
      </c>
      <c r="B1919" s="160" t="s">
        <v>1919</v>
      </c>
      <c r="C1919" s="157" t="s">
        <v>1875</v>
      </c>
      <c r="D1919" s="159">
        <v>1</v>
      </c>
      <c r="E1919" s="159">
        <v>3924.55</v>
      </c>
      <c r="F1919" s="159">
        <v>3924.55</v>
      </c>
      <c r="G1919" s="160" t="s">
        <v>2</v>
      </c>
      <c r="H1919" s="34" t="s">
        <v>925</v>
      </c>
    </row>
    <row r="1920" spans="1:8" ht="33">
      <c r="A1920" s="160">
        <v>2</v>
      </c>
      <c r="B1920" s="160" t="s">
        <v>1921</v>
      </c>
      <c r="C1920" s="157" t="s">
        <v>1875</v>
      </c>
      <c r="D1920" s="159">
        <v>1</v>
      </c>
      <c r="E1920" s="159">
        <v>134.21</v>
      </c>
      <c r="F1920" s="159">
        <v>134.21</v>
      </c>
      <c r="G1920" s="160" t="s">
        <v>2</v>
      </c>
      <c r="H1920" s="34" t="s">
        <v>925</v>
      </c>
    </row>
    <row r="1921" spans="1:8" ht="33">
      <c r="A1921" s="160">
        <v>3</v>
      </c>
      <c r="B1921" s="160" t="s">
        <v>931</v>
      </c>
      <c r="C1921" s="157" t="s">
        <v>14</v>
      </c>
      <c r="D1921" s="159">
        <v>1</v>
      </c>
      <c r="E1921" s="159">
        <v>121.76</v>
      </c>
      <c r="F1921" s="159">
        <v>121.76</v>
      </c>
      <c r="G1921" s="160" t="s">
        <v>2</v>
      </c>
      <c r="H1921" s="34" t="s">
        <v>925</v>
      </c>
    </row>
    <row r="1922" spans="1:8" ht="33">
      <c r="A1922" s="160"/>
      <c r="B1922" s="160" t="s">
        <v>933</v>
      </c>
      <c r="C1922" s="157" t="s">
        <v>1875</v>
      </c>
      <c r="D1922" s="159">
        <v>1</v>
      </c>
      <c r="E1922" s="159"/>
      <c r="F1922" s="159">
        <v>4180.5200000000004</v>
      </c>
      <c r="G1922" s="160"/>
      <c r="H1922" s="34" t="s">
        <v>925</v>
      </c>
    </row>
    <row r="1923" spans="1:8" ht="33">
      <c r="A1923" s="160"/>
      <c r="B1923" s="160" t="s">
        <v>934</v>
      </c>
      <c r="C1923" s="157" t="s">
        <v>1875</v>
      </c>
      <c r="D1923" s="159"/>
      <c r="E1923" s="159"/>
      <c r="F1923" s="159">
        <v>4180.5200000000004</v>
      </c>
      <c r="G1923" s="160"/>
      <c r="H1923" s="34" t="s">
        <v>925</v>
      </c>
    </row>
    <row r="1924" spans="1:8" ht="33">
      <c r="A1924" s="160"/>
      <c r="B1924" s="160"/>
      <c r="C1924" s="157"/>
      <c r="D1924" s="159"/>
      <c r="E1924" s="159"/>
      <c r="F1924" s="159"/>
      <c r="G1924" s="160"/>
      <c r="H1924" s="34" t="s">
        <v>925</v>
      </c>
    </row>
    <row r="1925" spans="1:8" ht="33">
      <c r="A1925" s="160" t="s">
        <v>2114</v>
      </c>
      <c r="B1925" s="160" t="s">
        <v>1924</v>
      </c>
      <c r="C1925" s="157" t="s">
        <v>1875</v>
      </c>
      <c r="D1925" s="159">
        <v>1</v>
      </c>
      <c r="E1925" s="159">
        <v>5315.04</v>
      </c>
      <c r="F1925" s="159"/>
      <c r="G1925" s="160" t="s">
        <v>2</v>
      </c>
      <c r="H1925" s="34" t="s">
        <v>925</v>
      </c>
    </row>
    <row r="1926" spans="1:8" ht="28.5">
      <c r="A1926" s="160">
        <v>1</v>
      </c>
      <c r="B1926" s="160" t="s">
        <v>1926</v>
      </c>
      <c r="C1926" s="157" t="s">
        <v>1875</v>
      </c>
      <c r="D1926" s="159">
        <v>1</v>
      </c>
      <c r="E1926" s="159">
        <v>5007.51</v>
      </c>
      <c r="F1926" s="159">
        <v>5007.51</v>
      </c>
      <c r="G1926" s="160" t="s">
        <v>2</v>
      </c>
    </row>
    <row r="1927" spans="1:8" ht="33">
      <c r="A1927" s="160">
        <v>2</v>
      </c>
      <c r="B1927" s="160" t="s">
        <v>1928</v>
      </c>
      <c r="C1927" s="157" t="s">
        <v>1875</v>
      </c>
      <c r="D1927" s="159">
        <v>1</v>
      </c>
      <c r="E1927" s="159">
        <v>152.72</v>
      </c>
      <c r="F1927" s="159">
        <v>152.72</v>
      </c>
      <c r="G1927" s="160" t="s">
        <v>2</v>
      </c>
      <c r="H1927" s="34" t="s">
        <v>925</v>
      </c>
    </row>
    <row r="1928" spans="1:8" ht="33">
      <c r="A1928" s="160">
        <v>3</v>
      </c>
      <c r="B1928" s="160" t="s">
        <v>931</v>
      </c>
      <c r="C1928" s="157" t="s">
        <v>14</v>
      </c>
      <c r="D1928" s="159">
        <v>1</v>
      </c>
      <c r="E1928" s="159">
        <v>154.81</v>
      </c>
      <c r="F1928" s="159">
        <v>154.81</v>
      </c>
      <c r="G1928" s="160" t="s">
        <v>2</v>
      </c>
      <c r="H1928" s="34" t="s">
        <v>925</v>
      </c>
    </row>
    <row r="1929" spans="1:8" ht="33">
      <c r="A1929" s="160"/>
      <c r="B1929" s="160" t="s">
        <v>933</v>
      </c>
      <c r="C1929" s="157" t="s">
        <v>1875</v>
      </c>
      <c r="D1929" s="159">
        <v>1</v>
      </c>
      <c r="E1929" s="159"/>
      <c r="F1929" s="159">
        <v>5315.0400000000009</v>
      </c>
      <c r="G1929" s="160"/>
      <c r="H1929" s="34" t="s">
        <v>925</v>
      </c>
    </row>
    <row r="1930" spans="1:8" ht="33">
      <c r="A1930" s="160"/>
      <c r="B1930" s="160" t="s">
        <v>934</v>
      </c>
      <c r="C1930" s="157" t="s">
        <v>1875</v>
      </c>
      <c r="D1930" s="159"/>
      <c r="E1930" s="159"/>
      <c r="F1930" s="159">
        <v>5315.04</v>
      </c>
      <c r="G1930" s="160"/>
      <c r="H1930" s="34" t="s">
        <v>925</v>
      </c>
    </row>
    <row r="1931" spans="1:8" ht="33">
      <c r="A1931" s="160"/>
      <c r="B1931" s="160"/>
      <c r="C1931" s="157"/>
      <c r="D1931" s="159"/>
      <c r="E1931" s="159"/>
      <c r="F1931" s="159"/>
      <c r="G1931" s="160"/>
      <c r="H1931" s="34" t="s">
        <v>925</v>
      </c>
    </row>
    <row r="1932" spans="1:8" ht="33">
      <c r="A1932" s="160" t="s">
        <v>2123</v>
      </c>
      <c r="B1932" s="160" t="s">
        <v>1931</v>
      </c>
      <c r="C1932" s="157" t="s">
        <v>1875</v>
      </c>
      <c r="D1932" s="159">
        <v>1</v>
      </c>
      <c r="E1932" s="159">
        <v>4743.0200000000004</v>
      </c>
      <c r="F1932" s="159"/>
      <c r="G1932" s="160" t="s">
        <v>2</v>
      </c>
      <c r="H1932" s="34" t="s">
        <v>925</v>
      </c>
    </row>
    <row r="1933" spans="1:8" ht="33">
      <c r="A1933" s="160">
        <v>1</v>
      </c>
      <c r="B1933" s="160" t="s">
        <v>1933</v>
      </c>
      <c r="C1933" s="157" t="s">
        <v>1875</v>
      </c>
      <c r="D1933" s="159">
        <v>1</v>
      </c>
      <c r="E1933" s="159">
        <v>4461.3999999999996</v>
      </c>
      <c r="F1933" s="159">
        <v>4461.3999999999996</v>
      </c>
      <c r="G1933" s="160" t="s">
        <v>2</v>
      </c>
      <c r="H1933" s="34" t="s">
        <v>925</v>
      </c>
    </row>
    <row r="1934" spans="1:8" ht="28.5">
      <c r="A1934" s="160">
        <v>2</v>
      </c>
      <c r="B1934" s="160" t="s">
        <v>1935</v>
      </c>
      <c r="C1934" s="157" t="s">
        <v>1875</v>
      </c>
      <c r="D1934" s="159">
        <v>1</v>
      </c>
      <c r="E1934" s="159">
        <v>143.47</v>
      </c>
      <c r="F1934" s="159">
        <v>143.47</v>
      </c>
      <c r="G1934" s="160" t="s">
        <v>2</v>
      </c>
    </row>
    <row r="1935" spans="1:8" ht="33">
      <c r="A1935" s="160">
        <v>3</v>
      </c>
      <c r="B1935" s="160" t="s">
        <v>931</v>
      </c>
      <c r="C1935" s="157" t="s">
        <v>14</v>
      </c>
      <c r="D1935" s="159">
        <v>1</v>
      </c>
      <c r="E1935" s="159">
        <v>138.15</v>
      </c>
      <c r="F1935" s="159">
        <v>138.15</v>
      </c>
      <c r="G1935" s="160" t="s">
        <v>2</v>
      </c>
      <c r="H1935" s="34" t="s">
        <v>925</v>
      </c>
    </row>
    <row r="1936" spans="1:8" ht="33">
      <c r="A1936" s="160"/>
      <c r="B1936" s="160" t="s">
        <v>933</v>
      </c>
      <c r="C1936" s="157" t="s">
        <v>1875</v>
      </c>
      <c r="D1936" s="159">
        <v>1</v>
      </c>
      <c r="E1936" s="159"/>
      <c r="F1936" s="159">
        <v>4743.0199999999995</v>
      </c>
      <c r="G1936" s="160"/>
      <c r="H1936" s="34" t="s">
        <v>925</v>
      </c>
    </row>
    <row r="1937" spans="1:8" ht="33">
      <c r="A1937" s="160"/>
      <c r="B1937" s="160" t="s">
        <v>934</v>
      </c>
      <c r="C1937" s="157" t="s">
        <v>1875</v>
      </c>
      <c r="D1937" s="159"/>
      <c r="E1937" s="159"/>
      <c r="F1937" s="159">
        <v>4743.0200000000004</v>
      </c>
      <c r="G1937" s="160"/>
      <c r="H1937" s="34" t="s">
        <v>925</v>
      </c>
    </row>
    <row r="1938" spans="1:8" ht="33">
      <c r="A1938" s="160"/>
      <c r="B1938" s="160"/>
      <c r="C1938" s="157"/>
      <c r="D1938" s="159"/>
      <c r="E1938" s="159"/>
      <c r="F1938" s="159"/>
      <c r="G1938" s="160"/>
      <c r="H1938" s="34" t="s">
        <v>925</v>
      </c>
    </row>
    <row r="1939" spans="1:8" ht="42.75">
      <c r="A1939" s="160" t="s">
        <v>2128</v>
      </c>
      <c r="B1939" s="160" t="s">
        <v>1938</v>
      </c>
      <c r="C1939" s="157" t="s">
        <v>1875</v>
      </c>
      <c r="D1939" s="159">
        <v>1</v>
      </c>
      <c r="E1939" s="159">
        <v>2083.11</v>
      </c>
      <c r="F1939" s="159"/>
      <c r="G1939" s="160" t="s">
        <v>2</v>
      </c>
      <c r="H1939" s="34" t="s">
        <v>925</v>
      </c>
    </row>
    <row r="1940" spans="1:8" ht="33">
      <c r="A1940" s="160">
        <v>1</v>
      </c>
      <c r="B1940" s="160" t="s">
        <v>1940</v>
      </c>
      <c r="C1940" s="157" t="s">
        <v>1875</v>
      </c>
      <c r="D1940" s="159">
        <v>1</v>
      </c>
      <c r="E1940" s="159">
        <v>1841.95</v>
      </c>
      <c r="F1940" s="159">
        <v>1841.95</v>
      </c>
      <c r="G1940" s="160" t="s">
        <v>2</v>
      </c>
      <c r="H1940" s="34" t="s">
        <v>925</v>
      </c>
    </row>
    <row r="1941" spans="1:8" ht="33">
      <c r="A1941" s="160">
        <v>2</v>
      </c>
      <c r="B1941" s="160" t="s">
        <v>1942</v>
      </c>
      <c r="C1941" s="157" t="s">
        <v>1875</v>
      </c>
      <c r="D1941" s="159">
        <v>1</v>
      </c>
      <c r="E1941" s="159">
        <v>180.49</v>
      </c>
      <c r="F1941" s="159">
        <v>180.49</v>
      </c>
      <c r="G1941" s="160" t="s">
        <v>5455</v>
      </c>
      <c r="H1941" s="34" t="s">
        <v>925</v>
      </c>
    </row>
    <row r="1942" spans="1:8" ht="33">
      <c r="A1942" s="160">
        <v>3</v>
      </c>
      <c r="B1942" s="160" t="s">
        <v>931</v>
      </c>
      <c r="C1942" s="157" t="s">
        <v>14</v>
      </c>
      <c r="D1942" s="159">
        <v>1</v>
      </c>
      <c r="E1942" s="159">
        <v>60.67</v>
      </c>
      <c r="F1942" s="159">
        <v>60.67</v>
      </c>
      <c r="G1942" s="160" t="s">
        <v>2</v>
      </c>
      <c r="H1942" s="34" t="s">
        <v>925</v>
      </c>
    </row>
    <row r="1943" spans="1:8" ht="33">
      <c r="A1943" s="160"/>
      <c r="B1943" s="160" t="s">
        <v>933</v>
      </c>
      <c r="C1943" s="157" t="s">
        <v>1875</v>
      </c>
      <c r="D1943" s="159">
        <v>1</v>
      </c>
      <c r="E1943" s="159"/>
      <c r="F1943" s="159">
        <v>2083.11</v>
      </c>
      <c r="G1943" s="160"/>
      <c r="H1943" s="34" t="s">
        <v>925</v>
      </c>
    </row>
    <row r="1944" spans="1:8" ht="16.5">
      <c r="A1944" s="160"/>
      <c r="B1944" s="160" t="s">
        <v>934</v>
      </c>
      <c r="C1944" s="157" t="s">
        <v>1875</v>
      </c>
      <c r="D1944" s="159"/>
      <c r="E1944" s="159"/>
      <c r="F1944" s="159">
        <v>2083.11</v>
      </c>
      <c r="G1944" s="160"/>
    </row>
    <row r="1945" spans="1:8" ht="33">
      <c r="A1945" s="160"/>
      <c r="B1945" s="160"/>
      <c r="C1945" s="157"/>
      <c r="D1945" s="159"/>
      <c r="E1945" s="159"/>
      <c r="F1945" s="159"/>
      <c r="G1945" s="160"/>
      <c r="H1945" s="34" t="s">
        <v>925</v>
      </c>
    </row>
    <row r="1946" spans="1:8" ht="42.75">
      <c r="A1946" s="160" t="s">
        <v>2133</v>
      </c>
      <c r="B1946" s="160" t="s">
        <v>1945</v>
      </c>
      <c r="C1946" s="157" t="s">
        <v>1875</v>
      </c>
      <c r="D1946" s="159">
        <v>1</v>
      </c>
      <c r="E1946" s="159">
        <v>2292.85</v>
      </c>
      <c r="F1946" s="159"/>
      <c r="G1946" s="160" t="s">
        <v>2</v>
      </c>
      <c r="H1946" s="34" t="s">
        <v>925</v>
      </c>
    </row>
    <row r="1947" spans="1:8" ht="33">
      <c r="A1947" s="160">
        <v>1</v>
      </c>
      <c r="B1947" s="160" t="s">
        <v>1947</v>
      </c>
      <c r="C1947" s="157" t="s">
        <v>1875</v>
      </c>
      <c r="D1947" s="159">
        <v>1</v>
      </c>
      <c r="E1947" s="159">
        <v>2036.32</v>
      </c>
      <c r="F1947" s="159">
        <v>2036.32</v>
      </c>
      <c r="G1947" s="160" t="s">
        <v>2</v>
      </c>
      <c r="H1947" s="34" t="s">
        <v>925</v>
      </c>
    </row>
    <row r="1948" spans="1:8" ht="33">
      <c r="A1948" s="160">
        <v>2</v>
      </c>
      <c r="B1948" s="160" t="s">
        <v>1949</v>
      </c>
      <c r="C1948" s="157" t="s">
        <v>1875</v>
      </c>
      <c r="D1948" s="159">
        <v>1</v>
      </c>
      <c r="E1948" s="159">
        <v>189.75</v>
      </c>
      <c r="F1948" s="159">
        <v>189.75</v>
      </c>
      <c r="G1948" s="160" t="s">
        <v>5455</v>
      </c>
      <c r="H1948" s="34" t="s">
        <v>925</v>
      </c>
    </row>
    <row r="1949" spans="1:8" ht="33">
      <c r="A1949" s="160">
        <v>3</v>
      </c>
      <c r="B1949" s="160" t="s">
        <v>931</v>
      </c>
      <c r="C1949" s="157" t="s">
        <v>14</v>
      </c>
      <c r="D1949" s="159">
        <v>1</v>
      </c>
      <c r="E1949" s="159">
        <v>66.78</v>
      </c>
      <c r="F1949" s="159">
        <v>66.78</v>
      </c>
      <c r="G1949" s="160" t="s">
        <v>2</v>
      </c>
      <c r="H1949" s="34" t="s">
        <v>925</v>
      </c>
    </row>
    <row r="1950" spans="1:8" ht="33">
      <c r="A1950" s="160"/>
      <c r="B1950" s="160" t="s">
        <v>933</v>
      </c>
      <c r="C1950" s="157" t="s">
        <v>1875</v>
      </c>
      <c r="D1950" s="159">
        <v>1</v>
      </c>
      <c r="E1950" s="159"/>
      <c r="F1950" s="159">
        <v>2292.85</v>
      </c>
      <c r="G1950" s="160"/>
      <c r="H1950" s="34" t="s">
        <v>925</v>
      </c>
    </row>
    <row r="1951" spans="1:8" ht="33">
      <c r="A1951" s="160"/>
      <c r="B1951" s="160" t="s">
        <v>934</v>
      </c>
      <c r="C1951" s="157" t="s">
        <v>1875</v>
      </c>
      <c r="D1951" s="159"/>
      <c r="E1951" s="159"/>
      <c r="F1951" s="159">
        <v>2292.85</v>
      </c>
      <c r="G1951" s="160"/>
      <c r="H1951" s="34" t="s">
        <v>925</v>
      </c>
    </row>
    <row r="1952" spans="1:8" ht="33">
      <c r="A1952" s="160"/>
      <c r="B1952" s="160"/>
      <c r="C1952" s="157"/>
      <c r="D1952" s="159"/>
      <c r="E1952" s="159"/>
      <c r="F1952" s="159"/>
      <c r="G1952" s="160"/>
      <c r="H1952" s="34" t="s">
        <v>925</v>
      </c>
    </row>
    <row r="1953" spans="1:8" ht="42.75">
      <c r="A1953" s="160" t="s">
        <v>2140</v>
      </c>
      <c r="B1953" s="160" t="s">
        <v>1952</v>
      </c>
      <c r="C1953" s="157" t="s">
        <v>1875</v>
      </c>
      <c r="D1953" s="159">
        <v>1</v>
      </c>
      <c r="E1953" s="159">
        <v>2311.92</v>
      </c>
      <c r="F1953" s="159"/>
      <c r="G1953" s="160" t="s">
        <v>2</v>
      </c>
      <c r="H1953" s="34" t="s">
        <v>925</v>
      </c>
    </row>
    <row r="1954" spans="1:8" ht="42.75">
      <c r="A1954" s="160">
        <v>1</v>
      </c>
      <c r="B1954" s="160" t="s">
        <v>1954</v>
      </c>
      <c r="C1954" s="157" t="s">
        <v>1875</v>
      </c>
      <c r="D1954" s="159">
        <v>1</v>
      </c>
      <c r="E1954" s="159">
        <v>2045.58</v>
      </c>
      <c r="F1954" s="159">
        <v>2045.58</v>
      </c>
      <c r="G1954" s="160" t="s">
        <v>2</v>
      </c>
      <c r="H1954" s="34" t="s">
        <v>925</v>
      </c>
    </row>
    <row r="1955" spans="1:8" ht="42.75">
      <c r="A1955" s="160">
        <v>2</v>
      </c>
      <c r="B1955" s="160" t="s">
        <v>1956</v>
      </c>
      <c r="C1955" s="157" t="s">
        <v>1875</v>
      </c>
      <c r="D1955" s="159">
        <v>1</v>
      </c>
      <c r="E1955" s="159">
        <v>199</v>
      </c>
      <c r="F1955" s="159">
        <v>199</v>
      </c>
      <c r="G1955" s="160" t="s">
        <v>5455</v>
      </c>
      <c r="H1955" s="34" t="s">
        <v>925</v>
      </c>
    </row>
    <row r="1956" spans="1:8" ht="16.5">
      <c r="A1956" s="160">
        <v>3</v>
      </c>
      <c r="B1956" s="160" t="s">
        <v>931</v>
      </c>
      <c r="C1956" s="157" t="s">
        <v>14</v>
      </c>
      <c r="D1956" s="159">
        <v>1</v>
      </c>
      <c r="E1956" s="159">
        <v>67.34</v>
      </c>
      <c r="F1956" s="159">
        <v>67.34</v>
      </c>
      <c r="G1956" s="160" t="s">
        <v>2</v>
      </c>
    </row>
    <row r="1957" spans="1:8" ht="33">
      <c r="A1957" s="160"/>
      <c r="B1957" s="160" t="s">
        <v>933</v>
      </c>
      <c r="C1957" s="157" t="s">
        <v>1875</v>
      </c>
      <c r="D1957" s="159">
        <v>1</v>
      </c>
      <c r="E1957" s="159"/>
      <c r="F1957" s="159">
        <v>2311.92</v>
      </c>
      <c r="G1957" s="160"/>
      <c r="H1957" s="34" t="s">
        <v>925</v>
      </c>
    </row>
    <row r="1958" spans="1:8" ht="33">
      <c r="A1958" s="160"/>
      <c r="B1958" s="160" t="s">
        <v>934</v>
      </c>
      <c r="C1958" s="157" t="s">
        <v>1875</v>
      </c>
      <c r="D1958" s="159"/>
      <c r="E1958" s="159"/>
      <c r="F1958" s="159">
        <v>2311.92</v>
      </c>
      <c r="G1958" s="160"/>
      <c r="H1958" s="34" t="s">
        <v>925</v>
      </c>
    </row>
    <row r="1959" spans="1:8" ht="33">
      <c r="A1959" s="160"/>
      <c r="B1959" s="160"/>
      <c r="C1959" s="157"/>
      <c r="D1959" s="159"/>
      <c r="E1959" s="159"/>
      <c r="F1959" s="159"/>
      <c r="G1959" s="160"/>
      <c r="H1959" s="34" t="s">
        <v>925</v>
      </c>
    </row>
    <row r="1960" spans="1:8" ht="42.75">
      <c r="A1960" s="160" t="s">
        <v>2145</v>
      </c>
      <c r="B1960" s="160" t="s">
        <v>1959</v>
      </c>
      <c r="C1960" s="157" t="s">
        <v>1875</v>
      </c>
      <c r="D1960" s="159">
        <v>1</v>
      </c>
      <c r="E1960" s="159">
        <v>2197.52</v>
      </c>
      <c r="F1960" s="159"/>
      <c r="G1960" s="160" t="s">
        <v>2</v>
      </c>
      <c r="H1960" s="34" t="s">
        <v>925</v>
      </c>
    </row>
    <row r="1961" spans="1:8" ht="33">
      <c r="A1961" s="160">
        <v>1</v>
      </c>
      <c r="B1961" s="160" t="s">
        <v>1961</v>
      </c>
      <c r="C1961" s="157" t="s">
        <v>1875</v>
      </c>
      <c r="D1961" s="159">
        <v>1</v>
      </c>
      <c r="E1961" s="159">
        <v>1953.02</v>
      </c>
      <c r="F1961" s="159">
        <v>1953.02</v>
      </c>
      <c r="G1961" s="160" t="s">
        <v>2</v>
      </c>
      <c r="H1961" s="34" t="s">
        <v>925</v>
      </c>
    </row>
    <row r="1962" spans="1:8" ht="33">
      <c r="A1962" s="160">
        <v>2</v>
      </c>
      <c r="B1962" s="160" t="s">
        <v>1963</v>
      </c>
      <c r="C1962" s="157" t="s">
        <v>1875</v>
      </c>
      <c r="D1962" s="159">
        <v>1</v>
      </c>
      <c r="E1962" s="159">
        <v>180.49</v>
      </c>
      <c r="F1962" s="159">
        <v>180.49</v>
      </c>
      <c r="G1962" s="160" t="s">
        <v>5455</v>
      </c>
      <c r="H1962" s="34" t="s">
        <v>925</v>
      </c>
    </row>
    <row r="1963" spans="1:8" ht="33">
      <c r="A1963" s="160">
        <v>3</v>
      </c>
      <c r="B1963" s="160" t="s">
        <v>931</v>
      </c>
      <c r="C1963" s="157" t="s">
        <v>14</v>
      </c>
      <c r="D1963" s="159">
        <v>1</v>
      </c>
      <c r="E1963" s="159">
        <v>64.010000000000005</v>
      </c>
      <c r="F1963" s="159">
        <v>64.010000000000005</v>
      </c>
      <c r="G1963" s="160" t="s">
        <v>2</v>
      </c>
      <c r="H1963" s="34" t="s">
        <v>925</v>
      </c>
    </row>
    <row r="1964" spans="1:8" ht="33">
      <c r="A1964" s="160"/>
      <c r="B1964" s="160" t="s">
        <v>933</v>
      </c>
      <c r="C1964" s="157" t="s">
        <v>1875</v>
      </c>
      <c r="D1964" s="159">
        <v>1</v>
      </c>
      <c r="E1964" s="159"/>
      <c r="F1964" s="159">
        <v>2197.5200000000004</v>
      </c>
      <c r="G1964" s="160"/>
      <c r="H1964" s="34" t="s">
        <v>925</v>
      </c>
    </row>
    <row r="1965" spans="1:8" ht="33">
      <c r="A1965" s="160"/>
      <c r="B1965" s="160" t="s">
        <v>934</v>
      </c>
      <c r="C1965" s="157" t="s">
        <v>1875</v>
      </c>
      <c r="D1965" s="159"/>
      <c r="E1965" s="159"/>
      <c r="F1965" s="159">
        <v>2197.52</v>
      </c>
      <c r="G1965" s="160"/>
      <c r="H1965" s="34" t="s">
        <v>925</v>
      </c>
    </row>
    <row r="1966" spans="1:8" ht="33">
      <c r="A1966" s="160"/>
      <c r="B1966" s="160"/>
      <c r="C1966" s="157"/>
      <c r="D1966" s="159"/>
      <c r="E1966" s="159"/>
      <c r="F1966" s="159"/>
      <c r="G1966" s="160"/>
      <c r="H1966" s="34" t="s">
        <v>925</v>
      </c>
    </row>
    <row r="1967" spans="1:8" ht="42.75">
      <c r="A1967" s="160" t="s">
        <v>2157</v>
      </c>
      <c r="B1967" s="160" t="s">
        <v>1966</v>
      </c>
      <c r="C1967" s="157" t="s">
        <v>1875</v>
      </c>
      <c r="D1967" s="159">
        <v>1</v>
      </c>
      <c r="E1967" s="159">
        <v>2350.06</v>
      </c>
      <c r="F1967" s="159"/>
      <c r="G1967" s="160" t="s">
        <v>2</v>
      </c>
      <c r="H1967" s="34" t="s">
        <v>925</v>
      </c>
    </row>
    <row r="1968" spans="1:8" ht="33">
      <c r="A1968" s="160">
        <v>1</v>
      </c>
      <c r="B1968" s="160" t="s">
        <v>1968</v>
      </c>
      <c r="C1968" s="157" t="s">
        <v>1875</v>
      </c>
      <c r="D1968" s="159">
        <v>1</v>
      </c>
      <c r="E1968" s="159">
        <v>2091.86</v>
      </c>
      <c r="F1968" s="159">
        <v>2091.86</v>
      </c>
      <c r="G1968" s="160" t="s">
        <v>2</v>
      </c>
      <c r="H1968" s="34" t="s">
        <v>925</v>
      </c>
    </row>
    <row r="1969" spans="1:8" ht="28.5">
      <c r="A1969" s="160">
        <v>2</v>
      </c>
      <c r="B1969" s="160" t="s">
        <v>1970</v>
      </c>
      <c r="C1969" s="157" t="s">
        <v>1875</v>
      </c>
      <c r="D1969" s="159">
        <v>1</v>
      </c>
      <c r="E1969" s="159">
        <v>189.75</v>
      </c>
      <c r="F1969" s="159">
        <v>189.75</v>
      </c>
      <c r="G1969" s="160" t="s">
        <v>5455</v>
      </c>
    </row>
    <row r="1970" spans="1:8" ht="33">
      <c r="A1970" s="160">
        <v>3</v>
      </c>
      <c r="B1970" s="160" t="s">
        <v>931</v>
      </c>
      <c r="C1970" s="157" t="s">
        <v>14</v>
      </c>
      <c r="D1970" s="159">
        <v>1</v>
      </c>
      <c r="E1970" s="159">
        <v>68.45</v>
      </c>
      <c r="F1970" s="159">
        <v>68.45</v>
      </c>
      <c r="G1970" s="160" t="s">
        <v>2</v>
      </c>
      <c r="H1970" s="34" t="s">
        <v>925</v>
      </c>
    </row>
    <row r="1971" spans="1:8" ht="33">
      <c r="A1971" s="160"/>
      <c r="B1971" s="160" t="s">
        <v>933</v>
      </c>
      <c r="C1971" s="157" t="s">
        <v>1875</v>
      </c>
      <c r="D1971" s="159">
        <v>1</v>
      </c>
      <c r="E1971" s="159"/>
      <c r="F1971" s="159">
        <v>2350.06</v>
      </c>
      <c r="G1971" s="160"/>
      <c r="H1971" s="34" t="s">
        <v>925</v>
      </c>
    </row>
    <row r="1972" spans="1:8" ht="33">
      <c r="A1972" s="160"/>
      <c r="B1972" s="160" t="s">
        <v>934</v>
      </c>
      <c r="C1972" s="157" t="s">
        <v>1875</v>
      </c>
      <c r="D1972" s="159"/>
      <c r="E1972" s="159"/>
      <c r="F1972" s="159">
        <v>2350.06</v>
      </c>
      <c r="G1972" s="160"/>
      <c r="H1972" s="34" t="s">
        <v>925</v>
      </c>
    </row>
    <row r="1973" spans="1:8" ht="33">
      <c r="A1973" s="160"/>
      <c r="B1973" s="160"/>
      <c r="C1973" s="157"/>
      <c r="D1973" s="159"/>
      <c r="E1973" s="159"/>
      <c r="F1973" s="159"/>
      <c r="G1973" s="160"/>
      <c r="H1973" s="34" t="s">
        <v>925</v>
      </c>
    </row>
    <row r="1974" spans="1:8" ht="42.75">
      <c r="A1974" s="160" t="s">
        <v>2160</v>
      </c>
      <c r="B1974" s="160" t="s">
        <v>1973</v>
      </c>
      <c r="C1974" s="157" t="s">
        <v>1875</v>
      </c>
      <c r="D1974" s="159">
        <v>1</v>
      </c>
      <c r="E1974" s="159">
        <v>2464.46</v>
      </c>
      <c r="F1974" s="159"/>
      <c r="G1974" s="160" t="s">
        <v>2</v>
      </c>
      <c r="H1974" s="34" t="s">
        <v>925</v>
      </c>
    </row>
    <row r="1975" spans="1:8" ht="42.75">
      <c r="A1975" s="160">
        <v>1</v>
      </c>
      <c r="B1975" s="160" t="s">
        <v>1975</v>
      </c>
      <c r="C1975" s="157" t="s">
        <v>1875</v>
      </c>
      <c r="D1975" s="159">
        <v>1</v>
      </c>
      <c r="E1975" s="159">
        <v>2193.6799999999998</v>
      </c>
      <c r="F1975" s="159">
        <v>2193.6799999999998</v>
      </c>
      <c r="G1975" s="160" t="s">
        <v>2</v>
      </c>
      <c r="H1975" s="34" t="s">
        <v>925</v>
      </c>
    </row>
    <row r="1976" spans="1:8" ht="42.75">
      <c r="A1976" s="160">
        <v>2</v>
      </c>
      <c r="B1976" s="160" t="s">
        <v>1977</v>
      </c>
      <c r="C1976" s="157" t="s">
        <v>1875</v>
      </c>
      <c r="D1976" s="159">
        <v>1</v>
      </c>
      <c r="E1976" s="159">
        <v>199</v>
      </c>
      <c r="F1976" s="159">
        <v>199</v>
      </c>
      <c r="G1976" s="160" t="s">
        <v>5455</v>
      </c>
      <c r="H1976" s="34" t="s">
        <v>925</v>
      </c>
    </row>
    <row r="1977" spans="1:8" ht="33">
      <c r="A1977" s="160">
        <v>3</v>
      </c>
      <c r="B1977" s="160" t="s">
        <v>931</v>
      </c>
      <c r="C1977" s="157" t="s">
        <v>14</v>
      </c>
      <c r="D1977" s="159">
        <v>1</v>
      </c>
      <c r="E1977" s="159">
        <v>71.78</v>
      </c>
      <c r="F1977" s="159">
        <v>71.78</v>
      </c>
      <c r="G1977" s="160" t="s">
        <v>2</v>
      </c>
      <c r="H1977" s="34" t="s">
        <v>925</v>
      </c>
    </row>
    <row r="1978" spans="1:8" ht="33">
      <c r="A1978" s="160"/>
      <c r="B1978" s="160" t="s">
        <v>933</v>
      </c>
      <c r="C1978" s="157" t="s">
        <v>1875</v>
      </c>
      <c r="D1978" s="159">
        <v>1</v>
      </c>
      <c r="E1978" s="159"/>
      <c r="F1978" s="159">
        <v>2464.46</v>
      </c>
      <c r="G1978" s="160"/>
      <c r="H1978" s="34" t="s">
        <v>925</v>
      </c>
    </row>
    <row r="1979" spans="1:8" ht="33">
      <c r="A1979" s="160"/>
      <c r="B1979" s="160" t="s">
        <v>934</v>
      </c>
      <c r="C1979" s="157" t="s">
        <v>1875</v>
      </c>
      <c r="D1979" s="159"/>
      <c r="E1979" s="159"/>
      <c r="F1979" s="159">
        <v>2464.46</v>
      </c>
      <c r="G1979" s="160"/>
      <c r="H1979" s="34" t="s">
        <v>925</v>
      </c>
    </row>
    <row r="1980" spans="1:8" ht="33">
      <c r="A1980" s="160"/>
      <c r="B1980" s="160"/>
      <c r="C1980" s="157"/>
      <c r="D1980" s="159"/>
      <c r="E1980" s="159"/>
      <c r="F1980" s="159"/>
      <c r="G1980" s="160"/>
      <c r="H1980" s="34" t="s">
        <v>925</v>
      </c>
    </row>
    <row r="1981" spans="1:8" ht="42.75">
      <c r="A1981" s="160" t="s">
        <v>2168</v>
      </c>
      <c r="B1981" s="160" t="s">
        <v>1980</v>
      </c>
      <c r="C1981" s="157" t="s">
        <v>1875</v>
      </c>
      <c r="D1981" s="159">
        <v>1</v>
      </c>
      <c r="E1981" s="159">
        <v>4285.3999999999996</v>
      </c>
      <c r="F1981" s="159"/>
      <c r="G1981" s="160" t="s">
        <v>2</v>
      </c>
      <c r="H1981" s="34" t="s">
        <v>925</v>
      </c>
    </row>
    <row r="1982" spans="1:8" ht="28.5">
      <c r="A1982" s="160">
        <v>1</v>
      </c>
      <c r="B1982" s="160" t="s">
        <v>1982</v>
      </c>
      <c r="C1982" s="157" t="s">
        <v>1875</v>
      </c>
      <c r="D1982" s="159">
        <v>1</v>
      </c>
      <c r="E1982" s="159">
        <v>3998.6</v>
      </c>
      <c r="F1982" s="159">
        <v>3998.6</v>
      </c>
      <c r="G1982" s="160" t="s">
        <v>2</v>
      </c>
    </row>
    <row r="1983" spans="1:8" ht="33">
      <c r="A1983" s="160">
        <v>2</v>
      </c>
      <c r="B1983" s="160" t="s">
        <v>1984</v>
      </c>
      <c r="C1983" s="157" t="s">
        <v>1875</v>
      </c>
      <c r="D1983" s="159">
        <v>1</v>
      </c>
      <c r="E1983" s="159">
        <v>161.97999999999999</v>
      </c>
      <c r="F1983" s="159">
        <v>161.97999999999999</v>
      </c>
      <c r="G1983" s="160" t="s">
        <v>5455</v>
      </c>
      <c r="H1983" s="34" t="s">
        <v>925</v>
      </c>
    </row>
    <row r="1984" spans="1:8" ht="33">
      <c r="A1984" s="160">
        <v>3</v>
      </c>
      <c r="B1984" s="160" t="s">
        <v>931</v>
      </c>
      <c r="C1984" s="157" t="s">
        <v>14</v>
      </c>
      <c r="D1984" s="159">
        <v>1</v>
      </c>
      <c r="E1984" s="159">
        <v>124.82</v>
      </c>
      <c r="F1984" s="159">
        <v>124.82</v>
      </c>
      <c r="G1984" s="160" t="s">
        <v>2</v>
      </c>
      <c r="H1984" s="34" t="s">
        <v>925</v>
      </c>
    </row>
    <row r="1985" spans="1:8" ht="33">
      <c r="A1985" s="160"/>
      <c r="B1985" s="160" t="s">
        <v>933</v>
      </c>
      <c r="C1985" s="157" t="s">
        <v>1875</v>
      </c>
      <c r="D1985" s="159">
        <v>1</v>
      </c>
      <c r="E1985" s="159"/>
      <c r="F1985" s="159">
        <v>4285.3999999999996</v>
      </c>
      <c r="G1985" s="160"/>
      <c r="H1985" s="34" t="s">
        <v>925</v>
      </c>
    </row>
    <row r="1986" spans="1:8" ht="33">
      <c r="A1986" s="160"/>
      <c r="B1986" s="160" t="s">
        <v>934</v>
      </c>
      <c r="C1986" s="157" t="s">
        <v>1875</v>
      </c>
      <c r="D1986" s="159"/>
      <c r="E1986" s="159"/>
      <c r="F1986" s="159">
        <v>4285.3999999999996</v>
      </c>
      <c r="G1986" s="160"/>
      <c r="H1986" s="34" t="s">
        <v>925</v>
      </c>
    </row>
    <row r="1987" spans="1:8" ht="33">
      <c r="A1987" s="160"/>
      <c r="B1987" s="160"/>
      <c r="C1987" s="157"/>
      <c r="D1987" s="159"/>
      <c r="E1987" s="159"/>
      <c r="F1987" s="159"/>
      <c r="G1987" s="160"/>
      <c r="H1987" s="34" t="s">
        <v>925</v>
      </c>
    </row>
    <row r="1988" spans="1:8" ht="42.75">
      <c r="A1988" s="160" t="s">
        <v>2179</v>
      </c>
      <c r="B1988" s="160" t="s">
        <v>1987</v>
      </c>
      <c r="C1988" s="157" t="s">
        <v>1875</v>
      </c>
      <c r="D1988" s="159">
        <v>1</v>
      </c>
      <c r="E1988" s="159">
        <v>4752.55</v>
      </c>
      <c r="F1988" s="159"/>
      <c r="G1988" s="160" t="s">
        <v>2</v>
      </c>
      <c r="H1988" s="34" t="s">
        <v>925</v>
      </c>
    </row>
    <row r="1989" spans="1:8" ht="33">
      <c r="A1989" s="160">
        <v>1</v>
      </c>
      <c r="B1989" s="160" t="s">
        <v>1989</v>
      </c>
      <c r="C1989" s="157" t="s">
        <v>1875</v>
      </c>
      <c r="D1989" s="159">
        <v>1</v>
      </c>
      <c r="E1989" s="159">
        <v>4442.8900000000003</v>
      </c>
      <c r="F1989" s="159">
        <v>4442.8900000000003</v>
      </c>
      <c r="G1989" s="160" t="s">
        <v>2</v>
      </c>
      <c r="H1989" s="34" t="s">
        <v>925</v>
      </c>
    </row>
    <row r="1990" spans="1:8" ht="33">
      <c r="A1990" s="160">
        <v>2</v>
      </c>
      <c r="B1990" s="160" t="s">
        <v>1991</v>
      </c>
      <c r="C1990" s="157" t="s">
        <v>1875</v>
      </c>
      <c r="D1990" s="159">
        <v>1</v>
      </c>
      <c r="E1990" s="159">
        <v>171.24</v>
      </c>
      <c r="F1990" s="159">
        <v>171.24</v>
      </c>
      <c r="G1990" s="160" t="s">
        <v>2</v>
      </c>
      <c r="H1990" s="34" t="s">
        <v>925</v>
      </c>
    </row>
    <row r="1991" spans="1:8" ht="33">
      <c r="A1991" s="160">
        <v>3</v>
      </c>
      <c r="B1991" s="160" t="s">
        <v>931</v>
      </c>
      <c r="C1991" s="157" t="s">
        <v>14</v>
      </c>
      <c r="D1991" s="159">
        <v>1</v>
      </c>
      <c r="E1991" s="159">
        <v>138.41999999999999</v>
      </c>
      <c r="F1991" s="159">
        <v>138.41999999999999</v>
      </c>
      <c r="G1991" s="160" t="s">
        <v>2</v>
      </c>
      <c r="H1991" s="34" t="s">
        <v>925</v>
      </c>
    </row>
    <row r="1992" spans="1:8" ht="33">
      <c r="A1992" s="160"/>
      <c r="B1992" s="160" t="s">
        <v>933</v>
      </c>
      <c r="C1992" s="157" t="s">
        <v>1875</v>
      </c>
      <c r="D1992" s="159">
        <v>1</v>
      </c>
      <c r="E1992" s="159"/>
      <c r="F1992" s="159">
        <v>4752.55</v>
      </c>
      <c r="G1992" s="160"/>
      <c r="H1992" s="34" t="s">
        <v>925</v>
      </c>
    </row>
    <row r="1993" spans="1:8" ht="33">
      <c r="A1993" s="160"/>
      <c r="B1993" s="160" t="s">
        <v>934</v>
      </c>
      <c r="C1993" s="157" t="s">
        <v>1875</v>
      </c>
      <c r="D1993" s="159"/>
      <c r="E1993" s="159"/>
      <c r="F1993" s="159">
        <v>4752.55</v>
      </c>
      <c r="G1993" s="160"/>
      <c r="H1993" s="34" t="s">
        <v>925</v>
      </c>
    </row>
    <row r="1994" spans="1:8" ht="16.5">
      <c r="A1994" s="160"/>
      <c r="B1994" s="160"/>
      <c r="C1994" s="157"/>
      <c r="D1994" s="159"/>
      <c r="E1994" s="159"/>
      <c r="F1994" s="159"/>
      <c r="G1994" s="160"/>
    </row>
    <row r="1995" spans="1:8" ht="42.75">
      <c r="A1995" s="160" t="s">
        <v>2190</v>
      </c>
      <c r="B1995" s="160" t="s">
        <v>1994</v>
      </c>
      <c r="C1995" s="157" t="s">
        <v>1875</v>
      </c>
      <c r="D1995" s="159">
        <v>1</v>
      </c>
      <c r="E1995" s="159">
        <v>5315.04</v>
      </c>
      <c r="F1995" s="159"/>
      <c r="G1995" s="160" t="s">
        <v>2</v>
      </c>
      <c r="H1995" s="34" t="s">
        <v>925</v>
      </c>
    </row>
    <row r="1996" spans="1:8" ht="42.75">
      <c r="A1996" s="160">
        <v>1</v>
      </c>
      <c r="B1996" s="160" t="s">
        <v>1996</v>
      </c>
      <c r="C1996" s="157" t="s">
        <v>1875</v>
      </c>
      <c r="D1996" s="159">
        <v>1</v>
      </c>
      <c r="E1996" s="159">
        <v>4979.74</v>
      </c>
      <c r="F1996" s="159">
        <v>4979.74</v>
      </c>
      <c r="G1996" s="160" t="s">
        <v>2</v>
      </c>
      <c r="H1996" s="34" t="s">
        <v>925</v>
      </c>
    </row>
    <row r="1997" spans="1:8" ht="42.75">
      <c r="A1997" s="160">
        <v>2</v>
      </c>
      <c r="B1997" s="160" t="s">
        <v>1998</v>
      </c>
      <c r="C1997" s="157" t="s">
        <v>1875</v>
      </c>
      <c r="D1997" s="159">
        <v>1</v>
      </c>
      <c r="E1997" s="159">
        <v>180.49</v>
      </c>
      <c r="F1997" s="159">
        <v>180.49</v>
      </c>
      <c r="G1997" s="160" t="s">
        <v>5455</v>
      </c>
      <c r="H1997" s="34" t="s">
        <v>925</v>
      </c>
    </row>
    <row r="1998" spans="1:8" ht="33">
      <c r="A1998" s="160">
        <v>3</v>
      </c>
      <c r="B1998" s="160" t="s">
        <v>931</v>
      </c>
      <c r="C1998" s="157" t="s">
        <v>14</v>
      </c>
      <c r="D1998" s="159">
        <v>1</v>
      </c>
      <c r="E1998" s="159">
        <v>154.81</v>
      </c>
      <c r="F1998" s="159">
        <v>154.81</v>
      </c>
      <c r="G1998" s="160" t="s">
        <v>2</v>
      </c>
      <c r="H1998" s="34" t="s">
        <v>925</v>
      </c>
    </row>
    <row r="1999" spans="1:8" ht="33">
      <c r="A1999" s="160"/>
      <c r="B1999" s="160" t="s">
        <v>933</v>
      </c>
      <c r="C1999" s="157" t="s">
        <v>1875</v>
      </c>
      <c r="D1999" s="159">
        <v>1</v>
      </c>
      <c r="E1999" s="159"/>
      <c r="F1999" s="159">
        <v>5315.04</v>
      </c>
      <c r="G1999" s="160"/>
      <c r="H1999" s="34" t="s">
        <v>925</v>
      </c>
    </row>
    <row r="2000" spans="1:8" ht="33">
      <c r="A2000" s="160"/>
      <c r="B2000" s="160" t="s">
        <v>934</v>
      </c>
      <c r="C2000" s="157" t="s">
        <v>1875</v>
      </c>
      <c r="D2000" s="159"/>
      <c r="E2000" s="159"/>
      <c r="F2000" s="159">
        <v>5315.04</v>
      </c>
      <c r="G2000" s="160"/>
      <c r="H2000" s="34" t="s">
        <v>925</v>
      </c>
    </row>
    <row r="2001" spans="1:8" ht="33">
      <c r="A2001" s="160"/>
      <c r="B2001" s="160"/>
      <c r="C2001" s="157"/>
      <c r="D2001" s="159"/>
      <c r="E2001" s="159"/>
      <c r="F2001" s="159"/>
      <c r="G2001" s="160"/>
      <c r="H2001" s="34" t="s">
        <v>925</v>
      </c>
    </row>
    <row r="2002" spans="1:8" ht="42.75">
      <c r="A2002" s="160" t="s">
        <v>2194</v>
      </c>
      <c r="B2002" s="160" t="s">
        <v>2001</v>
      </c>
      <c r="C2002" s="157" t="s">
        <v>1875</v>
      </c>
      <c r="D2002" s="159">
        <v>1</v>
      </c>
      <c r="E2002" s="159">
        <v>4333.07</v>
      </c>
      <c r="F2002" s="159"/>
      <c r="G2002" s="160" t="s">
        <v>2</v>
      </c>
      <c r="H2002" s="34" t="s">
        <v>925</v>
      </c>
    </row>
    <row r="2003" spans="1:8" ht="33">
      <c r="A2003" s="160">
        <v>1</v>
      </c>
      <c r="B2003" s="160" t="s">
        <v>2003</v>
      </c>
      <c r="C2003" s="157" t="s">
        <v>1875</v>
      </c>
      <c r="D2003" s="159">
        <v>1</v>
      </c>
      <c r="E2003" s="159">
        <v>4044.88</v>
      </c>
      <c r="F2003" s="159">
        <v>4044.88</v>
      </c>
      <c r="G2003" s="160" t="s">
        <v>2</v>
      </c>
      <c r="H2003" s="34" t="s">
        <v>925</v>
      </c>
    </row>
    <row r="2004" spans="1:8" ht="33">
      <c r="A2004" s="160">
        <v>2</v>
      </c>
      <c r="B2004" s="160" t="s">
        <v>2005</v>
      </c>
      <c r="C2004" s="157" t="s">
        <v>1875</v>
      </c>
      <c r="D2004" s="159">
        <v>1</v>
      </c>
      <c r="E2004" s="159">
        <v>161.97999999999999</v>
      </c>
      <c r="F2004" s="159">
        <v>161.97999999999999</v>
      </c>
      <c r="G2004" s="160" t="s">
        <v>2</v>
      </c>
      <c r="H2004" s="34" t="s">
        <v>925</v>
      </c>
    </row>
    <row r="2005" spans="1:8" ht="33">
      <c r="A2005" s="160">
        <v>3</v>
      </c>
      <c r="B2005" s="160" t="s">
        <v>931</v>
      </c>
      <c r="C2005" s="157" t="s">
        <v>14</v>
      </c>
      <c r="D2005" s="159">
        <v>1</v>
      </c>
      <c r="E2005" s="159">
        <v>126.21</v>
      </c>
      <c r="F2005" s="159">
        <v>126.21</v>
      </c>
      <c r="G2005" s="160" t="s">
        <v>2</v>
      </c>
      <c r="H2005" s="34" t="s">
        <v>925</v>
      </c>
    </row>
    <row r="2006" spans="1:8" ht="16.5">
      <c r="A2006" s="160"/>
      <c r="B2006" s="160" t="s">
        <v>933</v>
      </c>
      <c r="C2006" s="157" t="s">
        <v>1875</v>
      </c>
      <c r="D2006" s="159">
        <v>1</v>
      </c>
      <c r="E2006" s="159"/>
      <c r="F2006" s="159">
        <v>4333.07</v>
      </c>
      <c r="G2006" s="160"/>
    </row>
    <row r="2007" spans="1:8" ht="33">
      <c r="A2007" s="160"/>
      <c r="B2007" s="160" t="s">
        <v>934</v>
      </c>
      <c r="C2007" s="157" t="s">
        <v>1875</v>
      </c>
      <c r="D2007" s="159"/>
      <c r="E2007" s="159"/>
      <c r="F2007" s="159">
        <v>4333.07</v>
      </c>
      <c r="G2007" s="160"/>
      <c r="H2007" s="34" t="s">
        <v>925</v>
      </c>
    </row>
    <row r="2008" spans="1:8" ht="33">
      <c r="A2008" s="160"/>
      <c r="B2008" s="160"/>
      <c r="C2008" s="157"/>
      <c r="D2008" s="159"/>
      <c r="E2008" s="159"/>
      <c r="F2008" s="159"/>
      <c r="G2008" s="160"/>
      <c r="H2008" s="34" t="s">
        <v>925</v>
      </c>
    </row>
    <row r="2009" spans="1:8" ht="42.75">
      <c r="A2009" s="160" t="s">
        <v>2203</v>
      </c>
      <c r="B2009" s="160" t="s">
        <v>2008</v>
      </c>
      <c r="C2009" s="157" t="s">
        <v>1875</v>
      </c>
      <c r="D2009" s="159">
        <v>1</v>
      </c>
      <c r="E2009" s="159">
        <v>4866.96</v>
      </c>
      <c r="F2009" s="159"/>
      <c r="G2009" s="160" t="s">
        <v>2</v>
      </c>
      <c r="H2009" s="34" t="s">
        <v>925</v>
      </c>
    </row>
    <row r="2010" spans="1:8" ht="33">
      <c r="A2010" s="160">
        <v>1</v>
      </c>
      <c r="B2010" s="160" t="s">
        <v>2012</v>
      </c>
      <c r="C2010" s="157" t="s">
        <v>1875</v>
      </c>
      <c r="D2010" s="159">
        <v>1</v>
      </c>
      <c r="E2010" s="159">
        <v>171.24</v>
      </c>
      <c r="F2010" s="159">
        <v>171.24</v>
      </c>
      <c r="G2010" s="160" t="s">
        <v>5455</v>
      </c>
      <c r="H2010" s="34" t="s">
        <v>925</v>
      </c>
    </row>
    <row r="2011" spans="1:8" ht="33">
      <c r="A2011" s="160">
        <v>2</v>
      </c>
      <c r="B2011" s="160" t="s">
        <v>2010</v>
      </c>
      <c r="C2011" s="157" t="s">
        <v>1875</v>
      </c>
      <c r="D2011" s="159">
        <v>1</v>
      </c>
      <c r="E2011" s="159">
        <v>4553.96</v>
      </c>
      <c r="F2011" s="159">
        <v>4553.96</v>
      </c>
      <c r="G2011" s="160" t="s">
        <v>2</v>
      </c>
      <c r="H2011" s="34" t="s">
        <v>925</v>
      </c>
    </row>
    <row r="2012" spans="1:8" ht="33">
      <c r="A2012" s="160">
        <v>3</v>
      </c>
      <c r="B2012" s="160" t="s">
        <v>931</v>
      </c>
      <c r="C2012" s="157" t="s">
        <v>14</v>
      </c>
      <c r="D2012" s="159">
        <v>1</v>
      </c>
      <c r="E2012" s="159">
        <v>141.76</v>
      </c>
      <c r="F2012" s="159">
        <v>141.76</v>
      </c>
      <c r="G2012" s="160" t="s">
        <v>2</v>
      </c>
      <c r="H2012" s="34" t="s">
        <v>925</v>
      </c>
    </row>
    <row r="2013" spans="1:8" ht="33">
      <c r="A2013" s="160"/>
      <c r="B2013" s="160" t="s">
        <v>933</v>
      </c>
      <c r="C2013" s="157" t="s">
        <v>1875</v>
      </c>
      <c r="D2013" s="159">
        <v>1</v>
      </c>
      <c r="E2013" s="159"/>
      <c r="F2013" s="159">
        <v>4866.96</v>
      </c>
      <c r="G2013" s="160"/>
      <c r="H2013" s="34" t="s">
        <v>925</v>
      </c>
    </row>
    <row r="2014" spans="1:8" ht="33">
      <c r="A2014" s="160"/>
      <c r="B2014" s="160" t="s">
        <v>934</v>
      </c>
      <c r="C2014" s="157" t="s">
        <v>1875</v>
      </c>
      <c r="D2014" s="159"/>
      <c r="E2014" s="159"/>
      <c r="F2014" s="159">
        <v>4866.96</v>
      </c>
      <c r="G2014" s="160"/>
      <c r="H2014" s="34" t="s">
        <v>925</v>
      </c>
    </row>
    <row r="2015" spans="1:8" ht="33">
      <c r="A2015" s="160"/>
      <c r="B2015" s="160"/>
      <c r="C2015" s="157"/>
      <c r="D2015" s="159"/>
      <c r="E2015" s="159"/>
      <c r="F2015" s="159"/>
      <c r="G2015" s="160"/>
      <c r="H2015" s="34" t="s">
        <v>925</v>
      </c>
    </row>
    <row r="2016" spans="1:8" ht="42.75">
      <c r="A2016" s="160" t="s">
        <v>2211</v>
      </c>
      <c r="B2016" s="160" t="s">
        <v>2015</v>
      </c>
      <c r="C2016" s="157" t="s">
        <v>1875</v>
      </c>
      <c r="D2016" s="159">
        <v>1</v>
      </c>
      <c r="E2016" s="159">
        <v>5629.65</v>
      </c>
      <c r="F2016" s="159"/>
      <c r="G2016" s="160" t="s">
        <v>2</v>
      </c>
      <c r="H2016" s="34" t="s">
        <v>925</v>
      </c>
    </row>
    <row r="2017" spans="1:8" ht="42.75">
      <c r="A2017" s="160">
        <v>1</v>
      </c>
      <c r="B2017" s="160" t="s">
        <v>2017</v>
      </c>
      <c r="C2017" s="157" t="s">
        <v>1875</v>
      </c>
      <c r="D2017" s="159">
        <v>1</v>
      </c>
      <c r="E2017" s="159">
        <v>5285.19</v>
      </c>
      <c r="F2017" s="159">
        <v>5285.19</v>
      </c>
      <c r="G2017" s="160" t="s">
        <v>2</v>
      </c>
      <c r="H2017" s="34" t="s">
        <v>925</v>
      </c>
    </row>
    <row r="2018" spans="1:8" ht="42.75">
      <c r="A2018" s="160">
        <v>2</v>
      </c>
      <c r="B2018" s="160" t="s">
        <v>2019</v>
      </c>
      <c r="C2018" s="157" t="s">
        <v>1875</v>
      </c>
      <c r="D2018" s="159">
        <v>1</v>
      </c>
      <c r="E2018" s="159">
        <v>180.49</v>
      </c>
      <c r="F2018" s="159">
        <v>180.49</v>
      </c>
      <c r="G2018" s="160" t="s">
        <v>5455</v>
      </c>
      <c r="H2018" s="34" t="s">
        <v>925</v>
      </c>
    </row>
    <row r="2019" spans="1:8" ht="16.5">
      <c r="A2019" s="160">
        <v>3</v>
      </c>
      <c r="B2019" s="160" t="s">
        <v>931</v>
      </c>
      <c r="C2019" s="157" t="s">
        <v>14</v>
      </c>
      <c r="D2019" s="159">
        <v>1</v>
      </c>
      <c r="E2019" s="159">
        <v>163.97</v>
      </c>
      <c r="F2019" s="159">
        <v>163.97</v>
      </c>
      <c r="G2019" s="160" t="s">
        <v>2</v>
      </c>
    </row>
    <row r="2020" spans="1:8" ht="33">
      <c r="A2020" s="160"/>
      <c r="B2020" s="160" t="s">
        <v>933</v>
      </c>
      <c r="C2020" s="157" t="s">
        <v>1875</v>
      </c>
      <c r="D2020" s="159">
        <v>1</v>
      </c>
      <c r="E2020" s="159"/>
      <c r="F2020" s="159">
        <v>5629.65</v>
      </c>
      <c r="G2020" s="160"/>
      <c r="H2020" s="34" t="s">
        <v>925</v>
      </c>
    </row>
    <row r="2021" spans="1:8" ht="33">
      <c r="A2021" s="160"/>
      <c r="B2021" s="160" t="s">
        <v>934</v>
      </c>
      <c r="C2021" s="157" t="s">
        <v>1875</v>
      </c>
      <c r="D2021" s="159"/>
      <c r="E2021" s="159"/>
      <c r="F2021" s="159">
        <v>5629.65</v>
      </c>
      <c r="G2021" s="160"/>
      <c r="H2021" s="34" t="s">
        <v>925</v>
      </c>
    </row>
    <row r="2022" spans="1:8" ht="33">
      <c r="A2022" s="160"/>
      <c r="B2022" s="160"/>
      <c r="C2022" s="157"/>
      <c r="D2022" s="159"/>
      <c r="E2022" s="159"/>
      <c r="F2022" s="159"/>
      <c r="G2022" s="160"/>
      <c r="H2022" s="34" t="s">
        <v>925</v>
      </c>
    </row>
    <row r="2023" spans="1:8" ht="42.75">
      <c r="A2023" s="160" t="s">
        <v>2218</v>
      </c>
      <c r="B2023" s="160" t="s">
        <v>4664</v>
      </c>
      <c r="C2023" s="157" t="s">
        <v>1689</v>
      </c>
      <c r="D2023" s="159">
        <v>1</v>
      </c>
      <c r="E2023" s="159">
        <v>6154.96</v>
      </c>
      <c r="F2023" s="159"/>
      <c r="G2023" s="160" t="s">
        <v>2</v>
      </c>
      <c r="H2023" s="34" t="s">
        <v>925</v>
      </c>
    </row>
    <row r="2024" spans="1:8" ht="42.75">
      <c r="A2024" s="160">
        <v>1</v>
      </c>
      <c r="B2024" s="160" t="s">
        <v>4967</v>
      </c>
      <c r="C2024" s="157" t="s">
        <v>1875</v>
      </c>
      <c r="D2024" s="159">
        <v>1</v>
      </c>
      <c r="E2024" s="159">
        <v>5827.59</v>
      </c>
      <c r="F2024" s="159">
        <v>5827.59</v>
      </c>
      <c r="G2024" s="160" t="s">
        <v>2</v>
      </c>
      <c r="H2024" s="34" t="s">
        <v>925</v>
      </c>
    </row>
    <row r="2025" spans="1:8" ht="33">
      <c r="A2025" s="160">
        <v>2</v>
      </c>
      <c r="B2025" s="160" t="s">
        <v>2026</v>
      </c>
      <c r="C2025" s="157" t="s">
        <v>14</v>
      </c>
      <c r="D2025" s="159">
        <v>1</v>
      </c>
      <c r="E2025" s="159">
        <v>148.1</v>
      </c>
      <c r="F2025" s="159">
        <v>148.1</v>
      </c>
      <c r="G2025" s="160" t="s">
        <v>2</v>
      </c>
      <c r="H2025" s="34" t="s">
        <v>925</v>
      </c>
    </row>
    <row r="2026" spans="1:8" ht="33">
      <c r="A2026" s="160">
        <v>3</v>
      </c>
      <c r="B2026" s="160" t="s">
        <v>931</v>
      </c>
      <c r="C2026" s="157" t="s">
        <v>14</v>
      </c>
      <c r="D2026" s="159">
        <v>1</v>
      </c>
      <c r="E2026" s="159">
        <v>179.27</v>
      </c>
      <c r="F2026" s="159">
        <v>179.27</v>
      </c>
      <c r="G2026" s="160" t="s">
        <v>2</v>
      </c>
      <c r="H2026" s="34" t="s">
        <v>925</v>
      </c>
    </row>
    <row r="2027" spans="1:8" ht="33">
      <c r="A2027" s="160"/>
      <c r="B2027" s="160" t="s">
        <v>933</v>
      </c>
      <c r="C2027" s="157" t="s">
        <v>1689</v>
      </c>
      <c r="D2027" s="159">
        <v>1</v>
      </c>
      <c r="E2027" s="159"/>
      <c r="F2027" s="159">
        <v>6154.9600000000009</v>
      </c>
      <c r="G2027" s="160"/>
      <c r="H2027" s="34" t="s">
        <v>925</v>
      </c>
    </row>
    <row r="2028" spans="1:8" ht="33">
      <c r="A2028" s="160"/>
      <c r="B2028" s="160" t="s">
        <v>934</v>
      </c>
      <c r="C2028" s="157" t="s">
        <v>1689</v>
      </c>
      <c r="D2028" s="159"/>
      <c r="E2028" s="159"/>
      <c r="F2028" s="159">
        <v>6154.96</v>
      </c>
      <c r="G2028" s="160"/>
      <c r="H2028" s="34" t="s">
        <v>925</v>
      </c>
    </row>
    <row r="2029" spans="1:8" ht="33">
      <c r="A2029" s="160"/>
      <c r="B2029" s="160"/>
      <c r="C2029" s="157"/>
      <c r="D2029" s="159"/>
      <c r="E2029" s="159"/>
      <c r="F2029" s="159"/>
      <c r="G2029" s="160"/>
      <c r="H2029" s="34" t="s">
        <v>925</v>
      </c>
    </row>
    <row r="2030" spans="1:8" ht="42.75">
      <c r="A2030" s="160" t="s">
        <v>2225</v>
      </c>
      <c r="B2030" s="160" t="s">
        <v>4666</v>
      </c>
      <c r="C2030" s="157" t="s">
        <v>1689</v>
      </c>
      <c r="D2030" s="159">
        <v>1</v>
      </c>
      <c r="E2030" s="159">
        <v>7253.24</v>
      </c>
      <c r="F2030" s="159"/>
      <c r="G2030" s="160" t="s">
        <v>2</v>
      </c>
      <c r="H2030" s="34" t="s">
        <v>925</v>
      </c>
    </row>
    <row r="2031" spans="1:8" ht="42.75">
      <c r="A2031" s="160">
        <v>1</v>
      </c>
      <c r="B2031" s="160" t="s">
        <v>4970</v>
      </c>
      <c r="C2031" s="157" t="s">
        <v>1875</v>
      </c>
      <c r="D2031" s="159">
        <v>1</v>
      </c>
      <c r="E2031" s="159">
        <v>6893.88</v>
      </c>
      <c r="F2031" s="159">
        <v>6893.88</v>
      </c>
      <c r="G2031" s="160" t="s">
        <v>2</v>
      </c>
      <c r="H2031" s="34" t="s">
        <v>925</v>
      </c>
    </row>
    <row r="2032" spans="1:8" ht="28.5">
      <c r="A2032" s="160">
        <v>2</v>
      </c>
      <c r="B2032" s="160" t="s">
        <v>2026</v>
      </c>
      <c r="C2032" s="157" t="s">
        <v>14</v>
      </c>
      <c r="D2032" s="159">
        <v>1</v>
      </c>
      <c r="E2032" s="159">
        <v>148.1</v>
      </c>
      <c r="F2032" s="159">
        <v>148.1</v>
      </c>
      <c r="G2032" s="160" t="s">
        <v>2</v>
      </c>
    </row>
    <row r="2033" spans="1:8" ht="33">
      <c r="A2033" s="160">
        <v>3</v>
      </c>
      <c r="B2033" s="160" t="s">
        <v>931</v>
      </c>
      <c r="C2033" s="157" t="s">
        <v>14</v>
      </c>
      <c r="D2033" s="159">
        <v>1</v>
      </c>
      <c r="E2033" s="159">
        <v>211.26</v>
      </c>
      <c r="F2033" s="159">
        <v>211.26</v>
      </c>
      <c r="G2033" s="160" t="s">
        <v>2</v>
      </c>
      <c r="H2033" s="34" t="s">
        <v>925</v>
      </c>
    </row>
    <row r="2034" spans="1:8" ht="33">
      <c r="A2034" s="160"/>
      <c r="B2034" s="160" t="s">
        <v>933</v>
      </c>
      <c r="C2034" s="157" t="s">
        <v>1689</v>
      </c>
      <c r="D2034" s="159">
        <v>1</v>
      </c>
      <c r="E2034" s="159"/>
      <c r="F2034" s="159">
        <v>7253.2400000000007</v>
      </c>
      <c r="G2034" s="160"/>
      <c r="H2034" s="34" t="s">
        <v>925</v>
      </c>
    </row>
    <row r="2035" spans="1:8" ht="33">
      <c r="A2035" s="160"/>
      <c r="B2035" s="160" t="s">
        <v>934</v>
      </c>
      <c r="C2035" s="157" t="s">
        <v>1689</v>
      </c>
      <c r="D2035" s="159"/>
      <c r="E2035" s="159"/>
      <c r="F2035" s="159">
        <v>7253.24</v>
      </c>
      <c r="G2035" s="160"/>
      <c r="H2035" s="34" t="s">
        <v>925</v>
      </c>
    </row>
    <row r="2036" spans="1:8" ht="33">
      <c r="A2036" s="160"/>
      <c r="B2036" s="160"/>
      <c r="C2036" s="157"/>
      <c r="D2036" s="159"/>
      <c r="E2036" s="159"/>
      <c r="F2036" s="159"/>
      <c r="G2036" s="160"/>
      <c r="H2036" s="34" t="s">
        <v>925</v>
      </c>
    </row>
    <row r="2037" spans="1:8" ht="42.75">
      <c r="A2037" s="160" t="s">
        <v>2228</v>
      </c>
      <c r="B2037" s="160" t="s">
        <v>4668</v>
      </c>
      <c r="C2037" s="157" t="s">
        <v>1689</v>
      </c>
      <c r="D2037" s="159">
        <v>1</v>
      </c>
      <c r="E2037" s="159">
        <v>8351.52</v>
      </c>
      <c r="F2037" s="159"/>
      <c r="G2037" s="160" t="s">
        <v>2</v>
      </c>
      <c r="H2037" s="34" t="s">
        <v>925</v>
      </c>
    </row>
    <row r="2038" spans="1:8" ht="42.75">
      <c r="A2038" s="160">
        <v>1</v>
      </c>
      <c r="B2038" s="160" t="s">
        <v>4973</v>
      </c>
      <c r="C2038" s="157" t="s">
        <v>1875</v>
      </c>
      <c r="D2038" s="159">
        <v>1</v>
      </c>
      <c r="E2038" s="159">
        <v>7960.17</v>
      </c>
      <c r="F2038" s="159">
        <v>7960.17</v>
      </c>
      <c r="G2038" s="160" t="s">
        <v>2</v>
      </c>
      <c r="H2038" s="34" t="s">
        <v>925</v>
      </c>
    </row>
    <row r="2039" spans="1:8" ht="33">
      <c r="A2039" s="160">
        <v>2</v>
      </c>
      <c r="B2039" s="160" t="s">
        <v>2026</v>
      </c>
      <c r="C2039" s="157" t="s">
        <v>14</v>
      </c>
      <c r="D2039" s="159">
        <v>1</v>
      </c>
      <c r="E2039" s="159">
        <v>148.1</v>
      </c>
      <c r="F2039" s="159">
        <v>148.1</v>
      </c>
      <c r="G2039" s="160" t="s">
        <v>2</v>
      </c>
      <c r="H2039" s="34" t="s">
        <v>925</v>
      </c>
    </row>
    <row r="2040" spans="1:8" ht="33">
      <c r="A2040" s="160">
        <v>3</v>
      </c>
      <c r="B2040" s="160" t="s">
        <v>931</v>
      </c>
      <c r="C2040" s="157" t="s">
        <v>14</v>
      </c>
      <c r="D2040" s="159">
        <v>1</v>
      </c>
      <c r="E2040" s="159">
        <v>243.25</v>
      </c>
      <c r="F2040" s="159">
        <v>243.25</v>
      </c>
      <c r="G2040" s="160" t="s">
        <v>2</v>
      </c>
      <c r="H2040" s="34" t="s">
        <v>925</v>
      </c>
    </row>
    <row r="2041" spans="1:8" ht="33">
      <c r="A2041" s="160"/>
      <c r="B2041" s="160" t="s">
        <v>933</v>
      </c>
      <c r="C2041" s="157" t="s">
        <v>1689</v>
      </c>
      <c r="D2041" s="159">
        <v>1</v>
      </c>
      <c r="E2041" s="159"/>
      <c r="F2041" s="159">
        <v>8351.52</v>
      </c>
      <c r="G2041" s="160"/>
      <c r="H2041" s="34" t="s">
        <v>925</v>
      </c>
    </row>
    <row r="2042" spans="1:8" ht="33">
      <c r="A2042" s="160"/>
      <c r="B2042" s="160" t="s">
        <v>934</v>
      </c>
      <c r="C2042" s="157" t="s">
        <v>1689</v>
      </c>
      <c r="D2042" s="159"/>
      <c r="E2042" s="159"/>
      <c r="F2042" s="159">
        <v>8351.52</v>
      </c>
      <c r="G2042" s="160"/>
      <c r="H2042" s="34" t="s">
        <v>925</v>
      </c>
    </row>
    <row r="2043" spans="1:8" ht="33">
      <c r="A2043" s="160"/>
      <c r="B2043" s="160"/>
      <c r="C2043" s="157"/>
      <c r="D2043" s="159"/>
      <c r="E2043" s="159"/>
      <c r="F2043" s="159"/>
      <c r="G2043" s="160"/>
      <c r="H2043" s="34" t="s">
        <v>925</v>
      </c>
    </row>
    <row r="2044" spans="1:8" ht="33">
      <c r="A2044" s="160" t="s">
        <v>2231</v>
      </c>
      <c r="B2044" s="160" t="s">
        <v>2022</v>
      </c>
      <c r="C2044" s="157" t="s">
        <v>1689</v>
      </c>
      <c r="D2044" s="159">
        <v>1</v>
      </c>
      <c r="E2044" s="159">
        <v>2101.7800000000002</v>
      </c>
      <c r="F2044" s="159"/>
      <c r="G2044" s="160" t="s">
        <v>2</v>
      </c>
      <c r="H2044" s="34" t="s">
        <v>925</v>
      </c>
    </row>
    <row r="2045" spans="1:8" ht="16.5">
      <c r="A2045" s="160">
        <v>1</v>
      </c>
      <c r="B2045" s="160" t="s">
        <v>2024</v>
      </c>
      <c r="C2045" s="157" t="s">
        <v>18</v>
      </c>
      <c r="D2045" s="159">
        <v>23.5</v>
      </c>
      <c r="E2045" s="159">
        <v>80.53</v>
      </c>
      <c r="F2045" s="159">
        <v>1892.46</v>
      </c>
      <c r="G2045" s="160" t="s">
        <v>2</v>
      </c>
    </row>
    <row r="2046" spans="1:8" ht="33">
      <c r="A2046" s="160">
        <v>2</v>
      </c>
      <c r="B2046" s="160" t="s">
        <v>2026</v>
      </c>
      <c r="C2046" s="157" t="s">
        <v>14</v>
      </c>
      <c r="D2046" s="159">
        <v>1</v>
      </c>
      <c r="E2046" s="159">
        <v>148.1</v>
      </c>
      <c r="F2046" s="159">
        <v>148.1</v>
      </c>
      <c r="G2046" s="160" t="s">
        <v>2</v>
      </c>
      <c r="H2046" s="34" t="s">
        <v>925</v>
      </c>
    </row>
    <row r="2047" spans="1:8" ht="33">
      <c r="A2047" s="160">
        <v>3</v>
      </c>
      <c r="B2047" s="160" t="s">
        <v>931</v>
      </c>
      <c r="C2047" s="157" t="s">
        <v>14</v>
      </c>
      <c r="D2047" s="159">
        <v>1</v>
      </c>
      <c r="E2047" s="159">
        <v>61.22</v>
      </c>
      <c r="F2047" s="159">
        <v>61.22</v>
      </c>
      <c r="G2047" s="160" t="s">
        <v>2</v>
      </c>
      <c r="H2047" s="34" t="s">
        <v>925</v>
      </c>
    </row>
    <row r="2048" spans="1:8" ht="33">
      <c r="A2048" s="160"/>
      <c r="B2048" s="160" t="s">
        <v>933</v>
      </c>
      <c r="C2048" s="157" t="s">
        <v>1689</v>
      </c>
      <c r="D2048" s="159">
        <v>1</v>
      </c>
      <c r="E2048" s="159"/>
      <c r="F2048" s="159">
        <v>2101.7799999999997</v>
      </c>
      <c r="G2048" s="160"/>
      <c r="H2048" s="34" t="s">
        <v>925</v>
      </c>
    </row>
    <row r="2049" spans="1:8" ht="33">
      <c r="A2049" s="160"/>
      <c r="B2049" s="160" t="s">
        <v>934</v>
      </c>
      <c r="C2049" s="157" t="s">
        <v>1689</v>
      </c>
      <c r="D2049" s="159"/>
      <c r="E2049" s="159"/>
      <c r="F2049" s="159">
        <v>2101.7800000000002</v>
      </c>
      <c r="G2049" s="160"/>
      <c r="H2049" s="34" t="s">
        <v>925</v>
      </c>
    </row>
    <row r="2050" spans="1:8" ht="33">
      <c r="A2050" s="160"/>
      <c r="B2050" s="160"/>
      <c r="C2050" s="157"/>
      <c r="D2050" s="159"/>
      <c r="E2050" s="159"/>
      <c r="F2050" s="159"/>
      <c r="G2050" s="160"/>
      <c r="H2050" s="34" t="s">
        <v>925</v>
      </c>
    </row>
    <row r="2051" spans="1:8" ht="33">
      <c r="A2051" s="160" t="s">
        <v>2236</v>
      </c>
      <c r="B2051" s="160" t="s">
        <v>2029</v>
      </c>
      <c r="C2051" s="157" t="s">
        <v>1689</v>
      </c>
      <c r="D2051" s="159">
        <v>1</v>
      </c>
      <c r="E2051" s="159">
        <v>2649.21</v>
      </c>
      <c r="F2051" s="159"/>
      <c r="G2051" s="160" t="s">
        <v>2</v>
      </c>
      <c r="H2051" s="34" t="s">
        <v>925</v>
      </c>
    </row>
    <row r="2052" spans="1:8" ht="33">
      <c r="A2052" s="160">
        <v>1</v>
      </c>
      <c r="B2052" s="160" t="s">
        <v>2024</v>
      </c>
      <c r="C2052" s="157" t="s">
        <v>18</v>
      </c>
      <c r="D2052" s="159">
        <v>30.1</v>
      </c>
      <c r="E2052" s="159">
        <v>80.53</v>
      </c>
      <c r="F2052" s="159">
        <v>2423.9499999999998</v>
      </c>
      <c r="G2052" s="160" t="s">
        <v>2</v>
      </c>
      <c r="H2052" s="34" t="s">
        <v>925</v>
      </c>
    </row>
    <row r="2053" spans="1:8" ht="33">
      <c r="A2053" s="160">
        <v>2</v>
      </c>
      <c r="B2053" s="160" t="s">
        <v>2026</v>
      </c>
      <c r="C2053" s="157" t="s">
        <v>14</v>
      </c>
      <c r="D2053" s="159">
        <v>1</v>
      </c>
      <c r="E2053" s="159">
        <v>148.1</v>
      </c>
      <c r="F2053" s="159">
        <v>148.1</v>
      </c>
      <c r="G2053" s="160" t="s">
        <v>2</v>
      </c>
      <c r="H2053" s="34" t="s">
        <v>925</v>
      </c>
    </row>
    <row r="2054" spans="1:8" ht="33">
      <c r="A2054" s="160">
        <v>3</v>
      </c>
      <c r="B2054" s="160" t="s">
        <v>931</v>
      </c>
      <c r="C2054" s="157" t="s">
        <v>14</v>
      </c>
      <c r="D2054" s="159">
        <v>1</v>
      </c>
      <c r="E2054" s="159">
        <v>77.16</v>
      </c>
      <c r="F2054" s="159">
        <v>77.16</v>
      </c>
      <c r="G2054" s="160" t="s">
        <v>2</v>
      </c>
      <c r="H2054" s="34" t="s">
        <v>925</v>
      </c>
    </row>
    <row r="2055" spans="1:8" ht="33">
      <c r="A2055" s="160"/>
      <c r="B2055" s="160" t="s">
        <v>933</v>
      </c>
      <c r="C2055" s="157" t="s">
        <v>1689</v>
      </c>
      <c r="D2055" s="159">
        <v>1</v>
      </c>
      <c r="E2055" s="159"/>
      <c r="F2055" s="159">
        <v>2649.2099999999996</v>
      </c>
      <c r="G2055" s="160"/>
      <c r="H2055" s="34" t="s">
        <v>925</v>
      </c>
    </row>
    <row r="2056" spans="1:8" ht="33">
      <c r="A2056" s="160"/>
      <c r="B2056" s="160" t="s">
        <v>934</v>
      </c>
      <c r="C2056" s="157" t="s">
        <v>1689</v>
      </c>
      <c r="D2056" s="159"/>
      <c r="E2056" s="159"/>
      <c r="F2056" s="159">
        <v>2649.21</v>
      </c>
      <c r="G2056" s="160"/>
      <c r="H2056" s="34" t="s">
        <v>925</v>
      </c>
    </row>
    <row r="2057" spans="1:8" ht="33">
      <c r="A2057" s="160"/>
      <c r="B2057" s="160"/>
      <c r="C2057" s="157"/>
      <c r="D2057" s="159"/>
      <c r="E2057" s="159"/>
      <c r="F2057" s="159"/>
      <c r="G2057" s="160"/>
      <c r="H2057" s="34" t="s">
        <v>925</v>
      </c>
    </row>
    <row r="2058" spans="1:8" ht="28.5">
      <c r="A2058" s="160" t="s">
        <v>2244</v>
      </c>
      <c r="B2058" s="160" t="s">
        <v>2032</v>
      </c>
      <c r="C2058" s="157" t="s">
        <v>1689</v>
      </c>
      <c r="D2058" s="159">
        <v>1</v>
      </c>
      <c r="E2058" s="159">
        <v>2898.24</v>
      </c>
      <c r="F2058" s="159"/>
      <c r="G2058" s="160" t="s">
        <v>2</v>
      </c>
    </row>
    <row r="2059" spans="1:8" ht="42.75">
      <c r="A2059" s="160">
        <v>1</v>
      </c>
      <c r="B2059" s="160" t="s">
        <v>2034</v>
      </c>
      <c r="C2059" s="157" t="s">
        <v>1875</v>
      </c>
      <c r="D2059" s="159">
        <v>1</v>
      </c>
      <c r="E2059" s="159">
        <v>2665.73</v>
      </c>
      <c r="F2059" s="159">
        <v>2665.73</v>
      </c>
      <c r="G2059" s="160" t="s">
        <v>2</v>
      </c>
      <c r="H2059" s="34" t="s">
        <v>925</v>
      </c>
    </row>
    <row r="2060" spans="1:8" ht="33">
      <c r="A2060" s="160">
        <v>2</v>
      </c>
      <c r="B2060" s="160" t="s">
        <v>2026</v>
      </c>
      <c r="C2060" s="157" t="s">
        <v>14</v>
      </c>
      <c r="D2060" s="159">
        <v>1</v>
      </c>
      <c r="E2060" s="159">
        <v>148.1</v>
      </c>
      <c r="F2060" s="159">
        <v>148.1</v>
      </c>
      <c r="G2060" s="160" t="s">
        <v>2</v>
      </c>
      <c r="H2060" s="34" t="s">
        <v>925</v>
      </c>
    </row>
    <row r="2061" spans="1:8" ht="33">
      <c r="A2061" s="160">
        <v>3</v>
      </c>
      <c r="B2061" s="160" t="s">
        <v>931</v>
      </c>
      <c r="C2061" s="157" t="s">
        <v>14</v>
      </c>
      <c r="D2061" s="159">
        <v>1</v>
      </c>
      <c r="E2061" s="159">
        <v>84.41</v>
      </c>
      <c r="F2061" s="159">
        <v>84.41</v>
      </c>
      <c r="G2061" s="160" t="s">
        <v>2</v>
      </c>
      <c r="H2061" s="34" t="s">
        <v>925</v>
      </c>
    </row>
    <row r="2062" spans="1:8" ht="33">
      <c r="A2062" s="160"/>
      <c r="B2062" s="160" t="s">
        <v>933</v>
      </c>
      <c r="C2062" s="157" t="s">
        <v>1689</v>
      </c>
      <c r="D2062" s="159">
        <v>1</v>
      </c>
      <c r="E2062" s="159"/>
      <c r="F2062" s="159">
        <v>2898.24</v>
      </c>
      <c r="G2062" s="160"/>
      <c r="H2062" s="34" t="s">
        <v>925</v>
      </c>
    </row>
    <row r="2063" spans="1:8" ht="33">
      <c r="A2063" s="160"/>
      <c r="B2063" s="160" t="s">
        <v>934</v>
      </c>
      <c r="C2063" s="157" t="s">
        <v>1689</v>
      </c>
      <c r="D2063" s="159"/>
      <c r="E2063" s="159"/>
      <c r="F2063" s="159">
        <v>2898.24</v>
      </c>
      <c r="G2063" s="160"/>
      <c r="H2063" s="34" t="s">
        <v>925</v>
      </c>
    </row>
    <row r="2064" spans="1:8" ht="33">
      <c r="A2064" s="160"/>
      <c r="B2064" s="160"/>
      <c r="C2064" s="157"/>
      <c r="D2064" s="159"/>
      <c r="E2064" s="159"/>
      <c r="F2064" s="159"/>
      <c r="G2064" s="160"/>
      <c r="H2064" s="34" t="s">
        <v>925</v>
      </c>
    </row>
    <row r="2065" spans="1:8" ht="33">
      <c r="A2065" s="160" t="s">
        <v>2255</v>
      </c>
      <c r="B2065" s="160" t="s">
        <v>2037</v>
      </c>
      <c r="C2065" s="157" t="s">
        <v>1689</v>
      </c>
      <c r="D2065" s="159">
        <v>1</v>
      </c>
      <c r="E2065" s="159">
        <v>3336.8</v>
      </c>
      <c r="F2065" s="159"/>
      <c r="G2065" s="160" t="s">
        <v>2</v>
      </c>
      <c r="H2065" s="34" t="s">
        <v>925</v>
      </c>
    </row>
    <row r="2066" spans="1:8" ht="42.75">
      <c r="A2066" s="160">
        <v>1</v>
      </c>
      <c r="B2066" s="160" t="s">
        <v>2039</v>
      </c>
      <c r="C2066" s="157" t="s">
        <v>1875</v>
      </c>
      <c r="D2066" s="159">
        <v>1</v>
      </c>
      <c r="E2066" s="159">
        <v>3091.51</v>
      </c>
      <c r="F2066" s="159">
        <v>3091.51</v>
      </c>
      <c r="G2066" s="160" t="s">
        <v>2</v>
      </c>
    </row>
    <row r="2067" spans="1:8" ht="33">
      <c r="A2067" s="160">
        <v>2</v>
      </c>
      <c r="B2067" s="160" t="s">
        <v>2026</v>
      </c>
      <c r="C2067" s="157" t="s">
        <v>14</v>
      </c>
      <c r="D2067" s="159">
        <v>1</v>
      </c>
      <c r="E2067" s="159">
        <v>148.1</v>
      </c>
      <c r="F2067" s="159">
        <v>148.1</v>
      </c>
      <c r="G2067" s="160" t="s">
        <v>2</v>
      </c>
      <c r="H2067" s="34" t="s">
        <v>925</v>
      </c>
    </row>
    <row r="2068" spans="1:8" ht="33">
      <c r="A2068" s="160">
        <v>3</v>
      </c>
      <c r="B2068" s="160" t="s">
        <v>931</v>
      </c>
      <c r="C2068" s="157" t="s">
        <v>14</v>
      </c>
      <c r="D2068" s="159">
        <v>1</v>
      </c>
      <c r="E2068" s="159">
        <v>97.19</v>
      </c>
      <c r="F2068" s="159">
        <v>97.19</v>
      </c>
      <c r="G2068" s="160" t="s">
        <v>2</v>
      </c>
      <c r="H2068" s="34" t="s">
        <v>925</v>
      </c>
    </row>
    <row r="2069" spans="1:8" ht="33">
      <c r="A2069" s="160"/>
      <c r="B2069" s="160" t="s">
        <v>933</v>
      </c>
      <c r="C2069" s="157" t="s">
        <v>1689</v>
      </c>
      <c r="D2069" s="159">
        <v>1</v>
      </c>
      <c r="E2069" s="159"/>
      <c r="F2069" s="159">
        <v>3336.8</v>
      </c>
      <c r="G2069" s="160"/>
      <c r="H2069" s="34" t="s">
        <v>925</v>
      </c>
    </row>
    <row r="2070" spans="1:8" ht="33">
      <c r="A2070" s="160"/>
      <c r="B2070" s="160" t="s">
        <v>934</v>
      </c>
      <c r="C2070" s="157" t="s">
        <v>1689</v>
      </c>
      <c r="D2070" s="159"/>
      <c r="E2070" s="159"/>
      <c r="F2070" s="159">
        <v>3336.8</v>
      </c>
      <c r="G2070" s="160"/>
      <c r="H2070" s="34" t="s">
        <v>925</v>
      </c>
    </row>
    <row r="2071" spans="1:8" ht="33">
      <c r="A2071" s="160"/>
      <c r="B2071" s="160"/>
      <c r="C2071" s="157"/>
      <c r="D2071" s="159"/>
      <c r="E2071" s="159"/>
      <c r="F2071" s="159"/>
      <c r="G2071" s="160"/>
      <c r="H2071" s="34" t="s">
        <v>925</v>
      </c>
    </row>
    <row r="2072" spans="1:8" ht="33">
      <c r="A2072" s="160" t="s">
        <v>2258</v>
      </c>
      <c r="B2072" s="160" t="s">
        <v>2042</v>
      </c>
      <c r="C2072" s="157" t="s">
        <v>1689</v>
      </c>
      <c r="D2072" s="159">
        <v>1</v>
      </c>
      <c r="E2072" s="159">
        <v>3651.41</v>
      </c>
      <c r="F2072" s="159"/>
      <c r="G2072" s="160" t="s">
        <v>2</v>
      </c>
      <c r="H2072" s="34" t="s">
        <v>925</v>
      </c>
    </row>
    <row r="2073" spans="1:8" ht="33">
      <c r="A2073" s="160">
        <v>1</v>
      </c>
      <c r="B2073" s="160" t="s">
        <v>2026</v>
      </c>
      <c r="C2073" s="157" t="s">
        <v>14</v>
      </c>
      <c r="D2073" s="159">
        <v>1</v>
      </c>
      <c r="E2073" s="159">
        <v>148.1</v>
      </c>
      <c r="F2073" s="159">
        <v>148.1</v>
      </c>
      <c r="G2073" s="160" t="s">
        <v>2</v>
      </c>
      <c r="H2073" s="34" t="s">
        <v>925</v>
      </c>
    </row>
    <row r="2074" spans="1:8" ht="42.75">
      <c r="A2074" s="160">
        <v>2</v>
      </c>
      <c r="B2074" s="160" t="s">
        <v>2044</v>
      </c>
      <c r="C2074" s="157" t="s">
        <v>1875</v>
      </c>
      <c r="D2074" s="159">
        <v>1</v>
      </c>
      <c r="E2074" s="159">
        <v>3396.96</v>
      </c>
      <c r="F2074" s="159">
        <v>3396.96</v>
      </c>
      <c r="G2074" s="160" t="s">
        <v>2</v>
      </c>
      <c r="H2074" s="34" t="s">
        <v>925</v>
      </c>
    </row>
    <row r="2075" spans="1:8" ht="33">
      <c r="A2075" s="160">
        <v>3</v>
      </c>
      <c r="B2075" s="160" t="s">
        <v>931</v>
      </c>
      <c r="C2075" s="157" t="s">
        <v>14</v>
      </c>
      <c r="D2075" s="159">
        <v>1</v>
      </c>
      <c r="E2075" s="159">
        <v>106.35</v>
      </c>
      <c r="F2075" s="159">
        <v>106.35</v>
      </c>
      <c r="G2075" s="160" t="s">
        <v>2</v>
      </c>
      <c r="H2075" s="34" t="s">
        <v>925</v>
      </c>
    </row>
    <row r="2076" spans="1:8" ht="33">
      <c r="A2076" s="160"/>
      <c r="B2076" s="160" t="s">
        <v>933</v>
      </c>
      <c r="C2076" s="157" t="s">
        <v>1689</v>
      </c>
      <c r="D2076" s="159">
        <v>1</v>
      </c>
      <c r="E2076" s="159"/>
      <c r="F2076" s="159">
        <v>3651.41</v>
      </c>
      <c r="G2076" s="160"/>
      <c r="H2076" s="34" t="s">
        <v>925</v>
      </c>
    </row>
    <row r="2077" spans="1:8" ht="33">
      <c r="A2077" s="160"/>
      <c r="B2077" s="160" t="s">
        <v>934</v>
      </c>
      <c r="C2077" s="157" t="s">
        <v>1689</v>
      </c>
      <c r="D2077" s="159"/>
      <c r="E2077" s="159"/>
      <c r="F2077" s="159">
        <v>3651.41</v>
      </c>
      <c r="G2077" s="160"/>
      <c r="H2077" s="34" t="s">
        <v>925</v>
      </c>
    </row>
    <row r="2078" spans="1:8" ht="16.5">
      <c r="A2078" s="160"/>
      <c r="B2078" s="160"/>
      <c r="C2078" s="157"/>
      <c r="D2078" s="159"/>
      <c r="E2078" s="159"/>
      <c r="F2078" s="159"/>
      <c r="G2078" s="160"/>
    </row>
    <row r="2079" spans="1:8" ht="33">
      <c r="A2079" s="160" t="s">
        <v>2261</v>
      </c>
      <c r="B2079" s="160" t="s">
        <v>2047</v>
      </c>
      <c r="C2079" s="157" t="s">
        <v>18</v>
      </c>
      <c r="D2079" s="159">
        <v>1000</v>
      </c>
      <c r="E2079" s="159">
        <v>82.2</v>
      </c>
      <c r="F2079" s="159"/>
      <c r="G2079" s="160" t="s">
        <v>2</v>
      </c>
      <c r="H2079" s="34" t="s">
        <v>925</v>
      </c>
    </row>
    <row r="2080" spans="1:8" ht="33">
      <c r="A2080" s="160">
        <v>1</v>
      </c>
      <c r="B2080" s="160" t="s">
        <v>2049</v>
      </c>
      <c r="C2080" s="157" t="s">
        <v>18</v>
      </c>
      <c r="D2080" s="159">
        <v>1000</v>
      </c>
      <c r="E2080" s="159">
        <v>29.62</v>
      </c>
      <c r="F2080" s="159">
        <v>29620</v>
      </c>
      <c r="G2080" s="160" t="s">
        <v>2</v>
      </c>
      <c r="H2080" s="34" t="s">
        <v>925</v>
      </c>
    </row>
    <row r="2081" spans="1:8" ht="33">
      <c r="A2081" s="160">
        <v>2</v>
      </c>
      <c r="B2081" s="160" t="s">
        <v>1437</v>
      </c>
      <c r="C2081" s="157" t="s">
        <v>18</v>
      </c>
      <c r="D2081" s="159">
        <v>1000</v>
      </c>
      <c r="E2081" s="159">
        <v>32.92</v>
      </c>
      <c r="F2081" s="159">
        <v>32920</v>
      </c>
      <c r="G2081" s="160" t="s">
        <v>1646</v>
      </c>
      <c r="H2081" s="34" t="s">
        <v>925</v>
      </c>
    </row>
    <row r="2082" spans="1:8" ht="42.75">
      <c r="A2082" s="160">
        <v>3</v>
      </c>
      <c r="B2082" s="160" t="s">
        <v>2051</v>
      </c>
      <c r="C2082" s="157" t="s">
        <v>18</v>
      </c>
      <c r="D2082" s="159">
        <v>1000</v>
      </c>
      <c r="E2082" s="159">
        <v>17.12</v>
      </c>
      <c r="F2082" s="159">
        <v>17120</v>
      </c>
      <c r="G2082" s="160" t="s">
        <v>2</v>
      </c>
      <c r="H2082" s="34" t="s">
        <v>925</v>
      </c>
    </row>
    <row r="2083" spans="1:8" ht="33">
      <c r="A2083" s="160">
        <v>4</v>
      </c>
      <c r="B2083" s="160" t="s">
        <v>2026</v>
      </c>
      <c r="C2083" s="157" t="s">
        <v>14</v>
      </c>
      <c r="D2083" s="159">
        <v>1</v>
      </c>
      <c r="E2083" s="159">
        <v>148.1</v>
      </c>
      <c r="F2083" s="159">
        <v>148.1</v>
      </c>
      <c r="G2083" s="160" t="s">
        <v>2</v>
      </c>
      <c r="H2083" s="34" t="s">
        <v>925</v>
      </c>
    </row>
    <row r="2084" spans="1:8" ht="33">
      <c r="A2084" s="160">
        <v>5</v>
      </c>
      <c r="B2084" s="160" t="s">
        <v>931</v>
      </c>
      <c r="C2084" s="157" t="s">
        <v>14</v>
      </c>
      <c r="D2084" s="159">
        <v>1</v>
      </c>
      <c r="E2084" s="159">
        <v>2394.2399999999998</v>
      </c>
      <c r="F2084" s="159">
        <v>2394.2399999999998</v>
      </c>
      <c r="G2084" s="160" t="s">
        <v>2</v>
      </c>
      <c r="H2084" s="34" t="s">
        <v>925</v>
      </c>
    </row>
    <row r="2085" spans="1:8" ht="33">
      <c r="A2085" s="160"/>
      <c r="B2085" s="160" t="s">
        <v>933</v>
      </c>
      <c r="C2085" s="157" t="s">
        <v>18</v>
      </c>
      <c r="D2085" s="159">
        <v>1000</v>
      </c>
      <c r="E2085" s="159"/>
      <c r="F2085" s="159">
        <v>82202.340000000011</v>
      </c>
      <c r="G2085" s="160"/>
      <c r="H2085" s="34" t="s">
        <v>925</v>
      </c>
    </row>
    <row r="2086" spans="1:8" ht="33">
      <c r="A2086" s="160"/>
      <c r="B2086" s="160" t="s">
        <v>934</v>
      </c>
      <c r="C2086" s="157" t="s">
        <v>18</v>
      </c>
      <c r="D2086" s="159"/>
      <c r="E2086" s="159"/>
      <c r="F2086" s="159">
        <v>82.2</v>
      </c>
      <c r="G2086" s="160"/>
      <c r="H2086" s="34" t="s">
        <v>925</v>
      </c>
    </row>
    <row r="2087" spans="1:8" ht="33">
      <c r="A2087" s="160"/>
      <c r="B2087" s="160"/>
      <c r="C2087" s="157"/>
      <c r="D2087" s="159"/>
      <c r="E2087" s="159"/>
      <c r="F2087" s="159"/>
      <c r="G2087" s="160"/>
      <c r="H2087" s="34" t="s">
        <v>925</v>
      </c>
    </row>
    <row r="2088" spans="1:8" ht="33">
      <c r="A2088" s="160" t="s">
        <v>2264</v>
      </c>
      <c r="B2088" s="160" t="s">
        <v>2054</v>
      </c>
      <c r="C2088" s="157" t="s">
        <v>1689</v>
      </c>
      <c r="D2088" s="159">
        <v>1</v>
      </c>
      <c r="E2088" s="159">
        <v>3346.34</v>
      </c>
      <c r="F2088" s="159"/>
      <c r="G2088" s="160" t="s">
        <v>2</v>
      </c>
      <c r="H2088" s="34" t="s">
        <v>925</v>
      </c>
    </row>
    <row r="2089" spans="1:8" ht="42.75">
      <c r="A2089" s="160">
        <v>1</v>
      </c>
      <c r="B2089" s="160" t="s">
        <v>2056</v>
      </c>
      <c r="C2089" s="157" t="s">
        <v>1689</v>
      </c>
      <c r="D2089" s="159">
        <v>1</v>
      </c>
      <c r="E2089" s="159">
        <v>3100.77</v>
      </c>
      <c r="F2089" s="159">
        <v>3100.77</v>
      </c>
      <c r="G2089" s="160" t="s">
        <v>2</v>
      </c>
      <c r="H2089" s="34" t="s">
        <v>925</v>
      </c>
    </row>
    <row r="2090" spans="1:8" ht="28.5">
      <c r="A2090" s="160">
        <v>2</v>
      </c>
      <c r="B2090" s="160" t="s">
        <v>2026</v>
      </c>
      <c r="C2090" s="157" t="s">
        <v>14</v>
      </c>
      <c r="D2090" s="159">
        <v>1</v>
      </c>
      <c r="E2090" s="159">
        <v>148.1</v>
      </c>
      <c r="F2090" s="159">
        <v>148.1</v>
      </c>
      <c r="G2090" s="160" t="s">
        <v>2</v>
      </c>
    </row>
    <row r="2091" spans="1:8" ht="33">
      <c r="A2091" s="160">
        <v>3</v>
      </c>
      <c r="B2091" s="160" t="s">
        <v>931</v>
      </c>
      <c r="C2091" s="157" t="s">
        <v>14</v>
      </c>
      <c r="D2091" s="159">
        <v>1</v>
      </c>
      <c r="E2091" s="159">
        <v>97.47</v>
      </c>
      <c r="F2091" s="159">
        <v>97.47</v>
      </c>
      <c r="G2091" s="160" t="s">
        <v>2</v>
      </c>
      <c r="H2091" s="34" t="s">
        <v>925</v>
      </c>
    </row>
    <row r="2092" spans="1:8" ht="33">
      <c r="A2092" s="160"/>
      <c r="B2092" s="160" t="s">
        <v>933</v>
      </c>
      <c r="C2092" s="157" t="s">
        <v>1689</v>
      </c>
      <c r="D2092" s="159">
        <v>1</v>
      </c>
      <c r="E2092" s="159"/>
      <c r="F2092" s="159">
        <v>3346.3399999999997</v>
      </c>
      <c r="G2092" s="160"/>
      <c r="H2092" s="34" t="s">
        <v>925</v>
      </c>
    </row>
    <row r="2093" spans="1:8" ht="33">
      <c r="A2093" s="160"/>
      <c r="B2093" s="160" t="s">
        <v>934</v>
      </c>
      <c r="C2093" s="157" t="s">
        <v>1689</v>
      </c>
      <c r="D2093" s="159"/>
      <c r="E2093" s="159"/>
      <c r="F2093" s="159">
        <v>3346.34</v>
      </c>
      <c r="G2093" s="160"/>
      <c r="H2093" s="34" t="s">
        <v>925</v>
      </c>
    </row>
    <row r="2094" spans="1:8" ht="33">
      <c r="A2094" s="160"/>
      <c r="B2094" s="160"/>
      <c r="C2094" s="157"/>
      <c r="D2094" s="159"/>
      <c r="E2094" s="159"/>
      <c r="F2094" s="159"/>
      <c r="G2094" s="160"/>
      <c r="H2094" s="34" t="s">
        <v>925</v>
      </c>
    </row>
    <row r="2095" spans="1:8" ht="33">
      <c r="A2095" s="160" t="s">
        <v>2273</v>
      </c>
      <c r="B2095" s="160" t="s">
        <v>2059</v>
      </c>
      <c r="C2095" s="157" t="s">
        <v>1689</v>
      </c>
      <c r="D2095" s="159">
        <v>1</v>
      </c>
      <c r="E2095" s="159">
        <v>3823.02</v>
      </c>
      <c r="F2095" s="159"/>
      <c r="G2095" s="160" t="s">
        <v>2</v>
      </c>
      <c r="H2095" s="34" t="s">
        <v>925</v>
      </c>
    </row>
    <row r="2096" spans="1:8" ht="42.75">
      <c r="A2096" s="160">
        <v>1</v>
      </c>
      <c r="B2096" s="160" t="s">
        <v>2061</v>
      </c>
      <c r="C2096" s="157" t="s">
        <v>1875</v>
      </c>
      <c r="D2096" s="159">
        <v>1</v>
      </c>
      <c r="E2096" s="159">
        <v>3563.57</v>
      </c>
      <c r="F2096" s="159">
        <v>3563.57</v>
      </c>
      <c r="G2096" s="160" t="s">
        <v>2</v>
      </c>
      <c r="H2096" s="34" t="s">
        <v>925</v>
      </c>
    </row>
    <row r="2097" spans="1:8" ht="33">
      <c r="A2097" s="160">
        <v>2</v>
      </c>
      <c r="B2097" s="160" t="s">
        <v>2026</v>
      </c>
      <c r="C2097" s="157" t="s">
        <v>14</v>
      </c>
      <c r="D2097" s="159">
        <v>1</v>
      </c>
      <c r="E2097" s="159">
        <v>148.1</v>
      </c>
      <c r="F2097" s="159">
        <v>148.1</v>
      </c>
      <c r="G2097" s="160" t="s">
        <v>2</v>
      </c>
      <c r="H2097" s="34" t="s">
        <v>925</v>
      </c>
    </row>
    <row r="2098" spans="1:8" ht="33">
      <c r="A2098" s="160">
        <v>3</v>
      </c>
      <c r="B2098" s="160" t="s">
        <v>931</v>
      </c>
      <c r="C2098" s="157" t="s">
        <v>14</v>
      </c>
      <c r="D2098" s="159">
        <v>1</v>
      </c>
      <c r="E2098" s="159">
        <v>111.35</v>
      </c>
      <c r="F2098" s="159">
        <v>111.35</v>
      </c>
      <c r="G2098" s="160" t="s">
        <v>2</v>
      </c>
      <c r="H2098" s="34" t="s">
        <v>925</v>
      </c>
    </row>
    <row r="2099" spans="1:8" ht="33">
      <c r="A2099" s="160"/>
      <c r="B2099" s="160" t="s">
        <v>933</v>
      </c>
      <c r="C2099" s="157" t="s">
        <v>1689</v>
      </c>
      <c r="D2099" s="159">
        <v>1</v>
      </c>
      <c r="E2099" s="159"/>
      <c r="F2099" s="159">
        <v>3823.02</v>
      </c>
      <c r="G2099" s="160"/>
      <c r="H2099" s="34" t="s">
        <v>925</v>
      </c>
    </row>
    <row r="2100" spans="1:8" ht="33">
      <c r="A2100" s="160"/>
      <c r="B2100" s="160" t="s">
        <v>934</v>
      </c>
      <c r="C2100" s="157" t="s">
        <v>1689</v>
      </c>
      <c r="D2100" s="159"/>
      <c r="E2100" s="159"/>
      <c r="F2100" s="159">
        <v>3823.02</v>
      </c>
      <c r="G2100" s="160"/>
      <c r="H2100" s="34" t="s">
        <v>925</v>
      </c>
    </row>
    <row r="2101" spans="1:8" ht="33">
      <c r="A2101" s="160"/>
      <c r="B2101" s="160"/>
      <c r="C2101" s="157"/>
      <c r="D2101" s="159"/>
      <c r="E2101" s="159"/>
      <c r="F2101" s="159"/>
      <c r="G2101" s="160"/>
      <c r="H2101" s="34" t="s">
        <v>925</v>
      </c>
    </row>
    <row r="2102" spans="1:8" ht="28.5">
      <c r="A2102" s="160" t="s">
        <v>2280</v>
      </c>
      <c r="B2102" s="160" t="s">
        <v>2064</v>
      </c>
      <c r="C2102" s="157" t="s">
        <v>1689</v>
      </c>
      <c r="D2102" s="159">
        <v>1</v>
      </c>
      <c r="E2102" s="159">
        <v>4395.04</v>
      </c>
      <c r="F2102" s="159"/>
      <c r="G2102" s="160" t="s">
        <v>2</v>
      </c>
    </row>
    <row r="2103" spans="1:8" ht="42.75">
      <c r="A2103" s="160">
        <v>1</v>
      </c>
      <c r="B2103" s="160" t="s">
        <v>2066</v>
      </c>
      <c r="C2103" s="157" t="s">
        <v>1875</v>
      </c>
      <c r="D2103" s="159">
        <v>1</v>
      </c>
      <c r="E2103" s="159">
        <v>4118.93</v>
      </c>
      <c r="F2103" s="159">
        <v>4118.93</v>
      </c>
      <c r="G2103" s="160" t="s">
        <v>2</v>
      </c>
      <c r="H2103" s="34" t="s">
        <v>925</v>
      </c>
    </row>
    <row r="2104" spans="1:8" ht="33">
      <c r="A2104" s="160">
        <v>2</v>
      </c>
      <c r="B2104" s="160" t="s">
        <v>2026</v>
      </c>
      <c r="C2104" s="157" t="s">
        <v>14</v>
      </c>
      <c r="D2104" s="159">
        <v>1</v>
      </c>
      <c r="E2104" s="159">
        <v>148.1</v>
      </c>
      <c r="F2104" s="159">
        <v>148.1</v>
      </c>
      <c r="G2104" s="160" t="s">
        <v>2</v>
      </c>
      <c r="H2104" s="34" t="s">
        <v>925</v>
      </c>
    </row>
    <row r="2105" spans="1:8" ht="33">
      <c r="A2105" s="160">
        <v>3</v>
      </c>
      <c r="B2105" s="160" t="s">
        <v>931</v>
      </c>
      <c r="C2105" s="157" t="s">
        <v>14</v>
      </c>
      <c r="D2105" s="159">
        <v>1</v>
      </c>
      <c r="E2105" s="159">
        <v>128.01</v>
      </c>
      <c r="F2105" s="159">
        <v>128.01</v>
      </c>
      <c r="G2105" s="160" t="s">
        <v>2</v>
      </c>
      <c r="H2105" s="34" t="s">
        <v>925</v>
      </c>
    </row>
    <row r="2106" spans="1:8" ht="33">
      <c r="A2106" s="160"/>
      <c r="B2106" s="160" t="s">
        <v>933</v>
      </c>
      <c r="C2106" s="157" t="s">
        <v>1689</v>
      </c>
      <c r="D2106" s="159">
        <v>1</v>
      </c>
      <c r="E2106" s="159"/>
      <c r="F2106" s="159">
        <v>4395.0400000000009</v>
      </c>
      <c r="G2106" s="160"/>
      <c r="H2106" s="34" t="s">
        <v>925</v>
      </c>
    </row>
    <row r="2107" spans="1:8" ht="33">
      <c r="A2107" s="160"/>
      <c r="B2107" s="160" t="s">
        <v>934</v>
      </c>
      <c r="C2107" s="157" t="s">
        <v>1689</v>
      </c>
      <c r="D2107" s="159"/>
      <c r="E2107" s="159"/>
      <c r="F2107" s="159">
        <v>4395.04</v>
      </c>
      <c r="G2107" s="160"/>
      <c r="H2107" s="34" t="s">
        <v>925</v>
      </c>
    </row>
    <row r="2108" spans="1:8" ht="33">
      <c r="A2108" s="160"/>
      <c r="B2108" s="160"/>
      <c r="C2108" s="157"/>
      <c r="D2108" s="159"/>
      <c r="E2108" s="159"/>
      <c r="F2108" s="159"/>
      <c r="G2108" s="160"/>
      <c r="H2108" s="34" t="s">
        <v>925</v>
      </c>
    </row>
    <row r="2109" spans="1:8" ht="42.75">
      <c r="A2109" s="160" t="s">
        <v>2291</v>
      </c>
      <c r="B2109" s="160" t="s">
        <v>2069</v>
      </c>
      <c r="C2109" s="157" t="s">
        <v>1875</v>
      </c>
      <c r="D2109" s="159">
        <v>1</v>
      </c>
      <c r="E2109" s="159">
        <v>6254.11</v>
      </c>
      <c r="F2109" s="159"/>
      <c r="G2109" s="160" t="s">
        <v>2</v>
      </c>
      <c r="H2109" s="34" t="s">
        <v>925</v>
      </c>
    </row>
    <row r="2110" spans="1:8" ht="33">
      <c r="A2110" s="160">
        <v>1</v>
      </c>
      <c r="B2110" s="160" t="s">
        <v>2071</v>
      </c>
      <c r="C2110" s="157" t="s">
        <v>1875</v>
      </c>
      <c r="D2110" s="159">
        <v>1</v>
      </c>
      <c r="E2110" s="159">
        <v>5747.99</v>
      </c>
      <c r="F2110" s="159">
        <v>5747.99</v>
      </c>
      <c r="G2110" s="160" t="s">
        <v>2</v>
      </c>
      <c r="H2110" s="34" t="s">
        <v>925</v>
      </c>
    </row>
    <row r="2111" spans="1:8" ht="33">
      <c r="A2111" s="160">
        <v>2</v>
      </c>
      <c r="B2111" s="160" t="s">
        <v>2073</v>
      </c>
      <c r="C2111" s="157" t="s">
        <v>14</v>
      </c>
      <c r="D2111" s="159">
        <v>1</v>
      </c>
      <c r="E2111" s="159">
        <v>323.95999999999998</v>
      </c>
      <c r="F2111" s="159">
        <v>323.95999999999998</v>
      </c>
      <c r="G2111" s="160" t="s">
        <v>5456</v>
      </c>
      <c r="H2111" s="34" t="s">
        <v>925</v>
      </c>
    </row>
    <row r="2112" spans="1:8" ht="33">
      <c r="A2112" s="160">
        <v>3</v>
      </c>
      <c r="B2112" s="160" t="s">
        <v>931</v>
      </c>
      <c r="C2112" s="157" t="s">
        <v>14</v>
      </c>
      <c r="D2112" s="159">
        <v>1</v>
      </c>
      <c r="E2112" s="159">
        <v>182.16</v>
      </c>
      <c r="F2112" s="159">
        <v>182.16</v>
      </c>
      <c r="G2112" s="160" t="s">
        <v>2</v>
      </c>
      <c r="H2112" s="34" t="s">
        <v>925</v>
      </c>
    </row>
    <row r="2113" spans="1:8" ht="16.5">
      <c r="A2113" s="160"/>
      <c r="B2113" s="160" t="s">
        <v>933</v>
      </c>
      <c r="C2113" s="157" t="s">
        <v>1875</v>
      </c>
      <c r="D2113" s="159">
        <v>1</v>
      </c>
      <c r="E2113" s="159"/>
      <c r="F2113" s="159">
        <v>6254.11</v>
      </c>
      <c r="G2113" s="160"/>
    </row>
    <row r="2114" spans="1:8" ht="33">
      <c r="A2114" s="160"/>
      <c r="B2114" s="160" t="s">
        <v>934</v>
      </c>
      <c r="C2114" s="157" t="s">
        <v>1875</v>
      </c>
      <c r="D2114" s="159"/>
      <c r="E2114" s="159"/>
      <c r="F2114" s="159">
        <v>6254.11</v>
      </c>
      <c r="G2114" s="160"/>
      <c r="H2114" s="34" t="s">
        <v>925</v>
      </c>
    </row>
    <row r="2115" spans="1:8" ht="33">
      <c r="A2115" s="160"/>
      <c r="B2115" s="160"/>
      <c r="C2115" s="157"/>
      <c r="D2115" s="159"/>
      <c r="E2115" s="159"/>
      <c r="F2115" s="159"/>
      <c r="G2115" s="160"/>
      <c r="H2115" s="34" t="s">
        <v>925</v>
      </c>
    </row>
    <row r="2116" spans="1:8" ht="42.75">
      <c r="A2116" s="160" t="s">
        <v>2296</v>
      </c>
      <c r="B2116" s="160" t="s">
        <v>2076</v>
      </c>
      <c r="C2116" s="157" t="s">
        <v>1875</v>
      </c>
      <c r="D2116" s="159">
        <v>1</v>
      </c>
      <c r="E2116" s="159">
        <v>3880.22</v>
      </c>
      <c r="F2116" s="159"/>
      <c r="G2116" s="160" t="s">
        <v>2</v>
      </c>
      <c r="H2116" s="34" t="s">
        <v>925</v>
      </c>
    </row>
    <row r="2117" spans="1:8" ht="33">
      <c r="A2117" s="160">
        <v>1</v>
      </c>
      <c r="B2117" s="160" t="s">
        <v>2078</v>
      </c>
      <c r="C2117" s="157" t="s">
        <v>1875</v>
      </c>
      <c r="D2117" s="159">
        <v>1</v>
      </c>
      <c r="E2117" s="159">
        <v>3535.8</v>
      </c>
      <c r="F2117" s="159">
        <v>3535.8</v>
      </c>
      <c r="G2117" s="160" t="s">
        <v>2</v>
      </c>
      <c r="H2117" s="34" t="s">
        <v>925</v>
      </c>
    </row>
    <row r="2118" spans="1:8" ht="33">
      <c r="A2118" s="160">
        <v>2</v>
      </c>
      <c r="B2118" s="160" t="s">
        <v>2080</v>
      </c>
      <c r="C2118" s="157" t="s">
        <v>14</v>
      </c>
      <c r="D2118" s="159">
        <v>1</v>
      </c>
      <c r="E2118" s="159">
        <v>231.4</v>
      </c>
      <c r="F2118" s="159">
        <v>231.4</v>
      </c>
      <c r="G2118" s="160" t="s">
        <v>5456</v>
      </c>
      <c r="H2118" s="34" t="s">
        <v>925</v>
      </c>
    </row>
    <row r="2119" spans="1:8" ht="33">
      <c r="A2119" s="160">
        <v>3</v>
      </c>
      <c r="B2119" s="160" t="s">
        <v>931</v>
      </c>
      <c r="C2119" s="157" t="s">
        <v>14</v>
      </c>
      <c r="D2119" s="159">
        <v>1</v>
      </c>
      <c r="E2119" s="159">
        <v>113.02</v>
      </c>
      <c r="F2119" s="159">
        <v>113.02</v>
      </c>
      <c r="G2119" s="160" t="s">
        <v>2</v>
      </c>
      <c r="H2119" s="34" t="s">
        <v>925</v>
      </c>
    </row>
    <row r="2120" spans="1:8" ht="33">
      <c r="A2120" s="160"/>
      <c r="B2120" s="160" t="s">
        <v>933</v>
      </c>
      <c r="C2120" s="157" t="s">
        <v>1875</v>
      </c>
      <c r="D2120" s="159">
        <v>1</v>
      </c>
      <c r="E2120" s="159"/>
      <c r="F2120" s="159">
        <v>3880.2200000000003</v>
      </c>
      <c r="G2120" s="160"/>
      <c r="H2120" s="34" t="s">
        <v>925</v>
      </c>
    </row>
    <row r="2121" spans="1:8" ht="16.5">
      <c r="A2121" s="160"/>
      <c r="B2121" s="160" t="s">
        <v>934</v>
      </c>
      <c r="C2121" s="157" t="s">
        <v>1875</v>
      </c>
      <c r="D2121" s="159"/>
      <c r="E2121" s="159"/>
      <c r="F2121" s="159">
        <v>3880.22</v>
      </c>
      <c r="G2121" s="160"/>
    </row>
    <row r="2122" spans="1:8" ht="33">
      <c r="A2122" s="160"/>
      <c r="B2122" s="160"/>
      <c r="C2122" s="157"/>
      <c r="D2122" s="159"/>
      <c r="E2122" s="159"/>
      <c r="F2122" s="159"/>
      <c r="G2122" s="160"/>
      <c r="H2122" s="34" t="s">
        <v>925</v>
      </c>
    </row>
    <row r="2123" spans="1:8" ht="33">
      <c r="A2123" s="160" t="s">
        <v>2298</v>
      </c>
      <c r="B2123" s="160" t="s">
        <v>2083</v>
      </c>
      <c r="C2123" s="157" t="s">
        <v>1875</v>
      </c>
      <c r="D2123" s="159">
        <v>1</v>
      </c>
      <c r="E2123" s="159">
        <v>14901.17</v>
      </c>
      <c r="F2123" s="159"/>
      <c r="G2123" s="160" t="s">
        <v>2</v>
      </c>
      <c r="H2123" s="34" t="s">
        <v>925</v>
      </c>
    </row>
    <row r="2124" spans="1:8" ht="33">
      <c r="A2124" s="160">
        <v>1</v>
      </c>
      <c r="B2124" s="160" t="s">
        <v>2085</v>
      </c>
      <c r="C2124" s="157" t="s">
        <v>1875</v>
      </c>
      <c r="D2124" s="159">
        <v>1</v>
      </c>
      <c r="E2124" s="159">
        <v>14161.71</v>
      </c>
      <c r="F2124" s="159">
        <v>14161.71</v>
      </c>
      <c r="G2124" s="160" t="s">
        <v>2</v>
      </c>
      <c r="H2124" s="34" t="s">
        <v>925</v>
      </c>
    </row>
    <row r="2125" spans="1:8" ht="33">
      <c r="A2125" s="160">
        <v>2</v>
      </c>
      <c r="B2125" s="160" t="s">
        <v>2087</v>
      </c>
      <c r="C2125" s="157" t="s">
        <v>14</v>
      </c>
      <c r="D2125" s="159">
        <v>1</v>
      </c>
      <c r="E2125" s="159">
        <v>305.45</v>
      </c>
      <c r="F2125" s="159">
        <v>305.45</v>
      </c>
      <c r="G2125" s="160" t="s">
        <v>2</v>
      </c>
      <c r="H2125" s="34" t="s">
        <v>925</v>
      </c>
    </row>
    <row r="2126" spans="1:8" ht="33">
      <c r="A2126" s="160">
        <v>3</v>
      </c>
      <c r="B2126" s="160" t="s">
        <v>931</v>
      </c>
      <c r="C2126" s="157" t="s">
        <v>14</v>
      </c>
      <c r="D2126" s="159">
        <v>1</v>
      </c>
      <c r="E2126" s="159">
        <v>434.01</v>
      </c>
      <c r="F2126" s="159">
        <v>434.01</v>
      </c>
      <c r="G2126" s="160" t="s">
        <v>2</v>
      </c>
      <c r="H2126" s="34" t="s">
        <v>925</v>
      </c>
    </row>
    <row r="2127" spans="1:8" ht="33">
      <c r="A2127" s="160"/>
      <c r="B2127" s="160" t="s">
        <v>933</v>
      </c>
      <c r="C2127" s="157" t="s">
        <v>1875</v>
      </c>
      <c r="D2127" s="159">
        <v>1</v>
      </c>
      <c r="E2127" s="159"/>
      <c r="F2127" s="159">
        <v>14901.17</v>
      </c>
      <c r="G2127" s="160"/>
      <c r="H2127" s="34" t="s">
        <v>925</v>
      </c>
    </row>
    <row r="2128" spans="1:8" ht="33">
      <c r="A2128" s="160"/>
      <c r="B2128" s="160" t="s">
        <v>934</v>
      </c>
      <c r="C2128" s="157" t="s">
        <v>1875</v>
      </c>
      <c r="D2128" s="159"/>
      <c r="E2128" s="159"/>
      <c r="F2128" s="159">
        <v>14901.17</v>
      </c>
      <c r="G2128" s="160"/>
      <c r="H2128" s="34" t="s">
        <v>925</v>
      </c>
    </row>
    <row r="2129" spans="1:8" ht="16.5">
      <c r="A2129" s="160"/>
      <c r="B2129" s="160"/>
      <c r="C2129" s="157"/>
      <c r="D2129" s="159"/>
      <c r="E2129" s="159"/>
      <c r="F2129" s="159"/>
      <c r="G2129" s="160"/>
    </row>
    <row r="2130" spans="1:8" ht="33">
      <c r="A2130" s="160" t="s">
        <v>2305</v>
      </c>
      <c r="B2130" s="160" t="s">
        <v>2090</v>
      </c>
      <c r="C2130" s="157" t="s">
        <v>1875</v>
      </c>
      <c r="D2130" s="159">
        <v>1</v>
      </c>
      <c r="E2130" s="159">
        <v>10000.85</v>
      </c>
      <c r="F2130" s="159"/>
      <c r="G2130" s="160" t="s">
        <v>2</v>
      </c>
      <c r="H2130" s="34" t="s">
        <v>925</v>
      </c>
    </row>
    <row r="2131" spans="1:8" ht="33">
      <c r="A2131" s="160">
        <v>1</v>
      </c>
      <c r="B2131" s="160" t="s">
        <v>2092</v>
      </c>
      <c r="C2131" s="157" t="s">
        <v>1875</v>
      </c>
      <c r="D2131" s="159">
        <v>1</v>
      </c>
      <c r="E2131" s="159">
        <v>9450.39</v>
      </c>
      <c r="F2131" s="159">
        <v>9450.39</v>
      </c>
      <c r="G2131" s="160" t="s">
        <v>2</v>
      </c>
      <c r="H2131" s="34" t="s">
        <v>925</v>
      </c>
    </row>
    <row r="2132" spans="1:8" ht="33">
      <c r="A2132" s="160">
        <v>2</v>
      </c>
      <c r="B2132" s="160" t="s">
        <v>2094</v>
      </c>
      <c r="C2132" s="157" t="s">
        <v>14</v>
      </c>
      <c r="D2132" s="159">
        <v>1</v>
      </c>
      <c r="E2132" s="159">
        <v>259.17</v>
      </c>
      <c r="F2132" s="159">
        <v>259.17</v>
      </c>
      <c r="G2132" s="160" t="s">
        <v>2</v>
      </c>
      <c r="H2132" s="34" t="s">
        <v>925</v>
      </c>
    </row>
    <row r="2133" spans="1:8" ht="33">
      <c r="A2133" s="160">
        <v>3</v>
      </c>
      <c r="B2133" s="160" t="s">
        <v>931</v>
      </c>
      <c r="C2133" s="157" t="s">
        <v>14</v>
      </c>
      <c r="D2133" s="159">
        <v>1</v>
      </c>
      <c r="E2133" s="159">
        <v>291.29000000000002</v>
      </c>
      <c r="F2133" s="159">
        <v>291.29000000000002</v>
      </c>
      <c r="G2133" s="160" t="s">
        <v>2</v>
      </c>
      <c r="H2133" s="34" t="s">
        <v>925</v>
      </c>
    </row>
    <row r="2134" spans="1:8" ht="33">
      <c r="A2134" s="160"/>
      <c r="B2134" s="160" t="s">
        <v>933</v>
      </c>
      <c r="C2134" s="157" t="s">
        <v>1875</v>
      </c>
      <c r="D2134" s="159">
        <v>1</v>
      </c>
      <c r="E2134" s="159"/>
      <c r="F2134" s="159">
        <v>10000.85</v>
      </c>
      <c r="G2134" s="160"/>
      <c r="H2134" s="34" t="s">
        <v>925</v>
      </c>
    </row>
    <row r="2135" spans="1:8" ht="33">
      <c r="A2135" s="160"/>
      <c r="B2135" s="160" t="s">
        <v>934</v>
      </c>
      <c r="C2135" s="157" t="s">
        <v>1875</v>
      </c>
      <c r="D2135" s="159"/>
      <c r="E2135" s="159"/>
      <c r="F2135" s="159">
        <v>10000.85</v>
      </c>
      <c r="G2135" s="160"/>
      <c r="H2135" s="34" t="s">
        <v>925</v>
      </c>
    </row>
    <row r="2136" spans="1:8" ht="33">
      <c r="A2136" s="160"/>
      <c r="B2136" s="160"/>
      <c r="C2136" s="157"/>
      <c r="D2136" s="159"/>
      <c r="E2136" s="159"/>
      <c r="F2136" s="159"/>
      <c r="G2136" s="160"/>
      <c r="H2136" s="34" t="s">
        <v>925</v>
      </c>
    </row>
    <row r="2137" spans="1:8" ht="33">
      <c r="A2137" s="160" t="s">
        <v>2312</v>
      </c>
      <c r="B2137" s="160" t="s">
        <v>2097</v>
      </c>
      <c r="C2137" s="157" t="s">
        <v>1875</v>
      </c>
      <c r="D2137" s="159">
        <v>1</v>
      </c>
      <c r="E2137" s="159">
        <v>9371.6299999999992</v>
      </c>
      <c r="F2137" s="159"/>
      <c r="G2137" s="160" t="s">
        <v>2</v>
      </c>
      <c r="H2137" s="34" t="s">
        <v>925</v>
      </c>
    </row>
    <row r="2138" spans="1:8" ht="28.5">
      <c r="A2138" s="160">
        <v>1</v>
      </c>
      <c r="B2138" s="160" t="s">
        <v>2099</v>
      </c>
      <c r="C2138" s="157" t="s">
        <v>1875</v>
      </c>
      <c r="D2138" s="159">
        <v>1</v>
      </c>
      <c r="E2138" s="159">
        <v>8839.5</v>
      </c>
      <c r="F2138" s="159">
        <v>8839.5</v>
      </c>
      <c r="G2138" s="160" t="s">
        <v>2</v>
      </c>
    </row>
    <row r="2139" spans="1:8" ht="33">
      <c r="A2139" s="160">
        <v>2</v>
      </c>
      <c r="B2139" s="160" t="s">
        <v>2094</v>
      </c>
      <c r="C2139" s="157" t="s">
        <v>14</v>
      </c>
      <c r="D2139" s="159">
        <v>1</v>
      </c>
      <c r="E2139" s="159">
        <v>259.17</v>
      </c>
      <c r="F2139" s="159">
        <v>259.17</v>
      </c>
      <c r="G2139" s="160" t="s">
        <v>2</v>
      </c>
      <c r="H2139" s="34" t="s">
        <v>925</v>
      </c>
    </row>
    <row r="2140" spans="1:8" ht="33">
      <c r="A2140" s="160">
        <v>3</v>
      </c>
      <c r="B2140" s="160" t="s">
        <v>931</v>
      </c>
      <c r="C2140" s="157" t="s">
        <v>14</v>
      </c>
      <c r="D2140" s="159">
        <v>1</v>
      </c>
      <c r="E2140" s="159">
        <v>272.95999999999998</v>
      </c>
      <c r="F2140" s="159">
        <v>272.95999999999998</v>
      </c>
      <c r="G2140" s="160" t="s">
        <v>2</v>
      </c>
      <c r="H2140" s="34" t="s">
        <v>925</v>
      </c>
    </row>
    <row r="2141" spans="1:8" ht="33">
      <c r="A2141" s="160"/>
      <c r="B2141" s="160" t="s">
        <v>933</v>
      </c>
      <c r="C2141" s="157" t="s">
        <v>1875</v>
      </c>
      <c r="D2141" s="159">
        <v>1</v>
      </c>
      <c r="E2141" s="159"/>
      <c r="F2141" s="159">
        <v>9371.6299999999992</v>
      </c>
      <c r="G2141" s="160"/>
      <c r="H2141" s="34" t="s">
        <v>925</v>
      </c>
    </row>
    <row r="2142" spans="1:8" ht="33">
      <c r="A2142" s="160"/>
      <c r="B2142" s="160" t="s">
        <v>934</v>
      </c>
      <c r="C2142" s="157" t="s">
        <v>1875</v>
      </c>
      <c r="D2142" s="159"/>
      <c r="E2142" s="159"/>
      <c r="F2142" s="159">
        <v>9371.6299999999992</v>
      </c>
      <c r="G2142" s="160"/>
      <c r="H2142" s="34" t="s">
        <v>925</v>
      </c>
    </row>
    <row r="2143" spans="1:8" ht="33">
      <c r="A2143" s="160"/>
      <c r="B2143" s="160"/>
      <c r="C2143" s="157"/>
      <c r="D2143" s="159"/>
      <c r="E2143" s="159"/>
      <c r="F2143" s="159"/>
      <c r="G2143" s="160"/>
      <c r="H2143" s="34" t="s">
        <v>925</v>
      </c>
    </row>
    <row r="2144" spans="1:8" ht="42.75">
      <c r="A2144" s="160" t="s">
        <v>2317</v>
      </c>
      <c r="B2144" s="160" t="s">
        <v>2102</v>
      </c>
      <c r="C2144" s="157" t="s">
        <v>1818</v>
      </c>
      <c r="D2144" s="159">
        <v>1</v>
      </c>
      <c r="E2144" s="159">
        <v>22529.14</v>
      </c>
      <c r="F2144" s="159"/>
      <c r="G2144" s="160" t="s">
        <v>2</v>
      </c>
      <c r="H2144" s="34" t="s">
        <v>925</v>
      </c>
    </row>
    <row r="2145" spans="1:8" ht="42.75">
      <c r="A2145" s="160">
        <v>1</v>
      </c>
      <c r="B2145" s="160" t="s">
        <v>2104</v>
      </c>
      <c r="C2145" s="157" t="s">
        <v>1818</v>
      </c>
      <c r="D2145" s="159">
        <v>1</v>
      </c>
      <c r="E2145" s="159">
        <v>21288.84</v>
      </c>
      <c r="F2145" s="159">
        <v>21288.84</v>
      </c>
      <c r="G2145" s="160" t="s">
        <v>2</v>
      </c>
    </row>
    <row r="2146" spans="1:8" ht="33">
      <c r="A2146" s="160">
        <v>2</v>
      </c>
      <c r="B2146" s="160" t="s">
        <v>2106</v>
      </c>
      <c r="C2146" s="157" t="s">
        <v>14</v>
      </c>
      <c r="D2146" s="159">
        <v>1</v>
      </c>
      <c r="E2146" s="159">
        <v>185.12</v>
      </c>
      <c r="F2146" s="159">
        <v>185.12</v>
      </c>
      <c r="G2146" s="160" t="s">
        <v>2</v>
      </c>
      <c r="H2146" s="34" t="s">
        <v>925</v>
      </c>
    </row>
    <row r="2147" spans="1:8" ht="33">
      <c r="A2147" s="160">
        <v>3</v>
      </c>
      <c r="B2147" s="160" t="s">
        <v>2108</v>
      </c>
      <c r="C2147" s="157" t="s">
        <v>14</v>
      </c>
      <c r="D2147" s="159">
        <v>1</v>
      </c>
      <c r="E2147" s="159">
        <v>462.8</v>
      </c>
      <c r="F2147" s="159">
        <v>462.8</v>
      </c>
      <c r="G2147" s="160" t="s">
        <v>2</v>
      </c>
      <c r="H2147" s="34" t="s">
        <v>925</v>
      </c>
    </row>
    <row r="2148" spans="1:8" ht="33">
      <c r="A2148" s="160">
        <v>4</v>
      </c>
      <c r="B2148" s="160" t="s">
        <v>4871</v>
      </c>
      <c r="C2148" s="157" t="s">
        <v>927</v>
      </c>
      <c r="D2148" s="159">
        <v>1</v>
      </c>
      <c r="E2148" s="159">
        <v>260.08999999999997</v>
      </c>
      <c r="F2148" s="159">
        <v>260.08999999999997</v>
      </c>
      <c r="G2148" s="160" t="s">
        <v>5435</v>
      </c>
      <c r="H2148" s="34" t="s">
        <v>925</v>
      </c>
    </row>
    <row r="2149" spans="1:8" ht="33">
      <c r="A2149" s="160">
        <v>5</v>
      </c>
      <c r="B2149" s="160" t="s">
        <v>931</v>
      </c>
      <c r="C2149" s="157" t="s">
        <v>14</v>
      </c>
      <c r="D2149" s="159">
        <v>1</v>
      </c>
      <c r="E2149" s="159">
        <v>332.29</v>
      </c>
      <c r="F2149" s="159">
        <v>332.29</v>
      </c>
      <c r="G2149" s="160" t="s">
        <v>2</v>
      </c>
      <c r="H2149" s="34" t="s">
        <v>925</v>
      </c>
    </row>
    <row r="2150" spans="1:8" ht="33">
      <c r="A2150" s="160"/>
      <c r="B2150" s="160" t="s">
        <v>933</v>
      </c>
      <c r="C2150" s="157" t="s">
        <v>1818</v>
      </c>
      <c r="D2150" s="159">
        <v>1</v>
      </c>
      <c r="E2150" s="159"/>
      <c r="F2150" s="159">
        <v>22529.14</v>
      </c>
      <c r="G2150" s="160"/>
      <c r="H2150" s="34" t="s">
        <v>925</v>
      </c>
    </row>
    <row r="2151" spans="1:8" ht="33">
      <c r="A2151" s="160"/>
      <c r="B2151" s="160" t="s">
        <v>934</v>
      </c>
      <c r="C2151" s="157" t="s">
        <v>1818</v>
      </c>
      <c r="D2151" s="159"/>
      <c r="E2151" s="159"/>
      <c r="F2151" s="159">
        <v>22529.14</v>
      </c>
      <c r="G2151" s="160"/>
      <c r="H2151" s="34" t="s">
        <v>925</v>
      </c>
    </row>
    <row r="2152" spans="1:8" ht="16.5">
      <c r="A2152" s="160"/>
      <c r="B2152" s="160"/>
      <c r="C2152" s="157"/>
      <c r="D2152" s="159"/>
      <c r="E2152" s="159"/>
      <c r="F2152" s="159"/>
      <c r="G2152" s="160"/>
    </row>
    <row r="2153" spans="1:8" ht="33">
      <c r="A2153" s="160" t="s">
        <v>2326</v>
      </c>
      <c r="B2153" s="160" t="s">
        <v>2112</v>
      </c>
      <c r="C2153" s="157" t="s">
        <v>1818</v>
      </c>
      <c r="D2153" s="159">
        <v>1</v>
      </c>
      <c r="E2153" s="159">
        <v>21796.07</v>
      </c>
      <c r="F2153" s="159"/>
      <c r="G2153" s="160" t="s">
        <v>2</v>
      </c>
      <c r="H2153" s="34" t="s">
        <v>925</v>
      </c>
    </row>
    <row r="2154" spans="1:8" ht="42.75">
      <c r="A2154" s="160">
        <v>1</v>
      </c>
      <c r="B2154" s="160" t="s">
        <v>2104</v>
      </c>
      <c r="C2154" s="157" t="s">
        <v>1818</v>
      </c>
      <c r="D2154" s="159">
        <v>1</v>
      </c>
      <c r="E2154" s="159">
        <v>21288.84</v>
      </c>
      <c r="F2154" s="159">
        <v>21288.84</v>
      </c>
      <c r="G2154" s="160" t="s">
        <v>2</v>
      </c>
      <c r="H2154" s="34" t="s">
        <v>925</v>
      </c>
    </row>
    <row r="2155" spans="1:8" ht="33">
      <c r="A2155" s="160">
        <v>2</v>
      </c>
      <c r="B2155" s="160" t="s">
        <v>2106</v>
      </c>
      <c r="C2155" s="157" t="s">
        <v>14</v>
      </c>
      <c r="D2155" s="159">
        <v>1</v>
      </c>
      <c r="E2155" s="159">
        <v>185.12</v>
      </c>
      <c r="F2155" s="159">
        <v>185.12</v>
      </c>
      <c r="G2155" s="160" t="s">
        <v>2</v>
      </c>
      <c r="H2155" s="34" t="s">
        <v>925</v>
      </c>
    </row>
    <row r="2156" spans="1:8" ht="33">
      <c r="A2156" s="160">
        <v>3</v>
      </c>
      <c r="B2156" s="160" t="s">
        <v>931</v>
      </c>
      <c r="C2156" s="157" t="s">
        <v>14</v>
      </c>
      <c r="D2156" s="159">
        <v>1</v>
      </c>
      <c r="E2156" s="159">
        <v>322.11</v>
      </c>
      <c r="F2156" s="159">
        <v>322.11</v>
      </c>
      <c r="G2156" s="160" t="s">
        <v>2</v>
      </c>
      <c r="H2156" s="34" t="s">
        <v>925</v>
      </c>
    </row>
    <row r="2157" spans="1:8" ht="33">
      <c r="A2157" s="160"/>
      <c r="B2157" s="160" t="s">
        <v>933</v>
      </c>
      <c r="C2157" s="157" t="s">
        <v>1818</v>
      </c>
      <c r="D2157" s="159">
        <v>1</v>
      </c>
      <c r="E2157" s="159"/>
      <c r="F2157" s="159">
        <v>21796.07</v>
      </c>
      <c r="G2157" s="160"/>
      <c r="H2157" s="34" t="s">
        <v>925</v>
      </c>
    </row>
    <row r="2158" spans="1:8" ht="33">
      <c r="A2158" s="160"/>
      <c r="B2158" s="160" t="s">
        <v>934</v>
      </c>
      <c r="C2158" s="157" t="s">
        <v>1818</v>
      </c>
      <c r="D2158" s="159"/>
      <c r="E2158" s="159"/>
      <c r="F2158" s="159">
        <v>21796.07</v>
      </c>
      <c r="G2158" s="160"/>
      <c r="H2158" s="34" t="s">
        <v>925</v>
      </c>
    </row>
    <row r="2159" spans="1:8" ht="16.5">
      <c r="A2159" s="160"/>
      <c r="B2159" s="160"/>
      <c r="C2159" s="157"/>
      <c r="D2159" s="159"/>
      <c r="E2159" s="159"/>
      <c r="F2159" s="159"/>
      <c r="G2159" s="160"/>
    </row>
    <row r="2160" spans="1:8" ht="33">
      <c r="A2160" s="160" t="s">
        <v>2337</v>
      </c>
      <c r="B2160" s="160" t="s">
        <v>2115</v>
      </c>
      <c r="C2160" s="157" t="s">
        <v>1875</v>
      </c>
      <c r="D2160" s="159">
        <v>1</v>
      </c>
      <c r="E2160" s="159">
        <v>4313.05</v>
      </c>
      <c r="F2160" s="159"/>
      <c r="G2160" s="160" t="s">
        <v>2</v>
      </c>
      <c r="H2160" s="34" t="s">
        <v>925</v>
      </c>
    </row>
    <row r="2161" spans="1:8" ht="33">
      <c r="A2161" s="160">
        <v>1</v>
      </c>
      <c r="B2161" s="160" t="s">
        <v>2117</v>
      </c>
      <c r="C2161" s="157" t="s">
        <v>1875</v>
      </c>
      <c r="D2161" s="159">
        <v>1</v>
      </c>
      <c r="E2161" s="159">
        <v>3026.72</v>
      </c>
      <c r="F2161" s="159">
        <v>3026.72</v>
      </c>
      <c r="G2161" s="160" t="s">
        <v>2</v>
      </c>
      <c r="H2161" s="34" t="s">
        <v>925</v>
      </c>
    </row>
    <row r="2162" spans="1:8" ht="33">
      <c r="A2162" s="160">
        <v>2</v>
      </c>
      <c r="B2162" s="160" t="s">
        <v>2119</v>
      </c>
      <c r="C2162" s="157" t="s">
        <v>1497</v>
      </c>
      <c r="D2162" s="159">
        <v>1</v>
      </c>
      <c r="E2162" s="159">
        <v>429.48</v>
      </c>
      <c r="F2162" s="159">
        <v>429.48</v>
      </c>
      <c r="G2162" s="160" t="s">
        <v>5457</v>
      </c>
      <c r="H2162" s="34" t="s">
        <v>925</v>
      </c>
    </row>
    <row r="2163" spans="1:8" ht="33">
      <c r="A2163" s="160">
        <v>3</v>
      </c>
      <c r="B2163" s="160" t="s">
        <v>2121</v>
      </c>
      <c r="C2163" s="157" t="s">
        <v>14</v>
      </c>
      <c r="D2163" s="159">
        <v>1</v>
      </c>
      <c r="E2163" s="159">
        <v>731.23</v>
      </c>
      <c r="F2163" s="159">
        <v>731.23</v>
      </c>
      <c r="G2163" s="160" t="s">
        <v>2</v>
      </c>
      <c r="H2163" s="34" t="s">
        <v>925</v>
      </c>
    </row>
    <row r="2164" spans="1:8" ht="33">
      <c r="A2164" s="160">
        <v>4</v>
      </c>
      <c r="B2164" s="160" t="s">
        <v>931</v>
      </c>
      <c r="C2164" s="157" t="s">
        <v>14</v>
      </c>
      <c r="D2164" s="159">
        <v>1</v>
      </c>
      <c r="E2164" s="159">
        <v>125.62</v>
      </c>
      <c r="F2164" s="159">
        <v>125.62</v>
      </c>
      <c r="G2164" s="160" t="s">
        <v>2</v>
      </c>
      <c r="H2164" s="34" t="s">
        <v>925</v>
      </c>
    </row>
    <row r="2165" spans="1:8" ht="33">
      <c r="A2165" s="160"/>
      <c r="B2165" s="160" t="s">
        <v>933</v>
      </c>
      <c r="C2165" s="157" t="s">
        <v>1875</v>
      </c>
      <c r="D2165" s="159">
        <v>1</v>
      </c>
      <c r="E2165" s="159"/>
      <c r="F2165" s="159">
        <v>4313.05</v>
      </c>
      <c r="G2165" s="160"/>
      <c r="H2165" s="34" t="s">
        <v>925</v>
      </c>
    </row>
    <row r="2166" spans="1:8" ht="16.5">
      <c r="A2166" s="160"/>
      <c r="B2166" s="160" t="s">
        <v>934</v>
      </c>
      <c r="C2166" s="157" t="s">
        <v>1875</v>
      </c>
      <c r="D2166" s="159"/>
      <c r="E2166" s="159"/>
      <c r="F2166" s="159">
        <v>4313.05</v>
      </c>
      <c r="G2166" s="160"/>
    </row>
    <row r="2167" spans="1:8" ht="33">
      <c r="A2167" s="160"/>
      <c r="B2167" s="160"/>
      <c r="C2167" s="157"/>
      <c r="D2167" s="159"/>
      <c r="E2167" s="159"/>
      <c r="F2167" s="159"/>
      <c r="G2167" s="160"/>
      <c r="H2167" s="34" t="s">
        <v>925</v>
      </c>
    </row>
    <row r="2168" spans="1:8" ht="33">
      <c r="A2168" s="160" t="s">
        <v>2340</v>
      </c>
      <c r="B2168" s="160" t="s">
        <v>2124</v>
      </c>
      <c r="C2168" s="157" t="s">
        <v>1875</v>
      </c>
      <c r="D2168" s="159">
        <v>1</v>
      </c>
      <c r="E2168" s="159">
        <v>7043.5</v>
      </c>
      <c r="F2168" s="159"/>
      <c r="G2168" s="160" t="s">
        <v>2</v>
      </c>
      <c r="H2168" s="34" t="s">
        <v>925</v>
      </c>
    </row>
    <row r="2169" spans="1:8" ht="33">
      <c r="A2169" s="160">
        <v>1</v>
      </c>
      <c r="B2169" s="160" t="s">
        <v>2126</v>
      </c>
      <c r="C2169" s="157" t="s">
        <v>1875</v>
      </c>
      <c r="D2169" s="159">
        <v>1</v>
      </c>
      <c r="E2169" s="159">
        <v>5248.16</v>
      </c>
      <c r="F2169" s="159">
        <v>5248.16</v>
      </c>
      <c r="G2169" s="160" t="s">
        <v>2</v>
      </c>
      <c r="H2169" s="34" t="s">
        <v>925</v>
      </c>
    </row>
    <row r="2170" spans="1:8" ht="33">
      <c r="A2170" s="160">
        <v>2</v>
      </c>
      <c r="B2170" s="160" t="s">
        <v>2119</v>
      </c>
      <c r="C2170" s="157" t="s">
        <v>1497</v>
      </c>
      <c r="D2170" s="159">
        <v>2</v>
      </c>
      <c r="E2170" s="159">
        <v>429.48</v>
      </c>
      <c r="F2170" s="159">
        <v>858.96</v>
      </c>
      <c r="G2170" s="160" t="s">
        <v>5457</v>
      </c>
      <c r="H2170" s="34" t="s">
        <v>925</v>
      </c>
    </row>
    <row r="2171" spans="1:8" ht="33">
      <c r="A2171" s="160">
        <v>3</v>
      </c>
      <c r="B2171" s="160" t="s">
        <v>2121</v>
      </c>
      <c r="C2171" s="157" t="s">
        <v>14</v>
      </c>
      <c r="D2171" s="159">
        <v>1</v>
      </c>
      <c r="E2171" s="159">
        <v>731.23</v>
      </c>
      <c r="F2171" s="159">
        <v>731.23</v>
      </c>
      <c r="G2171" s="160" t="s">
        <v>2</v>
      </c>
      <c r="H2171" s="34" t="s">
        <v>925</v>
      </c>
    </row>
    <row r="2172" spans="1:8" ht="33">
      <c r="A2172" s="160">
        <v>4</v>
      </c>
      <c r="B2172" s="160" t="s">
        <v>931</v>
      </c>
      <c r="C2172" s="157" t="s">
        <v>14</v>
      </c>
      <c r="D2172" s="159">
        <v>1</v>
      </c>
      <c r="E2172" s="159">
        <v>205.15</v>
      </c>
      <c r="F2172" s="159">
        <v>205.15</v>
      </c>
      <c r="G2172" s="160" t="s">
        <v>2</v>
      </c>
      <c r="H2172" s="34" t="s">
        <v>925</v>
      </c>
    </row>
    <row r="2173" spans="1:8" ht="16.5">
      <c r="A2173" s="160"/>
      <c r="B2173" s="160" t="s">
        <v>933</v>
      </c>
      <c r="C2173" s="157" t="s">
        <v>1875</v>
      </c>
      <c r="D2173" s="159">
        <v>1</v>
      </c>
      <c r="E2173" s="159"/>
      <c r="F2173" s="159">
        <v>7043.5</v>
      </c>
      <c r="G2173" s="160"/>
    </row>
    <row r="2174" spans="1:8" ht="33">
      <c r="A2174" s="160"/>
      <c r="B2174" s="160" t="s">
        <v>934</v>
      </c>
      <c r="C2174" s="157" t="s">
        <v>1875</v>
      </c>
      <c r="D2174" s="159"/>
      <c r="E2174" s="159"/>
      <c r="F2174" s="159">
        <v>7043.5</v>
      </c>
      <c r="G2174" s="160"/>
      <c r="H2174" s="34" t="s">
        <v>925</v>
      </c>
    </row>
    <row r="2175" spans="1:8" ht="33">
      <c r="A2175" s="160"/>
      <c r="B2175" s="160"/>
      <c r="C2175" s="157"/>
      <c r="D2175" s="159"/>
      <c r="E2175" s="159"/>
      <c r="F2175" s="159"/>
      <c r="G2175" s="160"/>
      <c r="H2175" s="34" t="s">
        <v>925</v>
      </c>
    </row>
    <row r="2176" spans="1:8" ht="33">
      <c r="A2176" s="160" t="s">
        <v>2345</v>
      </c>
      <c r="B2176" s="160" t="s">
        <v>2129</v>
      </c>
      <c r="C2176" s="157" t="s">
        <v>1875</v>
      </c>
      <c r="D2176" s="159">
        <v>1</v>
      </c>
      <c r="E2176" s="159">
        <v>3550.36</v>
      </c>
      <c r="F2176" s="159"/>
      <c r="G2176" s="160" t="s">
        <v>2</v>
      </c>
      <c r="H2176" s="34" t="s">
        <v>925</v>
      </c>
    </row>
    <row r="2177" spans="1:8" ht="33">
      <c r="A2177" s="160">
        <v>1</v>
      </c>
      <c r="B2177" s="160" t="s">
        <v>2131</v>
      </c>
      <c r="C2177" s="157" t="s">
        <v>1875</v>
      </c>
      <c r="D2177" s="159">
        <v>1</v>
      </c>
      <c r="E2177" s="159">
        <v>2286.2399999999998</v>
      </c>
      <c r="F2177" s="159">
        <v>2286.2399999999998</v>
      </c>
      <c r="G2177" s="160" t="s">
        <v>2</v>
      </c>
      <c r="H2177" s="34" t="s">
        <v>925</v>
      </c>
    </row>
    <row r="2178" spans="1:8" ht="33">
      <c r="A2178" s="160">
        <v>2</v>
      </c>
      <c r="B2178" s="160" t="s">
        <v>2119</v>
      </c>
      <c r="C2178" s="157" t="s">
        <v>1497</v>
      </c>
      <c r="D2178" s="159">
        <v>1</v>
      </c>
      <c r="E2178" s="159">
        <v>429.48</v>
      </c>
      <c r="F2178" s="159">
        <v>429.48</v>
      </c>
      <c r="G2178" s="160" t="s">
        <v>5457</v>
      </c>
      <c r="H2178" s="34" t="s">
        <v>925</v>
      </c>
    </row>
    <row r="2179" spans="1:8" ht="33">
      <c r="A2179" s="160">
        <v>3</v>
      </c>
      <c r="B2179" s="160" t="s">
        <v>2121</v>
      </c>
      <c r="C2179" s="157" t="s">
        <v>14</v>
      </c>
      <c r="D2179" s="159">
        <v>1</v>
      </c>
      <c r="E2179" s="159">
        <v>731.23</v>
      </c>
      <c r="F2179" s="159">
        <v>731.23</v>
      </c>
      <c r="G2179" s="160" t="s">
        <v>2</v>
      </c>
      <c r="H2179" s="34" t="s">
        <v>925</v>
      </c>
    </row>
    <row r="2180" spans="1:8" ht="33">
      <c r="A2180" s="160">
        <v>4</v>
      </c>
      <c r="B2180" s="160" t="s">
        <v>931</v>
      </c>
      <c r="C2180" s="157" t="s">
        <v>14</v>
      </c>
      <c r="D2180" s="159">
        <v>1</v>
      </c>
      <c r="E2180" s="159">
        <v>103.41</v>
      </c>
      <c r="F2180" s="159">
        <v>103.41</v>
      </c>
      <c r="G2180" s="160" t="s">
        <v>2</v>
      </c>
      <c r="H2180" s="34" t="s">
        <v>925</v>
      </c>
    </row>
    <row r="2181" spans="1:8" ht="33">
      <c r="A2181" s="160"/>
      <c r="B2181" s="160" t="s">
        <v>933</v>
      </c>
      <c r="C2181" s="157" t="s">
        <v>1875</v>
      </c>
      <c r="D2181" s="159">
        <v>1</v>
      </c>
      <c r="E2181" s="159"/>
      <c r="F2181" s="159">
        <v>3550.3599999999997</v>
      </c>
      <c r="G2181" s="160"/>
      <c r="H2181" s="34" t="s">
        <v>925</v>
      </c>
    </row>
    <row r="2182" spans="1:8" ht="16.5">
      <c r="A2182" s="160"/>
      <c r="B2182" s="160" t="s">
        <v>934</v>
      </c>
      <c r="C2182" s="157" t="s">
        <v>1875</v>
      </c>
      <c r="D2182" s="159"/>
      <c r="E2182" s="159"/>
      <c r="F2182" s="159">
        <v>3550.36</v>
      </c>
      <c r="G2182" s="160"/>
    </row>
    <row r="2183" spans="1:8" ht="33">
      <c r="A2183" s="160"/>
      <c r="B2183" s="160"/>
      <c r="C2183" s="157"/>
      <c r="D2183" s="159"/>
      <c r="E2183" s="159"/>
      <c r="F2183" s="159"/>
      <c r="G2183" s="160"/>
      <c r="H2183" s="34" t="s">
        <v>925</v>
      </c>
    </row>
    <row r="2184" spans="1:8" ht="33">
      <c r="A2184" s="160" t="s">
        <v>2359</v>
      </c>
      <c r="B2184" s="160" t="s">
        <v>2134</v>
      </c>
      <c r="C2184" s="157" t="s">
        <v>1875</v>
      </c>
      <c r="D2184" s="159">
        <v>1</v>
      </c>
      <c r="E2184" s="159">
        <v>4322.58</v>
      </c>
      <c r="F2184" s="159"/>
      <c r="G2184" s="160" t="s">
        <v>2</v>
      </c>
      <c r="H2184" s="34" t="s">
        <v>925</v>
      </c>
    </row>
    <row r="2185" spans="1:8" ht="33">
      <c r="A2185" s="160">
        <v>1</v>
      </c>
      <c r="B2185" s="160" t="s">
        <v>2136</v>
      </c>
      <c r="C2185" s="157" t="s">
        <v>1875</v>
      </c>
      <c r="D2185" s="159">
        <v>1</v>
      </c>
      <c r="E2185" s="159">
        <v>3230.35</v>
      </c>
      <c r="F2185" s="159">
        <v>3230.35</v>
      </c>
      <c r="G2185" s="160" t="s">
        <v>2</v>
      </c>
      <c r="H2185" s="34" t="s">
        <v>925</v>
      </c>
    </row>
    <row r="2186" spans="1:8" ht="33">
      <c r="A2186" s="160">
        <v>2</v>
      </c>
      <c r="B2186" s="160" t="s">
        <v>2119</v>
      </c>
      <c r="C2186" s="157" t="s">
        <v>1497</v>
      </c>
      <c r="D2186" s="159">
        <v>1</v>
      </c>
      <c r="E2186" s="159">
        <v>429.48</v>
      </c>
      <c r="F2186" s="159">
        <v>429.48</v>
      </c>
      <c r="G2186" s="160" t="s">
        <v>5457</v>
      </c>
      <c r="H2186" s="34" t="s">
        <v>925</v>
      </c>
    </row>
    <row r="2187" spans="1:8" ht="33">
      <c r="A2187" s="160">
        <v>3</v>
      </c>
      <c r="B2187" s="160" t="s">
        <v>2138</v>
      </c>
      <c r="C2187" s="157" t="s">
        <v>14</v>
      </c>
      <c r="D2187" s="159">
        <v>1</v>
      </c>
      <c r="E2187" s="159">
        <v>536.85</v>
      </c>
      <c r="F2187" s="159">
        <v>536.85</v>
      </c>
      <c r="G2187" s="160" t="s">
        <v>2</v>
      </c>
      <c r="H2187" s="34" t="s">
        <v>925</v>
      </c>
    </row>
    <row r="2188" spans="1:8" ht="33">
      <c r="A2188" s="160">
        <v>4</v>
      </c>
      <c r="B2188" s="160" t="s">
        <v>931</v>
      </c>
      <c r="C2188" s="157" t="s">
        <v>14</v>
      </c>
      <c r="D2188" s="159">
        <v>1</v>
      </c>
      <c r="E2188" s="159">
        <v>125.9</v>
      </c>
      <c r="F2188" s="159">
        <v>125.9</v>
      </c>
      <c r="G2188" s="160" t="s">
        <v>2</v>
      </c>
      <c r="H2188" s="34" t="s">
        <v>925</v>
      </c>
    </row>
    <row r="2189" spans="1:8" ht="33">
      <c r="A2189" s="160"/>
      <c r="B2189" s="160" t="s">
        <v>933</v>
      </c>
      <c r="C2189" s="157" t="s">
        <v>1875</v>
      </c>
      <c r="D2189" s="159">
        <v>1</v>
      </c>
      <c r="E2189" s="159"/>
      <c r="F2189" s="159">
        <v>4322.58</v>
      </c>
      <c r="G2189" s="160"/>
      <c r="H2189" s="34" t="s">
        <v>925</v>
      </c>
    </row>
    <row r="2190" spans="1:8" ht="33">
      <c r="A2190" s="160"/>
      <c r="B2190" s="160" t="s">
        <v>934</v>
      </c>
      <c r="C2190" s="157" t="s">
        <v>1875</v>
      </c>
      <c r="D2190" s="159"/>
      <c r="E2190" s="159"/>
      <c r="F2190" s="159">
        <v>4322.58</v>
      </c>
      <c r="G2190" s="160"/>
      <c r="H2190" s="34" t="s">
        <v>925</v>
      </c>
    </row>
    <row r="2191" spans="1:8" ht="33">
      <c r="A2191" s="160"/>
      <c r="B2191" s="160"/>
      <c r="C2191" s="157"/>
      <c r="D2191" s="159"/>
      <c r="E2191" s="159"/>
      <c r="F2191" s="159"/>
      <c r="G2191" s="160"/>
      <c r="H2191" s="34" t="s">
        <v>925</v>
      </c>
    </row>
    <row r="2192" spans="1:8" ht="28.5">
      <c r="A2192" s="160" t="s">
        <v>2371</v>
      </c>
      <c r="B2192" s="160" t="s">
        <v>2141</v>
      </c>
      <c r="C2192" s="157" t="s">
        <v>3</v>
      </c>
      <c r="D2192" s="159">
        <v>10</v>
      </c>
      <c r="E2192" s="159">
        <v>1515.57</v>
      </c>
      <c r="F2192" s="159"/>
      <c r="G2192" s="160" t="s">
        <v>2</v>
      </c>
    </row>
    <row r="2193" spans="1:8" ht="33">
      <c r="A2193" s="160">
        <v>1</v>
      </c>
      <c r="B2193" s="160" t="s">
        <v>2143</v>
      </c>
      <c r="C2193" s="157" t="s">
        <v>3</v>
      </c>
      <c r="D2193" s="159">
        <v>10.5</v>
      </c>
      <c r="E2193" s="159">
        <v>694.2</v>
      </c>
      <c r="F2193" s="159">
        <v>7289.1</v>
      </c>
      <c r="G2193" s="160" t="s">
        <v>2</v>
      </c>
      <c r="H2193" s="34" t="s">
        <v>925</v>
      </c>
    </row>
    <row r="2194" spans="1:8" ht="33">
      <c r="A2194" s="160">
        <v>2</v>
      </c>
      <c r="B2194" s="160" t="s">
        <v>1637</v>
      </c>
      <c r="C2194" s="157" t="s">
        <v>0</v>
      </c>
      <c r="D2194" s="159">
        <v>0.2</v>
      </c>
      <c r="E2194" s="159">
        <v>3304.6</v>
      </c>
      <c r="F2194" s="159">
        <v>660.92</v>
      </c>
      <c r="G2194" s="160" t="s">
        <v>1873</v>
      </c>
      <c r="H2194" s="34" t="s">
        <v>925</v>
      </c>
    </row>
    <row r="2195" spans="1:8" ht="33">
      <c r="A2195" s="160">
        <v>3</v>
      </c>
      <c r="B2195" s="160" t="s">
        <v>1210</v>
      </c>
      <c r="C2195" s="157" t="s">
        <v>927</v>
      </c>
      <c r="D2195" s="159">
        <v>9.6</v>
      </c>
      <c r="E2195" s="159">
        <v>379.5</v>
      </c>
      <c r="F2195" s="159">
        <v>3643.2</v>
      </c>
      <c r="G2195" s="160" t="s">
        <v>2</v>
      </c>
      <c r="H2195" s="34" t="s">
        <v>925</v>
      </c>
    </row>
    <row r="2196" spans="1:8" ht="33">
      <c r="A2196" s="160">
        <v>4</v>
      </c>
      <c r="B2196" s="160" t="s">
        <v>4871</v>
      </c>
      <c r="C2196" s="157" t="s">
        <v>927</v>
      </c>
      <c r="D2196" s="159">
        <v>12</v>
      </c>
      <c r="E2196" s="159">
        <v>260.08999999999997</v>
      </c>
      <c r="F2196" s="159">
        <v>3121.08</v>
      </c>
      <c r="G2196" s="160" t="s">
        <v>5435</v>
      </c>
      <c r="H2196" s="34" t="s">
        <v>925</v>
      </c>
    </row>
    <row r="2197" spans="1:8" ht="33">
      <c r="A2197" s="160">
        <v>5</v>
      </c>
      <c r="B2197" s="160" t="s">
        <v>931</v>
      </c>
      <c r="C2197" s="157" t="s">
        <v>14</v>
      </c>
      <c r="D2197" s="159">
        <v>1</v>
      </c>
      <c r="E2197" s="159">
        <v>441.43</v>
      </c>
      <c r="F2197" s="159">
        <v>441.43</v>
      </c>
      <c r="G2197" s="160" t="s">
        <v>2</v>
      </c>
      <c r="H2197" s="34" t="s">
        <v>925</v>
      </c>
    </row>
    <row r="2198" spans="1:8" ht="33">
      <c r="A2198" s="160"/>
      <c r="B2198" s="160" t="s">
        <v>933</v>
      </c>
      <c r="C2198" s="157" t="s">
        <v>3</v>
      </c>
      <c r="D2198" s="159">
        <v>10</v>
      </c>
      <c r="E2198" s="159"/>
      <c r="F2198" s="159">
        <v>15155.730000000001</v>
      </c>
      <c r="G2198" s="160"/>
      <c r="H2198" s="34" t="s">
        <v>925</v>
      </c>
    </row>
    <row r="2199" spans="1:8" ht="33">
      <c r="A2199" s="160"/>
      <c r="B2199" s="160" t="s">
        <v>934</v>
      </c>
      <c r="C2199" s="157" t="s">
        <v>3</v>
      </c>
      <c r="D2199" s="159"/>
      <c r="E2199" s="159"/>
      <c r="F2199" s="159">
        <v>1515.57</v>
      </c>
      <c r="G2199" s="160"/>
      <c r="H2199" s="34" t="s">
        <v>925</v>
      </c>
    </row>
    <row r="2200" spans="1:8" ht="33">
      <c r="A2200" s="160"/>
      <c r="B2200" s="160"/>
      <c r="C2200" s="157"/>
      <c r="D2200" s="159"/>
      <c r="E2200" s="159"/>
      <c r="F2200" s="159"/>
      <c r="G2200" s="160"/>
      <c r="H2200" s="34" t="s">
        <v>925</v>
      </c>
    </row>
    <row r="2201" spans="1:8" ht="33">
      <c r="A2201" s="160" t="s">
        <v>2378</v>
      </c>
      <c r="B2201" s="160" t="s">
        <v>3641</v>
      </c>
      <c r="C2201" s="157" t="s">
        <v>1875</v>
      </c>
      <c r="D2201" s="159">
        <v>1</v>
      </c>
      <c r="E2201" s="159">
        <v>3184.26</v>
      </c>
      <c r="F2201" s="159"/>
      <c r="G2201" s="160" t="s">
        <v>2</v>
      </c>
      <c r="H2201" s="34" t="s">
        <v>925</v>
      </c>
    </row>
    <row r="2202" spans="1:8" ht="28.5">
      <c r="A2202" s="160">
        <v>1</v>
      </c>
      <c r="B2202" s="160" t="s">
        <v>4025</v>
      </c>
      <c r="C2202" s="157" t="s">
        <v>1875</v>
      </c>
      <c r="D2202" s="159">
        <v>1</v>
      </c>
      <c r="E2202" s="159">
        <v>2776.81</v>
      </c>
      <c r="F2202" s="159">
        <v>2776.81</v>
      </c>
      <c r="G2202" s="160" t="s">
        <v>2</v>
      </c>
    </row>
    <row r="2203" spans="1:8" ht="33">
      <c r="A2203" s="160">
        <v>2</v>
      </c>
      <c r="B2203" s="160" t="s">
        <v>4027</v>
      </c>
      <c r="C2203" s="157" t="s">
        <v>3</v>
      </c>
      <c r="D2203" s="159">
        <v>0.3</v>
      </c>
      <c r="E2203" s="159">
        <v>462.8</v>
      </c>
      <c r="F2203" s="159">
        <v>138.84</v>
      </c>
      <c r="G2203" s="160" t="s">
        <v>2</v>
      </c>
      <c r="H2203" s="34" t="s">
        <v>925</v>
      </c>
    </row>
    <row r="2204" spans="1:8" ht="33">
      <c r="A2204" s="160">
        <v>3</v>
      </c>
      <c r="B2204" s="160" t="s">
        <v>4029</v>
      </c>
      <c r="C2204" s="157" t="s">
        <v>14</v>
      </c>
      <c r="D2204" s="159">
        <v>1</v>
      </c>
      <c r="E2204" s="159">
        <v>83.3</v>
      </c>
      <c r="F2204" s="159">
        <v>83.3</v>
      </c>
      <c r="G2204" s="160" t="s">
        <v>2</v>
      </c>
      <c r="H2204" s="34" t="s">
        <v>925</v>
      </c>
    </row>
    <row r="2205" spans="1:8" ht="33">
      <c r="A2205" s="160">
        <v>4</v>
      </c>
      <c r="B2205" s="160" t="s">
        <v>4031</v>
      </c>
      <c r="C2205" s="157" t="s">
        <v>14</v>
      </c>
      <c r="D2205" s="159">
        <v>1</v>
      </c>
      <c r="E2205" s="159">
        <v>92.56</v>
      </c>
      <c r="F2205" s="159">
        <v>92.56</v>
      </c>
      <c r="G2205" s="160" t="s">
        <v>2</v>
      </c>
      <c r="H2205" s="34" t="s">
        <v>925</v>
      </c>
    </row>
    <row r="2206" spans="1:8" ht="33">
      <c r="A2206" s="160">
        <v>5</v>
      </c>
      <c r="B2206" s="160" t="s">
        <v>931</v>
      </c>
      <c r="C2206" s="157" t="s">
        <v>14</v>
      </c>
      <c r="D2206" s="159">
        <v>1</v>
      </c>
      <c r="E2206" s="159">
        <v>92.75</v>
      </c>
      <c r="F2206" s="159">
        <v>92.75</v>
      </c>
      <c r="G2206" s="160" t="s">
        <v>2</v>
      </c>
      <c r="H2206" s="34" t="s">
        <v>925</v>
      </c>
    </row>
    <row r="2207" spans="1:8" ht="33">
      <c r="A2207" s="160"/>
      <c r="B2207" s="160" t="s">
        <v>933</v>
      </c>
      <c r="C2207" s="157" t="s">
        <v>1875</v>
      </c>
      <c r="D2207" s="159">
        <v>1</v>
      </c>
      <c r="E2207" s="159"/>
      <c r="F2207" s="159">
        <v>3184.26</v>
      </c>
      <c r="G2207" s="160"/>
      <c r="H2207" s="34" t="s">
        <v>925</v>
      </c>
    </row>
    <row r="2208" spans="1:8" ht="33">
      <c r="A2208" s="160"/>
      <c r="B2208" s="160" t="s">
        <v>934</v>
      </c>
      <c r="C2208" s="157" t="s">
        <v>1875</v>
      </c>
      <c r="D2208" s="159"/>
      <c r="E2208" s="159"/>
      <c r="F2208" s="159">
        <v>3184.26</v>
      </c>
      <c r="G2208" s="160"/>
      <c r="H2208" s="34" t="s">
        <v>925</v>
      </c>
    </row>
    <row r="2209" spans="1:8" ht="16.5">
      <c r="A2209" s="160"/>
      <c r="B2209" s="160"/>
      <c r="C2209" s="157"/>
      <c r="D2209" s="159"/>
      <c r="E2209" s="159"/>
      <c r="F2209" s="159"/>
      <c r="G2209" s="160"/>
    </row>
    <row r="2210" spans="1:8" ht="33">
      <c r="A2210" s="160" t="s">
        <v>2382</v>
      </c>
      <c r="B2210" s="160" t="s">
        <v>2146</v>
      </c>
      <c r="C2210" s="157" t="s">
        <v>3</v>
      </c>
      <c r="D2210" s="159">
        <v>1</v>
      </c>
      <c r="E2210" s="159">
        <v>2310.04</v>
      </c>
      <c r="F2210" s="159"/>
      <c r="G2210" s="160" t="s">
        <v>4385</v>
      </c>
      <c r="H2210" s="34" t="s">
        <v>925</v>
      </c>
    </row>
    <row r="2211" spans="1:8" ht="33">
      <c r="A2211" s="160">
        <v>1</v>
      </c>
      <c r="B2211" s="160" t="s">
        <v>2148</v>
      </c>
      <c r="C2211" s="157" t="s">
        <v>2149</v>
      </c>
      <c r="D2211" s="159">
        <v>15</v>
      </c>
      <c r="E2211" s="159">
        <v>120.33</v>
      </c>
      <c r="F2211" s="159">
        <v>1804.95</v>
      </c>
      <c r="G2211" s="160" t="s">
        <v>4379</v>
      </c>
      <c r="H2211" s="34" t="s">
        <v>925</v>
      </c>
    </row>
    <row r="2212" spans="1:8" ht="33">
      <c r="A2212" s="160">
        <v>2</v>
      </c>
      <c r="B2212" s="160" t="s">
        <v>2151</v>
      </c>
      <c r="C2212" s="157" t="s">
        <v>14</v>
      </c>
      <c r="D2212" s="159">
        <v>1</v>
      </c>
      <c r="E2212" s="159">
        <v>194.38</v>
      </c>
      <c r="F2212" s="159">
        <v>194.38</v>
      </c>
      <c r="G2212" s="160" t="s">
        <v>4379</v>
      </c>
      <c r="H2212" s="34" t="s">
        <v>925</v>
      </c>
    </row>
    <row r="2213" spans="1:8" ht="33">
      <c r="A2213" s="160">
        <v>3</v>
      </c>
      <c r="B2213" s="160" t="s">
        <v>2153</v>
      </c>
      <c r="C2213" s="157" t="s">
        <v>14</v>
      </c>
      <c r="D2213" s="159">
        <v>1</v>
      </c>
      <c r="E2213" s="159">
        <v>222.14</v>
      </c>
      <c r="F2213" s="159">
        <v>222.14</v>
      </c>
      <c r="G2213" s="160" t="s">
        <v>4379</v>
      </c>
      <c r="H2213" s="34" t="s">
        <v>925</v>
      </c>
    </row>
    <row r="2214" spans="1:8" ht="33">
      <c r="A2214" s="160">
        <v>4</v>
      </c>
      <c r="B2214" s="160" t="s">
        <v>2155</v>
      </c>
      <c r="C2214" s="157" t="s">
        <v>14</v>
      </c>
      <c r="D2214" s="159">
        <v>1</v>
      </c>
      <c r="E2214" s="159">
        <v>21.29</v>
      </c>
      <c r="F2214" s="159">
        <v>21.29</v>
      </c>
      <c r="G2214" s="160" t="s">
        <v>4379</v>
      </c>
      <c r="H2214" s="34" t="s">
        <v>925</v>
      </c>
    </row>
    <row r="2215" spans="1:8" ht="33">
      <c r="A2215" s="160">
        <v>5</v>
      </c>
      <c r="B2215" s="160" t="s">
        <v>931</v>
      </c>
      <c r="C2215" s="157" t="s">
        <v>14</v>
      </c>
      <c r="D2215" s="159">
        <v>1</v>
      </c>
      <c r="E2215" s="159">
        <v>67.28</v>
      </c>
      <c r="F2215" s="159">
        <v>67.28</v>
      </c>
      <c r="G2215" s="160" t="s">
        <v>2</v>
      </c>
      <c r="H2215" s="34" t="s">
        <v>925</v>
      </c>
    </row>
    <row r="2216" spans="1:8" ht="33">
      <c r="A2216" s="160"/>
      <c r="B2216" s="160" t="s">
        <v>933</v>
      </c>
      <c r="C2216" s="157" t="s">
        <v>3</v>
      </c>
      <c r="D2216" s="159">
        <v>1</v>
      </c>
      <c r="E2216" s="159"/>
      <c r="F2216" s="159">
        <v>2310.04</v>
      </c>
      <c r="G2216" s="160"/>
      <c r="H2216" s="34" t="s">
        <v>925</v>
      </c>
    </row>
    <row r="2217" spans="1:8" ht="33">
      <c r="A2217" s="160"/>
      <c r="B2217" s="160" t="s">
        <v>934</v>
      </c>
      <c r="C2217" s="157" t="s">
        <v>3</v>
      </c>
      <c r="D2217" s="159"/>
      <c r="E2217" s="159"/>
      <c r="F2217" s="159">
        <v>2310.04</v>
      </c>
      <c r="G2217" s="160"/>
      <c r="H2217" s="34" t="s">
        <v>925</v>
      </c>
    </row>
    <row r="2218" spans="1:8" ht="33">
      <c r="A2218" s="160"/>
      <c r="B2218" s="160"/>
      <c r="C2218" s="157"/>
      <c r="D2218" s="159"/>
      <c r="E2218" s="159"/>
      <c r="F2218" s="159"/>
      <c r="G2218" s="160"/>
      <c r="H2218" s="34" t="s">
        <v>925</v>
      </c>
    </row>
    <row r="2219" spans="1:8" ht="33">
      <c r="A2219" s="160" t="s">
        <v>2389</v>
      </c>
      <c r="B2219" s="160" t="s">
        <v>2158</v>
      </c>
      <c r="C2219" s="157" t="s">
        <v>1497</v>
      </c>
      <c r="D2219" s="159">
        <v>1</v>
      </c>
      <c r="E2219" s="159">
        <v>251.69</v>
      </c>
      <c r="F2219" s="159"/>
      <c r="G2219" s="160" t="s">
        <v>4385</v>
      </c>
      <c r="H2219" s="34" t="s">
        <v>925</v>
      </c>
    </row>
    <row r="2220" spans="1:8" ht="28.5">
      <c r="A2220" s="160">
        <v>1</v>
      </c>
      <c r="B2220" s="160" t="s">
        <v>2148</v>
      </c>
      <c r="C2220" s="157" t="s">
        <v>2149</v>
      </c>
      <c r="D2220" s="159">
        <v>0.1</v>
      </c>
      <c r="E2220" s="159">
        <v>120.33</v>
      </c>
      <c r="F2220" s="159">
        <v>12.03</v>
      </c>
      <c r="G2220" s="160" t="s">
        <v>4379</v>
      </c>
    </row>
    <row r="2221" spans="1:8" ht="33">
      <c r="A2221" s="160">
        <v>2</v>
      </c>
      <c r="B2221" s="160" t="s">
        <v>2151</v>
      </c>
      <c r="C2221" s="157" t="s">
        <v>14</v>
      </c>
      <c r="D2221" s="159">
        <v>1</v>
      </c>
      <c r="E2221" s="159">
        <v>194.38</v>
      </c>
      <c r="F2221" s="159">
        <v>194.38</v>
      </c>
      <c r="G2221" s="160" t="s">
        <v>4379</v>
      </c>
      <c r="H2221" s="34" t="s">
        <v>925</v>
      </c>
    </row>
    <row r="2222" spans="1:8" ht="33">
      <c r="A2222" s="160">
        <v>3</v>
      </c>
      <c r="B2222" s="160" t="s">
        <v>2153</v>
      </c>
      <c r="C2222" s="157" t="s">
        <v>14</v>
      </c>
      <c r="D2222" s="159">
        <v>1</v>
      </c>
      <c r="E2222" s="159">
        <v>16.66</v>
      </c>
      <c r="F2222" s="159">
        <v>16.66</v>
      </c>
      <c r="G2222" s="160" t="s">
        <v>4379</v>
      </c>
      <c r="H2222" s="34" t="s">
        <v>925</v>
      </c>
    </row>
    <row r="2223" spans="1:8" ht="33">
      <c r="A2223" s="160">
        <v>4</v>
      </c>
      <c r="B2223" s="160" t="s">
        <v>2155</v>
      </c>
      <c r="C2223" s="157" t="s">
        <v>14</v>
      </c>
      <c r="D2223" s="159">
        <v>1</v>
      </c>
      <c r="E2223" s="159">
        <v>21.29</v>
      </c>
      <c r="F2223" s="159">
        <v>21.29</v>
      </c>
      <c r="G2223" s="160" t="s">
        <v>4379</v>
      </c>
      <c r="H2223" s="34" t="s">
        <v>925</v>
      </c>
    </row>
    <row r="2224" spans="1:8" ht="33">
      <c r="A2224" s="160">
        <v>5</v>
      </c>
      <c r="B2224" s="160" t="s">
        <v>931</v>
      </c>
      <c r="C2224" s="157" t="s">
        <v>14</v>
      </c>
      <c r="D2224" s="159">
        <v>1</v>
      </c>
      <c r="E2224" s="159">
        <v>7.33</v>
      </c>
      <c r="F2224" s="159">
        <v>7.33</v>
      </c>
      <c r="G2224" s="160" t="s">
        <v>2</v>
      </c>
      <c r="H2224" s="34" t="s">
        <v>925</v>
      </c>
    </row>
    <row r="2225" spans="1:8" ht="33">
      <c r="A2225" s="160"/>
      <c r="B2225" s="160" t="s">
        <v>933</v>
      </c>
      <c r="C2225" s="157" t="s">
        <v>1497</v>
      </c>
      <c r="D2225" s="159">
        <v>1</v>
      </c>
      <c r="E2225" s="159"/>
      <c r="F2225" s="159">
        <v>251.69</v>
      </c>
      <c r="G2225" s="160"/>
      <c r="H2225" s="34" t="s">
        <v>925</v>
      </c>
    </row>
    <row r="2226" spans="1:8" ht="33">
      <c r="A2226" s="160"/>
      <c r="B2226" s="160" t="s">
        <v>934</v>
      </c>
      <c r="C2226" s="157" t="s">
        <v>1497</v>
      </c>
      <c r="D2226" s="159"/>
      <c r="E2226" s="159"/>
      <c r="F2226" s="159">
        <v>251.69</v>
      </c>
      <c r="G2226" s="160"/>
      <c r="H2226" s="34" t="s">
        <v>925</v>
      </c>
    </row>
    <row r="2227" spans="1:8" ht="33">
      <c r="A2227" s="160"/>
      <c r="B2227" s="160"/>
      <c r="C2227" s="157"/>
      <c r="D2227" s="159"/>
      <c r="E2227" s="159"/>
      <c r="F2227" s="159"/>
      <c r="G2227" s="160"/>
      <c r="H2227" s="34" t="s">
        <v>925</v>
      </c>
    </row>
    <row r="2228" spans="1:8" ht="33">
      <c r="A2228" s="160" t="s">
        <v>2392</v>
      </c>
      <c r="B2228" s="160" t="s">
        <v>912</v>
      </c>
      <c r="C2228" s="157" t="s">
        <v>3</v>
      </c>
      <c r="D2228" s="159">
        <v>1</v>
      </c>
      <c r="E2228" s="159">
        <v>651.15</v>
      </c>
      <c r="F2228" s="159"/>
      <c r="G2228" s="160" t="s">
        <v>4379</v>
      </c>
      <c r="H2228" s="34" t="s">
        <v>925</v>
      </c>
    </row>
    <row r="2229" spans="1:8" ht="33">
      <c r="A2229" s="160">
        <v>1</v>
      </c>
      <c r="B2229" s="160" t="s">
        <v>2162</v>
      </c>
      <c r="C2229" s="157" t="s">
        <v>3</v>
      </c>
      <c r="D2229" s="159">
        <v>1</v>
      </c>
      <c r="E2229" s="159">
        <v>76.819999999999993</v>
      </c>
      <c r="F2229" s="159">
        <v>76.819999999999993</v>
      </c>
      <c r="G2229" s="160" t="s">
        <v>2</v>
      </c>
      <c r="H2229" s="34" t="s">
        <v>925</v>
      </c>
    </row>
    <row r="2230" spans="1:8" ht="33">
      <c r="A2230" s="160">
        <v>2</v>
      </c>
      <c r="B2230" s="160" t="s">
        <v>2164</v>
      </c>
      <c r="C2230" s="157" t="s">
        <v>3</v>
      </c>
      <c r="D2230" s="159">
        <v>1</v>
      </c>
      <c r="E2230" s="159">
        <v>92.56</v>
      </c>
      <c r="F2230" s="159">
        <v>92.56</v>
      </c>
      <c r="G2230" s="160" t="s">
        <v>2</v>
      </c>
      <c r="H2230" s="34" t="s">
        <v>925</v>
      </c>
    </row>
    <row r="2231" spans="1:8" ht="16.5">
      <c r="A2231" s="160">
        <v>3</v>
      </c>
      <c r="B2231" s="160" t="s">
        <v>2166</v>
      </c>
      <c r="C2231" s="157" t="s">
        <v>3</v>
      </c>
      <c r="D2231" s="159">
        <v>1</v>
      </c>
      <c r="E2231" s="159">
        <v>462.8</v>
      </c>
      <c r="F2231" s="159">
        <v>462.8</v>
      </c>
      <c r="G2231" s="160" t="s">
        <v>2</v>
      </c>
    </row>
    <row r="2232" spans="1:8" ht="33">
      <c r="A2232" s="160">
        <v>4</v>
      </c>
      <c r="B2232" s="160" t="s">
        <v>931</v>
      </c>
      <c r="C2232" s="157" t="s">
        <v>14</v>
      </c>
      <c r="D2232" s="159">
        <v>1</v>
      </c>
      <c r="E2232" s="159">
        <v>18.97</v>
      </c>
      <c r="F2232" s="159">
        <v>18.97</v>
      </c>
      <c r="G2232" s="160" t="s">
        <v>2</v>
      </c>
      <c r="H2232" s="34" t="s">
        <v>925</v>
      </c>
    </row>
    <row r="2233" spans="1:8" ht="33">
      <c r="A2233" s="160"/>
      <c r="B2233" s="160" t="s">
        <v>933</v>
      </c>
      <c r="C2233" s="157" t="s">
        <v>3</v>
      </c>
      <c r="D2233" s="159">
        <v>1</v>
      </c>
      <c r="E2233" s="159"/>
      <c r="F2233" s="159">
        <v>651.15000000000009</v>
      </c>
      <c r="G2233" s="160"/>
      <c r="H2233" s="34" t="s">
        <v>925</v>
      </c>
    </row>
    <row r="2234" spans="1:8" ht="33">
      <c r="A2234" s="160"/>
      <c r="B2234" s="160" t="s">
        <v>934</v>
      </c>
      <c r="C2234" s="157" t="s">
        <v>3</v>
      </c>
      <c r="D2234" s="159"/>
      <c r="E2234" s="159"/>
      <c r="F2234" s="159">
        <v>651.15</v>
      </c>
      <c r="G2234" s="160"/>
      <c r="H2234" s="34" t="s">
        <v>925</v>
      </c>
    </row>
    <row r="2235" spans="1:8" ht="33">
      <c r="A2235" s="160"/>
      <c r="B2235" s="160"/>
      <c r="C2235" s="157"/>
      <c r="D2235" s="159"/>
      <c r="E2235" s="159"/>
      <c r="F2235" s="159"/>
      <c r="G2235" s="160"/>
      <c r="H2235" s="34" t="s">
        <v>925</v>
      </c>
    </row>
    <row r="2236" spans="1:8" ht="33">
      <c r="A2236" s="160" t="s">
        <v>2398</v>
      </c>
      <c r="B2236" s="160" t="s">
        <v>2169</v>
      </c>
      <c r="C2236" s="157" t="s">
        <v>17</v>
      </c>
      <c r="D2236" s="159">
        <v>10</v>
      </c>
      <c r="E2236" s="159">
        <v>128.66999999999999</v>
      </c>
      <c r="F2236" s="159"/>
      <c r="G2236" s="160" t="s">
        <v>2</v>
      </c>
      <c r="H2236" s="34" t="s">
        <v>925</v>
      </c>
    </row>
    <row r="2237" spans="1:8" ht="33">
      <c r="A2237" s="160">
        <v>1</v>
      </c>
      <c r="B2237" s="160" t="s">
        <v>2171</v>
      </c>
      <c r="C2237" s="157" t="s">
        <v>14</v>
      </c>
      <c r="D2237" s="159">
        <v>1</v>
      </c>
      <c r="E2237" s="159">
        <v>231.4</v>
      </c>
      <c r="F2237" s="159">
        <v>231.4</v>
      </c>
      <c r="G2237" s="160" t="s">
        <v>2</v>
      </c>
      <c r="H2237" s="34" t="s">
        <v>925</v>
      </c>
    </row>
    <row r="2238" spans="1:8" ht="33">
      <c r="A2238" s="160">
        <v>2</v>
      </c>
      <c r="B2238" s="160" t="s">
        <v>2173</v>
      </c>
      <c r="C2238" s="157" t="s">
        <v>14</v>
      </c>
      <c r="D2238" s="159">
        <v>1</v>
      </c>
      <c r="E2238" s="159">
        <v>185.12</v>
      </c>
      <c r="F2238" s="159">
        <v>185.12</v>
      </c>
      <c r="G2238" s="160" t="s">
        <v>2</v>
      </c>
      <c r="H2238" s="34" t="s">
        <v>925</v>
      </c>
    </row>
    <row r="2239" spans="1:8" ht="33">
      <c r="A2239" s="160">
        <v>3</v>
      </c>
      <c r="B2239" s="160" t="s">
        <v>2175</v>
      </c>
      <c r="C2239" s="157" t="s">
        <v>14</v>
      </c>
      <c r="D2239" s="159">
        <v>1</v>
      </c>
      <c r="E2239" s="159">
        <v>92.56</v>
      </c>
      <c r="F2239" s="159">
        <v>92.56</v>
      </c>
      <c r="G2239" s="160" t="s">
        <v>2</v>
      </c>
      <c r="H2239" s="34" t="s">
        <v>925</v>
      </c>
    </row>
    <row r="2240" spans="1:8" ht="28.5">
      <c r="A2240" s="160">
        <v>4</v>
      </c>
      <c r="B2240" s="160" t="s">
        <v>2177</v>
      </c>
      <c r="C2240" s="157" t="s">
        <v>14</v>
      </c>
      <c r="D2240" s="159">
        <v>1</v>
      </c>
      <c r="E2240" s="159">
        <v>323.95999999999998</v>
      </c>
      <c r="F2240" s="159">
        <v>323.95999999999998</v>
      </c>
      <c r="G2240" s="160" t="s">
        <v>2</v>
      </c>
    </row>
    <row r="2241" spans="1:8" ht="33">
      <c r="A2241" s="160">
        <v>5</v>
      </c>
      <c r="B2241" s="160" t="s">
        <v>4871</v>
      </c>
      <c r="C2241" s="157" t="s">
        <v>927</v>
      </c>
      <c r="D2241" s="159">
        <v>1.6</v>
      </c>
      <c r="E2241" s="159">
        <v>260.08999999999997</v>
      </c>
      <c r="F2241" s="159">
        <v>416.14</v>
      </c>
      <c r="G2241" s="160" t="s">
        <v>5435</v>
      </c>
      <c r="H2241" s="34" t="s">
        <v>925</v>
      </c>
    </row>
    <row r="2242" spans="1:8" ht="33">
      <c r="A2242" s="160">
        <v>6</v>
      </c>
      <c r="B2242" s="160" t="s">
        <v>931</v>
      </c>
      <c r="C2242" s="157" t="s">
        <v>14</v>
      </c>
      <c r="D2242" s="159">
        <v>1</v>
      </c>
      <c r="E2242" s="159">
        <v>37.479999999999997</v>
      </c>
      <c r="F2242" s="159">
        <v>37.479999999999997</v>
      </c>
      <c r="G2242" s="160" t="s">
        <v>2</v>
      </c>
      <c r="H2242" s="34" t="s">
        <v>925</v>
      </c>
    </row>
    <row r="2243" spans="1:8" ht="33">
      <c r="A2243" s="160"/>
      <c r="B2243" s="160" t="s">
        <v>933</v>
      </c>
      <c r="C2243" s="157" t="s">
        <v>17</v>
      </c>
      <c r="D2243" s="159">
        <v>10</v>
      </c>
      <c r="E2243" s="159"/>
      <c r="F2243" s="159">
        <v>1286.6599999999999</v>
      </c>
      <c r="G2243" s="160"/>
      <c r="H2243" s="34" t="s">
        <v>925</v>
      </c>
    </row>
    <row r="2244" spans="1:8" ht="33">
      <c r="A2244" s="160"/>
      <c r="B2244" s="160" t="s">
        <v>934</v>
      </c>
      <c r="C2244" s="157" t="s">
        <v>17</v>
      </c>
      <c r="D2244" s="159"/>
      <c r="E2244" s="159"/>
      <c r="F2244" s="159">
        <v>128.66999999999999</v>
      </c>
      <c r="G2244" s="160"/>
      <c r="H2244" s="34" t="s">
        <v>925</v>
      </c>
    </row>
    <row r="2245" spans="1:8" ht="33">
      <c r="A2245" s="160"/>
      <c r="B2245" s="160"/>
      <c r="C2245" s="157"/>
      <c r="D2245" s="159"/>
      <c r="E2245" s="159"/>
      <c r="F2245" s="159"/>
      <c r="G2245" s="160"/>
      <c r="H2245" s="34" t="s">
        <v>925</v>
      </c>
    </row>
    <row r="2246" spans="1:8" ht="33">
      <c r="A2246" s="160" t="s">
        <v>2404</v>
      </c>
      <c r="B2246" s="160" t="s">
        <v>3642</v>
      </c>
      <c r="C2246" s="157" t="s">
        <v>17</v>
      </c>
      <c r="D2246" s="159">
        <v>10</v>
      </c>
      <c r="E2246" s="159">
        <v>109.6</v>
      </c>
      <c r="F2246" s="159"/>
      <c r="G2246" s="160" t="s">
        <v>2</v>
      </c>
      <c r="H2246" s="34" t="s">
        <v>925</v>
      </c>
    </row>
    <row r="2247" spans="1:8" ht="33">
      <c r="A2247" s="160">
        <v>1</v>
      </c>
      <c r="B2247" s="160" t="s">
        <v>2171</v>
      </c>
      <c r="C2247" s="157" t="s">
        <v>14</v>
      </c>
      <c r="D2247" s="159">
        <v>1</v>
      </c>
      <c r="E2247" s="159">
        <v>231.4</v>
      </c>
      <c r="F2247" s="159">
        <v>231.4</v>
      </c>
      <c r="G2247" s="160" t="s">
        <v>2</v>
      </c>
      <c r="H2247" s="34" t="s">
        <v>925</v>
      </c>
    </row>
    <row r="2248" spans="1:8" ht="33">
      <c r="A2248" s="160">
        <v>2</v>
      </c>
      <c r="B2248" s="160" t="s">
        <v>2175</v>
      </c>
      <c r="C2248" s="157" t="s">
        <v>14</v>
      </c>
      <c r="D2248" s="159">
        <v>1</v>
      </c>
      <c r="E2248" s="159">
        <v>92.56</v>
      </c>
      <c r="F2248" s="159">
        <v>92.56</v>
      </c>
      <c r="G2248" s="160" t="s">
        <v>2</v>
      </c>
      <c r="H2248" s="34" t="s">
        <v>925</v>
      </c>
    </row>
    <row r="2249" spans="1:8" ht="28.5">
      <c r="A2249" s="160">
        <v>3</v>
      </c>
      <c r="B2249" s="160" t="s">
        <v>2177</v>
      </c>
      <c r="C2249" s="157" t="s">
        <v>14</v>
      </c>
      <c r="D2249" s="159">
        <v>1</v>
      </c>
      <c r="E2249" s="159">
        <v>323.95999999999998</v>
      </c>
      <c r="F2249" s="159">
        <v>323.95999999999998</v>
      </c>
      <c r="G2249" s="160" t="s">
        <v>2</v>
      </c>
    </row>
    <row r="2250" spans="1:8" ht="33">
      <c r="A2250" s="160">
        <v>4</v>
      </c>
      <c r="B2250" s="160" t="s">
        <v>4871</v>
      </c>
      <c r="C2250" s="157" t="s">
        <v>927</v>
      </c>
      <c r="D2250" s="159">
        <v>1.6</v>
      </c>
      <c r="E2250" s="159">
        <v>260.08999999999997</v>
      </c>
      <c r="F2250" s="159">
        <v>416.14</v>
      </c>
      <c r="G2250" s="160" t="s">
        <v>5435</v>
      </c>
      <c r="H2250" s="34" t="s">
        <v>925</v>
      </c>
    </row>
    <row r="2251" spans="1:8" ht="33">
      <c r="A2251" s="160">
        <v>5</v>
      </c>
      <c r="B2251" s="160" t="s">
        <v>931</v>
      </c>
      <c r="C2251" s="157" t="s">
        <v>14</v>
      </c>
      <c r="D2251" s="159">
        <v>1</v>
      </c>
      <c r="E2251" s="159">
        <v>31.92</v>
      </c>
      <c r="F2251" s="159">
        <v>31.92</v>
      </c>
      <c r="G2251" s="160" t="s">
        <v>2</v>
      </c>
      <c r="H2251" s="34" t="s">
        <v>925</v>
      </c>
    </row>
    <row r="2252" spans="1:8" ht="33">
      <c r="A2252" s="160"/>
      <c r="B2252" s="160" t="s">
        <v>933</v>
      </c>
      <c r="C2252" s="157" t="s">
        <v>17</v>
      </c>
      <c r="D2252" s="159">
        <v>10</v>
      </c>
      <c r="E2252" s="159"/>
      <c r="F2252" s="159">
        <v>1095.98</v>
      </c>
      <c r="G2252" s="160"/>
      <c r="H2252" s="34" t="s">
        <v>925</v>
      </c>
    </row>
    <row r="2253" spans="1:8" ht="33">
      <c r="A2253" s="160"/>
      <c r="B2253" s="160" t="s">
        <v>934</v>
      </c>
      <c r="C2253" s="157" t="s">
        <v>17</v>
      </c>
      <c r="D2253" s="159"/>
      <c r="E2253" s="159"/>
      <c r="F2253" s="159">
        <v>109.6</v>
      </c>
      <c r="G2253" s="160"/>
      <c r="H2253" s="34" t="s">
        <v>925</v>
      </c>
    </row>
    <row r="2254" spans="1:8" ht="33">
      <c r="A2254" s="160"/>
      <c r="B2254" s="160"/>
      <c r="C2254" s="157"/>
      <c r="D2254" s="159"/>
      <c r="E2254" s="159"/>
      <c r="F2254" s="159"/>
      <c r="G2254" s="160"/>
      <c r="H2254" s="34" t="s">
        <v>925</v>
      </c>
    </row>
    <row r="2255" spans="1:8" ht="33">
      <c r="A2255" s="160" t="s">
        <v>2409</v>
      </c>
      <c r="B2255" s="160" t="s">
        <v>4697</v>
      </c>
      <c r="C2255" s="157" t="s">
        <v>17</v>
      </c>
      <c r="D2255" s="159">
        <v>10</v>
      </c>
      <c r="E2255" s="159">
        <v>165.32</v>
      </c>
      <c r="F2255" s="159"/>
      <c r="G2255" s="160" t="s">
        <v>2</v>
      </c>
      <c r="H2255" s="34" t="s">
        <v>925</v>
      </c>
    </row>
    <row r="2256" spans="1:8" ht="16.5">
      <c r="A2256" s="160">
        <v>1</v>
      </c>
      <c r="B2256" s="160" t="s">
        <v>2171</v>
      </c>
      <c r="C2256" s="157" t="s">
        <v>14</v>
      </c>
      <c r="D2256" s="159">
        <v>1</v>
      </c>
      <c r="E2256" s="159">
        <v>231.4</v>
      </c>
      <c r="F2256" s="159">
        <v>231.4</v>
      </c>
      <c r="G2256" s="160" t="s">
        <v>2</v>
      </c>
    </row>
    <row r="2257" spans="1:8" ht="33">
      <c r="A2257" s="160">
        <v>2</v>
      </c>
      <c r="B2257" s="160" t="s">
        <v>2175</v>
      </c>
      <c r="C2257" s="157" t="s">
        <v>14</v>
      </c>
      <c r="D2257" s="159">
        <v>1</v>
      </c>
      <c r="E2257" s="159">
        <v>92.56</v>
      </c>
      <c r="F2257" s="159">
        <v>92.56</v>
      </c>
      <c r="G2257" s="160" t="s">
        <v>2</v>
      </c>
      <c r="H2257" s="34" t="s">
        <v>925</v>
      </c>
    </row>
    <row r="2258" spans="1:8" ht="33">
      <c r="A2258" s="160">
        <v>3</v>
      </c>
      <c r="B2258" s="160" t="s">
        <v>2177</v>
      </c>
      <c r="C2258" s="157" t="s">
        <v>14</v>
      </c>
      <c r="D2258" s="159">
        <v>1</v>
      </c>
      <c r="E2258" s="159">
        <v>323.95999999999998</v>
      </c>
      <c r="F2258" s="159">
        <v>323.95999999999998</v>
      </c>
      <c r="G2258" s="160" t="s">
        <v>2</v>
      </c>
      <c r="H2258" s="34" t="s">
        <v>925</v>
      </c>
    </row>
    <row r="2259" spans="1:8" ht="33">
      <c r="A2259" s="160">
        <v>4</v>
      </c>
      <c r="B2259" s="160" t="s">
        <v>4874</v>
      </c>
      <c r="C2259" s="157" t="s">
        <v>927</v>
      </c>
      <c r="D2259" s="159">
        <v>1.84</v>
      </c>
      <c r="E2259" s="159">
        <v>520.19000000000005</v>
      </c>
      <c r="F2259" s="159">
        <v>957.15</v>
      </c>
      <c r="G2259" s="160" t="s">
        <v>5436</v>
      </c>
      <c r="H2259" s="34" t="s">
        <v>925</v>
      </c>
    </row>
    <row r="2260" spans="1:8" ht="33">
      <c r="A2260" s="160">
        <v>5</v>
      </c>
      <c r="B2260" s="160" t="s">
        <v>931</v>
      </c>
      <c r="C2260" s="157" t="s">
        <v>14</v>
      </c>
      <c r="D2260" s="159">
        <v>1</v>
      </c>
      <c r="E2260" s="159">
        <v>48.15</v>
      </c>
      <c r="F2260" s="159">
        <v>48.15</v>
      </c>
      <c r="G2260" s="160" t="s">
        <v>2</v>
      </c>
      <c r="H2260" s="34" t="s">
        <v>925</v>
      </c>
    </row>
    <row r="2261" spans="1:8" ht="33">
      <c r="A2261" s="160"/>
      <c r="B2261" s="160" t="s">
        <v>933</v>
      </c>
      <c r="C2261" s="157" t="s">
        <v>17</v>
      </c>
      <c r="D2261" s="159">
        <v>10</v>
      </c>
      <c r="E2261" s="159"/>
      <c r="F2261" s="159">
        <v>1653.2200000000003</v>
      </c>
      <c r="G2261" s="160"/>
      <c r="H2261" s="34" t="s">
        <v>925</v>
      </c>
    </row>
    <row r="2262" spans="1:8" ht="16.5">
      <c r="A2262" s="160"/>
      <c r="B2262" s="160" t="s">
        <v>934</v>
      </c>
      <c r="C2262" s="157" t="s">
        <v>17</v>
      </c>
      <c r="D2262" s="159"/>
      <c r="E2262" s="159"/>
      <c r="F2262" s="159">
        <v>165.32</v>
      </c>
      <c r="G2262" s="160"/>
    </row>
    <row r="2263" spans="1:8" ht="33">
      <c r="A2263" s="160"/>
      <c r="B2263" s="160"/>
      <c r="C2263" s="157"/>
      <c r="D2263" s="159"/>
      <c r="E2263" s="159"/>
      <c r="F2263" s="159"/>
      <c r="G2263" s="160"/>
      <c r="H2263" s="34" t="s">
        <v>925</v>
      </c>
    </row>
    <row r="2264" spans="1:8" ht="33">
      <c r="A2264" s="160" t="s">
        <v>2413</v>
      </c>
      <c r="B2264" s="160" t="s">
        <v>2180</v>
      </c>
      <c r="C2264" s="157" t="s">
        <v>3</v>
      </c>
      <c r="D2264" s="159">
        <v>1</v>
      </c>
      <c r="E2264" s="159">
        <v>1173.79</v>
      </c>
      <c r="F2264" s="159"/>
      <c r="G2264" s="160" t="s">
        <v>2</v>
      </c>
      <c r="H2264" s="34" t="s">
        <v>925</v>
      </c>
    </row>
    <row r="2265" spans="1:8" ht="33">
      <c r="A2265" s="160">
        <v>1</v>
      </c>
      <c r="B2265" s="160" t="s">
        <v>2182</v>
      </c>
      <c r="C2265" s="157" t="s">
        <v>3</v>
      </c>
      <c r="D2265" s="159">
        <v>1</v>
      </c>
      <c r="E2265" s="159">
        <v>309.14999999999998</v>
      </c>
      <c r="F2265" s="159">
        <v>309.14999999999998</v>
      </c>
      <c r="G2265" s="160" t="s">
        <v>2</v>
      </c>
      <c r="H2265" s="34" t="s">
        <v>925</v>
      </c>
    </row>
    <row r="2266" spans="1:8" ht="33">
      <c r="A2266" s="160">
        <v>2</v>
      </c>
      <c r="B2266" s="160" t="s">
        <v>1294</v>
      </c>
      <c r="C2266" s="157" t="s">
        <v>1295</v>
      </c>
      <c r="D2266" s="159">
        <v>0.12</v>
      </c>
      <c r="E2266" s="159">
        <v>154.58000000000001</v>
      </c>
      <c r="F2266" s="159">
        <v>18.55</v>
      </c>
      <c r="G2266" s="160" t="s">
        <v>2</v>
      </c>
      <c r="H2266" s="34" t="s">
        <v>925</v>
      </c>
    </row>
    <row r="2267" spans="1:8" ht="33">
      <c r="A2267" s="160">
        <v>3</v>
      </c>
      <c r="B2267" s="160" t="s">
        <v>2184</v>
      </c>
      <c r="C2267" s="157" t="s">
        <v>18</v>
      </c>
      <c r="D2267" s="159">
        <v>12</v>
      </c>
      <c r="E2267" s="159">
        <v>13.88</v>
      </c>
      <c r="F2267" s="159">
        <v>166.56</v>
      </c>
      <c r="G2267" s="160" t="s">
        <v>2</v>
      </c>
      <c r="H2267" s="34" t="s">
        <v>925</v>
      </c>
    </row>
    <row r="2268" spans="1:8" ht="33">
      <c r="A2268" s="160">
        <v>4</v>
      </c>
      <c r="B2268" s="160" t="s">
        <v>2186</v>
      </c>
      <c r="C2268" s="157" t="s">
        <v>18</v>
      </c>
      <c r="D2268" s="159">
        <v>3</v>
      </c>
      <c r="E2268" s="159">
        <v>11.11</v>
      </c>
      <c r="F2268" s="159">
        <v>33.33</v>
      </c>
      <c r="G2268" s="160" t="s">
        <v>2</v>
      </c>
      <c r="H2268" s="34" t="s">
        <v>925</v>
      </c>
    </row>
    <row r="2269" spans="1:8" ht="33">
      <c r="A2269" s="160">
        <v>5</v>
      </c>
      <c r="B2269" s="160" t="s">
        <v>2188</v>
      </c>
      <c r="C2269" s="157" t="s">
        <v>14</v>
      </c>
      <c r="D2269" s="159">
        <v>1</v>
      </c>
      <c r="E2269" s="159">
        <v>9.26</v>
      </c>
      <c r="F2269" s="159">
        <v>9.26</v>
      </c>
      <c r="G2269" s="160" t="s">
        <v>2</v>
      </c>
      <c r="H2269" s="34" t="s">
        <v>925</v>
      </c>
    </row>
    <row r="2270" spans="1:8" ht="33">
      <c r="A2270" s="160">
        <v>6</v>
      </c>
      <c r="B2270" s="160" t="s">
        <v>1210</v>
      </c>
      <c r="C2270" s="157" t="s">
        <v>927</v>
      </c>
      <c r="D2270" s="159">
        <v>1.04</v>
      </c>
      <c r="E2270" s="159">
        <v>379.5</v>
      </c>
      <c r="F2270" s="159">
        <v>394.68</v>
      </c>
      <c r="G2270" s="160" t="s">
        <v>2</v>
      </c>
      <c r="H2270" s="34" t="s">
        <v>925</v>
      </c>
    </row>
    <row r="2271" spans="1:8" ht="16.5">
      <c r="A2271" s="160">
        <v>7</v>
      </c>
      <c r="B2271" s="160" t="s">
        <v>1644</v>
      </c>
      <c r="C2271" s="157" t="s">
        <v>927</v>
      </c>
      <c r="D2271" s="159">
        <v>0.8</v>
      </c>
      <c r="E2271" s="159">
        <v>260.08999999999997</v>
      </c>
      <c r="F2271" s="159">
        <v>208.07</v>
      </c>
      <c r="G2271" s="160" t="s">
        <v>2</v>
      </c>
    </row>
    <row r="2272" spans="1:8" ht="33">
      <c r="A2272" s="160">
        <v>8</v>
      </c>
      <c r="B2272" s="160" t="s">
        <v>955</v>
      </c>
      <c r="C2272" s="157" t="s">
        <v>14</v>
      </c>
      <c r="D2272" s="159">
        <v>1</v>
      </c>
      <c r="E2272" s="159">
        <v>34.19</v>
      </c>
      <c r="F2272" s="159">
        <v>34.19</v>
      </c>
      <c r="G2272" s="160" t="s">
        <v>2</v>
      </c>
      <c r="H2272" s="34" t="s">
        <v>925</v>
      </c>
    </row>
    <row r="2273" spans="1:8" ht="33">
      <c r="A2273" s="160"/>
      <c r="B2273" s="160" t="s">
        <v>933</v>
      </c>
      <c r="C2273" s="157" t="s">
        <v>3</v>
      </c>
      <c r="D2273" s="159">
        <v>1</v>
      </c>
      <c r="E2273" s="159"/>
      <c r="F2273" s="159">
        <v>1173.79</v>
      </c>
      <c r="G2273" s="160"/>
      <c r="H2273" s="34" t="s">
        <v>925</v>
      </c>
    </row>
    <row r="2274" spans="1:8" ht="33">
      <c r="A2274" s="160"/>
      <c r="B2274" s="160" t="s">
        <v>934</v>
      </c>
      <c r="C2274" s="157" t="s">
        <v>3</v>
      </c>
      <c r="D2274" s="159"/>
      <c r="E2274" s="159"/>
      <c r="F2274" s="159">
        <v>1173.79</v>
      </c>
      <c r="G2274" s="160"/>
      <c r="H2274" s="34" t="s">
        <v>925</v>
      </c>
    </row>
    <row r="2275" spans="1:8" ht="33">
      <c r="A2275" s="160"/>
      <c r="B2275" s="160"/>
      <c r="C2275" s="157"/>
      <c r="D2275" s="159"/>
      <c r="E2275" s="159"/>
      <c r="F2275" s="159"/>
      <c r="G2275" s="160"/>
      <c r="H2275" s="34" t="s">
        <v>925</v>
      </c>
    </row>
    <row r="2276" spans="1:8" ht="33">
      <c r="A2276" s="160" t="s">
        <v>2415</v>
      </c>
      <c r="B2276" s="160" t="s">
        <v>2191</v>
      </c>
      <c r="C2276" s="157" t="s">
        <v>3</v>
      </c>
      <c r="D2276" s="159">
        <v>1</v>
      </c>
      <c r="E2276" s="159">
        <v>1692.05</v>
      </c>
      <c r="F2276" s="159"/>
      <c r="G2276" s="160" t="s">
        <v>2</v>
      </c>
      <c r="H2276" s="34" t="s">
        <v>925</v>
      </c>
    </row>
    <row r="2277" spans="1:8" ht="33">
      <c r="A2277" s="160">
        <v>1</v>
      </c>
      <c r="B2277" s="160" t="s">
        <v>2182</v>
      </c>
      <c r="C2277" s="157" t="s">
        <v>3</v>
      </c>
      <c r="D2277" s="159">
        <v>1</v>
      </c>
      <c r="E2277" s="159">
        <v>309.14999999999998</v>
      </c>
      <c r="F2277" s="159">
        <v>309.14999999999998</v>
      </c>
      <c r="G2277" s="160" t="s">
        <v>2</v>
      </c>
      <c r="H2277" s="34" t="s">
        <v>925</v>
      </c>
    </row>
    <row r="2278" spans="1:8" ht="33">
      <c r="A2278" s="160">
        <v>2</v>
      </c>
      <c r="B2278" s="160" t="s">
        <v>1294</v>
      </c>
      <c r="C2278" s="157" t="s">
        <v>1295</v>
      </c>
      <c r="D2278" s="159">
        <v>0.12</v>
      </c>
      <c r="E2278" s="159">
        <v>154.58000000000001</v>
      </c>
      <c r="F2278" s="159">
        <v>18.55</v>
      </c>
      <c r="G2278" s="160" t="s">
        <v>2</v>
      </c>
      <c r="H2278" s="34" t="s">
        <v>925</v>
      </c>
    </row>
    <row r="2279" spans="1:8" ht="33">
      <c r="A2279" s="160">
        <v>3</v>
      </c>
      <c r="B2279" s="160" t="s">
        <v>2184</v>
      </c>
      <c r="C2279" s="157" t="s">
        <v>18</v>
      </c>
      <c r="D2279" s="159">
        <v>12</v>
      </c>
      <c r="E2279" s="159">
        <v>13.88</v>
      </c>
      <c r="F2279" s="159">
        <v>166.56</v>
      </c>
      <c r="G2279" s="160" t="s">
        <v>2</v>
      </c>
      <c r="H2279" s="34" t="s">
        <v>925</v>
      </c>
    </row>
    <row r="2280" spans="1:8" ht="33">
      <c r="A2280" s="160">
        <v>4</v>
      </c>
      <c r="B2280" s="160" t="s">
        <v>2186</v>
      </c>
      <c r="C2280" s="157" t="s">
        <v>18</v>
      </c>
      <c r="D2280" s="159">
        <v>3</v>
      </c>
      <c r="E2280" s="159">
        <v>11.11</v>
      </c>
      <c r="F2280" s="159">
        <v>33.33</v>
      </c>
      <c r="G2280" s="160" t="s">
        <v>2</v>
      </c>
      <c r="H2280" s="34" t="s">
        <v>925</v>
      </c>
    </row>
    <row r="2281" spans="1:8" ht="33">
      <c r="A2281" s="160">
        <v>5</v>
      </c>
      <c r="B2281" s="160" t="s">
        <v>2188</v>
      </c>
      <c r="C2281" s="157" t="s">
        <v>14</v>
      </c>
      <c r="D2281" s="159">
        <v>1</v>
      </c>
      <c r="E2281" s="159">
        <v>9.26</v>
      </c>
      <c r="F2281" s="159">
        <v>9.26</v>
      </c>
      <c r="G2281" s="160" t="s">
        <v>2</v>
      </c>
      <c r="H2281" s="34" t="s">
        <v>925</v>
      </c>
    </row>
    <row r="2282" spans="1:8" ht="16.5">
      <c r="A2282" s="160">
        <v>6</v>
      </c>
      <c r="B2282" s="160" t="s">
        <v>1210</v>
      </c>
      <c r="C2282" s="157" t="s">
        <v>927</v>
      </c>
      <c r="D2282" s="159">
        <v>0.24</v>
      </c>
      <c r="E2282" s="159">
        <v>379.5</v>
      </c>
      <c r="F2282" s="159">
        <v>91.08</v>
      </c>
      <c r="G2282" s="160" t="s">
        <v>2</v>
      </c>
    </row>
    <row r="2283" spans="1:8" ht="33">
      <c r="A2283" s="160">
        <v>7</v>
      </c>
      <c r="B2283" s="160" t="s">
        <v>2193</v>
      </c>
      <c r="C2283" s="157" t="s">
        <v>927</v>
      </c>
      <c r="D2283" s="159">
        <v>2.4</v>
      </c>
      <c r="E2283" s="159">
        <v>379.5</v>
      </c>
      <c r="F2283" s="159">
        <v>910.8</v>
      </c>
      <c r="G2283" s="160" t="s">
        <v>2</v>
      </c>
      <c r="H2283" s="34" t="s">
        <v>925</v>
      </c>
    </row>
    <row r="2284" spans="1:8" ht="33">
      <c r="A2284" s="160">
        <v>8</v>
      </c>
      <c r="B2284" s="160" t="s">
        <v>1644</v>
      </c>
      <c r="C2284" s="157" t="s">
        <v>927</v>
      </c>
      <c r="D2284" s="159">
        <v>0.4</v>
      </c>
      <c r="E2284" s="159">
        <v>260.08999999999997</v>
      </c>
      <c r="F2284" s="159">
        <v>104.04</v>
      </c>
      <c r="G2284" s="160" t="s">
        <v>2</v>
      </c>
      <c r="H2284" s="34" t="s">
        <v>925</v>
      </c>
    </row>
    <row r="2285" spans="1:8" ht="33">
      <c r="A2285" s="160">
        <v>9</v>
      </c>
      <c r="B2285" s="160" t="s">
        <v>955</v>
      </c>
      <c r="C2285" s="157" t="s">
        <v>14</v>
      </c>
      <c r="D2285" s="159">
        <v>1</v>
      </c>
      <c r="E2285" s="159">
        <v>49.28</v>
      </c>
      <c r="F2285" s="159">
        <v>49.28</v>
      </c>
      <c r="G2285" s="160" t="s">
        <v>2</v>
      </c>
      <c r="H2285" s="34" t="s">
        <v>925</v>
      </c>
    </row>
    <row r="2286" spans="1:8" ht="33">
      <c r="A2286" s="160"/>
      <c r="B2286" s="160" t="s">
        <v>933</v>
      </c>
      <c r="C2286" s="157" t="s">
        <v>3</v>
      </c>
      <c r="D2286" s="159">
        <v>1</v>
      </c>
      <c r="E2286" s="159"/>
      <c r="F2286" s="159">
        <v>1692.05</v>
      </c>
      <c r="G2286" s="160"/>
      <c r="H2286" s="34" t="s">
        <v>925</v>
      </c>
    </row>
    <row r="2287" spans="1:8" ht="33">
      <c r="A2287" s="160"/>
      <c r="B2287" s="160" t="s">
        <v>934</v>
      </c>
      <c r="C2287" s="157" t="s">
        <v>3</v>
      </c>
      <c r="D2287" s="159"/>
      <c r="E2287" s="159"/>
      <c r="F2287" s="159">
        <v>1692.05</v>
      </c>
      <c r="G2287" s="160"/>
      <c r="H2287" s="34" t="s">
        <v>925</v>
      </c>
    </row>
    <row r="2288" spans="1:8" ht="33">
      <c r="A2288" s="160"/>
      <c r="B2288" s="160"/>
      <c r="C2288" s="157"/>
      <c r="D2288" s="159"/>
      <c r="E2288" s="159"/>
      <c r="F2288" s="159"/>
      <c r="G2288" s="160"/>
      <c r="H2288" s="34" t="s">
        <v>925</v>
      </c>
    </row>
    <row r="2289" spans="1:8" ht="33">
      <c r="A2289" s="160" t="s">
        <v>2417</v>
      </c>
      <c r="B2289" s="160" t="s">
        <v>2195</v>
      </c>
      <c r="C2289" s="157" t="s">
        <v>3</v>
      </c>
      <c r="D2289" s="159">
        <v>1</v>
      </c>
      <c r="E2289" s="159">
        <v>1391.92</v>
      </c>
      <c r="F2289" s="159"/>
      <c r="G2289" s="160" t="s">
        <v>2</v>
      </c>
      <c r="H2289" s="34" t="s">
        <v>925</v>
      </c>
    </row>
    <row r="2290" spans="1:8" ht="33">
      <c r="A2290" s="160">
        <v>1</v>
      </c>
      <c r="B2290" s="160" t="s">
        <v>2182</v>
      </c>
      <c r="C2290" s="157" t="s">
        <v>3</v>
      </c>
      <c r="D2290" s="159">
        <v>1</v>
      </c>
      <c r="E2290" s="159">
        <v>309.14999999999998</v>
      </c>
      <c r="F2290" s="159">
        <v>309.14999999999998</v>
      </c>
      <c r="G2290" s="160" t="s">
        <v>2</v>
      </c>
      <c r="H2290" s="34" t="s">
        <v>925</v>
      </c>
    </row>
    <row r="2291" spans="1:8" ht="33">
      <c r="A2291" s="160">
        <v>2</v>
      </c>
      <c r="B2291" s="160" t="s">
        <v>1294</v>
      </c>
      <c r="C2291" s="157" t="s">
        <v>1295</v>
      </c>
      <c r="D2291" s="159">
        <v>0.12</v>
      </c>
      <c r="E2291" s="159">
        <v>154.58000000000001</v>
      </c>
      <c r="F2291" s="159">
        <v>18.55</v>
      </c>
      <c r="G2291" s="160" t="s">
        <v>2</v>
      </c>
      <c r="H2291" s="34" t="s">
        <v>925</v>
      </c>
    </row>
    <row r="2292" spans="1:8" ht="16.5">
      <c r="A2292" s="160">
        <v>3</v>
      </c>
      <c r="B2292" s="160" t="s">
        <v>2184</v>
      </c>
      <c r="C2292" s="157" t="s">
        <v>18</v>
      </c>
      <c r="D2292" s="159">
        <v>12</v>
      </c>
      <c r="E2292" s="159">
        <v>13.88</v>
      </c>
      <c r="F2292" s="159">
        <v>166.56</v>
      </c>
      <c r="G2292" s="160" t="s">
        <v>2</v>
      </c>
    </row>
    <row r="2293" spans="1:8" ht="33">
      <c r="A2293" s="160">
        <v>4</v>
      </c>
      <c r="B2293" s="160" t="s">
        <v>2186</v>
      </c>
      <c r="C2293" s="157" t="s">
        <v>18</v>
      </c>
      <c r="D2293" s="159">
        <v>3</v>
      </c>
      <c r="E2293" s="159">
        <v>11.11</v>
      </c>
      <c r="F2293" s="159">
        <v>33.33</v>
      </c>
      <c r="G2293" s="160" t="s">
        <v>2</v>
      </c>
      <c r="H2293" s="34" t="s">
        <v>925</v>
      </c>
    </row>
    <row r="2294" spans="1:8" ht="33">
      <c r="A2294" s="160">
        <v>5</v>
      </c>
      <c r="B2294" s="160" t="s">
        <v>2197</v>
      </c>
      <c r="C2294" s="157" t="s">
        <v>14</v>
      </c>
      <c r="D2294" s="159">
        <v>1</v>
      </c>
      <c r="E2294" s="159">
        <v>4.63</v>
      </c>
      <c r="F2294" s="159">
        <v>4.63</v>
      </c>
      <c r="G2294" s="160" t="s">
        <v>2</v>
      </c>
      <c r="H2294" s="34" t="s">
        <v>925</v>
      </c>
    </row>
    <row r="2295" spans="1:8" ht="33">
      <c r="A2295" s="160">
        <v>6</v>
      </c>
      <c r="B2295" s="160" t="s">
        <v>1644</v>
      </c>
      <c r="C2295" s="157" t="s">
        <v>927</v>
      </c>
      <c r="D2295" s="159">
        <v>1</v>
      </c>
      <c r="E2295" s="159">
        <v>260.08999999999997</v>
      </c>
      <c r="F2295" s="159">
        <v>260.08999999999997</v>
      </c>
      <c r="G2295" s="160" t="s">
        <v>2</v>
      </c>
      <c r="H2295" s="34" t="s">
        <v>925</v>
      </c>
    </row>
    <row r="2296" spans="1:8" ht="33">
      <c r="A2296" s="160">
        <v>7</v>
      </c>
      <c r="B2296" s="160" t="s">
        <v>2199</v>
      </c>
      <c r="C2296" s="157" t="s">
        <v>927</v>
      </c>
      <c r="D2296" s="159">
        <v>1.4</v>
      </c>
      <c r="E2296" s="159">
        <v>379.5</v>
      </c>
      <c r="F2296" s="159">
        <v>531.29999999999995</v>
      </c>
      <c r="G2296" s="160" t="s">
        <v>2</v>
      </c>
      <c r="H2296" s="34" t="s">
        <v>925</v>
      </c>
    </row>
    <row r="2297" spans="1:8" ht="33">
      <c r="A2297" s="160">
        <v>8</v>
      </c>
      <c r="B2297" s="160" t="s">
        <v>2201</v>
      </c>
      <c r="C2297" s="157" t="s">
        <v>3</v>
      </c>
      <c r="D2297" s="159">
        <v>1</v>
      </c>
      <c r="E2297" s="159">
        <v>27.77</v>
      </c>
      <c r="F2297" s="159">
        <v>27.77</v>
      </c>
      <c r="G2297" s="160" t="s">
        <v>2</v>
      </c>
      <c r="H2297" s="34" t="s">
        <v>925</v>
      </c>
    </row>
    <row r="2298" spans="1:8" ht="33">
      <c r="A2298" s="160">
        <v>9</v>
      </c>
      <c r="B2298" s="160" t="s">
        <v>955</v>
      </c>
      <c r="C2298" s="157" t="s">
        <v>14</v>
      </c>
      <c r="D2298" s="159">
        <v>1</v>
      </c>
      <c r="E2298" s="159">
        <v>40.54</v>
      </c>
      <c r="F2298" s="159">
        <v>40.54</v>
      </c>
      <c r="G2298" s="160" t="s">
        <v>2</v>
      </c>
      <c r="H2298" s="34" t="s">
        <v>925</v>
      </c>
    </row>
    <row r="2299" spans="1:8" ht="33">
      <c r="A2299" s="160"/>
      <c r="B2299" s="160" t="s">
        <v>933</v>
      </c>
      <c r="C2299" s="157" t="s">
        <v>3</v>
      </c>
      <c r="D2299" s="159">
        <v>1</v>
      </c>
      <c r="E2299" s="159"/>
      <c r="F2299" s="159">
        <v>1391.9199999999998</v>
      </c>
      <c r="G2299" s="160"/>
      <c r="H2299" s="34" t="s">
        <v>925</v>
      </c>
    </row>
    <row r="2300" spans="1:8" ht="33">
      <c r="A2300" s="160"/>
      <c r="B2300" s="160" t="s">
        <v>934</v>
      </c>
      <c r="C2300" s="157" t="s">
        <v>3</v>
      </c>
      <c r="D2300" s="159"/>
      <c r="E2300" s="159"/>
      <c r="F2300" s="159">
        <v>1391.92</v>
      </c>
      <c r="G2300" s="160"/>
      <c r="H2300" s="34" t="s">
        <v>925</v>
      </c>
    </row>
    <row r="2301" spans="1:8" ht="33">
      <c r="A2301" s="160"/>
      <c r="B2301" s="160"/>
      <c r="C2301" s="157"/>
      <c r="D2301" s="159"/>
      <c r="E2301" s="159"/>
      <c r="F2301" s="159"/>
      <c r="G2301" s="160"/>
      <c r="H2301" s="34" t="s">
        <v>925</v>
      </c>
    </row>
    <row r="2302" spans="1:8" ht="28.5">
      <c r="A2302" s="160" t="s">
        <v>2421</v>
      </c>
      <c r="B2302" s="160" t="s">
        <v>2204</v>
      </c>
      <c r="C2302" s="157" t="s">
        <v>1818</v>
      </c>
      <c r="D2302" s="159">
        <v>1</v>
      </c>
      <c r="E2302" s="159">
        <v>2546.37</v>
      </c>
      <c r="F2302" s="159"/>
      <c r="G2302" s="160" t="s">
        <v>2</v>
      </c>
    </row>
    <row r="2303" spans="1:8" ht="33">
      <c r="A2303" s="160">
        <v>1</v>
      </c>
      <c r="B2303" s="160" t="s">
        <v>1250</v>
      </c>
      <c r="C2303" s="157" t="s">
        <v>17</v>
      </c>
      <c r="D2303" s="159">
        <v>4.4000000000000004</v>
      </c>
      <c r="E2303" s="159">
        <v>71.48</v>
      </c>
      <c r="F2303" s="159">
        <v>314.51</v>
      </c>
      <c r="G2303" s="160" t="s">
        <v>1325</v>
      </c>
      <c r="H2303" s="34" t="s">
        <v>925</v>
      </c>
    </row>
    <row r="2304" spans="1:8" ht="33">
      <c r="A2304" s="160">
        <v>2</v>
      </c>
      <c r="B2304" s="160" t="s">
        <v>985</v>
      </c>
      <c r="C2304" s="157" t="s">
        <v>1</v>
      </c>
      <c r="D2304" s="159">
        <v>0.19</v>
      </c>
      <c r="E2304" s="159">
        <v>600.08000000000004</v>
      </c>
      <c r="F2304" s="159">
        <v>114.02</v>
      </c>
      <c r="G2304" s="160" t="s">
        <v>980</v>
      </c>
      <c r="H2304" s="34" t="s">
        <v>925</v>
      </c>
    </row>
    <row r="2305" spans="1:8" ht="33">
      <c r="A2305" s="160">
        <v>3</v>
      </c>
      <c r="B2305" s="160" t="s">
        <v>26</v>
      </c>
      <c r="C2305" s="157" t="s">
        <v>1</v>
      </c>
      <c r="D2305" s="159">
        <v>0.19</v>
      </c>
      <c r="E2305" s="159">
        <v>663.18</v>
      </c>
      <c r="F2305" s="159">
        <v>126</v>
      </c>
      <c r="G2305" s="160" t="s">
        <v>1117</v>
      </c>
      <c r="H2305" s="34" t="s">
        <v>925</v>
      </c>
    </row>
    <row r="2306" spans="1:8" ht="33">
      <c r="A2306" s="160">
        <v>4</v>
      </c>
      <c r="B2306" s="160" t="s">
        <v>1317</v>
      </c>
      <c r="C2306" s="157" t="s">
        <v>0</v>
      </c>
      <c r="D2306" s="159">
        <v>0.19</v>
      </c>
      <c r="E2306" s="159">
        <v>3683.89</v>
      </c>
      <c r="F2306" s="159">
        <v>699.94</v>
      </c>
      <c r="G2306" s="160" t="s">
        <v>2</v>
      </c>
      <c r="H2306" s="34" t="s">
        <v>925</v>
      </c>
    </row>
    <row r="2307" spans="1:8" ht="33">
      <c r="A2307" s="160">
        <v>5</v>
      </c>
      <c r="B2307" s="160" t="s">
        <v>2207</v>
      </c>
      <c r="C2307" s="157" t="s">
        <v>1689</v>
      </c>
      <c r="D2307" s="159">
        <v>1</v>
      </c>
      <c r="E2307" s="159">
        <v>416.52</v>
      </c>
      <c r="F2307" s="159">
        <v>416.52</v>
      </c>
      <c r="G2307" s="160" t="s">
        <v>2</v>
      </c>
      <c r="H2307" s="34" t="s">
        <v>925</v>
      </c>
    </row>
    <row r="2308" spans="1:8" ht="33">
      <c r="A2308" s="160">
        <v>6</v>
      </c>
      <c r="B2308" s="160" t="s">
        <v>2209</v>
      </c>
      <c r="C2308" s="157" t="s">
        <v>14</v>
      </c>
      <c r="D2308" s="159">
        <v>1</v>
      </c>
      <c r="E2308" s="159">
        <v>92.56</v>
      </c>
      <c r="F2308" s="159">
        <v>92.56</v>
      </c>
      <c r="G2308" s="160" t="s">
        <v>2</v>
      </c>
      <c r="H2308" s="34" t="s">
        <v>925</v>
      </c>
    </row>
    <row r="2309" spans="1:8" ht="42.75">
      <c r="A2309" s="160">
        <v>7</v>
      </c>
      <c r="B2309" s="160" t="s">
        <v>513</v>
      </c>
      <c r="C2309" s="157" t="s">
        <v>18</v>
      </c>
      <c r="D2309" s="159">
        <v>23.82</v>
      </c>
      <c r="E2309" s="159">
        <v>29.75</v>
      </c>
      <c r="F2309" s="159">
        <v>708.65</v>
      </c>
      <c r="G2309" s="160" t="s">
        <v>5451</v>
      </c>
      <c r="H2309" s="34" t="s">
        <v>925</v>
      </c>
    </row>
    <row r="2310" spans="1:8" ht="16.5">
      <c r="A2310" s="160">
        <v>8</v>
      </c>
      <c r="B2310" s="160" t="s">
        <v>931</v>
      </c>
      <c r="C2310" s="157" t="s">
        <v>14</v>
      </c>
      <c r="D2310" s="159">
        <v>1</v>
      </c>
      <c r="E2310" s="159">
        <v>74.17</v>
      </c>
      <c r="F2310" s="159">
        <v>74.17</v>
      </c>
      <c r="G2310" s="160" t="s">
        <v>2</v>
      </c>
    </row>
    <row r="2311" spans="1:8" ht="33">
      <c r="A2311" s="160"/>
      <c r="B2311" s="160" t="s">
        <v>933</v>
      </c>
      <c r="C2311" s="157" t="s">
        <v>1818</v>
      </c>
      <c r="D2311" s="159">
        <v>1</v>
      </c>
      <c r="E2311" s="159"/>
      <c r="F2311" s="159">
        <v>2546.37</v>
      </c>
      <c r="G2311" s="160"/>
      <c r="H2311" s="34" t="s">
        <v>925</v>
      </c>
    </row>
    <row r="2312" spans="1:8" ht="33">
      <c r="A2312" s="160"/>
      <c r="B2312" s="160" t="s">
        <v>934</v>
      </c>
      <c r="C2312" s="157" t="s">
        <v>1818</v>
      </c>
      <c r="D2312" s="159"/>
      <c r="E2312" s="159"/>
      <c r="F2312" s="159">
        <v>2546.37</v>
      </c>
      <c r="G2312" s="160"/>
      <c r="H2312" s="34" t="s">
        <v>925</v>
      </c>
    </row>
    <row r="2313" spans="1:8" ht="33">
      <c r="A2313" s="160"/>
      <c r="B2313" s="160"/>
      <c r="C2313" s="157"/>
      <c r="D2313" s="159"/>
      <c r="E2313" s="159"/>
      <c r="F2313" s="159"/>
      <c r="G2313" s="160"/>
      <c r="H2313" s="34" t="s">
        <v>925</v>
      </c>
    </row>
    <row r="2314" spans="1:8" ht="33">
      <c r="A2314" s="160" t="s">
        <v>2426</v>
      </c>
      <c r="B2314" s="160" t="s">
        <v>2212</v>
      </c>
      <c r="C2314" s="157" t="s">
        <v>1818</v>
      </c>
      <c r="D2314" s="159">
        <v>1</v>
      </c>
      <c r="E2314" s="159">
        <v>2723.22</v>
      </c>
      <c r="F2314" s="159"/>
      <c r="G2314" s="160" t="s">
        <v>2</v>
      </c>
      <c r="H2314" s="34" t="s">
        <v>925</v>
      </c>
    </row>
    <row r="2315" spans="1:8" ht="33">
      <c r="A2315" s="160">
        <v>1</v>
      </c>
      <c r="B2315" s="160" t="s">
        <v>1250</v>
      </c>
      <c r="C2315" s="157" t="s">
        <v>17</v>
      </c>
      <c r="D2315" s="159">
        <v>4.4000000000000004</v>
      </c>
      <c r="E2315" s="159">
        <v>71.48</v>
      </c>
      <c r="F2315" s="159">
        <v>314.51</v>
      </c>
      <c r="G2315" s="160" t="s">
        <v>1325</v>
      </c>
      <c r="H2315" s="34" t="s">
        <v>925</v>
      </c>
    </row>
    <row r="2316" spans="1:8" ht="33">
      <c r="A2316" s="160">
        <v>2</v>
      </c>
      <c r="B2316" s="160" t="s">
        <v>2214</v>
      </c>
      <c r="C2316" s="157" t="s">
        <v>1</v>
      </c>
      <c r="D2316" s="159">
        <v>0.19</v>
      </c>
      <c r="E2316" s="159">
        <v>1382.35</v>
      </c>
      <c r="F2316" s="159">
        <v>262.64999999999998</v>
      </c>
      <c r="G2316" s="160" t="s">
        <v>982</v>
      </c>
      <c r="H2316" s="34" t="s">
        <v>925</v>
      </c>
    </row>
    <row r="2317" spans="1:8" ht="33">
      <c r="A2317" s="160">
        <v>3</v>
      </c>
      <c r="B2317" s="160" t="s">
        <v>2216</v>
      </c>
      <c r="C2317" s="157" t="s">
        <v>1</v>
      </c>
      <c r="D2317" s="159">
        <v>0.19</v>
      </c>
      <c r="E2317" s="159">
        <v>784.56</v>
      </c>
      <c r="F2317" s="159">
        <v>149.07</v>
      </c>
      <c r="G2317" s="160" t="s">
        <v>2</v>
      </c>
      <c r="H2317" s="34" t="s">
        <v>925</v>
      </c>
    </row>
    <row r="2318" spans="1:8" ht="28.5">
      <c r="A2318" s="160">
        <v>4</v>
      </c>
      <c r="B2318" s="160" t="s">
        <v>1317</v>
      </c>
      <c r="C2318" s="157" t="s">
        <v>0</v>
      </c>
      <c r="D2318" s="159">
        <v>0.19</v>
      </c>
      <c r="E2318" s="159">
        <v>3683.89</v>
      </c>
      <c r="F2318" s="159">
        <v>699.94</v>
      </c>
      <c r="G2318" s="160" t="s">
        <v>2</v>
      </c>
    </row>
    <row r="2319" spans="1:8" ht="33">
      <c r="A2319" s="160">
        <v>5</v>
      </c>
      <c r="B2319" s="160" t="s">
        <v>2207</v>
      </c>
      <c r="C2319" s="157" t="s">
        <v>1689</v>
      </c>
      <c r="D2319" s="159">
        <v>1</v>
      </c>
      <c r="E2319" s="159">
        <v>416.52</v>
      </c>
      <c r="F2319" s="159">
        <v>416.52</v>
      </c>
      <c r="G2319" s="160" t="s">
        <v>2</v>
      </c>
      <c r="H2319" s="34" t="s">
        <v>925</v>
      </c>
    </row>
    <row r="2320" spans="1:8" ht="33">
      <c r="A2320" s="160">
        <v>6</v>
      </c>
      <c r="B2320" s="160" t="s">
        <v>2209</v>
      </c>
      <c r="C2320" s="157" t="s">
        <v>14</v>
      </c>
      <c r="D2320" s="159">
        <v>1</v>
      </c>
      <c r="E2320" s="159">
        <v>92.56</v>
      </c>
      <c r="F2320" s="159">
        <v>92.56</v>
      </c>
      <c r="G2320" s="160" t="s">
        <v>2</v>
      </c>
      <c r="H2320" s="34" t="s">
        <v>925</v>
      </c>
    </row>
    <row r="2321" spans="1:8" ht="42.75">
      <c r="A2321" s="160">
        <v>7</v>
      </c>
      <c r="B2321" s="160" t="s">
        <v>513</v>
      </c>
      <c r="C2321" s="157" t="s">
        <v>18</v>
      </c>
      <c r="D2321" s="159">
        <v>23.82</v>
      </c>
      <c r="E2321" s="159">
        <v>29.75</v>
      </c>
      <c r="F2321" s="159">
        <v>708.65</v>
      </c>
      <c r="G2321" s="160" t="s">
        <v>5451</v>
      </c>
      <c r="H2321" s="34" t="s">
        <v>925</v>
      </c>
    </row>
    <row r="2322" spans="1:8" ht="33">
      <c r="A2322" s="160">
        <v>8</v>
      </c>
      <c r="B2322" s="160" t="s">
        <v>931</v>
      </c>
      <c r="C2322" s="157" t="s">
        <v>14</v>
      </c>
      <c r="D2322" s="159">
        <v>1</v>
      </c>
      <c r="E2322" s="159">
        <v>79.319999999999993</v>
      </c>
      <c r="F2322" s="159">
        <v>79.319999999999993</v>
      </c>
      <c r="G2322" s="160" t="s">
        <v>2</v>
      </c>
      <c r="H2322" s="34" t="s">
        <v>925</v>
      </c>
    </row>
    <row r="2323" spans="1:8" ht="33">
      <c r="A2323" s="160"/>
      <c r="B2323" s="160" t="s">
        <v>933</v>
      </c>
      <c r="C2323" s="157" t="s">
        <v>1818</v>
      </c>
      <c r="D2323" s="159">
        <v>1</v>
      </c>
      <c r="E2323" s="159"/>
      <c r="F2323" s="159">
        <v>2723.2200000000003</v>
      </c>
      <c r="G2323" s="160"/>
      <c r="H2323" s="34" t="s">
        <v>925</v>
      </c>
    </row>
    <row r="2324" spans="1:8" ht="33">
      <c r="A2324" s="160"/>
      <c r="B2324" s="160" t="s">
        <v>934</v>
      </c>
      <c r="C2324" s="157" t="s">
        <v>1818</v>
      </c>
      <c r="D2324" s="159"/>
      <c r="E2324" s="159"/>
      <c r="F2324" s="159">
        <v>2723.22</v>
      </c>
      <c r="G2324" s="160"/>
      <c r="H2324" s="34" t="s">
        <v>925</v>
      </c>
    </row>
    <row r="2325" spans="1:8" ht="33">
      <c r="A2325" s="160"/>
      <c r="B2325" s="160"/>
      <c r="C2325" s="157"/>
      <c r="D2325" s="159"/>
      <c r="E2325" s="159"/>
      <c r="F2325" s="159"/>
      <c r="G2325" s="160"/>
      <c r="H2325" s="34" t="s">
        <v>925</v>
      </c>
    </row>
    <row r="2326" spans="1:8" ht="28.5">
      <c r="A2326" s="160" t="s">
        <v>2432</v>
      </c>
      <c r="B2326" s="160" t="s">
        <v>2219</v>
      </c>
      <c r="C2326" s="157" t="s">
        <v>1818</v>
      </c>
      <c r="D2326" s="159">
        <v>1</v>
      </c>
      <c r="E2326" s="159">
        <v>13986.8</v>
      </c>
      <c r="F2326" s="159"/>
      <c r="G2326" s="160" t="s">
        <v>2</v>
      </c>
    </row>
    <row r="2327" spans="1:8" ht="33">
      <c r="A2327" s="160">
        <v>1</v>
      </c>
      <c r="B2327" s="160" t="s">
        <v>1250</v>
      </c>
      <c r="C2327" s="157" t="s">
        <v>17</v>
      </c>
      <c r="D2327" s="159">
        <v>4.4000000000000004</v>
      </c>
      <c r="E2327" s="159">
        <v>71.48</v>
      </c>
      <c r="F2327" s="159">
        <v>314.51</v>
      </c>
      <c r="G2327" s="160" t="s">
        <v>1325</v>
      </c>
      <c r="H2327" s="34" t="s">
        <v>925</v>
      </c>
    </row>
    <row r="2328" spans="1:8" ht="33">
      <c r="A2328" s="160">
        <v>2</v>
      </c>
      <c r="B2328" s="160" t="s">
        <v>985</v>
      </c>
      <c r="C2328" s="157" t="s">
        <v>1</v>
      </c>
      <c r="D2328" s="159">
        <v>0.19</v>
      </c>
      <c r="E2328" s="159">
        <v>600.08000000000004</v>
      </c>
      <c r="F2328" s="159">
        <v>114.02</v>
      </c>
      <c r="G2328" s="160" t="s">
        <v>980</v>
      </c>
      <c r="H2328" s="34" t="s">
        <v>925</v>
      </c>
    </row>
    <row r="2329" spans="1:8" ht="33">
      <c r="A2329" s="160">
        <v>3</v>
      </c>
      <c r="B2329" s="160" t="s">
        <v>26</v>
      </c>
      <c r="C2329" s="157" t="s">
        <v>1</v>
      </c>
      <c r="D2329" s="159">
        <v>0.19</v>
      </c>
      <c r="E2329" s="159">
        <v>663.18</v>
      </c>
      <c r="F2329" s="159">
        <v>126</v>
      </c>
      <c r="G2329" s="160" t="s">
        <v>1117</v>
      </c>
      <c r="H2329" s="34" t="s">
        <v>925</v>
      </c>
    </row>
    <row r="2330" spans="1:8" ht="33">
      <c r="A2330" s="160">
        <v>4</v>
      </c>
      <c r="B2330" s="160" t="s">
        <v>1317</v>
      </c>
      <c r="C2330" s="157" t="s">
        <v>0</v>
      </c>
      <c r="D2330" s="159">
        <v>0.19</v>
      </c>
      <c r="E2330" s="159">
        <v>3683.89</v>
      </c>
      <c r="F2330" s="159">
        <v>699.94</v>
      </c>
      <c r="G2330" s="160" t="s">
        <v>2</v>
      </c>
      <c r="H2330" s="34" t="s">
        <v>925</v>
      </c>
    </row>
    <row r="2331" spans="1:8" ht="33">
      <c r="A2331" s="160">
        <v>5</v>
      </c>
      <c r="B2331" s="160" t="s">
        <v>2207</v>
      </c>
      <c r="C2331" s="157" t="s">
        <v>1689</v>
      </c>
      <c r="D2331" s="159">
        <v>1</v>
      </c>
      <c r="E2331" s="159">
        <v>416.52</v>
      </c>
      <c r="F2331" s="159">
        <v>416.52</v>
      </c>
      <c r="G2331" s="160" t="s">
        <v>2</v>
      </c>
      <c r="H2331" s="34" t="s">
        <v>925</v>
      </c>
    </row>
    <row r="2332" spans="1:8" ht="42.75">
      <c r="A2332" s="160">
        <v>6</v>
      </c>
      <c r="B2332" s="160" t="s">
        <v>513</v>
      </c>
      <c r="C2332" s="157" t="s">
        <v>18</v>
      </c>
      <c r="D2332" s="159">
        <v>23.82</v>
      </c>
      <c r="E2332" s="159">
        <v>29.75</v>
      </c>
      <c r="F2332" s="159">
        <v>708.65</v>
      </c>
      <c r="G2332" s="160" t="s">
        <v>5451</v>
      </c>
      <c r="H2332" s="34" t="s">
        <v>925</v>
      </c>
    </row>
    <row r="2333" spans="1:8" ht="33">
      <c r="A2333" s="160">
        <v>7</v>
      </c>
      <c r="B2333" s="160" t="s">
        <v>2221</v>
      </c>
      <c r="C2333" s="157" t="s">
        <v>14</v>
      </c>
      <c r="D2333" s="159">
        <v>1</v>
      </c>
      <c r="E2333" s="159">
        <v>92.56</v>
      </c>
      <c r="F2333" s="159">
        <v>92.56</v>
      </c>
      <c r="G2333" s="160" t="s">
        <v>2</v>
      </c>
      <c r="H2333" s="34" t="s">
        <v>925</v>
      </c>
    </row>
    <row r="2334" spans="1:8" ht="28.5">
      <c r="A2334" s="160">
        <v>8</v>
      </c>
      <c r="B2334" s="160" t="s">
        <v>2223</v>
      </c>
      <c r="C2334" s="157" t="s">
        <v>1689</v>
      </c>
      <c r="D2334" s="159">
        <v>1</v>
      </c>
      <c r="E2334" s="159">
        <v>11107.22</v>
      </c>
      <c r="F2334" s="159">
        <v>11107.22</v>
      </c>
      <c r="G2334" s="160" t="s">
        <v>2</v>
      </c>
    </row>
    <row r="2335" spans="1:8" ht="33">
      <c r="A2335" s="160">
        <v>9</v>
      </c>
      <c r="B2335" s="160" t="s">
        <v>931</v>
      </c>
      <c r="C2335" s="157" t="s">
        <v>14</v>
      </c>
      <c r="D2335" s="159">
        <v>1</v>
      </c>
      <c r="E2335" s="159">
        <v>407.38</v>
      </c>
      <c r="F2335" s="159">
        <v>407.38</v>
      </c>
      <c r="G2335" s="160" t="s">
        <v>2</v>
      </c>
      <c r="H2335" s="34" t="s">
        <v>925</v>
      </c>
    </row>
    <row r="2336" spans="1:8" ht="33">
      <c r="A2336" s="160"/>
      <c r="B2336" s="160" t="s">
        <v>933</v>
      </c>
      <c r="C2336" s="157" t="s">
        <v>1818</v>
      </c>
      <c r="D2336" s="159">
        <v>1</v>
      </c>
      <c r="E2336" s="159"/>
      <c r="F2336" s="159">
        <v>13986.799999999997</v>
      </c>
      <c r="G2336" s="160"/>
      <c r="H2336" s="34" t="s">
        <v>925</v>
      </c>
    </row>
    <row r="2337" spans="1:8" ht="33">
      <c r="A2337" s="160"/>
      <c r="B2337" s="160" t="s">
        <v>934</v>
      </c>
      <c r="C2337" s="157" t="s">
        <v>1818</v>
      </c>
      <c r="D2337" s="159"/>
      <c r="E2337" s="159"/>
      <c r="F2337" s="159">
        <v>13986.8</v>
      </c>
      <c r="G2337" s="160"/>
      <c r="H2337" s="34" t="s">
        <v>925</v>
      </c>
    </row>
    <row r="2338" spans="1:8" ht="33">
      <c r="A2338" s="160"/>
      <c r="B2338" s="160"/>
      <c r="C2338" s="157"/>
      <c r="D2338" s="159"/>
      <c r="E2338" s="159"/>
      <c r="F2338" s="159"/>
      <c r="G2338" s="160"/>
      <c r="H2338" s="34" t="s">
        <v>925</v>
      </c>
    </row>
    <row r="2339" spans="1:8" ht="33">
      <c r="A2339" s="160" t="s">
        <v>2437</v>
      </c>
      <c r="B2339" s="160" t="s">
        <v>2226</v>
      </c>
      <c r="C2339" s="157" t="s">
        <v>1818</v>
      </c>
      <c r="D2339" s="159">
        <v>1</v>
      </c>
      <c r="E2339" s="159">
        <v>14163.65</v>
      </c>
      <c r="F2339" s="159"/>
      <c r="G2339" s="160" t="s">
        <v>2</v>
      </c>
      <c r="H2339" s="34" t="s">
        <v>925</v>
      </c>
    </row>
    <row r="2340" spans="1:8" ht="33">
      <c r="A2340" s="160">
        <v>1</v>
      </c>
      <c r="B2340" s="160" t="s">
        <v>1250</v>
      </c>
      <c r="C2340" s="157" t="s">
        <v>17</v>
      </c>
      <c r="D2340" s="159">
        <v>4.4000000000000004</v>
      </c>
      <c r="E2340" s="159">
        <v>71.48</v>
      </c>
      <c r="F2340" s="159">
        <v>314.51</v>
      </c>
      <c r="G2340" s="160" t="s">
        <v>1325</v>
      </c>
      <c r="H2340" s="34" t="s">
        <v>925</v>
      </c>
    </row>
    <row r="2341" spans="1:8" ht="33">
      <c r="A2341" s="160">
        <v>2</v>
      </c>
      <c r="B2341" s="160" t="s">
        <v>2214</v>
      </c>
      <c r="C2341" s="157" t="s">
        <v>1</v>
      </c>
      <c r="D2341" s="159">
        <v>0.19</v>
      </c>
      <c r="E2341" s="159">
        <v>1382.35</v>
      </c>
      <c r="F2341" s="159">
        <v>262.64999999999998</v>
      </c>
      <c r="G2341" s="160" t="s">
        <v>982</v>
      </c>
      <c r="H2341" s="34" t="s">
        <v>925</v>
      </c>
    </row>
    <row r="2342" spans="1:8" ht="33">
      <c r="A2342" s="160">
        <v>3</v>
      </c>
      <c r="B2342" s="160" t="s">
        <v>2216</v>
      </c>
      <c r="C2342" s="157" t="s">
        <v>1</v>
      </c>
      <c r="D2342" s="159">
        <v>0.19</v>
      </c>
      <c r="E2342" s="159">
        <v>784.56</v>
      </c>
      <c r="F2342" s="159">
        <v>149.07</v>
      </c>
      <c r="G2342" s="160" t="s">
        <v>2</v>
      </c>
      <c r="H2342" s="34" t="s">
        <v>925</v>
      </c>
    </row>
    <row r="2343" spans="1:8" ht="28.5">
      <c r="A2343" s="160">
        <v>4</v>
      </c>
      <c r="B2343" s="160" t="s">
        <v>1317</v>
      </c>
      <c r="C2343" s="157" t="s">
        <v>0</v>
      </c>
      <c r="D2343" s="159">
        <v>0.19</v>
      </c>
      <c r="E2343" s="159">
        <v>3683.89</v>
      </c>
      <c r="F2343" s="159">
        <v>699.94</v>
      </c>
      <c r="G2343" s="160" t="s">
        <v>2</v>
      </c>
    </row>
    <row r="2344" spans="1:8" ht="33">
      <c r="A2344" s="160">
        <v>5</v>
      </c>
      <c r="B2344" s="160" t="s">
        <v>2207</v>
      </c>
      <c r="C2344" s="157" t="s">
        <v>1689</v>
      </c>
      <c r="D2344" s="159">
        <v>1</v>
      </c>
      <c r="E2344" s="159">
        <v>416.52</v>
      </c>
      <c r="F2344" s="159">
        <v>416.52</v>
      </c>
      <c r="G2344" s="160" t="s">
        <v>2</v>
      </c>
      <c r="H2344" s="34" t="s">
        <v>925</v>
      </c>
    </row>
    <row r="2345" spans="1:8" ht="42.75">
      <c r="A2345" s="160">
        <v>6</v>
      </c>
      <c r="B2345" s="160" t="s">
        <v>513</v>
      </c>
      <c r="C2345" s="157" t="s">
        <v>18</v>
      </c>
      <c r="D2345" s="159">
        <v>23.82</v>
      </c>
      <c r="E2345" s="159">
        <v>29.75</v>
      </c>
      <c r="F2345" s="159">
        <v>708.65</v>
      </c>
      <c r="G2345" s="160" t="s">
        <v>5451</v>
      </c>
      <c r="H2345" s="34" t="s">
        <v>925</v>
      </c>
    </row>
    <row r="2346" spans="1:8" ht="33">
      <c r="A2346" s="160">
        <v>7</v>
      </c>
      <c r="B2346" s="160" t="s">
        <v>2221</v>
      </c>
      <c r="C2346" s="157" t="s">
        <v>14</v>
      </c>
      <c r="D2346" s="159">
        <v>1</v>
      </c>
      <c r="E2346" s="159">
        <v>92.56</v>
      </c>
      <c r="F2346" s="159">
        <v>92.56</v>
      </c>
      <c r="G2346" s="160" t="s">
        <v>2</v>
      </c>
      <c r="H2346" s="34" t="s">
        <v>925</v>
      </c>
    </row>
    <row r="2347" spans="1:8" ht="33">
      <c r="A2347" s="160">
        <v>8</v>
      </c>
      <c r="B2347" s="160" t="s">
        <v>2223</v>
      </c>
      <c r="C2347" s="157" t="s">
        <v>1689</v>
      </c>
      <c r="D2347" s="159">
        <v>1</v>
      </c>
      <c r="E2347" s="159">
        <v>11107.22</v>
      </c>
      <c r="F2347" s="159">
        <v>11107.22</v>
      </c>
      <c r="G2347" s="160" t="s">
        <v>2</v>
      </c>
      <c r="H2347" s="34" t="s">
        <v>925</v>
      </c>
    </row>
    <row r="2348" spans="1:8" ht="33">
      <c r="A2348" s="160">
        <v>9</v>
      </c>
      <c r="B2348" s="160" t="s">
        <v>931</v>
      </c>
      <c r="C2348" s="157" t="s">
        <v>14</v>
      </c>
      <c r="D2348" s="159">
        <v>1</v>
      </c>
      <c r="E2348" s="159">
        <v>412.53</v>
      </c>
      <c r="F2348" s="159">
        <v>412.53</v>
      </c>
      <c r="G2348" s="160" t="s">
        <v>2</v>
      </c>
      <c r="H2348" s="34" t="s">
        <v>925</v>
      </c>
    </row>
    <row r="2349" spans="1:8" ht="33">
      <c r="A2349" s="160"/>
      <c r="B2349" s="160" t="s">
        <v>933</v>
      </c>
      <c r="C2349" s="157" t="s">
        <v>1818</v>
      </c>
      <c r="D2349" s="159">
        <v>1</v>
      </c>
      <c r="E2349" s="159"/>
      <c r="F2349" s="159">
        <v>14163.65</v>
      </c>
      <c r="G2349" s="160"/>
      <c r="H2349" s="34" t="s">
        <v>925</v>
      </c>
    </row>
    <row r="2350" spans="1:8" ht="33">
      <c r="A2350" s="160"/>
      <c r="B2350" s="160" t="s">
        <v>934</v>
      </c>
      <c r="C2350" s="157" t="s">
        <v>1818</v>
      </c>
      <c r="D2350" s="159"/>
      <c r="E2350" s="159"/>
      <c r="F2350" s="159">
        <v>14163.65</v>
      </c>
      <c r="G2350" s="160"/>
      <c r="H2350" s="34" t="s">
        <v>925</v>
      </c>
    </row>
    <row r="2351" spans="1:8" ht="33">
      <c r="A2351" s="160"/>
      <c r="B2351" s="160"/>
      <c r="C2351" s="157"/>
      <c r="D2351" s="159"/>
      <c r="E2351" s="159"/>
      <c r="F2351" s="159"/>
      <c r="G2351" s="160"/>
      <c r="H2351" s="34" t="s">
        <v>925</v>
      </c>
    </row>
    <row r="2352" spans="1:8" ht="42.75">
      <c r="A2352" s="160" t="s">
        <v>2442</v>
      </c>
      <c r="B2352" s="160" t="s">
        <v>2229</v>
      </c>
      <c r="C2352" s="157" t="s">
        <v>1818</v>
      </c>
      <c r="D2352" s="159">
        <v>1</v>
      </c>
      <c r="E2352" s="159">
        <v>14896.92</v>
      </c>
      <c r="F2352" s="159"/>
      <c r="G2352" s="160" t="s">
        <v>2</v>
      </c>
    </row>
    <row r="2353" spans="1:8" ht="33">
      <c r="A2353" s="160">
        <v>1</v>
      </c>
      <c r="B2353" s="160" t="s">
        <v>1250</v>
      </c>
      <c r="C2353" s="157" t="s">
        <v>17</v>
      </c>
      <c r="D2353" s="159">
        <v>4.4000000000000004</v>
      </c>
      <c r="E2353" s="159">
        <v>71.48</v>
      </c>
      <c r="F2353" s="159">
        <v>314.51</v>
      </c>
      <c r="G2353" s="160" t="s">
        <v>1325</v>
      </c>
      <c r="H2353" s="34" t="s">
        <v>925</v>
      </c>
    </row>
    <row r="2354" spans="1:8" ht="33">
      <c r="A2354" s="160">
        <v>2</v>
      </c>
      <c r="B2354" s="160" t="s">
        <v>453</v>
      </c>
      <c r="C2354" s="157" t="s">
        <v>0</v>
      </c>
      <c r="D2354" s="159">
        <v>0.19</v>
      </c>
      <c r="E2354" s="159">
        <v>5250.69</v>
      </c>
      <c r="F2354" s="159">
        <v>997.63</v>
      </c>
      <c r="G2354" s="160" t="s">
        <v>957</v>
      </c>
      <c r="H2354" s="34" t="s">
        <v>925</v>
      </c>
    </row>
    <row r="2355" spans="1:8" ht="33">
      <c r="A2355" s="160">
        <v>3</v>
      </c>
      <c r="B2355" s="160" t="s">
        <v>26</v>
      </c>
      <c r="C2355" s="157" t="s">
        <v>1</v>
      </c>
      <c r="D2355" s="159">
        <v>0.19</v>
      </c>
      <c r="E2355" s="159">
        <v>663.18</v>
      </c>
      <c r="F2355" s="159">
        <v>126</v>
      </c>
      <c r="G2355" s="160" t="s">
        <v>1117</v>
      </c>
      <c r="H2355" s="34" t="s">
        <v>925</v>
      </c>
    </row>
    <row r="2356" spans="1:8" ht="33">
      <c r="A2356" s="160">
        <v>4</v>
      </c>
      <c r="B2356" s="160" t="s">
        <v>1317</v>
      </c>
      <c r="C2356" s="157" t="s">
        <v>0</v>
      </c>
      <c r="D2356" s="159">
        <v>0.19</v>
      </c>
      <c r="E2356" s="159">
        <v>3683.89</v>
      </c>
      <c r="F2356" s="159">
        <v>699.94</v>
      </c>
      <c r="G2356" s="160" t="s">
        <v>2</v>
      </c>
      <c r="H2356" s="34" t="s">
        <v>925</v>
      </c>
    </row>
    <row r="2357" spans="1:8" ht="33">
      <c r="A2357" s="160">
        <v>5</v>
      </c>
      <c r="B2357" s="160" t="s">
        <v>2207</v>
      </c>
      <c r="C2357" s="157" t="s">
        <v>1689</v>
      </c>
      <c r="D2357" s="159">
        <v>1</v>
      </c>
      <c r="E2357" s="159">
        <v>416.52</v>
      </c>
      <c r="F2357" s="159">
        <v>416.52</v>
      </c>
      <c r="G2357" s="160" t="s">
        <v>2</v>
      </c>
      <c r="H2357" s="34" t="s">
        <v>925</v>
      </c>
    </row>
    <row r="2358" spans="1:8" ht="42.75">
      <c r="A2358" s="160">
        <v>6</v>
      </c>
      <c r="B2358" s="160" t="s">
        <v>513</v>
      </c>
      <c r="C2358" s="157" t="s">
        <v>18</v>
      </c>
      <c r="D2358" s="159">
        <v>23.82</v>
      </c>
      <c r="E2358" s="159">
        <v>29.75</v>
      </c>
      <c r="F2358" s="159">
        <v>708.65</v>
      </c>
      <c r="G2358" s="160" t="s">
        <v>5451</v>
      </c>
      <c r="H2358" s="34" t="s">
        <v>925</v>
      </c>
    </row>
    <row r="2359" spans="1:8" ht="33">
      <c r="A2359" s="160">
        <v>7</v>
      </c>
      <c r="B2359" s="160" t="s">
        <v>2221</v>
      </c>
      <c r="C2359" s="157" t="s">
        <v>14</v>
      </c>
      <c r="D2359" s="159">
        <v>1</v>
      </c>
      <c r="E2359" s="159">
        <v>92.56</v>
      </c>
      <c r="F2359" s="159">
        <v>92.56</v>
      </c>
      <c r="G2359" s="160" t="s">
        <v>2</v>
      </c>
      <c r="H2359" s="34" t="s">
        <v>925</v>
      </c>
    </row>
    <row r="2360" spans="1:8" ht="33">
      <c r="A2360" s="160">
        <v>8</v>
      </c>
      <c r="B2360" s="160" t="s">
        <v>2223</v>
      </c>
      <c r="C2360" s="157" t="s">
        <v>1689</v>
      </c>
      <c r="D2360" s="159">
        <v>1</v>
      </c>
      <c r="E2360" s="159">
        <v>11107.22</v>
      </c>
      <c r="F2360" s="159">
        <v>11107.22</v>
      </c>
      <c r="G2360" s="160" t="s">
        <v>2</v>
      </c>
      <c r="H2360" s="34" t="s">
        <v>925</v>
      </c>
    </row>
    <row r="2361" spans="1:8" ht="16.5">
      <c r="A2361" s="160">
        <v>9</v>
      </c>
      <c r="B2361" s="160" t="s">
        <v>931</v>
      </c>
      <c r="C2361" s="157" t="s">
        <v>14</v>
      </c>
      <c r="D2361" s="159">
        <v>1</v>
      </c>
      <c r="E2361" s="159">
        <v>433.89</v>
      </c>
      <c r="F2361" s="159">
        <v>433.89</v>
      </c>
      <c r="G2361" s="160" t="s">
        <v>2</v>
      </c>
    </row>
    <row r="2362" spans="1:8" ht="33">
      <c r="A2362" s="160"/>
      <c r="B2362" s="160" t="s">
        <v>933</v>
      </c>
      <c r="C2362" s="157" t="s">
        <v>1818</v>
      </c>
      <c r="D2362" s="159">
        <v>1</v>
      </c>
      <c r="E2362" s="159"/>
      <c r="F2362" s="159">
        <v>14896.919999999998</v>
      </c>
      <c r="G2362" s="160"/>
      <c r="H2362" s="34" t="s">
        <v>925</v>
      </c>
    </row>
    <row r="2363" spans="1:8" ht="33">
      <c r="A2363" s="160"/>
      <c r="B2363" s="160" t="s">
        <v>934</v>
      </c>
      <c r="C2363" s="157" t="s">
        <v>1818</v>
      </c>
      <c r="D2363" s="159"/>
      <c r="E2363" s="159"/>
      <c r="F2363" s="159">
        <v>14896.92</v>
      </c>
      <c r="G2363" s="160"/>
      <c r="H2363" s="34" t="s">
        <v>925</v>
      </c>
    </row>
    <row r="2364" spans="1:8" ht="33">
      <c r="A2364" s="160"/>
      <c r="B2364" s="160"/>
      <c r="C2364" s="157"/>
      <c r="D2364" s="159"/>
      <c r="E2364" s="159"/>
      <c r="F2364" s="159"/>
      <c r="G2364" s="160"/>
      <c r="H2364" s="34" t="s">
        <v>925</v>
      </c>
    </row>
    <row r="2365" spans="1:8" ht="42.75">
      <c r="A2365" s="160" t="s">
        <v>2451</v>
      </c>
      <c r="B2365" s="160" t="s">
        <v>2232</v>
      </c>
      <c r="C2365" s="157" t="s">
        <v>1818</v>
      </c>
      <c r="D2365" s="159">
        <v>1</v>
      </c>
      <c r="E2365" s="159">
        <v>16256.56</v>
      </c>
      <c r="F2365" s="159"/>
      <c r="G2365" s="160" t="s">
        <v>2</v>
      </c>
      <c r="H2365" s="34" t="s">
        <v>925</v>
      </c>
    </row>
    <row r="2366" spans="1:8" ht="33">
      <c r="A2366" s="160">
        <v>1</v>
      </c>
      <c r="B2366" s="160" t="s">
        <v>1250</v>
      </c>
      <c r="C2366" s="157" t="s">
        <v>17</v>
      </c>
      <c r="D2366" s="159">
        <v>4.4000000000000004</v>
      </c>
      <c r="E2366" s="159">
        <v>71.48</v>
      </c>
      <c r="F2366" s="159">
        <v>314.51</v>
      </c>
      <c r="G2366" s="160" t="s">
        <v>1325</v>
      </c>
      <c r="H2366" s="34" t="s">
        <v>925</v>
      </c>
    </row>
    <row r="2367" spans="1:8" ht="33">
      <c r="A2367" s="160">
        <v>2</v>
      </c>
      <c r="B2367" s="160" t="s">
        <v>2234</v>
      </c>
      <c r="C2367" s="157" t="s">
        <v>0</v>
      </c>
      <c r="D2367" s="159">
        <v>0.19</v>
      </c>
      <c r="E2367" s="159">
        <v>12076.83</v>
      </c>
      <c r="F2367" s="159">
        <v>2294.6</v>
      </c>
      <c r="G2367" s="160" t="s">
        <v>963</v>
      </c>
      <c r="H2367" s="34" t="s">
        <v>925</v>
      </c>
    </row>
    <row r="2368" spans="1:8" ht="33">
      <c r="A2368" s="160">
        <v>3</v>
      </c>
      <c r="B2368" s="160" t="s">
        <v>2216</v>
      </c>
      <c r="C2368" s="157" t="s">
        <v>1</v>
      </c>
      <c r="D2368" s="159">
        <v>0.19</v>
      </c>
      <c r="E2368" s="159">
        <v>784.56</v>
      </c>
      <c r="F2368" s="159">
        <v>149.07</v>
      </c>
      <c r="G2368" s="160" t="s">
        <v>2</v>
      </c>
      <c r="H2368" s="34" t="s">
        <v>925</v>
      </c>
    </row>
    <row r="2369" spans="1:8" ht="28.5">
      <c r="A2369" s="160">
        <v>4</v>
      </c>
      <c r="B2369" s="160" t="s">
        <v>1317</v>
      </c>
      <c r="C2369" s="157" t="s">
        <v>0</v>
      </c>
      <c r="D2369" s="159">
        <v>0.19</v>
      </c>
      <c r="E2369" s="159">
        <v>3683.89</v>
      </c>
      <c r="F2369" s="159">
        <v>699.94</v>
      </c>
      <c r="G2369" s="160" t="s">
        <v>2</v>
      </c>
    </row>
    <row r="2370" spans="1:8" ht="33">
      <c r="A2370" s="160">
        <v>5</v>
      </c>
      <c r="B2370" s="160" t="s">
        <v>2207</v>
      </c>
      <c r="C2370" s="157" t="s">
        <v>1689</v>
      </c>
      <c r="D2370" s="159">
        <v>1</v>
      </c>
      <c r="E2370" s="159">
        <v>416.52</v>
      </c>
      <c r="F2370" s="159">
        <v>416.52</v>
      </c>
      <c r="G2370" s="160" t="s">
        <v>2</v>
      </c>
      <c r="H2370" s="34" t="s">
        <v>925</v>
      </c>
    </row>
    <row r="2371" spans="1:8" ht="42.75">
      <c r="A2371" s="160">
        <v>6</v>
      </c>
      <c r="B2371" s="160" t="s">
        <v>513</v>
      </c>
      <c r="C2371" s="157" t="s">
        <v>18</v>
      </c>
      <c r="D2371" s="159">
        <v>23.82</v>
      </c>
      <c r="E2371" s="159">
        <v>29.75</v>
      </c>
      <c r="F2371" s="159">
        <v>708.65</v>
      </c>
      <c r="G2371" s="160" t="s">
        <v>5451</v>
      </c>
      <c r="H2371" s="34" t="s">
        <v>925</v>
      </c>
    </row>
    <row r="2372" spans="1:8" ht="33">
      <c r="A2372" s="160">
        <v>7</v>
      </c>
      <c r="B2372" s="160" t="s">
        <v>2221</v>
      </c>
      <c r="C2372" s="157" t="s">
        <v>14</v>
      </c>
      <c r="D2372" s="159">
        <v>1</v>
      </c>
      <c r="E2372" s="159">
        <v>92.56</v>
      </c>
      <c r="F2372" s="159">
        <v>92.56</v>
      </c>
      <c r="G2372" s="160" t="s">
        <v>2</v>
      </c>
      <c r="H2372" s="34" t="s">
        <v>925</v>
      </c>
    </row>
    <row r="2373" spans="1:8" ht="33">
      <c r="A2373" s="160">
        <v>8</v>
      </c>
      <c r="B2373" s="160" t="s">
        <v>2223</v>
      </c>
      <c r="C2373" s="157" t="s">
        <v>1689</v>
      </c>
      <c r="D2373" s="159">
        <v>1</v>
      </c>
      <c r="E2373" s="159">
        <v>11107.22</v>
      </c>
      <c r="F2373" s="159">
        <v>11107.22</v>
      </c>
      <c r="G2373" s="160" t="s">
        <v>2</v>
      </c>
      <c r="H2373" s="34" t="s">
        <v>925</v>
      </c>
    </row>
    <row r="2374" spans="1:8" ht="33">
      <c r="A2374" s="160">
        <v>9</v>
      </c>
      <c r="B2374" s="160" t="s">
        <v>931</v>
      </c>
      <c r="C2374" s="157" t="s">
        <v>14</v>
      </c>
      <c r="D2374" s="159">
        <v>1</v>
      </c>
      <c r="E2374" s="159">
        <v>473.49</v>
      </c>
      <c r="F2374" s="159">
        <v>473.49</v>
      </c>
      <c r="G2374" s="160" t="s">
        <v>2</v>
      </c>
      <c r="H2374" s="34" t="s">
        <v>925</v>
      </c>
    </row>
    <row r="2375" spans="1:8" ht="33">
      <c r="A2375" s="160"/>
      <c r="B2375" s="160" t="s">
        <v>933</v>
      </c>
      <c r="C2375" s="157" t="s">
        <v>1818</v>
      </c>
      <c r="D2375" s="159">
        <v>1</v>
      </c>
      <c r="E2375" s="159"/>
      <c r="F2375" s="159">
        <v>16256.56</v>
      </c>
      <c r="G2375" s="160"/>
      <c r="H2375" s="34" t="s">
        <v>925</v>
      </c>
    </row>
    <row r="2376" spans="1:8" ht="33">
      <c r="A2376" s="160"/>
      <c r="B2376" s="160" t="s">
        <v>934</v>
      </c>
      <c r="C2376" s="157" t="s">
        <v>1818</v>
      </c>
      <c r="D2376" s="159"/>
      <c r="E2376" s="159"/>
      <c r="F2376" s="159">
        <v>16256.56</v>
      </c>
      <c r="G2376" s="160"/>
      <c r="H2376" s="34" t="s">
        <v>925</v>
      </c>
    </row>
    <row r="2377" spans="1:8" ht="33">
      <c r="A2377" s="160"/>
      <c r="B2377" s="160"/>
      <c r="C2377" s="157"/>
      <c r="D2377" s="159"/>
      <c r="E2377" s="159"/>
      <c r="F2377" s="159"/>
      <c r="G2377" s="160"/>
      <c r="H2377" s="34" t="s">
        <v>925</v>
      </c>
    </row>
    <row r="2378" spans="1:8" ht="28.5">
      <c r="A2378" s="160" t="s">
        <v>2457</v>
      </c>
      <c r="B2378" s="160" t="s">
        <v>2237</v>
      </c>
      <c r="C2378" s="157" t="s">
        <v>2238</v>
      </c>
      <c r="D2378" s="159">
        <v>1</v>
      </c>
      <c r="E2378" s="159">
        <v>1078.26</v>
      </c>
      <c r="F2378" s="159"/>
      <c r="G2378" s="160" t="s">
        <v>2</v>
      </c>
    </row>
    <row r="2379" spans="1:8" ht="33">
      <c r="A2379" s="160">
        <v>1</v>
      </c>
      <c r="B2379" s="160" t="s">
        <v>2240</v>
      </c>
      <c r="C2379" s="157" t="s">
        <v>14</v>
      </c>
      <c r="D2379" s="159">
        <v>1</v>
      </c>
      <c r="E2379" s="159">
        <v>647.91999999999996</v>
      </c>
      <c r="F2379" s="159">
        <v>647.91999999999996</v>
      </c>
      <c r="G2379" s="160" t="s">
        <v>2</v>
      </c>
      <c r="H2379" s="34" t="s">
        <v>925</v>
      </c>
    </row>
    <row r="2380" spans="1:8" ht="33">
      <c r="A2380" s="160">
        <v>2</v>
      </c>
      <c r="B2380" s="160" t="s">
        <v>2242</v>
      </c>
      <c r="C2380" s="157" t="s">
        <v>14</v>
      </c>
      <c r="D2380" s="159">
        <v>1</v>
      </c>
      <c r="E2380" s="159">
        <v>138.84</v>
      </c>
      <c r="F2380" s="159">
        <v>138.84</v>
      </c>
      <c r="G2380" s="160" t="s">
        <v>2</v>
      </c>
      <c r="H2380" s="34" t="s">
        <v>925</v>
      </c>
    </row>
    <row r="2381" spans="1:8" ht="33">
      <c r="A2381" s="160">
        <v>3</v>
      </c>
      <c r="B2381" s="160" t="s">
        <v>4871</v>
      </c>
      <c r="C2381" s="157" t="s">
        <v>927</v>
      </c>
      <c r="D2381" s="159">
        <v>1</v>
      </c>
      <c r="E2381" s="159">
        <v>260.08999999999997</v>
      </c>
      <c r="F2381" s="159">
        <v>260.08999999999997</v>
      </c>
      <c r="G2381" s="160" t="s">
        <v>5435</v>
      </c>
      <c r="H2381" s="34" t="s">
        <v>925</v>
      </c>
    </row>
    <row r="2382" spans="1:8" ht="33">
      <c r="A2382" s="160">
        <v>4</v>
      </c>
      <c r="B2382" s="160" t="s">
        <v>931</v>
      </c>
      <c r="C2382" s="157" t="s">
        <v>14</v>
      </c>
      <c r="D2382" s="159">
        <v>1</v>
      </c>
      <c r="E2382" s="159">
        <v>31.41</v>
      </c>
      <c r="F2382" s="159">
        <v>31.41</v>
      </c>
      <c r="G2382" s="160" t="s">
        <v>2</v>
      </c>
      <c r="H2382" s="34" t="s">
        <v>925</v>
      </c>
    </row>
    <row r="2383" spans="1:8" ht="33">
      <c r="A2383" s="160"/>
      <c r="B2383" s="160" t="s">
        <v>933</v>
      </c>
      <c r="C2383" s="157" t="s">
        <v>2238</v>
      </c>
      <c r="D2383" s="159">
        <v>1</v>
      </c>
      <c r="E2383" s="159"/>
      <c r="F2383" s="159">
        <v>1078.26</v>
      </c>
      <c r="G2383" s="160"/>
      <c r="H2383" s="34" t="s">
        <v>925</v>
      </c>
    </row>
    <row r="2384" spans="1:8" ht="33">
      <c r="A2384" s="160"/>
      <c r="B2384" s="160" t="s">
        <v>934</v>
      </c>
      <c r="C2384" s="157" t="s">
        <v>2238</v>
      </c>
      <c r="D2384" s="159"/>
      <c r="E2384" s="159"/>
      <c r="F2384" s="159">
        <v>1078.26</v>
      </c>
      <c r="G2384" s="160"/>
      <c r="H2384" s="34" t="s">
        <v>925</v>
      </c>
    </row>
    <row r="2385" spans="1:8" ht="33">
      <c r="A2385" s="160"/>
      <c r="B2385" s="160"/>
      <c r="C2385" s="157"/>
      <c r="D2385" s="159"/>
      <c r="E2385" s="159"/>
      <c r="F2385" s="159"/>
      <c r="G2385" s="160"/>
      <c r="H2385" s="34" t="s">
        <v>925</v>
      </c>
    </row>
    <row r="2386" spans="1:8" ht="28.5">
      <c r="A2386" s="160" t="s">
        <v>2467</v>
      </c>
      <c r="B2386" s="160" t="s">
        <v>2245</v>
      </c>
      <c r="C2386" s="157" t="s">
        <v>17</v>
      </c>
      <c r="D2386" s="159">
        <v>45.5</v>
      </c>
      <c r="E2386" s="159">
        <v>2726.58</v>
      </c>
      <c r="F2386" s="159"/>
      <c r="G2386" s="160" t="s">
        <v>2</v>
      </c>
    </row>
    <row r="2387" spans="1:8" ht="42.75">
      <c r="A2387" s="160">
        <v>1</v>
      </c>
      <c r="B2387" s="160" t="s">
        <v>513</v>
      </c>
      <c r="C2387" s="157" t="s">
        <v>18</v>
      </c>
      <c r="D2387" s="159">
        <v>1089.2</v>
      </c>
      <c r="E2387" s="159">
        <v>29.75</v>
      </c>
      <c r="F2387" s="159">
        <v>32403.7</v>
      </c>
      <c r="G2387" s="160" t="s">
        <v>5451</v>
      </c>
      <c r="H2387" s="34" t="s">
        <v>925</v>
      </c>
    </row>
    <row r="2388" spans="1:8" ht="57">
      <c r="A2388" s="160">
        <v>2</v>
      </c>
      <c r="B2388" s="160" t="s">
        <v>1275</v>
      </c>
      <c r="C2388" s="157" t="s">
        <v>0</v>
      </c>
      <c r="D2388" s="159">
        <v>3.2</v>
      </c>
      <c r="E2388" s="159">
        <v>3273.2</v>
      </c>
      <c r="F2388" s="159">
        <v>10474.24</v>
      </c>
      <c r="G2388" s="160" t="s">
        <v>5458</v>
      </c>
      <c r="H2388" s="34" t="s">
        <v>925</v>
      </c>
    </row>
    <row r="2389" spans="1:8" ht="33">
      <c r="A2389" s="160">
        <v>3</v>
      </c>
      <c r="B2389" s="160" t="s">
        <v>2247</v>
      </c>
      <c r="C2389" s="157" t="s">
        <v>3</v>
      </c>
      <c r="D2389" s="159">
        <v>13.7</v>
      </c>
      <c r="E2389" s="159">
        <v>320.05</v>
      </c>
      <c r="F2389" s="159">
        <v>4384.6899999999996</v>
      </c>
      <c r="G2389" s="160" t="s">
        <v>2</v>
      </c>
      <c r="H2389" s="34" t="s">
        <v>925</v>
      </c>
    </row>
    <row r="2390" spans="1:8" ht="33">
      <c r="A2390" s="160">
        <v>4</v>
      </c>
      <c r="B2390" s="160" t="s">
        <v>2249</v>
      </c>
      <c r="C2390" s="157" t="s">
        <v>3</v>
      </c>
      <c r="D2390" s="159">
        <v>48.1</v>
      </c>
      <c r="E2390" s="159">
        <v>249.91</v>
      </c>
      <c r="F2390" s="159">
        <v>12020.67</v>
      </c>
      <c r="G2390" s="160" t="s">
        <v>2</v>
      </c>
      <c r="H2390" s="34" t="s">
        <v>925</v>
      </c>
    </row>
    <row r="2391" spans="1:8" ht="33">
      <c r="A2391" s="160">
        <v>5</v>
      </c>
      <c r="B2391" s="160" t="s">
        <v>2251</v>
      </c>
      <c r="C2391" s="157" t="s">
        <v>14</v>
      </c>
      <c r="D2391" s="159">
        <v>1</v>
      </c>
      <c r="E2391" s="159">
        <v>8654.3799999999992</v>
      </c>
      <c r="F2391" s="159">
        <v>8654.3799999999992</v>
      </c>
      <c r="G2391" s="160" t="s">
        <v>2</v>
      </c>
      <c r="H2391" s="34" t="s">
        <v>925</v>
      </c>
    </row>
    <row r="2392" spans="1:8" ht="33">
      <c r="A2392" s="160">
        <v>6</v>
      </c>
      <c r="B2392" s="160" t="s">
        <v>1685</v>
      </c>
      <c r="C2392" s="157" t="s">
        <v>3</v>
      </c>
      <c r="D2392" s="159">
        <v>69.7</v>
      </c>
      <c r="E2392" s="159">
        <v>443.93</v>
      </c>
      <c r="F2392" s="159">
        <v>30941.919999999998</v>
      </c>
      <c r="G2392" s="160" t="s">
        <v>1902</v>
      </c>
      <c r="H2392" s="34" t="s">
        <v>925</v>
      </c>
    </row>
    <row r="2393" spans="1:8" ht="28.5">
      <c r="A2393" s="160">
        <v>7</v>
      </c>
      <c r="B2393" s="160" t="s">
        <v>2253</v>
      </c>
      <c r="C2393" s="157" t="s">
        <v>3</v>
      </c>
      <c r="D2393" s="159">
        <v>46.6</v>
      </c>
      <c r="E2393" s="159">
        <v>462.8</v>
      </c>
      <c r="F2393" s="159">
        <v>21566.48</v>
      </c>
      <c r="G2393" s="160" t="s">
        <v>2</v>
      </c>
    </row>
    <row r="2394" spans="1:8" ht="33">
      <c r="A2394" s="160">
        <v>8</v>
      </c>
      <c r="B2394" s="160" t="s">
        <v>931</v>
      </c>
      <c r="C2394" s="157" t="s">
        <v>14</v>
      </c>
      <c r="D2394" s="159">
        <v>1</v>
      </c>
      <c r="E2394" s="159">
        <v>3613.38</v>
      </c>
      <c r="F2394" s="159">
        <v>3613.38</v>
      </c>
      <c r="G2394" s="160" t="s">
        <v>2</v>
      </c>
      <c r="H2394" s="34" t="s">
        <v>925</v>
      </c>
    </row>
    <row r="2395" spans="1:8" ht="33">
      <c r="A2395" s="160"/>
      <c r="B2395" s="160" t="s">
        <v>933</v>
      </c>
      <c r="C2395" s="157" t="s">
        <v>17</v>
      </c>
      <c r="D2395" s="159">
        <v>45.5</v>
      </c>
      <c r="E2395" s="159"/>
      <c r="F2395" s="159">
        <v>124059.46</v>
      </c>
      <c r="G2395" s="160"/>
      <c r="H2395" s="34" t="s">
        <v>925</v>
      </c>
    </row>
    <row r="2396" spans="1:8" ht="33">
      <c r="A2396" s="160"/>
      <c r="B2396" s="160" t="s">
        <v>934</v>
      </c>
      <c r="C2396" s="157" t="s">
        <v>17</v>
      </c>
      <c r="D2396" s="159"/>
      <c r="E2396" s="159"/>
      <c r="F2396" s="159">
        <v>2726.58</v>
      </c>
      <c r="G2396" s="160"/>
      <c r="H2396" s="34" t="s">
        <v>925</v>
      </c>
    </row>
    <row r="2397" spans="1:8" ht="33">
      <c r="A2397" s="160"/>
      <c r="B2397" s="160"/>
      <c r="C2397" s="157"/>
      <c r="D2397" s="159"/>
      <c r="E2397" s="159"/>
      <c r="F2397" s="159"/>
      <c r="G2397" s="160"/>
      <c r="H2397" s="34" t="s">
        <v>925</v>
      </c>
    </row>
    <row r="2398" spans="1:8" ht="33">
      <c r="A2398" s="160" t="s">
        <v>2474</v>
      </c>
      <c r="B2398" s="160" t="s">
        <v>2256</v>
      </c>
      <c r="C2398" s="157" t="s">
        <v>17</v>
      </c>
      <c r="D2398" s="159">
        <v>17.899999999999999</v>
      </c>
      <c r="E2398" s="159">
        <v>3509.25</v>
      </c>
      <c r="F2398" s="159"/>
      <c r="G2398" s="160" t="s">
        <v>2</v>
      </c>
      <c r="H2398" s="34" t="s">
        <v>925</v>
      </c>
    </row>
    <row r="2399" spans="1:8" ht="42.75">
      <c r="A2399" s="160">
        <v>1</v>
      </c>
      <c r="B2399" s="160" t="s">
        <v>513</v>
      </c>
      <c r="C2399" s="157" t="s">
        <v>18</v>
      </c>
      <c r="D2399" s="159">
        <v>337.2</v>
      </c>
      <c r="E2399" s="159">
        <v>29.75</v>
      </c>
      <c r="F2399" s="159">
        <v>10031.700000000001</v>
      </c>
      <c r="G2399" s="160" t="s">
        <v>5451</v>
      </c>
      <c r="H2399" s="34" t="s">
        <v>925</v>
      </c>
    </row>
    <row r="2400" spans="1:8" ht="57">
      <c r="A2400" s="160">
        <v>2</v>
      </c>
      <c r="B2400" s="160" t="s">
        <v>1275</v>
      </c>
      <c r="C2400" s="157" t="s">
        <v>0</v>
      </c>
      <c r="D2400" s="159">
        <v>1.3</v>
      </c>
      <c r="E2400" s="159">
        <v>3273.2</v>
      </c>
      <c r="F2400" s="159">
        <v>4255.16</v>
      </c>
      <c r="G2400" s="160" t="s">
        <v>5458</v>
      </c>
      <c r="H2400" s="34" t="s">
        <v>925</v>
      </c>
    </row>
    <row r="2401" spans="1:8" ht="33">
      <c r="A2401" s="160">
        <v>3</v>
      </c>
      <c r="B2401" s="160" t="s">
        <v>2247</v>
      </c>
      <c r="C2401" s="157" t="s">
        <v>3</v>
      </c>
      <c r="D2401" s="159">
        <v>5.7</v>
      </c>
      <c r="E2401" s="159">
        <v>320.05</v>
      </c>
      <c r="F2401" s="159">
        <v>1824.29</v>
      </c>
      <c r="G2401" s="160" t="s">
        <v>2</v>
      </c>
      <c r="H2401" s="34" t="s">
        <v>925</v>
      </c>
    </row>
    <row r="2402" spans="1:8" ht="33">
      <c r="A2402" s="160">
        <v>4</v>
      </c>
      <c r="B2402" s="160" t="s">
        <v>2249</v>
      </c>
      <c r="C2402" s="157" t="s">
        <v>3</v>
      </c>
      <c r="D2402" s="159">
        <v>28.8</v>
      </c>
      <c r="E2402" s="159">
        <v>249.91</v>
      </c>
      <c r="F2402" s="159">
        <v>7197.41</v>
      </c>
      <c r="G2402" s="160" t="s">
        <v>2</v>
      </c>
      <c r="H2402" s="34" t="s">
        <v>925</v>
      </c>
    </row>
    <row r="2403" spans="1:8" ht="28.5">
      <c r="A2403" s="160">
        <v>5</v>
      </c>
      <c r="B2403" s="160" t="s">
        <v>2251</v>
      </c>
      <c r="C2403" s="157" t="s">
        <v>14</v>
      </c>
      <c r="D2403" s="159">
        <v>1</v>
      </c>
      <c r="E2403" s="159">
        <v>8654.3799999999992</v>
      </c>
      <c r="F2403" s="159">
        <v>8654.3799999999992</v>
      </c>
      <c r="G2403" s="160" t="s">
        <v>2</v>
      </c>
    </row>
    <row r="2404" spans="1:8" ht="33">
      <c r="A2404" s="160">
        <v>6</v>
      </c>
      <c r="B2404" s="160" t="s">
        <v>1685</v>
      </c>
      <c r="C2404" s="157" t="s">
        <v>3</v>
      </c>
      <c r="D2404" s="159">
        <v>36.5</v>
      </c>
      <c r="E2404" s="159">
        <v>443.93</v>
      </c>
      <c r="F2404" s="159">
        <v>16203.45</v>
      </c>
      <c r="G2404" s="160" t="s">
        <v>1902</v>
      </c>
      <c r="H2404" s="34" t="s">
        <v>925</v>
      </c>
    </row>
    <row r="2405" spans="1:8" ht="33">
      <c r="A2405" s="160">
        <v>7</v>
      </c>
      <c r="B2405" s="160" t="s">
        <v>2253</v>
      </c>
      <c r="C2405" s="157" t="s">
        <v>3</v>
      </c>
      <c r="D2405" s="159">
        <v>27.7</v>
      </c>
      <c r="E2405" s="159">
        <v>462.8</v>
      </c>
      <c r="F2405" s="159">
        <v>12819.56</v>
      </c>
      <c r="G2405" s="160" t="s">
        <v>2</v>
      </c>
      <c r="H2405" s="34" t="s">
        <v>925</v>
      </c>
    </row>
    <row r="2406" spans="1:8" ht="33">
      <c r="A2406" s="160">
        <v>8</v>
      </c>
      <c r="B2406" s="160" t="s">
        <v>931</v>
      </c>
      <c r="C2406" s="157" t="s">
        <v>14</v>
      </c>
      <c r="D2406" s="159">
        <v>1</v>
      </c>
      <c r="E2406" s="159">
        <v>1829.58</v>
      </c>
      <c r="F2406" s="159">
        <v>1829.58</v>
      </c>
      <c r="G2406" s="160" t="s">
        <v>2</v>
      </c>
      <c r="H2406" s="34" t="s">
        <v>925</v>
      </c>
    </row>
    <row r="2407" spans="1:8" ht="33">
      <c r="A2407" s="160"/>
      <c r="B2407" s="160" t="s">
        <v>933</v>
      </c>
      <c r="C2407" s="157" t="s">
        <v>17</v>
      </c>
      <c r="D2407" s="159">
        <v>17.899999999999999</v>
      </c>
      <c r="E2407" s="159"/>
      <c r="F2407" s="159">
        <v>62815.53</v>
      </c>
      <c r="G2407" s="160"/>
      <c r="H2407" s="34" t="s">
        <v>925</v>
      </c>
    </row>
    <row r="2408" spans="1:8" ht="33">
      <c r="A2408" s="160"/>
      <c r="B2408" s="160" t="s">
        <v>934</v>
      </c>
      <c r="C2408" s="157" t="s">
        <v>17</v>
      </c>
      <c r="D2408" s="159"/>
      <c r="E2408" s="159"/>
      <c r="F2408" s="159">
        <v>3509.25</v>
      </c>
      <c r="G2408" s="160"/>
      <c r="H2408" s="34" t="s">
        <v>925</v>
      </c>
    </row>
    <row r="2409" spans="1:8" ht="33">
      <c r="A2409" s="160"/>
      <c r="B2409" s="160"/>
      <c r="C2409" s="157"/>
      <c r="D2409" s="159"/>
      <c r="E2409" s="159"/>
      <c r="F2409" s="159"/>
      <c r="G2409" s="160"/>
      <c r="H2409" s="34" t="s">
        <v>925</v>
      </c>
    </row>
    <row r="2410" spans="1:8" ht="33">
      <c r="A2410" s="160" t="s">
        <v>2479</v>
      </c>
      <c r="B2410" s="160" t="s">
        <v>2259</v>
      </c>
      <c r="C2410" s="157" t="s">
        <v>17</v>
      </c>
      <c r="D2410" s="159">
        <v>45.5</v>
      </c>
      <c r="E2410" s="159">
        <v>2726.58</v>
      </c>
      <c r="F2410" s="159"/>
      <c r="G2410" s="160" t="s">
        <v>2</v>
      </c>
      <c r="H2410" s="34" t="s">
        <v>925</v>
      </c>
    </row>
    <row r="2411" spans="1:8" ht="42.75">
      <c r="A2411" s="160">
        <v>1</v>
      </c>
      <c r="B2411" s="160" t="s">
        <v>513</v>
      </c>
      <c r="C2411" s="157" t="s">
        <v>18</v>
      </c>
      <c r="D2411" s="159">
        <v>1089.2</v>
      </c>
      <c r="E2411" s="159">
        <v>29.75</v>
      </c>
      <c r="F2411" s="159">
        <v>32403.7</v>
      </c>
      <c r="G2411" s="160" t="s">
        <v>5451</v>
      </c>
      <c r="H2411" s="34" t="s">
        <v>925</v>
      </c>
    </row>
    <row r="2412" spans="1:8" ht="57">
      <c r="A2412" s="160">
        <v>2</v>
      </c>
      <c r="B2412" s="160" t="s">
        <v>1275</v>
      </c>
      <c r="C2412" s="157" t="s">
        <v>0</v>
      </c>
      <c r="D2412" s="159">
        <v>3.2</v>
      </c>
      <c r="E2412" s="159">
        <v>3273.2</v>
      </c>
      <c r="F2412" s="159">
        <v>10474.24</v>
      </c>
      <c r="G2412" s="160" t="s">
        <v>5458</v>
      </c>
      <c r="H2412" s="34" t="s">
        <v>925</v>
      </c>
    </row>
    <row r="2413" spans="1:8" ht="16.5">
      <c r="A2413" s="160">
        <v>3</v>
      </c>
      <c r="B2413" s="160" t="s">
        <v>2247</v>
      </c>
      <c r="C2413" s="157" t="s">
        <v>3</v>
      </c>
      <c r="D2413" s="159">
        <v>13.7</v>
      </c>
      <c r="E2413" s="159">
        <v>320.05</v>
      </c>
      <c r="F2413" s="159">
        <v>4384.6899999999996</v>
      </c>
      <c r="G2413" s="160" t="s">
        <v>2</v>
      </c>
    </row>
    <row r="2414" spans="1:8" ht="33">
      <c r="A2414" s="160">
        <v>4</v>
      </c>
      <c r="B2414" s="160" t="s">
        <v>2249</v>
      </c>
      <c r="C2414" s="157" t="s">
        <v>3</v>
      </c>
      <c r="D2414" s="159">
        <v>48.1</v>
      </c>
      <c r="E2414" s="159">
        <v>249.91</v>
      </c>
      <c r="F2414" s="159">
        <v>12020.67</v>
      </c>
      <c r="G2414" s="160" t="s">
        <v>2</v>
      </c>
      <c r="H2414" s="34" t="s">
        <v>925</v>
      </c>
    </row>
    <row r="2415" spans="1:8" ht="33">
      <c r="A2415" s="160">
        <v>5</v>
      </c>
      <c r="B2415" s="160" t="s">
        <v>2251</v>
      </c>
      <c r="C2415" s="157" t="s">
        <v>14</v>
      </c>
      <c r="D2415" s="159">
        <v>1</v>
      </c>
      <c r="E2415" s="159">
        <v>8654.3799999999992</v>
      </c>
      <c r="F2415" s="159">
        <v>8654.3799999999992</v>
      </c>
      <c r="G2415" s="160" t="s">
        <v>2</v>
      </c>
      <c r="H2415" s="34" t="s">
        <v>925</v>
      </c>
    </row>
    <row r="2416" spans="1:8" ht="33">
      <c r="A2416" s="160">
        <v>6</v>
      </c>
      <c r="B2416" s="160" t="s">
        <v>1685</v>
      </c>
      <c r="C2416" s="157" t="s">
        <v>3</v>
      </c>
      <c r="D2416" s="159">
        <v>69.7</v>
      </c>
      <c r="E2416" s="159">
        <v>443.93</v>
      </c>
      <c r="F2416" s="159">
        <v>30941.919999999998</v>
      </c>
      <c r="G2416" s="160" t="s">
        <v>1902</v>
      </c>
      <c r="H2416" s="34" t="s">
        <v>925</v>
      </c>
    </row>
    <row r="2417" spans="1:8" ht="33">
      <c r="A2417" s="160">
        <v>7</v>
      </c>
      <c r="B2417" s="160" t="s">
        <v>2253</v>
      </c>
      <c r="C2417" s="157" t="s">
        <v>3</v>
      </c>
      <c r="D2417" s="159">
        <v>46.6</v>
      </c>
      <c r="E2417" s="159">
        <v>462.8</v>
      </c>
      <c r="F2417" s="159">
        <v>21566.48</v>
      </c>
      <c r="G2417" s="160" t="s">
        <v>2</v>
      </c>
      <c r="H2417" s="34" t="s">
        <v>925</v>
      </c>
    </row>
    <row r="2418" spans="1:8" ht="33">
      <c r="A2418" s="160">
        <v>8</v>
      </c>
      <c r="B2418" s="160" t="s">
        <v>931</v>
      </c>
      <c r="C2418" s="157" t="s">
        <v>14</v>
      </c>
      <c r="D2418" s="159">
        <v>1</v>
      </c>
      <c r="E2418" s="159">
        <v>3613.38</v>
      </c>
      <c r="F2418" s="159">
        <v>3613.38</v>
      </c>
      <c r="G2418" s="160" t="s">
        <v>2</v>
      </c>
      <c r="H2418" s="34" t="s">
        <v>925</v>
      </c>
    </row>
    <row r="2419" spans="1:8" ht="33">
      <c r="A2419" s="160"/>
      <c r="B2419" s="160" t="s">
        <v>933</v>
      </c>
      <c r="C2419" s="157" t="s">
        <v>17</v>
      </c>
      <c r="D2419" s="159">
        <v>45.5</v>
      </c>
      <c r="E2419" s="159"/>
      <c r="F2419" s="159">
        <v>124059.46</v>
      </c>
      <c r="G2419" s="160"/>
      <c r="H2419" s="34" t="s">
        <v>925</v>
      </c>
    </row>
    <row r="2420" spans="1:8" ht="33">
      <c r="A2420" s="160"/>
      <c r="B2420" s="160" t="s">
        <v>934</v>
      </c>
      <c r="C2420" s="157" t="s">
        <v>17</v>
      </c>
      <c r="D2420" s="159"/>
      <c r="E2420" s="159"/>
      <c r="F2420" s="159">
        <v>2726.58</v>
      </c>
      <c r="G2420" s="160"/>
      <c r="H2420" s="34" t="s">
        <v>925</v>
      </c>
    </row>
    <row r="2421" spans="1:8" ht="33">
      <c r="A2421" s="160"/>
      <c r="B2421" s="160"/>
      <c r="C2421" s="157"/>
      <c r="D2421" s="159"/>
      <c r="E2421" s="159"/>
      <c r="F2421" s="159"/>
      <c r="G2421" s="160"/>
      <c r="H2421" s="34" t="s">
        <v>925</v>
      </c>
    </row>
    <row r="2422" spans="1:8" ht="33">
      <c r="A2422" s="160" t="s">
        <v>2482</v>
      </c>
      <c r="B2422" s="160" t="s">
        <v>2262</v>
      </c>
      <c r="C2422" s="157" t="s">
        <v>17</v>
      </c>
      <c r="D2422" s="159">
        <v>32</v>
      </c>
      <c r="E2422" s="159">
        <v>3047.69</v>
      </c>
      <c r="F2422" s="159"/>
      <c r="G2422" s="160" t="s">
        <v>2</v>
      </c>
      <c r="H2422" s="34" t="s">
        <v>925</v>
      </c>
    </row>
    <row r="2423" spans="1:8" ht="42.75">
      <c r="A2423" s="160">
        <v>1</v>
      </c>
      <c r="B2423" s="160" t="s">
        <v>513</v>
      </c>
      <c r="C2423" s="157" t="s">
        <v>18</v>
      </c>
      <c r="D2423" s="159">
        <v>536</v>
      </c>
      <c r="E2423" s="159">
        <v>29.75</v>
      </c>
      <c r="F2423" s="159">
        <v>15946</v>
      </c>
      <c r="G2423" s="160" t="s">
        <v>5451</v>
      </c>
    </row>
    <row r="2424" spans="1:8" ht="57">
      <c r="A2424" s="160">
        <v>2</v>
      </c>
      <c r="B2424" s="160" t="s">
        <v>1275</v>
      </c>
      <c r="C2424" s="157" t="s">
        <v>0</v>
      </c>
      <c r="D2424" s="159">
        <v>1.9</v>
      </c>
      <c r="E2424" s="159">
        <v>3273.2</v>
      </c>
      <c r="F2424" s="159">
        <v>6219.08</v>
      </c>
      <c r="G2424" s="160" t="s">
        <v>5458</v>
      </c>
      <c r="H2424" s="34" t="s">
        <v>925</v>
      </c>
    </row>
    <row r="2425" spans="1:8" ht="33">
      <c r="A2425" s="160">
        <v>3</v>
      </c>
      <c r="B2425" s="160" t="s">
        <v>2249</v>
      </c>
      <c r="C2425" s="157" t="s">
        <v>3</v>
      </c>
      <c r="D2425" s="159">
        <v>52.3</v>
      </c>
      <c r="E2425" s="159">
        <v>249.91</v>
      </c>
      <c r="F2425" s="159">
        <v>13070.29</v>
      </c>
      <c r="G2425" s="160" t="s">
        <v>2</v>
      </c>
      <c r="H2425" s="34" t="s">
        <v>925</v>
      </c>
    </row>
    <row r="2426" spans="1:8" ht="33">
      <c r="A2426" s="160">
        <v>4</v>
      </c>
      <c r="B2426" s="160" t="s">
        <v>2251</v>
      </c>
      <c r="C2426" s="157" t="s">
        <v>14</v>
      </c>
      <c r="D2426" s="159">
        <v>1</v>
      </c>
      <c r="E2426" s="159">
        <v>8654.3799999999992</v>
      </c>
      <c r="F2426" s="159">
        <v>8654.3799999999992</v>
      </c>
      <c r="G2426" s="160" t="s">
        <v>2</v>
      </c>
      <c r="H2426" s="34" t="s">
        <v>925</v>
      </c>
    </row>
    <row r="2427" spans="1:8" ht="33">
      <c r="A2427" s="160">
        <v>5</v>
      </c>
      <c r="B2427" s="160" t="s">
        <v>1685</v>
      </c>
      <c r="C2427" s="157" t="s">
        <v>3</v>
      </c>
      <c r="D2427" s="159">
        <v>59.9</v>
      </c>
      <c r="E2427" s="159">
        <v>443.93</v>
      </c>
      <c r="F2427" s="159">
        <v>26591.41</v>
      </c>
      <c r="G2427" s="160" t="s">
        <v>1902</v>
      </c>
      <c r="H2427" s="34" t="s">
        <v>925</v>
      </c>
    </row>
    <row r="2428" spans="1:8" ht="33">
      <c r="A2428" s="160">
        <v>6</v>
      </c>
      <c r="B2428" s="160" t="s">
        <v>2253</v>
      </c>
      <c r="C2428" s="157" t="s">
        <v>3</v>
      </c>
      <c r="D2428" s="159">
        <v>52.3</v>
      </c>
      <c r="E2428" s="159">
        <v>462.8</v>
      </c>
      <c r="F2428" s="159">
        <v>24204.44</v>
      </c>
      <c r="G2428" s="160" t="s">
        <v>2</v>
      </c>
      <c r="H2428" s="34" t="s">
        <v>925</v>
      </c>
    </row>
    <row r="2429" spans="1:8" ht="33">
      <c r="A2429" s="160">
        <v>7</v>
      </c>
      <c r="B2429" s="160" t="s">
        <v>931</v>
      </c>
      <c r="C2429" s="157" t="s">
        <v>14</v>
      </c>
      <c r="D2429" s="159">
        <v>1</v>
      </c>
      <c r="E2429" s="159">
        <v>2840.57</v>
      </c>
      <c r="F2429" s="159">
        <v>2840.57</v>
      </c>
      <c r="G2429" s="160" t="s">
        <v>2</v>
      </c>
      <c r="H2429" s="34" t="s">
        <v>925</v>
      </c>
    </row>
    <row r="2430" spans="1:8" ht="33">
      <c r="A2430" s="160"/>
      <c r="B2430" s="160" t="s">
        <v>933</v>
      </c>
      <c r="C2430" s="157" t="s">
        <v>17</v>
      </c>
      <c r="D2430" s="159">
        <v>32</v>
      </c>
      <c r="E2430" s="159"/>
      <c r="F2430" s="159">
        <v>97526.170000000013</v>
      </c>
      <c r="G2430" s="160"/>
      <c r="H2430" s="34" t="s">
        <v>925</v>
      </c>
    </row>
    <row r="2431" spans="1:8" ht="33">
      <c r="A2431" s="160"/>
      <c r="B2431" s="160" t="s">
        <v>934</v>
      </c>
      <c r="C2431" s="157" t="s">
        <v>17</v>
      </c>
      <c r="D2431" s="159"/>
      <c r="E2431" s="159"/>
      <c r="F2431" s="159">
        <v>3047.69</v>
      </c>
      <c r="G2431" s="160"/>
      <c r="H2431" s="34" t="s">
        <v>925</v>
      </c>
    </row>
    <row r="2432" spans="1:8" ht="33">
      <c r="A2432" s="160"/>
      <c r="B2432" s="160"/>
      <c r="C2432" s="157"/>
      <c r="D2432" s="159"/>
      <c r="E2432" s="159"/>
      <c r="F2432" s="159"/>
      <c r="G2432" s="160"/>
      <c r="H2432" s="34" t="s">
        <v>925</v>
      </c>
    </row>
    <row r="2433" spans="1:8" ht="28.5">
      <c r="A2433" s="160" t="s">
        <v>2485</v>
      </c>
      <c r="B2433" s="160" t="s">
        <v>2265</v>
      </c>
      <c r="C2433" s="157" t="s">
        <v>3</v>
      </c>
      <c r="D2433" s="159">
        <v>1</v>
      </c>
      <c r="E2433" s="159">
        <v>371.81</v>
      </c>
      <c r="F2433" s="159"/>
      <c r="G2433" s="160" t="s">
        <v>2</v>
      </c>
    </row>
    <row r="2434" spans="1:8" ht="33">
      <c r="A2434" s="160">
        <v>1</v>
      </c>
      <c r="B2434" s="160" t="s">
        <v>2267</v>
      </c>
      <c r="C2434" s="157" t="s">
        <v>3</v>
      </c>
      <c r="D2434" s="159">
        <v>1</v>
      </c>
      <c r="E2434" s="159">
        <v>111.07</v>
      </c>
      <c r="F2434" s="159">
        <v>111.07</v>
      </c>
      <c r="G2434" s="160" t="s">
        <v>5459</v>
      </c>
      <c r="H2434" s="34" t="s">
        <v>925</v>
      </c>
    </row>
    <row r="2435" spans="1:8" ht="33">
      <c r="A2435" s="160">
        <v>2</v>
      </c>
      <c r="B2435" s="160" t="s">
        <v>2269</v>
      </c>
      <c r="C2435" s="157" t="s">
        <v>3</v>
      </c>
      <c r="D2435" s="159">
        <v>1</v>
      </c>
      <c r="E2435" s="159">
        <v>111.07</v>
      </c>
      <c r="F2435" s="159">
        <v>111.07</v>
      </c>
      <c r="G2435" s="160" t="s">
        <v>2</v>
      </c>
      <c r="H2435" s="34" t="s">
        <v>925</v>
      </c>
    </row>
    <row r="2436" spans="1:8" ht="33">
      <c r="A2436" s="160">
        <v>3</v>
      </c>
      <c r="B2436" s="160" t="s">
        <v>2271</v>
      </c>
      <c r="C2436" s="157" t="s">
        <v>14</v>
      </c>
      <c r="D2436" s="159">
        <v>1</v>
      </c>
      <c r="E2436" s="159">
        <v>138.84</v>
      </c>
      <c r="F2436" s="159">
        <v>138.84</v>
      </c>
      <c r="G2436" s="160" t="s">
        <v>2</v>
      </c>
      <c r="H2436" s="34" t="s">
        <v>925</v>
      </c>
    </row>
    <row r="2437" spans="1:8" ht="33">
      <c r="A2437" s="160">
        <v>4</v>
      </c>
      <c r="B2437" s="160" t="s">
        <v>955</v>
      </c>
      <c r="C2437" s="157" t="s">
        <v>14</v>
      </c>
      <c r="D2437" s="159">
        <v>1</v>
      </c>
      <c r="E2437" s="159">
        <v>10.83</v>
      </c>
      <c r="F2437" s="159">
        <v>10.83</v>
      </c>
      <c r="G2437" s="160" t="s">
        <v>2</v>
      </c>
      <c r="H2437" s="34" t="s">
        <v>925</v>
      </c>
    </row>
    <row r="2438" spans="1:8" ht="33">
      <c r="A2438" s="160"/>
      <c r="B2438" s="160" t="s">
        <v>933</v>
      </c>
      <c r="C2438" s="157" t="s">
        <v>3</v>
      </c>
      <c r="D2438" s="159">
        <v>1</v>
      </c>
      <c r="E2438" s="159"/>
      <c r="F2438" s="159">
        <v>371.81</v>
      </c>
      <c r="G2438" s="160"/>
      <c r="H2438" s="34" t="s">
        <v>925</v>
      </c>
    </row>
    <row r="2439" spans="1:8" ht="16.5">
      <c r="A2439" s="160"/>
      <c r="B2439" s="160" t="s">
        <v>934</v>
      </c>
      <c r="C2439" s="157" t="s">
        <v>3</v>
      </c>
      <c r="D2439" s="159"/>
      <c r="E2439" s="159"/>
      <c r="F2439" s="159">
        <v>371.81</v>
      </c>
      <c r="G2439" s="160"/>
    </row>
    <row r="2440" spans="1:8" ht="33">
      <c r="A2440" s="160"/>
      <c r="B2440" s="160"/>
      <c r="C2440" s="157"/>
      <c r="D2440" s="159"/>
      <c r="E2440" s="159"/>
      <c r="F2440" s="159"/>
      <c r="G2440" s="160"/>
      <c r="H2440" s="34" t="s">
        <v>925</v>
      </c>
    </row>
    <row r="2441" spans="1:8" ht="33">
      <c r="A2441" s="160" t="s">
        <v>2488</v>
      </c>
      <c r="B2441" s="160" t="s">
        <v>2274</v>
      </c>
      <c r="C2441" s="157" t="s">
        <v>3</v>
      </c>
      <c r="D2441" s="159">
        <v>1</v>
      </c>
      <c r="E2441" s="159">
        <v>640.66</v>
      </c>
      <c r="F2441" s="159"/>
      <c r="G2441" s="160" t="s">
        <v>4386</v>
      </c>
      <c r="H2441" s="34" t="s">
        <v>925</v>
      </c>
    </row>
    <row r="2442" spans="1:8" ht="33">
      <c r="A2442" s="160">
        <v>1</v>
      </c>
      <c r="B2442" s="160" t="s">
        <v>2276</v>
      </c>
      <c r="C2442" s="157" t="s">
        <v>3</v>
      </c>
      <c r="D2442" s="159">
        <v>1</v>
      </c>
      <c r="E2442" s="159">
        <v>390.6</v>
      </c>
      <c r="F2442" s="159">
        <v>390.6</v>
      </c>
      <c r="G2442" s="160" t="s">
        <v>5459</v>
      </c>
      <c r="H2442" s="34" t="s">
        <v>925</v>
      </c>
    </row>
    <row r="2443" spans="1:8" ht="33">
      <c r="A2443" s="160">
        <v>2</v>
      </c>
      <c r="B2443" s="160" t="s">
        <v>2278</v>
      </c>
      <c r="C2443" s="157" t="s">
        <v>3</v>
      </c>
      <c r="D2443" s="159">
        <v>1</v>
      </c>
      <c r="E2443" s="159">
        <v>92.56</v>
      </c>
      <c r="F2443" s="159">
        <v>92.56</v>
      </c>
      <c r="G2443" s="160" t="s">
        <v>2</v>
      </c>
      <c r="H2443" s="34" t="s">
        <v>925</v>
      </c>
    </row>
    <row r="2444" spans="1:8" ht="33">
      <c r="A2444" s="160">
        <v>3</v>
      </c>
      <c r="B2444" s="160" t="s">
        <v>2271</v>
      </c>
      <c r="C2444" s="157" t="s">
        <v>14</v>
      </c>
      <c r="D2444" s="159">
        <v>1</v>
      </c>
      <c r="E2444" s="159">
        <v>138.84</v>
      </c>
      <c r="F2444" s="159">
        <v>138.84</v>
      </c>
      <c r="G2444" s="160" t="s">
        <v>2</v>
      </c>
      <c r="H2444" s="34" t="s">
        <v>925</v>
      </c>
    </row>
    <row r="2445" spans="1:8" ht="33">
      <c r="A2445" s="160">
        <v>4</v>
      </c>
      <c r="B2445" s="160" t="s">
        <v>955</v>
      </c>
      <c r="C2445" s="157" t="s">
        <v>14</v>
      </c>
      <c r="D2445" s="159">
        <v>1</v>
      </c>
      <c r="E2445" s="159">
        <v>18.66</v>
      </c>
      <c r="F2445" s="159">
        <v>18.66</v>
      </c>
      <c r="G2445" s="160" t="s">
        <v>2</v>
      </c>
      <c r="H2445" s="34" t="s">
        <v>925</v>
      </c>
    </row>
    <row r="2446" spans="1:8" ht="16.5">
      <c r="A2446" s="160"/>
      <c r="B2446" s="160" t="s">
        <v>933</v>
      </c>
      <c r="C2446" s="157" t="s">
        <v>3</v>
      </c>
      <c r="D2446" s="159">
        <v>1</v>
      </c>
      <c r="E2446" s="159"/>
      <c r="F2446" s="159">
        <v>640.66</v>
      </c>
      <c r="G2446" s="160"/>
    </row>
    <row r="2447" spans="1:8" ht="33">
      <c r="A2447" s="160"/>
      <c r="B2447" s="160" t="s">
        <v>934</v>
      </c>
      <c r="C2447" s="157" t="s">
        <v>3</v>
      </c>
      <c r="D2447" s="159"/>
      <c r="E2447" s="159"/>
      <c r="F2447" s="159">
        <v>640.66</v>
      </c>
      <c r="G2447" s="160"/>
      <c r="H2447" s="34" t="s">
        <v>925</v>
      </c>
    </row>
    <row r="2448" spans="1:8" ht="33">
      <c r="A2448" s="160"/>
      <c r="B2448" s="160"/>
      <c r="C2448" s="157"/>
      <c r="D2448" s="159"/>
      <c r="E2448" s="159"/>
      <c r="F2448" s="159"/>
      <c r="G2448" s="160"/>
      <c r="H2448" s="34" t="s">
        <v>925</v>
      </c>
    </row>
    <row r="2449" spans="1:8" ht="42.75">
      <c r="A2449" s="160" t="s">
        <v>2496</v>
      </c>
      <c r="B2449" s="160" t="s">
        <v>2281</v>
      </c>
      <c r="C2449" s="157" t="s">
        <v>3</v>
      </c>
      <c r="D2449" s="159">
        <v>12</v>
      </c>
      <c r="E2449" s="159">
        <v>3789.64</v>
      </c>
      <c r="F2449" s="159"/>
      <c r="G2449" s="160" t="s">
        <v>2</v>
      </c>
      <c r="H2449" s="34" t="s">
        <v>925</v>
      </c>
    </row>
    <row r="2450" spans="1:8" ht="33">
      <c r="A2450" s="160">
        <v>1</v>
      </c>
      <c r="B2450" s="160" t="s">
        <v>2283</v>
      </c>
      <c r="C2450" s="157" t="s">
        <v>1875</v>
      </c>
      <c r="D2450" s="159">
        <v>4</v>
      </c>
      <c r="E2450" s="159">
        <v>2314</v>
      </c>
      <c r="F2450" s="159">
        <v>9256</v>
      </c>
      <c r="G2450" s="160" t="s">
        <v>5460</v>
      </c>
      <c r="H2450" s="34" t="s">
        <v>925</v>
      </c>
    </row>
    <row r="2451" spans="1:8" ht="57">
      <c r="A2451" s="160">
        <v>2</v>
      </c>
      <c r="B2451" s="160" t="s">
        <v>2285</v>
      </c>
      <c r="C2451" s="157" t="s">
        <v>14</v>
      </c>
      <c r="D2451" s="159">
        <v>1</v>
      </c>
      <c r="E2451" s="159">
        <v>13513.78</v>
      </c>
      <c r="F2451" s="159">
        <v>13513.78</v>
      </c>
      <c r="G2451" s="160" t="s">
        <v>2</v>
      </c>
      <c r="H2451" s="34" t="s">
        <v>925</v>
      </c>
    </row>
    <row r="2452" spans="1:8" ht="42.75">
      <c r="A2452" s="160">
        <v>3</v>
      </c>
      <c r="B2452" s="160" t="s">
        <v>2287</v>
      </c>
      <c r="C2452" s="157" t="s">
        <v>14</v>
      </c>
      <c r="D2452" s="159">
        <v>1</v>
      </c>
      <c r="E2452" s="159">
        <v>18049.23</v>
      </c>
      <c r="F2452" s="159">
        <v>18049.23</v>
      </c>
      <c r="G2452" s="160" t="s">
        <v>5461</v>
      </c>
    </row>
    <row r="2453" spans="1:8" ht="57">
      <c r="A2453" s="160">
        <v>4</v>
      </c>
      <c r="B2453" s="160" t="s">
        <v>2289</v>
      </c>
      <c r="C2453" s="157" t="s">
        <v>14</v>
      </c>
      <c r="D2453" s="159">
        <v>1</v>
      </c>
      <c r="E2453" s="159">
        <v>3332.17</v>
      </c>
      <c r="F2453" s="159">
        <v>3332.17</v>
      </c>
      <c r="G2453" s="160" t="s">
        <v>2</v>
      </c>
      <c r="H2453" s="34" t="s">
        <v>925</v>
      </c>
    </row>
    <row r="2454" spans="1:8" ht="33">
      <c r="A2454" s="160">
        <v>5</v>
      </c>
      <c r="B2454" s="160" t="s">
        <v>931</v>
      </c>
      <c r="C2454" s="157" t="s">
        <v>14</v>
      </c>
      <c r="D2454" s="159">
        <v>1</v>
      </c>
      <c r="E2454" s="159">
        <v>1324.54</v>
      </c>
      <c r="F2454" s="159">
        <v>1324.54</v>
      </c>
      <c r="G2454" s="160" t="s">
        <v>2</v>
      </c>
      <c r="H2454" s="34" t="s">
        <v>925</v>
      </c>
    </row>
    <row r="2455" spans="1:8" ht="33">
      <c r="A2455" s="160"/>
      <c r="B2455" s="160" t="s">
        <v>933</v>
      </c>
      <c r="C2455" s="157" t="s">
        <v>3</v>
      </c>
      <c r="D2455" s="159">
        <v>12</v>
      </c>
      <c r="E2455" s="159"/>
      <c r="F2455" s="159">
        <v>45475.719999999994</v>
      </c>
      <c r="G2455" s="160"/>
      <c r="H2455" s="34" t="s">
        <v>925</v>
      </c>
    </row>
    <row r="2456" spans="1:8" ht="33">
      <c r="A2456" s="160"/>
      <c r="B2456" s="160" t="s">
        <v>934</v>
      </c>
      <c r="C2456" s="157" t="s">
        <v>3</v>
      </c>
      <c r="D2456" s="159"/>
      <c r="E2456" s="159"/>
      <c r="F2456" s="159">
        <v>3789.64</v>
      </c>
      <c r="G2456" s="160"/>
      <c r="H2456" s="34" t="s">
        <v>925</v>
      </c>
    </row>
    <row r="2457" spans="1:8" ht="33">
      <c r="A2457" s="160"/>
      <c r="B2457" s="160"/>
      <c r="C2457" s="157"/>
      <c r="D2457" s="159"/>
      <c r="E2457" s="159"/>
      <c r="F2457" s="159"/>
      <c r="G2457" s="160"/>
      <c r="H2457" s="34" t="s">
        <v>925</v>
      </c>
    </row>
    <row r="2458" spans="1:8" ht="42.75">
      <c r="A2458" s="160" t="s">
        <v>2505</v>
      </c>
      <c r="B2458" s="160" t="s">
        <v>2292</v>
      </c>
      <c r="C2458" s="157" t="s">
        <v>3</v>
      </c>
      <c r="D2458" s="159">
        <v>1</v>
      </c>
      <c r="E2458" s="159">
        <v>233.57</v>
      </c>
      <c r="F2458" s="159"/>
      <c r="G2458" s="160" t="s">
        <v>2</v>
      </c>
      <c r="H2458" s="34" t="s">
        <v>925</v>
      </c>
    </row>
    <row r="2459" spans="1:8" ht="42.75">
      <c r="A2459" s="160">
        <v>1</v>
      </c>
      <c r="B2459" s="160" t="s">
        <v>2294</v>
      </c>
      <c r="C2459" s="157" t="s">
        <v>3</v>
      </c>
      <c r="D2459" s="159">
        <v>1</v>
      </c>
      <c r="E2459" s="159">
        <v>185.12</v>
      </c>
      <c r="F2459" s="159">
        <v>185.12</v>
      </c>
      <c r="G2459" s="160" t="s">
        <v>2</v>
      </c>
    </row>
    <row r="2460" spans="1:8" ht="42.75">
      <c r="A2460" s="160">
        <v>2</v>
      </c>
      <c r="B2460" s="160" t="s">
        <v>2287</v>
      </c>
      <c r="C2460" s="157" t="s">
        <v>14</v>
      </c>
      <c r="D2460" s="159">
        <v>1</v>
      </c>
      <c r="E2460" s="159">
        <v>41.65</v>
      </c>
      <c r="F2460" s="159">
        <v>41.65</v>
      </c>
      <c r="G2460" s="160" t="s">
        <v>5461</v>
      </c>
      <c r="H2460" s="34" t="s">
        <v>925</v>
      </c>
    </row>
    <row r="2461" spans="1:8" ht="33">
      <c r="A2461" s="160">
        <v>3</v>
      </c>
      <c r="B2461" s="160" t="s">
        <v>931</v>
      </c>
      <c r="C2461" s="157" t="s">
        <v>14</v>
      </c>
      <c r="D2461" s="159">
        <v>1</v>
      </c>
      <c r="E2461" s="159">
        <v>6.8</v>
      </c>
      <c r="F2461" s="159">
        <v>6.8</v>
      </c>
      <c r="G2461" s="160" t="s">
        <v>2</v>
      </c>
      <c r="H2461" s="34" t="s">
        <v>925</v>
      </c>
    </row>
    <row r="2462" spans="1:8" ht="33">
      <c r="A2462" s="160"/>
      <c r="B2462" s="160" t="s">
        <v>933</v>
      </c>
      <c r="C2462" s="157" t="s">
        <v>3</v>
      </c>
      <c r="D2462" s="159">
        <v>1</v>
      </c>
      <c r="E2462" s="159"/>
      <c r="F2462" s="159">
        <v>233.57000000000002</v>
      </c>
      <c r="G2462" s="160"/>
      <c r="H2462" s="34" t="s">
        <v>925</v>
      </c>
    </row>
    <row r="2463" spans="1:8" ht="33">
      <c r="A2463" s="160"/>
      <c r="B2463" s="160" t="s">
        <v>934</v>
      </c>
      <c r="C2463" s="157" t="s">
        <v>3</v>
      </c>
      <c r="D2463" s="159"/>
      <c r="E2463" s="159"/>
      <c r="F2463" s="159">
        <v>233.57</v>
      </c>
      <c r="G2463" s="160"/>
      <c r="H2463" s="34" t="s">
        <v>925</v>
      </c>
    </row>
    <row r="2464" spans="1:8" ht="33">
      <c r="A2464" s="160"/>
      <c r="B2464" s="160"/>
      <c r="C2464" s="157"/>
      <c r="D2464" s="159"/>
      <c r="E2464" s="159"/>
      <c r="F2464" s="159"/>
      <c r="G2464" s="160"/>
      <c r="H2464" s="34" t="s">
        <v>925</v>
      </c>
    </row>
    <row r="2465" spans="1:8" ht="33">
      <c r="A2465" s="160" t="s">
        <v>2508</v>
      </c>
      <c r="B2465" s="160" t="s">
        <v>3654</v>
      </c>
      <c r="C2465" s="157" t="s">
        <v>1689</v>
      </c>
      <c r="D2465" s="159">
        <v>1</v>
      </c>
      <c r="E2465" s="159">
        <v>461.63</v>
      </c>
      <c r="F2465" s="159"/>
      <c r="G2465" s="160" t="s">
        <v>3970</v>
      </c>
      <c r="H2465" s="34" t="s">
        <v>925</v>
      </c>
    </row>
    <row r="2466" spans="1:8" ht="42.75">
      <c r="A2466" s="160">
        <v>1</v>
      </c>
      <c r="B2466" s="160" t="s">
        <v>4987</v>
      </c>
      <c r="C2466" s="157" t="s">
        <v>1689</v>
      </c>
      <c r="D2466" s="159">
        <v>1</v>
      </c>
      <c r="E2466" s="159">
        <v>161.97999999999999</v>
      </c>
      <c r="F2466" s="159">
        <v>161.97999999999999</v>
      </c>
      <c r="G2466" s="160" t="s">
        <v>5462</v>
      </c>
      <c r="H2466" s="34" t="s">
        <v>925</v>
      </c>
    </row>
    <row r="2467" spans="1:8" ht="16.5">
      <c r="A2467" s="160">
        <v>2</v>
      </c>
      <c r="B2467" s="160" t="s">
        <v>4036</v>
      </c>
      <c r="C2467" s="157" t="s">
        <v>14</v>
      </c>
      <c r="D2467" s="159">
        <v>1</v>
      </c>
      <c r="E2467" s="159">
        <v>96.45</v>
      </c>
      <c r="F2467" s="159">
        <v>96.45</v>
      </c>
      <c r="G2467" s="160" t="s">
        <v>2</v>
      </c>
    </row>
    <row r="2468" spans="1:8" ht="33">
      <c r="A2468" s="160">
        <v>3</v>
      </c>
      <c r="B2468" s="160" t="s">
        <v>4989</v>
      </c>
      <c r="C2468" s="157" t="s">
        <v>14</v>
      </c>
      <c r="D2468" s="159">
        <v>1</v>
      </c>
      <c r="E2468" s="159">
        <v>189.75</v>
      </c>
      <c r="F2468" s="159">
        <v>189.75</v>
      </c>
      <c r="G2468" s="160" t="s">
        <v>5463</v>
      </c>
      <c r="H2468" s="34" t="s">
        <v>925</v>
      </c>
    </row>
    <row r="2469" spans="1:8" ht="33">
      <c r="A2469" s="160">
        <v>4</v>
      </c>
      <c r="B2469" s="160" t="s">
        <v>931</v>
      </c>
      <c r="C2469" s="157" t="s">
        <v>14</v>
      </c>
      <c r="D2469" s="159">
        <v>1</v>
      </c>
      <c r="E2469" s="159">
        <v>13.45</v>
      </c>
      <c r="F2469" s="159">
        <v>13.45</v>
      </c>
      <c r="G2469" s="160" t="s">
        <v>2</v>
      </c>
      <c r="H2469" s="34" t="s">
        <v>925</v>
      </c>
    </row>
    <row r="2470" spans="1:8" ht="33">
      <c r="A2470" s="160"/>
      <c r="B2470" s="160" t="s">
        <v>933</v>
      </c>
      <c r="C2470" s="157" t="s">
        <v>1689</v>
      </c>
      <c r="D2470" s="159">
        <v>1</v>
      </c>
      <c r="E2470" s="159"/>
      <c r="F2470" s="159">
        <v>461.63</v>
      </c>
      <c r="G2470" s="160"/>
      <c r="H2470" s="34" t="s">
        <v>925</v>
      </c>
    </row>
    <row r="2471" spans="1:8" ht="33">
      <c r="A2471" s="160"/>
      <c r="B2471" s="160" t="s">
        <v>934</v>
      </c>
      <c r="C2471" s="157" t="s">
        <v>1689</v>
      </c>
      <c r="D2471" s="159"/>
      <c r="E2471" s="159"/>
      <c r="F2471" s="159">
        <v>461.63</v>
      </c>
      <c r="G2471" s="160"/>
      <c r="H2471" s="34" t="s">
        <v>925</v>
      </c>
    </row>
    <row r="2472" spans="1:8" ht="33">
      <c r="A2472" s="160"/>
      <c r="B2472" s="160"/>
      <c r="C2472" s="157"/>
      <c r="D2472" s="159"/>
      <c r="E2472" s="159"/>
      <c r="F2472" s="159"/>
      <c r="G2472" s="160"/>
      <c r="H2472" s="34" t="s">
        <v>925</v>
      </c>
    </row>
    <row r="2473" spans="1:8" ht="33">
      <c r="A2473" s="160" t="s">
        <v>2511</v>
      </c>
      <c r="B2473" s="160" t="s">
        <v>3652</v>
      </c>
      <c r="C2473" s="157" t="s">
        <v>1689</v>
      </c>
      <c r="D2473" s="159">
        <v>1</v>
      </c>
      <c r="E2473" s="159">
        <v>592.91</v>
      </c>
      <c r="F2473" s="159"/>
      <c r="G2473" s="160" t="s">
        <v>3968</v>
      </c>
      <c r="H2473" s="34" t="s">
        <v>925</v>
      </c>
    </row>
    <row r="2474" spans="1:8" ht="42.75">
      <c r="A2474" s="160">
        <v>1</v>
      </c>
      <c r="B2474" s="160" t="s">
        <v>4987</v>
      </c>
      <c r="C2474" s="157" t="s">
        <v>1689</v>
      </c>
      <c r="D2474" s="159">
        <v>1</v>
      </c>
      <c r="E2474" s="159">
        <v>192.44</v>
      </c>
      <c r="F2474" s="159">
        <v>192.44</v>
      </c>
      <c r="G2474" s="160" t="s">
        <v>5462</v>
      </c>
      <c r="H2474" s="34" t="s">
        <v>925</v>
      </c>
    </row>
    <row r="2475" spans="1:8" ht="16.5">
      <c r="A2475" s="160">
        <v>2</v>
      </c>
      <c r="B2475" s="160" t="s">
        <v>4036</v>
      </c>
      <c r="C2475" s="157" t="s">
        <v>14</v>
      </c>
      <c r="D2475" s="159">
        <v>1</v>
      </c>
      <c r="E2475" s="159">
        <v>128.66</v>
      </c>
      <c r="F2475" s="159">
        <v>128.66</v>
      </c>
      <c r="G2475" s="160" t="s">
        <v>2</v>
      </c>
    </row>
    <row r="2476" spans="1:8" ht="33">
      <c r="A2476" s="160">
        <v>3</v>
      </c>
      <c r="B2476" s="160" t="s">
        <v>4989</v>
      </c>
      <c r="C2476" s="157" t="s">
        <v>14</v>
      </c>
      <c r="D2476" s="159">
        <v>1</v>
      </c>
      <c r="E2476" s="159">
        <v>254.54</v>
      </c>
      <c r="F2476" s="159">
        <v>254.54</v>
      </c>
      <c r="G2476" s="160" t="s">
        <v>5463</v>
      </c>
      <c r="H2476" s="34" t="s">
        <v>925</v>
      </c>
    </row>
    <row r="2477" spans="1:8" ht="33">
      <c r="A2477" s="160">
        <v>4</v>
      </c>
      <c r="B2477" s="160" t="s">
        <v>931</v>
      </c>
      <c r="C2477" s="157" t="s">
        <v>14</v>
      </c>
      <c r="D2477" s="159">
        <v>1</v>
      </c>
      <c r="E2477" s="159">
        <v>17.27</v>
      </c>
      <c r="F2477" s="159">
        <v>17.27</v>
      </c>
      <c r="G2477" s="160" t="s">
        <v>2</v>
      </c>
      <c r="H2477" s="34" t="s">
        <v>925</v>
      </c>
    </row>
    <row r="2478" spans="1:8" ht="33">
      <c r="A2478" s="160"/>
      <c r="B2478" s="160" t="s">
        <v>933</v>
      </c>
      <c r="C2478" s="157" t="s">
        <v>1689</v>
      </c>
      <c r="D2478" s="159">
        <v>1</v>
      </c>
      <c r="E2478" s="159"/>
      <c r="F2478" s="159">
        <v>592.91</v>
      </c>
      <c r="G2478" s="160"/>
      <c r="H2478" s="34" t="s">
        <v>925</v>
      </c>
    </row>
    <row r="2479" spans="1:8" ht="33">
      <c r="A2479" s="160"/>
      <c r="B2479" s="160" t="s">
        <v>934</v>
      </c>
      <c r="C2479" s="157" t="s">
        <v>1689</v>
      </c>
      <c r="D2479" s="159"/>
      <c r="E2479" s="159"/>
      <c r="F2479" s="159">
        <v>592.91</v>
      </c>
      <c r="G2479" s="160"/>
      <c r="H2479" s="34" t="s">
        <v>925</v>
      </c>
    </row>
    <row r="2480" spans="1:8" ht="33">
      <c r="A2480" s="160"/>
      <c r="B2480" s="160"/>
      <c r="C2480" s="157"/>
      <c r="D2480" s="159"/>
      <c r="E2480" s="159"/>
      <c r="F2480" s="159"/>
      <c r="G2480" s="160"/>
      <c r="H2480" s="34" t="s">
        <v>925</v>
      </c>
    </row>
    <row r="2481" spans="1:8" ht="33">
      <c r="A2481" s="160" t="s">
        <v>2514</v>
      </c>
      <c r="B2481" s="160" t="s">
        <v>3649</v>
      </c>
      <c r="C2481" s="157" t="s">
        <v>3</v>
      </c>
      <c r="D2481" s="159">
        <v>1</v>
      </c>
      <c r="E2481" s="159">
        <v>728.18</v>
      </c>
      <c r="F2481" s="159"/>
      <c r="G2481" s="160" t="s">
        <v>2</v>
      </c>
      <c r="H2481" s="34" t="s">
        <v>925</v>
      </c>
    </row>
    <row r="2482" spans="1:8" ht="33">
      <c r="A2482" s="160">
        <v>1</v>
      </c>
      <c r="B2482" s="160" t="s">
        <v>4034</v>
      </c>
      <c r="C2482" s="157" t="s">
        <v>3</v>
      </c>
      <c r="D2482" s="159">
        <v>1.1000000000000001</v>
      </c>
      <c r="E2482" s="159">
        <v>219.28</v>
      </c>
      <c r="F2482" s="159">
        <v>241.21</v>
      </c>
      <c r="G2482" s="160" t="s">
        <v>5464</v>
      </c>
      <c r="H2482" s="34" t="s">
        <v>925</v>
      </c>
    </row>
    <row r="2483" spans="1:8" ht="33">
      <c r="A2483" s="160">
        <v>2</v>
      </c>
      <c r="B2483" s="160" t="s">
        <v>4036</v>
      </c>
      <c r="C2483" s="157" t="s">
        <v>14</v>
      </c>
      <c r="D2483" s="159">
        <v>1</v>
      </c>
      <c r="E2483" s="159">
        <v>128.66</v>
      </c>
      <c r="F2483" s="159">
        <v>128.66</v>
      </c>
      <c r="G2483" s="160" t="s">
        <v>2</v>
      </c>
      <c r="H2483" s="34" t="s">
        <v>925</v>
      </c>
    </row>
    <row r="2484" spans="1:8" ht="33">
      <c r="A2484" s="160">
        <v>3</v>
      </c>
      <c r="B2484" s="160" t="s">
        <v>4964</v>
      </c>
      <c r="C2484" s="157" t="s">
        <v>927</v>
      </c>
      <c r="D2484" s="159">
        <v>0.2</v>
      </c>
      <c r="E2484" s="159">
        <v>371.17</v>
      </c>
      <c r="F2484" s="159">
        <v>74.23</v>
      </c>
      <c r="G2484" s="160" t="s">
        <v>5454</v>
      </c>
      <c r="H2484" s="34" t="s">
        <v>925</v>
      </c>
    </row>
    <row r="2485" spans="1:8" ht="16.5">
      <c r="A2485" s="160">
        <v>4</v>
      </c>
      <c r="B2485" s="160" t="s">
        <v>1774</v>
      </c>
      <c r="C2485" s="157" t="s">
        <v>927</v>
      </c>
      <c r="D2485" s="159">
        <v>0.2</v>
      </c>
      <c r="E2485" s="159">
        <v>1314.35</v>
      </c>
      <c r="F2485" s="159">
        <v>262.87</v>
      </c>
      <c r="G2485" s="160" t="s">
        <v>2</v>
      </c>
    </row>
    <row r="2486" spans="1:8" ht="33">
      <c r="A2486" s="160">
        <v>5</v>
      </c>
      <c r="B2486" s="160" t="s">
        <v>931</v>
      </c>
      <c r="C2486" s="157" t="s">
        <v>14</v>
      </c>
      <c r="D2486" s="159">
        <v>1</v>
      </c>
      <c r="E2486" s="159">
        <v>21.21</v>
      </c>
      <c r="F2486" s="159">
        <v>21.21</v>
      </c>
      <c r="G2486" s="160" t="s">
        <v>2</v>
      </c>
      <c r="H2486" s="34" t="s">
        <v>925</v>
      </c>
    </row>
    <row r="2487" spans="1:8" ht="33">
      <c r="A2487" s="160"/>
      <c r="B2487" s="160" t="s">
        <v>933</v>
      </c>
      <c r="C2487" s="157" t="s">
        <v>3</v>
      </c>
      <c r="D2487" s="159">
        <v>1</v>
      </c>
      <c r="E2487" s="159"/>
      <c r="F2487" s="159">
        <v>728.18000000000006</v>
      </c>
      <c r="G2487" s="160"/>
      <c r="H2487" s="34" t="s">
        <v>925</v>
      </c>
    </row>
    <row r="2488" spans="1:8" ht="33">
      <c r="A2488" s="160"/>
      <c r="B2488" s="160" t="s">
        <v>934</v>
      </c>
      <c r="C2488" s="157" t="s">
        <v>3</v>
      </c>
      <c r="D2488" s="159"/>
      <c r="E2488" s="159"/>
      <c r="F2488" s="159">
        <v>728.18</v>
      </c>
      <c r="G2488" s="160"/>
      <c r="H2488" s="34" t="s">
        <v>925</v>
      </c>
    </row>
    <row r="2489" spans="1:8" ht="33">
      <c r="A2489" s="160"/>
      <c r="B2489" s="160"/>
      <c r="C2489" s="157"/>
      <c r="D2489" s="159"/>
      <c r="E2489" s="159"/>
      <c r="F2489" s="159"/>
      <c r="G2489" s="160"/>
      <c r="H2489" s="34" t="s">
        <v>925</v>
      </c>
    </row>
    <row r="2490" spans="1:8" ht="33">
      <c r="A2490" s="160" t="s">
        <v>2517</v>
      </c>
      <c r="B2490" s="160" t="s">
        <v>3650</v>
      </c>
      <c r="C2490" s="157" t="s">
        <v>3</v>
      </c>
      <c r="D2490" s="159">
        <v>1</v>
      </c>
      <c r="E2490" s="159">
        <v>806.62</v>
      </c>
      <c r="F2490" s="159"/>
      <c r="G2490" s="160" t="s">
        <v>2</v>
      </c>
      <c r="H2490" s="34" t="s">
        <v>925</v>
      </c>
    </row>
    <row r="2491" spans="1:8" ht="33">
      <c r="A2491" s="160">
        <v>1</v>
      </c>
      <c r="B2491" s="160" t="s">
        <v>4039</v>
      </c>
      <c r="C2491" s="157" t="s">
        <v>3</v>
      </c>
      <c r="D2491" s="159">
        <v>1.1000000000000001</v>
      </c>
      <c r="E2491" s="159">
        <v>288.52</v>
      </c>
      <c r="F2491" s="159">
        <v>317.37</v>
      </c>
      <c r="G2491" s="160" t="s">
        <v>5464</v>
      </c>
      <c r="H2491" s="34" t="s">
        <v>925</v>
      </c>
    </row>
    <row r="2492" spans="1:8" ht="33">
      <c r="A2492" s="160">
        <v>2</v>
      </c>
      <c r="B2492" s="160" t="s">
        <v>4036</v>
      </c>
      <c r="C2492" s="157" t="s">
        <v>14</v>
      </c>
      <c r="D2492" s="159">
        <v>1</v>
      </c>
      <c r="E2492" s="159">
        <v>128.66</v>
      </c>
      <c r="F2492" s="159">
        <v>128.66</v>
      </c>
      <c r="G2492" s="160" t="s">
        <v>2</v>
      </c>
      <c r="H2492" s="34" t="s">
        <v>925</v>
      </c>
    </row>
    <row r="2493" spans="1:8" ht="33">
      <c r="A2493" s="160">
        <v>3</v>
      </c>
      <c r="B2493" s="160" t="s">
        <v>4964</v>
      </c>
      <c r="C2493" s="157" t="s">
        <v>927</v>
      </c>
      <c r="D2493" s="159">
        <v>0.2</v>
      </c>
      <c r="E2493" s="159">
        <v>371.17</v>
      </c>
      <c r="F2493" s="159">
        <v>74.23</v>
      </c>
      <c r="G2493" s="160" t="s">
        <v>5454</v>
      </c>
      <c r="H2493" s="34" t="s">
        <v>925</v>
      </c>
    </row>
    <row r="2494" spans="1:8" ht="33">
      <c r="A2494" s="160">
        <v>4</v>
      </c>
      <c r="B2494" s="160" t="s">
        <v>1774</v>
      </c>
      <c r="C2494" s="157" t="s">
        <v>927</v>
      </c>
      <c r="D2494" s="159">
        <v>0.2</v>
      </c>
      <c r="E2494" s="159">
        <v>1314.35</v>
      </c>
      <c r="F2494" s="159">
        <v>262.87</v>
      </c>
      <c r="G2494" s="160" t="s">
        <v>2</v>
      </c>
      <c r="H2494" s="34" t="s">
        <v>925</v>
      </c>
    </row>
    <row r="2495" spans="1:8" ht="16.5">
      <c r="A2495" s="160">
        <v>5</v>
      </c>
      <c r="B2495" s="160" t="s">
        <v>931</v>
      </c>
      <c r="C2495" s="157" t="s">
        <v>14</v>
      </c>
      <c r="D2495" s="159">
        <v>1</v>
      </c>
      <c r="E2495" s="159">
        <v>23.49</v>
      </c>
      <c r="F2495" s="159">
        <v>23.49</v>
      </c>
      <c r="G2495" s="160" t="s">
        <v>2</v>
      </c>
    </row>
    <row r="2496" spans="1:8" ht="33">
      <c r="A2496" s="160"/>
      <c r="B2496" s="160" t="s">
        <v>933</v>
      </c>
      <c r="C2496" s="157" t="s">
        <v>3</v>
      </c>
      <c r="D2496" s="159">
        <v>1</v>
      </c>
      <c r="E2496" s="159"/>
      <c r="F2496" s="159">
        <v>806.62</v>
      </c>
      <c r="G2496" s="160"/>
      <c r="H2496" s="34" t="s">
        <v>925</v>
      </c>
    </row>
    <row r="2497" spans="1:8" ht="33">
      <c r="A2497" s="160"/>
      <c r="B2497" s="160" t="s">
        <v>934</v>
      </c>
      <c r="C2497" s="157" t="s">
        <v>3</v>
      </c>
      <c r="D2497" s="159"/>
      <c r="E2497" s="159"/>
      <c r="F2497" s="159">
        <v>806.62</v>
      </c>
      <c r="G2497" s="160"/>
      <c r="H2497" s="34" t="s">
        <v>925</v>
      </c>
    </row>
    <row r="2498" spans="1:8" ht="33">
      <c r="A2498" s="160"/>
      <c r="B2498" s="160"/>
      <c r="C2498" s="157"/>
      <c r="D2498" s="159"/>
      <c r="E2498" s="159"/>
      <c r="F2498" s="159"/>
      <c r="G2498" s="160"/>
      <c r="H2498" s="34" t="s">
        <v>925</v>
      </c>
    </row>
    <row r="2499" spans="1:8" ht="33">
      <c r="A2499" s="160" t="s">
        <v>2526</v>
      </c>
      <c r="B2499" s="160" t="s">
        <v>3651</v>
      </c>
      <c r="C2499" s="157" t="s">
        <v>3</v>
      </c>
      <c r="D2499" s="159">
        <v>1</v>
      </c>
      <c r="E2499" s="159">
        <v>898.16</v>
      </c>
      <c r="F2499" s="159"/>
      <c r="G2499" s="160" t="s">
        <v>2</v>
      </c>
      <c r="H2499" s="34" t="s">
        <v>925</v>
      </c>
    </row>
    <row r="2500" spans="1:8" ht="33">
      <c r="A2500" s="160">
        <v>1</v>
      </c>
      <c r="B2500" s="160" t="s">
        <v>4042</v>
      </c>
      <c r="C2500" s="157" t="s">
        <v>3</v>
      </c>
      <c r="D2500" s="159">
        <v>1.1000000000000001</v>
      </c>
      <c r="E2500" s="159">
        <v>369.31</v>
      </c>
      <c r="F2500" s="159">
        <v>406.24</v>
      </c>
      <c r="G2500" s="160" t="s">
        <v>5464</v>
      </c>
      <c r="H2500" s="34" t="s">
        <v>925</v>
      </c>
    </row>
    <row r="2501" spans="1:8" ht="33">
      <c r="A2501" s="160">
        <v>2</v>
      </c>
      <c r="B2501" s="160" t="s">
        <v>4036</v>
      </c>
      <c r="C2501" s="157" t="s">
        <v>14</v>
      </c>
      <c r="D2501" s="159">
        <v>1</v>
      </c>
      <c r="E2501" s="159">
        <v>128.66</v>
      </c>
      <c r="F2501" s="159">
        <v>128.66</v>
      </c>
      <c r="G2501" s="160" t="s">
        <v>2</v>
      </c>
      <c r="H2501" s="34" t="s">
        <v>925</v>
      </c>
    </row>
    <row r="2502" spans="1:8" ht="33">
      <c r="A2502" s="160">
        <v>3</v>
      </c>
      <c r="B2502" s="160" t="s">
        <v>4964</v>
      </c>
      <c r="C2502" s="157" t="s">
        <v>927</v>
      </c>
      <c r="D2502" s="159">
        <v>0.2</v>
      </c>
      <c r="E2502" s="159">
        <v>371.17</v>
      </c>
      <c r="F2502" s="159">
        <v>74.23</v>
      </c>
      <c r="G2502" s="160" t="s">
        <v>5454</v>
      </c>
      <c r="H2502" s="34" t="s">
        <v>925</v>
      </c>
    </row>
    <row r="2503" spans="1:8" ht="33">
      <c r="A2503" s="160">
        <v>4</v>
      </c>
      <c r="B2503" s="160" t="s">
        <v>1774</v>
      </c>
      <c r="C2503" s="157" t="s">
        <v>927</v>
      </c>
      <c r="D2503" s="159">
        <v>0.2</v>
      </c>
      <c r="E2503" s="159">
        <v>1314.35</v>
      </c>
      <c r="F2503" s="159">
        <v>262.87</v>
      </c>
      <c r="G2503" s="160" t="s">
        <v>2</v>
      </c>
      <c r="H2503" s="34" t="s">
        <v>925</v>
      </c>
    </row>
    <row r="2504" spans="1:8" ht="33">
      <c r="A2504" s="160">
        <v>5</v>
      </c>
      <c r="B2504" s="160" t="s">
        <v>931</v>
      </c>
      <c r="C2504" s="157" t="s">
        <v>14</v>
      </c>
      <c r="D2504" s="159">
        <v>1</v>
      </c>
      <c r="E2504" s="159">
        <v>26.16</v>
      </c>
      <c r="F2504" s="159">
        <v>26.16</v>
      </c>
      <c r="G2504" s="160" t="s">
        <v>2</v>
      </c>
      <c r="H2504" s="34" t="s">
        <v>925</v>
      </c>
    </row>
    <row r="2505" spans="1:8" ht="16.5">
      <c r="A2505" s="160"/>
      <c r="B2505" s="160" t="s">
        <v>933</v>
      </c>
      <c r="C2505" s="157" t="s">
        <v>3</v>
      </c>
      <c r="D2505" s="159">
        <v>1</v>
      </c>
      <c r="E2505" s="159"/>
      <c r="F2505" s="159">
        <v>898.16</v>
      </c>
      <c r="G2505" s="160"/>
    </row>
    <row r="2506" spans="1:8" ht="33">
      <c r="A2506" s="160"/>
      <c r="B2506" s="160" t="s">
        <v>934</v>
      </c>
      <c r="C2506" s="157" t="s">
        <v>3</v>
      </c>
      <c r="D2506" s="159"/>
      <c r="E2506" s="159"/>
      <c r="F2506" s="159">
        <v>898.16</v>
      </c>
      <c r="G2506" s="160"/>
      <c r="H2506" s="34" t="s">
        <v>925</v>
      </c>
    </row>
    <row r="2507" spans="1:8" ht="33">
      <c r="A2507" s="160"/>
      <c r="B2507" s="160"/>
      <c r="C2507" s="157"/>
      <c r="D2507" s="159"/>
      <c r="E2507" s="159"/>
      <c r="F2507" s="159"/>
      <c r="G2507" s="160"/>
      <c r="H2507" s="34" t="s">
        <v>925</v>
      </c>
    </row>
    <row r="2508" spans="1:8" ht="33">
      <c r="A2508" s="160" t="s">
        <v>2529</v>
      </c>
      <c r="B2508" s="160" t="s">
        <v>2299</v>
      </c>
      <c r="C2508" s="157" t="s">
        <v>1689</v>
      </c>
      <c r="D2508" s="159">
        <v>1</v>
      </c>
      <c r="E2508" s="159">
        <v>68165.94</v>
      </c>
      <c r="F2508" s="159"/>
      <c r="G2508" s="160" t="s">
        <v>2</v>
      </c>
      <c r="H2508" s="34" t="s">
        <v>925</v>
      </c>
    </row>
    <row r="2509" spans="1:8" ht="33">
      <c r="A2509" s="160">
        <v>1</v>
      </c>
      <c r="B2509" s="160" t="s">
        <v>2301</v>
      </c>
      <c r="C2509" s="157" t="s">
        <v>1689</v>
      </c>
      <c r="D2509" s="159">
        <v>1</v>
      </c>
      <c r="E2509" s="159">
        <v>62478.11</v>
      </c>
      <c r="F2509" s="159">
        <v>62478.11</v>
      </c>
      <c r="G2509" s="160" t="s">
        <v>2</v>
      </c>
      <c r="H2509" s="34" t="s">
        <v>925</v>
      </c>
    </row>
    <row r="2510" spans="1:8" ht="33">
      <c r="A2510" s="160">
        <v>2</v>
      </c>
      <c r="B2510" s="160" t="s">
        <v>2303</v>
      </c>
      <c r="C2510" s="157" t="s">
        <v>14</v>
      </c>
      <c r="D2510" s="159">
        <v>1</v>
      </c>
      <c r="E2510" s="159">
        <v>3702.41</v>
      </c>
      <c r="F2510" s="159">
        <v>3702.41</v>
      </c>
      <c r="G2510" s="160" t="s">
        <v>2</v>
      </c>
      <c r="H2510" s="34" t="s">
        <v>925</v>
      </c>
    </row>
    <row r="2511" spans="1:8" ht="33">
      <c r="A2511" s="160">
        <v>3</v>
      </c>
      <c r="B2511" s="160" t="s">
        <v>931</v>
      </c>
      <c r="C2511" s="157" t="s">
        <v>14</v>
      </c>
      <c r="D2511" s="159">
        <v>1</v>
      </c>
      <c r="E2511" s="159">
        <v>1985.42</v>
      </c>
      <c r="F2511" s="159">
        <v>1985.42</v>
      </c>
      <c r="G2511" s="160" t="s">
        <v>2</v>
      </c>
      <c r="H2511" s="34" t="s">
        <v>925</v>
      </c>
    </row>
    <row r="2512" spans="1:8" ht="33">
      <c r="A2512" s="160"/>
      <c r="B2512" s="160" t="s">
        <v>933</v>
      </c>
      <c r="C2512" s="157" t="s">
        <v>1689</v>
      </c>
      <c r="D2512" s="159">
        <v>1</v>
      </c>
      <c r="E2512" s="159"/>
      <c r="F2512" s="159">
        <v>68165.94</v>
      </c>
      <c r="G2512" s="160"/>
      <c r="H2512" s="34" t="s">
        <v>925</v>
      </c>
    </row>
    <row r="2513" spans="1:8" ht="33">
      <c r="A2513" s="160"/>
      <c r="B2513" s="160" t="s">
        <v>934</v>
      </c>
      <c r="C2513" s="157" t="s">
        <v>1689</v>
      </c>
      <c r="D2513" s="159"/>
      <c r="E2513" s="159"/>
      <c r="F2513" s="159">
        <v>68165.94</v>
      </c>
      <c r="G2513" s="160"/>
      <c r="H2513" s="34" t="s">
        <v>925</v>
      </c>
    </row>
    <row r="2514" spans="1:8" ht="33">
      <c r="A2514" s="160"/>
      <c r="B2514" s="160"/>
      <c r="C2514" s="157"/>
      <c r="D2514" s="159"/>
      <c r="E2514" s="159"/>
      <c r="F2514" s="159"/>
      <c r="G2514" s="160"/>
      <c r="H2514" s="34" t="s">
        <v>925</v>
      </c>
    </row>
    <row r="2515" spans="1:8" ht="28.5">
      <c r="A2515" s="160" t="s">
        <v>2536</v>
      </c>
      <c r="B2515" s="160" t="s">
        <v>2306</v>
      </c>
      <c r="C2515" s="157" t="s">
        <v>1497</v>
      </c>
      <c r="D2515" s="159">
        <v>1</v>
      </c>
      <c r="E2515" s="159">
        <v>490.98</v>
      </c>
      <c r="F2515" s="159"/>
      <c r="G2515" s="160" t="s">
        <v>2</v>
      </c>
    </row>
    <row r="2516" spans="1:8" ht="33">
      <c r="A2516" s="160">
        <v>1</v>
      </c>
      <c r="B2516" s="160" t="s">
        <v>2308</v>
      </c>
      <c r="C2516" s="157" t="s">
        <v>1497</v>
      </c>
      <c r="D2516" s="159">
        <v>1</v>
      </c>
      <c r="E2516" s="159">
        <v>458.17</v>
      </c>
      <c r="F2516" s="159">
        <v>458.17</v>
      </c>
      <c r="G2516" s="160" t="s">
        <v>2</v>
      </c>
      <c r="H2516" s="34" t="s">
        <v>925</v>
      </c>
    </row>
    <row r="2517" spans="1:8" ht="33">
      <c r="A2517" s="160">
        <v>2</v>
      </c>
      <c r="B2517" s="160" t="s">
        <v>2310</v>
      </c>
      <c r="C2517" s="157" t="s">
        <v>14</v>
      </c>
      <c r="D2517" s="159">
        <v>1</v>
      </c>
      <c r="E2517" s="159">
        <v>18.510000000000002</v>
      </c>
      <c r="F2517" s="159">
        <v>18.510000000000002</v>
      </c>
      <c r="G2517" s="160" t="s">
        <v>2</v>
      </c>
      <c r="H2517" s="34" t="s">
        <v>925</v>
      </c>
    </row>
    <row r="2518" spans="1:8" ht="33">
      <c r="A2518" s="160">
        <v>3</v>
      </c>
      <c r="B2518" s="160" t="s">
        <v>931</v>
      </c>
      <c r="C2518" s="157" t="s">
        <v>14</v>
      </c>
      <c r="D2518" s="159">
        <v>1</v>
      </c>
      <c r="E2518" s="159">
        <v>14.3</v>
      </c>
      <c r="F2518" s="159">
        <v>14.3</v>
      </c>
      <c r="G2518" s="160" t="s">
        <v>2</v>
      </c>
      <c r="H2518" s="34" t="s">
        <v>925</v>
      </c>
    </row>
    <row r="2519" spans="1:8" ht="33">
      <c r="A2519" s="160"/>
      <c r="B2519" s="160" t="s">
        <v>933</v>
      </c>
      <c r="C2519" s="157" t="s">
        <v>1497</v>
      </c>
      <c r="D2519" s="159">
        <v>1</v>
      </c>
      <c r="E2519" s="159"/>
      <c r="F2519" s="159">
        <v>490.98</v>
      </c>
      <c r="G2519" s="160"/>
      <c r="H2519" s="34" t="s">
        <v>925</v>
      </c>
    </row>
    <row r="2520" spans="1:8" ht="33">
      <c r="A2520" s="160"/>
      <c r="B2520" s="160" t="s">
        <v>934</v>
      </c>
      <c r="C2520" s="157" t="s">
        <v>1497</v>
      </c>
      <c r="D2520" s="159"/>
      <c r="E2520" s="159"/>
      <c r="F2520" s="159">
        <v>490.98</v>
      </c>
      <c r="G2520" s="160"/>
      <c r="H2520" s="34" t="s">
        <v>925</v>
      </c>
    </row>
    <row r="2521" spans="1:8" ht="33">
      <c r="A2521" s="160"/>
      <c r="B2521" s="160"/>
      <c r="C2521" s="157"/>
      <c r="D2521" s="159"/>
      <c r="E2521" s="159"/>
      <c r="F2521" s="159"/>
      <c r="G2521" s="160"/>
      <c r="H2521" s="34" t="s">
        <v>925</v>
      </c>
    </row>
    <row r="2522" spans="1:8" ht="28.5">
      <c r="A2522" s="160" t="s">
        <v>2539</v>
      </c>
      <c r="B2522" s="160" t="s">
        <v>2313</v>
      </c>
      <c r="C2522" s="157" t="s">
        <v>1497</v>
      </c>
      <c r="D2522" s="159">
        <v>1</v>
      </c>
      <c r="E2522" s="159">
        <v>652.1</v>
      </c>
      <c r="F2522" s="159"/>
      <c r="G2522" s="160" t="s">
        <v>2</v>
      </c>
    </row>
    <row r="2523" spans="1:8" ht="33">
      <c r="A2523" s="160">
        <v>1</v>
      </c>
      <c r="B2523" s="160" t="s">
        <v>2119</v>
      </c>
      <c r="C2523" s="157" t="s">
        <v>1497</v>
      </c>
      <c r="D2523" s="159">
        <v>1</v>
      </c>
      <c r="E2523" s="159">
        <v>429.48</v>
      </c>
      <c r="F2523" s="159">
        <v>429.48</v>
      </c>
      <c r="G2523" s="160" t="s">
        <v>5457</v>
      </c>
      <c r="H2523" s="34" t="s">
        <v>925</v>
      </c>
    </row>
    <row r="2524" spans="1:8" ht="33">
      <c r="A2524" s="160">
        <v>2</v>
      </c>
      <c r="B2524" s="160" t="s">
        <v>2315</v>
      </c>
      <c r="C2524" s="157" t="s">
        <v>14</v>
      </c>
      <c r="D2524" s="159">
        <v>1</v>
      </c>
      <c r="E2524" s="159">
        <v>203.63</v>
      </c>
      <c r="F2524" s="159">
        <v>203.63</v>
      </c>
      <c r="G2524" s="160" t="s">
        <v>2</v>
      </c>
      <c r="H2524" s="34" t="s">
        <v>925</v>
      </c>
    </row>
    <row r="2525" spans="1:8" ht="33">
      <c r="A2525" s="160">
        <v>3</v>
      </c>
      <c r="B2525" s="160" t="s">
        <v>931</v>
      </c>
      <c r="C2525" s="157" t="s">
        <v>14</v>
      </c>
      <c r="D2525" s="159">
        <v>1</v>
      </c>
      <c r="E2525" s="159">
        <v>18.989999999999998</v>
      </c>
      <c r="F2525" s="159">
        <v>18.989999999999998</v>
      </c>
      <c r="G2525" s="160" t="s">
        <v>2</v>
      </c>
      <c r="H2525" s="34" t="s">
        <v>925</v>
      </c>
    </row>
    <row r="2526" spans="1:8" ht="33">
      <c r="A2526" s="160"/>
      <c r="B2526" s="160" t="s">
        <v>933</v>
      </c>
      <c r="C2526" s="157" t="s">
        <v>1497</v>
      </c>
      <c r="D2526" s="159">
        <v>1</v>
      </c>
      <c r="E2526" s="159"/>
      <c r="F2526" s="159">
        <v>652.1</v>
      </c>
      <c r="G2526" s="160"/>
      <c r="H2526" s="34" t="s">
        <v>925</v>
      </c>
    </row>
    <row r="2527" spans="1:8" ht="33">
      <c r="A2527" s="160"/>
      <c r="B2527" s="160" t="s">
        <v>934</v>
      </c>
      <c r="C2527" s="157" t="s">
        <v>1497</v>
      </c>
      <c r="D2527" s="159"/>
      <c r="E2527" s="159"/>
      <c r="F2527" s="159">
        <v>652.1</v>
      </c>
      <c r="G2527" s="160"/>
      <c r="H2527" s="34" t="s">
        <v>925</v>
      </c>
    </row>
    <row r="2528" spans="1:8" ht="33">
      <c r="A2528" s="160"/>
      <c r="B2528" s="160"/>
      <c r="C2528" s="157"/>
      <c r="D2528" s="159"/>
      <c r="E2528" s="159"/>
      <c r="F2528" s="159"/>
      <c r="G2528" s="160"/>
      <c r="H2528" s="34" t="s">
        <v>925</v>
      </c>
    </row>
    <row r="2529" spans="1:8" ht="42.75">
      <c r="A2529" s="160" t="s">
        <v>2543</v>
      </c>
      <c r="B2529" s="160" t="s">
        <v>2318</v>
      </c>
      <c r="C2529" s="157" t="s">
        <v>1497</v>
      </c>
      <c r="D2529" s="159">
        <v>1</v>
      </c>
      <c r="E2529" s="159">
        <v>661.64</v>
      </c>
      <c r="F2529" s="159"/>
      <c r="G2529" s="160" t="s">
        <v>2</v>
      </c>
    </row>
    <row r="2530" spans="1:8" ht="33">
      <c r="A2530" s="160">
        <v>1</v>
      </c>
      <c r="B2530" s="160" t="s">
        <v>2320</v>
      </c>
      <c r="C2530" s="157" t="s">
        <v>14</v>
      </c>
      <c r="D2530" s="159">
        <v>1</v>
      </c>
      <c r="E2530" s="159">
        <v>27.77</v>
      </c>
      <c r="F2530" s="159">
        <v>27.77</v>
      </c>
      <c r="G2530" s="160" t="s">
        <v>2</v>
      </c>
      <c r="H2530" s="34" t="s">
        <v>925</v>
      </c>
    </row>
    <row r="2531" spans="1:8" ht="33">
      <c r="A2531" s="160">
        <v>2</v>
      </c>
      <c r="B2531" s="160" t="s">
        <v>2119</v>
      </c>
      <c r="C2531" s="157" t="s">
        <v>1497</v>
      </c>
      <c r="D2531" s="159">
        <v>1</v>
      </c>
      <c r="E2531" s="159">
        <v>429.48</v>
      </c>
      <c r="F2531" s="159">
        <v>429.48</v>
      </c>
      <c r="G2531" s="160" t="s">
        <v>5457</v>
      </c>
      <c r="H2531" s="34" t="s">
        <v>925</v>
      </c>
    </row>
    <row r="2532" spans="1:8" ht="33">
      <c r="A2532" s="160">
        <v>3</v>
      </c>
      <c r="B2532" s="160" t="s">
        <v>2322</v>
      </c>
      <c r="C2532" s="157" t="s">
        <v>14</v>
      </c>
      <c r="D2532" s="159">
        <v>1</v>
      </c>
      <c r="E2532" s="159">
        <v>138.84</v>
      </c>
      <c r="F2532" s="159">
        <v>138.84</v>
      </c>
      <c r="G2532" s="160" t="s">
        <v>2</v>
      </c>
      <c r="H2532" s="34" t="s">
        <v>925</v>
      </c>
    </row>
    <row r="2533" spans="1:8" ht="33">
      <c r="A2533" s="160">
        <v>4</v>
      </c>
      <c r="B2533" s="160" t="s">
        <v>2324</v>
      </c>
      <c r="C2533" s="157" t="s">
        <v>14</v>
      </c>
      <c r="D2533" s="159">
        <v>1</v>
      </c>
      <c r="E2533" s="159">
        <v>46.28</v>
      </c>
      <c r="F2533" s="159">
        <v>46.28</v>
      </c>
      <c r="G2533" s="160" t="s">
        <v>2</v>
      </c>
      <c r="H2533" s="34" t="s">
        <v>925</v>
      </c>
    </row>
    <row r="2534" spans="1:8" ht="33">
      <c r="A2534" s="160">
        <v>5</v>
      </c>
      <c r="B2534" s="160" t="s">
        <v>931</v>
      </c>
      <c r="C2534" s="157" t="s">
        <v>14</v>
      </c>
      <c r="D2534" s="159">
        <v>1</v>
      </c>
      <c r="E2534" s="159">
        <v>19.27</v>
      </c>
      <c r="F2534" s="159">
        <v>19.27</v>
      </c>
      <c r="G2534" s="160" t="s">
        <v>2</v>
      </c>
      <c r="H2534" s="34" t="s">
        <v>925</v>
      </c>
    </row>
    <row r="2535" spans="1:8" ht="33">
      <c r="A2535" s="160"/>
      <c r="B2535" s="160" t="s">
        <v>933</v>
      </c>
      <c r="C2535" s="157" t="s">
        <v>1497</v>
      </c>
      <c r="D2535" s="159">
        <v>1</v>
      </c>
      <c r="E2535" s="159"/>
      <c r="F2535" s="159">
        <v>661.64</v>
      </c>
      <c r="G2535" s="160"/>
      <c r="H2535" s="34" t="s">
        <v>925</v>
      </c>
    </row>
    <row r="2536" spans="1:8" ht="16.5">
      <c r="A2536" s="160"/>
      <c r="B2536" s="160" t="s">
        <v>934</v>
      </c>
      <c r="C2536" s="157" t="s">
        <v>1497</v>
      </c>
      <c r="D2536" s="159"/>
      <c r="E2536" s="159"/>
      <c r="F2536" s="159">
        <v>661.64</v>
      </c>
      <c r="G2536" s="160"/>
    </row>
    <row r="2537" spans="1:8" ht="33">
      <c r="A2537" s="160"/>
      <c r="B2537" s="160"/>
      <c r="C2537" s="157"/>
      <c r="D2537" s="159"/>
      <c r="E2537" s="159"/>
      <c r="F2537" s="159"/>
      <c r="G2537" s="160"/>
      <c r="H2537" s="34" t="s">
        <v>925</v>
      </c>
    </row>
    <row r="2538" spans="1:8" ht="42.75">
      <c r="A2538" s="160" t="s">
        <v>2546</v>
      </c>
      <c r="B2538" s="160" t="s">
        <v>2327</v>
      </c>
      <c r="C2538" s="157" t="s">
        <v>1497</v>
      </c>
      <c r="D2538" s="159">
        <v>3.3</v>
      </c>
      <c r="E2538" s="159">
        <v>454.72</v>
      </c>
      <c r="F2538" s="159"/>
      <c r="G2538" s="160" t="s">
        <v>4387</v>
      </c>
      <c r="H2538" s="34" t="s">
        <v>925</v>
      </c>
    </row>
    <row r="2539" spans="1:8" ht="33">
      <c r="A2539" s="160">
        <v>1</v>
      </c>
      <c r="B2539" s="160" t="s">
        <v>2320</v>
      </c>
      <c r="C2539" s="157" t="s">
        <v>14</v>
      </c>
      <c r="D2539" s="159">
        <v>1</v>
      </c>
      <c r="E2539" s="159">
        <v>27.77</v>
      </c>
      <c r="F2539" s="159">
        <v>27.77</v>
      </c>
      <c r="G2539" s="160" t="s">
        <v>2</v>
      </c>
      <c r="H2539" s="34" t="s">
        <v>925</v>
      </c>
    </row>
    <row r="2540" spans="1:8" ht="33">
      <c r="A2540" s="160">
        <v>2</v>
      </c>
      <c r="B2540" s="160" t="s">
        <v>2329</v>
      </c>
      <c r="C2540" s="157" t="s">
        <v>14</v>
      </c>
      <c r="D2540" s="159">
        <v>1</v>
      </c>
      <c r="E2540" s="159">
        <v>453.54</v>
      </c>
      <c r="F2540" s="159">
        <v>453.54</v>
      </c>
      <c r="G2540" s="160" t="s">
        <v>2</v>
      </c>
      <c r="H2540" s="34" t="s">
        <v>925</v>
      </c>
    </row>
    <row r="2541" spans="1:8" ht="33">
      <c r="A2541" s="160">
        <v>3</v>
      </c>
      <c r="B2541" s="160" t="s">
        <v>2331</v>
      </c>
      <c r="C2541" s="157" t="s">
        <v>14</v>
      </c>
      <c r="D2541" s="159">
        <v>1</v>
      </c>
      <c r="E2541" s="159">
        <v>425.78</v>
      </c>
      <c r="F2541" s="159">
        <v>425.78</v>
      </c>
      <c r="G2541" s="160" t="s">
        <v>2</v>
      </c>
      <c r="H2541" s="34" t="s">
        <v>925</v>
      </c>
    </row>
    <row r="2542" spans="1:8" ht="33">
      <c r="A2542" s="160">
        <v>4</v>
      </c>
      <c r="B2542" s="160" t="s">
        <v>2333</v>
      </c>
      <c r="C2542" s="157" t="s">
        <v>1497</v>
      </c>
      <c r="D2542" s="159">
        <v>4.4000000000000004</v>
      </c>
      <c r="E2542" s="159">
        <v>64.790000000000006</v>
      </c>
      <c r="F2542" s="159">
        <v>285.08</v>
      </c>
      <c r="G2542" s="160" t="s">
        <v>2</v>
      </c>
      <c r="H2542" s="34" t="s">
        <v>925</v>
      </c>
    </row>
    <row r="2543" spans="1:8" ht="28.5">
      <c r="A2543" s="160">
        <v>5</v>
      </c>
      <c r="B2543" s="160" t="s">
        <v>2322</v>
      </c>
      <c r="C2543" s="157" t="s">
        <v>2335</v>
      </c>
      <c r="D2543" s="159">
        <v>4.4000000000000004</v>
      </c>
      <c r="E2543" s="159">
        <v>60.16</v>
      </c>
      <c r="F2543" s="159">
        <v>264.7</v>
      </c>
      <c r="G2543" s="160" t="s">
        <v>2</v>
      </c>
    </row>
    <row r="2544" spans="1:8" ht="33">
      <c r="A2544" s="160">
        <v>6</v>
      </c>
      <c r="B2544" s="160" t="s">
        <v>931</v>
      </c>
      <c r="C2544" s="157" t="s">
        <v>14</v>
      </c>
      <c r="D2544" s="159">
        <v>1</v>
      </c>
      <c r="E2544" s="159">
        <v>43.71</v>
      </c>
      <c r="F2544" s="159">
        <v>43.71</v>
      </c>
      <c r="G2544" s="160" t="s">
        <v>2</v>
      </c>
      <c r="H2544" s="34" t="s">
        <v>925</v>
      </c>
    </row>
    <row r="2545" spans="1:8" ht="33">
      <c r="A2545" s="160"/>
      <c r="B2545" s="160" t="s">
        <v>933</v>
      </c>
      <c r="C2545" s="157" t="s">
        <v>1497</v>
      </c>
      <c r="D2545" s="159">
        <v>3.3</v>
      </c>
      <c r="E2545" s="159"/>
      <c r="F2545" s="159">
        <v>1500.58</v>
      </c>
      <c r="G2545" s="160"/>
      <c r="H2545" s="34" t="s">
        <v>925</v>
      </c>
    </row>
    <row r="2546" spans="1:8" ht="33">
      <c r="A2546" s="160"/>
      <c r="B2546" s="160" t="s">
        <v>934</v>
      </c>
      <c r="C2546" s="157" t="s">
        <v>1497</v>
      </c>
      <c r="D2546" s="159"/>
      <c r="E2546" s="159"/>
      <c r="F2546" s="159">
        <v>454.72</v>
      </c>
      <c r="G2546" s="160"/>
      <c r="H2546" s="34" t="s">
        <v>925</v>
      </c>
    </row>
    <row r="2547" spans="1:8" ht="33">
      <c r="A2547" s="160"/>
      <c r="B2547" s="160"/>
      <c r="C2547" s="157"/>
      <c r="D2547" s="159"/>
      <c r="E2547" s="159"/>
      <c r="F2547" s="159"/>
      <c r="G2547" s="160"/>
      <c r="H2547" s="34" t="s">
        <v>925</v>
      </c>
    </row>
    <row r="2548" spans="1:8" ht="42.75">
      <c r="A2548" s="160" t="s">
        <v>2549</v>
      </c>
      <c r="B2548" s="160" t="s">
        <v>2338</v>
      </c>
      <c r="C2548" s="157" t="s">
        <v>2238</v>
      </c>
      <c r="D2548" s="159">
        <v>1</v>
      </c>
      <c r="E2548" s="159">
        <v>1210.78</v>
      </c>
      <c r="F2548" s="159"/>
      <c r="G2548" s="160" t="s">
        <v>2</v>
      </c>
      <c r="H2548" s="34" t="s">
        <v>925</v>
      </c>
    </row>
    <row r="2549" spans="1:8" ht="33">
      <c r="A2549" s="160">
        <v>1</v>
      </c>
      <c r="B2549" s="160" t="s">
        <v>2320</v>
      </c>
      <c r="C2549" s="157" t="s">
        <v>14</v>
      </c>
      <c r="D2549" s="159">
        <v>1</v>
      </c>
      <c r="E2549" s="159">
        <v>27.77</v>
      </c>
      <c r="F2549" s="159">
        <v>27.77</v>
      </c>
      <c r="G2549" s="160" t="s">
        <v>2</v>
      </c>
      <c r="H2549" s="34" t="s">
        <v>925</v>
      </c>
    </row>
    <row r="2550" spans="1:8" ht="28.5">
      <c r="A2550" s="160">
        <v>2</v>
      </c>
      <c r="B2550" s="160" t="s">
        <v>2329</v>
      </c>
      <c r="C2550" s="157" t="s">
        <v>14</v>
      </c>
      <c r="D2550" s="159">
        <v>1</v>
      </c>
      <c r="E2550" s="159">
        <v>453.54</v>
      </c>
      <c r="F2550" s="159">
        <v>453.54</v>
      </c>
      <c r="G2550" s="160" t="s">
        <v>2</v>
      </c>
    </row>
    <row r="2551" spans="1:8" ht="33">
      <c r="A2551" s="160">
        <v>3</v>
      </c>
      <c r="B2551" s="160" t="s">
        <v>2331</v>
      </c>
      <c r="C2551" s="157" t="s">
        <v>14</v>
      </c>
      <c r="D2551" s="159">
        <v>1</v>
      </c>
      <c r="E2551" s="159">
        <v>425.78</v>
      </c>
      <c r="F2551" s="159">
        <v>425.78</v>
      </c>
      <c r="G2551" s="160" t="s">
        <v>2</v>
      </c>
      <c r="H2551" s="34" t="s">
        <v>925</v>
      </c>
    </row>
    <row r="2552" spans="1:8" ht="33">
      <c r="A2552" s="160">
        <v>4</v>
      </c>
      <c r="B2552" s="160" t="s">
        <v>2333</v>
      </c>
      <c r="C2552" s="157" t="s">
        <v>1497</v>
      </c>
      <c r="D2552" s="159">
        <v>2</v>
      </c>
      <c r="E2552" s="159">
        <v>64.790000000000006</v>
      </c>
      <c r="F2552" s="159">
        <v>129.58000000000001</v>
      </c>
      <c r="G2552" s="160" t="s">
        <v>2</v>
      </c>
      <c r="H2552" s="34" t="s">
        <v>925</v>
      </c>
    </row>
    <row r="2553" spans="1:8" ht="33">
      <c r="A2553" s="160">
        <v>5</v>
      </c>
      <c r="B2553" s="160" t="s">
        <v>2322</v>
      </c>
      <c r="C2553" s="157" t="s">
        <v>14</v>
      </c>
      <c r="D2553" s="159">
        <v>1</v>
      </c>
      <c r="E2553" s="159">
        <v>138.84</v>
      </c>
      <c r="F2553" s="159">
        <v>138.84</v>
      </c>
      <c r="G2553" s="160" t="s">
        <v>2</v>
      </c>
      <c r="H2553" s="34" t="s">
        <v>925</v>
      </c>
    </row>
    <row r="2554" spans="1:8" ht="33">
      <c r="A2554" s="160">
        <v>6</v>
      </c>
      <c r="B2554" s="160" t="s">
        <v>931</v>
      </c>
      <c r="C2554" s="157" t="s">
        <v>14</v>
      </c>
      <c r="D2554" s="159">
        <v>1</v>
      </c>
      <c r="E2554" s="159">
        <v>35.270000000000003</v>
      </c>
      <c r="F2554" s="159">
        <v>35.270000000000003</v>
      </c>
      <c r="G2554" s="160" t="s">
        <v>2</v>
      </c>
      <c r="H2554" s="34" t="s">
        <v>925</v>
      </c>
    </row>
    <row r="2555" spans="1:8" ht="33">
      <c r="A2555" s="160"/>
      <c r="B2555" s="160" t="s">
        <v>933</v>
      </c>
      <c r="C2555" s="157" t="s">
        <v>2238</v>
      </c>
      <c r="D2555" s="159">
        <v>1</v>
      </c>
      <c r="E2555" s="159"/>
      <c r="F2555" s="159">
        <v>1210.7799999999997</v>
      </c>
      <c r="G2555" s="160"/>
      <c r="H2555" s="34" t="s">
        <v>925</v>
      </c>
    </row>
    <row r="2556" spans="1:8" ht="33">
      <c r="A2556" s="160"/>
      <c r="B2556" s="160" t="s">
        <v>934</v>
      </c>
      <c r="C2556" s="157" t="s">
        <v>2238</v>
      </c>
      <c r="D2556" s="159"/>
      <c r="E2556" s="159"/>
      <c r="F2556" s="159">
        <v>1210.78</v>
      </c>
      <c r="G2556" s="160"/>
      <c r="H2556" s="34" t="s">
        <v>925</v>
      </c>
    </row>
    <row r="2557" spans="1:8" ht="33">
      <c r="A2557" s="160"/>
      <c r="B2557" s="160"/>
      <c r="C2557" s="157"/>
      <c r="D2557" s="159"/>
      <c r="E2557" s="159"/>
      <c r="F2557" s="159"/>
      <c r="G2557" s="160"/>
      <c r="H2557" s="34" t="s">
        <v>925</v>
      </c>
    </row>
    <row r="2558" spans="1:8" ht="33">
      <c r="A2558" s="160" t="s">
        <v>2552</v>
      </c>
      <c r="B2558" s="160" t="s">
        <v>2341</v>
      </c>
      <c r="C2558" s="157" t="s">
        <v>15</v>
      </c>
      <c r="D2558" s="159">
        <v>1</v>
      </c>
      <c r="E2558" s="159">
        <v>652.76</v>
      </c>
      <c r="F2558" s="159"/>
      <c r="G2558" s="160" t="s">
        <v>4388</v>
      </c>
      <c r="H2558" s="34" t="s">
        <v>925</v>
      </c>
    </row>
    <row r="2559" spans="1:8" ht="33">
      <c r="A2559" s="160">
        <v>1</v>
      </c>
      <c r="B2559" s="160" t="s">
        <v>2343</v>
      </c>
      <c r="C2559" s="157" t="s">
        <v>1</v>
      </c>
      <c r="D2559" s="159">
        <v>1</v>
      </c>
      <c r="E2559" s="159">
        <v>451.69</v>
      </c>
      <c r="F2559" s="159">
        <v>451.69</v>
      </c>
      <c r="G2559" s="160" t="s">
        <v>2</v>
      </c>
      <c r="H2559" s="34" t="s">
        <v>925</v>
      </c>
    </row>
    <row r="2560" spans="1:8" ht="33">
      <c r="A2560" s="160">
        <v>2</v>
      </c>
      <c r="B2560" s="160" t="s">
        <v>4871</v>
      </c>
      <c r="C2560" s="157" t="s">
        <v>927</v>
      </c>
      <c r="D2560" s="159">
        <v>0.7</v>
      </c>
      <c r="E2560" s="159">
        <v>260.08999999999997</v>
      </c>
      <c r="F2560" s="159">
        <v>182.06</v>
      </c>
      <c r="G2560" s="160" t="s">
        <v>5435</v>
      </c>
      <c r="H2560" s="34" t="s">
        <v>925</v>
      </c>
    </row>
    <row r="2561" spans="1:8" ht="33">
      <c r="A2561" s="160">
        <v>3</v>
      </c>
      <c r="B2561" s="160" t="s">
        <v>931</v>
      </c>
      <c r="C2561" s="157" t="s">
        <v>14</v>
      </c>
      <c r="D2561" s="159">
        <v>1</v>
      </c>
      <c r="E2561" s="159">
        <v>19.010000000000002</v>
      </c>
      <c r="F2561" s="159">
        <v>19.010000000000002</v>
      </c>
      <c r="G2561" s="160" t="s">
        <v>2</v>
      </c>
      <c r="H2561" s="34" t="s">
        <v>925</v>
      </c>
    </row>
    <row r="2562" spans="1:8" ht="33">
      <c r="A2562" s="160"/>
      <c r="B2562" s="160" t="s">
        <v>933</v>
      </c>
      <c r="C2562" s="157" t="s">
        <v>15</v>
      </c>
      <c r="D2562" s="159">
        <v>1</v>
      </c>
      <c r="E2562" s="159"/>
      <c r="F2562" s="159">
        <v>652.76</v>
      </c>
      <c r="G2562" s="160"/>
      <c r="H2562" s="34" t="s">
        <v>925</v>
      </c>
    </row>
    <row r="2563" spans="1:8" ht="16.5">
      <c r="A2563" s="160"/>
      <c r="B2563" s="160" t="s">
        <v>934</v>
      </c>
      <c r="C2563" s="157" t="s">
        <v>15</v>
      </c>
      <c r="D2563" s="159"/>
      <c r="E2563" s="159"/>
      <c r="F2563" s="159">
        <v>652.76</v>
      </c>
      <c r="G2563" s="160"/>
    </row>
    <row r="2564" spans="1:8" ht="33">
      <c r="A2564" s="160"/>
      <c r="B2564" s="160"/>
      <c r="C2564" s="157"/>
      <c r="D2564" s="159"/>
      <c r="E2564" s="159"/>
      <c r="F2564" s="159"/>
      <c r="G2564" s="160"/>
      <c r="H2564" s="34" t="s">
        <v>925</v>
      </c>
    </row>
    <row r="2565" spans="1:8" ht="33">
      <c r="A2565" s="160" t="s">
        <v>2555</v>
      </c>
      <c r="B2565" s="160" t="s">
        <v>2346</v>
      </c>
      <c r="C2565" s="157" t="s">
        <v>3</v>
      </c>
      <c r="D2565" s="159">
        <v>100</v>
      </c>
      <c r="E2565" s="159">
        <v>40.54</v>
      </c>
      <c r="F2565" s="159"/>
      <c r="G2565" s="160" t="s">
        <v>2</v>
      </c>
      <c r="H2565" s="34" t="s">
        <v>925</v>
      </c>
    </row>
    <row r="2566" spans="1:8" ht="33">
      <c r="A2566" s="160">
        <v>1</v>
      </c>
      <c r="B2566" s="160" t="s">
        <v>2348</v>
      </c>
      <c r="C2566" s="157" t="s">
        <v>18</v>
      </c>
      <c r="D2566" s="159">
        <v>2</v>
      </c>
      <c r="E2566" s="159">
        <v>555.36</v>
      </c>
      <c r="F2566" s="159">
        <v>1110.72</v>
      </c>
      <c r="G2566" s="160" t="s">
        <v>2</v>
      </c>
      <c r="H2566" s="34" t="s">
        <v>925</v>
      </c>
    </row>
    <row r="2567" spans="1:8" ht="33">
      <c r="A2567" s="160">
        <v>2</v>
      </c>
      <c r="B2567" s="160" t="s">
        <v>2350</v>
      </c>
      <c r="C2567" s="157" t="s">
        <v>14</v>
      </c>
      <c r="D2567" s="159">
        <v>1</v>
      </c>
      <c r="E2567" s="159">
        <v>46.28</v>
      </c>
      <c r="F2567" s="159">
        <v>46.28</v>
      </c>
      <c r="G2567" s="160" t="s">
        <v>2</v>
      </c>
      <c r="H2567" s="34" t="s">
        <v>925</v>
      </c>
    </row>
    <row r="2568" spans="1:8" ht="33">
      <c r="A2568" s="160">
        <v>3</v>
      </c>
      <c r="B2568" s="160" t="s">
        <v>2352</v>
      </c>
      <c r="C2568" s="157" t="s">
        <v>3</v>
      </c>
      <c r="D2568" s="159">
        <v>100</v>
      </c>
      <c r="E2568" s="159">
        <v>4.63</v>
      </c>
      <c r="F2568" s="159">
        <v>463</v>
      </c>
      <c r="G2568" s="160" t="s">
        <v>2</v>
      </c>
      <c r="H2568" s="34" t="s">
        <v>925</v>
      </c>
    </row>
    <row r="2569" spans="1:8" ht="33">
      <c r="A2569" s="160">
        <v>4</v>
      </c>
      <c r="B2569" s="160" t="s">
        <v>2354</v>
      </c>
      <c r="C2569" s="157" t="s">
        <v>3</v>
      </c>
      <c r="D2569" s="159">
        <v>100</v>
      </c>
      <c r="E2569" s="159">
        <v>2.78</v>
      </c>
      <c r="F2569" s="159">
        <v>278</v>
      </c>
      <c r="G2569" s="160" t="s">
        <v>2</v>
      </c>
      <c r="H2569" s="34" t="s">
        <v>925</v>
      </c>
    </row>
    <row r="2570" spans="1:8" ht="42.75">
      <c r="A2570" s="160">
        <v>5</v>
      </c>
      <c r="B2570" s="160" t="s">
        <v>2356</v>
      </c>
      <c r="C2570" s="157" t="s">
        <v>3</v>
      </c>
      <c r="D2570" s="159">
        <v>100</v>
      </c>
      <c r="E2570" s="159">
        <v>13.88</v>
      </c>
      <c r="F2570" s="159">
        <v>1388</v>
      </c>
      <c r="G2570" s="160" t="s">
        <v>2</v>
      </c>
      <c r="H2570" s="34" t="s">
        <v>925</v>
      </c>
    </row>
    <row r="2571" spans="1:8" ht="33">
      <c r="A2571" s="160">
        <v>6</v>
      </c>
      <c r="B2571" s="160" t="s">
        <v>2358</v>
      </c>
      <c r="C2571" s="157" t="s">
        <v>927</v>
      </c>
      <c r="D2571" s="159">
        <v>2.5</v>
      </c>
      <c r="E2571" s="159">
        <v>260.08999999999997</v>
      </c>
      <c r="F2571" s="159">
        <v>650.23</v>
      </c>
      <c r="G2571" s="160" t="s">
        <v>2</v>
      </c>
      <c r="H2571" s="34" t="s">
        <v>925</v>
      </c>
    </row>
    <row r="2572" spans="1:8" ht="33">
      <c r="A2572" s="160">
        <v>7</v>
      </c>
      <c r="B2572" s="160" t="s">
        <v>931</v>
      </c>
      <c r="C2572" s="157" t="s">
        <v>14</v>
      </c>
      <c r="D2572" s="159">
        <v>1</v>
      </c>
      <c r="E2572" s="159">
        <v>118.09</v>
      </c>
      <c r="F2572" s="159">
        <v>118.09</v>
      </c>
      <c r="G2572" s="160" t="s">
        <v>2</v>
      </c>
      <c r="H2572" s="34" t="s">
        <v>925</v>
      </c>
    </row>
    <row r="2573" spans="1:8" ht="33">
      <c r="A2573" s="160"/>
      <c r="B2573" s="160" t="s">
        <v>933</v>
      </c>
      <c r="C2573" s="157" t="s">
        <v>3</v>
      </c>
      <c r="D2573" s="159">
        <v>100</v>
      </c>
      <c r="E2573" s="159"/>
      <c r="F2573" s="159">
        <v>4054.32</v>
      </c>
      <c r="G2573" s="160"/>
      <c r="H2573" s="34" t="s">
        <v>925</v>
      </c>
    </row>
    <row r="2574" spans="1:8" ht="33">
      <c r="A2574" s="160"/>
      <c r="B2574" s="160" t="s">
        <v>934</v>
      </c>
      <c r="C2574" s="157" t="s">
        <v>3</v>
      </c>
      <c r="D2574" s="159"/>
      <c r="E2574" s="159"/>
      <c r="F2574" s="159">
        <v>40.54</v>
      </c>
      <c r="G2574" s="160"/>
      <c r="H2574" s="34" t="s">
        <v>925</v>
      </c>
    </row>
    <row r="2575" spans="1:8" ht="33">
      <c r="A2575" s="160"/>
      <c r="B2575" s="160"/>
      <c r="C2575" s="157"/>
      <c r="D2575" s="159"/>
      <c r="E2575" s="159"/>
      <c r="F2575" s="159"/>
      <c r="G2575" s="160"/>
      <c r="H2575" s="34" t="s">
        <v>925</v>
      </c>
    </row>
    <row r="2576" spans="1:8" ht="28.5">
      <c r="A2576" s="160" t="s">
        <v>2560</v>
      </c>
      <c r="B2576" s="160" t="s">
        <v>2360</v>
      </c>
      <c r="C2576" s="157" t="s">
        <v>3</v>
      </c>
      <c r="D2576" s="159">
        <v>1</v>
      </c>
      <c r="E2576" s="159">
        <v>231.51</v>
      </c>
      <c r="F2576" s="159"/>
      <c r="G2576" s="160" t="s">
        <v>2</v>
      </c>
    </row>
    <row r="2577" spans="1:8" ht="33">
      <c r="A2577" s="160">
        <v>1</v>
      </c>
      <c r="B2577" s="160" t="s">
        <v>2362</v>
      </c>
      <c r="C2577" s="157" t="s">
        <v>3</v>
      </c>
      <c r="D2577" s="159">
        <v>1</v>
      </c>
      <c r="E2577" s="159">
        <v>87.93</v>
      </c>
      <c r="F2577" s="159">
        <v>87.93</v>
      </c>
      <c r="G2577" s="160" t="s">
        <v>5465</v>
      </c>
      <c r="H2577" s="34" t="s">
        <v>925</v>
      </c>
    </row>
    <row r="2578" spans="1:8" ht="33">
      <c r="A2578" s="160">
        <v>2</v>
      </c>
      <c r="B2578" s="160" t="s">
        <v>2358</v>
      </c>
      <c r="C2578" s="157" t="s">
        <v>927</v>
      </c>
      <c r="D2578" s="159">
        <v>0.04</v>
      </c>
      <c r="E2578" s="159">
        <v>260.08999999999997</v>
      </c>
      <c r="F2578" s="159">
        <v>10.4</v>
      </c>
      <c r="G2578" s="160" t="s">
        <v>2</v>
      </c>
      <c r="H2578" s="34" t="s">
        <v>925</v>
      </c>
    </row>
    <row r="2579" spans="1:8" ht="33">
      <c r="A2579" s="160">
        <v>3</v>
      </c>
      <c r="B2579" s="160" t="s">
        <v>2365</v>
      </c>
      <c r="C2579" s="157" t="s">
        <v>15</v>
      </c>
      <c r="D2579" s="159">
        <v>0.05</v>
      </c>
      <c r="E2579" s="159">
        <v>962.66</v>
      </c>
      <c r="F2579" s="159">
        <v>48.13</v>
      </c>
      <c r="G2579" s="160" t="s">
        <v>2</v>
      </c>
      <c r="H2579" s="34" t="s">
        <v>925</v>
      </c>
    </row>
    <row r="2580" spans="1:8" ht="33">
      <c r="A2580" s="160">
        <v>4</v>
      </c>
      <c r="B2580" s="160" t="s">
        <v>2367</v>
      </c>
      <c r="C2580" s="157" t="s">
        <v>18</v>
      </c>
      <c r="D2580" s="159">
        <v>1</v>
      </c>
      <c r="E2580" s="159">
        <v>17.59</v>
      </c>
      <c r="F2580" s="159">
        <v>17.59</v>
      </c>
      <c r="G2580" s="160" t="s">
        <v>2</v>
      </c>
      <c r="H2580" s="34" t="s">
        <v>925</v>
      </c>
    </row>
    <row r="2581" spans="1:8" ht="33">
      <c r="A2581" s="160">
        <v>5</v>
      </c>
      <c r="B2581" s="160" t="s">
        <v>4990</v>
      </c>
      <c r="C2581" s="157" t="s">
        <v>927</v>
      </c>
      <c r="D2581" s="159">
        <v>0.08</v>
      </c>
      <c r="E2581" s="159">
        <v>379.5</v>
      </c>
      <c r="F2581" s="159">
        <v>30.36</v>
      </c>
      <c r="G2581" s="160" t="s">
        <v>5466</v>
      </c>
      <c r="H2581" s="34" t="s">
        <v>925</v>
      </c>
    </row>
    <row r="2582" spans="1:8" ht="71.25">
      <c r="A2582" s="160">
        <v>6</v>
      </c>
      <c r="B2582" s="160" t="s">
        <v>4992</v>
      </c>
      <c r="C2582" s="157" t="s">
        <v>927</v>
      </c>
      <c r="D2582" s="159">
        <v>0.08</v>
      </c>
      <c r="E2582" s="159">
        <v>379.5</v>
      </c>
      <c r="F2582" s="159">
        <v>30.36</v>
      </c>
      <c r="G2582" s="160" t="s">
        <v>5467</v>
      </c>
      <c r="H2582" s="34" t="s">
        <v>925</v>
      </c>
    </row>
    <row r="2583" spans="1:8" ht="33">
      <c r="A2583" s="160">
        <v>7</v>
      </c>
      <c r="B2583" s="160" t="s">
        <v>931</v>
      </c>
      <c r="C2583" s="157" t="s">
        <v>14</v>
      </c>
      <c r="D2583" s="159">
        <v>1</v>
      </c>
      <c r="E2583" s="159">
        <v>6.74</v>
      </c>
      <c r="F2583" s="159">
        <v>6.74</v>
      </c>
      <c r="G2583" s="160" t="s">
        <v>2</v>
      </c>
      <c r="H2583" s="34" t="s">
        <v>925</v>
      </c>
    </row>
    <row r="2584" spans="1:8" ht="33">
      <c r="A2584" s="160"/>
      <c r="B2584" s="160" t="s">
        <v>933</v>
      </c>
      <c r="C2584" s="157" t="s">
        <v>3</v>
      </c>
      <c r="D2584" s="159">
        <v>1</v>
      </c>
      <c r="E2584" s="159"/>
      <c r="F2584" s="159">
        <v>231.51000000000005</v>
      </c>
      <c r="G2584" s="160"/>
      <c r="H2584" s="34" t="s">
        <v>925</v>
      </c>
    </row>
    <row r="2585" spans="1:8" ht="33">
      <c r="A2585" s="160"/>
      <c r="B2585" s="160" t="s">
        <v>934</v>
      </c>
      <c r="C2585" s="157" t="s">
        <v>3</v>
      </c>
      <c r="D2585" s="159"/>
      <c r="E2585" s="159"/>
      <c r="F2585" s="159">
        <v>231.51</v>
      </c>
      <c r="G2585" s="160"/>
      <c r="H2585" s="34" t="s">
        <v>925</v>
      </c>
    </row>
    <row r="2586" spans="1:8" ht="33">
      <c r="A2586" s="160"/>
      <c r="B2586" s="160"/>
      <c r="C2586" s="157"/>
      <c r="D2586" s="159"/>
      <c r="E2586" s="159"/>
      <c r="F2586" s="159"/>
      <c r="G2586" s="160"/>
      <c r="H2586" s="34" t="s">
        <v>925</v>
      </c>
    </row>
    <row r="2587" spans="1:8" ht="33">
      <c r="A2587" s="160" t="s">
        <v>2569</v>
      </c>
      <c r="B2587" s="160" t="s">
        <v>2372</v>
      </c>
      <c r="C2587" s="157" t="s">
        <v>3</v>
      </c>
      <c r="D2587" s="159">
        <v>1</v>
      </c>
      <c r="E2587" s="159">
        <v>635.80999999999995</v>
      </c>
      <c r="F2587" s="159"/>
      <c r="G2587" s="160" t="s">
        <v>2</v>
      </c>
      <c r="H2587" s="34" t="s">
        <v>925</v>
      </c>
    </row>
    <row r="2588" spans="1:8" ht="33">
      <c r="A2588" s="160">
        <v>1</v>
      </c>
      <c r="B2588" s="160" t="s">
        <v>2374</v>
      </c>
      <c r="C2588" s="157" t="s">
        <v>3</v>
      </c>
      <c r="D2588" s="159">
        <v>1</v>
      </c>
      <c r="E2588" s="159">
        <v>407.26</v>
      </c>
      <c r="F2588" s="159">
        <v>407.26</v>
      </c>
      <c r="G2588" s="160" t="s">
        <v>5468</v>
      </c>
      <c r="H2588" s="34" t="s">
        <v>925</v>
      </c>
    </row>
    <row r="2589" spans="1:8" ht="33">
      <c r="A2589" s="160">
        <v>2</v>
      </c>
      <c r="B2589" s="160" t="s">
        <v>1637</v>
      </c>
      <c r="C2589" s="157" t="s">
        <v>0</v>
      </c>
      <c r="D2589" s="159">
        <v>0.05</v>
      </c>
      <c r="E2589" s="159">
        <v>3304.6</v>
      </c>
      <c r="F2589" s="159">
        <v>165.23</v>
      </c>
      <c r="G2589" s="160" t="s">
        <v>1873</v>
      </c>
      <c r="H2589" s="34" t="s">
        <v>925</v>
      </c>
    </row>
    <row r="2590" spans="1:8" ht="33">
      <c r="A2590" s="160">
        <v>3</v>
      </c>
      <c r="B2590" s="160" t="s">
        <v>2346</v>
      </c>
      <c r="C2590" s="157" t="s">
        <v>3</v>
      </c>
      <c r="D2590" s="159">
        <v>0.3</v>
      </c>
      <c r="E2590" s="159">
        <v>40.54</v>
      </c>
      <c r="F2590" s="159">
        <v>12.16</v>
      </c>
      <c r="G2590" s="160" t="s">
        <v>2555</v>
      </c>
      <c r="H2590" s="34" t="s">
        <v>925</v>
      </c>
    </row>
    <row r="2591" spans="1:8" ht="33">
      <c r="A2591" s="160">
        <v>4</v>
      </c>
      <c r="B2591" s="160" t="s">
        <v>2376</v>
      </c>
      <c r="C2591" s="157" t="s">
        <v>15</v>
      </c>
      <c r="D2591" s="159">
        <v>0.05</v>
      </c>
      <c r="E2591" s="159">
        <v>652.77</v>
      </c>
      <c r="F2591" s="159">
        <v>32.64</v>
      </c>
      <c r="G2591" s="160" t="s">
        <v>2</v>
      </c>
      <c r="H2591" s="34" t="s">
        <v>925</v>
      </c>
    </row>
    <row r="2592" spans="1:8" ht="33">
      <c r="A2592" s="160">
        <v>5</v>
      </c>
      <c r="B2592" s="160" t="s">
        <v>931</v>
      </c>
      <c r="C2592" s="157" t="s">
        <v>14</v>
      </c>
      <c r="D2592" s="159">
        <v>1</v>
      </c>
      <c r="E2592" s="159">
        <v>18.52</v>
      </c>
      <c r="F2592" s="159">
        <v>18.52</v>
      </c>
      <c r="G2592" s="160" t="s">
        <v>2</v>
      </c>
      <c r="H2592" s="34" t="s">
        <v>925</v>
      </c>
    </row>
    <row r="2593" spans="1:8" ht="16.5">
      <c r="A2593" s="160"/>
      <c r="B2593" s="160" t="s">
        <v>933</v>
      </c>
      <c r="C2593" s="157" t="s">
        <v>3</v>
      </c>
      <c r="D2593" s="159">
        <v>1</v>
      </c>
      <c r="E2593" s="159"/>
      <c r="F2593" s="159">
        <v>635.80999999999995</v>
      </c>
      <c r="G2593" s="160"/>
    </row>
    <row r="2594" spans="1:8" ht="33">
      <c r="A2594" s="160"/>
      <c r="B2594" s="160" t="s">
        <v>934</v>
      </c>
      <c r="C2594" s="157" t="s">
        <v>3</v>
      </c>
      <c r="D2594" s="159"/>
      <c r="E2594" s="159"/>
      <c r="F2594" s="159">
        <v>635.80999999999995</v>
      </c>
      <c r="G2594" s="160"/>
      <c r="H2594" s="34" t="s">
        <v>925</v>
      </c>
    </row>
    <row r="2595" spans="1:8" ht="33">
      <c r="A2595" s="160"/>
      <c r="B2595" s="160"/>
      <c r="C2595" s="157"/>
      <c r="D2595" s="159"/>
      <c r="E2595" s="159"/>
      <c r="F2595" s="159"/>
      <c r="G2595" s="160"/>
      <c r="H2595" s="34" t="s">
        <v>925</v>
      </c>
    </row>
    <row r="2596" spans="1:8" ht="33">
      <c r="A2596" s="160" t="s">
        <v>2576</v>
      </c>
      <c r="B2596" s="160" t="s">
        <v>2379</v>
      </c>
      <c r="C2596" s="157" t="s">
        <v>3</v>
      </c>
      <c r="D2596" s="159">
        <v>100</v>
      </c>
      <c r="E2596" s="159">
        <v>20.84</v>
      </c>
      <c r="F2596" s="159"/>
      <c r="G2596" s="160" t="s">
        <v>2</v>
      </c>
      <c r="H2596" s="34" t="s">
        <v>925</v>
      </c>
    </row>
    <row r="2597" spans="1:8" ht="33">
      <c r="A2597" s="160">
        <v>1</v>
      </c>
      <c r="B2597" s="160" t="s">
        <v>997</v>
      </c>
      <c r="C2597" s="157" t="s">
        <v>927</v>
      </c>
      <c r="D2597" s="159">
        <v>1</v>
      </c>
      <c r="E2597" s="159">
        <v>1073.7</v>
      </c>
      <c r="F2597" s="159">
        <v>1073.7</v>
      </c>
      <c r="G2597" s="160" t="s">
        <v>2</v>
      </c>
      <c r="H2597" s="34" t="s">
        <v>925</v>
      </c>
    </row>
    <row r="2598" spans="1:8" ht="33">
      <c r="A2598" s="160">
        <v>2</v>
      </c>
      <c r="B2598" s="160" t="s">
        <v>1086</v>
      </c>
      <c r="C2598" s="157" t="s">
        <v>927</v>
      </c>
      <c r="D2598" s="159">
        <v>1</v>
      </c>
      <c r="E2598" s="159">
        <v>371.17</v>
      </c>
      <c r="F2598" s="159">
        <v>371.17</v>
      </c>
      <c r="G2598" s="160" t="s">
        <v>2</v>
      </c>
      <c r="H2598" s="34" t="s">
        <v>925</v>
      </c>
    </row>
    <row r="2599" spans="1:8" ht="33">
      <c r="A2599" s="160">
        <v>3</v>
      </c>
      <c r="B2599" s="160" t="s">
        <v>2407</v>
      </c>
      <c r="C2599" s="157" t="s">
        <v>0</v>
      </c>
      <c r="D2599" s="159">
        <v>0.15</v>
      </c>
      <c r="E2599" s="159">
        <v>1851.2</v>
      </c>
      <c r="F2599" s="159">
        <v>277.68</v>
      </c>
      <c r="G2599" s="160" t="s">
        <v>2</v>
      </c>
      <c r="H2599" s="34" t="s">
        <v>925</v>
      </c>
    </row>
    <row r="2600" spans="1:8" ht="33">
      <c r="A2600" s="160">
        <v>4</v>
      </c>
      <c r="B2600" s="160" t="s">
        <v>2381</v>
      </c>
      <c r="C2600" s="157" t="s">
        <v>927</v>
      </c>
      <c r="D2600" s="159">
        <v>0.15</v>
      </c>
      <c r="E2600" s="159">
        <v>2005.13</v>
      </c>
      <c r="F2600" s="159">
        <v>300.77</v>
      </c>
      <c r="G2600" s="160" t="s">
        <v>2607</v>
      </c>
      <c r="H2600" s="34" t="s">
        <v>925</v>
      </c>
    </row>
    <row r="2601" spans="1:8" ht="33">
      <c r="A2601" s="160">
        <v>5</v>
      </c>
      <c r="B2601" s="160" t="s">
        <v>931</v>
      </c>
      <c r="C2601" s="157" t="s">
        <v>14</v>
      </c>
      <c r="D2601" s="159">
        <v>1</v>
      </c>
      <c r="E2601" s="159">
        <v>60.7</v>
      </c>
      <c r="F2601" s="159">
        <v>60.7</v>
      </c>
      <c r="G2601" s="160" t="s">
        <v>2</v>
      </c>
      <c r="H2601" s="34" t="s">
        <v>925</v>
      </c>
    </row>
    <row r="2602" spans="1:8" ht="33">
      <c r="A2602" s="160"/>
      <c r="B2602" s="160" t="s">
        <v>933</v>
      </c>
      <c r="C2602" s="157" t="s">
        <v>3</v>
      </c>
      <c r="D2602" s="159">
        <v>100</v>
      </c>
      <c r="E2602" s="159"/>
      <c r="F2602" s="159">
        <v>2084.02</v>
      </c>
      <c r="G2602" s="160"/>
      <c r="H2602" s="34" t="s">
        <v>925</v>
      </c>
    </row>
    <row r="2603" spans="1:8" ht="33">
      <c r="A2603" s="160"/>
      <c r="B2603" s="160" t="s">
        <v>934</v>
      </c>
      <c r="C2603" s="157" t="s">
        <v>3</v>
      </c>
      <c r="D2603" s="159"/>
      <c r="E2603" s="159"/>
      <c r="F2603" s="159">
        <v>20.84</v>
      </c>
      <c r="G2603" s="160"/>
      <c r="H2603" s="34" t="s">
        <v>925</v>
      </c>
    </row>
    <row r="2604" spans="1:8" ht="33">
      <c r="A2604" s="160"/>
      <c r="B2604" s="160"/>
      <c r="C2604" s="157"/>
      <c r="D2604" s="159"/>
      <c r="E2604" s="159"/>
      <c r="F2604" s="159"/>
      <c r="G2604" s="160"/>
      <c r="H2604" s="34" t="s">
        <v>925</v>
      </c>
    </row>
    <row r="2605" spans="1:8" ht="33">
      <c r="A2605" s="160" t="s">
        <v>2583</v>
      </c>
      <c r="B2605" s="160" t="s">
        <v>2383</v>
      </c>
      <c r="C2605" s="157" t="s">
        <v>3</v>
      </c>
      <c r="D2605" s="159">
        <v>100</v>
      </c>
      <c r="E2605" s="159">
        <v>10.76</v>
      </c>
      <c r="F2605" s="159"/>
      <c r="G2605" s="160" t="s">
        <v>2</v>
      </c>
      <c r="H2605" s="34" t="s">
        <v>925</v>
      </c>
    </row>
    <row r="2606" spans="1:8" ht="33">
      <c r="A2606" s="160">
        <v>1</v>
      </c>
      <c r="B2606" s="160" t="s">
        <v>2385</v>
      </c>
      <c r="C2606" s="157" t="s">
        <v>927</v>
      </c>
      <c r="D2606" s="159">
        <v>1.1499999999999999</v>
      </c>
      <c r="E2606" s="159">
        <v>647.91999999999996</v>
      </c>
      <c r="F2606" s="159">
        <v>745.11</v>
      </c>
      <c r="G2606" s="160" t="s">
        <v>2</v>
      </c>
      <c r="H2606" s="34" t="s">
        <v>925</v>
      </c>
    </row>
    <row r="2607" spans="1:8" ht="33">
      <c r="A2607" s="160">
        <v>2</v>
      </c>
      <c r="B2607" s="160" t="s">
        <v>2387</v>
      </c>
      <c r="C2607" s="157" t="s">
        <v>927</v>
      </c>
      <c r="D2607" s="159">
        <v>1.1499999999999999</v>
      </c>
      <c r="E2607" s="159">
        <v>260.08999999999997</v>
      </c>
      <c r="F2607" s="159">
        <v>299.10000000000002</v>
      </c>
      <c r="G2607" s="160" t="s">
        <v>2</v>
      </c>
      <c r="H2607" s="34" t="s">
        <v>925</v>
      </c>
    </row>
    <row r="2608" spans="1:8" ht="33">
      <c r="A2608" s="160">
        <v>3</v>
      </c>
      <c r="B2608" s="160" t="s">
        <v>931</v>
      </c>
      <c r="C2608" s="157" t="s">
        <v>14</v>
      </c>
      <c r="D2608" s="159">
        <v>1</v>
      </c>
      <c r="E2608" s="159">
        <v>31.33</v>
      </c>
      <c r="F2608" s="159">
        <v>31.33</v>
      </c>
      <c r="G2608" s="160" t="s">
        <v>2</v>
      </c>
      <c r="H2608" s="34" t="s">
        <v>925</v>
      </c>
    </row>
    <row r="2609" spans="1:8" ht="33">
      <c r="A2609" s="160"/>
      <c r="B2609" s="160" t="s">
        <v>933</v>
      </c>
      <c r="C2609" s="157" t="s">
        <v>3</v>
      </c>
      <c r="D2609" s="159">
        <v>100</v>
      </c>
      <c r="E2609" s="159"/>
      <c r="F2609" s="159">
        <v>1075.54</v>
      </c>
      <c r="G2609" s="160"/>
      <c r="H2609" s="34" t="s">
        <v>925</v>
      </c>
    </row>
    <row r="2610" spans="1:8" ht="16.5">
      <c r="A2610" s="160"/>
      <c r="B2610" s="160" t="s">
        <v>934</v>
      </c>
      <c r="C2610" s="157" t="s">
        <v>3</v>
      </c>
      <c r="D2610" s="159"/>
      <c r="E2610" s="159"/>
      <c r="F2610" s="159">
        <v>10.76</v>
      </c>
      <c r="G2610" s="160"/>
    </row>
    <row r="2611" spans="1:8" ht="33">
      <c r="A2611" s="160"/>
      <c r="B2611" s="160"/>
      <c r="C2611" s="157"/>
      <c r="D2611" s="159"/>
      <c r="E2611" s="159"/>
      <c r="F2611" s="159"/>
      <c r="G2611" s="160"/>
      <c r="H2611" s="34" t="s">
        <v>925</v>
      </c>
    </row>
    <row r="2612" spans="1:8" ht="33">
      <c r="A2612" s="160" t="s">
        <v>2586</v>
      </c>
      <c r="B2612" s="160" t="s">
        <v>2390</v>
      </c>
      <c r="C2612" s="157" t="s">
        <v>3</v>
      </c>
      <c r="D2612" s="159">
        <v>10</v>
      </c>
      <c r="E2612" s="159">
        <v>18.75</v>
      </c>
      <c r="F2612" s="159"/>
      <c r="G2612" s="160" t="s">
        <v>2</v>
      </c>
      <c r="H2612" s="34" t="s">
        <v>925</v>
      </c>
    </row>
    <row r="2613" spans="1:8" ht="33">
      <c r="A2613" s="160">
        <v>1</v>
      </c>
      <c r="B2613" s="160" t="s">
        <v>4871</v>
      </c>
      <c r="C2613" s="157" t="s">
        <v>927</v>
      </c>
      <c r="D2613" s="159">
        <v>0.7</v>
      </c>
      <c r="E2613" s="159">
        <v>260.08999999999997</v>
      </c>
      <c r="F2613" s="159">
        <v>182.06</v>
      </c>
      <c r="G2613" s="160" t="s">
        <v>2</v>
      </c>
      <c r="H2613" s="34" t="s">
        <v>925</v>
      </c>
    </row>
    <row r="2614" spans="1:8" ht="33">
      <c r="A2614" s="160">
        <v>2</v>
      </c>
      <c r="B2614" s="160" t="s">
        <v>931</v>
      </c>
      <c r="C2614" s="157" t="s">
        <v>14</v>
      </c>
      <c r="D2614" s="159">
        <v>1</v>
      </c>
      <c r="E2614" s="159">
        <v>5.46</v>
      </c>
      <c r="F2614" s="159">
        <v>5.46</v>
      </c>
      <c r="G2614" s="160" t="s">
        <v>2</v>
      </c>
      <c r="H2614" s="34" t="s">
        <v>925</v>
      </c>
    </row>
    <row r="2615" spans="1:8" ht="33">
      <c r="A2615" s="160"/>
      <c r="B2615" s="160" t="s">
        <v>933</v>
      </c>
      <c r="C2615" s="157" t="s">
        <v>3</v>
      </c>
      <c r="D2615" s="159">
        <v>10</v>
      </c>
      <c r="E2615" s="159"/>
      <c r="F2615" s="159">
        <v>187.52</v>
      </c>
      <c r="G2615" s="160"/>
      <c r="H2615" s="34" t="s">
        <v>925</v>
      </c>
    </row>
    <row r="2616" spans="1:8" ht="33">
      <c r="A2616" s="160"/>
      <c r="B2616" s="160" t="s">
        <v>934</v>
      </c>
      <c r="C2616" s="157" t="s">
        <v>3</v>
      </c>
      <c r="D2616" s="159"/>
      <c r="E2616" s="159"/>
      <c r="F2616" s="159">
        <v>18.75</v>
      </c>
      <c r="G2616" s="160"/>
      <c r="H2616" s="34" t="s">
        <v>925</v>
      </c>
    </row>
    <row r="2617" spans="1:8" ht="33">
      <c r="A2617" s="160"/>
      <c r="B2617" s="160"/>
      <c r="C2617" s="157"/>
      <c r="D2617" s="159"/>
      <c r="E2617" s="159"/>
      <c r="F2617" s="159"/>
      <c r="G2617" s="160"/>
      <c r="H2617" s="34" t="s">
        <v>925</v>
      </c>
    </row>
    <row r="2618" spans="1:8" ht="33">
      <c r="A2618" s="160" t="s">
        <v>2589</v>
      </c>
      <c r="B2618" s="160" t="s">
        <v>2393</v>
      </c>
      <c r="C2618" s="157" t="s">
        <v>2394</v>
      </c>
      <c r="D2618" s="159">
        <v>1</v>
      </c>
      <c r="E2618" s="159">
        <v>2304.79</v>
      </c>
      <c r="F2618" s="159"/>
      <c r="G2618" s="160" t="s">
        <v>2</v>
      </c>
      <c r="H2618" s="34" t="s">
        <v>925</v>
      </c>
    </row>
    <row r="2619" spans="1:8" ht="33">
      <c r="A2619" s="160">
        <v>1</v>
      </c>
      <c r="B2619" s="160" t="s">
        <v>1084</v>
      </c>
      <c r="C2619" s="157" t="s">
        <v>927</v>
      </c>
      <c r="D2619" s="159">
        <v>1.5</v>
      </c>
      <c r="E2619" s="159">
        <v>638.66999999999996</v>
      </c>
      <c r="F2619" s="159">
        <v>958.01</v>
      </c>
      <c r="G2619" s="160" t="s">
        <v>2</v>
      </c>
      <c r="H2619" s="34" t="s">
        <v>925</v>
      </c>
    </row>
    <row r="2620" spans="1:8" ht="33">
      <c r="A2620" s="160">
        <v>2</v>
      </c>
      <c r="B2620" s="160" t="s">
        <v>1086</v>
      </c>
      <c r="C2620" s="157" t="s">
        <v>927</v>
      </c>
      <c r="D2620" s="159">
        <v>1.5</v>
      </c>
      <c r="E2620" s="159">
        <v>371.17</v>
      </c>
      <c r="F2620" s="159">
        <v>556.76</v>
      </c>
      <c r="G2620" s="160" t="s">
        <v>2</v>
      </c>
      <c r="H2620" s="34" t="s">
        <v>925</v>
      </c>
    </row>
    <row r="2621" spans="1:8" ht="33">
      <c r="A2621" s="160">
        <v>3</v>
      </c>
      <c r="B2621" s="160" t="s">
        <v>4871</v>
      </c>
      <c r="C2621" s="157" t="s">
        <v>927</v>
      </c>
      <c r="D2621" s="159">
        <v>1</v>
      </c>
      <c r="E2621" s="159">
        <v>260.08999999999997</v>
      </c>
      <c r="F2621" s="159">
        <v>260.08999999999997</v>
      </c>
      <c r="G2621" s="160" t="s">
        <v>5435</v>
      </c>
      <c r="H2621" s="34" t="s">
        <v>925</v>
      </c>
    </row>
    <row r="2622" spans="1:8" ht="33">
      <c r="A2622" s="160">
        <v>4</v>
      </c>
      <c r="B2622" s="160" t="s">
        <v>2396</v>
      </c>
      <c r="C2622" s="157" t="s">
        <v>14</v>
      </c>
      <c r="D2622" s="159">
        <v>1</v>
      </c>
      <c r="E2622" s="159">
        <v>462.8</v>
      </c>
      <c r="F2622" s="159">
        <v>462.8</v>
      </c>
      <c r="G2622" s="160" t="s">
        <v>2</v>
      </c>
      <c r="H2622" s="34" t="s">
        <v>925</v>
      </c>
    </row>
    <row r="2623" spans="1:8" ht="33">
      <c r="A2623" s="160">
        <v>5</v>
      </c>
      <c r="B2623" s="160" t="s">
        <v>931</v>
      </c>
      <c r="C2623" s="157" t="s">
        <v>14</v>
      </c>
      <c r="D2623" s="159">
        <v>1</v>
      </c>
      <c r="E2623" s="159">
        <v>67.13</v>
      </c>
      <c r="F2623" s="159">
        <v>67.13</v>
      </c>
      <c r="G2623" s="160" t="s">
        <v>2</v>
      </c>
      <c r="H2623" s="34" t="s">
        <v>925</v>
      </c>
    </row>
    <row r="2624" spans="1:8" ht="33">
      <c r="A2624" s="160"/>
      <c r="B2624" s="160" t="s">
        <v>933</v>
      </c>
      <c r="C2624" s="157" t="s">
        <v>2394</v>
      </c>
      <c r="D2624" s="159">
        <v>1</v>
      </c>
      <c r="E2624" s="159"/>
      <c r="F2624" s="159">
        <v>2304.79</v>
      </c>
      <c r="G2624" s="160"/>
      <c r="H2624" s="34" t="s">
        <v>925</v>
      </c>
    </row>
    <row r="2625" spans="1:8" ht="33">
      <c r="A2625" s="160"/>
      <c r="B2625" s="160" t="s">
        <v>934</v>
      </c>
      <c r="C2625" s="157" t="s">
        <v>2394</v>
      </c>
      <c r="D2625" s="159"/>
      <c r="E2625" s="159"/>
      <c r="F2625" s="159">
        <v>2304.79</v>
      </c>
      <c r="G2625" s="160"/>
      <c r="H2625" s="34" t="s">
        <v>925</v>
      </c>
    </row>
    <row r="2626" spans="1:8" ht="33">
      <c r="A2626" s="160"/>
      <c r="B2626" s="160"/>
      <c r="C2626" s="157"/>
      <c r="D2626" s="159"/>
      <c r="E2626" s="159"/>
      <c r="F2626" s="159"/>
      <c r="G2626" s="160"/>
      <c r="H2626" s="34" t="s">
        <v>925</v>
      </c>
    </row>
    <row r="2627" spans="1:8" ht="28.5">
      <c r="A2627" s="160" t="s">
        <v>2592</v>
      </c>
      <c r="B2627" s="160" t="s">
        <v>2399</v>
      </c>
      <c r="C2627" s="157" t="s">
        <v>2400</v>
      </c>
      <c r="D2627" s="159">
        <v>1</v>
      </c>
      <c r="E2627" s="159">
        <v>4232.16</v>
      </c>
      <c r="F2627" s="159"/>
      <c r="G2627" s="160" t="s">
        <v>4389</v>
      </c>
    </row>
    <row r="2628" spans="1:8" ht="33">
      <c r="A2628" s="160">
        <v>1</v>
      </c>
      <c r="B2628" s="160" t="s">
        <v>2402</v>
      </c>
      <c r="C2628" s="157" t="s">
        <v>927</v>
      </c>
      <c r="D2628" s="159">
        <v>1</v>
      </c>
      <c r="E2628" s="159">
        <v>379.5</v>
      </c>
      <c r="F2628" s="159">
        <v>379.5</v>
      </c>
      <c r="G2628" s="160" t="s">
        <v>2</v>
      </c>
      <c r="H2628" s="34" t="s">
        <v>925</v>
      </c>
    </row>
    <row r="2629" spans="1:8" ht="33">
      <c r="A2629" s="160">
        <v>2</v>
      </c>
      <c r="B2629" s="160" t="s">
        <v>1774</v>
      </c>
      <c r="C2629" s="157" t="s">
        <v>927</v>
      </c>
      <c r="D2629" s="159">
        <v>1.1000000000000001</v>
      </c>
      <c r="E2629" s="159">
        <v>1314.35</v>
      </c>
      <c r="F2629" s="159">
        <v>1445.79</v>
      </c>
      <c r="G2629" s="160" t="s">
        <v>2</v>
      </c>
      <c r="H2629" s="34" t="s">
        <v>925</v>
      </c>
    </row>
    <row r="2630" spans="1:8" ht="33">
      <c r="A2630" s="160">
        <v>3</v>
      </c>
      <c r="B2630" s="160" t="s">
        <v>4964</v>
      </c>
      <c r="C2630" s="157" t="s">
        <v>927</v>
      </c>
      <c r="D2630" s="159">
        <v>1.1000000000000001</v>
      </c>
      <c r="E2630" s="159">
        <v>371.17</v>
      </c>
      <c r="F2630" s="159">
        <v>408.29</v>
      </c>
      <c r="G2630" s="160" t="s">
        <v>5454</v>
      </c>
      <c r="H2630" s="34" t="s">
        <v>925</v>
      </c>
    </row>
    <row r="2631" spans="1:8" ht="33">
      <c r="A2631" s="160">
        <v>4</v>
      </c>
      <c r="B2631" s="160" t="s">
        <v>997</v>
      </c>
      <c r="C2631" s="157" t="s">
        <v>927</v>
      </c>
      <c r="D2631" s="159">
        <v>1.03</v>
      </c>
      <c r="E2631" s="159">
        <v>1073.7</v>
      </c>
      <c r="F2631" s="159">
        <v>1105.9100000000001</v>
      </c>
      <c r="G2631" s="160" t="s">
        <v>2</v>
      </c>
      <c r="H2631" s="34" t="s">
        <v>925</v>
      </c>
    </row>
    <row r="2632" spans="1:8" ht="33">
      <c r="A2632" s="160">
        <v>5</v>
      </c>
      <c r="B2632" s="160" t="s">
        <v>1086</v>
      </c>
      <c r="C2632" s="157" t="s">
        <v>927</v>
      </c>
      <c r="D2632" s="159">
        <v>1.03</v>
      </c>
      <c r="E2632" s="159">
        <v>371.17</v>
      </c>
      <c r="F2632" s="159">
        <v>382.31</v>
      </c>
      <c r="G2632" s="160" t="s">
        <v>2</v>
      </c>
      <c r="H2632" s="34" t="s">
        <v>925</v>
      </c>
    </row>
    <row r="2633" spans="1:8" ht="33">
      <c r="A2633" s="160">
        <v>6</v>
      </c>
      <c r="B2633" s="160" t="s">
        <v>2369</v>
      </c>
      <c r="C2633" s="157" t="s">
        <v>927</v>
      </c>
      <c r="D2633" s="159">
        <v>1.02</v>
      </c>
      <c r="E2633" s="159">
        <v>379.5</v>
      </c>
      <c r="F2633" s="159">
        <v>387.09</v>
      </c>
      <c r="G2633" s="160" t="s">
        <v>2</v>
      </c>
      <c r="H2633" s="34" t="s">
        <v>925</v>
      </c>
    </row>
    <row r="2634" spans="1:8" ht="33">
      <c r="A2634" s="160">
        <v>7</v>
      </c>
      <c r="B2634" s="160" t="s">
        <v>931</v>
      </c>
      <c r="C2634" s="157" t="s">
        <v>14</v>
      </c>
      <c r="D2634" s="159">
        <v>1</v>
      </c>
      <c r="E2634" s="159">
        <v>123.27</v>
      </c>
      <c r="F2634" s="159">
        <v>123.27</v>
      </c>
      <c r="G2634" s="160" t="s">
        <v>2</v>
      </c>
      <c r="H2634" s="34" t="s">
        <v>925</v>
      </c>
    </row>
    <row r="2635" spans="1:8" ht="33">
      <c r="A2635" s="160"/>
      <c r="B2635" s="160" t="s">
        <v>933</v>
      </c>
      <c r="C2635" s="157" t="s">
        <v>2400</v>
      </c>
      <c r="D2635" s="159">
        <v>1</v>
      </c>
      <c r="E2635" s="159"/>
      <c r="F2635" s="159">
        <v>4232.16</v>
      </c>
      <c r="G2635" s="160"/>
      <c r="H2635" s="34" t="s">
        <v>925</v>
      </c>
    </row>
    <row r="2636" spans="1:8" ht="33">
      <c r="A2636" s="160"/>
      <c r="B2636" s="160" t="s">
        <v>934</v>
      </c>
      <c r="C2636" s="157" t="s">
        <v>2400</v>
      </c>
      <c r="D2636" s="159"/>
      <c r="E2636" s="159"/>
      <c r="F2636" s="159">
        <v>4232.16</v>
      </c>
      <c r="G2636" s="160"/>
      <c r="H2636" s="34" t="s">
        <v>925</v>
      </c>
    </row>
    <row r="2637" spans="1:8" ht="33">
      <c r="A2637" s="160"/>
      <c r="B2637" s="160"/>
      <c r="C2637" s="157"/>
      <c r="D2637" s="159"/>
      <c r="E2637" s="159"/>
      <c r="F2637" s="159"/>
      <c r="G2637" s="160"/>
      <c r="H2637" s="34" t="s">
        <v>925</v>
      </c>
    </row>
    <row r="2638" spans="1:8" ht="33">
      <c r="A2638" s="160" t="s">
        <v>2595</v>
      </c>
      <c r="B2638" s="160" t="s">
        <v>2405</v>
      </c>
      <c r="C2638" s="157" t="s">
        <v>3</v>
      </c>
      <c r="D2638" s="159">
        <v>100</v>
      </c>
      <c r="E2638" s="159">
        <v>32.15</v>
      </c>
      <c r="F2638" s="159"/>
      <c r="G2638" s="160" t="s">
        <v>2</v>
      </c>
      <c r="H2638" s="34" t="s">
        <v>925</v>
      </c>
    </row>
    <row r="2639" spans="1:8" ht="33">
      <c r="A2639" s="160">
        <v>1</v>
      </c>
      <c r="B2639" s="160" t="s">
        <v>1084</v>
      </c>
      <c r="C2639" s="157" t="s">
        <v>927</v>
      </c>
      <c r="D2639" s="159">
        <v>1</v>
      </c>
      <c r="E2639" s="159">
        <v>638.66999999999996</v>
      </c>
      <c r="F2639" s="159">
        <v>638.66999999999996</v>
      </c>
      <c r="G2639" s="160" t="s">
        <v>2</v>
      </c>
      <c r="H2639" s="34" t="s">
        <v>925</v>
      </c>
    </row>
    <row r="2640" spans="1:8" ht="33">
      <c r="A2640" s="160">
        <v>2</v>
      </c>
      <c r="B2640" s="160" t="s">
        <v>1086</v>
      </c>
      <c r="C2640" s="157" t="s">
        <v>927</v>
      </c>
      <c r="D2640" s="159">
        <v>1</v>
      </c>
      <c r="E2640" s="159">
        <v>371.17</v>
      </c>
      <c r="F2640" s="159">
        <v>371.17</v>
      </c>
      <c r="G2640" s="160" t="s">
        <v>2</v>
      </c>
      <c r="H2640" s="34" t="s">
        <v>925</v>
      </c>
    </row>
    <row r="2641" spans="1:8" ht="33">
      <c r="A2641" s="160">
        <v>3</v>
      </c>
      <c r="B2641" s="160" t="s">
        <v>4871</v>
      </c>
      <c r="C2641" s="157" t="s">
        <v>927</v>
      </c>
      <c r="D2641" s="159">
        <v>1</v>
      </c>
      <c r="E2641" s="159">
        <v>260.08999999999997</v>
      </c>
      <c r="F2641" s="159">
        <v>260.08999999999997</v>
      </c>
      <c r="G2641" s="160" t="s">
        <v>5435</v>
      </c>
      <c r="H2641" s="34" t="s">
        <v>925</v>
      </c>
    </row>
    <row r="2642" spans="1:8" ht="33">
      <c r="A2642" s="160">
        <v>4</v>
      </c>
      <c r="B2642" s="160" t="s">
        <v>2396</v>
      </c>
      <c r="C2642" s="157" t="s">
        <v>14</v>
      </c>
      <c r="D2642" s="159">
        <v>1</v>
      </c>
      <c r="E2642" s="159">
        <v>462.8</v>
      </c>
      <c r="F2642" s="159">
        <v>462.8</v>
      </c>
      <c r="G2642" s="160" t="s">
        <v>2</v>
      </c>
      <c r="H2642" s="34" t="s">
        <v>925</v>
      </c>
    </row>
    <row r="2643" spans="1:8" ht="33">
      <c r="A2643" s="160">
        <v>5</v>
      </c>
      <c r="B2643" s="160" t="s">
        <v>2407</v>
      </c>
      <c r="C2643" s="157" t="s">
        <v>14</v>
      </c>
      <c r="D2643" s="159">
        <v>1</v>
      </c>
      <c r="E2643" s="159">
        <v>1388.4</v>
      </c>
      <c r="F2643" s="159">
        <v>1388.4</v>
      </c>
      <c r="G2643" s="160" t="s">
        <v>2</v>
      </c>
      <c r="H2643" s="34" t="s">
        <v>925</v>
      </c>
    </row>
    <row r="2644" spans="1:8" ht="16.5">
      <c r="A2644" s="160">
        <v>6</v>
      </c>
      <c r="B2644" s="160" t="s">
        <v>931</v>
      </c>
      <c r="C2644" s="157" t="s">
        <v>14</v>
      </c>
      <c r="D2644" s="159">
        <v>1</v>
      </c>
      <c r="E2644" s="159">
        <v>93.63</v>
      </c>
      <c r="F2644" s="159">
        <v>93.63</v>
      </c>
      <c r="G2644" s="160" t="s">
        <v>2</v>
      </c>
    </row>
    <row r="2645" spans="1:8" ht="33">
      <c r="A2645" s="160"/>
      <c r="B2645" s="160" t="s">
        <v>933</v>
      </c>
      <c r="C2645" s="157" t="s">
        <v>3</v>
      </c>
      <c r="D2645" s="159">
        <v>100</v>
      </c>
      <c r="E2645" s="159"/>
      <c r="F2645" s="159">
        <v>3214.76</v>
      </c>
      <c r="G2645" s="160"/>
      <c r="H2645" s="34" t="s">
        <v>925</v>
      </c>
    </row>
    <row r="2646" spans="1:8" ht="33">
      <c r="A2646" s="160"/>
      <c r="B2646" s="160" t="s">
        <v>934</v>
      </c>
      <c r="C2646" s="157" t="s">
        <v>3</v>
      </c>
      <c r="D2646" s="159"/>
      <c r="E2646" s="159"/>
      <c r="F2646" s="159">
        <v>32.15</v>
      </c>
      <c r="G2646" s="160"/>
      <c r="H2646" s="34" t="s">
        <v>925</v>
      </c>
    </row>
    <row r="2647" spans="1:8" ht="33">
      <c r="A2647" s="160"/>
      <c r="B2647" s="160"/>
      <c r="C2647" s="157"/>
      <c r="D2647" s="159"/>
      <c r="E2647" s="159"/>
      <c r="F2647" s="159"/>
      <c r="G2647" s="160"/>
      <c r="H2647" s="34" t="s">
        <v>925</v>
      </c>
    </row>
    <row r="2648" spans="1:8" ht="33">
      <c r="A2648" s="160" t="s">
        <v>2598</v>
      </c>
      <c r="B2648" s="160" t="s">
        <v>2410</v>
      </c>
      <c r="C2648" s="157" t="s">
        <v>0</v>
      </c>
      <c r="D2648" s="159">
        <v>100</v>
      </c>
      <c r="E2648" s="159">
        <v>2120.79</v>
      </c>
      <c r="F2648" s="159"/>
      <c r="G2648" s="160" t="s">
        <v>2</v>
      </c>
      <c r="H2648" s="34" t="s">
        <v>925</v>
      </c>
    </row>
    <row r="2649" spans="1:8" ht="33">
      <c r="A2649" s="160">
        <v>1</v>
      </c>
      <c r="B2649" s="160" t="s">
        <v>1084</v>
      </c>
      <c r="C2649" s="157" t="s">
        <v>927</v>
      </c>
      <c r="D2649" s="159">
        <v>16</v>
      </c>
      <c r="E2649" s="159">
        <v>638.66999999999996</v>
      </c>
      <c r="F2649" s="159">
        <v>10218.719999999999</v>
      </c>
      <c r="G2649" s="160" t="s">
        <v>2</v>
      </c>
      <c r="H2649" s="34" t="s">
        <v>925</v>
      </c>
    </row>
    <row r="2650" spans="1:8" ht="33">
      <c r="A2650" s="160">
        <v>2</v>
      </c>
      <c r="B2650" s="160" t="s">
        <v>1086</v>
      </c>
      <c r="C2650" s="157" t="s">
        <v>927</v>
      </c>
      <c r="D2650" s="159">
        <v>16</v>
      </c>
      <c r="E2650" s="159">
        <v>371.17</v>
      </c>
      <c r="F2650" s="159">
        <v>5938.72</v>
      </c>
      <c r="G2650" s="160" t="s">
        <v>2</v>
      </c>
      <c r="H2650" s="34" t="s">
        <v>925</v>
      </c>
    </row>
    <row r="2651" spans="1:8" ht="33">
      <c r="A2651" s="160">
        <v>3</v>
      </c>
      <c r="B2651" s="160" t="s">
        <v>4871</v>
      </c>
      <c r="C2651" s="157" t="s">
        <v>927</v>
      </c>
      <c r="D2651" s="159">
        <v>16</v>
      </c>
      <c r="E2651" s="159">
        <v>260.08999999999997</v>
      </c>
      <c r="F2651" s="159">
        <v>4161.4399999999996</v>
      </c>
      <c r="G2651" s="160" t="s">
        <v>5435</v>
      </c>
      <c r="H2651" s="34" t="s">
        <v>925</v>
      </c>
    </row>
    <row r="2652" spans="1:8" ht="33">
      <c r="A2652" s="160">
        <v>4</v>
      </c>
      <c r="B2652" s="160" t="s">
        <v>2396</v>
      </c>
      <c r="C2652" s="157" t="s">
        <v>14</v>
      </c>
      <c r="D2652" s="159">
        <v>1</v>
      </c>
      <c r="E2652" s="159">
        <v>462.8</v>
      </c>
      <c r="F2652" s="159">
        <v>462.8</v>
      </c>
      <c r="G2652" s="160" t="s">
        <v>2</v>
      </c>
      <c r="H2652" s="34" t="s">
        <v>925</v>
      </c>
    </row>
    <row r="2653" spans="1:8" ht="33">
      <c r="A2653" s="160">
        <v>5</v>
      </c>
      <c r="B2653" s="160" t="s">
        <v>2407</v>
      </c>
      <c r="C2653" s="157" t="s">
        <v>0</v>
      </c>
      <c r="D2653" s="159">
        <v>100</v>
      </c>
      <c r="E2653" s="159">
        <v>1851.2</v>
      </c>
      <c r="F2653" s="159">
        <v>185120</v>
      </c>
      <c r="G2653" s="160" t="s">
        <v>2</v>
      </c>
      <c r="H2653" s="34" t="s">
        <v>925</v>
      </c>
    </row>
    <row r="2654" spans="1:8" ht="33">
      <c r="A2654" s="160">
        <v>6</v>
      </c>
      <c r="B2654" s="160" t="s">
        <v>931</v>
      </c>
      <c r="C2654" s="157" t="s">
        <v>14</v>
      </c>
      <c r="D2654" s="159">
        <v>1</v>
      </c>
      <c r="E2654" s="159">
        <v>6177.05</v>
      </c>
      <c r="F2654" s="159">
        <v>6177.05</v>
      </c>
      <c r="G2654" s="160" t="s">
        <v>2</v>
      </c>
      <c r="H2654" s="34" t="s">
        <v>925</v>
      </c>
    </row>
    <row r="2655" spans="1:8" ht="33">
      <c r="A2655" s="160"/>
      <c r="B2655" s="160" t="s">
        <v>933</v>
      </c>
      <c r="C2655" s="157" t="s">
        <v>0</v>
      </c>
      <c r="D2655" s="159">
        <v>100</v>
      </c>
      <c r="E2655" s="159"/>
      <c r="F2655" s="159">
        <v>212078.72999999998</v>
      </c>
      <c r="G2655" s="160"/>
      <c r="H2655" s="34" t="s">
        <v>925</v>
      </c>
    </row>
    <row r="2656" spans="1:8" ht="33">
      <c r="A2656" s="160"/>
      <c r="B2656" s="160" t="s">
        <v>934</v>
      </c>
      <c r="C2656" s="157" t="s">
        <v>0</v>
      </c>
      <c r="D2656" s="159"/>
      <c r="E2656" s="159"/>
      <c r="F2656" s="159">
        <v>2120.79</v>
      </c>
      <c r="G2656" s="160"/>
      <c r="H2656" s="34" t="s">
        <v>925</v>
      </c>
    </row>
    <row r="2657" spans="1:8" ht="33">
      <c r="A2657" s="160"/>
      <c r="B2657" s="160"/>
      <c r="C2657" s="157"/>
      <c r="D2657" s="159"/>
      <c r="E2657" s="159"/>
      <c r="F2657" s="159"/>
      <c r="G2657" s="160"/>
      <c r="H2657" s="34" t="s">
        <v>925</v>
      </c>
    </row>
    <row r="2658" spans="1:8" ht="33">
      <c r="A2658" s="160" t="s">
        <v>2601</v>
      </c>
      <c r="B2658" s="160" t="s">
        <v>4390</v>
      </c>
      <c r="C2658" s="157" t="s">
        <v>927</v>
      </c>
      <c r="D2658" s="159">
        <v>8</v>
      </c>
      <c r="E2658" s="159">
        <v>191.71</v>
      </c>
      <c r="F2658" s="159"/>
      <c r="G2658" s="160" t="s">
        <v>4391</v>
      </c>
      <c r="H2658" s="34" t="s">
        <v>925</v>
      </c>
    </row>
    <row r="2659" spans="1:8" ht="42.75">
      <c r="A2659" s="160">
        <v>1</v>
      </c>
      <c r="B2659" s="160" t="s">
        <v>4997</v>
      </c>
      <c r="C2659" s="157" t="s">
        <v>927</v>
      </c>
      <c r="D2659" s="159">
        <v>8</v>
      </c>
      <c r="E2659" s="159">
        <v>58.31</v>
      </c>
      <c r="F2659" s="159">
        <v>466.48</v>
      </c>
      <c r="G2659" s="160" t="s">
        <v>5469</v>
      </c>
      <c r="H2659" s="34" t="s">
        <v>925</v>
      </c>
    </row>
    <row r="2660" spans="1:8" ht="33">
      <c r="A2660" s="160">
        <v>2</v>
      </c>
      <c r="B2660" s="160" t="s">
        <v>4999</v>
      </c>
      <c r="C2660" s="157" t="s">
        <v>14</v>
      </c>
      <c r="D2660" s="159">
        <v>1</v>
      </c>
      <c r="E2660" s="159">
        <v>647.96</v>
      </c>
      <c r="F2660" s="159">
        <v>647.96</v>
      </c>
      <c r="G2660" s="160" t="s">
        <v>5470</v>
      </c>
      <c r="H2660" s="34" t="s">
        <v>925</v>
      </c>
    </row>
    <row r="2661" spans="1:8" ht="16.5">
      <c r="A2661" s="160">
        <v>3</v>
      </c>
      <c r="B2661" s="160" t="s">
        <v>4871</v>
      </c>
      <c r="C2661" s="157" t="s">
        <v>927</v>
      </c>
      <c r="D2661" s="159">
        <v>1.44</v>
      </c>
      <c r="E2661" s="159">
        <v>260.08999999999997</v>
      </c>
      <c r="F2661" s="159">
        <v>374.53</v>
      </c>
      <c r="G2661" s="160" t="s">
        <v>2</v>
      </c>
    </row>
    <row r="2662" spans="1:8" ht="33">
      <c r="A2662" s="160">
        <v>4</v>
      </c>
      <c r="B2662" s="160" t="s">
        <v>931</v>
      </c>
      <c r="C2662" s="157" t="s">
        <v>14</v>
      </c>
      <c r="D2662" s="159">
        <v>1</v>
      </c>
      <c r="E2662" s="159">
        <v>44.67</v>
      </c>
      <c r="F2662" s="159">
        <v>44.67</v>
      </c>
      <c r="G2662" s="160" t="s">
        <v>2</v>
      </c>
      <c r="H2662" s="34" t="s">
        <v>925</v>
      </c>
    </row>
    <row r="2663" spans="1:8" ht="33">
      <c r="A2663" s="160"/>
      <c r="B2663" s="160" t="s">
        <v>933</v>
      </c>
      <c r="C2663" s="157" t="s">
        <v>927</v>
      </c>
      <c r="D2663" s="159">
        <v>8</v>
      </c>
      <c r="E2663" s="159"/>
      <c r="F2663" s="159">
        <v>1533.64</v>
      </c>
      <c r="G2663" s="160"/>
      <c r="H2663" s="34" t="s">
        <v>925</v>
      </c>
    </row>
    <row r="2664" spans="1:8" ht="33">
      <c r="A2664" s="160"/>
      <c r="B2664" s="160" t="s">
        <v>934</v>
      </c>
      <c r="C2664" s="157" t="s">
        <v>927</v>
      </c>
      <c r="D2664" s="159"/>
      <c r="E2664" s="159"/>
      <c r="F2664" s="159">
        <v>191.71</v>
      </c>
      <c r="G2664" s="160"/>
      <c r="H2664" s="34" t="s">
        <v>925</v>
      </c>
    </row>
    <row r="2665" spans="1:8" ht="33">
      <c r="A2665" s="160"/>
      <c r="B2665" s="160"/>
      <c r="C2665" s="157"/>
      <c r="D2665" s="159"/>
      <c r="E2665" s="159"/>
      <c r="F2665" s="159"/>
      <c r="G2665" s="160"/>
      <c r="H2665" s="34" t="s">
        <v>925</v>
      </c>
    </row>
    <row r="2666" spans="1:8" ht="33">
      <c r="A2666" s="160" t="s">
        <v>2604</v>
      </c>
      <c r="B2666" s="160" t="s">
        <v>4392</v>
      </c>
      <c r="C2666" s="157" t="s">
        <v>927</v>
      </c>
      <c r="D2666" s="159">
        <v>8</v>
      </c>
      <c r="E2666" s="159">
        <v>150.44</v>
      </c>
      <c r="F2666" s="159"/>
      <c r="G2666" s="160" t="s">
        <v>4393</v>
      </c>
      <c r="H2666" s="34" t="s">
        <v>925</v>
      </c>
    </row>
    <row r="2667" spans="1:8" ht="42.75">
      <c r="A2667" s="160">
        <v>1</v>
      </c>
      <c r="B2667" s="160" t="s">
        <v>5002</v>
      </c>
      <c r="C2667" s="157" t="s">
        <v>927</v>
      </c>
      <c r="D2667" s="159">
        <v>8</v>
      </c>
      <c r="E2667" s="159">
        <v>50.91</v>
      </c>
      <c r="F2667" s="159">
        <v>407.28</v>
      </c>
      <c r="G2667" s="160" t="s">
        <v>5471</v>
      </c>
      <c r="H2667" s="34" t="s">
        <v>925</v>
      </c>
    </row>
    <row r="2668" spans="1:8" ht="33">
      <c r="A2668" s="160">
        <v>2</v>
      </c>
      <c r="B2668" s="160" t="s">
        <v>4999</v>
      </c>
      <c r="C2668" s="157" t="s">
        <v>14</v>
      </c>
      <c r="D2668" s="159">
        <v>1</v>
      </c>
      <c r="E2668" s="159">
        <v>573.91</v>
      </c>
      <c r="F2668" s="159">
        <v>573.91</v>
      </c>
      <c r="G2668" s="160" t="s">
        <v>5470</v>
      </c>
      <c r="H2668" s="34" t="s">
        <v>925</v>
      </c>
    </row>
    <row r="2669" spans="1:8" ht="33">
      <c r="A2669" s="160">
        <v>3</v>
      </c>
      <c r="B2669" s="160" t="s">
        <v>4871</v>
      </c>
      <c r="C2669" s="157" t="s">
        <v>927</v>
      </c>
      <c r="D2669" s="159">
        <v>0.72</v>
      </c>
      <c r="E2669" s="159">
        <v>260.08999999999997</v>
      </c>
      <c r="F2669" s="159">
        <v>187.26</v>
      </c>
      <c r="G2669" s="160" t="s">
        <v>2</v>
      </c>
      <c r="H2669" s="34" t="s">
        <v>925</v>
      </c>
    </row>
    <row r="2670" spans="1:8" ht="33">
      <c r="A2670" s="160">
        <v>4</v>
      </c>
      <c r="B2670" s="160" t="s">
        <v>931</v>
      </c>
      <c r="C2670" s="157" t="s">
        <v>14</v>
      </c>
      <c r="D2670" s="159">
        <v>1</v>
      </c>
      <c r="E2670" s="159">
        <v>35.049999999999997</v>
      </c>
      <c r="F2670" s="159">
        <v>35.049999999999997</v>
      </c>
      <c r="G2670" s="160" t="s">
        <v>2</v>
      </c>
      <c r="H2670" s="34" t="s">
        <v>925</v>
      </c>
    </row>
    <row r="2671" spans="1:8" ht="33">
      <c r="A2671" s="160"/>
      <c r="B2671" s="160" t="s">
        <v>933</v>
      </c>
      <c r="C2671" s="157" t="s">
        <v>927</v>
      </c>
      <c r="D2671" s="159">
        <v>8</v>
      </c>
      <c r="E2671" s="159"/>
      <c r="F2671" s="159">
        <v>1203.4999999999998</v>
      </c>
      <c r="G2671" s="160"/>
      <c r="H2671" s="34" t="s">
        <v>925</v>
      </c>
    </row>
    <row r="2672" spans="1:8" ht="33">
      <c r="A2672" s="160"/>
      <c r="B2672" s="160" t="s">
        <v>934</v>
      </c>
      <c r="C2672" s="157" t="s">
        <v>927</v>
      </c>
      <c r="D2672" s="159"/>
      <c r="E2672" s="159"/>
      <c r="F2672" s="159">
        <v>150.44</v>
      </c>
      <c r="G2672" s="160"/>
      <c r="H2672" s="34" t="s">
        <v>925</v>
      </c>
    </row>
    <row r="2673" spans="1:8" ht="33">
      <c r="A2673" s="160"/>
      <c r="B2673" s="160"/>
      <c r="C2673" s="157"/>
      <c r="D2673" s="159"/>
      <c r="E2673" s="159"/>
      <c r="F2673" s="159"/>
      <c r="G2673" s="160"/>
      <c r="H2673" s="34" t="s">
        <v>925</v>
      </c>
    </row>
    <row r="2674" spans="1:8" ht="33">
      <c r="A2674" s="160" t="s">
        <v>2607</v>
      </c>
      <c r="B2674" s="160" t="s">
        <v>2381</v>
      </c>
      <c r="C2674" s="157" t="s">
        <v>927</v>
      </c>
      <c r="D2674" s="159">
        <v>1</v>
      </c>
      <c r="E2674" s="159">
        <v>2005.13</v>
      </c>
      <c r="F2674" s="159"/>
      <c r="G2674" s="160" t="s">
        <v>2</v>
      </c>
      <c r="H2674" s="34" t="s">
        <v>925</v>
      </c>
    </row>
    <row r="2675" spans="1:8" ht="33">
      <c r="A2675" s="160">
        <v>1</v>
      </c>
      <c r="B2675" s="160" t="s">
        <v>2419</v>
      </c>
      <c r="C2675" s="157" t="s">
        <v>927</v>
      </c>
      <c r="D2675" s="159">
        <v>1</v>
      </c>
      <c r="E2675" s="159">
        <v>1263.45</v>
      </c>
      <c r="F2675" s="159">
        <v>1263.45</v>
      </c>
      <c r="G2675" s="160" t="s">
        <v>2</v>
      </c>
      <c r="H2675" s="34" t="s">
        <v>925</v>
      </c>
    </row>
    <row r="2676" spans="1:8" ht="33">
      <c r="A2676" s="160">
        <v>2</v>
      </c>
      <c r="B2676" s="160" t="s">
        <v>4964</v>
      </c>
      <c r="C2676" s="157" t="s">
        <v>927</v>
      </c>
      <c r="D2676" s="159">
        <v>1</v>
      </c>
      <c r="E2676" s="159">
        <v>371.17</v>
      </c>
      <c r="F2676" s="159">
        <v>371.17</v>
      </c>
      <c r="G2676" s="160" t="s">
        <v>5454</v>
      </c>
      <c r="H2676" s="34" t="s">
        <v>925</v>
      </c>
    </row>
    <row r="2677" spans="1:8" ht="33">
      <c r="A2677" s="160">
        <v>3</v>
      </c>
      <c r="B2677" s="160" t="s">
        <v>4871</v>
      </c>
      <c r="C2677" s="157" t="s">
        <v>927</v>
      </c>
      <c r="D2677" s="159">
        <v>1.2</v>
      </c>
      <c r="E2677" s="159">
        <v>260.08999999999997</v>
      </c>
      <c r="F2677" s="159">
        <v>312.11</v>
      </c>
      <c r="G2677" s="160" t="s">
        <v>5435</v>
      </c>
      <c r="H2677" s="34" t="s">
        <v>925</v>
      </c>
    </row>
    <row r="2678" spans="1:8" ht="16.5">
      <c r="A2678" s="160">
        <v>4</v>
      </c>
      <c r="B2678" s="160" t="s">
        <v>931</v>
      </c>
      <c r="C2678" s="157" t="s">
        <v>14</v>
      </c>
      <c r="D2678" s="159">
        <v>1</v>
      </c>
      <c r="E2678" s="159">
        <v>58.4</v>
      </c>
      <c r="F2678" s="159">
        <v>58.4</v>
      </c>
      <c r="G2678" s="160" t="s">
        <v>2</v>
      </c>
    </row>
    <row r="2679" spans="1:8" ht="33">
      <c r="A2679" s="160"/>
      <c r="B2679" s="160" t="s">
        <v>933</v>
      </c>
      <c r="C2679" s="157" t="s">
        <v>927</v>
      </c>
      <c r="D2679" s="159">
        <v>1</v>
      </c>
      <c r="E2679" s="159"/>
      <c r="F2679" s="159">
        <v>2005.13</v>
      </c>
      <c r="G2679" s="160"/>
      <c r="H2679" s="34" t="s">
        <v>925</v>
      </c>
    </row>
    <row r="2680" spans="1:8" ht="33">
      <c r="A2680" s="160"/>
      <c r="B2680" s="160" t="s">
        <v>934</v>
      </c>
      <c r="C2680" s="157" t="s">
        <v>927</v>
      </c>
      <c r="D2680" s="159"/>
      <c r="E2680" s="159"/>
      <c r="F2680" s="159">
        <v>2005.13</v>
      </c>
      <c r="G2680" s="160"/>
      <c r="H2680" s="34" t="s">
        <v>925</v>
      </c>
    </row>
    <row r="2681" spans="1:8" ht="33">
      <c r="A2681" s="160"/>
      <c r="B2681" s="160"/>
      <c r="C2681" s="157"/>
      <c r="D2681" s="159"/>
      <c r="E2681" s="159"/>
      <c r="F2681" s="159"/>
      <c r="G2681" s="160"/>
      <c r="H2681" s="34" t="s">
        <v>925</v>
      </c>
    </row>
    <row r="2682" spans="1:8" ht="33">
      <c r="A2682" s="160" t="s">
        <v>2616</v>
      </c>
      <c r="B2682" s="160" t="s">
        <v>2422</v>
      </c>
      <c r="C2682" s="157" t="s">
        <v>927</v>
      </c>
      <c r="D2682" s="159">
        <v>1</v>
      </c>
      <c r="E2682" s="159">
        <v>3644.26</v>
      </c>
      <c r="F2682" s="159"/>
      <c r="G2682" s="160" t="s">
        <v>2</v>
      </c>
      <c r="H2682" s="34" t="s">
        <v>925</v>
      </c>
    </row>
    <row r="2683" spans="1:8" ht="33">
      <c r="A2683" s="160">
        <v>1</v>
      </c>
      <c r="B2683" s="160" t="s">
        <v>2424</v>
      </c>
      <c r="C2683" s="157" t="s">
        <v>927</v>
      </c>
      <c r="D2683" s="159">
        <v>1</v>
      </c>
      <c r="E2683" s="159">
        <v>2776.81</v>
      </c>
      <c r="F2683" s="159">
        <v>2776.81</v>
      </c>
      <c r="G2683" s="160" t="s">
        <v>2</v>
      </c>
      <c r="H2683" s="34" t="s">
        <v>925</v>
      </c>
    </row>
    <row r="2684" spans="1:8" ht="33">
      <c r="A2684" s="160">
        <v>2</v>
      </c>
      <c r="B2684" s="160" t="s">
        <v>4964</v>
      </c>
      <c r="C2684" s="157" t="s">
        <v>927</v>
      </c>
      <c r="D2684" s="159">
        <v>1</v>
      </c>
      <c r="E2684" s="159">
        <v>371.17</v>
      </c>
      <c r="F2684" s="159">
        <v>371.17</v>
      </c>
      <c r="G2684" s="160" t="s">
        <v>5454</v>
      </c>
      <c r="H2684" s="34" t="s">
        <v>925</v>
      </c>
    </row>
    <row r="2685" spans="1:8" ht="33">
      <c r="A2685" s="160">
        <v>3</v>
      </c>
      <c r="B2685" s="160" t="s">
        <v>4871</v>
      </c>
      <c r="C2685" s="157" t="s">
        <v>927</v>
      </c>
      <c r="D2685" s="159">
        <v>1.5</v>
      </c>
      <c r="E2685" s="159">
        <v>260.08999999999997</v>
      </c>
      <c r="F2685" s="159">
        <v>390.14</v>
      </c>
      <c r="G2685" s="160" t="s">
        <v>5435</v>
      </c>
      <c r="H2685" s="34" t="s">
        <v>925</v>
      </c>
    </row>
    <row r="2686" spans="1:8" ht="33">
      <c r="A2686" s="160">
        <v>4</v>
      </c>
      <c r="B2686" s="160" t="s">
        <v>931</v>
      </c>
      <c r="C2686" s="157" t="s">
        <v>14</v>
      </c>
      <c r="D2686" s="159">
        <v>1</v>
      </c>
      <c r="E2686" s="159">
        <v>106.14</v>
      </c>
      <c r="F2686" s="159">
        <v>106.14</v>
      </c>
      <c r="G2686" s="160" t="s">
        <v>2</v>
      </c>
      <c r="H2686" s="34" t="s">
        <v>925</v>
      </c>
    </row>
    <row r="2687" spans="1:8" ht="33">
      <c r="A2687" s="160"/>
      <c r="B2687" s="160" t="s">
        <v>933</v>
      </c>
      <c r="C2687" s="157" t="s">
        <v>927</v>
      </c>
      <c r="D2687" s="159">
        <v>1</v>
      </c>
      <c r="E2687" s="159"/>
      <c r="F2687" s="159">
        <v>3644.2599999999998</v>
      </c>
      <c r="G2687" s="160"/>
      <c r="H2687" s="34" t="s">
        <v>925</v>
      </c>
    </row>
    <row r="2688" spans="1:8" ht="33">
      <c r="A2688" s="160"/>
      <c r="B2688" s="160" t="s">
        <v>934</v>
      </c>
      <c r="C2688" s="157" t="s">
        <v>927</v>
      </c>
      <c r="D2688" s="159"/>
      <c r="E2688" s="159"/>
      <c r="F2688" s="159">
        <v>3644.26</v>
      </c>
      <c r="G2688" s="160"/>
      <c r="H2688" s="34" t="s">
        <v>925</v>
      </c>
    </row>
    <row r="2689" spans="1:8" ht="33">
      <c r="A2689" s="160"/>
      <c r="B2689" s="160"/>
      <c r="C2689" s="157"/>
      <c r="D2689" s="159"/>
      <c r="E2689" s="159"/>
      <c r="F2689" s="159"/>
      <c r="G2689" s="160"/>
      <c r="H2689" s="34" t="s">
        <v>925</v>
      </c>
    </row>
    <row r="2690" spans="1:8" ht="33">
      <c r="A2690" s="160" t="s">
        <v>2625</v>
      </c>
      <c r="B2690" s="160" t="s">
        <v>514</v>
      </c>
      <c r="C2690" s="157" t="s">
        <v>927</v>
      </c>
      <c r="D2690" s="159">
        <v>1</v>
      </c>
      <c r="E2690" s="159">
        <v>862.13</v>
      </c>
      <c r="F2690" s="159"/>
      <c r="G2690" s="160" t="s">
        <v>4394</v>
      </c>
      <c r="H2690" s="34" t="s">
        <v>925</v>
      </c>
    </row>
    <row r="2691" spans="1:8" ht="42.75">
      <c r="A2691" s="160">
        <v>1</v>
      </c>
      <c r="B2691" s="160" t="s">
        <v>2428</v>
      </c>
      <c r="C2691" s="157" t="s">
        <v>927</v>
      </c>
      <c r="D2691" s="159">
        <v>1</v>
      </c>
      <c r="E2691" s="159">
        <v>231.4</v>
      </c>
      <c r="F2691" s="159">
        <v>231.4</v>
      </c>
      <c r="G2691" s="160" t="s">
        <v>2</v>
      </c>
      <c r="H2691" s="34" t="s">
        <v>925</v>
      </c>
    </row>
    <row r="2692" spans="1:8" ht="33">
      <c r="A2692" s="160">
        <v>2</v>
      </c>
      <c r="B2692" s="160" t="s">
        <v>1767</v>
      </c>
      <c r="C2692" s="157" t="s">
        <v>14</v>
      </c>
      <c r="D2692" s="159">
        <v>1</v>
      </c>
      <c r="E2692" s="159">
        <v>231.4</v>
      </c>
      <c r="F2692" s="159">
        <v>231.4</v>
      </c>
      <c r="G2692" s="160" t="s">
        <v>2</v>
      </c>
      <c r="H2692" s="34" t="s">
        <v>925</v>
      </c>
    </row>
    <row r="2693" spans="1:8" ht="33">
      <c r="A2693" s="160">
        <v>3</v>
      </c>
      <c r="B2693" s="160" t="s">
        <v>4871</v>
      </c>
      <c r="C2693" s="157" t="s">
        <v>927</v>
      </c>
      <c r="D2693" s="159">
        <v>0.3</v>
      </c>
      <c r="E2693" s="159">
        <v>260.08999999999997</v>
      </c>
      <c r="F2693" s="159">
        <v>78.03</v>
      </c>
      <c r="G2693" s="160" t="s">
        <v>5435</v>
      </c>
      <c r="H2693" s="34" t="s">
        <v>925</v>
      </c>
    </row>
    <row r="2694" spans="1:8" ht="33">
      <c r="A2694" s="160">
        <v>4</v>
      </c>
      <c r="B2694" s="160" t="s">
        <v>2430</v>
      </c>
      <c r="C2694" s="157" t="s">
        <v>14</v>
      </c>
      <c r="D2694" s="159">
        <v>1</v>
      </c>
      <c r="E2694" s="159">
        <v>296.19</v>
      </c>
      <c r="F2694" s="159">
        <v>296.19</v>
      </c>
      <c r="G2694" s="160" t="s">
        <v>2</v>
      </c>
      <c r="H2694" s="34" t="s">
        <v>925</v>
      </c>
    </row>
    <row r="2695" spans="1:8" ht="16.5">
      <c r="A2695" s="160">
        <v>5</v>
      </c>
      <c r="B2695" s="160" t="s">
        <v>931</v>
      </c>
      <c r="C2695" s="157" t="s">
        <v>14</v>
      </c>
      <c r="D2695" s="159">
        <v>1</v>
      </c>
      <c r="E2695" s="159">
        <v>25.11</v>
      </c>
      <c r="F2695" s="159">
        <v>25.11</v>
      </c>
      <c r="G2695" s="160" t="s">
        <v>2</v>
      </c>
    </row>
    <row r="2696" spans="1:8" ht="33">
      <c r="A2696" s="160"/>
      <c r="B2696" s="160" t="s">
        <v>933</v>
      </c>
      <c r="C2696" s="157" t="s">
        <v>927</v>
      </c>
      <c r="D2696" s="159">
        <v>1</v>
      </c>
      <c r="E2696" s="159"/>
      <c r="F2696" s="159">
        <v>862.13</v>
      </c>
      <c r="G2696" s="160"/>
      <c r="H2696" s="34" t="s">
        <v>925</v>
      </c>
    </row>
    <row r="2697" spans="1:8" ht="33">
      <c r="A2697" s="160"/>
      <c r="B2697" s="160" t="s">
        <v>934</v>
      </c>
      <c r="C2697" s="157" t="s">
        <v>927</v>
      </c>
      <c r="D2697" s="159"/>
      <c r="E2697" s="159"/>
      <c r="F2697" s="159">
        <v>862.13</v>
      </c>
      <c r="G2697" s="160"/>
      <c r="H2697" s="34" t="s">
        <v>925</v>
      </c>
    </row>
    <row r="2698" spans="1:8" ht="33">
      <c r="A2698" s="160"/>
      <c r="B2698" s="160"/>
      <c r="C2698" s="157"/>
      <c r="D2698" s="159"/>
      <c r="E2698" s="159"/>
      <c r="F2698" s="159"/>
      <c r="G2698" s="160"/>
      <c r="H2698" s="34" t="s">
        <v>925</v>
      </c>
    </row>
    <row r="2699" spans="1:8" ht="33">
      <c r="A2699" s="160" t="s">
        <v>2630</v>
      </c>
      <c r="B2699" s="160" t="s">
        <v>2433</v>
      </c>
      <c r="C2699" s="157" t="s">
        <v>927</v>
      </c>
      <c r="D2699" s="159">
        <v>1</v>
      </c>
      <c r="E2699" s="159">
        <v>843.07</v>
      </c>
      <c r="F2699" s="159"/>
      <c r="G2699" s="160" t="s">
        <v>4394</v>
      </c>
      <c r="H2699" s="34" t="s">
        <v>925</v>
      </c>
    </row>
    <row r="2700" spans="1:8" ht="33">
      <c r="A2700" s="160">
        <v>1</v>
      </c>
      <c r="B2700" s="160" t="s">
        <v>2435</v>
      </c>
      <c r="C2700" s="157" t="s">
        <v>927</v>
      </c>
      <c r="D2700" s="159">
        <v>1</v>
      </c>
      <c r="E2700" s="159">
        <v>212.89</v>
      </c>
      <c r="F2700" s="159">
        <v>212.89</v>
      </c>
      <c r="G2700" s="160" t="s">
        <v>2</v>
      </c>
      <c r="H2700" s="34" t="s">
        <v>925</v>
      </c>
    </row>
    <row r="2701" spans="1:8" ht="33">
      <c r="A2701" s="160">
        <v>2</v>
      </c>
      <c r="B2701" s="160" t="s">
        <v>4871</v>
      </c>
      <c r="C2701" s="157" t="s">
        <v>927</v>
      </c>
      <c r="D2701" s="159">
        <v>0.3</v>
      </c>
      <c r="E2701" s="159">
        <v>260.08999999999997</v>
      </c>
      <c r="F2701" s="159">
        <v>78.03</v>
      </c>
      <c r="G2701" s="160" t="s">
        <v>5435</v>
      </c>
      <c r="H2701" s="34" t="s">
        <v>925</v>
      </c>
    </row>
    <row r="2702" spans="1:8" ht="33">
      <c r="A2702" s="160">
        <v>3</v>
      </c>
      <c r="B2702" s="160" t="s">
        <v>2430</v>
      </c>
      <c r="C2702" s="157" t="s">
        <v>14</v>
      </c>
      <c r="D2702" s="159">
        <v>1</v>
      </c>
      <c r="E2702" s="159">
        <v>296.19</v>
      </c>
      <c r="F2702" s="159">
        <v>296.19</v>
      </c>
      <c r="G2702" s="160" t="s">
        <v>2</v>
      </c>
      <c r="H2702" s="34" t="s">
        <v>925</v>
      </c>
    </row>
    <row r="2703" spans="1:8" ht="33">
      <c r="A2703" s="160">
        <v>4</v>
      </c>
      <c r="B2703" s="160" t="s">
        <v>1767</v>
      </c>
      <c r="C2703" s="157" t="s">
        <v>14</v>
      </c>
      <c r="D2703" s="159">
        <v>1</v>
      </c>
      <c r="E2703" s="159">
        <v>231.4</v>
      </c>
      <c r="F2703" s="159">
        <v>231.4</v>
      </c>
      <c r="G2703" s="160" t="s">
        <v>2</v>
      </c>
      <c r="H2703" s="34" t="s">
        <v>925</v>
      </c>
    </row>
    <row r="2704" spans="1:8" ht="33">
      <c r="A2704" s="160">
        <v>5</v>
      </c>
      <c r="B2704" s="160" t="s">
        <v>931</v>
      </c>
      <c r="C2704" s="157" t="s">
        <v>14</v>
      </c>
      <c r="D2704" s="159">
        <v>1</v>
      </c>
      <c r="E2704" s="159">
        <v>24.56</v>
      </c>
      <c r="F2704" s="159">
        <v>24.56</v>
      </c>
      <c r="G2704" s="160" t="s">
        <v>2</v>
      </c>
      <c r="H2704" s="34" t="s">
        <v>925</v>
      </c>
    </row>
    <row r="2705" spans="1:8" ht="33">
      <c r="A2705" s="160"/>
      <c r="B2705" s="160" t="s">
        <v>933</v>
      </c>
      <c r="C2705" s="157" t="s">
        <v>927</v>
      </c>
      <c r="D2705" s="159">
        <v>1</v>
      </c>
      <c r="E2705" s="159"/>
      <c r="F2705" s="159">
        <v>843.06999999999982</v>
      </c>
      <c r="G2705" s="160"/>
      <c r="H2705" s="34" t="s">
        <v>925</v>
      </c>
    </row>
    <row r="2706" spans="1:8" ht="33">
      <c r="A2706" s="160"/>
      <c r="B2706" s="160" t="s">
        <v>934</v>
      </c>
      <c r="C2706" s="157" t="s">
        <v>927</v>
      </c>
      <c r="D2706" s="159"/>
      <c r="E2706" s="159"/>
      <c r="F2706" s="159">
        <v>843.07</v>
      </c>
      <c r="G2706" s="160"/>
      <c r="H2706" s="34" t="s">
        <v>925</v>
      </c>
    </row>
    <row r="2707" spans="1:8" ht="33">
      <c r="A2707" s="160"/>
      <c r="B2707" s="160"/>
      <c r="C2707" s="157"/>
      <c r="D2707" s="159"/>
      <c r="E2707" s="159"/>
      <c r="F2707" s="159"/>
      <c r="G2707" s="160"/>
      <c r="H2707" s="34" t="s">
        <v>925</v>
      </c>
    </row>
    <row r="2708" spans="1:8" ht="33">
      <c r="A2708" s="160" t="s">
        <v>2641</v>
      </c>
      <c r="B2708" s="160" t="s">
        <v>2438</v>
      </c>
      <c r="C2708" s="157" t="s">
        <v>927</v>
      </c>
      <c r="D2708" s="159">
        <v>1</v>
      </c>
      <c r="E2708" s="159">
        <v>747.73</v>
      </c>
      <c r="F2708" s="159"/>
      <c r="G2708" s="160" t="s">
        <v>4394</v>
      </c>
      <c r="H2708" s="34" t="s">
        <v>925</v>
      </c>
    </row>
    <row r="2709" spans="1:8" ht="33">
      <c r="A2709" s="160">
        <v>1</v>
      </c>
      <c r="B2709" s="160" t="s">
        <v>2440</v>
      </c>
      <c r="C2709" s="157" t="s">
        <v>927</v>
      </c>
      <c r="D2709" s="159">
        <v>1</v>
      </c>
      <c r="E2709" s="159">
        <v>120.33</v>
      </c>
      <c r="F2709" s="159">
        <v>120.33</v>
      </c>
      <c r="G2709" s="160" t="s">
        <v>2</v>
      </c>
      <c r="H2709" s="34" t="s">
        <v>925</v>
      </c>
    </row>
    <row r="2710" spans="1:8" ht="33">
      <c r="A2710" s="160">
        <v>2</v>
      </c>
      <c r="B2710" s="160" t="s">
        <v>4871</v>
      </c>
      <c r="C2710" s="157" t="s">
        <v>927</v>
      </c>
      <c r="D2710" s="159">
        <v>0.3</v>
      </c>
      <c r="E2710" s="159">
        <v>260.08999999999997</v>
      </c>
      <c r="F2710" s="159">
        <v>78.03</v>
      </c>
      <c r="G2710" s="160" t="s">
        <v>5435</v>
      </c>
      <c r="H2710" s="34" t="s">
        <v>925</v>
      </c>
    </row>
    <row r="2711" spans="1:8" ht="33">
      <c r="A2711" s="160">
        <v>3</v>
      </c>
      <c r="B2711" s="160" t="s">
        <v>2430</v>
      </c>
      <c r="C2711" s="157" t="s">
        <v>14</v>
      </c>
      <c r="D2711" s="159">
        <v>1</v>
      </c>
      <c r="E2711" s="159">
        <v>296.19</v>
      </c>
      <c r="F2711" s="159">
        <v>296.19</v>
      </c>
      <c r="G2711" s="160" t="s">
        <v>2</v>
      </c>
      <c r="H2711" s="34" t="s">
        <v>925</v>
      </c>
    </row>
    <row r="2712" spans="1:8" ht="16.5">
      <c r="A2712" s="160">
        <v>4</v>
      </c>
      <c r="B2712" s="160" t="s">
        <v>1767</v>
      </c>
      <c r="C2712" s="157" t="s">
        <v>14</v>
      </c>
      <c r="D2712" s="159">
        <v>1</v>
      </c>
      <c r="E2712" s="159">
        <v>231.4</v>
      </c>
      <c r="F2712" s="159">
        <v>231.4</v>
      </c>
      <c r="G2712" s="160" t="s">
        <v>2</v>
      </c>
    </row>
    <row r="2713" spans="1:8" ht="33">
      <c r="A2713" s="160">
        <v>5</v>
      </c>
      <c r="B2713" s="160" t="s">
        <v>931</v>
      </c>
      <c r="C2713" s="157" t="s">
        <v>14</v>
      </c>
      <c r="D2713" s="159">
        <v>1</v>
      </c>
      <c r="E2713" s="159">
        <v>21.78</v>
      </c>
      <c r="F2713" s="159">
        <v>21.78</v>
      </c>
      <c r="G2713" s="160" t="s">
        <v>2</v>
      </c>
      <c r="H2713" s="34" t="s">
        <v>925</v>
      </c>
    </row>
    <row r="2714" spans="1:8" ht="33">
      <c r="A2714" s="160"/>
      <c r="B2714" s="160" t="s">
        <v>933</v>
      </c>
      <c r="C2714" s="157" t="s">
        <v>927</v>
      </c>
      <c r="D2714" s="159">
        <v>1</v>
      </c>
      <c r="E2714" s="159"/>
      <c r="F2714" s="159">
        <v>747.73</v>
      </c>
      <c r="G2714" s="160"/>
      <c r="H2714" s="34" t="s">
        <v>925</v>
      </c>
    </row>
    <row r="2715" spans="1:8" ht="33">
      <c r="A2715" s="160"/>
      <c r="B2715" s="160" t="s">
        <v>934</v>
      </c>
      <c r="C2715" s="157" t="s">
        <v>927</v>
      </c>
      <c r="D2715" s="159"/>
      <c r="E2715" s="159"/>
      <c r="F2715" s="159">
        <v>747.73</v>
      </c>
      <c r="G2715" s="160"/>
      <c r="H2715" s="34" t="s">
        <v>925</v>
      </c>
    </row>
    <row r="2716" spans="1:8" ht="33">
      <c r="A2716" s="160"/>
      <c r="B2716" s="160"/>
      <c r="C2716" s="157"/>
      <c r="D2716" s="159"/>
      <c r="E2716" s="159"/>
      <c r="F2716" s="159"/>
      <c r="G2716" s="160"/>
      <c r="H2716" s="34" t="s">
        <v>925</v>
      </c>
    </row>
    <row r="2717" spans="1:8" ht="33">
      <c r="A2717" s="160" t="s">
        <v>2652</v>
      </c>
      <c r="B2717" s="160" t="s">
        <v>2443</v>
      </c>
      <c r="C2717" s="157" t="s">
        <v>4395</v>
      </c>
      <c r="D2717" s="159">
        <v>1</v>
      </c>
      <c r="E2717" s="159">
        <v>29035.82</v>
      </c>
      <c r="F2717" s="159"/>
      <c r="G2717" s="160" t="s">
        <v>4396</v>
      </c>
      <c r="H2717" s="34" t="s">
        <v>925</v>
      </c>
    </row>
    <row r="2718" spans="1:8" ht="33">
      <c r="A2718" s="160">
        <v>1</v>
      </c>
      <c r="B2718" s="160" t="s">
        <v>2446</v>
      </c>
      <c r="C2718" s="157" t="s">
        <v>2447</v>
      </c>
      <c r="D2718" s="159">
        <v>1</v>
      </c>
      <c r="E2718" s="159">
        <v>23140.04</v>
      </c>
      <c r="F2718" s="159">
        <v>23140.04</v>
      </c>
      <c r="G2718" s="160" t="s">
        <v>2</v>
      </c>
      <c r="H2718" s="34" t="s">
        <v>925</v>
      </c>
    </row>
    <row r="2719" spans="1:8" ht="33">
      <c r="A2719" s="160">
        <v>2</v>
      </c>
      <c r="B2719" s="160" t="s">
        <v>2449</v>
      </c>
      <c r="C2719" s="157" t="s">
        <v>927</v>
      </c>
      <c r="D2719" s="159">
        <v>8</v>
      </c>
      <c r="E2719" s="159">
        <v>371.17</v>
      </c>
      <c r="F2719" s="159">
        <v>2969.36</v>
      </c>
      <c r="G2719" s="160" t="s">
        <v>2</v>
      </c>
      <c r="H2719" s="34" t="s">
        <v>925</v>
      </c>
    </row>
    <row r="2720" spans="1:8" ht="33">
      <c r="A2720" s="160">
        <v>3</v>
      </c>
      <c r="B2720" s="160" t="s">
        <v>4871</v>
      </c>
      <c r="C2720" s="157" t="s">
        <v>927</v>
      </c>
      <c r="D2720" s="159">
        <v>8</v>
      </c>
      <c r="E2720" s="159">
        <v>260.08999999999997</v>
      </c>
      <c r="F2720" s="159">
        <v>2080.7199999999998</v>
      </c>
      <c r="G2720" s="160" t="s">
        <v>5435</v>
      </c>
      <c r="H2720" s="34" t="s">
        <v>925</v>
      </c>
    </row>
    <row r="2721" spans="1:8" ht="33">
      <c r="A2721" s="160">
        <v>4</v>
      </c>
      <c r="B2721" s="160" t="s">
        <v>931</v>
      </c>
      <c r="C2721" s="157" t="s">
        <v>14</v>
      </c>
      <c r="D2721" s="159">
        <v>1</v>
      </c>
      <c r="E2721" s="159">
        <v>845.7</v>
      </c>
      <c r="F2721" s="159">
        <v>845.7</v>
      </c>
      <c r="G2721" s="160" t="s">
        <v>2</v>
      </c>
      <c r="H2721" s="34" t="s">
        <v>925</v>
      </c>
    </row>
    <row r="2722" spans="1:8" ht="33">
      <c r="A2722" s="160"/>
      <c r="B2722" s="160" t="s">
        <v>933</v>
      </c>
      <c r="C2722" s="157" t="s">
        <v>4395</v>
      </c>
      <c r="D2722" s="159">
        <v>1</v>
      </c>
      <c r="E2722" s="159"/>
      <c r="F2722" s="159">
        <v>29035.820000000003</v>
      </c>
      <c r="G2722" s="160"/>
      <c r="H2722" s="34" t="s">
        <v>925</v>
      </c>
    </row>
    <row r="2723" spans="1:8" ht="33">
      <c r="A2723" s="160"/>
      <c r="B2723" s="160" t="s">
        <v>934</v>
      </c>
      <c r="C2723" s="157" t="s">
        <v>4395</v>
      </c>
      <c r="D2723" s="159"/>
      <c r="E2723" s="159"/>
      <c r="F2723" s="159">
        <v>29035.82</v>
      </c>
      <c r="G2723" s="160"/>
      <c r="H2723" s="34" t="s">
        <v>925</v>
      </c>
    </row>
    <row r="2724" spans="1:8" ht="33">
      <c r="A2724" s="160"/>
      <c r="B2724" s="160"/>
      <c r="C2724" s="157"/>
      <c r="D2724" s="159"/>
      <c r="E2724" s="159"/>
      <c r="F2724" s="159"/>
      <c r="G2724" s="160"/>
      <c r="H2724" s="34" t="s">
        <v>925</v>
      </c>
    </row>
    <row r="2725" spans="1:8" ht="33">
      <c r="A2725" s="160" t="s">
        <v>2662</v>
      </c>
      <c r="B2725" s="160" t="s">
        <v>515</v>
      </c>
      <c r="C2725" s="157" t="s">
        <v>0</v>
      </c>
      <c r="D2725" s="159">
        <v>100</v>
      </c>
      <c r="E2725" s="159">
        <v>3112.58</v>
      </c>
      <c r="F2725" s="159"/>
      <c r="G2725" s="160" t="s">
        <v>2</v>
      </c>
      <c r="H2725" s="34" t="s">
        <v>925</v>
      </c>
    </row>
    <row r="2726" spans="1:8" ht="33">
      <c r="A2726" s="160">
        <v>1</v>
      </c>
      <c r="B2726" s="160" t="s">
        <v>1297</v>
      </c>
      <c r="C2726" s="157" t="s">
        <v>1121</v>
      </c>
      <c r="D2726" s="159">
        <v>111</v>
      </c>
      <c r="E2726" s="159">
        <v>661.81</v>
      </c>
      <c r="F2726" s="159">
        <v>73460.91</v>
      </c>
      <c r="G2726" s="160" t="s">
        <v>2</v>
      </c>
      <c r="H2726" s="34" t="s">
        <v>925</v>
      </c>
    </row>
    <row r="2727" spans="1:8" ht="33">
      <c r="A2727" s="160">
        <v>2</v>
      </c>
      <c r="B2727" s="160" t="s">
        <v>2453</v>
      </c>
      <c r="C2727" s="157" t="s">
        <v>1121</v>
      </c>
      <c r="D2727" s="159">
        <v>111</v>
      </c>
      <c r="E2727" s="159">
        <v>111.07</v>
      </c>
      <c r="F2727" s="159">
        <v>12328.77</v>
      </c>
      <c r="G2727" s="160" t="s">
        <v>2</v>
      </c>
      <c r="H2727" s="34" t="s">
        <v>925</v>
      </c>
    </row>
    <row r="2728" spans="1:8" ht="33">
      <c r="A2728" s="160">
        <v>3</v>
      </c>
      <c r="B2728" s="160" t="s">
        <v>2455</v>
      </c>
      <c r="C2728" s="157" t="s">
        <v>14</v>
      </c>
      <c r="D2728" s="159">
        <v>1</v>
      </c>
      <c r="E2728" s="159">
        <v>8330.42</v>
      </c>
      <c r="F2728" s="159">
        <v>8330.42</v>
      </c>
      <c r="G2728" s="160" t="s">
        <v>2</v>
      </c>
      <c r="H2728" s="34" t="s">
        <v>925</v>
      </c>
    </row>
    <row r="2729" spans="1:8" ht="16.5">
      <c r="A2729" s="160">
        <v>4</v>
      </c>
      <c r="B2729" s="160" t="s">
        <v>4871</v>
      </c>
      <c r="C2729" s="157" t="s">
        <v>927</v>
      </c>
      <c r="D2729" s="159">
        <v>800</v>
      </c>
      <c r="E2729" s="159">
        <v>260.08999999999997</v>
      </c>
      <c r="F2729" s="159">
        <v>208072</v>
      </c>
      <c r="G2729" s="160" t="s">
        <v>5435</v>
      </c>
    </row>
    <row r="2730" spans="1:8" ht="33">
      <c r="A2730" s="160">
        <v>5</v>
      </c>
      <c r="B2730" s="160" t="s">
        <v>931</v>
      </c>
      <c r="C2730" s="157" t="s">
        <v>14</v>
      </c>
      <c r="D2730" s="159">
        <v>1</v>
      </c>
      <c r="E2730" s="159">
        <v>9065.76</v>
      </c>
      <c r="F2730" s="159">
        <v>9065.76</v>
      </c>
      <c r="G2730" s="160" t="s">
        <v>2</v>
      </c>
      <c r="H2730" s="34" t="s">
        <v>925</v>
      </c>
    </row>
    <row r="2731" spans="1:8" ht="33">
      <c r="A2731" s="160"/>
      <c r="B2731" s="160" t="s">
        <v>933</v>
      </c>
      <c r="C2731" s="157" t="s">
        <v>0</v>
      </c>
      <c r="D2731" s="159">
        <v>100</v>
      </c>
      <c r="E2731" s="159"/>
      <c r="F2731" s="159">
        <v>311257.86</v>
      </c>
      <c r="G2731" s="160"/>
      <c r="H2731" s="34" t="s">
        <v>925</v>
      </c>
    </row>
    <row r="2732" spans="1:8" ht="33">
      <c r="A2732" s="160"/>
      <c r="B2732" s="160" t="s">
        <v>934</v>
      </c>
      <c r="C2732" s="157" t="s">
        <v>0</v>
      </c>
      <c r="D2732" s="159"/>
      <c r="E2732" s="159"/>
      <c r="F2732" s="159">
        <v>3112.58</v>
      </c>
      <c r="G2732" s="160"/>
      <c r="H2732" s="34" t="s">
        <v>925</v>
      </c>
    </row>
    <row r="2733" spans="1:8" ht="33">
      <c r="A2733" s="160"/>
      <c r="B2733" s="160"/>
      <c r="C2733" s="157"/>
      <c r="D2733" s="159"/>
      <c r="E2733" s="159"/>
      <c r="F2733" s="159"/>
      <c r="G2733" s="160"/>
      <c r="H2733" s="34" t="s">
        <v>925</v>
      </c>
    </row>
    <row r="2734" spans="1:8" ht="33">
      <c r="A2734" s="160" t="s">
        <v>2669</v>
      </c>
      <c r="B2734" s="160" t="s">
        <v>2458</v>
      </c>
      <c r="C2734" s="157" t="s">
        <v>2335</v>
      </c>
      <c r="D2734" s="159">
        <v>5</v>
      </c>
      <c r="E2734" s="159">
        <v>764.92</v>
      </c>
      <c r="F2734" s="159"/>
      <c r="G2734" s="160" t="s">
        <v>2</v>
      </c>
      <c r="H2734" s="34" t="s">
        <v>925</v>
      </c>
    </row>
    <row r="2735" spans="1:8" ht="33">
      <c r="A2735" s="160">
        <v>1</v>
      </c>
      <c r="B2735" s="160" t="s">
        <v>2460</v>
      </c>
      <c r="C2735" s="157" t="s">
        <v>927</v>
      </c>
      <c r="D2735" s="159">
        <v>8</v>
      </c>
      <c r="E2735" s="159">
        <v>371.17</v>
      </c>
      <c r="F2735" s="159">
        <v>2969.36</v>
      </c>
      <c r="G2735" s="160" t="s">
        <v>2</v>
      </c>
      <c r="H2735" s="34" t="s">
        <v>925</v>
      </c>
    </row>
    <row r="2736" spans="1:8" ht="33">
      <c r="A2736" s="160">
        <v>2</v>
      </c>
      <c r="B2736" s="160" t="s">
        <v>2462</v>
      </c>
      <c r="C2736" s="157" t="s">
        <v>927</v>
      </c>
      <c r="D2736" s="159">
        <v>4</v>
      </c>
      <c r="E2736" s="159">
        <v>166.61</v>
      </c>
      <c r="F2736" s="159">
        <v>666.44</v>
      </c>
      <c r="G2736" s="160" t="s">
        <v>2</v>
      </c>
      <c r="H2736" s="34" t="s">
        <v>925</v>
      </c>
    </row>
    <row r="2737" spans="1:8" ht="33">
      <c r="A2737" s="160">
        <v>3</v>
      </c>
      <c r="B2737" s="160" t="s">
        <v>2464</v>
      </c>
      <c r="C2737" s="157" t="s">
        <v>14</v>
      </c>
      <c r="D2737" s="159">
        <v>1</v>
      </c>
      <c r="E2737" s="159">
        <v>92.56</v>
      </c>
      <c r="F2737" s="159">
        <v>92.56</v>
      </c>
      <c r="G2737" s="160" t="s">
        <v>2</v>
      </c>
      <c r="H2737" s="34" t="s">
        <v>925</v>
      </c>
    </row>
    <row r="2738" spans="1:8" ht="33">
      <c r="A2738" s="160">
        <v>4</v>
      </c>
      <c r="B2738" s="160" t="s">
        <v>931</v>
      </c>
      <c r="C2738" s="157" t="s">
        <v>14</v>
      </c>
      <c r="D2738" s="159">
        <v>1</v>
      </c>
      <c r="E2738" s="159">
        <v>96.24</v>
      </c>
      <c r="F2738" s="159">
        <v>96.24</v>
      </c>
      <c r="G2738" s="160" t="s">
        <v>2</v>
      </c>
      <c r="H2738" s="34" t="s">
        <v>925</v>
      </c>
    </row>
    <row r="2739" spans="1:8" ht="33">
      <c r="A2739" s="160"/>
      <c r="B2739" s="160" t="s">
        <v>933</v>
      </c>
      <c r="C2739" s="157" t="s">
        <v>2335</v>
      </c>
      <c r="D2739" s="159">
        <v>5</v>
      </c>
      <c r="E2739" s="159"/>
      <c r="F2739" s="159">
        <v>3824.6</v>
      </c>
      <c r="G2739" s="160"/>
      <c r="H2739" s="34" t="s">
        <v>925</v>
      </c>
    </row>
    <row r="2740" spans="1:8" ht="33">
      <c r="A2740" s="160"/>
      <c r="B2740" s="160" t="s">
        <v>934</v>
      </c>
      <c r="C2740" s="157" t="s">
        <v>2335</v>
      </c>
      <c r="D2740" s="159"/>
      <c r="E2740" s="159"/>
      <c r="F2740" s="159">
        <v>764.92</v>
      </c>
      <c r="G2740" s="160"/>
      <c r="H2740" s="34" t="s">
        <v>925</v>
      </c>
    </row>
    <row r="2741" spans="1:8" ht="33">
      <c r="A2741" s="160"/>
      <c r="B2741" s="160"/>
      <c r="C2741" s="157"/>
      <c r="D2741" s="159"/>
      <c r="E2741" s="159"/>
      <c r="F2741" s="159"/>
      <c r="G2741" s="160"/>
      <c r="H2741" s="34" t="s">
        <v>925</v>
      </c>
    </row>
    <row r="2742" spans="1:8" ht="33">
      <c r="A2742" s="160" t="s">
        <v>2677</v>
      </c>
      <c r="B2742" s="160" t="s">
        <v>2468</v>
      </c>
      <c r="C2742" s="157" t="s">
        <v>0</v>
      </c>
      <c r="D2742" s="159">
        <v>1</v>
      </c>
      <c r="E2742" s="159">
        <v>46087.839999999997</v>
      </c>
      <c r="F2742" s="159"/>
      <c r="G2742" s="160" t="s">
        <v>4379</v>
      </c>
      <c r="H2742" s="34" t="s">
        <v>925</v>
      </c>
    </row>
    <row r="2743" spans="1:8" ht="33">
      <c r="A2743" s="160">
        <v>1</v>
      </c>
      <c r="B2743" s="160" t="s">
        <v>2470</v>
      </c>
      <c r="C2743" s="157" t="s">
        <v>18</v>
      </c>
      <c r="D2743" s="159">
        <v>2400</v>
      </c>
      <c r="E2743" s="159">
        <v>18.510000000000002</v>
      </c>
      <c r="F2743" s="159">
        <v>44424</v>
      </c>
      <c r="G2743" s="160" t="s">
        <v>2</v>
      </c>
      <c r="H2743" s="34" t="s">
        <v>925</v>
      </c>
    </row>
    <row r="2744" spans="1:8" ht="33">
      <c r="A2744" s="160">
        <v>2</v>
      </c>
      <c r="B2744" s="160" t="s">
        <v>2472</v>
      </c>
      <c r="C2744" s="157" t="s">
        <v>15</v>
      </c>
      <c r="D2744" s="159">
        <v>1</v>
      </c>
      <c r="E2744" s="159">
        <v>321.48</v>
      </c>
      <c r="F2744" s="159">
        <v>321.48</v>
      </c>
      <c r="G2744" s="160" t="s">
        <v>2</v>
      </c>
      <c r="H2744" s="34" t="s">
        <v>925</v>
      </c>
    </row>
    <row r="2745" spans="1:8" ht="33">
      <c r="A2745" s="160">
        <v>3</v>
      </c>
      <c r="B2745" s="160" t="s">
        <v>931</v>
      </c>
      <c r="C2745" s="157" t="s">
        <v>14</v>
      </c>
      <c r="D2745" s="159">
        <v>1</v>
      </c>
      <c r="E2745" s="159">
        <v>1342.36</v>
      </c>
      <c r="F2745" s="159">
        <v>1342.36</v>
      </c>
      <c r="G2745" s="160" t="s">
        <v>2</v>
      </c>
      <c r="H2745" s="34" t="s">
        <v>925</v>
      </c>
    </row>
    <row r="2746" spans="1:8" ht="16.5">
      <c r="A2746" s="160"/>
      <c r="B2746" s="160" t="s">
        <v>933</v>
      </c>
      <c r="C2746" s="157" t="s">
        <v>0</v>
      </c>
      <c r="D2746" s="159">
        <v>1</v>
      </c>
      <c r="E2746" s="159"/>
      <c r="F2746" s="159">
        <v>46087.840000000004</v>
      </c>
      <c r="G2746" s="160"/>
    </row>
    <row r="2747" spans="1:8" ht="33">
      <c r="A2747" s="160"/>
      <c r="B2747" s="160" t="s">
        <v>934</v>
      </c>
      <c r="C2747" s="157" t="s">
        <v>0</v>
      </c>
      <c r="D2747" s="159"/>
      <c r="E2747" s="159"/>
      <c r="F2747" s="159">
        <v>46087.839999999997</v>
      </c>
      <c r="G2747" s="160"/>
      <c r="H2747" s="34" t="s">
        <v>925</v>
      </c>
    </row>
    <row r="2748" spans="1:8" ht="33">
      <c r="A2748" s="160"/>
      <c r="B2748" s="160"/>
      <c r="C2748" s="157"/>
      <c r="D2748" s="159"/>
      <c r="E2748" s="159"/>
      <c r="F2748" s="159"/>
      <c r="G2748" s="160"/>
      <c r="H2748" s="34" t="s">
        <v>925</v>
      </c>
    </row>
    <row r="2749" spans="1:8" ht="33">
      <c r="A2749" s="160" t="s">
        <v>2683</v>
      </c>
      <c r="B2749" s="160" t="s">
        <v>2475</v>
      </c>
      <c r="C2749" s="157" t="s">
        <v>2238</v>
      </c>
      <c r="D2749" s="159">
        <v>1</v>
      </c>
      <c r="E2749" s="159">
        <v>54027.85</v>
      </c>
      <c r="F2749" s="159"/>
      <c r="G2749" s="160" t="s">
        <v>2</v>
      </c>
      <c r="H2749" s="34" t="s">
        <v>925</v>
      </c>
    </row>
    <row r="2750" spans="1:8" ht="33">
      <c r="A2750" s="160">
        <v>1</v>
      </c>
      <c r="B2750" s="160" t="s">
        <v>4874</v>
      </c>
      <c r="C2750" s="157" t="s">
        <v>927</v>
      </c>
      <c r="D2750" s="159">
        <v>28</v>
      </c>
      <c r="E2750" s="159">
        <v>520.19000000000005</v>
      </c>
      <c r="F2750" s="159">
        <v>14565.32</v>
      </c>
      <c r="G2750" s="160" t="s">
        <v>5436</v>
      </c>
      <c r="H2750" s="34" t="s">
        <v>925</v>
      </c>
    </row>
    <row r="2751" spans="1:8" ht="33">
      <c r="A2751" s="160">
        <v>2</v>
      </c>
      <c r="B2751" s="160" t="s">
        <v>929</v>
      </c>
      <c r="C2751" s="157" t="s">
        <v>927</v>
      </c>
      <c r="D2751" s="159">
        <v>9.6</v>
      </c>
      <c r="E2751" s="159">
        <v>1388.4</v>
      </c>
      <c r="F2751" s="159">
        <v>13328.64</v>
      </c>
      <c r="G2751" s="160" t="s">
        <v>2</v>
      </c>
      <c r="H2751" s="34" t="s">
        <v>925</v>
      </c>
    </row>
    <row r="2752" spans="1:8" ht="33">
      <c r="A2752" s="160">
        <v>3</v>
      </c>
      <c r="B2752" s="160" t="s">
        <v>4046</v>
      </c>
      <c r="C2752" s="157" t="s">
        <v>927</v>
      </c>
      <c r="D2752" s="159">
        <v>9.6</v>
      </c>
      <c r="E2752" s="159">
        <v>742.33</v>
      </c>
      <c r="F2752" s="159">
        <v>7126.37</v>
      </c>
      <c r="G2752" s="160" t="s">
        <v>2</v>
      </c>
      <c r="H2752" s="34" t="s">
        <v>925</v>
      </c>
    </row>
    <row r="2753" spans="1:8" ht="33">
      <c r="A2753" s="160">
        <v>4</v>
      </c>
      <c r="B2753" s="160" t="s">
        <v>4047</v>
      </c>
      <c r="C2753" s="157" t="s">
        <v>927</v>
      </c>
      <c r="D2753" s="159">
        <v>9.6</v>
      </c>
      <c r="E2753" s="159">
        <v>742.33</v>
      </c>
      <c r="F2753" s="159">
        <v>7126.37</v>
      </c>
      <c r="G2753" s="160" t="s">
        <v>2</v>
      </c>
      <c r="H2753" s="34" t="s">
        <v>925</v>
      </c>
    </row>
    <row r="2754" spans="1:8" ht="33">
      <c r="A2754" s="160">
        <v>5</v>
      </c>
      <c r="B2754" s="160" t="s">
        <v>997</v>
      </c>
      <c r="C2754" s="157" t="s">
        <v>927</v>
      </c>
      <c r="D2754" s="159">
        <v>9.6</v>
      </c>
      <c r="E2754" s="159">
        <v>1073.7</v>
      </c>
      <c r="F2754" s="159">
        <v>10307.52</v>
      </c>
      <c r="G2754" s="160" t="s">
        <v>2</v>
      </c>
      <c r="H2754" s="34" t="s">
        <v>925</v>
      </c>
    </row>
    <row r="2755" spans="1:8" ht="16.5">
      <c r="A2755" s="160">
        <v>6</v>
      </c>
      <c r="B2755" s="160" t="s">
        <v>931</v>
      </c>
      <c r="C2755" s="157" t="s">
        <v>14</v>
      </c>
      <c r="D2755" s="159">
        <v>1</v>
      </c>
      <c r="E2755" s="159">
        <v>1573.63</v>
      </c>
      <c r="F2755" s="159">
        <v>1573.63</v>
      </c>
      <c r="G2755" s="160" t="s">
        <v>2</v>
      </c>
    </row>
    <row r="2756" spans="1:8" ht="33">
      <c r="A2756" s="160"/>
      <c r="B2756" s="160" t="s">
        <v>933</v>
      </c>
      <c r="C2756" s="157" t="s">
        <v>2238</v>
      </c>
      <c r="D2756" s="159">
        <v>1</v>
      </c>
      <c r="E2756" s="159"/>
      <c r="F2756" s="159">
        <v>54027.85</v>
      </c>
      <c r="G2756" s="160"/>
      <c r="H2756" s="34" t="s">
        <v>925</v>
      </c>
    </row>
    <row r="2757" spans="1:8" ht="33">
      <c r="A2757" s="160"/>
      <c r="B2757" s="160" t="s">
        <v>934</v>
      </c>
      <c r="C2757" s="157" t="s">
        <v>2238</v>
      </c>
      <c r="D2757" s="159"/>
      <c r="E2757" s="159"/>
      <c r="F2757" s="159">
        <v>54027.85</v>
      </c>
      <c r="G2757" s="160"/>
      <c r="H2757" s="34" t="s">
        <v>925</v>
      </c>
    </row>
    <row r="2758" spans="1:8" ht="33">
      <c r="A2758" s="160"/>
      <c r="B2758" s="160"/>
      <c r="C2758" s="157"/>
      <c r="D2758" s="159"/>
      <c r="E2758" s="159"/>
      <c r="F2758" s="159"/>
      <c r="G2758" s="160"/>
      <c r="H2758" s="34" t="s">
        <v>925</v>
      </c>
    </row>
    <row r="2759" spans="1:8" ht="33">
      <c r="A2759" s="160" t="s">
        <v>2692</v>
      </c>
      <c r="B2759" s="160" t="s">
        <v>2480</v>
      </c>
      <c r="C2759" s="157" t="s">
        <v>2238</v>
      </c>
      <c r="D2759" s="159">
        <v>1</v>
      </c>
      <c r="E2759" s="159">
        <v>70213.78</v>
      </c>
      <c r="F2759" s="159"/>
      <c r="G2759" s="160" t="s">
        <v>2</v>
      </c>
      <c r="H2759" s="34" t="s">
        <v>925</v>
      </c>
    </row>
    <row r="2760" spans="1:8" ht="33">
      <c r="A2760" s="160">
        <v>1</v>
      </c>
      <c r="B2760" s="160" t="s">
        <v>4874</v>
      </c>
      <c r="C2760" s="157" t="s">
        <v>927</v>
      </c>
      <c r="D2760" s="159">
        <v>40</v>
      </c>
      <c r="E2760" s="159">
        <v>520.19000000000005</v>
      </c>
      <c r="F2760" s="159">
        <v>20807.599999999999</v>
      </c>
      <c r="G2760" s="160" t="s">
        <v>5436</v>
      </c>
      <c r="H2760" s="34" t="s">
        <v>925</v>
      </c>
    </row>
    <row r="2761" spans="1:8" ht="33">
      <c r="A2761" s="160">
        <v>2</v>
      </c>
      <c r="B2761" s="160" t="s">
        <v>929</v>
      </c>
      <c r="C2761" s="157" t="s">
        <v>927</v>
      </c>
      <c r="D2761" s="159">
        <v>12</v>
      </c>
      <c r="E2761" s="159">
        <v>1388.4</v>
      </c>
      <c r="F2761" s="159">
        <v>16660.8</v>
      </c>
      <c r="G2761" s="160" t="s">
        <v>2</v>
      </c>
      <c r="H2761" s="34" t="s">
        <v>925</v>
      </c>
    </row>
    <row r="2762" spans="1:8" ht="16.5">
      <c r="A2762" s="160">
        <v>3</v>
      </c>
      <c r="B2762" s="160" t="s">
        <v>4046</v>
      </c>
      <c r="C2762" s="157" t="s">
        <v>927</v>
      </c>
      <c r="D2762" s="159">
        <v>12</v>
      </c>
      <c r="E2762" s="159">
        <v>742.33</v>
      </c>
      <c r="F2762" s="159">
        <v>8907.9599999999991</v>
      </c>
      <c r="G2762" s="160" t="s">
        <v>2</v>
      </c>
    </row>
    <row r="2763" spans="1:8" ht="33">
      <c r="A2763" s="160">
        <v>4</v>
      </c>
      <c r="B2763" s="160" t="s">
        <v>4047</v>
      </c>
      <c r="C2763" s="157" t="s">
        <v>927</v>
      </c>
      <c r="D2763" s="159">
        <v>12</v>
      </c>
      <c r="E2763" s="159">
        <v>742.33</v>
      </c>
      <c r="F2763" s="159">
        <v>8907.9599999999991</v>
      </c>
      <c r="G2763" s="160" t="s">
        <v>2</v>
      </c>
      <c r="H2763" s="34" t="s">
        <v>925</v>
      </c>
    </row>
    <row r="2764" spans="1:8" ht="33">
      <c r="A2764" s="160">
        <v>5</v>
      </c>
      <c r="B2764" s="160" t="s">
        <v>997</v>
      </c>
      <c r="C2764" s="157" t="s">
        <v>927</v>
      </c>
      <c r="D2764" s="159">
        <v>12</v>
      </c>
      <c r="E2764" s="159">
        <v>1073.7</v>
      </c>
      <c r="F2764" s="159">
        <v>12884.4</v>
      </c>
      <c r="G2764" s="160" t="s">
        <v>2</v>
      </c>
      <c r="H2764" s="34" t="s">
        <v>925</v>
      </c>
    </row>
    <row r="2765" spans="1:8" ht="33">
      <c r="A2765" s="160">
        <v>6</v>
      </c>
      <c r="B2765" s="160" t="s">
        <v>931</v>
      </c>
      <c r="C2765" s="157" t="s">
        <v>14</v>
      </c>
      <c r="D2765" s="159">
        <v>1</v>
      </c>
      <c r="E2765" s="159">
        <v>2045.06</v>
      </c>
      <c r="F2765" s="159">
        <v>2045.06</v>
      </c>
      <c r="G2765" s="160" t="s">
        <v>2</v>
      </c>
      <c r="H2765" s="34" t="s">
        <v>925</v>
      </c>
    </row>
    <row r="2766" spans="1:8" ht="33">
      <c r="A2766" s="160"/>
      <c r="B2766" s="160" t="s">
        <v>933</v>
      </c>
      <c r="C2766" s="157" t="s">
        <v>2238</v>
      </c>
      <c r="D2766" s="159">
        <v>1</v>
      </c>
      <c r="E2766" s="159"/>
      <c r="F2766" s="159">
        <v>70213.779999999984</v>
      </c>
      <c r="G2766" s="160"/>
      <c r="H2766" s="34" t="s">
        <v>925</v>
      </c>
    </row>
    <row r="2767" spans="1:8" ht="33">
      <c r="A2767" s="160"/>
      <c r="B2767" s="160" t="s">
        <v>934</v>
      </c>
      <c r="C2767" s="157" t="s">
        <v>2238</v>
      </c>
      <c r="D2767" s="159"/>
      <c r="E2767" s="159"/>
      <c r="F2767" s="159">
        <v>70213.78</v>
      </c>
      <c r="G2767" s="160"/>
      <c r="H2767" s="34" t="s">
        <v>925</v>
      </c>
    </row>
    <row r="2768" spans="1:8" ht="33">
      <c r="A2768" s="160"/>
      <c r="B2768" s="160"/>
      <c r="C2768" s="157"/>
      <c r="D2768" s="159"/>
      <c r="E2768" s="159"/>
      <c r="F2768" s="159"/>
      <c r="G2768" s="160"/>
      <c r="H2768" s="34" t="s">
        <v>925</v>
      </c>
    </row>
    <row r="2769" spans="1:8" ht="33">
      <c r="A2769" s="160" t="s">
        <v>2701</v>
      </c>
      <c r="B2769" s="160" t="s">
        <v>2483</v>
      </c>
      <c r="C2769" s="157" t="s">
        <v>2238</v>
      </c>
      <c r="D2769" s="159">
        <v>1</v>
      </c>
      <c r="E2769" s="159">
        <v>39186.49</v>
      </c>
      <c r="F2769" s="159"/>
      <c r="G2769" s="160" t="s">
        <v>2</v>
      </c>
      <c r="H2769" s="34" t="s">
        <v>925</v>
      </c>
    </row>
    <row r="2770" spans="1:8" ht="16.5">
      <c r="A2770" s="160">
        <v>1</v>
      </c>
      <c r="B2770" s="160" t="s">
        <v>4871</v>
      </c>
      <c r="C2770" s="157" t="s">
        <v>927</v>
      </c>
      <c r="D2770" s="159">
        <v>28</v>
      </c>
      <c r="E2770" s="159">
        <v>260.08999999999997</v>
      </c>
      <c r="F2770" s="159">
        <v>7282.52</v>
      </c>
      <c r="G2770" s="160" t="s">
        <v>5435</v>
      </c>
    </row>
    <row r="2771" spans="1:8" ht="33">
      <c r="A2771" s="160">
        <v>2</v>
      </c>
      <c r="B2771" s="160" t="s">
        <v>4869</v>
      </c>
      <c r="C2771" s="157" t="s">
        <v>927</v>
      </c>
      <c r="D2771" s="159">
        <v>9.6</v>
      </c>
      <c r="E2771" s="159">
        <v>371.17</v>
      </c>
      <c r="F2771" s="159">
        <v>3563.23</v>
      </c>
      <c r="G2771" s="160" t="s">
        <v>5434</v>
      </c>
      <c r="H2771" s="34" t="s">
        <v>925</v>
      </c>
    </row>
    <row r="2772" spans="1:8" ht="33">
      <c r="A2772" s="160">
        <v>3</v>
      </c>
      <c r="B2772" s="160" t="s">
        <v>1086</v>
      </c>
      <c r="C2772" s="157" t="s">
        <v>927</v>
      </c>
      <c r="D2772" s="159">
        <v>9.6</v>
      </c>
      <c r="E2772" s="159">
        <v>371.17</v>
      </c>
      <c r="F2772" s="159">
        <v>3563.23</v>
      </c>
      <c r="G2772" s="160" t="s">
        <v>2</v>
      </c>
      <c r="H2772" s="34" t="s">
        <v>925</v>
      </c>
    </row>
    <row r="2773" spans="1:8" ht="33">
      <c r="A2773" s="160">
        <v>4</v>
      </c>
      <c r="B2773" s="160" t="s">
        <v>929</v>
      </c>
      <c r="C2773" s="157" t="s">
        <v>927</v>
      </c>
      <c r="D2773" s="159">
        <v>9.6</v>
      </c>
      <c r="E2773" s="159">
        <v>1388.4</v>
      </c>
      <c r="F2773" s="159">
        <v>13328.64</v>
      </c>
      <c r="G2773" s="160" t="s">
        <v>2</v>
      </c>
      <c r="H2773" s="34" t="s">
        <v>925</v>
      </c>
    </row>
    <row r="2774" spans="1:8" ht="33">
      <c r="A2774" s="160">
        <v>5</v>
      </c>
      <c r="B2774" s="160" t="s">
        <v>997</v>
      </c>
      <c r="C2774" s="157" t="s">
        <v>927</v>
      </c>
      <c r="D2774" s="159">
        <v>9.6</v>
      </c>
      <c r="E2774" s="159">
        <v>1073.7</v>
      </c>
      <c r="F2774" s="159">
        <v>10307.52</v>
      </c>
      <c r="G2774" s="160" t="s">
        <v>2</v>
      </c>
      <c r="H2774" s="34" t="s">
        <v>925</v>
      </c>
    </row>
    <row r="2775" spans="1:8" ht="33">
      <c r="A2775" s="160">
        <v>6</v>
      </c>
      <c r="B2775" s="160" t="s">
        <v>931</v>
      </c>
      <c r="C2775" s="157" t="s">
        <v>14</v>
      </c>
      <c r="D2775" s="159">
        <v>1</v>
      </c>
      <c r="E2775" s="159">
        <v>1141.3499999999999</v>
      </c>
      <c r="F2775" s="159">
        <v>1141.3499999999999</v>
      </c>
      <c r="G2775" s="160" t="s">
        <v>2</v>
      </c>
      <c r="H2775" s="34" t="s">
        <v>925</v>
      </c>
    </row>
    <row r="2776" spans="1:8" ht="33">
      <c r="A2776" s="160"/>
      <c r="B2776" s="160" t="s">
        <v>933</v>
      </c>
      <c r="C2776" s="157" t="s">
        <v>2238</v>
      </c>
      <c r="D2776" s="159">
        <v>1</v>
      </c>
      <c r="E2776" s="159"/>
      <c r="F2776" s="159">
        <v>39186.49</v>
      </c>
      <c r="G2776" s="160"/>
      <c r="H2776" s="34" t="s">
        <v>925</v>
      </c>
    </row>
    <row r="2777" spans="1:8" ht="33">
      <c r="A2777" s="160"/>
      <c r="B2777" s="160" t="s">
        <v>934</v>
      </c>
      <c r="C2777" s="157" t="s">
        <v>2238</v>
      </c>
      <c r="D2777" s="159"/>
      <c r="E2777" s="159"/>
      <c r="F2777" s="159">
        <v>39186.49</v>
      </c>
      <c r="G2777" s="160"/>
      <c r="H2777" s="34" t="s">
        <v>925</v>
      </c>
    </row>
    <row r="2778" spans="1:8" ht="33">
      <c r="A2778" s="160"/>
      <c r="B2778" s="160"/>
      <c r="C2778" s="157"/>
      <c r="D2778" s="159"/>
      <c r="E2778" s="159"/>
      <c r="F2778" s="159"/>
      <c r="G2778" s="160"/>
      <c r="H2778" s="34" t="s">
        <v>925</v>
      </c>
    </row>
    <row r="2779" spans="1:8" ht="28.5">
      <c r="A2779" s="160" t="s">
        <v>2706</v>
      </c>
      <c r="B2779" s="160" t="s">
        <v>2486</v>
      </c>
      <c r="C2779" s="157" t="s">
        <v>2238</v>
      </c>
      <c r="D2779" s="159">
        <v>1</v>
      </c>
      <c r="E2779" s="159">
        <v>50322.59</v>
      </c>
      <c r="F2779" s="159"/>
      <c r="G2779" s="160" t="s">
        <v>2</v>
      </c>
    </row>
    <row r="2780" spans="1:8" ht="33">
      <c r="A2780" s="160">
        <v>1</v>
      </c>
      <c r="B2780" s="160" t="s">
        <v>929</v>
      </c>
      <c r="C2780" s="157" t="s">
        <v>927</v>
      </c>
      <c r="D2780" s="159">
        <v>12</v>
      </c>
      <c r="E2780" s="159">
        <v>1388.4</v>
      </c>
      <c r="F2780" s="159">
        <v>16660.8</v>
      </c>
      <c r="G2780" s="160" t="s">
        <v>2</v>
      </c>
      <c r="H2780" s="34" t="s">
        <v>925</v>
      </c>
    </row>
    <row r="2781" spans="1:8" ht="33">
      <c r="A2781" s="160">
        <v>2</v>
      </c>
      <c r="B2781" s="160" t="s">
        <v>4871</v>
      </c>
      <c r="C2781" s="157" t="s">
        <v>927</v>
      </c>
      <c r="D2781" s="159">
        <v>40</v>
      </c>
      <c r="E2781" s="159">
        <v>260.08999999999997</v>
      </c>
      <c r="F2781" s="159">
        <v>10403.6</v>
      </c>
      <c r="G2781" s="160" t="s">
        <v>5435</v>
      </c>
      <c r="H2781" s="34" t="s">
        <v>925</v>
      </c>
    </row>
    <row r="2782" spans="1:8" ht="33">
      <c r="A2782" s="160">
        <v>3</v>
      </c>
      <c r="B2782" s="160" t="s">
        <v>1086</v>
      </c>
      <c r="C2782" s="157" t="s">
        <v>927</v>
      </c>
      <c r="D2782" s="159">
        <v>12</v>
      </c>
      <c r="E2782" s="159">
        <v>371.17</v>
      </c>
      <c r="F2782" s="159">
        <v>4454.04</v>
      </c>
      <c r="G2782" s="160" t="s">
        <v>2</v>
      </c>
      <c r="H2782" s="34" t="s">
        <v>925</v>
      </c>
    </row>
    <row r="2783" spans="1:8" ht="33">
      <c r="A2783" s="160">
        <v>4</v>
      </c>
      <c r="B2783" s="160" t="s">
        <v>4869</v>
      </c>
      <c r="C2783" s="157" t="s">
        <v>927</v>
      </c>
      <c r="D2783" s="159">
        <v>12</v>
      </c>
      <c r="E2783" s="159">
        <v>371.17</v>
      </c>
      <c r="F2783" s="159">
        <v>4454.04</v>
      </c>
      <c r="G2783" s="160" t="s">
        <v>5434</v>
      </c>
      <c r="H2783" s="34" t="s">
        <v>925</v>
      </c>
    </row>
    <row r="2784" spans="1:8" ht="33">
      <c r="A2784" s="160">
        <v>5</v>
      </c>
      <c r="B2784" s="160" t="s">
        <v>997</v>
      </c>
      <c r="C2784" s="157" t="s">
        <v>927</v>
      </c>
      <c r="D2784" s="159">
        <v>12</v>
      </c>
      <c r="E2784" s="159">
        <v>1073.7</v>
      </c>
      <c r="F2784" s="159">
        <v>12884.4</v>
      </c>
      <c r="G2784" s="160" t="s">
        <v>2</v>
      </c>
      <c r="H2784" s="34" t="s">
        <v>925</v>
      </c>
    </row>
    <row r="2785" spans="1:8" ht="33">
      <c r="A2785" s="160">
        <v>6</v>
      </c>
      <c r="B2785" s="160" t="s">
        <v>931</v>
      </c>
      <c r="C2785" s="157" t="s">
        <v>14</v>
      </c>
      <c r="D2785" s="159">
        <v>1</v>
      </c>
      <c r="E2785" s="159">
        <v>1465.71</v>
      </c>
      <c r="F2785" s="159">
        <v>1465.71</v>
      </c>
      <c r="G2785" s="160" t="s">
        <v>2</v>
      </c>
      <c r="H2785" s="34" t="s">
        <v>925</v>
      </c>
    </row>
    <row r="2786" spans="1:8" ht="33">
      <c r="A2786" s="160"/>
      <c r="B2786" s="160" t="s">
        <v>933</v>
      </c>
      <c r="C2786" s="157" t="s">
        <v>2238</v>
      </c>
      <c r="D2786" s="159">
        <v>1</v>
      </c>
      <c r="E2786" s="159"/>
      <c r="F2786" s="159">
        <v>50322.590000000004</v>
      </c>
      <c r="G2786" s="160"/>
      <c r="H2786" s="34" t="s">
        <v>925</v>
      </c>
    </row>
    <row r="2787" spans="1:8" ht="33">
      <c r="A2787" s="160"/>
      <c r="B2787" s="160" t="s">
        <v>934</v>
      </c>
      <c r="C2787" s="157" t="s">
        <v>2238</v>
      </c>
      <c r="D2787" s="159"/>
      <c r="E2787" s="159"/>
      <c r="F2787" s="159">
        <v>50322.59</v>
      </c>
      <c r="G2787" s="160"/>
      <c r="H2787" s="34" t="s">
        <v>925</v>
      </c>
    </row>
    <row r="2788" spans="1:8" ht="16.5">
      <c r="A2788" s="160"/>
      <c r="B2788" s="160"/>
      <c r="C2788" s="157"/>
      <c r="D2788" s="159"/>
      <c r="E2788" s="159"/>
      <c r="F2788" s="159"/>
      <c r="G2788" s="160"/>
    </row>
    <row r="2789" spans="1:8" ht="33">
      <c r="A2789" s="160" t="s">
        <v>2711</v>
      </c>
      <c r="B2789" s="160" t="s">
        <v>2489</v>
      </c>
      <c r="C2789" s="157" t="s">
        <v>2490</v>
      </c>
      <c r="D2789" s="159">
        <v>1</v>
      </c>
      <c r="E2789" s="159">
        <v>2891.58</v>
      </c>
      <c r="F2789" s="159"/>
      <c r="G2789" s="160" t="s">
        <v>2</v>
      </c>
      <c r="H2789" s="34" t="s">
        <v>925</v>
      </c>
    </row>
    <row r="2790" spans="1:8" ht="33">
      <c r="A2790" s="160">
        <v>1</v>
      </c>
      <c r="B2790" s="160" t="s">
        <v>2492</v>
      </c>
      <c r="C2790" s="157" t="s">
        <v>14</v>
      </c>
      <c r="D2790" s="159">
        <v>1</v>
      </c>
      <c r="E2790" s="159">
        <v>1851.2</v>
      </c>
      <c r="F2790" s="159">
        <v>1851.2</v>
      </c>
      <c r="G2790" s="160" t="s">
        <v>2</v>
      </c>
      <c r="H2790" s="34" t="s">
        <v>925</v>
      </c>
    </row>
    <row r="2791" spans="1:8" ht="33">
      <c r="A2791" s="160">
        <v>2</v>
      </c>
      <c r="B2791" s="160" t="s">
        <v>2494</v>
      </c>
      <c r="C2791" s="157" t="s">
        <v>14</v>
      </c>
      <c r="D2791" s="159">
        <v>1</v>
      </c>
      <c r="E2791" s="159">
        <v>1040.3800000000001</v>
      </c>
      <c r="F2791" s="159">
        <v>1040.3800000000001</v>
      </c>
      <c r="G2791" s="160" t="s">
        <v>2</v>
      </c>
      <c r="H2791" s="34" t="s">
        <v>925</v>
      </c>
    </row>
    <row r="2792" spans="1:8" ht="33">
      <c r="A2792" s="160"/>
      <c r="B2792" s="160" t="s">
        <v>933</v>
      </c>
      <c r="C2792" s="157" t="s">
        <v>2490</v>
      </c>
      <c r="D2792" s="159">
        <v>1</v>
      </c>
      <c r="E2792" s="159"/>
      <c r="F2792" s="159">
        <v>2891.58</v>
      </c>
      <c r="G2792" s="160"/>
      <c r="H2792" s="34" t="s">
        <v>925</v>
      </c>
    </row>
    <row r="2793" spans="1:8" ht="33">
      <c r="A2793" s="160"/>
      <c r="B2793" s="160" t="s">
        <v>934</v>
      </c>
      <c r="C2793" s="157" t="s">
        <v>2490</v>
      </c>
      <c r="D2793" s="159"/>
      <c r="E2793" s="159"/>
      <c r="F2793" s="159">
        <v>2891.58</v>
      </c>
      <c r="G2793" s="160"/>
      <c r="H2793" s="34" t="s">
        <v>925</v>
      </c>
    </row>
    <row r="2794" spans="1:8" ht="33">
      <c r="A2794" s="160"/>
      <c r="B2794" s="160"/>
      <c r="C2794" s="157"/>
      <c r="D2794" s="159"/>
      <c r="E2794" s="159"/>
      <c r="F2794" s="159"/>
      <c r="G2794" s="160"/>
      <c r="H2794" s="34" t="s">
        <v>925</v>
      </c>
    </row>
    <row r="2795" spans="1:8" ht="33">
      <c r="A2795" s="160" t="s">
        <v>2724</v>
      </c>
      <c r="B2795" s="160" t="s">
        <v>2497</v>
      </c>
      <c r="C2795" s="157" t="s">
        <v>2490</v>
      </c>
      <c r="D2795" s="159">
        <v>1</v>
      </c>
      <c r="E2795" s="159">
        <v>723.82</v>
      </c>
      <c r="F2795" s="159"/>
      <c r="G2795" s="160" t="s">
        <v>2</v>
      </c>
      <c r="H2795" s="34" t="s">
        <v>925</v>
      </c>
    </row>
    <row r="2796" spans="1:8" ht="33">
      <c r="A2796" s="160">
        <v>1</v>
      </c>
      <c r="B2796" s="160" t="s">
        <v>2499</v>
      </c>
      <c r="C2796" s="157" t="s">
        <v>14</v>
      </c>
      <c r="D2796" s="159">
        <v>1</v>
      </c>
      <c r="E2796" s="159">
        <v>185.12</v>
      </c>
      <c r="F2796" s="159">
        <v>185.12</v>
      </c>
      <c r="G2796" s="160" t="s">
        <v>2</v>
      </c>
      <c r="H2796" s="34" t="s">
        <v>925</v>
      </c>
    </row>
    <row r="2797" spans="1:8" ht="16.5">
      <c r="A2797" s="160">
        <v>2</v>
      </c>
      <c r="B2797" s="160" t="s">
        <v>2501</v>
      </c>
      <c r="C2797" s="157" t="s">
        <v>14</v>
      </c>
      <c r="D2797" s="159">
        <v>1</v>
      </c>
      <c r="E2797" s="159">
        <v>520.19000000000005</v>
      </c>
      <c r="F2797" s="159">
        <v>520.19000000000005</v>
      </c>
      <c r="G2797" s="160" t="s">
        <v>2</v>
      </c>
    </row>
    <row r="2798" spans="1:8" ht="33">
      <c r="A2798" s="160">
        <v>3</v>
      </c>
      <c r="B2798" s="160" t="s">
        <v>2503</v>
      </c>
      <c r="C2798" s="157" t="s">
        <v>14</v>
      </c>
      <c r="D2798" s="159">
        <v>1</v>
      </c>
      <c r="E2798" s="159">
        <v>18.510000000000002</v>
      </c>
      <c r="F2798" s="159">
        <v>18.510000000000002</v>
      </c>
      <c r="G2798" s="160" t="s">
        <v>2</v>
      </c>
      <c r="H2798" s="34" t="s">
        <v>925</v>
      </c>
    </row>
    <row r="2799" spans="1:8" ht="33">
      <c r="A2799" s="160"/>
      <c r="B2799" s="160" t="s">
        <v>933</v>
      </c>
      <c r="C2799" s="157" t="s">
        <v>2490</v>
      </c>
      <c r="D2799" s="159">
        <v>1</v>
      </c>
      <c r="E2799" s="159"/>
      <c r="F2799" s="159">
        <v>723.82</v>
      </c>
      <c r="G2799" s="160"/>
      <c r="H2799" s="34" t="s">
        <v>925</v>
      </c>
    </row>
    <row r="2800" spans="1:8" ht="33">
      <c r="A2800" s="160"/>
      <c r="B2800" s="160" t="s">
        <v>934</v>
      </c>
      <c r="C2800" s="157" t="s">
        <v>2490</v>
      </c>
      <c r="D2800" s="159"/>
      <c r="E2800" s="159"/>
      <c r="F2800" s="159">
        <v>723.82</v>
      </c>
      <c r="G2800" s="160"/>
      <c r="H2800" s="34" t="s">
        <v>925</v>
      </c>
    </row>
    <row r="2801" spans="1:8" ht="33">
      <c r="A2801" s="160"/>
      <c r="B2801" s="160"/>
      <c r="C2801" s="157"/>
      <c r="D2801" s="159"/>
      <c r="E2801" s="159"/>
      <c r="F2801" s="159"/>
      <c r="G2801" s="160"/>
      <c r="H2801" s="34" t="s">
        <v>925</v>
      </c>
    </row>
    <row r="2802" spans="1:8" ht="33">
      <c r="A2802" s="160" t="s">
        <v>2731</v>
      </c>
      <c r="B2802" s="160" t="s">
        <v>2506</v>
      </c>
      <c r="C2802" s="157" t="s">
        <v>2490</v>
      </c>
      <c r="D2802" s="159">
        <v>1</v>
      </c>
      <c r="E2802" s="159">
        <v>3931.95</v>
      </c>
      <c r="F2802" s="159"/>
      <c r="G2802" s="160" t="s">
        <v>2</v>
      </c>
      <c r="H2802" s="34" t="s">
        <v>925</v>
      </c>
    </row>
    <row r="2803" spans="1:8" ht="33">
      <c r="A2803" s="160">
        <v>1</v>
      </c>
      <c r="B2803" s="160" t="s">
        <v>2492</v>
      </c>
      <c r="C2803" s="157" t="s">
        <v>14</v>
      </c>
      <c r="D2803" s="159">
        <v>1</v>
      </c>
      <c r="E2803" s="159">
        <v>1851.2</v>
      </c>
      <c r="F2803" s="159">
        <v>1851.2</v>
      </c>
      <c r="G2803" s="160" t="s">
        <v>2</v>
      </c>
      <c r="H2803" s="34" t="s">
        <v>925</v>
      </c>
    </row>
    <row r="2804" spans="1:8" ht="33">
      <c r="A2804" s="160">
        <v>2</v>
      </c>
      <c r="B2804" s="160" t="s">
        <v>2494</v>
      </c>
      <c r="C2804" s="157" t="s">
        <v>14</v>
      </c>
      <c r="D2804" s="159">
        <v>1</v>
      </c>
      <c r="E2804" s="159">
        <v>2080.75</v>
      </c>
      <c r="F2804" s="159">
        <v>2080.75</v>
      </c>
      <c r="G2804" s="160" t="s">
        <v>2</v>
      </c>
      <c r="H2804" s="34" t="s">
        <v>925</v>
      </c>
    </row>
    <row r="2805" spans="1:8" ht="16.5">
      <c r="A2805" s="160"/>
      <c r="B2805" s="160" t="s">
        <v>933</v>
      </c>
      <c r="C2805" s="157" t="s">
        <v>2490</v>
      </c>
      <c r="D2805" s="159">
        <v>1</v>
      </c>
      <c r="E2805" s="159"/>
      <c r="F2805" s="159">
        <v>3931.95</v>
      </c>
      <c r="G2805" s="160"/>
    </row>
    <row r="2806" spans="1:8" ht="33">
      <c r="A2806" s="160"/>
      <c r="B2806" s="160" t="s">
        <v>934</v>
      </c>
      <c r="C2806" s="157" t="s">
        <v>2490</v>
      </c>
      <c r="D2806" s="159"/>
      <c r="E2806" s="159"/>
      <c r="F2806" s="159">
        <v>3931.95</v>
      </c>
      <c r="G2806" s="160"/>
      <c r="H2806" s="34" t="s">
        <v>925</v>
      </c>
    </row>
    <row r="2807" spans="1:8" ht="33">
      <c r="A2807" s="160"/>
      <c r="B2807" s="160"/>
      <c r="C2807" s="157"/>
      <c r="D2807" s="159"/>
      <c r="E2807" s="159"/>
      <c r="F2807" s="159"/>
      <c r="G2807" s="160"/>
      <c r="H2807" s="34" t="s">
        <v>925</v>
      </c>
    </row>
    <row r="2808" spans="1:8" ht="33">
      <c r="A2808" s="160" t="s">
        <v>2736</v>
      </c>
      <c r="B2808" s="160" t="s">
        <v>2509</v>
      </c>
      <c r="C2808" s="157" t="s">
        <v>2490</v>
      </c>
      <c r="D2808" s="159">
        <v>1</v>
      </c>
      <c r="E2808" s="159">
        <v>1256.97</v>
      </c>
      <c r="F2808" s="159"/>
      <c r="G2808" s="160" t="s">
        <v>2</v>
      </c>
      <c r="H2808" s="34" t="s">
        <v>925</v>
      </c>
    </row>
    <row r="2809" spans="1:8" ht="33">
      <c r="A2809" s="160">
        <v>1</v>
      </c>
      <c r="B2809" s="160" t="s">
        <v>2499</v>
      </c>
      <c r="C2809" s="157" t="s">
        <v>14</v>
      </c>
      <c r="D2809" s="159">
        <v>1</v>
      </c>
      <c r="E2809" s="159">
        <v>185.12</v>
      </c>
      <c r="F2809" s="159">
        <v>185.12</v>
      </c>
      <c r="G2809" s="160" t="s">
        <v>2</v>
      </c>
      <c r="H2809" s="34" t="s">
        <v>925</v>
      </c>
    </row>
    <row r="2810" spans="1:8" ht="33">
      <c r="A2810" s="160">
        <v>2</v>
      </c>
      <c r="B2810" s="160" t="s">
        <v>2501</v>
      </c>
      <c r="C2810" s="157" t="s">
        <v>14</v>
      </c>
      <c r="D2810" s="159">
        <v>1</v>
      </c>
      <c r="E2810" s="159">
        <v>1040.3800000000001</v>
      </c>
      <c r="F2810" s="159">
        <v>1040.3800000000001</v>
      </c>
      <c r="G2810" s="160" t="s">
        <v>2</v>
      </c>
      <c r="H2810" s="34" t="s">
        <v>925</v>
      </c>
    </row>
    <row r="2811" spans="1:8" ht="33">
      <c r="A2811" s="160">
        <v>3</v>
      </c>
      <c r="B2811" s="160" t="s">
        <v>2503</v>
      </c>
      <c r="C2811" s="157" t="s">
        <v>14</v>
      </c>
      <c r="D2811" s="159">
        <v>1</v>
      </c>
      <c r="E2811" s="159">
        <v>31.47</v>
      </c>
      <c r="F2811" s="159">
        <v>31.47</v>
      </c>
      <c r="G2811" s="160" t="s">
        <v>2</v>
      </c>
      <c r="H2811" s="34" t="s">
        <v>925</v>
      </c>
    </row>
    <row r="2812" spans="1:8" ht="16.5">
      <c r="A2812" s="160"/>
      <c r="B2812" s="160" t="s">
        <v>933</v>
      </c>
      <c r="C2812" s="157" t="s">
        <v>2490</v>
      </c>
      <c r="D2812" s="159">
        <v>1</v>
      </c>
      <c r="E2812" s="159"/>
      <c r="F2812" s="159">
        <v>1256.97</v>
      </c>
      <c r="G2812" s="160"/>
    </row>
    <row r="2813" spans="1:8" ht="33">
      <c r="A2813" s="160"/>
      <c r="B2813" s="160" t="s">
        <v>934</v>
      </c>
      <c r="C2813" s="157" t="s">
        <v>2490</v>
      </c>
      <c r="D2813" s="159"/>
      <c r="E2813" s="159"/>
      <c r="F2813" s="159">
        <v>1256.97</v>
      </c>
      <c r="G2813" s="160"/>
      <c r="H2813" s="34" t="s">
        <v>925</v>
      </c>
    </row>
    <row r="2814" spans="1:8" ht="33">
      <c r="A2814" s="160"/>
      <c r="B2814" s="160"/>
      <c r="C2814" s="157"/>
      <c r="D2814" s="159"/>
      <c r="E2814" s="159"/>
      <c r="F2814" s="159"/>
      <c r="G2814" s="160"/>
      <c r="H2814" s="34" t="s">
        <v>925</v>
      </c>
    </row>
    <row r="2815" spans="1:8" ht="33">
      <c r="A2815" s="160" t="s">
        <v>2749</v>
      </c>
      <c r="B2815" s="160" t="s">
        <v>2512</v>
      </c>
      <c r="C2815" s="157" t="s">
        <v>2238</v>
      </c>
      <c r="D2815" s="159">
        <v>1</v>
      </c>
      <c r="E2815" s="159">
        <v>20928.28</v>
      </c>
      <c r="F2815" s="159"/>
      <c r="G2815" s="160" t="s">
        <v>2</v>
      </c>
      <c r="H2815" s="34" t="s">
        <v>925</v>
      </c>
    </row>
    <row r="2816" spans="1:8" ht="33">
      <c r="A2816" s="160">
        <v>1</v>
      </c>
      <c r="B2816" s="160" t="s">
        <v>4869</v>
      </c>
      <c r="C2816" s="157" t="s">
        <v>927</v>
      </c>
      <c r="D2816" s="159">
        <v>8</v>
      </c>
      <c r="E2816" s="159">
        <v>371.17</v>
      </c>
      <c r="F2816" s="159">
        <v>2969.36</v>
      </c>
      <c r="G2816" s="160" t="s">
        <v>5434</v>
      </c>
      <c r="H2816" s="34" t="s">
        <v>925</v>
      </c>
    </row>
    <row r="2817" spans="1:8" ht="33">
      <c r="A2817" s="160">
        <v>2</v>
      </c>
      <c r="B2817" s="160" t="s">
        <v>4871</v>
      </c>
      <c r="C2817" s="157" t="s">
        <v>927</v>
      </c>
      <c r="D2817" s="159">
        <v>24</v>
      </c>
      <c r="E2817" s="159">
        <v>260.08999999999997</v>
      </c>
      <c r="F2817" s="159">
        <v>6242.16</v>
      </c>
      <c r="G2817" s="160" t="s">
        <v>5435</v>
      </c>
      <c r="H2817" s="34" t="s">
        <v>925</v>
      </c>
    </row>
    <row r="2818" spans="1:8" ht="33">
      <c r="A2818" s="160">
        <v>3</v>
      </c>
      <c r="B2818" s="160" t="s">
        <v>929</v>
      </c>
      <c r="C2818" s="157" t="s">
        <v>927</v>
      </c>
      <c r="D2818" s="159">
        <v>8</v>
      </c>
      <c r="E2818" s="159">
        <v>1388.4</v>
      </c>
      <c r="F2818" s="159">
        <v>11107.2</v>
      </c>
      <c r="G2818" s="160" t="s">
        <v>2</v>
      </c>
      <c r="H2818" s="34" t="s">
        <v>925</v>
      </c>
    </row>
    <row r="2819" spans="1:8" ht="16.5">
      <c r="A2819" s="160">
        <v>4</v>
      </c>
      <c r="B2819" s="160" t="s">
        <v>931</v>
      </c>
      <c r="C2819" s="157" t="s">
        <v>14</v>
      </c>
      <c r="D2819" s="159">
        <v>1</v>
      </c>
      <c r="E2819" s="159">
        <v>609.55999999999995</v>
      </c>
      <c r="F2819" s="159">
        <v>609.55999999999995</v>
      </c>
      <c r="G2819" s="160" t="s">
        <v>2</v>
      </c>
    </row>
    <row r="2820" spans="1:8" ht="33">
      <c r="A2820" s="160"/>
      <c r="B2820" s="160" t="s">
        <v>933</v>
      </c>
      <c r="C2820" s="157" t="s">
        <v>2238</v>
      </c>
      <c r="D2820" s="159">
        <v>1</v>
      </c>
      <c r="E2820" s="159"/>
      <c r="F2820" s="159">
        <v>20928.280000000002</v>
      </c>
      <c r="G2820" s="160"/>
      <c r="H2820" s="34" t="s">
        <v>925</v>
      </c>
    </row>
    <row r="2821" spans="1:8" ht="33">
      <c r="A2821" s="160"/>
      <c r="B2821" s="160" t="s">
        <v>934</v>
      </c>
      <c r="C2821" s="157" t="s">
        <v>2238</v>
      </c>
      <c r="D2821" s="159"/>
      <c r="E2821" s="159"/>
      <c r="F2821" s="159">
        <v>20928.28</v>
      </c>
      <c r="G2821" s="160"/>
      <c r="H2821" s="34" t="s">
        <v>925</v>
      </c>
    </row>
    <row r="2822" spans="1:8" ht="33">
      <c r="A2822" s="160"/>
      <c r="B2822" s="160"/>
      <c r="C2822" s="157"/>
      <c r="D2822" s="159"/>
      <c r="E2822" s="159"/>
      <c r="F2822" s="159"/>
      <c r="G2822" s="160"/>
      <c r="H2822" s="34" t="s">
        <v>925</v>
      </c>
    </row>
    <row r="2823" spans="1:8" ht="33">
      <c r="A2823" s="160" t="s">
        <v>2754</v>
      </c>
      <c r="B2823" s="160" t="s">
        <v>2515</v>
      </c>
      <c r="C2823" s="157" t="s">
        <v>2238</v>
      </c>
      <c r="D2823" s="159">
        <v>1</v>
      </c>
      <c r="E2823" s="159">
        <v>30416.31</v>
      </c>
      <c r="F2823" s="159"/>
      <c r="G2823" s="160" t="s">
        <v>2</v>
      </c>
      <c r="H2823" s="34" t="s">
        <v>925</v>
      </c>
    </row>
    <row r="2824" spans="1:8" ht="33">
      <c r="A2824" s="160">
        <v>1</v>
      </c>
      <c r="B2824" s="160" t="s">
        <v>929</v>
      </c>
      <c r="C2824" s="157" t="s">
        <v>927</v>
      </c>
      <c r="D2824" s="159">
        <v>8</v>
      </c>
      <c r="E2824" s="159">
        <v>1388.4</v>
      </c>
      <c r="F2824" s="159">
        <v>11107.2</v>
      </c>
      <c r="G2824" s="160" t="s">
        <v>2</v>
      </c>
      <c r="H2824" s="34" t="s">
        <v>925</v>
      </c>
    </row>
    <row r="2825" spans="1:8" ht="33">
      <c r="A2825" s="160">
        <v>2</v>
      </c>
      <c r="B2825" s="160" t="s">
        <v>4046</v>
      </c>
      <c r="C2825" s="157" t="s">
        <v>927</v>
      </c>
      <c r="D2825" s="159">
        <v>8</v>
      </c>
      <c r="E2825" s="159">
        <v>742.33</v>
      </c>
      <c r="F2825" s="159">
        <v>5938.64</v>
      </c>
      <c r="G2825" s="160" t="s">
        <v>2</v>
      </c>
      <c r="H2825" s="34" t="s">
        <v>925</v>
      </c>
    </row>
    <row r="2826" spans="1:8" ht="33">
      <c r="A2826" s="160">
        <v>3</v>
      </c>
      <c r="B2826" s="160" t="s">
        <v>4874</v>
      </c>
      <c r="C2826" s="157" t="s">
        <v>927</v>
      </c>
      <c r="D2826" s="159">
        <v>24</v>
      </c>
      <c r="E2826" s="159">
        <v>520.19000000000005</v>
      </c>
      <c r="F2826" s="159">
        <v>12484.56</v>
      </c>
      <c r="G2826" s="160" t="s">
        <v>5436</v>
      </c>
      <c r="H2826" s="34" t="s">
        <v>925</v>
      </c>
    </row>
    <row r="2827" spans="1:8" ht="16.5">
      <c r="A2827" s="160">
        <v>4</v>
      </c>
      <c r="B2827" s="160" t="s">
        <v>931</v>
      </c>
      <c r="C2827" s="157" t="s">
        <v>14</v>
      </c>
      <c r="D2827" s="159">
        <v>1</v>
      </c>
      <c r="E2827" s="159">
        <v>885.91</v>
      </c>
      <c r="F2827" s="159">
        <v>885.91</v>
      </c>
      <c r="G2827" s="160" t="s">
        <v>2</v>
      </c>
    </row>
    <row r="2828" spans="1:8" ht="33">
      <c r="A2828" s="160"/>
      <c r="B2828" s="160" t="s">
        <v>933</v>
      </c>
      <c r="C2828" s="157" t="s">
        <v>2238</v>
      </c>
      <c r="D2828" s="159">
        <v>1</v>
      </c>
      <c r="E2828" s="159"/>
      <c r="F2828" s="159">
        <v>30416.31</v>
      </c>
      <c r="G2828" s="160"/>
      <c r="H2828" s="34" t="s">
        <v>925</v>
      </c>
    </row>
    <row r="2829" spans="1:8" ht="33">
      <c r="A2829" s="160"/>
      <c r="B2829" s="160" t="s">
        <v>934</v>
      </c>
      <c r="C2829" s="157" t="s">
        <v>2238</v>
      </c>
      <c r="D2829" s="159"/>
      <c r="E2829" s="159"/>
      <c r="F2829" s="159">
        <v>30416.31</v>
      </c>
      <c r="G2829" s="160"/>
      <c r="H2829" s="34" t="s">
        <v>925</v>
      </c>
    </row>
    <row r="2830" spans="1:8" ht="33">
      <c r="A2830" s="160"/>
      <c r="B2830" s="160"/>
      <c r="C2830" s="157"/>
      <c r="D2830" s="159"/>
      <c r="E2830" s="159"/>
      <c r="F2830" s="159"/>
      <c r="G2830" s="160"/>
      <c r="H2830" s="34" t="s">
        <v>925</v>
      </c>
    </row>
    <row r="2831" spans="1:8" ht="42.75">
      <c r="A2831" s="160" t="s">
        <v>2763</v>
      </c>
      <c r="B2831" s="160" t="s">
        <v>2518</v>
      </c>
      <c r="C2831" s="157" t="s">
        <v>2238</v>
      </c>
      <c r="D2831" s="159">
        <v>1</v>
      </c>
      <c r="E2831" s="159">
        <v>10052.31</v>
      </c>
      <c r="F2831" s="159"/>
      <c r="G2831" s="160" t="s">
        <v>2</v>
      </c>
      <c r="H2831" s="34" t="s">
        <v>925</v>
      </c>
    </row>
    <row r="2832" spans="1:8" ht="33">
      <c r="A2832" s="160">
        <v>1</v>
      </c>
      <c r="B2832" s="160" t="s">
        <v>2520</v>
      </c>
      <c r="C2832" s="157" t="s">
        <v>927</v>
      </c>
      <c r="D2832" s="159">
        <v>4</v>
      </c>
      <c r="E2832" s="159">
        <v>662.73</v>
      </c>
      <c r="F2832" s="159">
        <v>2650.92</v>
      </c>
      <c r="G2832" s="160" t="s">
        <v>2</v>
      </c>
      <c r="H2832" s="34" t="s">
        <v>925</v>
      </c>
    </row>
    <row r="2833" spans="1:8" ht="33">
      <c r="A2833" s="160">
        <v>2</v>
      </c>
      <c r="B2833" s="160" t="s">
        <v>2522</v>
      </c>
      <c r="C2833" s="157" t="s">
        <v>927</v>
      </c>
      <c r="D2833" s="159">
        <v>4</v>
      </c>
      <c r="E2833" s="159">
        <v>514.63</v>
      </c>
      <c r="F2833" s="159">
        <v>2058.52</v>
      </c>
      <c r="G2833" s="160" t="s">
        <v>2</v>
      </c>
      <c r="H2833" s="34" t="s">
        <v>925</v>
      </c>
    </row>
    <row r="2834" spans="1:8" ht="33">
      <c r="A2834" s="160">
        <v>3</v>
      </c>
      <c r="B2834" s="160" t="s">
        <v>4885</v>
      </c>
      <c r="C2834" s="157" t="s">
        <v>927</v>
      </c>
      <c r="D2834" s="159">
        <v>4</v>
      </c>
      <c r="E2834" s="159">
        <v>371.17</v>
      </c>
      <c r="F2834" s="159">
        <v>1484.68</v>
      </c>
      <c r="G2834" s="160" t="s">
        <v>5439</v>
      </c>
      <c r="H2834" s="34" t="s">
        <v>925</v>
      </c>
    </row>
    <row r="2835" spans="1:8" ht="16.5">
      <c r="A2835" s="160">
        <v>4</v>
      </c>
      <c r="B2835" s="160" t="s">
        <v>2524</v>
      </c>
      <c r="C2835" s="157" t="s">
        <v>927</v>
      </c>
      <c r="D2835" s="159">
        <v>4</v>
      </c>
      <c r="E2835" s="159">
        <v>371.17</v>
      </c>
      <c r="F2835" s="159">
        <v>1484.68</v>
      </c>
      <c r="G2835" s="160" t="s">
        <v>2</v>
      </c>
    </row>
    <row r="2836" spans="1:8" ht="33">
      <c r="A2836" s="160">
        <v>5</v>
      </c>
      <c r="B2836" s="160" t="s">
        <v>4871</v>
      </c>
      <c r="C2836" s="157" t="s">
        <v>927</v>
      </c>
      <c r="D2836" s="159">
        <v>8</v>
      </c>
      <c r="E2836" s="159">
        <v>260.08999999999997</v>
      </c>
      <c r="F2836" s="159">
        <v>2080.7199999999998</v>
      </c>
      <c r="G2836" s="160" t="s">
        <v>5435</v>
      </c>
      <c r="H2836" s="34" t="s">
        <v>925</v>
      </c>
    </row>
    <row r="2837" spans="1:8" ht="33">
      <c r="A2837" s="160">
        <v>6</v>
      </c>
      <c r="B2837" s="160" t="s">
        <v>931</v>
      </c>
      <c r="C2837" s="157" t="s">
        <v>14</v>
      </c>
      <c r="D2837" s="159">
        <v>1</v>
      </c>
      <c r="E2837" s="159">
        <v>292.79000000000002</v>
      </c>
      <c r="F2837" s="159">
        <v>292.79000000000002</v>
      </c>
      <c r="G2837" s="160" t="s">
        <v>2</v>
      </c>
      <c r="H2837" s="34" t="s">
        <v>925</v>
      </c>
    </row>
    <row r="2838" spans="1:8" ht="33">
      <c r="A2838" s="160"/>
      <c r="B2838" s="160" t="s">
        <v>933</v>
      </c>
      <c r="C2838" s="157" t="s">
        <v>2238</v>
      </c>
      <c r="D2838" s="159">
        <v>1</v>
      </c>
      <c r="E2838" s="159"/>
      <c r="F2838" s="159">
        <v>10052.310000000001</v>
      </c>
      <c r="G2838" s="160"/>
      <c r="H2838" s="34" t="s">
        <v>925</v>
      </c>
    </row>
    <row r="2839" spans="1:8" ht="33">
      <c r="A2839" s="160"/>
      <c r="B2839" s="160" t="s">
        <v>934</v>
      </c>
      <c r="C2839" s="157" t="s">
        <v>2238</v>
      </c>
      <c r="D2839" s="159"/>
      <c r="E2839" s="159"/>
      <c r="F2839" s="159">
        <v>10052.31</v>
      </c>
      <c r="G2839" s="160"/>
      <c r="H2839" s="34" t="s">
        <v>925</v>
      </c>
    </row>
    <row r="2840" spans="1:8" ht="33">
      <c r="A2840" s="160"/>
      <c r="B2840" s="160"/>
      <c r="C2840" s="157"/>
      <c r="D2840" s="159"/>
      <c r="E2840" s="159"/>
      <c r="F2840" s="159"/>
      <c r="G2840" s="160"/>
      <c r="H2840" s="34" t="s">
        <v>925</v>
      </c>
    </row>
    <row r="2841" spans="1:8" ht="42.75">
      <c r="A2841" s="160" t="s">
        <v>2777</v>
      </c>
      <c r="B2841" s="160" t="s">
        <v>2527</v>
      </c>
      <c r="C2841" s="157" t="s">
        <v>2238</v>
      </c>
      <c r="D2841" s="159">
        <v>1</v>
      </c>
      <c r="E2841" s="159">
        <v>19033.04</v>
      </c>
      <c r="F2841" s="159"/>
      <c r="G2841" s="160" t="s">
        <v>2</v>
      </c>
      <c r="H2841" s="34" t="s">
        <v>925</v>
      </c>
    </row>
    <row r="2842" spans="1:8" ht="33">
      <c r="A2842" s="160">
        <v>1</v>
      </c>
      <c r="B2842" s="160" t="s">
        <v>2520</v>
      </c>
      <c r="C2842" s="157" t="s">
        <v>927</v>
      </c>
      <c r="D2842" s="159">
        <v>8</v>
      </c>
      <c r="E2842" s="159">
        <v>662.73</v>
      </c>
      <c r="F2842" s="159">
        <v>5301.84</v>
      </c>
      <c r="G2842" s="160" t="s">
        <v>2</v>
      </c>
      <c r="H2842" s="34" t="s">
        <v>925</v>
      </c>
    </row>
    <row r="2843" spans="1:8" ht="16.5">
      <c r="A2843" s="160">
        <v>2</v>
      </c>
      <c r="B2843" s="160" t="s">
        <v>2524</v>
      </c>
      <c r="C2843" s="157" t="s">
        <v>927</v>
      </c>
      <c r="D2843" s="159">
        <v>8</v>
      </c>
      <c r="E2843" s="159">
        <v>371.17</v>
      </c>
      <c r="F2843" s="159">
        <v>2969.36</v>
      </c>
      <c r="G2843" s="160" t="s">
        <v>2</v>
      </c>
    </row>
    <row r="2844" spans="1:8" ht="33">
      <c r="A2844" s="160">
        <v>3</v>
      </c>
      <c r="B2844" s="160" t="s">
        <v>2522</v>
      </c>
      <c r="C2844" s="157" t="s">
        <v>927</v>
      </c>
      <c r="D2844" s="159">
        <v>8</v>
      </c>
      <c r="E2844" s="159">
        <v>514.63</v>
      </c>
      <c r="F2844" s="159">
        <v>4117.04</v>
      </c>
      <c r="G2844" s="160" t="s">
        <v>2</v>
      </c>
      <c r="H2844" s="34" t="s">
        <v>925</v>
      </c>
    </row>
    <row r="2845" spans="1:8" ht="33">
      <c r="A2845" s="160">
        <v>4</v>
      </c>
      <c r="B2845" s="160" t="s">
        <v>4885</v>
      </c>
      <c r="C2845" s="157" t="s">
        <v>927</v>
      </c>
      <c r="D2845" s="159">
        <v>8</v>
      </c>
      <c r="E2845" s="159">
        <v>371.17</v>
      </c>
      <c r="F2845" s="159">
        <v>2969.36</v>
      </c>
      <c r="G2845" s="160" t="s">
        <v>5439</v>
      </c>
      <c r="H2845" s="34" t="s">
        <v>925</v>
      </c>
    </row>
    <row r="2846" spans="1:8" ht="33">
      <c r="A2846" s="160">
        <v>5</v>
      </c>
      <c r="B2846" s="160" t="s">
        <v>4871</v>
      </c>
      <c r="C2846" s="157" t="s">
        <v>927</v>
      </c>
      <c r="D2846" s="159">
        <v>12</v>
      </c>
      <c r="E2846" s="159">
        <v>260.08999999999997</v>
      </c>
      <c r="F2846" s="159">
        <v>3121.08</v>
      </c>
      <c r="G2846" s="160" t="s">
        <v>5435</v>
      </c>
      <c r="H2846" s="34" t="s">
        <v>925</v>
      </c>
    </row>
    <row r="2847" spans="1:8" ht="33">
      <c r="A2847" s="160">
        <v>6</v>
      </c>
      <c r="B2847" s="160" t="s">
        <v>931</v>
      </c>
      <c r="C2847" s="157" t="s">
        <v>14</v>
      </c>
      <c r="D2847" s="159">
        <v>1</v>
      </c>
      <c r="E2847" s="159">
        <v>554.36</v>
      </c>
      <c r="F2847" s="159">
        <v>554.36</v>
      </c>
      <c r="G2847" s="160" t="s">
        <v>2</v>
      </c>
      <c r="H2847" s="34" t="s">
        <v>925</v>
      </c>
    </row>
    <row r="2848" spans="1:8" ht="33">
      <c r="A2848" s="160"/>
      <c r="B2848" s="160" t="s">
        <v>933</v>
      </c>
      <c r="C2848" s="157" t="s">
        <v>2238</v>
      </c>
      <c r="D2848" s="159">
        <v>1</v>
      </c>
      <c r="E2848" s="159"/>
      <c r="F2848" s="159">
        <v>19033.04</v>
      </c>
      <c r="G2848" s="160"/>
      <c r="H2848" s="34" t="s">
        <v>925</v>
      </c>
    </row>
    <row r="2849" spans="1:8" ht="33">
      <c r="A2849" s="160"/>
      <c r="B2849" s="160" t="s">
        <v>934</v>
      </c>
      <c r="C2849" s="157" t="s">
        <v>2238</v>
      </c>
      <c r="D2849" s="159"/>
      <c r="E2849" s="159"/>
      <c r="F2849" s="159">
        <v>19033.04</v>
      </c>
      <c r="G2849" s="160"/>
      <c r="H2849" s="34" t="s">
        <v>925</v>
      </c>
    </row>
    <row r="2850" spans="1:8" ht="33">
      <c r="A2850" s="160"/>
      <c r="B2850" s="160"/>
      <c r="C2850" s="157"/>
      <c r="D2850" s="159"/>
      <c r="E2850" s="159"/>
      <c r="F2850" s="159"/>
      <c r="G2850" s="160"/>
      <c r="H2850" s="34" t="s">
        <v>925</v>
      </c>
    </row>
    <row r="2851" spans="1:8" ht="42.75">
      <c r="A2851" s="160" t="s">
        <v>2780</v>
      </c>
      <c r="B2851" s="160" t="s">
        <v>2530</v>
      </c>
      <c r="C2851" s="157" t="s">
        <v>2238</v>
      </c>
      <c r="D2851" s="159">
        <v>1</v>
      </c>
      <c r="E2851" s="159">
        <v>15253.89</v>
      </c>
      <c r="F2851" s="159"/>
      <c r="G2851" s="160" t="s">
        <v>2</v>
      </c>
    </row>
    <row r="2852" spans="1:8" ht="33">
      <c r="A2852" s="160">
        <v>1</v>
      </c>
      <c r="B2852" s="160" t="s">
        <v>2520</v>
      </c>
      <c r="C2852" s="157" t="s">
        <v>927</v>
      </c>
      <c r="D2852" s="159">
        <v>4</v>
      </c>
      <c r="E2852" s="159">
        <v>662.73</v>
      </c>
      <c r="F2852" s="159">
        <v>2650.92</v>
      </c>
      <c r="G2852" s="160" t="s">
        <v>2</v>
      </c>
      <c r="H2852" s="34" t="s">
        <v>925</v>
      </c>
    </row>
    <row r="2853" spans="1:8" ht="33">
      <c r="A2853" s="160">
        <v>2</v>
      </c>
      <c r="B2853" s="160" t="s">
        <v>2532</v>
      </c>
      <c r="C2853" s="157" t="s">
        <v>927</v>
      </c>
      <c r="D2853" s="159">
        <v>4</v>
      </c>
      <c r="E2853" s="159">
        <v>742.33</v>
      </c>
      <c r="F2853" s="159">
        <v>2969.32</v>
      </c>
      <c r="G2853" s="160" t="s">
        <v>2</v>
      </c>
      <c r="H2853" s="34" t="s">
        <v>925</v>
      </c>
    </row>
    <row r="2854" spans="1:8" ht="33">
      <c r="A2854" s="160">
        <v>3</v>
      </c>
      <c r="B2854" s="160" t="s">
        <v>2522</v>
      </c>
      <c r="C2854" s="157" t="s">
        <v>927</v>
      </c>
      <c r="D2854" s="159">
        <v>4</v>
      </c>
      <c r="E2854" s="159">
        <v>514.63</v>
      </c>
      <c r="F2854" s="159">
        <v>2058.52</v>
      </c>
      <c r="G2854" s="160" t="s">
        <v>2</v>
      </c>
      <c r="H2854" s="34" t="s">
        <v>925</v>
      </c>
    </row>
    <row r="2855" spans="1:8" ht="33">
      <c r="A2855" s="160">
        <v>4</v>
      </c>
      <c r="B2855" s="160" t="s">
        <v>2534</v>
      </c>
      <c r="C2855" s="157" t="s">
        <v>927</v>
      </c>
      <c r="D2855" s="159">
        <v>4</v>
      </c>
      <c r="E2855" s="159">
        <v>742.33</v>
      </c>
      <c r="F2855" s="159">
        <v>2969.32</v>
      </c>
      <c r="G2855" s="160" t="s">
        <v>2</v>
      </c>
      <c r="H2855" s="34" t="s">
        <v>925</v>
      </c>
    </row>
    <row r="2856" spans="1:8" ht="33">
      <c r="A2856" s="160">
        <v>5</v>
      </c>
      <c r="B2856" s="160" t="s">
        <v>4874</v>
      </c>
      <c r="C2856" s="157" t="s">
        <v>927</v>
      </c>
      <c r="D2856" s="159">
        <v>8</v>
      </c>
      <c r="E2856" s="159">
        <v>520.19000000000005</v>
      </c>
      <c r="F2856" s="159">
        <v>4161.5200000000004</v>
      </c>
      <c r="G2856" s="160" t="s">
        <v>5436</v>
      </c>
      <c r="H2856" s="34" t="s">
        <v>925</v>
      </c>
    </row>
    <row r="2857" spans="1:8" ht="33">
      <c r="A2857" s="160">
        <v>6</v>
      </c>
      <c r="B2857" s="160" t="s">
        <v>931</v>
      </c>
      <c r="C2857" s="157" t="s">
        <v>14</v>
      </c>
      <c r="D2857" s="159">
        <v>1</v>
      </c>
      <c r="E2857" s="159">
        <v>444.29</v>
      </c>
      <c r="F2857" s="159">
        <v>444.29</v>
      </c>
      <c r="G2857" s="160" t="s">
        <v>2</v>
      </c>
      <c r="H2857" s="34" t="s">
        <v>925</v>
      </c>
    </row>
    <row r="2858" spans="1:8" ht="33">
      <c r="A2858" s="160"/>
      <c r="B2858" s="160" t="s">
        <v>933</v>
      </c>
      <c r="C2858" s="157" t="s">
        <v>2238</v>
      </c>
      <c r="D2858" s="159">
        <v>1</v>
      </c>
      <c r="E2858" s="159"/>
      <c r="F2858" s="159">
        <v>15253.890000000001</v>
      </c>
      <c r="G2858" s="160"/>
      <c r="H2858" s="34" t="s">
        <v>925</v>
      </c>
    </row>
    <row r="2859" spans="1:8" ht="33">
      <c r="A2859" s="160"/>
      <c r="B2859" s="160" t="s">
        <v>934</v>
      </c>
      <c r="C2859" s="157" t="s">
        <v>2238</v>
      </c>
      <c r="D2859" s="159"/>
      <c r="E2859" s="159"/>
      <c r="F2859" s="159">
        <v>15253.89</v>
      </c>
      <c r="G2859" s="160"/>
      <c r="H2859" s="34" t="s">
        <v>925</v>
      </c>
    </row>
    <row r="2860" spans="1:8" ht="33">
      <c r="A2860" s="160"/>
      <c r="B2860" s="160"/>
      <c r="C2860" s="157"/>
      <c r="D2860" s="159"/>
      <c r="E2860" s="159"/>
      <c r="F2860" s="159"/>
      <c r="G2860" s="160"/>
      <c r="H2860" s="34" t="s">
        <v>925</v>
      </c>
    </row>
    <row r="2861" spans="1:8" ht="42.75">
      <c r="A2861" s="160" t="s">
        <v>2784</v>
      </c>
      <c r="B2861" s="160" t="s">
        <v>2537</v>
      </c>
      <c r="C2861" s="157" t="s">
        <v>2238</v>
      </c>
      <c r="D2861" s="159">
        <v>1</v>
      </c>
      <c r="E2861" s="159">
        <v>28364.59</v>
      </c>
      <c r="F2861" s="159"/>
      <c r="G2861" s="160" t="s">
        <v>2</v>
      </c>
    </row>
    <row r="2862" spans="1:8" ht="33">
      <c r="A2862" s="160">
        <v>1</v>
      </c>
      <c r="B2862" s="160" t="s">
        <v>2520</v>
      </c>
      <c r="C2862" s="157" t="s">
        <v>927</v>
      </c>
      <c r="D2862" s="159">
        <v>8</v>
      </c>
      <c r="E2862" s="159">
        <v>662.73</v>
      </c>
      <c r="F2862" s="159">
        <v>5301.84</v>
      </c>
      <c r="G2862" s="160" t="s">
        <v>2</v>
      </c>
      <c r="H2862" s="34" t="s">
        <v>925</v>
      </c>
    </row>
    <row r="2863" spans="1:8" ht="33">
      <c r="A2863" s="160">
        <v>2</v>
      </c>
      <c r="B2863" s="160" t="s">
        <v>2532</v>
      </c>
      <c r="C2863" s="157" t="s">
        <v>927</v>
      </c>
      <c r="D2863" s="159">
        <v>8</v>
      </c>
      <c r="E2863" s="159">
        <v>742.33</v>
      </c>
      <c r="F2863" s="159">
        <v>5938.64</v>
      </c>
      <c r="G2863" s="160" t="s">
        <v>2</v>
      </c>
      <c r="H2863" s="34" t="s">
        <v>925</v>
      </c>
    </row>
    <row r="2864" spans="1:8" ht="33">
      <c r="A2864" s="160">
        <v>3</v>
      </c>
      <c r="B2864" s="160" t="s">
        <v>2522</v>
      </c>
      <c r="C2864" s="157" t="s">
        <v>927</v>
      </c>
      <c r="D2864" s="159">
        <v>8</v>
      </c>
      <c r="E2864" s="159">
        <v>514.63</v>
      </c>
      <c r="F2864" s="159">
        <v>4117.04</v>
      </c>
      <c r="G2864" s="160" t="s">
        <v>2</v>
      </c>
      <c r="H2864" s="34" t="s">
        <v>925</v>
      </c>
    </row>
    <row r="2865" spans="1:8" ht="33">
      <c r="A2865" s="160">
        <v>4</v>
      </c>
      <c r="B2865" s="160" t="s">
        <v>2534</v>
      </c>
      <c r="C2865" s="157" t="s">
        <v>927</v>
      </c>
      <c r="D2865" s="159">
        <v>8</v>
      </c>
      <c r="E2865" s="159">
        <v>742.33</v>
      </c>
      <c r="F2865" s="159">
        <v>5938.64</v>
      </c>
      <c r="G2865" s="160" t="s">
        <v>2</v>
      </c>
      <c r="H2865" s="34" t="s">
        <v>925</v>
      </c>
    </row>
    <row r="2866" spans="1:8" ht="33">
      <c r="A2866" s="160">
        <v>5</v>
      </c>
      <c r="B2866" s="160" t="s">
        <v>4874</v>
      </c>
      <c r="C2866" s="157" t="s">
        <v>927</v>
      </c>
      <c r="D2866" s="159">
        <v>12</v>
      </c>
      <c r="E2866" s="159">
        <v>520.19000000000005</v>
      </c>
      <c r="F2866" s="159">
        <v>6242.28</v>
      </c>
      <c r="G2866" s="160" t="s">
        <v>5436</v>
      </c>
      <c r="H2866" s="34" t="s">
        <v>925</v>
      </c>
    </row>
    <row r="2867" spans="1:8" ht="33">
      <c r="A2867" s="160">
        <v>6</v>
      </c>
      <c r="B2867" s="160" t="s">
        <v>931</v>
      </c>
      <c r="C2867" s="157" t="s">
        <v>14</v>
      </c>
      <c r="D2867" s="159">
        <v>1</v>
      </c>
      <c r="E2867" s="159">
        <v>826.15</v>
      </c>
      <c r="F2867" s="159">
        <v>826.15</v>
      </c>
      <c r="G2867" s="160" t="s">
        <v>2</v>
      </c>
      <c r="H2867" s="34" t="s">
        <v>925</v>
      </c>
    </row>
    <row r="2868" spans="1:8" ht="33">
      <c r="A2868" s="160"/>
      <c r="B2868" s="160" t="s">
        <v>933</v>
      </c>
      <c r="C2868" s="157" t="s">
        <v>2238</v>
      </c>
      <c r="D2868" s="159">
        <v>1</v>
      </c>
      <c r="E2868" s="159"/>
      <c r="F2868" s="159">
        <v>28364.59</v>
      </c>
      <c r="G2868" s="160"/>
      <c r="H2868" s="34" t="s">
        <v>925</v>
      </c>
    </row>
    <row r="2869" spans="1:8" ht="16.5">
      <c r="A2869" s="160"/>
      <c r="B2869" s="160" t="s">
        <v>934</v>
      </c>
      <c r="C2869" s="157" t="s">
        <v>2238</v>
      </c>
      <c r="D2869" s="159"/>
      <c r="E2869" s="159"/>
      <c r="F2869" s="159">
        <v>28364.59</v>
      </c>
      <c r="G2869" s="160"/>
    </row>
    <row r="2870" spans="1:8" ht="33">
      <c r="A2870" s="160"/>
      <c r="B2870" s="160"/>
      <c r="C2870" s="157"/>
      <c r="D2870" s="159"/>
      <c r="E2870" s="159"/>
      <c r="F2870" s="159"/>
      <c r="G2870" s="160"/>
      <c r="H2870" s="34" t="s">
        <v>925</v>
      </c>
    </row>
    <row r="2871" spans="1:8" ht="42.75">
      <c r="A2871" s="160" t="s">
        <v>4057</v>
      </c>
      <c r="B2871" s="160" t="s">
        <v>2540</v>
      </c>
      <c r="C2871" s="157" t="s">
        <v>0</v>
      </c>
      <c r="D2871" s="159">
        <v>1</v>
      </c>
      <c r="E2871" s="159">
        <v>6738.38</v>
      </c>
      <c r="F2871" s="159"/>
      <c r="G2871" s="160" t="s">
        <v>2</v>
      </c>
      <c r="H2871" s="34" t="s">
        <v>925</v>
      </c>
    </row>
    <row r="2872" spans="1:8" ht="42.75">
      <c r="A2872" s="160">
        <v>1</v>
      </c>
      <c r="B2872" s="160" t="s">
        <v>1164</v>
      </c>
      <c r="C2872" s="157" t="s">
        <v>0</v>
      </c>
      <c r="D2872" s="159">
        <v>1</v>
      </c>
      <c r="E2872" s="159">
        <v>6544</v>
      </c>
      <c r="F2872" s="159">
        <v>6544</v>
      </c>
      <c r="G2872" s="160" t="s">
        <v>2</v>
      </c>
      <c r="H2872" s="34" t="s">
        <v>925</v>
      </c>
    </row>
    <row r="2873" spans="1:8" ht="33">
      <c r="A2873" s="160">
        <v>2</v>
      </c>
      <c r="B2873" s="160" t="s">
        <v>1159</v>
      </c>
      <c r="C2873" s="157" t="s">
        <v>0</v>
      </c>
      <c r="D2873" s="159">
        <v>1</v>
      </c>
      <c r="E2873" s="159">
        <v>24.07</v>
      </c>
      <c r="F2873" s="159">
        <v>24.07</v>
      </c>
      <c r="G2873" s="160" t="s">
        <v>2</v>
      </c>
      <c r="H2873" s="34" t="s">
        <v>925</v>
      </c>
    </row>
    <row r="2874" spans="1:8" ht="33">
      <c r="A2874" s="160">
        <v>3</v>
      </c>
      <c r="B2874" s="160" t="s">
        <v>931</v>
      </c>
      <c r="C2874" s="157" t="s">
        <v>14</v>
      </c>
      <c r="D2874" s="159">
        <v>1</v>
      </c>
      <c r="E2874" s="159">
        <v>170.31</v>
      </c>
      <c r="F2874" s="159">
        <v>170.31</v>
      </c>
      <c r="G2874" s="160" t="s">
        <v>2</v>
      </c>
      <c r="H2874" s="34" t="s">
        <v>925</v>
      </c>
    </row>
    <row r="2875" spans="1:8" ht="33">
      <c r="A2875" s="160"/>
      <c r="B2875" s="160" t="s">
        <v>933</v>
      </c>
      <c r="C2875" s="157" t="s">
        <v>0</v>
      </c>
      <c r="D2875" s="159">
        <v>1</v>
      </c>
      <c r="E2875" s="159"/>
      <c r="F2875" s="159">
        <v>6738.38</v>
      </c>
      <c r="G2875" s="160"/>
      <c r="H2875" s="34" t="s">
        <v>925</v>
      </c>
    </row>
    <row r="2876" spans="1:8" ht="16.5">
      <c r="A2876" s="160"/>
      <c r="B2876" s="160" t="s">
        <v>934</v>
      </c>
      <c r="C2876" s="157" t="s">
        <v>0</v>
      </c>
      <c r="D2876" s="159"/>
      <c r="E2876" s="159"/>
      <c r="F2876" s="159">
        <v>6738.38</v>
      </c>
      <c r="G2876" s="160"/>
    </row>
    <row r="2877" spans="1:8" ht="33">
      <c r="A2877" s="160"/>
      <c r="B2877" s="160"/>
      <c r="C2877" s="157"/>
      <c r="D2877" s="159"/>
      <c r="E2877" s="159"/>
      <c r="F2877" s="159"/>
      <c r="G2877" s="160"/>
      <c r="H2877" s="34" t="s">
        <v>925</v>
      </c>
    </row>
    <row r="2878" spans="1:8" ht="42.75">
      <c r="A2878" s="160" t="s">
        <v>4058</v>
      </c>
      <c r="B2878" s="160" t="s">
        <v>2544</v>
      </c>
      <c r="C2878" s="157" t="s">
        <v>0</v>
      </c>
      <c r="D2878" s="159">
        <v>1</v>
      </c>
      <c r="E2878" s="159">
        <v>6796.69</v>
      </c>
      <c r="F2878" s="159"/>
      <c r="G2878" s="160" t="s">
        <v>2</v>
      </c>
      <c r="H2878" s="34" t="s">
        <v>925</v>
      </c>
    </row>
    <row r="2879" spans="1:8" ht="42.75">
      <c r="A2879" s="160">
        <v>1</v>
      </c>
      <c r="B2879" s="160" t="s">
        <v>1156</v>
      </c>
      <c r="C2879" s="157" t="s">
        <v>0</v>
      </c>
      <c r="D2879" s="159">
        <v>1</v>
      </c>
      <c r="E2879" s="159">
        <v>6599.54</v>
      </c>
      <c r="F2879" s="159">
        <v>6599.54</v>
      </c>
      <c r="G2879" s="160" t="s">
        <v>2</v>
      </c>
      <c r="H2879" s="34" t="s">
        <v>925</v>
      </c>
    </row>
    <row r="2880" spans="1:8" ht="33">
      <c r="A2880" s="160">
        <v>2</v>
      </c>
      <c r="B2880" s="160" t="s">
        <v>1159</v>
      </c>
      <c r="C2880" s="157" t="s">
        <v>0</v>
      </c>
      <c r="D2880" s="159">
        <v>1</v>
      </c>
      <c r="E2880" s="159">
        <v>24.07</v>
      </c>
      <c r="F2880" s="159">
        <v>24.07</v>
      </c>
      <c r="G2880" s="160" t="s">
        <v>2</v>
      </c>
      <c r="H2880" s="34" t="s">
        <v>925</v>
      </c>
    </row>
    <row r="2881" spans="1:8" ht="33">
      <c r="A2881" s="160">
        <v>3</v>
      </c>
      <c r="B2881" s="160" t="s">
        <v>931</v>
      </c>
      <c r="C2881" s="157" t="s">
        <v>14</v>
      </c>
      <c r="D2881" s="159">
        <v>1</v>
      </c>
      <c r="E2881" s="159">
        <v>173.08</v>
      </c>
      <c r="F2881" s="159">
        <v>173.08</v>
      </c>
      <c r="G2881" s="160" t="s">
        <v>2</v>
      </c>
      <c r="H2881" s="34" t="s">
        <v>925</v>
      </c>
    </row>
    <row r="2882" spans="1:8" ht="33">
      <c r="A2882" s="160"/>
      <c r="B2882" s="160" t="s">
        <v>933</v>
      </c>
      <c r="C2882" s="157" t="s">
        <v>0</v>
      </c>
      <c r="D2882" s="159">
        <v>1</v>
      </c>
      <c r="E2882" s="159"/>
      <c r="F2882" s="159">
        <v>6796.69</v>
      </c>
      <c r="G2882" s="160"/>
      <c r="H2882" s="34" t="s">
        <v>925</v>
      </c>
    </row>
    <row r="2883" spans="1:8" ht="33">
      <c r="A2883" s="160"/>
      <c r="B2883" s="160" t="s">
        <v>934</v>
      </c>
      <c r="C2883" s="157" t="s">
        <v>0</v>
      </c>
      <c r="D2883" s="159"/>
      <c r="E2883" s="159"/>
      <c r="F2883" s="159">
        <v>6796.69</v>
      </c>
      <c r="G2883" s="160"/>
      <c r="H2883" s="34" t="s">
        <v>925</v>
      </c>
    </row>
    <row r="2884" spans="1:8" ht="33">
      <c r="A2884" s="160"/>
      <c r="B2884" s="160"/>
      <c r="C2884" s="157"/>
      <c r="D2884" s="159"/>
      <c r="E2884" s="159"/>
      <c r="F2884" s="159"/>
      <c r="G2884" s="160"/>
      <c r="H2884" s="34" t="s">
        <v>925</v>
      </c>
    </row>
    <row r="2885" spans="1:8" ht="42.75">
      <c r="A2885" s="160" t="s">
        <v>4059</v>
      </c>
      <c r="B2885" s="160" t="s">
        <v>2547</v>
      </c>
      <c r="C2885" s="157" t="s">
        <v>0</v>
      </c>
      <c r="D2885" s="159">
        <v>1</v>
      </c>
      <c r="E2885" s="159">
        <v>5897.55</v>
      </c>
      <c r="F2885" s="159"/>
      <c r="G2885" s="160" t="s">
        <v>2</v>
      </c>
      <c r="H2885" s="34" t="s">
        <v>925</v>
      </c>
    </row>
    <row r="2886" spans="1:8" ht="42.75">
      <c r="A2886" s="160">
        <v>1</v>
      </c>
      <c r="B2886" s="160" t="s">
        <v>1197</v>
      </c>
      <c r="C2886" s="157" t="s">
        <v>0</v>
      </c>
      <c r="D2886" s="159">
        <v>1</v>
      </c>
      <c r="E2886" s="159">
        <v>5701.71</v>
      </c>
      <c r="F2886" s="159">
        <v>5701.71</v>
      </c>
      <c r="G2886" s="160" t="s">
        <v>2</v>
      </c>
      <c r="H2886" s="34" t="s">
        <v>925</v>
      </c>
    </row>
    <row r="2887" spans="1:8" ht="28.5">
      <c r="A2887" s="160">
        <v>2</v>
      </c>
      <c r="B2887" s="160" t="s">
        <v>1159</v>
      </c>
      <c r="C2887" s="157" t="s">
        <v>0</v>
      </c>
      <c r="D2887" s="159">
        <v>1</v>
      </c>
      <c r="E2887" s="159">
        <v>24.07</v>
      </c>
      <c r="F2887" s="159">
        <v>24.07</v>
      </c>
      <c r="G2887" s="160" t="s">
        <v>2</v>
      </c>
    </row>
    <row r="2888" spans="1:8" ht="33">
      <c r="A2888" s="160">
        <v>3</v>
      </c>
      <c r="B2888" s="160" t="s">
        <v>931</v>
      </c>
      <c r="C2888" s="157" t="s">
        <v>14</v>
      </c>
      <c r="D2888" s="159">
        <v>1</v>
      </c>
      <c r="E2888" s="159">
        <v>171.77</v>
      </c>
      <c r="F2888" s="159">
        <v>171.77</v>
      </c>
      <c r="G2888" s="160" t="s">
        <v>2</v>
      </c>
      <c r="H2888" s="34" t="s">
        <v>925</v>
      </c>
    </row>
    <row r="2889" spans="1:8" ht="33">
      <c r="A2889" s="160"/>
      <c r="B2889" s="160" t="s">
        <v>933</v>
      </c>
      <c r="C2889" s="157" t="s">
        <v>0</v>
      </c>
      <c r="D2889" s="159">
        <v>1</v>
      </c>
      <c r="E2889" s="159"/>
      <c r="F2889" s="159">
        <v>5897.55</v>
      </c>
      <c r="G2889" s="160"/>
      <c r="H2889" s="34" t="s">
        <v>925</v>
      </c>
    </row>
    <row r="2890" spans="1:8" ht="33">
      <c r="A2890" s="160"/>
      <c r="B2890" s="160" t="s">
        <v>934</v>
      </c>
      <c r="C2890" s="157" t="s">
        <v>0</v>
      </c>
      <c r="D2890" s="159"/>
      <c r="E2890" s="159"/>
      <c r="F2890" s="159">
        <v>5897.55</v>
      </c>
      <c r="G2890" s="160"/>
      <c r="H2890" s="34" t="s">
        <v>925</v>
      </c>
    </row>
    <row r="2891" spans="1:8" ht="33">
      <c r="A2891" s="160"/>
      <c r="B2891" s="160"/>
      <c r="C2891" s="157"/>
      <c r="D2891" s="159"/>
      <c r="E2891" s="159"/>
      <c r="F2891" s="159"/>
      <c r="G2891" s="160"/>
      <c r="H2891" s="34" t="s">
        <v>925</v>
      </c>
    </row>
    <row r="2892" spans="1:8" ht="42.75">
      <c r="A2892" s="160" t="s">
        <v>4060</v>
      </c>
      <c r="B2892" s="160" t="s">
        <v>2550</v>
      </c>
      <c r="C2892" s="157" t="s">
        <v>0</v>
      </c>
      <c r="D2892" s="159">
        <v>1</v>
      </c>
      <c r="E2892" s="159">
        <v>6240.76</v>
      </c>
      <c r="F2892" s="159"/>
      <c r="G2892" s="160" t="s">
        <v>2</v>
      </c>
      <c r="H2892" s="34" t="s">
        <v>925</v>
      </c>
    </row>
    <row r="2893" spans="1:8" ht="42.75">
      <c r="A2893" s="160">
        <v>1</v>
      </c>
      <c r="B2893" s="160" t="s">
        <v>1189</v>
      </c>
      <c r="C2893" s="157" t="s">
        <v>0</v>
      </c>
      <c r="D2893" s="159">
        <v>1</v>
      </c>
      <c r="E2893" s="159">
        <v>6034.92</v>
      </c>
      <c r="F2893" s="159">
        <v>6034.92</v>
      </c>
      <c r="G2893" s="160" t="s">
        <v>2</v>
      </c>
      <c r="H2893" s="34" t="s">
        <v>925</v>
      </c>
    </row>
    <row r="2894" spans="1:8" ht="33">
      <c r="A2894" s="160">
        <v>2</v>
      </c>
      <c r="B2894" s="160" t="s">
        <v>1159</v>
      </c>
      <c r="C2894" s="157" t="s">
        <v>0</v>
      </c>
      <c r="D2894" s="159">
        <v>1</v>
      </c>
      <c r="E2894" s="159">
        <v>24.07</v>
      </c>
      <c r="F2894" s="159">
        <v>24.07</v>
      </c>
      <c r="G2894" s="160" t="s">
        <v>2</v>
      </c>
      <c r="H2894" s="34" t="s">
        <v>925</v>
      </c>
    </row>
    <row r="2895" spans="1:8" ht="33">
      <c r="A2895" s="160">
        <v>3</v>
      </c>
      <c r="B2895" s="160" t="s">
        <v>931</v>
      </c>
      <c r="C2895" s="157" t="s">
        <v>14</v>
      </c>
      <c r="D2895" s="159">
        <v>1</v>
      </c>
      <c r="E2895" s="159">
        <v>181.77</v>
      </c>
      <c r="F2895" s="159">
        <v>181.77</v>
      </c>
      <c r="G2895" s="160" t="s">
        <v>2</v>
      </c>
      <c r="H2895" s="34" t="s">
        <v>925</v>
      </c>
    </row>
    <row r="2896" spans="1:8" ht="33">
      <c r="A2896" s="160"/>
      <c r="B2896" s="160" t="s">
        <v>933</v>
      </c>
      <c r="C2896" s="157" t="s">
        <v>0</v>
      </c>
      <c r="D2896" s="159">
        <v>1</v>
      </c>
      <c r="E2896" s="159"/>
      <c r="F2896" s="159">
        <v>6240.76</v>
      </c>
      <c r="G2896" s="160"/>
      <c r="H2896" s="34" t="s">
        <v>925</v>
      </c>
    </row>
    <row r="2897" spans="1:8" ht="33">
      <c r="A2897" s="160"/>
      <c r="B2897" s="160" t="s">
        <v>934</v>
      </c>
      <c r="C2897" s="157" t="s">
        <v>0</v>
      </c>
      <c r="D2897" s="159"/>
      <c r="E2897" s="159"/>
      <c r="F2897" s="159">
        <v>6240.76</v>
      </c>
      <c r="G2897" s="160"/>
      <c r="H2897" s="34" t="s">
        <v>925</v>
      </c>
    </row>
    <row r="2898" spans="1:8" ht="16.5">
      <c r="A2898" s="160"/>
      <c r="B2898" s="160"/>
      <c r="C2898" s="157"/>
      <c r="D2898" s="159"/>
      <c r="E2898" s="159"/>
      <c r="F2898" s="159"/>
      <c r="G2898" s="160"/>
    </row>
    <row r="2899" spans="1:8" ht="57">
      <c r="A2899" s="160" t="s">
        <v>4061</v>
      </c>
      <c r="B2899" s="160" t="s">
        <v>2553</v>
      </c>
      <c r="C2899" s="157" t="s">
        <v>0</v>
      </c>
      <c r="D2899" s="159">
        <v>1</v>
      </c>
      <c r="E2899" s="159">
        <v>6603.04</v>
      </c>
      <c r="F2899" s="159"/>
      <c r="G2899" s="160" t="s">
        <v>2</v>
      </c>
      <c r="H2899" s="34" t="s">
        <v>925</v>
      </c>
    </row>
    <row r="2900" spans="1:8" ht="42.75">
      <c r="A2900" s="160">
        <v>1</v>
      </c>
      <c r="B2900" s="160" t="s">
        <v>1176</v>
      </c>
      <c r="C2900" s="157" t="s">
        <v>0</v>
      </c>
      <c r="D2900" s="159">
        <v>1</v>
      </c>
      <c r="E2900" s="159">
        <v>6386.65</v>
      </c>
      <c r="F2900" s="159">
        <v>6386.65</v>
      </c>
      <c r="G2900" s="160" t="s">
        <v>2</v>
      </c>
      <c r="H2900" s="34" t="s">
        <v>925</v>
      </c>
    </row>
    <row r="2901" spans="1:8" ht="33">
      <c r="A2901" s="160">
        <v>2</v>
      </c>
      <c r="B2901" s="160" t="s">
        <v>1159</v>
      </c>
      <c r="C2901" s="157" t="s">
        <v>0</v>
      </c>
      <c r="D2901" s="159">
        <v>1</v>
      </c>
      <c r="E2901" s="159">
        <v>24.07</v>
      </c>
      <c r="F2901" s="159">
        <v>24.07</v>
      </c>
      <c r="G2901" s="160" t="s">
        <v>2</v>
      </c>
      <c r="H2901" s="34" t="s">
        <v>925</v>
      </c>
    </row>
    <row r="2902" spans="1:8" ht="33">
      <c r="A2902" s="160">
        <v>3</v>
      </c>
      <c r="B2902" s="160" t="s">
        <v>931</v>
      </c>
      <c r="C2902" s="157" t="s">
        <v>14</v>
      </c>
      <c r="D2902" s="159">
        <v>1</v>
      </c>
      <c r="E2902" s="159">
        <v>192.32</v>
      </c>
      <c r="F2902" s="159">
        <v>192.32</v>
      </c>
      <c r="G2902" s="160" t="s">
        <v>2</v>
      </c>
      <c r="H2902" s="34" t="s">
        <v>925</v>
      </c>
    </row>
    <row r="2903" spans="1:8" ht="33">
      <c r="A2903" s="160"/>
      <c r="B2903" s="160" t="s">
        <v>933</v>
      </c>
      <c r="C2903" s="157" t="s">
        <v>0</v>
      </c>
      <c r="D2903" s="159">
        <v>1</v>
      </c>
      <c r="E2903" s="159"/>
      <c r="F2903" s="159">
        <v>6603.0399999999991</v>
      </c>
      <c r="G2903" s="160"/>
      <c r="H2903" s="34" t="s">
        <v>925</v>
      </c>
    </row>
    <row r="2904" spans="1:8" ht="33">
      <c r="A2904" s="160"/>
      <c r="B2904" s="160" t="s">
        <v>934</v>
      </c>
      <c r="C2904" s="157" t="s">
        <v>0</v>
      </c>
      <c r="D2904" s="159"/>
      <c r="E2904" s="159"/>
      <c r="F2904" s="159">
        <v>6603.04</v>
      </c>
      <c r="G2904" s="160"/>
      <c r="H2904" s="34" t="s">
        <v>925</v>
      </c>
    </row>
    <row r="2905" spans="1:8" ht="33">
      <c r="A2905" s="160"/>
      <c r="B2905" s="160"/>
      <c r="C2905" s="157"/>
      <c r="D2905" s="159"/>
      <c r="E2905" s="159"/>
      <c r="F2905" s="159"/>
      <c r="G2905" s="160"/>
      <c r="H2905" s="34" t="s">
        <v>925</v>
      </c>
    </row>
    <row r="2906" spans="1:8" ht="42.75">
      <c r="A2906" s="160" t="s">
        <v>4062</v>
      </c>
      <c r="B2906" s="160" t="s">
        <v>2556</v>
      </c>
      <c r="C2906" s="157" t="s">
        <v>2238</v>
      </c>
      <c r="D2906" s="159">
        <v>1</v>
      </c>
      <c r="E2906" s="159">
        <v>15387.31</v>
      </c>
      <c r="F2906" s="159"/>
      <c r="G2906" s="160" t="s">
        <v>2</v>
      </c>
      <c r="H2906" s="34" t="s">
        <v>925</v>
      </c>
    </row>
    <row r="2907" spans="1:8" ht="16.5">
      <c r="A2907" s="160">
        <v>1</v>
      </c>
      <c r="B2907" s="160" t="s">
        <v>1217</v>
      </c>
      <c r="C2907" s="157" t="s">
        <v>927</v>
      </c>
      <c r="D2907" s="159">
        <v>4</v>
      </c>
      <c r="E2907" s="159">
        <v>944.11</v>
      </c>
      <c r="F2907" s="159">
        <v>3776.44</v>
      </c>
      <c r="G2907" s="160" t="s">
        <v>2</v>
      </c>
    </row>
    <row r="2908" spans="1:8" ht="33">
      <c r="A2908" s="160">
        <v>2</v>
      </c>
      <c r="B2908" s="160" t="s">
        <v>2558</v>
      </c>
      <c r="C2908" s="157" t="s">
        <v>927</v>
      </c>
      <c r="D2908" s="159">
        <v>4</v>
      </c>
      <c r="E2908" s="159">
        <v>371.17</v>
      </c>
      <c r="F2908" s="159">
        <v>1484.68</v>
      </c>
      <c r="G2908" s="160" t="s">
        <v>2</v>
      </c>
      <c r="H2908" s="34" t="s">
        <v>925</v>
      </c>
    </row>
    <row r="2909" spans="1:8" ht="33">
      <c r="A2909" s="160">
        <v>3</v>
      </c>
      <c r="B2909" s="160" t="s">
        <v>1219</v>
      </c>
      <c r="C2909" s="157" t="s">
        <v>1220</v>
      </c>
      <c r="D2909" s="159">
        <v>6</v>
      </c>
      <c r="E2909" s="159">
        <v>111.07</v>
      </c>
      <c r="F2909" s="159">
        <v>666.42</v>
      </c>
      <c r="G2909" s="160" t="s">
        <v>2</v>
      </c>
      <c r="H2909" s="34" t="s">
        <v>925</v>
      </c>
    </row>
    <row r="2910" spans="1:8" ht="33">
      <c r="A2910" s="160">
        <v>4</v>
      </c>
      <c r="B2910" s="160" t="s">
        <v>1222</v>
      </c>
      <c r="C2910" s="157" t="s">
        <v>927</v>
      </c>
      <c r="D2910" s="159">
        <v>4</v>
      </c>
      <c r="E2910" s="159">
        <v>601.64</v>
      </c>
      <c r="F2910" s="159">
        <v>2406.56</v>
      </c>
      <c r="G2910" s="160" t="s">
        <v>2</v>
      </c>
      <c r="H2910" s="34" t="s">
        <v>925</v>
      </c>
    </row>
    <row r="2911" spans="1:8" ht="33">
      <c r="A2911" s="160">
        <v>5</v>
      </c>
      <c r="B2911" s="160" t="s">
        <v>1224</v>
      </c>
      <c r="C2911" s="157" t="s">
        <v>927</v>
      </c>
      <c r="D2911" s="159">
        <v>4</v>
      </c>
      <c r="E2911" s="159">
        <v>499.82</v>
      </c>
      <c r="F2911" s="159">
        <v>1999.28</v>
      </c>
      <c r="G2911" s="160" t="s">
        <v>2</v>
      </c>
      <c r="H2911" s="34" t="s">
        <v>925</v>
      </c>
    </row>
    <row r="2912" spans="1:8" ht="33">
      <c r="A2912" s="160">
        <v>6</v>
      </c>
      <c r="B2912" s="160" t="s">
        <v>1226</v>
      </c>
      <c r="C2912" s="157" t="s">
        <v>927</v>
      </c>
      <c r="D2912" s="159">
        <v>4</v>
      </c>
      <c r="E2912" s="159">
        <v>371.17</v>
      </c>
      <c r="F2912" s="159">
        <v>1484.68</v>
      </c>
      <c r="G2912" s="160" t="s">
        <v>2</v>
      </c>
      <c r="H2912" s="34" t="s">
        <v>925</v>
      </c>
    </row>
    <row r="2913" spans="1:8" ht="33">
      <c r="A2913" s="160">
        <v>7</v>
      </c>
      <c r="B2913" s="160" t="s">
        <v>4871</v>
      </c>
      <c r="C2913" s="157" t="s">
        <v>927</v>
      </c>
      <c r="D2913" s="159">
        <v>8</v>
      </c>
      <c r="E2913" s="159">
        <v>260.08999999999997</v>
      </c>
      <c r="F2913" s="159">
        <v>2080.7199999999998</v>
      </c>
      <c r="G2913" s="160" t="s">
        <v>5435</v>
      </c>
      <c r="H2913" s="34" t="s">
        <v>925</v>
      </c>
    </row>
    <row r="2914" spans="1:8" ht="33">
      <c r="A2914" s="160">
        <v>8</v>
      </c>
      <c r="B2914" s="160" t="s">
        <v>1228</v>
      </c>
      <c r="C2914" s="157" t="s">
        <v>927</v>
      </c>
      <c r="D2914" s="159">
        <v>4</v>
      </c>
      <c r="E2914" s="159">
        <v>260.08999999999997</v>
      </c>
      <c r="F2914" s="159">
        <v>1040.3599999999999</v>
      </c>
      <c r="G2914" s="160" t="s">
        <v>2</v>
      </c>
      <c r="H2914" s="34" t="s">
        <v>925</v>
      </c>
    </row>
    <row r="2915" spans="1:8" ht="33">
      <c r="A2915" s="160">
        <v>9</v>
      </c>
      <c r="B2915" s="160" t="s">
        <v>931</v>
      </c>
      <c r="C2915" s="157" t="s">
        <v>14</v>
      </c>
      <c r="D2915" s="159">
        <v>1</v>
      </c>
      <c r="E2915" s="159">
        <v>448.17</v>
      </c>
      <c r="F2915" s="159">
        <v>448.17</v>
      </c>
      <c r="G2915" s="160" t="s">
        <v>2</v>
      </c>
      <c r="H2915" s="34" t="s">
        <v>925</v>
      </c>
    </row>
    <row r="2916" spans="1:8" ht="33">
      <c r="A2916" s="160"/>
      <c r="B2916" s="160" t="s">
        <v>933</v>
      </c>
      <c r="C2916" s="157" t="s">
        <v>2238</v>
      </c>
      <c r="D2916" s="159">
        <v>1</v>
      </c>
      <c r="E2916" s="159"/>
      <c r="F2916" s="159">
        <v>15387.310000000001</v>
      </c>
      <c r="G2916" s="160"/>
      <c r="H2916" s="34" t="s">
        <v>925</v>
      </c>
    </row>
    <row r="2917" spans="1:8" ht="33">
      <c r="A2917" s="160"/>
      <c r="B2917" s="160" t="s">
        <v>934</v>
      </c>
      <c r="C2917" s="157" t="s">
        <v>2238</v>
      </c>
      <c r="D2917" s="159"/>
      <c r="E2917" s="159"/>
      <c r="F2917" s="159">
        <v>15387.31</v>
      </c>
      <c r="G2917" s="160"/>
      <c r="H2917" s="34" t="s">
        <v>925</v>
      </c>
    </row>
    <row r="2918" spans="1:8" ht="33">
      <c r="A2918" s="160"/>
      <c r="B2918" s="160"/>
      <c r="C2918" s="157"/>
      <c r="D2918" s="159"/>
      <c r="E2918" s="159"/>
      <c r="F2918" s="159"/>
      <c r="G2918" s="160"/>
      <c r="H2918" s="34" t="s">
        <v>925</v>
      </c>
    </row>
    <row r="2919" spans="1:8" ht="42.75">
      <c r="A2919" s="160" t="s">
        <v>4063</v>
      </c>
      <c r="B2919" s="160" t="s">
        <v>2561</v>
      </c>
      <c r="C2919" s="157" t="s">
        <v>2238</v>
      </c>
      <c r="D2919" s="159">
        <v>1</v>
      </c>
      <c r="E2919" s="159">
        <v>21660.51</v>
      </c>
      <c r="F2919" s="159"/>
      <c r="G2919" s="160" t="s">
        <v>2</v>
      </c>
      <c r="H2919" s="34" t="s">
        <v>925</v>
      </c>
    </row>
    <row r="2920" spans="1:8" ht="33">
      <c r="A2920" s="160">
        <v>1</v>
      </c>
      <c r="B2920" s="160" t="s">
        <v>2563</v>
      </c>
      <c r="C2920" s="157" t="s">
        <v>927</v>
      </c>
      <c r="D2920" s="159">
        <v>4</v>
      </c>
      <c r="E2920" s="159">
        <v>742.33</v>
      </c>
      <c r="F2920" s="159">
        <v>2969.32</v>
      </c>
      <c r="G2920" s="160" t="s">
        <v>4379</v>
      </c>
      <c r="H2920" s="34" t="s">
        <v>925</v>
      </c>
    </row>
    <row r="2921" spans="1:8" ht="16.5">
      <c r="A2921" s="160">
        <v>2</v>
      </c>
      <c r="B2921" s="160" t="s">
        <v>1224</v>
      </c>
      <c r="C2921" s="157" t="s">
        <v>927</v>
      </c>
      <c r="D2921" s="159">
        <v>4</v>
      </c>
      <c r="E2921" s="159">
        <v>499.82</v>
      </c>
      <c r="F2921" s="159">
        <v>1999.28</v>
      </c>
      <c r="G2921" s="160" t="s">
        <v>2</v>
      </c>
    </row>
    <row r="2922" spans="1:8" ht="33">
      <c r="A2922" s="160">
        <v>3</v>
      </c>
      <c r="B2922" s="160" t="s">
        <v>1217</v>
      </c>
      <c r="C2922" s="157" t="s">
        <v>927</v>
      </c>
      <c r="D2922" s="159">
        <v>4</v>
      </c>
      <c r="E2922" s="159">
        <v>944.11</v>
      </c>
      <c r="F2922" s="159">
        <v>3776.44</v>
      </c>
      <c r="G2922" s="160" t="s">
        <v>2</v>
      </c>
      <c r="H2922" s="34" t="s">
        <v>925</v>
      </c>
    </row>
    <row r="2923" spans="1:8" ht="33">
      <c r="A2923" s="160">
        <v>4</v>
      </c>
      <c r="B2923" s="160" t="s">
        <v>1219</v>
      </c>
      <c r="C2923" s="157" t="s">
        <v>1220</v>
      </c>
      <c r="D2923" s="159">
        <v>6</v>
      </c>
      <c r="E2923" s="159">
        <v>111.07</v>
      </c>
      <c r="F2923" s="159">
        <v>666.42</v>
      </c>
      <c r="G2923" s="160" t="s">
        <v>2</v>
      </c>
      <c r="H2923" s="34" t="s">
        <v>925</v>
      </c>
    </row>
    <row r="2924" spans="1:8" ht="33">
      <c r="A2924" s="160">
        <v>5</v>
      </c>
      <c r="B2924" s="160" t="s">
        <v>1222</v>
      </c>
      <c r="C2924" s="157" t="s">
        <v>927</v>
      </c>
      <c r="D2924" s="159">
        <v>4</v>
      </c>
      <c r="E2924" s="159">
        <v>601.64</v>
      </c>
      <c r="F2924" s="159">
        <v>2406.56</v>
      </c>
      <c r="G2924" s="160" t="s">
        <v>2</v>
      </c>
      <c r="H2924" s="34" t="s">
        <v>925</v>
      </c>
    </row>
    <row r="2925" spans="1:8" ht="33">
      <c r="A2925" s="160">
        <v>6</v>
      </c>
      <c r="B2925" s="160" t="s">
        <v>2565</v>
      </c>
      <c r="C2925" s="157" t="s">
        <v>927</v>
      </c>
      <c r="D2925" s="159">
        <v>4</v>
      </c>
      <c r="E2925" s="159">
        <v>742.33</v>
      </c>
      <c r="F2925" s="159">
        <v>2969.32</v>
      </c>
      <c r="G2925" s="160" t="s">
        <v>2</v>
      </c>
      <c r="H2925" s="34" t="s">
        <v>925</v>
      </c>
    </row>
    <row r="2926" spans="1:8" ht="33">
      <c r="A2926" s="160">
        <v>7</v>
      </c>
      <c r="B2926" s="160" t="s">
        <v>4874</v>
      </c>
      <c r="C2926" s="157" t="s">
        <v>927</v>
      </c>
      <c r="D2926" s="159">
        <v>8</v>
      </c>
      <c r="E2926" s="159">
        <v>520.19000000000005</v>
      </c>
      <c r="F2926" s="159">
        <v>4161.5200000000004</v>
      </c>
      <c r="G2926" s="160" t="s">
        <v>5436</v>
      </c>
      <c r="H2926" s="34" t="s">
        <v>925</v>
      </c>
    </row>
    <row r="2927" spans="1:8" ht="33">
      <c r="A2927" s="160">
        <v>8</v>
      </c>
      <c r="B2927" s="160" t="s">
        <v>2567</v>
      </c>
      <c r="C2927" s="157" t="s">
        <v>927</v>
      </c>
      <c r="D2927" s="159">
        <v>4</v>
      </c>
      <c r="E2927" s="159">
        <v>520.19000000000005</v>
      </c>
      <c r="F2927" s="159">
        <v>2080.7600000000002</v>
      </c>
      <c r="G2927" s="160" t="s">
        <v>2</v>
      </c>
      <c r="H2927" s="34" t="s">
        <v>925</v>
      </c>
    </row>
    <row r="2928" spans="1:8" ht="33">
      <c r="A2928" s="160">
        <v>9</v>
      </c>
      <c r="B2928" s="160" t="s">
        <v>931</v>
      </c>
      <c r="C2928" s="157" t="s">
        <v>14</v>
      </c>
      <c r="D2928" s="159">
        <v>1</v>
      </c>
      <c r="E2928" s="159">
        <v>630.89</v>
      </c>
      <c r="F2928" s="159">
        <v>630.89</v>
      </c>
      <c r="G2928" s="160" t="s">
        <v>2</v>
      </c>
      <c r="H2928" s="34" t="s">
        <v>925</v>
      </c>
    </row>
    <row r="2929" spans="1:8" ht="33">
      <c r="A2929" s="160"/>
      <c r="B2929" s="160" t="s">
        <v>933</v>
      </c>
      <c r="C2929" s="157" t="s">
        <v>2238</v>
      </c>
      <c r="D2929" s="159">
        <v>1</v>
      </c>
      <c r="E2929" s="159"/>
      <c r="F2929" s="159">
        <v>21660.510000000002</v>
      </c>
      <c r="G2929" s="160"/>
      <c r="H2929" s="34" t="s">
        <v>925</v>
      </c>
    </row>
    <row r="2930" spans="1:8" ht="33">
      <c r="A2930" s="160"/>
      <c r="B2930" s="160" t="s">
        <v>934</v>
      </c>
      <c r="C2930" s="157" t="s">
        <v>2238</v>
      </c>
      <c r="D2930" s="159"/>
      <c r="E2930" s="159"/>
      <c r="F2930" s="159">
        <v>21660.51</v>
      </c>
      <c r="G2930" s="160"/>
      <c r="H2930" s="34" t="s">
        <v>925</v>
      </c>
    </row>
    <row r="2931" spans="1:8" ht="33">
      <c r="A2931" s="160"/>
      <c r="B2931" s="160"/>
      <c r="C2931" s="157"/>
      <c r="D2931" s="159"/>
      <c r="E2931" s="159"/>
      <c r="F2931" s="159"/>
      <c r="G2931" s="160"/>
      <c r="H2931" s="34" t="s">
        <v>925</v>
      </c>
    </row>
    <row r="2932" spans="1:8" ht="33">
      <c r="A2932" s="160" t="s">
        <v>5004</v>
      </c>
      <c r="B2932" s="160" t="s">
        <v>2570</v>
      </c>
      <c r="C2932" s="157" t="s">
        <v>17</v>
      </c>
      <c r="D2932" s="159">
        <v>10</v>
      </c>
      <c r="E2932" s="159">
        <v>6082.92</v>
      </c>
      <c r="F2932" s="159"/>
      <c r="G2932" s="160" t="s">
        <v>2</v>
      </c>
      <c r="H2932" s="34" t="s">
        <v>925</v>
      </c>
    </row>
    <row r="2933" spans="1:8" ht="33">
      <c r="A2933" s="160">
        <v>1</v>
      </c>
      <c r="B2933" s="160" t="s">
        <v>985</v>
      </c>
      <c r="C2933" s="157" t="s">
        <v>1</v>
      </c>
      <c r="D2933" s="159">
        <v>4</v>
      </c>
      <c r="E2933" s="159">
        <v>600.08000000000004</v>
      </c>
      <c r="F2933" s="159">
        <v>2400.3200000000002</v>
      </c>
      <c r="G2933" s="160" t="s">
        <v>980</v>
      </c>
      <c r="H2933" s="34" t="s">
        <v>925</v>
      </c>
    </row>
    <row r="2934" spans="1:8" ht="33">
      <c r="A2934" s="160">
        <v>2</v>
      </c>
      <c r="B2934" s="160" t="s">
        <v>950</v>
      </c>
      <c r="C2934" s="157" t="s">
        <v>1</v>
      </c>
      <c r="D2934" s="159">
        <v>6</v>
      </c>
      <c r="E2934" s="159">
        <v>45.31</v>
      </c>
      <c r="F2934" s="159">
        <v>271.86</v>
      </c>
      <c r="G2934" s="160" t="s">
        <v>970</v>
      </c>
      <c r="H2934" s="34" t="s">
        <v>925</v>
      </c>
    </row>
    <row r="2935" spans="1:8" ht="28.5">
      <c r="A2935" s="160">
        <v>3</v>
      </c>
      <c r="B2935" s="160" t="s">
        <v>26</v>
      </c>
      <c r="C2935" s="157" t="s">
        <v>1</v>
      </c>
      <c r="D2935" s="159">
        <v>10</v>
      </c>
      <c r="E2935" s="159">
        <v>663.18</v>
      </c>
      <c r="F2935" s="159">
        <v>6631.8</v>
      </c>
      <c r="G2935" s="160" t="s">
        <v>1117</v>
      </c>
    </row>
    <row r="2936" spans="1:8" ht="57">
      <c r="A2936" s="160">
        <v>4</v>
      </c>
      <c r="B2936" s="160" t="s">
        <v>4519</v>
      </c>
      <c r="C2936" s="157" t="s">
        <v>0</v>
      </c>
      <c r="D2936" s="159">
        <v>7</v>
      </c>
      <c r="E2936" s="159">
        <v>1625.82</v>
      </c>
      <c r="F2936" s="159">
        <v>11380.74</v>
      </c>
      <c r="G2936" s="160" t="s">
        <v>5472</v>
      </c>
      <c r="H2936" s="34" t="s">
        <v>925</v>
      </c>
    </row>
    <row r="2937" spans="1:8" ht="42.75">
      <c r="A2937" s="160">
        <v>5</v>
      </c>
      <c r="B2937" s="160" t="s">
        <v>3640</v>
      </c>
      <c r="C2937" s="157" t="s">
        <v>0</v>
      </c>
      <c r="D2937" s="159">
        <v>1.5</v>
      </c>
      <c r="E2937" s="159">
        <v>7585.76</v>
      </c>
      <c r="F2937" s="159">
        <v>11378.64</v>
      </c>
      <c r="G2937" s="160" t="s">
        <v>1202</v>
      </c>
      <c r="H2937" s="34" t="s">
        <v>925</v>
      </c>
    </row>
    <row r="2938" spans="1:8" ht="33">
      <c r="A2938" s="160">
        <v>6</v>
      </c>
      <c r="B2938" s="160" t="s">
        <v>3639</v>
      </c>
      <c r="C2938" s="157" t="s">
        <v>0</v>
      </c>
      <c r="D2938" s="159">
        <v>0.51</v>
      </c>
      <c r="E2938" s="159">
        <v>7642.97</v>
      </c>
      <c r="F2938" s="159">
        <v>3897.91</v>
      </c>
      <c r="G2938" s="160" t="s">
        <v>1191</v>
      </c>
      <c r="H2938" s="34" t="s">
        <v>925</v>
      </c>
    </row>
    <row r="2939" spans="1:8" ht="33">
      <c r="A2939" s="160">
        <v>7</v>
      </c>
      <c r="B2939" s="160" t="s">
        <v>1149</v>
      </c>
      <c r="C2939" s="157" t="s">
        <v>3</v>
      </c>
      <c r="D2939" s="159">
        <v>10</v>
      </c>
      <c r="E2939" s="159">
        <v>16.329999999999998</v>
      </c>
      <c r="F2939" s="159">
        <v>163.30000000000001</v>
      </c>
      <c r="G2939" s="160" t="s">
        <v>1178</v>
      </c>
      <c r="H2939" s="34" t="s">
        <v>925</v>
      </c>
    </row>
    <row r="2940" spans="1:8" ht="33">
      <c r="A2940" s="160">
        <v>8</v>
      </c>
      <c r="B2940" s="160" t="s">
        <v>1140</v>
      </c>
      <c r="C2940" s="157" t="s">
        <v>3</v>
      </c>
      <c r="D2940" s="159">
        <v>10</v>
      </c>
      <c r="E2940" s="159">
        <v>41.08</v>
      </c>
      <c r="F2940" s="159">
        <v>410.8</v>
      </c>
      <c r="G2940" s="160" t="s">
        <v>1173</v>
      </c>
      <c r="H2940" s="34" t="s">
        <v>925</v>
      </c>
    </row>
    <row r="2941" spans="1:8" ht="28.5">
      <c r="A2941" s="160">
        <v>9</v>
      </c>
      <c r="B2941" s="160" t="s">
        <v>1250</v>
      </c>
      <c r="C2941" s="157" t="s">
        <v>17</v>
      </c>
      <c r="D2941" s="159">
        <v>20</v>
      </c>
      <c r="E2941" s="159">
        <v>71.48</v>
      </c>
      <c r="F2941" s="159">
        <v>1429.6</v>
      </c>
      <c r="G2941" s="160" t="s">
        <v>1325</v>
      </c>
    </row>
    <row r="2942" spans="1:8" ht="33">
      <c r="A2942" s="160">
        <v>10</v>
      </c>
      <c r="B2942" s="160" t="s">
        <v>2572</v>
      </c>
      <c r="C2942" s="157" t="s">
        <v>14</v>
      </c>
      <c r="D2942" s="159">
        <v>1</v>
      </c>
      <c r="E2942" s="159">
        <v>1203.28</v>
      </c>
      <c r="F2942" s="159">
        <v>1203.28</v>
      </c>
      <c r="G2942" s="160" t="s">
        <v>2</v>
      </c>
      <c r="H2942" s="34" t="s">
        <v>925</v>
      </c>
    </row>
    <row r="2943" spans="1:8" ht="33">
      <c r="A2943" s="160">
        <v>11</v>
      </c>
      <c r="B2943" s="160" t="s">
        <v>2574</v>
      </c>
      <c r="C2943" s="157" t="s">
        <v>14</v>
      </c>
      <c r="D2943" s="159">
        <v>1</v>
      </c>
      <c r="E2943" s="159">
        <v>1851.2</v>
      </c>
      <c r="F2943" s="159">
        <v>1851.2</v>
      </c>
      <c r="G2943" s="160" t="s">
        <v>2</v>
      </c>
      <c r="H2943" s="34" t="s">
        <v>925</v>
      </c>
    </row>
    <row r="2944" spans="1:8" ht="42.75">
      <c r="A2944" s="160">
        <v>12</v>
      </c>
      <c r="B2944" s="160" t="s">
        <v>2287</v>
      </c>
      <c r="C2944" s="157" t="s">
        <v>14</v>
      </c>
      <c r="D2944" s="159">
        <v>1</v>
      </c>
      <c r="E2944" s="159">
        <v>18049.23</v>
      </c>
      <c r="F2944" s="159">
        <v>18049.23</v>
      </c>
      <c r="G2944" s="160" t="s">
        <v>5461</v>
      </c>
      <c r="H2944" s="34" t="s">
        <v>925</v>
      </c>
    </row>
    <row r="2945" spans="1:8" ht="33">
      <c r="A2945" s="160">
        <v>13</v>
      </c>
      <c r="B2945" s="160" t="s">
        <v>931</v>
      </c>
      <c r="C2945" s="157" t="s">
        <v>14</v>
      </c>
      <c r="D2945" s="159">
        <v>1</v>
      </c>
      <c r="E2945" s="159">
        <v>1760.48</v>
      </c>
      <c r="F2945" s="159">
        <v>1760.48</v>
      </c>
      <c r="G2945" s="160" t="s">
        <v>2</v>
      </c>
      <c r="H2945" s="34" t="s">
        <v>925</v>
      </c>
    </row>
    <row r="2946" spans="1:8" ht="33">
      <c r="A2946" s="160"/>
      <c r="B2946" s="160" t="s">
        <v>933</v>
      </c>
      <c r="C2946" s="157" t="s">
        <v>17</v>
      </c>
      <c r="D2946" s="159">
        <v>10</v>
      </c>
      <c r="E2946" s="159"/>
      <c r="F2946" s="159">
        <v>60829.160000000011</v>
      </c>
      <c r="G2946" s="160"/>
      <c r="H2946" s="34" t="s">
        <v>925</v>
      </c>
    </row>
    <row r="2947" spans="1:8" ht="33">
      <c r="A2947" s="160"/>
      <c r="B2947" s="160" t="s">
        <v>934</v>
      </c>
      <c r="C2947" s="157" t="s">
        <v>17</v>
      </c>
      <c r="D2947" s="159"/>
      <c r="E2947" s="159"/>
      <c r="F2947" s="159">
        <v>6082.92</v>
      </c>
      <c r="G2947" s="160"/>
      <c r="H2947" s="34" t="s">
        <v>925</v>
      </c>
    </row>
    <row r="2948" spans="1:8" ht="16.5">
      <c r="A2948" s="160"/>
      <c r="B2948" s="160"/>
      <c r="C2948" s="157"/>
      <c r="D2948" s="159"/>
      <c r="E2948" s="159"/>
      <c r="F2948" s="159"/>
      <c r="G2948" s="160"/>
    </row>
    <row r="2949" spans="1:8" ht="28.5">
      <c r="A2949" s="160" t="s">
        <v>5011</v>
      </c>
      <c r="B2949" s="160" t="s">
        <v>2577</v>
      </c>
      <c r="C2949" s="157" t="s">
        <v>17</v>
      </c>
      <c r="D2949" s="159">
        <v>10</v>
      </c>
      <c r="E2949" s="159">
        <v>6636.47</v>
      </c>
      <c r="F2949" s="159"/>
      <c r="G2949" s="160" t="s">
        <v>2</v>
      </c>
    </row>
    <row r="2950" spans="1:8" ht="42.75">
      <c r="A2950" s="160">
        <v>1</v>
      </c>
      <c r="B2950" s="160" t="s">
        <v>2579</v>
      </c>
      <c r="C2950" s="157" t="s">
        <v>1</v>
      </c>
      <c r="D2950" s="159">
        <v>6</v>
      </c>
      <c r="E2950" s="159">
        <v>63.21</v>
      </c>
      <c r="F2950" s="159">
        <v>379.26</v>
      </c>
      <c r="G2950" s="160" t="s">
        <v>974</v>
      </c>
    </row>
    <row r="2951" spans="1:8" ht="28.5">
      <c r="A2951" s="160">
        <v>2</v>
      </c>
      <c r="B2951" s="160" t="s">
        <v>2214</v>
      </c>
      <c r="C2951" s="157" t="s">
        <v>1</v>
      </c>
      <c r="D2951" s="159">
        <v>4</v>
      </c>
      <c r="E2951" s="159">
        <v>1382.35</v>
      </c>
      <c r="F2951" s="159">
        <v>5529.4</v>
      </c>
      <c r="G2951" s="160" t="s">
        <v>982</v>
      </c>
    </row>
    <row r="2952" spans="1:8" ht="28.5">
      <c r="A2952" s="160">
        <v>3</v>
      </c>
      <c r="B2952" s="160" t="s">
        <v>2216</v>
      </c>
      <c r="C2952" s="157" t="s">
        <v>1</v>
      </c>
      <c r="D2952" s="159">
        <v>10</v>
      </c>
      <c r="E2952" s="159">
        <v>784.56</v>
      </c>
      <c r="F2952" s="159">
        <v>7845.6</v>
      </c>
      <c r="G2952" s="160" t="s">
        <v>2</v>
      </c>
    </row>
    <row r="2953" spans="1:8" ht="57">
      <c r="A2953" s="160">
        <v>4</v>
      </c>
      <c r="B2953" s="160" t="s">
        <v>4519</v>
      </c>
      <c r="C2953" s="157" t="s">
        <v>0</v>
      </c>
      <c r="D2953" s="159">
        <v>7</v>
      </c>
      <c r="E2953" s="159">
        <v>1625.82</v>
      </c>
      <c r="F2953" s="159">
        <v>11380.74</v>
      </c>
      <c r="G2953" s="160" t="s">
        <v>5472</v>
      </c>
    </row>
    <row r="2954" spans="1:8" ht="42.75">
      <c r="A2954" s="160">
        <v>5</v>
      </c>
      <c r="B2954" s="160" t="s">
        <v>4048</v>
      </c>
      <c r="C2954" s="157" t="s">
        <v>0</v>
      </c>
      <c r="D2954" s="159">
        <v>1.5</v>
      </c>
      <c r="E2954" s="159">
        <v>8045.56</v>
      </c>
      <c r="F2954" s="159">
        <v>12068.34</v>
      </c>
      <c r="G2954" s="160" t="s">
        <v>1214</v>
      </c>
    </row>
    <row r="2955" spans="1:8" ht="42.75">
      <c r="A2955" s="160">
        <v>6</v>
      </c>
      <c r="B2955" s="160" t="s">
        <v>4049</v>
      </c>
      <c r="C2955" s="157" t="s">
        <v>0</v>
      </c>
      <c r="D2955" s="159">
        <v>0.51</v>
      </c>
      <c r="E2955" s="159">
        <v>8102.76</v>
      </c>
      <c r="F2955" s="159">
        <v>4132.41</v>
      </c>
      <c r="G2955" s="160" t="s">
        <v>5473</v>
      </c>
    </row>
    <row r="2956" spans="1:8" ht="28.5">
      <c r="A2956" s="160">
        <v>7</v>
      </c>
      <c r="B2956" s="160" t="s">
        <v>1149</v>
      </c>
      <c r="C2956" s="157" t="s">
        <v>3</v>
      </c>
      <c r="D2956" s="159">
        <v>10</v>
      </c>
      <c r="E2956" s="159">
        <v>16.329999999999998</v>
      </c>
      <c r="F2956" s="159">
        <v>163.30000000000001</v>
      </c>
      <c r="G2956" s="160" t="s">
        <v>1178</v>
      </c>
    </row>
    <row r="2957" spans="1:8" ht="28.5">
      <c r="A2957" s="160">
        <v>8</v>
      </c>
      <c r="B2957" s="160" t="s">
        <v>1140</v>
      </c>
      <c r="C2957" s="157" t="s">
        <v>3</v>
      </c>
      <c r="D2957" s="159">
        <v>10</v>
      </c>
      <c r="E2957" s="159">
        <v>41.08</v>
      </c>
      <c r="F2957" s="159">
        <v>410.8</v>
      </c>
      <c r="G2957" s="160" t="s">
        <v>1173</v>
      </c>
    </row>
    <row r="2958" spans="1:8" ht="28.5">
      <c r="A2958" s="160">
        <v>9</v>
      </c>
      <c r="B2958" s="160" t="s">
        <v>1250</v>
      </c>
      <c r="C2958" s="157" t="s">
        <v>17</v>
      </c>
      <c r="D2958" s="159">
        <v>20</v>
      </c>
      <c r="E2958" s="159">
        <v>71.48</v>
      </c>
      <c r="F2958" s="159">
        <v>1429.6</v>
      </c>
      <c r="G2958" s="160" t="s">
        <v>1325</v>
      </c>
    </row>
    <row r="2959" spans="1:8" ht="28.5">
      <c r="A2959" s="160">
        <v>10</v>
      </c>
      <c r="B2959" s="160" t="s">
        <v>2572</v>
      </c>
      <c r="C2959" s="157" t="s">
        <v>14</v>
      </c>
      <c r="D2959" s="159">
        <v>1</v>
      </c>
      <c r="E2959" s="159">
        <v>1203.28</v>
      </c>
      <c r="F2959" s="159">
        <v>1203.28</v>
      </c>
      <c r="G2959" s="160" t="s">
        <v>2</v>
      </c>
    </row>
    <row r="2960" spans="1:8" ht="16.5">
      <c r="A2960" s="160">
        <v>11</v>
      </c>
      <c r="B2960" s="160" t="s">
        <v>2574</v>
      </c>
      <c r="C2960" s="157" t="s">
        <v>14</v>
      </c>
      <c r="D2960" s="159">
        <v>1</v>
      </c>
      <c r="E2960" s="159">
        <v>1851.2</v>
      </c>
      <c r="F2960" s="159">
        <v>1851.2</v>
      </c>
      <c r="G2960" s="160" t="s">
        <v>2</v>
      </c>
    </row>
    <row r="2961" spans="1:7" ht="42.75">
      <c r="A2961" s="160">
        <v>12</v>
      </c>
      <c r="B2961" s="160" t="s">
        <v>2287</v>
      </c>
      <c r="C2961" s="157" t="s">
        <v>14</v>
      </c>
      <c r="D2961" s="159">
        <v>1</v>
      </c>
      <c r="E2961" s="159">
        <v>18049.23</v>
      </c>
      <c r="F2961" s="159">
        <v>18049.23</v>
      </c>
      <c r="G2961" s="160" t="s">
        <v>5461</v>
      </c>
    </row>
    <row r="2962" spans="1:7" ht="16.5">
      <c r="A2962" s="160">
        <v>13</v>
      </c>
      <c r="B2962" s="160" t="s">
        <v>931</v>
      </c>
      <c r="C2962" s="157" t="s">
        <v>14</v>
      </c>
      <c r="D2962" s="159">
        <v>1</v>
      </c>
      <c r="E2962" s="159">
        <v>1921.56</v>
      </c>
      <c r="F2962" s="159">
        <v>1921.56</v>
      </c>
      <c r="G2962" s="160" t="s">
        <v>2</v>
      </c>
    </row>
    <row r="2963" spans="1:7" ht="16.5">
      <c r="A2963" s="160"/>
      <c r="B2963" s="160" t="s">
        <v>933</v>
      </c>
      <c r="C2963" s="157" t="s">
        <v>17</v>
      </c>
      <c r="D2963" s="159">
        <v>10</v>
      </c>
      <c r="E2963" s="159"/>
      <c r="F2963" s="159">
        <v>66364.72</v>
      </c>
      <c r="G2963" s="160"/>
    </row>
    <row r="2964" spans="1:7" ht="16.5">
      <c r="A2964" s="160"/>
      <c r="B2964" s="160" t="s">
        <v>934</v>
      </c>
      <c r="C2964" s="157" t="s">
        <v>17</v>
      </c>
      <c r="D2964" s="159"/>
      <c r="E2964" s="159"/>
      <c r="F2964" s="159">
        <v>6636.47</v>
      </c>
      <c r="G2964" s="160"/>
    </row>
    <row r="2965" spans="1:7" ht="16.5">
      <c r="A2965" s="160"/>
      <c r="B2965" s="160"/>
      <c r="C2965" s="157"/>
      <c r="D2965" s="159"/>
      <c r="E2965" s="159"/>
      <c r="F2965" s="159"/>
      <c r="G2965" s="160"/>
    </row>
    <row r="2966" spans="1:7" ht="28.5">
      <c r="A2966" s="160" t="s">
        <v>5015</v>
      </c>
      <c r="B2966" s="160" t="s">
        <v>2584</v>
      </c>
      <c r="C2966" s="157" t="s">
        <v>17</v>
      </c>
      <c r="D2966" s="159">
        <v>10</v>
      </c>
      <c r="E2966" s="159">
        <v>7565.81</v>
      </c>
      <c r="F2966" s="159"/>
      <c r="G2966" s="160" t="s">
        <v>2</v>
      </c>
    </row>
    <row r="2967" spans="1:7" ht="28.5">
      <c r="A2967" s="160">
        <v>1</v>
      </c>
      <c r="B2967" s="160" t="s">
        <v>950</v>
      </c>
      <c r="C2967" s="157" t="s">
        <v>1</v>
      </c>
      <c r="D2967" s="159">
        <v>9</v>
      </c>
      <c r="E2967" s="159">
        <v>45.31</v>
      </c>
      <c r="F2967" s="159">
        <v>407.79</v>
      </c>
      <c r="G2967" s="160" t="s">
        <v>970</v>
      </c>
    </row>
    <row r="2968" spans="1:7" ht="28.5">
      <c r="A2968" s="160">
        <v>2</v>
      </c>
      <c r="B2968" s="160" t="s">
        <v>985</v>
      </c>
      <c r="C2968" s="157" t="s">
        <v>1</v>
      </c>
      <c r="D2968" s="159">
        <v>6</v>
      </c>
      <c r="E2968" s="159">
        <v>600.08000000000004</v>
      </c>
      <c r="F2968" s="159">
        <v>3600.48</v>
      </c>
      <c r="G2968" s="160" t="s">
        <v>980</v>
      </c>
    </row>
    <row r="2969" spans="1:7" ht="28.5">
      <c r="A2969" s="160">
        <v>3</v>
      </c>
      <c r="B2969" s="160" t="s">
        <v>26</v>
      </c>
      <c r="C2969" s="157" t="s">
        <v>1</v>
      </c>
      <c r="D2969" s="159">
        <v>15</v>
      </c>
      <c r="E2969" s="159">
        <v>663.18</v>
      </c>
      <c r="F2969" s="159">
        <v>9947.7000000000007</v>
      </c>
      <c r="G2969" s="160" t="s">
        <v>1117</v>
      </c>
    </row>
    <row r="2970" spans="1:7" ht="57">
      <c r="A2970" s="160">
        <v>4</v>
      </c>
      <c r="B2970" s="160" t="s">
        <v>4519</v>
      </c>
      <c r="C2970" s="157" t="s">
        <v>0</v>
      </c>
      <c r="D2970" s="159">
        <v>13</v>
      </c>
      <c r="E2970" s="159">
        <v>1625.82</v>
      </c>
      <c r="F2970" s="159">
        <v>21135.66</v>
      </c>
      <c r="G2970" s="160" t="s">
        <v>5472</v>
      </c>
    </row>
    <row r="2971" spans="1:7" ht="42.75">
      <c r="A2971" s="160">
        <v>5</v>
      </c>
      <c r="B2971" s="160" t="s">
        <v>3640</v>
      </c>
      <c r="C2971" s="157" t="s">
        <v>0</v>
      </c>
      <c r="D2971" s="159">
        <v>1.5</v>
      </c>
      <c r="E2971" s="159">
        <v>7585.76</v>
      </c>
      <c r="F2971" s="159">
        <v>11378.64</v>
      </c>
      <c r="G2971" s="160" t="s">
        <v>1202</v>
      </c>
    </row>
    <row r="2972" spans="1:7" ht="28.5">
      <c r="A2972" s="160">
        <v>6</v>
      </c>
      <c r="B2972" s="160" t="s">
        <v>3639</v>
      </c>
      <c r="C2972" s="157" t="s">
        <v>0</v>
      </c>
      <c r="D2972" s="159">
        <v>0.51</v>
      </c>
      <c r="E2972" s="159">
        <v>7642.97</v>
      </c>
      <c r="F2972" s="159">
        <v>3897.91</v>
      </c>
      <c r="G2972" s="160" t="s">
        <v>1191</v>
      </c>
    </row>
    <row r="2973" spans="1:7" ht="28.5">
      <c r="A2973" s="160">
        <v>7</v>
      </c>
      <c r="B2973" s="160" t="s">
        <v>1149</v>
      </c>
      <c r="C2973" s="157" t="s">
        <v>3</v>
      </c>
      <c r="D2973" s="159">
        <v>10</v>
      </c>
      <c r="E2973" s="159">
        <v>16.329999999999998</v>
      </c>
      <c r="F2973" s="159">
        <v>163.30000000000001</v>
      </c>
      <c r="G2973" s="160" t="s">
        <v>1178</v>
      </c>
    </row>
    <row r="2974" spans="1:7" ht="28.5">
      <c r="A2974" s="160">
        <v>8</v>
      </c>
      <c r="B2974" s="160" t="s">
        <v>1140</v>
      </c>
      <c r="C2974" s="157" t="s">
        <v>3</v>
      </c>
      <c r="D2974" s="159">
        <v>10</v>
      </c>
      <c r="E2974" s="159">
        <v>41.08</v>
      </c>
      <c r="F2974" s="159">
        <v>410.8</v>
      </c>
      <c r="G2974" s="160" t="s">
        <v>1173</v>
      </c>
    </row>
    <row r="2975" spans="1:7" ht="28.5">
      <c r="A2975" s="160">
        <v>9</v>
      </c>
      <c r="B2975" s="160" t="s">
        <v>1250</v>
      </c>
      <c r="C2975" s="157" t="s">
        <v>17</v>
      </c>
      <c r="D2975" s="159">
        <v>20</v>
      </c>
      <c r="E2975" s="159">
        <v>71.48</v>
      </c>
      <c r="F2975" s="159">
        <v>1429.6</v>
      </c>
      <c r="G2975" s="160" t="s">
        <v>1325</v>
      </c>
    </row>
    <row r="2976" spans="1:7" ht="28.5">
      <c r="A2976" s="160">
        <v>10</v>
      </c>
      <c r="B2976" s="160" t="s">
        <v>2572</v>
      </c>
      <c r="C2976" s="157" t="s">
        <v>14</v>
      </c>
      <c r="D2976" s="159">
        <v>1</v>
      </c>
      <c r="E2976" s="159">
        <v>1203.28</v>
      </c>
      <c r="F2976" s="159">
        <v>1203.28</v>
      </c>
      <c r="G2976" s="160" t="s">
        <v>2</v>
      </c>
    </row>
    <row r="2977" spans="1:7" ht="16.5">
      <c r="A2977" s="160">
        <v>11</v>
      </c>
      <c r="B2977" s="160" t="s">
        <v>2574</v>
      </c>
      <c r="C2977" s="157" t="s">
        <v>14</v>
      </c>
      <c r="D2977" s="159">
        <v>1</v>
      </c>
      <c r="E2977" s="159">
        <v>1851.2</v>
      </c>
      <c r="F2977" s="159">
        <v>1851.2</v>
      </c>
      <c r="G2977" s="160" t="s">
        <v>2</v>
      </c>
    </row>
    <row r="2978" spans="1:7" ht="42.75">
      <c r="A2978" s="160">
        <v>12</v>
      </c>
      <c r="B2978" s="160" t="s">
        <v>2287</v>
      </c>
      <c r="C2978" s="157" t="s">
        <v>14</v>
      </c>
      <c r="D2978" s="159">
        <v>1</v>
      </c>
      <c r="E2978" s="159">
        <v>18049.23</v>
      </c>
      <c r="F2978" s="159">
        <v>18049.23</v>
      </c>
      <c r="G2978" s="160" t="s">
        <v>5461</v>
      </c>
    </row>
    <row r="2979" spans="1:7" ht="16.5">
      <c r="A2979" s="160">
        <v>13</v>
      </c>
      <c r="B2979" s="160" t="s">
        <v>931</v>
      </c>
      <c r="C2979" s="157" t="s">
        <v>14</v>
      </c>
      <c r="D2979" s="159">
        <v>1</v>
      </c>
      <c r="E2979" s="159">
        <v>2182.5500000000002</v>
      </c>
      <c r="F2979" s="159">
        <v>2182.5500000000002</v>
      </c>
      <c r="G2979" s="160" t="s">
        <v>2</v>
      </c>
    </row>
    <row r="2980" spans="1:7" ht="16.5">
      <c r="A2980" s="160"/>
      <c r="B2980" s="160" t="s">
        <v>933</v>
      </c>
      <c r="C2980" s="157" t="s">
        <v>17</v>
      </c>
      <c r="D2980" s="159">
        <v>10</v>
      </c>
      <c r="E2980" s="159"/>
      <c r="F2980" s="159">
        <v>75658.140000000014</v>
      </c>
      <c r="G2980" s="160"/>
    </row>
    <row r="2981" spans="1:7" ht="16.5">
      <c r="A2981" s="160"/>
      <c r="B2981" s="160" t="s">
        <v>934</v>
      </c>
      <c r="C2981" s="157" t="s">
        <v>17</v>
      </c>
      <c r="D2981" s="159"/>
      <c r="E2981" s="159"/>
      <c r="F2981" s="159">
        <v>7565.81</v>
      </c>
      <c r="G2981" s="160"/>
    </row>
    <row r="2982" spans="1:7" ht="16.5">
      <c r="A2982" s="160"/>
      <c r="B2982" s="160"/>
      <c r="C2982" s="157"/>
      <c r="D2982" s="159"/>
      <c r="E2982" s="159"/>
      <c r="F2982" s="159"/>
      <c r="G2982" s="160"/>
    </row>
    <row r="2983" spans="1:7" ht="28.5">
      <c r="A2983" s="160" t="s">
        <v>5016</v>
      </c>
      <c r="B2983" s="160" t="s">
        <v>2587</v>
      </c>
      <c r="C2983" s="157" t="s">
        <v>17</v>
      </c>
      <c r="D2983" s="159">
        <v>10</v>
      </c>
      <c r="E2983" s="159">
        <v>8348.57</v>
      </c>
      <c r="F2983" s="159"/>
      <c r="G2983" s="160" t="s">
        <v>2</v>
      </c>
    </row>
    <row r="2984" spans="1:7" ht="42.75">
      <c r="A2984" s="160">
        <v>1</v>
      </c>
      <c r="B2984" s="160" t="s">
        <v>2579</v>
      </c>
      <c r="C2984" s="157" t="s">
        <v>1</v>
      </c>
      <c r="D2984" s="159">
        <v>9</v>
      </c>
      <c r="E2984" s="159">
        <v>63.21</v>
      </c>
      <c r="F2984" s="159">
        <v>568.89</v>
      </c>
      <c r="G2984" s="160" t="s">
        <v>974</v>
      </c>
    </row>
    <row r="2985" spans="1:7" ht="28.5">
      <c r="A2985" s="160">
        <v>2</v>
      </c>
      <c r="B2985" s="160" t="s">
        <v>2214</v>
      </c>
      <c r="C2985" s="157" t="s">
        <v>1</v>
      </c>
      <c r="D2985" s="159">
        <v>6</v>
      </c>
      <c r="E2985" s="159">
        <v>1382.35</v>
      </c>
      <c r="F2985" s="159">
        <v>8294.1</v>
      </c>
      <c r="G2985" s="160" t="s">
        <v>982</v>
      </c>
    </row>
    <row r="2986" spans="1:7" ht="28.5">
      <c r="A2986" s="160">
        <v>3</v>
      </c>
      <c r="B2986" s="160" t="s">
        <v>2216</v>
      </c>
      <c r="C2986" s="157" t="s">
        <v>1</v>
      </c>
      <c r="D2986" s="159">
        <v>15</v>
      </c>
      <c r="E2986" s="159">
        <v>784.56</v>
      </c>
      <c r="F2986" s="159">
        <v>11768.4</v>
      </c>
      <c r="G2986" s="160" t="s">
        <v>2</v>
      </c>
    </row>
    <row r="2987" spans="1:7" ht="57">
      <c r="A2987" s="160">
        <v>4</v>
      </c>
      <c r="B2987" s="160" t="s">
        <v>4519</v>
      </c>
      <c r="C2987" s="157" t="s">
        <v>0</v>
      </c>
      <c r="D2987" s="159">
        <v>13</v>
      </c>
      <c r="E2987" s="159">
        <v>1625.82</v>
      </c>
      <c r="F2987" s="159">
        <v>21135.66</v>
      </c>
      <c r="G2987" s="160" t="s">
        <v>5472</v>
      </c>
    </row>
    <row r="2988" spans="1:7" ht="42.75">
      <c r="A2988" s="160">
        <v>5</v>
      </c>
      <c r="B2988" s="160" t="s">
        <v>4049</v>
      </c>
      <c r="C2988" s="157" t="s">
        <v>0</v>
      </c>
      <c r="D2988" s="159">
        <v>0.51</v>
      </c>
      <c r="E2988" s="159">
        <v>8102.76</v>
      </c>
      <c r="F2988" s="159">
        <v>4132.41</v>
      </c>
      <c r="G2988" s="160" t="s">
        <v>5473</v>
      </c>
    </row>
    <row r="2989" spans="1:7" ht="42.75">
      <c r="A2989" s="160">
        <v>6</v>
      </c>
      <c r="B2989" s="160" t="s">
        <v>4048</v>
      </c>
      <c r="C2989" s="157" t="s">
        <v>0</v>
      </c>
      <c r="D2989" s="159">
        <v>1.5</v>
      </c>
      <c r="E2989" s="159">
        <v>8045.56</v>
      </c>
      <c r="F2989" s="159">
        <v>12068.34</v>
      </c>
      <c r="G2989" s="160" t="s">
        <v>1214</v>
      </c>
    </row>
    <row r="2990" spans="1:7" ht="28.5">
      <c r="A2990" s="160">
        <v>7</v>
      </c>
      <c r="B2990" s="160" t="s">
        <v>1149</v>
      </c>
      <c r="C2990" s="157" t="s">
        <v>3</v>
      </c>
      <c r="D2990" s="159">
        <v>10</v>
      </c>
      <c r="E2990" s="159">
        <v>16.329999999999998</v>
      </c>
      <c r="F2990" s="159">
        <v>163.30000000000001</v>
      </c>
      <c r="G2990" s="160" t="s">
        <v>1178</v>
      </c>
    </row>
    <row r="2991" spans="1:7" ht="28.5">
      <c r="A2991" s="160">
        <v>8</v>
      </c>
      <c r="B2991" s="160" t="s">
        <v>1140</v>
      </c>
      <c r="C2991" s="157" t="s">
        <v>3</v>
      </c>
      <c r="D2991" s="159">
        <v>10</v>
      </c>
      <c r="E2991" s="159">
        <v>41.08</v>
      </c>
      <c r="F2991" s="159">
        <v>410.8</v>
      </c>
      <c r="G2991" s="160" t="s">
        <v>1173</v>
      </c>
    </row>
    <row r="2992" spans="1:7" ht="28.5">
      <c r="A2992" s="160">
        <v>9</v>
      </c>
      <c r="B2992" s="160" t="s">
        <v>1250</v>
      </c>
      <c r="C2992" s="157" t="s">
        <v>17</v>
      </c>
      <c r="D2992" s="159">
        <v>20</v>
      </c>
      <c r="E2992" s="159">
        <v>71.48</v>
      </c>
      <c r="F2992" s="159">
        <v>1429.6</v>
      </c>
      <c r="G2992" s="160" t="s">
        <v>1325</v>
      </c>
    </row>
    <row r="2993" spans="1:7" ht="28.5">
      <c r="A2993" s="160">
        <v>10</v>
      </c>
      <c r="B2993" s="160" t="s">
        <v>2572</v>
      </c>
      <c r="C2993" s="157" t="s">
        <v>14</v>
      </c>
      <c r="D2993" s="159">
        <v>1</v>
      </c>
      <c r="E2993" s="159">
        <v>1203.28</v>
      </c>
      <c r="F2993" s="159">
        <v>1203.28</v>
      </c>
      <c r="G2993" s="160" t="s">
        <v>2</v>
      </c>
    </row>
    <row r="2994" spans="1:7" ht="16.5">
      <c r="A2994" s="160">
        <v>11</v>
      </c>
      <c r="B2994" s="160" t="s">
        <v>2574</v>
      </c>
      <c r="C2994" s="157" t="s">
        <v>14</v>
      </c>
      <c r="D2994" s="159">
        <v>1</v>
      </c>
      <c r="E2994" s="159">
        <v>1851.2</v>
      </c>
      <c r="F2994" s="159">
        <v>1851.2</v>
      </c>
      <c r="G2994" s="160" t="s">
        <v>2</v>
      </c>
    </row>
    <row r="2995" spans="1:7" ht="42.75">
      <c r="A2995" s="160">
        <v>12</v>
      </c>
      <c r="B2995" s="160" t="s">
        <v>2287</v>
      </c>
      <c r="C2995" s="157" t="s">
        <v>14</v>
      </c>
      <c r="D2995" s="159">
        <v>1</v>
      </c>
      <c r="E2995" s="159">
        <v>18049.23</v>
      </c>
      <c r="F2995" s="159">
        <v>18049.23</v>
      </c>
      <c r="G2995" s="160" t="s">
        <v>5461</v>
      </c>
    </row>
    <row r="2996" spans="1:7" ht="16.5">
      <c r="A2996" s="160">
        <v>13</v>
      </c>
      <c r="B2996" s="160" t="s">
        <v>931</v>
      </c>
      <c r="C2996" s="157" t="s">
        <v>14</v>
      </c>
      <c r="D2996" s="159">
        <v>1</v>
      </c>
      <c r="E2996" s="159">
        <v>2410.5100000000002</v>
      </c>
      <c r="F2996" s="159">
        <v>2410.5100000000002</v>
      </c>
      <c r="G2996" s="160" t="s">
        <v>2</v>
      </c>
    </row>
    <row r="2997" spans="1:7" ht="16.5">
      <c r="A2997" s="160"/>
      <c r="B2997" s="160" t="s">
        <v>933</v>
      </c>
      <c r="C2997" s="157" t="s">
        <v>17</v>
      </c>
      <c r="D2997" s="159">
        <v>10</v>
      </c>
      <c r="E2997" s="159"/>
      <c r="F2997" s="159">
        <v>83485.72</v>
      </c>
      <c r="G2997" s="160"/>
    </row>
    <row r="2998" spans="1:7" ht="16.5">
      <c r="A2998" s="160"/>
      <c r="B2998" s="160" t="s">
        <v>934</v>
      </c>
      <c r="C2998" s="157" t="s">
        <v>17</v>
      </c>
      <c r="D2998" s="159"/>
      <c r="E2998" s="159"/>
      <c r="F2998" s="159">
        <v>8348.57</v>
      </c>
      <c r="G2998" s="160"/>
    </row>
    <row r="2999" spans="1:7" ht="16.5">
      <c r="A2999" s="160"/>
      <c r="B2999" s="160"/>
      <c r="C2999" s="157"/>
      <c r="D2999" s="159"/>
      <c r="E2999" s="159"/>
      <c r="F2999" s="159"/>
      <c r="G2999" s="160"/>
    </row>
    <row r="3000" spans="1:7" ht="28.5">
      <c r="A3000" s="160" t="s">
        <v>5017</v>
      </c>
      <c r="B3000" s="160" t="s">
        <v>2590</v>
      </c>
      <c r="C3000" s="157" t="s">
        <v>17</v>
      </c>
      <c r="D3000" s="159">
        <v>10</v>
      </c>
      <c r="E3000" s="159">
        <v>8881.42</v>
      </c>
      <c r="F3000" s="159"/>
      <c r="G3000" s="160" t="s">
        <v>2</v>
      </c>
    </row>
    <row r="3001" spans="1:7" ht="28.5">
      <c r="A3001" s="160">
        <v>1</v>
      </c>
      <c r="B3001" s="160" t="s">
        <v>950</v>
      </c>
      <c r="C3001" s="157" t="s">
        <v>1</v>
      </c>
      <c r="D3001" s="159">
        <v>12</v>
      </c>
      <c r="E3001" s="159">
        <v>45.31</v>
      </c>
      <c r="F3001" s="159">
        <v>543.72</v>
      </c>
      <c r="G3001" s="160" t="s">
        <v>970</v>
      </c>
    </row>
    <row r="3002" spans="1:7" ht="28.5">
      <c r="A3002" s="160">
        <v>2</v>
      </c>
      <c r="B3002" s="160" t="s">
        <v>985</v>
      </c>
      <c r="C3002" s="157" t="s">
        <v>1</v>
      </c>
      <c r="D3002" s="159">
        <v>8</v>
      </c>
      <c r="E3002" s="159">
        <v>600.08000000000004</v>
      </c>
      <c r="F3002" s="159">
        <v>4800.6400000000003</v>
      </c>
      <c r="G3002" s="160" t="s">
        <v>980</v>
      </c>
    </row>
    <row r="3003" spans="1:7" ht="28.5">
      <c r="A3003" s="160">
        <v>3</v>
      </c>
      <c r="B3003" s="160" t="s">
        <v>26</v>
      </c>
      <c r="C3003" s="157" t="s">
        <v>1</v>
      </c>
      <c r="D3003" s="159">
        <v>20</v>
      </c>
      <c r="E3003" s="159">
        <v>663.18</v>
      </c>
      <c r="F3003" s="159">
        <v>13263.6</v>
      </c>
      <c r="G3003" s="160" t="s">
        <v>1117</v>
      </c>
    </row>
    <row r="3004" spans="1:7" ht="57">
      <c r="A3004" s="160">
        <v>4</v>
      </c>
      <c r="B3004" s="160" t="s">
        <v>4519</v>
      </c>
      <c r="C3004" s="157" t="s">
        <v>0</v>
      </c>
      <c r="D3004" s="159">
        <v>18</v>
      </c>
      <c r="E3004" s="159">
        <v>1625.82</v>
      </c>
      <c r="F3004" s="159">
        <v>29264.76</v>
      </c>
      <c r="G3004" s="160" t="s">
        <v>5472</v>
      </c>
    </row>
    <row r="3005" spans="1:7" ht="28.5">
      <c r="A3005" s="160">
        <v>5</v>
      </c>
      <c r="B3005" s="160" t="s">
        <v>3639</v>
      </c>
      <c r="C3005" s="157" t="s">
        <v>0</v>
      </c>
      <c r="D3005" s="159">
        <v>0.51</v>
      </c>
      <c r="E3005" s="159">
        <v>7642.97</v>
      </c>
      <c r="F3005" s="159">
        <v>3897.91</v>
      </c>
      <c r="G3005" s="160" t="s">
        <v>1191</v>
      </c>
    </row>
    <row r="3006" spans="1:7" ht="42.75">
      <c r="A3006" s="160">
        <v>6</v>
      </c>
      <c r="B3006" s="160" t="s">
        <v>3640</v>
      </c>
      <c r="C3006" s="157" t="s">
        <v>0</v>
      </c>
      <c r="D3006" s="159">
        <v>1.5</v>
      </c>
      <c r="E3006" s="159">
        <v>7585.76</v>
      </c>
      <c r="F3006" s="159">
        <v>11378.64</v>
      </c>
      <c r="G3006" s="160" t="s">
        <v>1202</v>
      </c>
    </row>
    <row r="3007" spans="1:7" ht="28.5">
      <c r="A3007" s="160">
        <v>7</v>
      </c>
      <c r="B3007" s="160" t="s">
        <v>1149</v>
      </c>
      <c r="C3007" s="157" t="s">
        <v>3</v>
      </c>
      <c r="D3007" s="159">
        <v>10</v>
      </c>
      <c r="E3007" s="159">
        <v>16.329999999999998</v>
      </c>
      <c r="F3007" s="159">
        <v>163.30000000000001</v>
      </c>
      <c r="G3007" s="160" t="s">
        <v>1178</v>
      </c>
    </row>
    <row r="3008" spans="1:7" ht="28.5">
      <c r="A3008" s="160">
        <v>8</v>
      </c>
      <c r="B3008" s="160" t="s">
        <v>1140</v>
      </c>
      <c r="C3008" s="157" t="s">
        <v>3</v>
      </c>
      <c r="D3008" s="159">
        <v>10</v>
      </c>
      <c r="E3008" s="159">
        <v>41.08</v>
      </c>
      <c r="F3008" s="159">
        <v>410.8</v>
      </c>
      <c r="G3008" s="160" t="s">
        <v>1173</v>
      </c>
    </row>
    <row r="3009" spans="1:7" ht="28.5">
      <c r="A3009" s="160">
        <v>9</v>
      </c>
      <c r="B3009" s="160" t="s">
        <v>1250</v>
      </c>
      <c r="C3009" s="157" t="s">
        <v>17</v>
      </c>
      <c r="D3009" s="159">
        <v>20</v>
      </c>
      <c r="E3009" s="159">
        <v>71.48</v>
      </c>
      <c r="F3009" s="159">
        <v>1429.6</v>
      </c>
      <c r="G3009" s="160" t="s">
        <v>1325</v>
      </c>
    </row>
    <row r="3010" spans="1:7" ht="28.5">
      <c r="A3010" s="160">
        <v>10</v>
      </c>
      <c r="B3010" s="160" t="s">
        <v>2572</v>
      </c>
      <c r="C3010" s="157" t="s">
        <v>14</v>
      </c>
      <c r="D3010" s="159">
        <v>1</v>
      </c>
      <c r="E3010" s="159">
        <v>1203.28</v>
      </c>
      <c r="F3010" s="159">
        <v>1203.28</v>
      </c>
      <c r="G3010" s="160" t="s">
        <v>2</v>
      </c>
    </row>
    <row r="3011" spans="1:7" ht="16.5">
      <c r="A3011" s="160">
        <v>11</v>
      </c>
      <c r="B3011" s="160" t="s">
        <v>2574</v>
      </c>
      <c r="C3011" s="157" t="s">
        <v>14</v>
      </c>
      <c r="D3011" s="159">
        <v>1</v>
      </c>
      <c r="E3011" s="159">
        <v>1851.2</v>
      </c>
      <c r="F3011" s="159">
        <v>1851.2</v>
      </c>
      <c r="G3011" s="160" t="s">
        <v>2</v>
      </c>
    </row>
    <row r="3012" spans="1:7" ht="42.75">
      <c r="A3012" s="160">
        <v>12</v>
      </c>
      <c r="B3012" s="160" t="s">
        <v>2287</v>
      </c>
      <c r="C3012" s="157" t="s">
        <v>14</v>
      </c>
      <c r="D3012" s="159">
        <v>1</v>
      </c>
      <c r="E3012" s="159">
        <v>18049.23</v>
      </c>
      <c r="F3012" s="159">
        <v>18049.23</v>
      </c>
      <c r="G3012" s="160" t="s">
        <v>5461</v>
      </c>
    </row>
    <row r="3013" spans="1:7" ht="16.5">
      <c r="A3013" s="160">
        <v>13</v>
      </c>
      <c r="B3013" s="160" t="s">
        <v>931</v>
      </c>
      <c r="C3013" s="157" t="s">
        <v>14</v>
      </c>
      <c r="D3013" s="159">
        <v>1</v>
      </c>
      <c r="E3013" s="159">
        <v>2557.54</v>
      </c>
      <c r="F3013" s="159">
        <v>2557.54</v>
      </c>
      <c r="G3013" s="160" t="s">
        <v>2</v>
      </c>
    </row>
    <row r="3014" spans="1:7" ht="16.5">
      <c r="A3014" s="160"/>
      <c r="B3014" s="160" t="s">
        <v>933</v>
      </c>
      <c r="C3014" s="157" t="s">
        <v>17</v>
      </c>
      <c r="D3014" s="159">
        <v>10</v>
      </c>
      <c r="E3014" s="159"/>
      <c r="F3014" s="159">
        <v>88814.22</v>
      </c>
      <c r="G3014" s="160"/>
    </row>
    <row r="3015" spans="1:7" ht="16.5">
      <c r="A3015" s="160"/>
      <c r="B3015" s="160" t="s">
        <v>934</v>
      </c>
      <c r="C3015" s="157" t="s">
        <v>17</v>
      </c>
      <c r="D3015" s="159"/>
      <c r="E3015" s="159"/>
      <c r="F3015" s="159">
        <v>8881.42</v>
      </c>
      <c r="G3015" s="160"/>
    </row>
    <row r="3016" spans="1:7" ht="16.5">
      <c r="A3016" s="160"/>
      <c r="B3016" s="160"/>
      <c r="C3016" s="157"/>
      <c r="D3016" s="159"/>
      <c r="E3016" s="159"/>
      <c r="F3016" s="159"/>
      <c r="G3016" s="160"/>
    </row>
    <row r="3017" spans="1:7" ht="28.5">
      <c r="A3017" s="160" t="s">
        <v>5018</v>
      </c>
      <c r="B3017" s="160" t="s">
        <v>2593</v>
      </c>
      <c r="C3017" s="157" t="s">
        <v>17</v>
      </c>
      <c r="D3017" s="159">
        <v>10</v>
      </c>
      <c r="E3017" s="159">
        <v>9893.3700000000008</v>
      </c>
      <c r="F3017" s="159"/>
      <c r="G3017" s="160" t="s">
        <v>2</v>
      </c>
    </row>
    <row r="3018" spans="1:7" ht="42.75">
      <c r="A3018" s="160">
        <v>1</v>
      </c>
      <c r="B3018" s="160" t="s">
        <v>2579</v>
      </c>
      <c r="C3018" s="157" t="s">
        <v>1</v>
      </c>
      <c r="D3018" s="159">
        <v>12</v>
      </c>
      <c r="E3018" s="159">
        <v>63.21</v>
      </c>
      <c r="F3018" s="159">
        <v>758.52</v>
      </c>
      <c r="G3018" s="160" t="s">
        <v>974</v>
      </c>
    </row>
    <row r="3019" spans="1:7" ht="28.5">
      <c r="A3019" s="160">
        <v>2</v>
      </c>
      <c r="B3019" s="160" t="s">
        <v>2214</v>
      </c>
      <c r="C3019" s="157" t="s">
        <v>1</v>
      </c>
      <c r="D3019" s="159">
        <v>8</v>
      </c>
      <c r="E3019" s="159">
        <v>1382.35</v>
      </c>
      <c r="F3019" s="159">
        <v>11058.8</v>
      </c>
      <c r="G3019" s="160" t="s">
        <v>982</v>
      </c>
    </row>
    <row r="3020" spans="1:7" ht="28.5">
      <c r="A3020" s="160">
        <v>3</v>
      </c>
      <c r="B3020" s="160" t="s">
        <v>2216</v>
      </c>
      <c r="C3020" s="157" t="s">
        <v>1</v>
      </c>
      <c r="D3020" s="159">
        <v>20</v>
      </c>
      <c r="E3020" s="159">
        <v>784.56</v>
      </c>
      <c r="F3020" s="159">
        <v>15691.2</v>
      </c>
      <c r="G3020" s="160" t="s">
        <v>2</v>
      </c>
    </row>
    <row r="3021" spans="1:7" ht="57">
      <c r="A3021" s="160">
        <v>4</v>
      </c>
      <c r="B3021" s="160" t="s">
        <v>4519</v>
      </c>
      <c r="C3021" s="157" t="s">
        <v>0</v>
      </c>
      <c r="D3021" s="159">
        <v>18</v>
      </c>
      <c r="E3021" s="159">
        <v>1625.82</v>
      </c>
      <c r="F3021" s="159">
        <v>29264.76</v>
      </c>
      <c r="G3021" s="160" t="s">
        <v>5472</v>
      </c>
    </row>
    <row r="3022" spans="1:7" ht="42.75">
      <c r="A3022" s="160">
        <v>5</v>
      </c>
      <c r="B3022" s="160" t="s">
        <v>4049</v>
      </c>
      <c r="C3022" s="157" t="s">
        <v>0</v>
      </c>
      <c r="D3022" s="159">
        <v>0.51</v>
      </c>
      <c r="E3022" s="159">
        <v>8102.76</v>
      </c>
      <c r="F3022" s="159">
        <v>4132.41</v>
      </c>
      <c r="G3022" s="160" t="s">
        <v>5473</v>
      </c>
    </row>
    <row r="3023" spans="1:7" ht="42.75">
      <c r="A3023" s="160">
        <v>6</v>
      </c>
      <c r="B3023" s="160" t="s">
        <v>4048</v>
      </c>
      <c r="C3023" s="157" t="s">
        <v>0</v>
      </c>
      <c r="D3023" s="159">
        <v>1.5</v>
      </c>
      <c r="E3023" s="159">
        <v>8045.56</v>
      </c>
      <c r="F3023" s="159">
        <v>12068.34</v>
      </c>
      <c r="G3023" s="160" t="s">
        <v>1214</v>
      </c>
    </row>
    <row r="3024" spans="1:7" ht="28.5">
      <c r="A3024" s="160">
        <v>7</v>
      </c>
      <c r="B3024" s="160" t="s">
        <v>1149</v>
      </c>
      <c r="C3024" s="157" t="s">
        <v>3</v>
      </c>
      <c r="D3024" s="159">
        <v>10</v>
      </c>
      <c r="E3024" s="159">
        <v>16.329999999999998</v>
      </c>
      <c r="F3024" s="159">
        <v>163.30000000000001</v>
      </c>
      <c r="G3024" s="160" t="s">
        <v>1178</v>
      </c>
    </row>
    <row r="3025" spans="1:7" ht="28.5">
      <c r="A3025" s="160">
        <v>8</v>
      </c>
      <c r="B3025" s="160" t="s">
        <v>1140</v>
      </c>
      <c r="C3025" s="157" t="s">
        <v>3</v>
      </c>
      <c r="D3025" s="159">
        <v>10</v>
      </c>
      <c r="E3025" s="159">
        <v>41.08</v>
      </c>
      <c r="F3025" s="159">
        <v>410.8</v>
      </c>
      <c r="G3025" s="160" t="s">
        <v>1173</v>
      </c>
    </row>
    <row r="3026" spans="1:7" ht="28.5">
      <c r="A3026" s="160">
        <v>9</v>
      </c>
      <c r="B3026" s="160" t="s">
        <v>1250</v>
      </c>
      <c r="C3026" s="157" t="s">
        <v>17</v>
      </c>
      <c r="D3026" s="159">
        <v>20</v>
      </c>
      <c r="E3026" s="159">
        <v>71.48</v>
      </c>
      <c r="F3026" s="159">
        <v>1429.6</v>
      </c>
      <c r="G3026" s="160" t="s">
        <v>1325</v>
      </c>
    </row>
    <row r="3027" spans="1:7" ht="28.5">
      <c r="A3027" s="160">
        <v>10</v>
      </c>
      <c r="B3027" s="160" t="s">
        <v>2572</v>
      </c>
      <c r="C3027" s="157" t="s">
        <v>14</v>
      </c>
      <c r="D3027" s="159">
        <v>1</v>
      </c>
      <c r="E3027" s="159">
        <v>1203.28</v>
      </c>
      <c r="F3027" s="159">
        <v>1203.28</v>
      </c>
      <c r="G3027" s="160" t="s">
        <v>2</v>
      </c>
    </row>
    <row r="3028" spans="1:7" ht="16.5">
      <c r="A3028" s="160">
        <v>11</v>
      </c>
      <c r="B3028" s="160" t="s">
        <v>2574</v>
      </c>
      <c r="C3028" s="157" t="s">
        <v>14</v>
      </c>
      <c r="D3028" s="159">
        <v>1</v>
      </c>
      <c r="E3028" s="159">
        <v>1851.2</v>
      </c>
      <c r="F3028" s="159">
        <v>1851.2</v>
      </c>
      <c r="G3028" s="160" t="s">
        <v>2</v>
      </c>
    </row>
    <row r="3029" spans="1:7" ht="42.75">
      <c r="A3029" s="160">
        <v>12</v>
      </c>
      <c r="B3029" s="160" t="s">
        <v>2287</v>
      </c>
      <c r="C3029" s="157" t="s">
        <v>14</v>
      </c>
      <c r="D3029" s="159">
        <v>1</v>
      </c>
      <c r="E3029" s="159">
        <v>18049.23</v>
      </c>
      <c r="F3029" s="159">
        <v>18049.23</v>
      </c>
      <c r="G3029" s="160" t="s">
        <v>5461</v>
      </c>
    </row>
    <row r="3030" spans="1:7" ht="16.5">
      <c r="A3030" s="160">
        <v>13</v>
      </c>
      <c r="B3030" s="160" t="s">
        <v>931</v>
      </c>
      <c r="C3030" s="157" t="s">
        <v>14</v>
      </c>
      <c r="D3030" s="159">
        <v>1</v>
      </c>
      <c r="E3030" s="159">
        <v>2852.28</v>
      </c>
      <c r="F3030" s="159">
        <v>2852.28</v>
      </c>
      <c r="G3030" s="160" t="s">
        <v>2</v>
      </c>
    </row>
    <row r="3031" spans="1:7" ht="16.5">
      <c r="A3031" s="160"/>
      <c r="B3031" s="160" t="s">
        <v>933</v>
      </c>
      <c r="C3031" s="157" t="s">
        <v>17</v>
      </c>
      <c r="D3031" s="159">
        <v>10</v>
      </c>
      <c r="E3031" s="159"/>
      <c r="F3031" s="159">
        <v>98933.72</v>
      </c>
      <c r="G3031" s="160"/>
    </row>
    <row r="3032" spans="1:7" ht="16.5">
      <c r="A3032" s="160"/>
      <c r="B3032" s="160" t="s">
        <v>934</v>
      </c>
      <c r="C3032" s="157" t="s">
        <v>17</v>
      </c>
      <c r="D3032" s="159"/>
      <c r="E3032" s="159"/>
      <c r="F3032" s="159">
        <v>9893.3700000000008</v>
      </c>
      <c r="G3032" s="160"/>
    </row>
    <row r="3033" spans="1:7" ht="16.5">
      <c r="A3033" s="160"/>
      <c r="B3033" s="160"/>
      <c r="C3033" s="157"/>
      <c r="D3033" s="159"/>
      <c r="E3033" s="159"/>
      <c r="F3033" s="159"/>
      <c r="G3033" s="160"/>
    </row>
    <row r="3034" spans="1:7" ht="28.5">
      <c r="A3034" s="160" t="s">
        <v>5019</v>
      </c>
      <c r="B3034" s="160" t="s">
        <v>2596</v>
      </c>
      <c r="C3034" s="157" t="s">
        <v>17</v>
      </c>
      <c r="D3034" s="159">
        <v>10</v>
      </c>
      <c r="E3034" s="159">
        <v>14107.11</v>
      </c>
      <c r="F3034" s="159"/>
      <c r="G3034" s="160" t="s">
        <v>2</v>
      </c>
    </row>
    <row r="3035" spans="1:7" ht="28.5">
      <c r="A3035" s="160">
        <v>1</v>
      </c>
      <c r="B3035" s="160" t="s">
        <v>950</v>
      </c>
      <c r="C3035" s="157" t="s">
        <v>1</v>
      </c>
      <c r="D3035" s="159">
        <v>24</v>
      </c>
      <c r="E3035" s="159">
        <v>45.31</v>
      </c>
      <c r="F3035" s="159">
        <v>1087.44</v>
      </c>
      <c r="G3035" s="160" t="s">
        <v>970</v>
      </c>
    </row>
    <row r="3036" spans="1:7" ht="28.5">
      <c r="A3036" s="160">
        <v>2</v>
      </c>
      <c r="B3036" s="160" t="s">
        <v>985</v>
      </c>
      <c r="C3036" s="157" t="s">
        <v>1</v>
      </c>
      <c r="D3036" s="159">
        <v>16</v>
      </c>
      <c r="E3036" s="159">
        <v>600.08000000000004</v>
      </c>
      <c r="F3036" s="159">
        <v>9601.2800000000007</v>
      </c>
      <c r="G3036" s="160" t="s">
        <v>980</v>
      </c>
    </row>
    <row r="3037" spans="1:7" ht="28.5">
      <c r="A3037" s="160">
        <v>3</v>
      </c>
      <c r="B3037" s="160" t="s">
        <v>26</v>
      </c>
      <c r="C3037" s="157" t="s">
        <v>1</v>
      </c>
      <c r="D3037" s="159">
        <v>40</v>
      </c>
      <c r="E3037" s="159">
        <v>663.18</v>
      </c>
      <c r="F3037" s="159">
        <v>26527.200000000001</v>
      </c>
      <c r="G3037" s="160" t="s">
        <v>1117</v>
      </c>
    </row>
    <row r="3038" spans="1:7" ht="57">
      <c r="A3038" s="160">
        <v>4</v>
      </c>
      <c r="B3038" s="160" t="s">
        <v>4519</v>
      </c>
      <c r="C3038" s="157" t="s">
        <v>0</v>
      </c>
      <c r="D3038" s="159">
        <v>32</v>
      </c>
      <c r="E3038" s="159">
        <v>1625.82</v>
      </c>
      <c r="F3038" s="159">
        <v>52026.239999999998</v>
      </c>
      <c r="G3038" s="160" t="s">
        <v>5472</v>
      </c>
    </row>
    <row r="3039" spans="1:7" ht="28.5">
      <c r="A3039" s="160">
        <v>5</v>
      </c>
      <c r="B3039" s="160" t="s">
        <v>3639</v>
      </c>
      <c r="C3039" s="157" t="s">
        <v>0</v>
      </c>
      <c r="D3039" s="159">
        <v>0.8</v>
      </c>
      <c r="E3039" s="159">
        <v>7642.97</v>
      </c>
      <c r="F3039" s="159">
        <v>6114.38</v>
      </c>
      <c r="G3039" s="160" t="s">
        <v>1191</v>
      </c>
    </row>
    <row r="3040" spans="1:7" ht="42.75">
      <c r="A3040" s="160">
        <v>6</v>
      </c>
      <c r="B3040" s="160" t="s">
        <v>3640</v>
      </c>
      <c r="C3040" s="157" t="s">
        <v>0</v>
      </c>
      <c r="D3040" s="159">
        <v>2.4</v>
      </c>
      <c r="E3040" s="159">
        <v>7585.76</v>
      </c>
      <c r="F3040" s="159">
        <v>18205.82</v>
      </c>
      <c r="G3040" s="160" t="s">
        <v>1202</v>
      </c>
    </row>
    <row r="3041" spans="1:7" ht="28.5">
      <c r="A3041" s="160">
        <v>7</v>
      </c>
      <c r="B3041" s="160" t="s">
        <v>1149</v>
      </c>
      <c r="C3041" s="157" t="s">
        <v>3</v>
      </c>
      <c r="D3041" s="159">
        <v>16</v>
      </c>
      <c r="E3041" s="159">
        <v>16.329999999999998</v>
      </c>
      <c r="F3041" s="159">
        <v>261.27999999999997</v>
      </c>
      <c r="G3041" s="160" t="s">
        <v>1178</v>
      </c>
    </row>
    <row r="3042" spans="1:7" ht="28.5">
      <c r="A3042" s="160">
        <v>8</v>
      </c>
      <c r="B3042" s="160" t="s">
        <v>1140</v>
      </c>
      <c r="C3042" s="157" t="s">
        <v>3</v>
      </c>
      <c r="D3042" s="159">
        <v>16</v>
      </c>
      <c r="E3042" s="159">
        <v>41.08</v>
      </c>
      <c r="F3042" s="159">
        <v>657.28</v>
      </c>
      <c r="G3042" s="160" t="s">
        <v>1173</v>
      </c>
    </row>
    <row r="3043" spans="1:7" ht="28.5">
      <c r="A3043" s="160">
        <v>9</v>
      </c>
      <c r="B3043" s="160" t="s">
        <v>1250</v>
      </c>
      <c r="C3043" s="157" t="s">
        <v>17</v>
      </c>
      <c r="D3043" s="159">
        <v>20</v>
      </c>
      <c r="E3043" s="159">
        <v>71.48</v>
      </c>
      <c r="F3043" s="159">
        <v>1429.6</v>
      </c>
      <c r="G3043" s="160" t="s">
        <v>1325</v>
      </c>
    </row>
    <row r="3044" spans="1:7" ht="28.5">
      <c r="A3044" s="160">
        <v>10</v>
      </c>
      <c r="B3044" s="160" t="s">
        <v>2572</v>
      </c>
      <c r="C3044" s="157" t="s">
        <v>14</v>
      </c>
      <c r="D3044" s="159">
        <v>1</v>
      </c>
      <c r="E3044" s="159">
        <v>1203.28</v>
      </c>
      <c r="F3044" s="159">
        <v>1203.28</v>
      </c>
      <c r="G3044" s="160" t="s">
        <v>2</v>
      </c>
    </row>
    <row r="3045" spans="1:7" ht="16.5">
      <c r="A3045" s="160">
        <v>11</v>
      </c>
      <c r="B3045" s="160" t="s">
        <v>2574</v>
      </c>
      <c r="C3045" s="157" t="s">
        <v>14</v>
      </c>
      <c r="D3045" s="159">
        <v>1</v>
      </c>
      <c r="E3045" s="159">
        <v>1851.2</v>
      </c>
      <c r="F3045" s="159">
        <v>1851.2</v>
      </c>
      <c r="G3045" s="160" t="s">
        <v>2</v>
      </c>
    </row>
    <row r="3046" spans="1:7" ht="42.75">
      <c r="A3046" s="160">
        <v>12</v>
      </c>
      <c r="B3046" s="160" t="s">
        <v>2287</v>
      </c>
      <c r="C3046" s="157" t="s">
        <v>14</v>
      </c>
      <c r="D3046" s="159">
        <v>1</v>
      </c>
      <c r="E3046" s="159">
        <v>18049.23</v>
      </c>
      <c r="F3046" s="159">
        <v>18049.23</v>
      </c>
      <c r="G3046" s="160" t="s">
        <v>5461</v>
      </c>
    </row>
    <row r="3047" spans="1:7" ht="16.5">
      <c r="A3047" s="160">
        <v>13</v>
      </c>
      <c r="B3047" s="160" t="s">
        <v>931</v>
      </c>
      <c r="C3047" s="157" t="s">
        <v>14</v>
      </c>
      <c r="D3047" s="159">
        <v>1</v>
      </c>
      <c r="E3047" s="159">
        <v>4056.82</v>
      </c>
      <c r="F3047" s="159">
        <v>4056.82</v>
      </c>
      <c r="G3047" s="160" t="s">
        <v>2</v>
      </c>
    </row>
    <row r="3048" spans="1:7" ht="16.5">
      <c r="A3048" s="160"/>
      <c r="B3048" s="160" t="s">
        <v>933</v>
      </c>
      <c r="C3048" s="157" t="s">
        <v>17</v>
      </c>
      <c r="D3048" s="159">
        <v>10</v>
      </c>
      <c r="E3048" s="159"/>
      <c r="F3048" s="159">
        <v>141071.05000000002</v>
      </c>
      <c r="G3048" s="160"/>
    </row>
    <row r="3049" spans="1:7" ht="16.5">
      <c r="A3049" s="160"/>
      <c r="B3049" s="160" t="s">
        <v>934</v>
      </c>
      <c r="C3049" s="157" t="s">
        <v>17</v>
      </c>
      <c r="D3049" s="159"/>
      <c r="E3049" s="159"/>
      <c r="F3049" s="159">
        <v>14107.11</v>
      </c>
      <c r="G3049" s="160"/>
    </row>
    <row r="3050" spans="1:7" ht="16.5">
      <c r="A3050" s="160"/>
      <c r="B3050" s="160"/>
      <c r="C3050" s="157"/>
      <c r="D3050" s="159"/>
      <c r="E3050" s="159"/>
      <c r="F3050" s="159"/>
      <c r="G3050" s="160"/>
    </row>
    <row r="3051" spans="1:7" ht="28.5">
      <c r="A3051" s="160" t="s">
        <v>5020</v>
      </c>
      <c r="B3051" s="160" t="s">
        <v>2599</v>
      </c>
      <c r="C3051" s="157" t="s">
        <v>17</v>
      </c>
      <c r="D3051" s="159">
        <v>10</v>
      </c>
      <c r="E3051" s="159">
        <v>16092.15</v>
      </c>
      <c r="F3051" s="159"/>
      <c r="G3051" s="160" t="s">
        <v>2</v>
      </c>
    </row>
    <row r="3052" spans="1:7" ht="42.75">
      <c r="A3052" s="160">
        <v>1</v>
      </c>
      <c r="B3052" s="160" t="s">
        <v>2579</v>
      </c>
      <c r="C3052" s="157" t="s">
        <v>1</v>
      </c>
      <c r="D3052" s="159">
        <v>24</v>
      </c>
      <c r="E3052" s="159">
        <v>63.21</v>
      </c>
      <c r="F3052" s="159">
        <v>1517.04</v>
      </c>
      <c r="G3052" s="160" t="s">
        <v>974</v>
      </c>
    </row>
    <row r="3053" spans="1:7" ht="28.5">
      <c r="A3053" s="160">
        <v>2</v>
      </c>
      <c r="B3053" s="160" t="s">
        <v>2214</v>
      </c>
      <c r="C3053" s="157" t="s">
        <v>1</v>
      </c>
      <c r="D3053" s="159">
        <v>16</v>
      </c>
      <c r="E3053" s="159">
        <v>1382.35</v>
      </c>
      <c r="F3053" s="159">
        <v>22117.599999999999</v>
      </c>
      <c r="G3053" s="160" t="s">
        <v>982</v>
      </c>
    </row>
    <row r="3054" spans="1:7" ht="57">
      <c r="A3054" s="160">
        <v>3</v>
      </c>
      <c r="B3054" s="160" t="s">
        <v>4519</v>
      </c>
      <c r="C3054" s="157" t="s">
        <v>0</v>
      </c>
      <c r="D3054" s="159">
        <v>32</v>
      </c>
      <c r="E3054" s="159">
        <v>1625.82</v>
      </c>
      <c r="F3054" s="159">
        <v>52026.239999999998</v>
      </c>
      <c r="G3054" s="160" t="s">
        <v>5472</v>
      </c>
    </row>
    <row r="3055" spans="1:7" ht="28.5">
      <c r="A3055" s="160">
        <v>4</v>
      </c>
      <c r="B3055" s="160" t="s">
        <v>2216</v>
      </c>
      <c r="C3055" s="157" t="s">
        <v>1</v>
      </c>
      <c r="D3055" s="159">
        <v>40</v>
      </c>
      <c r="E3055" s="159">
        <v>784.56</v>
      </c>
      <c r="F3055" s="159">
        <v>31382.400000000001</v>
      </c>
      <c r="G3055" s="160" t="s">
        <v>2</v>
      </c>
    </row>
    <row r="3056" spans="1:7" ht="42.75">
      <c r="A3056" s="160">
        <v>5</v>
      </c>
      <c r="B3056" s="160" t="s">
        <v>4049</v>
      </c>
      <c r="C3056" s="157" t="s">
        <v>0</v>
      </c>
      <c r="D3056" s="159">
        <v>0.8</v>
      </c>
      <c r="E3056" s="159">
        <v>8102.76</v>
      </c>
      <c r="F3056" s="159">
        <v>6482.21</v>
      </c>
      <c r="G3056" s="160" t="s">
        <v>5473</v>
      </c>
    </row>
    <row r="3057" spans="1:7" ht="42.75">
      <c r="A3057" s="160">
        <v>6</v>
      </c>
      <c r="B3057" s="160" t="s">
        <v>4048</v>
      </c>
      <c r="C3057" s="157" t="s">
        <v>0</v>
      </c>
      <c r="D3057" s="159">
        <v>2.4</v>
      </c>
      <c r="E3057" s="159">
        <v>8045.56</v>
      </c>
      <c r="F3057" s="159">
        <v>19309.34</v>
      </c>
      <c r="G3057" s="160" t="s">
        <v>1214</v>
      </c>
    </row>
    <row r="3058" spans="1:7" ht="28.5">
      <c r="A3058" s="160">
        <v>7</v>
      </c>
      <c r="B3058" s="160" t="s">
        <v>1149</v>
      </c>
      <c r="C3058" s="157" t="s">
        <v>3</v>
      </c>
      <c r="D3058" s="159">
        <v>16</v>
      </c>
      <c r="E3058" s="159">
        <v>16.329999999999998</v>
      </c>
      <c r="F3058" s="159">
        <v>261.27999999999997</v>
      </c>
      <c r="G3058" s="160" t="s">
        <v>1178</v>
      </c>
    </row>
    <row r="3059" spans="1:7" ht="28.5">
      <c r="A3059" s="160">
        <v>8</v>
      </c>
      <c r="B3059" s="160" t="s">
        <v>1140</v>
      </c>
      <c r="C3059" s="157" t="s">
        <v>3</v>
      </c>
      <c r="D3059" s="159">
        <v>16</v>
      </c>
      <c r="E3059" s="159">
        <v>41.08</v>
      </c>
      <c r="F3059" s="159">
        <v>657.28</v>
      </c>
      <c r="G3059" s="160" t="s">
        <v>1173</v>
      </c>
    </row>
    <row r="3060" spans="1:7" ht="28.5">
      <c r="A3060" s="160">
        <v>9</v>
      </c>
      <c r="B3060" s="160" t="s">
        <v>1250</v>
      </c>
      <c r="C3060" s="157" t="s">
        <v>17</v>
      </c>
      <c r="D3060" s="159">
        <v>20</v>
      </c>
      <c r="E3060" s="159">
        <v>71.48</v>
      </c>
      <c r="F3060" s="159">
        <v>1429.6</v>
      </c>
      <c r="G3060" s="160" t="s">
        <v>1325</v>
      </c>
    </row>
    <row r="3061" spans="1:7" ht="28.5">
      <c r="A3061" s="160">
        <v>10</v>
      </c>
      <c r="B3061" s="160" t="s">
        <v>2572</v>
      </c>
      <c r="C3061" s="157" t="s">
        <v>14</v>
      </c>
      <c r="D3061" s="159">
        <v>1</v>
      </c>
      <c r="E3061" s="159">
        <v>1203.28</v>
      </c>
      <c r="F3061" s="159">
        <v>1203.28</v>
      </c>
      <c r="G3061" s="160" t="s">
        <v>2</v>
      </c>
    </row>
    <row r="3062" spans="1:7" ht="16.5">
      <c r="A3062" s="160">
        <v>11</v>
      </c>
      <c r="B3062" s="160" t="s">
        <v>2574</v>
      </c>
      <c r="C3062" s="157" t="s">
        <v>14</v>
      </c>
      <c r="D3062" s="159">
        <v>1</v>
      </c>
      <c r="E3062" s="159">
        <v>1851.2</v>
      </c>
      <c r="F3062" s="159">
        <v>1851.2</v>
      </c>
      <c r="G3062" s="160" t="s">
        <v>2</v>
      </c>
    </row>
    <row r="3063" spans="1:7" ht="42.75">
      <c r="A3063" s="160">
        <v>12</v>
      </c>
      <c r="B3063" s="160" t="s">
        <v>2287</v>
      </c>
      <c r="C3063" s="157" t="s">
        <v>14</v>
      </c>
      <c r="D3063" s="159">
        <v>1</v>
      </c>
      <c r="E3063" s="159">
        <v>18049.23</v>
      </c>
      <c r="F3063" s="159">
        <v>18049.23</v>
      </c>
      <c r="G3063" s="160" t="s">
        <v>5461</v>
      </c>
    </row>
    <row r="3064" spans="1:7" ht="16.5">
      <c r="A3064" s="160">
        <v>13</v>
      </c>
      <c r="B3064" s="160" t="s">
        <v>931</v>
      </c>
      <c r="C3064" s="157" t="s">
        <v>14</v>
      </c>
      <c r="D3064" s="159">
        <v>1</v>
      </c>
      <c r="E3064" s="159">
        <v>4634.83</v>
      </c>
      <c r="F3064" s="159">
        <v>4634.83</v>
      </c>
      <c r="G3064" s="160" t="s">
        <v>2</v>
      </c>
    </row>
    <row r="3065" spans="1:7" ht="16.5">
      <c r="A3065" s="160"/>
      <c r="B3065" s="160" t="s">
        <v>933</v>
      </c>
      <c r="C3065" s="157" t="s">
        <v>17</v>
      </c>
      <c r="D3065" s="159">
        <v>10</v>
      </c>
      <c r="E3065" s="159"/>
      <c r="F3065" s="159">
        <v>160921.53000000003</v>
      </c>
      <c r="G3065" s="160"/>
    </row>
    <row r="3066" spans="1:7" ht="16.5">
      <c r="A3066" s="160"/>
      <c r="B3066" s="160" t="s">
        <v>934</v>
      </c>
      <c r="C3066" s="157" t="s">
        <v>17</v>
      </c>
      <c r="D3066" s="159"/>
      <c r="E3066" s="159"/>
      <c r="F3066" s="159">
        <v>16092.15</v>
      </c>
      <c r="G3066" s="160"/>
    </row>
    <row r="3067" spans="1:7" ht="16.5">
      <c r="A3067" s="160"/>
      <c r="B3067" s="160"/>
      <c r="C3067" s="157"/>
      <c r="D3067" s="159"/>
      <c r="E3067" s="159"/>
      <c r="F3067" s="159"/>
      <c r="G3067" s="160"/>
    </row>
    <row r="3068" spans="1:7" ht="28.5">
      <c r="A3068" s="160" t="s">
        <v>5021</v>
      </c>
      <c r="B3068" s="160" t="s">
        <v>2602</v>
      </c>
      <c r="C3068" s="157" t="s">
        <v>17</v>
      </c>
      <c r="D3068" s="159">
        <v>10</v>
      </c>
      <c r="E3068" s="159">
        <v>15944.42</v>
      </c>
      <c r="F3068" s="159"/>
      <c r="G3068" s="160" t="s">
        <v>2</v>
      </c>
    </row>
    <row r="3069" spans="1:7" ht="28.5">
      <c r="A3069" s="160">
        <v>1</v>
      </c>
      <c r="B3069" s="160" t="s">
        <v>950</v>
      </c>
      <c r="C3069" s="157" t="s">
        <v>1</v>
      </c>
      <c r="D3069" s="159">
        <v>28.8</v>
      </c>
      <c r="E3069" s="159">
        <v>45.31</v>
      </c>
      <c r="F3069" s="159">
        <v>1304.93</v>
      </c>
      <c r="G3069" s="160" t="s">
        <v>970</v>
      </c>
    </row>
    <row r="3070" spans="1:7" ht="28.5">
      <c r="A3070" s="160">
        <v>2</v>
      </c>
      <c r="B3070" s="160" t="s">
        <v>985</v>
      </c>
      <c r="C3070" s="157" t="s">
        <v>1</v>
      </c>
      <c r="D3070" s="159">
        <v>19.2</v>
      </c>
      <c r="E3070" s="159">
        <v>600.08000000000004</v>
      </c>
      <c r="F3070" s="159">
        <v>11521.54</v>
      </c>
      <c r="G3070" s="160" t="s">
        <v>980</v>
      </c>
    </row>
    <row r="3071" spans="1:7" ht="28.5">
      <c r="A3071" s="160">
        <v>3</v>
      </c>
      <c r="B3071" s="160" t="s">
        <v>26</v>
      </c>
      <c r="C3071" s="157" t="s">
        <v>1</v>
      </c>
      <c r="D3071" s="159">
        <v>48</v>
      </c>
      <c r="E3071" s="159">
        <v>663.18</v>
      </c>
      <c r="F3071" s="159">
        <v>31832.639999999999</v>
      </c>
      <c r="G3071" s="160" t="s">
        <v>1117</v>
      </c>
    </row>
    <row r="3072" spans="1:7" ht="57">
      <c r="A3072" s="160">
        <v>4</v>
      </c>
      <c r="B3072" s="160" t="s">
        <v>4519</v>
      </c>
      <c r="C3072" s="157" t="s">
        <v>0</v>
      </c>
      <c r="D3072" s="159">
        <v>38.4</v>
      </c>
      <c r="E3072" s="159">
        <v>1625.82</v>
      </c>
      <c r="F3072" s="159">
        <v>62431.49</v>
      </c>
      <c r="G3072" s="160" t="s">
        <v>5472</v>
      </c>
    </row>
    <row r="3073" spans="1:7" ht="28.5">
      <c r="A3073" s="160">
        <v>5</v>
      </c>
      <c r="B3073" s="160" t="s">
        <v>3639</v>
      </c>
      <c r="C3073" s="157" t="s">
        <v>0</v>
      </c>
      <c r="D3073" s="159">
        <v>0.8</v>
      </c>
      <c r="E3073" s="159">
        <v>7642.97</v>
      </c>
      <c r="F3073" s="159">
        <v>6114.38</v>
      </c>
      <c r="G3073" s="160" t="s">
        <v>1191</v>
      </c>
    </row>
    <row r="3074" spans="1:7" ht="42.75">
      <c r="A3074" s="160">
        <v>6</v>
      </c>
      <c r="B3074" s="160" t="s">
        <v>3640</v>
      </c>
      <c r="C3074" s="157" t="s">
        <v>0</v>
      </c>
      <c r="D3074" s="159">
        <v>2.4</v>
      </c>
      <c r="E3074" s="159">
        <v>7585.76</v>
      </c>
      <c r="F3074" s="159">
        <v>18205.82</v>
      </c>
      <c r="G3074" s="160" t="s">
        <v>1202</v>
      </c>
    </row>
    <row r="3075" spans="1:7" ht="28.5">
      <c r="A3075" s="160">
        <v>7</v>
      </c>
      <c r="B3075" s="160" t="s">
        <v>1149</v>
      </c>
      <c r="C3075" s="157" t="s">
        <v>3</v>
      </c>
      <c r="D3075" s="159">
        <v>16</v>
      </c>
      <c r="E3075" s="159">
        <v>16.329999999999998</v>
      </c>
      <c r="F3075" s="159">
        <v>261.27999999999997</v>
      </c>
      <c r="G3075" s="160" t="s">
        <v>1178</v>
      </c>
    </row>
    <row r="3076" spans="1:7" ht="28.5">
      <c r="A3076" s="160">
        <v>8</v>
      </c>
      <c r="B3076" s="160" t="s">
        <v>1140</v>
      </c>
      <c r="C3076" s="157" t="s">
        <v>3</v>
      </c>
      <c r="D3076" s="159">
        <v>16</v>
      </c>
      <c r="E3076" s="159">
        <v>41.08</v>
      </c>
      <c r="F3076" s="159">
        <v>657.28</v>
      </c>
      <c r="G3076" s="160" t="s">
        <v>1173</v>
      </c>
    </row>
    <row r="3077" spans="1:7" ht="28.5">
      <c r="A3077" s="160">
        <v>9</v>
      </c>
      <c r="B3077" s="160" t="s">
        <v>1250</v>
      </c>
      <c r="C3077" s="157" t="s">
        <v>17</v>
      </c>
      <c r="D3077" s="159">
        <v>20</v>
      </c>
      <c r="E3077" s="159">
        <v>71.48</v>
      </c>
      <c r="F3077" s="159">
        <v>1429.6</v>
      </c>
      <c r="G3077" s="160" t="s">
        <v>1325</v>
      </c>
    </row>
    <row r="3078" spans="1:7" ht="28.5">
      <c r="A3078" s="160">
        <v>10</v>
      </c>
      <c r="B3078" s="160" t="s">
        <v>2572</v>
      </c>
      <c r="C3078" s="157" t="s">
        <v>14</v>
      </c>
      <c r="D3078" s="159">
        <v>1</v>
      </c>
      <c r="E3078" s="159">
        <v>1203.28</v>
      </c>
      <c r="F3078" s="159">
        <v>1203.28</v>
      </c>
      <c r="G3078" s="160" t="s">
        <v>2</v>
      </c>
    </row>
    <row r="3079" spans="1:7" ht="16.5">
      <c r="A3079" s="160">
        <v>11</v>
      </c>
      <c r="B3079" s="160" t="s">
        <v>2574</v>
      </c>
      <c r="C3079" s="157" t="s">
        <v>14</v>
      </c>
      <c r="D3079" s="159">
        <v>1</v>
      </c>
      <c r="E3079" s="159">
        <v>1851.2</v>
      </c>
      <c r="F3079" s="159">
        <v>1851.2</v>
      </c>
      <c r="G3079" s="160" t="s">
        <v>2</v>
      </c>
    </row>
    <row r="3080" spans="1:7" ht="42.75">
      <c r="A3080" s="160">
        <v>12</v>
      </c>
      <c r="B3080" s="160" t="s">
        <v>2287</v>
      </c>
      <c r="C3080" s="157" t="s">
        <v>14</v>
      </c>
      <c r="D3080" s="159">
        <v>1</v>
      </c>
      <c r="E3080" s="159">
        <v>18049.23</v>
      </c>
      <c r="F3080" s="159">
        <v>18049.23</v>
      </c>
      <c r="G3080" s="160" t="s">
        <v>5461</v>
      </c>
    </row>
    <row r="3081" spans="1:7" ht="16.5">
      <c r="A3081" s="160">
        <v>13</v>
      </c>
      <c r="B3081" s="160" t="s">
        <v>931</v>
      </c>
      <c r="C3081" s="157" t="s">
        <v>14</v>
      </c>
      <c r="D3081" s="159">
        <v>1</v>
      </c>
      <c r="E3081" s="159">
        <v>4581.55</v>
      </c>
      <c r="F3081" s="159">
        <v>4581.55</v>
      </c>
      <c r="G3081" s="160" t="s">
        <v>2</v>
      </c>
    </row>
    <row r="3082" spans="1:7" ht="16.5">
      <c r="A3082" s="160"/>
      <c r="B3082" s="160" t="s">
        <v>933</v>
      </c>
      <c r="C3082" s="157" t="s">
        <v>17</v>
      </c>
      <c r="D3082" s="159">
        <v>10</v>
      </c>
      <c r="E3082" s="159"/>
      <c r="F3082" s="159">
        <v>159444.22000000003</v>
      </c>
      <c r="G3082" s="160"/>
    </row>
    <row r="3083" spans="1:7" ht="16.5">
      <c r="A3083" s="160"/>
      <c r="B3083" s="160" t="s">
        <v>934</v>
      </c>
      <c r="C3083" s="157" t="s">
        <v>17</v>
      </c>
      <c r="D3083" s="159"/>
      <c r="E3083" s="159"/>
      <c r="F3083" s="159">
        <v>15944.42</v>
      </c>
      <c r="G3083" s="160"/>
    </row>
    <row r="3084" spans="1:7" ht="16.5">
      <c r="A3084" s="160"/>
      <c r="B3084" s="160"/>
      <c r="C3084" s="157"/>
      <c r="D3084" s="159"/>
      <c r="E3084" s="159"/>
      <c r="F3084" s="159"/>
      <c r="G3084" s="160"/>
    </row>
    <row r="3085" spans="1:7" ht="28.5">
      <c r="A3085" s="160" t="s">
        <v>5022</v>
      </c>
      <c r="B3085" s="160" t="s">
        <v>2605</v>
      </c>
      <c r="C3085" s="157" t="s">
        <v>17</v>
      </c>
      <c r="D3085" s="159">
        <v>10</v>
      </c>
      <c r="E3085" s="159">
        <v>18296.16</v>
      </c>
      <c r="F3085" s="159"/>
      <c r="G3085" s="160" t="s">
        <v>2</v>
      </c>
    </row>
    <row r="3086" spans="1:7" ht="42.75">
      <c r="A3086" s="160">
        <v>1</v>
      </c>
      <c r="B3086" s="160" t="s">
        <v>2579</v>
      </c>
      <c r="C3086" s="157" t="s">
        <v>1</v>
      </c>
      <c r="D3086" s="159">
        <v>28.8</v>
      </c>
      <c r="E3086" s="159">
        <v>63.21</v>
      </c>
      <c r="F3086" s="159">
        <v>1820.45</v>
      </c>
      <c r="G3086" s="160" t="s">
        <v>974</v>
      </c>
    </row>
    <row r="3087" spans="1:7" ht="28.5">
      <c r="A3087" s="160">
        <v>2</v>
      </c>
      <c r="B3087" s="160" t="s">
        <v>2214</v>
      </c>
      <c r="C3087" s="157" t="s">
        <v>1</v>
      </c>
      <c r="D3087" s="159">
        <v>19.2</v>
      </c>
      <c r="E3087" s="159">
        <v>1382.35</v>
      </c>
      <c r="F3087" s="159">
        <v>26541.119999999999</v>
      </c>
      <c r="G3087" s="160" t="s">
        <v>982</v>
      </c>
    </row>
    <row r="3088" spans="1:7" ht="57">
      <c r="A3088" s="160">
        <v>3</v>
      </c>
      <c r="B3088" s="160" t="s">
        <v>4519</v>
      </c>
      <c r="C3088" s="157" t="s">
        <v>0</v>
      </c>
      <c r="D3088" s="159">
        <v>38.4</v>
      </c>
      <c r="E3088" s="159">
        <v>1625.82</v>
      </c>
      <c r="F3088" s="159">
        <v>62431.49</v>
      </c>
      <c r="G3088" s="160" t="s">
        <v>5472</v>
      </c>
    </row>
    <row r="3089" spans="1:7" ht="28.5">
      <c r="A3089" s="160">
        <v>4</v>
      </c>
      <c r="B3089" s="160" t="s">
        <v>2216</v>
      </c>
      <c r="C3089" s="157" t="s">
        <v>1</v>
      </c>
      <c r="D3089" s="159">
        <v>48</v>
      </c>
      <c r="E3089" s="159">
        <v>784.56</v>
      </c>
      <c r="F3089" s="159">
        <v>37658.879999999997</v>
      </c>
      <c r="G3089" s="160" t="s">
        <v>2</v>
      </c>
    </row>
    <row r="3090" spans="1:7" ht="42.75">
      <c r="A3090" s="160">
        <v>5</v>
      </c>
      <c r="B3090" s="160" t="s">
        <v>4049</v>
      </c>
      <c r="C3090" s="157" t="s">
        <v>0</v>
      </c>
      <c r="D3090" s="159">
        <v>0.8</v>
      </c>
      <c r="E3090" s="159">
        <v>8102.76</v>
      </c>
      <c r="F3090" s="159">
        <v>6482.21</v>
      </c>
      <c r="G3090" s="160" t="s">
        <v>5473</v>
      </c>
    </row>
    <row r="3091" spans="1:7" ht="28.5">
      <c r="A3091" s="160">
        <v>6</v>
      </c>
      <c r="B3091" s="160" t="s">
        <v>1149</v>
      </c>
      <c r="C3091" s="157" t="s">
        <v>3</v>
      </c>
      <c r="D3091" s="159">
        <v>16</v>
      </c>
      <c r="E3091" s="159">
        <v>16.329999999999998</v>
      </c>
      <c r="F3091" s="159">
        <v>261.27999999999997</v>
      </c>
      <c r="G3091" s="160" t="s">
        <v>1178</v>
      </c>
    </row>
    <row r="3092" spans="1:7" ht="28.5">
      <c r="A3092" s="160">
        <v>7</v>
      </c>
      <c r="B3092" s="160" t="s">
        <v>1140</v>
      </c>
      <c r="C3092" s="157" t="s">
        <v>3</v>
      </c>
      <c r="D3092" s="159">
        <v>16</v>
      </c>
      <c r="E3092" s="159">
        <v>41.08</v>
      </c>
      <c r="F3092" s="159">
        <v>657.28</v>
      </c>
      <c r="G3092" s="160" t="s">
        <v>1173</v>
      </c>
    </row>
    <row r="3093" spans="1:7" ht="42.75">
      <c r="A3093" s="160">
        <v>8</v>
      </c>
      <c r="B3093" s="160" t="s">
        <v>4048</v>
      </c>
      <c r="C3093" s="157" t="s">
        <v>0</v>
      </c>
      <c r="D3093" s="159">
        <v>2.4</v>
      </c>
      <c r="E3093" s="159">
        <v>8045.56</v>
      </c>
      <c r="F3093" s="159">
        <v>19309.34</v>
      </c>
      <c r="G3093" s="160" t="s">
        <v>1214</v>
      </c>
    </row>
    <row r="3094" spans="1:7" ht="28.5">
      <c r="A3094" s="160">
        <v>9</v>
      </c>
      <c r="B3094" s="160" t="s">
        <v>1250</v>
      </c>
      <c r="C3094" s="157" t="s">
        <v>17</v>
      </c>
      <c r="D3094" s="159">
        <v>20</v>
      </c>
      <c r="E3094" s="159">
        <v>71.48</v>
      </c>
      <c r="F3094" s="159">
        <v>1429.6</v>
      </c>
      <c r="G3094" s="160" t="s">
        <v>1325</v>
      </c>
    </row>
    <row r="3095" spans="1:7" ht="28.5">
      <c r="A3095" s="160">
        <v>10</v>
      </c>
      <c r="B3095" s="160" t="s">
        <v>2572</v>
      </c>
      <c r="C3095" s="157" t="s">
        <v>14</v>
      </c>
      <c r="D3095" s="159">
        <v>1</v>
      </c>
      <c r="E3095" s="159">
        <v>1203.28</v>
      </c>
      <c r="F3095" s="159">
        <v>1203.28</v>
      </c>
      <c r="G3095" s="160" t="s">
        <v>2</v>
      </c>
    </row>
    <row r="3096" spans="1:7" ht="16.5">
      <c r="A3096" s="160">
        <v>11</v>
      </c>
      <c r="B3096" s="160" t="s">
        <v>2574</v>
      </c>
      <c r="C3096" s="157" t="s">
        <v>14</v>
      </c>
      <c r="D3096" s="159">
        <v>1</v>
      </c>
      <c r="E3096" s="159">
        <v>1851.2</v>
      </c>
      <c r="F3096" s="159">
        <v>1851.2</v>
      </c>
      <c r="G3096" s="160" t="s">
        <v>2</v>
      </c>
    </row>
    <row r="3097" spans="1:7" ht="42.75">
      <c r="A3097" s="160">
        <v>12</v>
      </c>
      <c r="B3097" s="160" t="s">
        <v>2287</v>
      </c>
      <c r="C3097" s="157" t="s">
        <v>14</v>
      </c>
      <c r="D3097" s="159">
        <v>1</v>
      </c>
      <c r="E3097" s="159">
        <v>18049.23</v>
      </c>
      <c r="F3097" s="159">
        <v>18049.23</v>
      </c>
      <c r="G3097" s="160" t="s">
        <v>5461</v>
      </c>
    </row>
    <row r="3098" spans="1:7" ht="16.5">
      <c r="A3098" s="160">
        <v>13</v>
      </c>
      <c r="B3098" s="160" t="s">
        <v>931</v>
      </c>
      <c r="C3098" s="157" t="s">
        <v>14</v>
      </c>
      <c r="D3098" s="159">
        <v>1</v>
      </c>
      <c r="E3098" s="159">
        <v>5266.27</v>
      </c>
      <c r="F3098" s="159">
        <v>5266.27</v>
      </c>
      <c r="G3098" s="160" t="s">
        <v>2</v>
      </c>
    </row>
    <row r="3099" spans="1:7" ht="16.5">
      <c r="A3099" s="160"/>
      <c r="B3099" s="160" t="s">
        <v>933</v>
      </c>
      <c r="C3099" s="157" t="s">
        <v>17</v>
      </c>
      <c r="D3099" s="159">
        <v>10</v>
      </c>
      <c r="E3099" s="159"/>
      <c r="F3099" s="159">
        <v>182961.63</v>
      </c>
      <c r="G3099" s="160"/>
    </row>
    <row r="3100" spans="1:7" ht="16.5">
      <c r="A3100" s="160"/>
      <c r="B3100" s="160" t="s">
        <v>934</v>
      </c>
      <c r="C3100" s="157" t="s">
        <v>17</v>
      </c>
      <c r="D3100" s="159"/>
      <c r="E3100" s="159"/>
      <c r="F3100" s="159">
        <v>18296.16</v>
      </c>
      <c r="G3100" s="160"/>
    </row>
    <row r="3101" spans="1:7" ht="16.5">
      <c r="A3101" s="160"/>
      <c r="B3101" s="160"/>
      <c r="C3101" s="157"/>
      <c r="D3101" s="159"/>
      <c r="E3101" s="159"/>
      <c r="F3101" s="159"/>
      <c r="G3101" s="160"/>
    </row>
    <row r="3102" spans="1:7" ht="28.5">
      <c r="A3102" s="160" t="s">
        <v>5023</v>
      </c>
      <c r="B3102" s="160" t="s">
        <v>2608</v>
      </c>
      <c r="C3102" s="157" t="s">
        <v>3</v>
      </c>
      <c r="D3102" s="159">
        <v>100</v>
      </c>
      <c r="E3102" s="159">
        <v>15.75</v>
      </c>
      <c r="F3102" s="159"/>
      <c r="G3102" s="160" t="s">
        <v>2</v>
      </c>
    </row>
    <row r="3103" spans="1:7" ht="16.5">
      <c r="A3103" s="160">
        <v>1</v>
      </c>
      <c r="B3103" s="160" t="s">
        <v>2610</v>
      </c>
      <c r="C3103" s="157" t="s">
        <v>927</v>
      </c>
      <c r="D3103" s="159">
        <v>2</v>
      </c>
      <c r="E3103" s="159">
        <v>379.5</v>
      </c>
      <c r="F3103" s="159">
        <v>759</v>
      </c>
      <c r="G3103" s="160" t="s">
        <v>2</v>
      </c>
    </row>
    <row r="3104" spans="1:7" ht="16.5">
      <c r="A3104" s="160">
        <v>2</v>
      </c>
      <c r="B3104" s="160" t="s">
        <v>4871</v>
      </c>
      <c r="C3104" s="157" t="s">
        <v>927</v>
      </c>
      <c r="D3104" s="159">
        <v>2</v>
      </c>
      <c r="E3104" s="159">
        <v>260.08999999999997</v>
      </c>
      <c r="F3104" s="159">
        <v>520.17999999999995</v>
      </c>
      <c r="G3104" s="160" t="s">
        <v>5435</v>
      </c>
    </row>
    <row r="3105" spans="1:7" ht="28.5">
      <c r="A3105" s="160">
        <v>3</v>
      </c>
      <c r="B3105" s="160" t="s">
        <v>2612</v>
      </c>
      <c r="C3105" s="157" t="s">
        <v>14</v>
      </c>
      <c r="D3105" s="159">
        <v>1</v>
      </c>
      <c r="E3105" s="159">
        <v>111.07</v>
      </c>
      <c r="F3105" s="159">
        <v>111.07</v>
      </c>
      <c r="G3105" s="160" t="s">
        <v>2</v>
      </c>
    </row>
    <row r="3106" spans="1:7" ht="42.75">
      <c r="A3106" s="160">
        <v>4</v>
      </c>
      <c r="B3106" s="160" t="s">
        <v>2614</v>
      </c>
      <c r="C3106" s="157" t="s">
        <v>14</v>
      </c>
      <c r="D3106" s="159">
        <v>1</v>
      </c>
      <c r="E3106" s="159">
        <v>138.84</v>
      </c>
      <c r="F3106" s="159">
        <v>138.84</v>
      </c>
      <c r="G3106" s="160" t="s">
        <v>2</v>
      </c>
    </row>
    <row r="3107" spans="1:7" ht="16.5">
      <c r="A3107" s="160">
        <v>5</v>
      </c>
      <c r="B3107" s="160" t="s">
        <v>931</v>
      </c>
      <c r="C3107" s="157" t="s">
        <v>14</v>
      </c>
      <c r="D3107" s="159">
        <v>1</v>
      </c>
      <c r="E3107" s="159">
        <v>45.87</v>
      </c>
      <c r="F3107" s="159">
        <v>45.87</v>
      </c>
      <c r="G3107" s="160" t="s">
        <v>2</v>
      </c>
    </row>
    <row r="3108" spans="1:7" ht="16.5">
      <c r="A3108" s="160"/>
      <c r="B3108" s="160" t="s">
        <v>933</v>
      </c>
      <c r="C3108" s="157" t="s">
        <v>3</v>
      </c>
      <c r="D3108" s="159">
        <v>100</v>
      </c>
      <c r="E3108" s="159"/>
      <c r="F3108" s="159">
        <v>1574.9599999999996</v>
      </c>
      <c r="G3108" s="160"/>
    </row>
    <row r="3109" spans="1:7" ht="16.5">
      <c r="A3109" s="160"/>
      <c r="B3109" s="160" t="s">
        <v>934</v>
      </c>
      <c r="C3109" s="157" t="s">
        <v>3</v>
      </c>
      <c r="D3109" s="159"/>
      <c r="E3109" s="159"/>
      <c r="F3109" s="159">
        <v>15.75</v>
      </c>
      <c r="G3109" s="160"/>
    </row>
    <row r="3110" spans="1:7" ht="16.5">
      <c r="A3110" s="160"/>
      <c r="B3110" s="160"/>
      <c r="C3110" s="157"/>
      <c r="D3110" s="159"/>
      <c r="E3110" s="159"/>
      <c r="F3110" s="159"/>
      <c r="G3110" s="160"/>
    </row>
    <row r="3111" spans="1:7" ht="42.75">
      <c r="A3111" s="160" t="s">
        <v>5024</v>
      </c>
      <c r="B3111" s="160" t="s">
        <v>2617</v>
      </c>
      <c r="C3111" s="157" t="s">
        <v>2618</v>
      </c>
      <c r="D3111" s="159">
        <v>1</v>
      </c>
      <c r="E3111" s="159">
        <v>711.32</v>
      </c>
      <c r="F3111" s="159"/>
      <c r="G3111" s="160" t="s">
        <v>4399</v>
      </c>
    </row>
    <row r="3112" spans="1:7" ht="42.75">
      <c r="A3112" s="160">
        <v>1</v>
      </c>
      <c r="B3112" s="160" t="s">
        <v>2620</v>
      </c>
      <c r="C3112" s="157" t="s">
        <v>2621</v>
      </c>
      <c r="D3112" s="159">
        <v>1</v>
      </c>
      <c r="E3112" s="159">
        <v>61.09</v>
      </c>
      <c r="F3112" s="159">
        <v>61.09</v>
      </c>
      <c r="G3112" s="160" t="s">
        <v>2</v>
      </c>
    </row>
    <row r="3113" spans="1:7" ht="16.5">
      <c r="A3113" s="160">
        <v>2</v>
      </c>
      <c r="B3113" s="160" t="s">
        <v>5025</v>
      </c>
      <c r="C3113" s="157" t="s">
        <v>927</v>
      </c>
      <c r="D3113" s="159">
        <v>1</v>
      </c>
      <c r="E3113" s="159">
        <v>260.08999999999997</v>
      </c>
      <c r="F3113" s="159">
        <v>260.08999999999997</v>
      </c>
      <c r="G3113" s="160" t="s">
        <v>2</v>
      </c>
    </row>
    <row r="3114" spans="1:7" ht="28.5">
      <c r="A3114" s="160">
        <v>3</v>
      </c>
      <c r="B3114" s="160" t="s">
        <v>5026</v>
      </c>
      <c r="C3114" s="157" t="s">
        <v>927</v>
      </c>
      <c r="D3114" s="159">
        <v>1.5</v>
      </c>
      <c r="E3114" s="159">
        <v>260.08999999999997</v>
      </c>
      <c r="F3114" s="159">
        <v>390.14</v>
      </c>
      <c r="G3114" s="160" t="s">
        <v>2</v>
      </c>
    </row>
    <row r="3115" spans="1:7" ht="16.5">
      <c r="A3115" s="160"/>
      <c r="B3115" s="160" t="s">
        <v>933</v>
      </c>
      <c r="C3115" s="157" t="s">
        <v>2618</v>
      </c>
      <c r="D3115" s="159">
        <v>1</v>
      </c>
      <c r="E3115" s="159"/>
      <c r="F3115" s="159">
        <v>711.31999999999994</v>
      </c>
      <c r="G3115" s="160"/>
    </row>
    <row r="3116" spans="1:7" ht="16.5">
      <c r="A3116" s="160"/>
      <c r="B3116" s="160" t="s">
        <v>934</v>
      </c>
      <c r="C3116" s="157" t="s">
        <v>2618</v>
      </c>
      <c r="D3116" s="159"/>
      <c r="E3116" s="159"/>
      <c r="F3116" s="159">
        <v>711.32</v>
      </c>
      <c r="G3116" s="160"/>
    </row>
    <row r="3117" spans="1:7" ht="16.5">
      <c r="A3117" s="160"/>
      <c r="B3117" s="160"/>
      <c r="C3117" s="157"/>
      <c r="D3117" s="159"/>
      <c r="E3117" s="159"/>
      <c r="F3117" s="159"/>
      <c r="G3117" s="160"/>
    </row>
    <row r="3118" spans="1:7" ht="42.75">
      <c r="A3118" s="160" t="s">
        <v>5027</v>
      </c>
      <c r="B3118" s="160" t="s">
        <v>2626</v>
      </c>
      <c r="C3118" s="157" t="s">
        <v>2618</v>
      </c>
      <c r="D3118" s="159">
        <v>1</v>
      </c>
      <c r="E3118" s="159">
        <v>748.34</v>
      </c>
      <c r="F3118" s="159"/>
      <c r="G3118" s="160" t="s">
        <v>4399</v>
      </c>
    </row>
    <row r="3119" spans="1:7" ht="42.75">
      <c r="A3119" s="160">
        <v>1</v>
      </c>
      <c r="B3119" s="160" t="s">
        <v>2620</v>
      </c>
      <c r="C3119" s="157" t="s">
        <v>2621</v>
      </c>
      <c r="D3119" s="159">
        <v>1</v>
      </c>
      <c r="E3119" s="159">
        <v>61.09</v>
      </c>
      <c r="F3119" s="159">
        <v>61.09</v>
      </c>
      <c r="G3119" s="160" t="s">
        <v>2</v>
      </c>
    </row>
    <row r="3120" spans="1:7" ht="42.75">
      <c r="A3120" s="160">
        <v>2</v>
      </c>
      <c r="B3120" s="160" t="s">
        <v>2628</v>
      </c>
      <c r="C3120" s="157" t="s">
        <v>2618</v>
      </c>
      <c r="D3120" s="159">
        <v>1</v>
      </c>
      <c r="E3120" s="159">
        <v>37.020000000000003</v>
      </c>
      <c r="F3120" s="159">
        <v>37.020000000000003</v>
      </c>
      <c r="G3120" s="160" t="s">
        <v>2</v>
      </c>
    </row>
    <row r="3121" spans="1:7" ht="16.5">
      <c r="A3121" s="160">
        <v>3</v>
      </c>
      <c r="B3121" s="160" t="s">
        <v>5025</v>
      </c>
      <c r="C3121" s="157" t="s">
        <v>927</v>
      </c>
      <c r="D3121" s="159">
        <v>1</v>
      </c>
      <c r="E3121" s="159">
        <v>260.08999999999997</v>
      </c>
      <c r="F3121" s="159">
        <v>260.08999999999997</v>
      </c>
      <c r="G3121" s="160" t="s">
        <v>2</v>
      </c>
    </row>
    <row r="3122" spans="1:7" ht="28.5">
      <c r="A3122" s="160">
        <v>4</v>
      </c>
      <c r="B3122" s="160" t="s">
        <v>5026</v>
      </c>
      <c r="C3122" s="157" t="s">
        <v>927</v>
      </c>
      <c r="D3122" s="159">
        <v>1.5</v>
      </c>
      <c r="E3122" s="159">
        <v>260.08999999999997</v>
      </c>
      <c r="F3122" s="159">
        <v>390.14</v>
      </c>
      <c r="G3122" s="160" t="s">
        <v>2</v>
      </c>
    </row>
    <row r="3123" spans="1:7" ht="16.5">
      <c r="A3123" s="160"/>
      <c r="B3123" s="160" t="s">
        <v>933</v>
      </c>
      <c r="C3123" s="157" t="s">
        <v>2618</v>
      </c>
      <c r="D3123" s="159">
        <v>1</v>
      </c>
      <c r="E3123" s="159"/>
      <c r="F3123" s="159">
        <v>748.33999999999992</v>
      </c>
      <c r="G3123" s="160"/>
    </row>
    <row r="3124" spans="1:7" ht="16.5">
      <c r="A3124" s="160"/>
      <c r="B3124" s="160" t="s">
        <v>934</v>
      </c>
      <c r="C3124" s="157" t="s">
        <v>2618</v>
      </c>
      <c r="D3124" s="159"/>
      <c r="E3124" s="159"/>
      <c r="F3124" s="159">
        <v>748.34</v>
      </c>
      <c r="G3124" s="160"/>
    </row>
    <row r="3125" spans="1:7" ht="16.5">
      <c r="A3125" s="160"/>
      <c r="B3125" s="160"/>
      <c r="C3125" s="157"/>
      <c r="D3125" s="159"/>
      <c r="E3125" s="159"/>
      <c r="F3125" s="159"/>
      <c r="G3125" s="160"/>
    </row>
    <row r="3126" spans="1:7" ht="28.5">
      <c r="A3126" s="160" t="s">
        <v>5028</v>
      </c>
      <c r="B3126" s="160" t="s">
        <v>2631</v>
      </c>
      <c r="C3126" s="157" t="s">
        <v>17</v>
      </c>
      <c r="D3126" s="159">
        <v>1.5</v>
      </c>
      <c r="E3126" s="159">
        <v>3389.77</v>
      </c>
      <c r="F3126" s="159"/>
      <c r="G3126" s="160" t="s">
        <v>4400</v>
      </c>
    </row>
    <row r="3127" spans="1:7" ht="28.5">
      <c r="A3127" s="160">
        <v>1</v>
      </c>
      <c r="B3127" s="160" t="s">
        <v>2633</v>
      </c>
      <c r="C3127" s="157" t="s">
        <v>14</v>
      </c>
      <c r="D3127" s="159">
        <v>1</v>
      </c>
      <c r="E3127" s="159">
        <v>2742.52</v>
      </c>
      <c r="F3127" s="159">
        <v>2742.52</v>
      </c>
      <c r="G3127" s="160" t="s">
        <v>2</v>
      </c>
    </row>
    <row r="3128" spans="1:7" ht="28.5">
      <c r="A3128" s="160">
        <v>2</v>
      </c>
      <c r="B3128" s="160" t="s">
        <v>2635</v>
      </c>
      <c r="C3128" s="157" t="s">
        <v>14</v>
      </c>
      <c r="D3128" s="159">
        <v>1</v>
      </c>
      <c r="E3128" s="159">
        <v>1246.5999999999999</v>
      </c>
      <c r="F3128" s="159">
        <v>1246.5999999999999</v>
      </c>
      <c r="G3128" s="160" t="s">
        <v>2</v>
      </c>
    </row>
    <row r="3129" spans="1:7" ht="28.5">
      <c r="A3129" s="160">
        <v>3</v>
      </c>
      <c r="B3129" s="160" t="s">
        <v>2637</v>
      </c>
      <c r="C3129" s="157" t="s">
        <v>14</v>
      </c>
      <c r="D3129" s="159">
        <v>1</v>
      </c>
      <c r="E3129" s="159">
        <v>236.85</v>
      </c>
      <c r="F3129" s="159">
        <v>236.85</v>
      </c>
      <c r="G3129" s="160" t="s">
        <v>2</v>
      </c>
    </row>
    <row r="3130" spans="1:7" ht="16.5">
      <c r="A3130" s="160">
        <v>4</v>
      </c>
      <c r="B3130" s="160" t="s">
        <v>2639</v>
      </c>
      <c r="C3130" s="157" t="s">
        <v>1818</v>
      </c>
      <c r="D3130" s="159">
        <v>1</v>
      </c>
      <c r="E3130" s="159">
        <v>710.58</v>
      </c>
      <c r="F3130" s="159">
        <v>710.58</v>
      </c>
      <c r="G3130" s="160" t="s">
        <v>2</v>
      </c>
    </row>
    <row r="3131" spans="1:7" ht="16.5">
      <c r="A3131" s="160">
        <v>5</v>
      </c>
      <c r="B3131" s="160" t="s">
        <v>931</v>
      </c>
      <c r="C3131" s="157" t="s">
        <v>14</v>
      </c>
      <c r="D3131" s="159">
        <v>1</v>
      </c>
      <c r="E3131" s="159">
        <v>148.1</v>
      </c>
      <c r="F3131" s="159">
        <v>148.1</v>
      </c>
      <c r="G3131" s="160" t="s">
        <v>2</v>
      </c>
    </row>
    <row r="3132" spans="1:7" ht="16.5">
      <c r="A3132" s="160"/>
      <c r="B3132" s="160" t="s">
        <v>933</v>
      </c>
      <c r="C3132" s="157" t="s">
        <v>17</v>
      </c>
      <c r="D3132" s="159">
        <v>1.5</v>
      </c>
      <c r="E3132" s="159"/>
      <c r="F3132" s="159">
        <v>5084.6500000000005</v>
      </c>
      <c r="G3132" s="160"/>
    </row>
    <row r="3133" spans="1:7" ht="16.5">
      <c r="A3133" s="160"/>
      <c r="B3133" s="160" t="s">
        <v>934</v>
      </c>
      <c r="C3133" s="157" t="s">
        <v>17</v>
      </c>
      <c r="D3133" s="159"/>
      <c r="E3133" s="159"/>
      <c r="F3133" s="159">
        <v>3389.77</v>
      </c>
      <c r="G3133" s="160"/>
    </row>
    <row r="3134" spans="1:7" ht="16.5">
      <c r="A3134" s="160"/>
      <c r="B3134" s="160"/>
      <c r="C3134" s="157"/>
      <c r="D3134" s="159"/>
      <c r="E3134" s="159"/>
      <c r="F3134" s="159"/>
      <c r="G3134" s="160"/>
    </row>
    <row r="3135" spans="1:7" ht="28.5">
      <c r="A3135" s="160" t="s">
        <v>5029</v>
      </c>
      <c r="B3135" s="160" t="s">
        <v>2642</v>
      </c>
      <c r="C3135" s="157" t="s">
        <v>17</v>
      </c>
      <c r="D3135" s="159">
        <v>1</v>
      </c>
      <c r="E3135" s="159">
        <v>2386.38</v>
      </c>
      <c r="F3135" s="159"/>
      <c r="G3135" s="160" t="s">
        <v>4400</v>
      </c>
    </row>
    <row r="3136" spans="1:7" ht="28.5">
      <c r="A3136" s="160">
        <v>1</v>
      </c>
      <c r="B3136" s="160" t="s">
        <v>2644</v>
      </c>
      <c r="C3136" s="157" t="s">
        <v>14</v>
      </c>
      <c r="D3136" s="159">
        <v>1</v>
      </c>
      <c r="E3136" s="159">
        <v>1287.1500000000001</v>
      </c>
      <c r="F3136" s="159">
        <v>1287.1500000000001</v>
      </c>
      <c r="G3136" s="160" t="s">
        <v>2</v>
      </c>
    </row>
    <row r="3137" spans="1:7" ht="28.5">
      <c r="A3137" s="160">
        <v>2</v>
      </c>
      <c r="B3137" s="160" t="s">
        <v>2646</v>
      </c>
      <c r="C3137" s="157" t="s">
        <v>14</v>
      </c>
      <c r="D3137" s="159">
        <v>1</v>
      </c>
      <c r="E3137" s="159">
        <v>585.07000000000005</v>
      </c>
      <c r="F3137" s="159">
        <v>585.07000000000005</v>
      </c>
      <c r="G3137" s="160" t="s">
        <v>2</v>
      </c>
    </row>
    <row r="3138" spans="1:7" ht="28.5">
      <c r="A3138" s="160">
        <v>3</v>
      </c>
      <c r="B3138" s="160" t="s">
        <v>2648</v>
      </c>
      <c r="C3138" s="157" t="s">
        <v>14</v>
      </c>
      <c r="D3138" s="159">
        <v>1</v>
      </c>
      <c r="E3138" s="159">
        <v>111.16</v>
      </c>
      <c r="F3138" s="159">
        <v>111.16</v>
      </c>
      <c r="G3138" s="160" t="s">
        <v>2</v>
      </c>
    </row>
    <row r="3139" spans="1:7" ht="16.5">
      <c r="A3139" s="160">
        <v>4</v>
      </c>
      <c r="B3139" s="160" t="s">
        <v>2650</v>
      </c>
      <c r="C3139" s="157" t="s">
        <v>14</v>
      </c>
      <c r="D3139" s="159">
        <v>1</v>
      </c>
      <c r="E3139" s="159">
        <v>333.49</v>
      </c>
      <c r="F3139" s="159">
        <v>333.49</v>
      </c>
      <c r="G3139" s="160" t="s">
        <v>2</v>
      </c>
    </row>
    <row r="3140" spans="1:7" ht="16.5">
      <c r="A3140" s="160">
        <v>5</v>
      </c>
      <c r="B3140" s="160" t="s">
        <v>931</v>
      </c>
      <c r="C3140" s="157" t="s">
        <v>14</v>
      </c>
      <c r="D3140" s="159">
        <v>1</v>
      </c>
      <c r="E3140" s="159">
        <v>69.510000000000005</v>
      </c>
      <c r="F3140" s="159">
        <v>69.510000000000005</v>
      </c>
      <c r="G3140" s="160" t="s">
        <v>2</v>
      </c>
    </row>
    <row r="3141" spans="1:7" ht="16.5">
      <c r="A3141" s="160"/>
      <c r="B3141" s="160" t="s">
        <v>933</v>
      </c>
      <c r="C3141" s="157" t="s">
        <v>17</v>
      </c>
      <c r="D3141" s="159">
        <v>1</v>
      </c>
      <c r="E3141" s="159"/>
      <c r="F3141" s="159">
        <v>2386.3800000000006</v>
      </c>
      <c r="G3141" s="160"/>
    </row>
    <row r="3142" spans="1:7" ht="16.5">
      <c r="A3142" s="160"/>
      <c r="B3142" s="160" t="s">
        <v>934</v>
      </c>
      <c r="C3142" s="157" t="s">
        <v>17</v>
      </c>
      <c r="D3142" s="159"/>
      <c r="E3142" s="159"/>
      <c r="F3142" s="159">
        <v>2386.38</v>
      </c>
      <c r="G3142" s="160"/>
    </row>
    <row r="3143" spans="1:7" ht="16.5">
      <c r="A3143" s="160"/>
      <c r="B3143" s="160"/>
      <c r="C3143" s="157"/>
      <c r="D3143" s="159"/>
      <c r="E3143" s="159"/>
      <c r="F3143" s="159"/>
      <c r="G3143" s="160"/>
    </row>
    <row r="3144" spans="1:7" ht="28.5">
      <c r="A3144" s="160" t="s">
        <v>5030</v>
      </c>
      <c r="B3144" s="160" t="s">
        <v>3657</v>
      </c>
      <c r="C3144" s="157" t="s">
        <v>3658</v>
      </c>
      <c r="D3144" s="159">
        <v>3</v>
      </c>
      <c r="E3144" s="159">
        <v>2439.69</v>
      </c>
      <c r="F3144" s="159"/>
      <c r="G3144" s="160" t="s">
        <v>2</v>
      </c>
    </row>
    <row r="3145" spans="1:7" ht="42.75">
      <c r="A3145" s="160">
        <v>1</v>
      </c>
      <c r="B3145" s="160" t="s">
        <v>4050</v>
      </c>
      <c r="C3145" s="157" t="s">
        <v>3658</v>
      </c>
      <c r="D3145" s="159">
        <v>3</v>
      </c>
      <c r="E3145" s="159">
        <v>883.95</v>
      </c>
      <c r="F3145" s="159">
        <v>2651.85</v>
      </c>
      <c r="G3145" s="160" t="s">
        <v>2</v>
      </c>
    </row>
    <row r="3146" spans="1:7" ht="16.5">
      <c r="A3146" s="160">
        <v>2</v>
      </c>
      <c r="B3146" s="160" t="s">
        <v>4051</v>
      </c>
      <c r="C3146" s="157" t="s">
        <v>927</v>
      </c>
      <c r="D3146" s="159">
        <v>12</v>
      </c>
      <c r="E3146" s="159">
        <v>371.17</v>
      </c>
      <c r="F3146" s="159">
        <v>4454.04</v>
      </c>
      <c r="G3146" s="160" t="s">
        <v>2</v>
      </c>
    </row>
    <row r="3147" spans="1:7" ht="16.5">
      <c r="A3147" s="160">
        <v>3</v>
      </c>
      <c r="B3147" s="160" t="s">
        <v>931</v>
      </c>
      <c r="C3147" s="157" t="s">
        <v>14</v>
      </c>
      <c r="D3147" s="159">
        <v>1</v>
      </c>
      <c r="E3147" s="159">
        <v>213.18</v>
      </c>
      <c r="F3147" s="159">
        <v>213.18</v>
      </c>
      <c r="G3147" s="160" t="s">
        <v>2</v>
      </c>
    </row>
    <row r="3148" spans="1:7" ht="16.5">
      <c r="A3148" s="160"/>
      <c r="B3148" s="160" t="s">
        <v>933</v>
      </c>
      <c r="C3148" s="157" t="s">
        <v>3658</v>
      </c>
      <c r="D3148" s="159">
        <v>3</v>
      </c>
      <c r="E3148" s="159"/>
      <c r="F3148" s="159">
        <v>7319.07</v>
      </c>
      <c r="G3148" s="160"/>
    </row>
    <row r="3149" spans="1:7" ht="16.5">
      <c r="A3149" s="160"/>
      <c r="B3149" s="160" t="s">
        <v>934</v>
      </c>
      <c r="C3149" s="157" t="s">
        <v>3658</v>
      </c>
      <c r="D3149" s="159"/>
      <c r="E3149" s="159"/>
      <c r="F3149" s="159">
        <v>2439.69</v>
      </c>
      <c r="G3149" s="160"/>
    </row>
    <row r="3150" spans="1:7" ht="16.5">
      <c r="A3150" s="160"/>
      <c r="B3150" s="160"/>
      <c r="C3150" s="157"/>
      <c r="D3150" s="159"/>
      <c r="E3150" s="159"/>
      <c r="F3150" s="159"/>
      <c r="G3150" s="160"/>
    </row>
    <row r="3151" spans="1:7" ht="28.5">
      <c r="A3151" s="160" t="s">
        <v>5034</v>
      </c>
      <c r="B3151" s="160" t="s">
        <v>2653</v>
      </c>
      <c r="C3151" s="157" t="s">
        <v>17</v>
      </c>
      <c r="D3151" s="159">
        <v>40</v>
      </c>
      <c r="E3151" s="159">
        <v>271.88</v>
      </c>
      <c r="F3151" s="159"/>
      <c r="G3151" s="160" t="s">
        <v>2</v>
      </c>
    </row>
    <row r="3152" spans="1:7" ht="42.75">
      <c r="A3152" s="160">
        <v>1</v>
      </c>
      <c r="B3152" s="160" t="s">
        <v>2654</v>
      </c>
      <c r="C3152" s="157" t="s">
        <v>17</v>
      </c>
      <c r="D3152" s="159">
        <v>4</v>
      </c>
      <c r="E3152" s="159">
        <v>1737.55</v>
      </c>
      <c r="F3152" s="159">
        <v>6950.2</v>
      </c>
      <c r="G3152" s="160" t="s">
        <v>2</v>
      </c>
    </row>
    <row r="3153" spans="1:7" ht="16.5">
      <c r="A3153" s="160">
        <v>2</v>
      </c>
      <c r="B3153" s="160" t="s">
        <v>2656</v>
      </c>
      <c r="C3153" s="157" t="s">
        <v>17</v>
      </c>
      <c r="D3153" s="159">
        <v>2.15</v>
      </c>
      <c r="E3153" s="159">
        <v>179.8</v>
      </c>
      <c r="F3153" s="159">
        <v>386.57</v>
      </c>
      <c r="G3153" s="160" t="s">
        <v>2</v>
      </c>
    </row>
    <row r="3154" spans="1:7" ht="16.5">
      <c r="A3154" s="160">
        <v>3</v>
      </c>
      <c r="B3154" s="160" t="s">
        <v>2658</v>
      </c>
      <c r="C3154" s="157" t="s">
        <v>17</v>
      </c>
      <c r="D3154" s="159">
        <v>8</v>
      </c>
      <c r="E3154" s="159">
        <v>60.26</v>
      </c>
      <c r="F3154" s="159">
        <v>482.08</v>
      </c>
      <c r="G3154" s="160" t="s">
        <v>2</v>
      </c>
    </row>
    <row r="3155" spans="1:7" ht="28.5">
      <c r="A3155" s="160">
        <v>4</v>
      </c>
      <c r="B3155" s="160" t="s">
        <v>2660</v>
      </c>
      <c r="C3155" s="157" t="s">
        <v>14</v>
      </c>
      <c r="D3155" s="159">
        <v>1</v>
      </c>
      <c r="E3155" s="159">
        <v>2739.78</v>
      </c>
      <c r="F3155" s="159">
        <v>2739.78</v>
      </c>
      <c r="G3155" s="160" t="s">
        <v>2</v>
      </c>
    </row>
    <row r="3156" spans="1:7" ht="16.5">
      <c r="A3156" s="160">
        <v>5</v>
      </c>
      <c r="B3156" s="160" t="s">
        <v>931</v>
      </c>
      <c r="C3156" s="157" t="s">
        <v>14</v>
      </c>
      <c r="D3156" s="159">
        <v>1</v>
      </c>
      <c r="E3156" s="159">
        <v>316.76</v>
      </c>
      <c r="F3156" s="159">
        <v>316.76</v>
      </c>
      <c r="G3156" s="160" t="s">
        <v>2</v>
      </c>
    </row>
    <row r="3157" spans="1:7" ht="16.5">
      <c r="A3157" s="160"/>
      <c r="B3157" s="160" t="s">
        <v>933</v>
      </c>
      <c r="C3157" s="157" t="s">
        <v>17</v>
      </c>
      <c r="D3157" s="159">
        <v>40</v>
      </c>
      <c r="E3157" s="159"/>
      <c r="F3157" s="159">
        <v>10875.39</v>
      </c>
      <c r="G3157" s="160"/>
    </row>
    <row r="3158" spans="1:7" ht="16.5">
      <c r="A3158" s="160"/>
      <c r="B3158" s="160" t="s">
        <v>934</v>
      </c>
      <c r="C3158" s="157" t="s">
        <v>17</v>
      </c>
      <c r="D3158" s="159"/>
      <c r="E3158" s="159"/>
      <c r="F3158" s="159">
        <v>271.88</v>
      </c>
      <c r="G3158" s="160"/>
    </row>
    <row r="3159" spans="1:7" ht="16.5">
      <c r="A3159" s="160"/>
      <c r="B3159" s="160"/>
      <c r="C3159" s="157"/>
      <c r="D3159" s="159"/>
      <c r="E3159" s="159"/>
      <c r="F3159" s="159"/>
      <c r="G3159" s="160"/>
    </row>
    <row r="3160" spans="1:7" ht="28.5">
      <c r="A3160" s="160" t="s">
        <v>5036</v>
      </c>
      <c r="B3160" s="160" t="s">
        <v>2663</v>
      </c>
      <c r="C3160" s="157" t="s">
        <v>17</v>
      </c>
      <c r="D3160" s="159">
        <v>18</v>
      </c>
      <c r="E3160" s="159">
        <v>236.35</v>
      </c>
      <c r="F3160" s="159"/>
      <c r="G3160" s="160" t="s">
        <v>4403</v>
      </c>
    </row>
    <row r="3161" spans="1:7" ht="16.5">
      <c r="A3161" s="160">
        <v>1</v>
      </c>
      <c r="B3161" s="160" t="s">
        <v>2049</v>
      </c>
      <c r="C3161" s="157" t="s">
        <v>18</v>
      </c>
      <c r="D3161" s="159">
        <v>98</v>
      </c>
      <c r="E3161" s="159">
        <v>29.62</v>
      </c>
      <c r="F3161" s="159">
        <v>2902.76</v>
      </c>
      <c r="G3161" s="160" t="s">
        <v>2</v>
      </c>
    </row>
    <row r="3162" spans="1:7" ht="28.5">
      <c r="A3162" s="160">
        <v>2</v>
      </c>
      <c r="B3162" s="160" t="s">
        <v>2660</v>
      </c>
      <c r="C3162" s="157" t="s">
        <v>2665</v>
      </c>
      <c r="D3162" s="159">
        <v>98</v>
      </c>
      <c r="E3162" s="159">
        <v>11.11</v>
      </c>
      <c r="F3162" s="159">
        <v>1088.78</v>
      </c>
      <c r="G3162" s="160" t="s">
        <v>2</v>
      </c>
    </row>
    <row r="3163" spans="1:7" ht="28.5">
      <c r="A3163" s="160">
        <v>3</v>
      </c>
      <c r="B3163" s="160" t="s">
        <v>2667</v>
      </c>
      <c r="C3163" s="157" t="s">
        <v>14</v>
      </c>
      <c r="D3163" s="159">
        <v>1</v>
      </c>
      <c r="E3163" s="159">
        <v>138.84</v>
      </c>
      <c r="F3163" s="159">
        <v>138.84</v>
      </c>
      <c r="G3163" s="160" t="s">
        <v>2</v>
      </c>
    </row>
    <row r="3164" spans="1:7" ht="16.5">
      <c r="A3164" s="160">
        <v>4</v>
      </c>
      <c r="B3164" s="160" t="s">
        <v>931</v>
      </c>
      <c r="C3164" s="157" t="s">
        <v>14</v>
      </c>
      <c r="D3164" s="159">
        <v>1</v>
      </c>
      <c r="E3164" s="159">
        <v>123.91</v>
      </c>
      <c r="F3164" s="159">
        <v>123.91</v>
      </c>
      <c r="G3164" s="160" t="s">
        <v>2</v>
      </c>
    </row>
    <row r="3165" spans="1:7" ht="16.5">
      <c r="A3165" s="160"/>
      <c r="B3165" s="160" t="s">
        <v>933</v>
      </c>
      <c r="C3165" s="157" t="s">
        <v>17</v>
      </c>
      <c r="D3165" s="159">
        <v>18</v>
      </c>
      <c r="E3165" s="159"/>
      <c r="F3165" s="159">
        <v>4254.29</v>
      </c>
      <c r="G3165" s="160"/>
    </row>
    <row r="3166" spans="1:7" ht="16.5">
      <c r="A3166" s="160"/>
      <c r="B3166" s="160" t="s">
        <v>934</v>
      </c>
      <c r="C3166" s="157" t="s">
        <v>17</v>
      </c>
      <c r="D3166" s="159"/>
      <c r="E3166" s="159"/>
      <c r="F3166" s="159">
        <v>236.35</v>
      </c>
      <c r="G3166" s="160"/>
    </row>
    <row r="3167" spans="1:7" ht="16.5">
      <c r="A3167" s="160"/>
      <c r="B3167" s="160"/>
      <c r="C3167" s="157"/>
      <c r="D3167" s="159"/>
      <c r="E3167" s="159"/>
      <c r="F3167" s="159"/>
      <c r="G3167" s="160"/>
    </row>
    <row r="3168" spans="1:7" ht="28.5">
      <c r="A3168" s="160" t="s">
        <v>5037</v>
      </c>
      <c r="B3168" s="160" t="s">
        <v>2670</v>
      </c>
      <c r="C3168" s="157" t="s">
        <v>3</v>
      </c>
      <c r="D3168" s="159">
        <v>1</v>
      </c>
      <c r="E3168" s="159">
        <v>1104.48</v>
      </c>
      <c r="F3168" s="159"/>
      <c r="G3168" s="160" t="s">
        <v>2</v>
      </c>
    </row>
    <row r="3169" spans="1:7" ht="28.5">
      <c r="A3169" s="160">
        <v>1</v>
      </c>
      <c r="B3169" s="160" t="s">
        <v>2672</v>
      </c>
      <c r="C3169" s="157" t="s">
        <v>3</v>
      </c>
      <c r="D3169" s="159">
        <v>1.1499999999999999</v>
      </c>
      <c r="E3169" s="159">
        <v>925.6</v>
      </c>
      <c r="F3169" s="159">
        <v>1064.44</v>
      </c>
      <c r="G3169" s="160" t="s">
        <v>2</v>
      </c>
    </row>
    <row r="3170" spans="1:7" ht="28.5">
      <c r="A3170" s="160">
        <v>2</v>
      </c>
      <c r="B3170" s="160" t="s">
        <v>2674</v>
      </c>
      <c r="C3170" s="157" t="s">
        <v>2675</v>
      </c>
      <c r="D3170" s="159">
        <v>0.01</v>
      </c>
      <c r="E3170" s="159">
        <v>786.76</v>
      </c>
      <c r="F3170" s="159">
        <v>7.87</v>
      </c>
      <c r="G3170" s="160" t="s">
        <v>2</v>
      </c>
    </row>
    <row r="3171" spans="1:7" ht="16.5">
      <c r="A3171" s="160">
        <v>3</v>
      </c>
      <c r="B3171" s="160" t="s">
        <v>931</v>
      </c>
      <c r="C3171" s="157" t="s">
        <v>14</v>
      </c>
      <c r="D3171" s="159">
        <v>1</v>
      </c>
      <c r="E3171" s="159">
        <v>32.17</v>
      </c>
      <c r="F3171" s="159">
        <v>32.17</v>
      </c>
      <c r="G3171" s="160" t="s">
        <v>2</v>
      </c>
    </row>
    <row r="3172" spans="1:7" ht="16.5">
      <c r="A3172" s="160"/>
      <c r="B3172" s="160" t="s">
        <v>933</v>
      </c>
      <c r="C3172" s="157" t="s">
        <v>3</v>
      </c>
      <c r="D3172" s="159">
        <v>1</v>
      </c>
      <c r="E3172" s="159"/>
      <c r="F3172" s="159">
        <v>1104.48</v>
      </c>
      <c r="G3172" s="160"/>
    </row>
    <row r="3173" spans="1:7" ht="16.5">
      <c r="A3173" s="160"/>
      <c r="B3173" s="160" t="s">
        <v>934</v>
      </c>
      <c r="C3173" s="157" t="s">
        <v>3</v>
      </c>
      <c r="D3173" s="159"/>
      <c r="E3173" s="159"/>
      <c r="F3173" s="159">
        <v>1104.48</v>
      </c>
      <c r="G3173" s="160"/>
    </row>
    <row r="3174" spans="1:7" ht="16.5">
      <c r="A3174" s="160"/>
      <c r="B3174" s="160"/>
      <c r="C3174" s="157"/>
      <c r="D3174" s="159"/>
      <c r="E3174" s="159"/>
      <c r="F3174" s="159"/>
      <c r="G3174" s="160"/>
    </row>
    <row r="3175" spans="1:7" ht="28.5">
      <c r="A3175" s="160" t="s">
        <v>5038</v>
      </c>
      <c r="B3175" s="160" t="s">
        <v>2678</v>
      </c>
      <c r="C3175" s="157" t="s">
        <v>2679</v>
      </c>
      <c r="D3175" s="159">
        <v>1</v>
      </c>
      <c r="E3175" s="159">
        <v>614.91999999999996</v>
      </c>
      <c r="F3175" s="159"/>
      <c r="G3175" s="160" t="s">
        <v>2</v>
      </c>
    </row>
    <row r="3176" spans="1:7" ht="16.5">
      <c r="A3176" s="160">
        <v>1</v>
      </c>
      <c r="B3176" s="160" t="s">
        <v>4871</v>
      </c>
      <c r="C3176" s="157" t="s">
        <v>927</v>
      </c>
      <c r="D3176" s="159">
        <v>0.16</v>
      </c>
      <c r="E3176" s="159">
        <v>260.08999999999997</v>
      </c>
      <c r="F3176" s="159">
        <v>41.61</v>
      </c>
      <c r="G3176" s="160" t="s">
        <v>5435</v>
      </c>
    </row>
    <row r="3177" spans="1:7" ht="16.5">
      <c r="A3177" s="160">
        <v>2</v>
      </c>
      <c r="B3177" s="160" t="s">
        <v>2681</v>
      </c>
      <c r="C3177" s="157" t="s">
        <v>2679</v>
      </c>
      <c r="D3177" s="159">
        <v>10</v>
      </c>
      <c r="E3177" s="159">
        <v>55.54</v>
      </c>
      <c r="F3177" s="159">
        <v>555.4</v>
      </c>
      <c r="G3177" s="160" t="s">
        <v>2</v>
      </c>
    </row>
    <row r="3178" spans="1:7" ht="16.5">
      <c r="A3178" s="160">
        <v>3</v>
      </c>
      <c r="B3178" s="160" t="s">
        <v>931</v>
      </c>
      <c r="C3178" s="157" t="s">
        <v>14</v>
      </c>
      <c r="D3178" s="159">
        <v>1</v>
      </c>
      <c r="E3178" s="159">
        <v>17.91</v>
      </c>
      <c r="F3178" s="159">
        <v>17.91</v>
      </c>
      <c r="G3178" s="160" t="s">
        <v>2</v>
      </c>
    </row>
    <row r="3179" spans="1:7" ht="16.5">
      <c r="A3179" s="160"/>
      <c r="B3179" s="160" t="s">
        <v>933</v>
      </c>
      <c r="C3179" s="157" t="s">
        <v>2679</v>
      </c>
      <c r="D3179" s="159">
        <v>1</v>
      </c>
      <c r="E3179" s="159"/>
      <c r="F3179" s="159">
        <v>614.91999999999996</v>
      </c>
      <c r="G3179" s="160"/>
    </row>
    <row r="3180" spans="1:7" ht="16.5">
      <c r="A3180" s="160"/>
      <c r="B3180" s="160" t="s">
        <v>934</v>
      </c>
      <c r="C3180" s="157" t="s">
        <v>2679</v>
      </c>
      <c r="D3180" s="159"/>
      <c r="E3180" s="159"/>
      <c r="F3180" s="159">
        <v>614.91999999999996</v>
      </c>
      <c r="G3180" s="160"/>
    </row>
    <row r="3181" spans="1:7" ht="16.5">
      <c r="A3181" s="160"/>
      <c r="B3181" s="160"/>
      <c r="C3181" s="157"/>
      <c r="D3181" s="159"/>
      <c r="E3181" s="159"/>
      <c r="F3181" s="159"/>
      <c r="G3181" s="160"/>
    </row>
    <row r="3182" spans="1:7" ht="28.5">
      <c r="A3182" s="160" t="s">
        <v>5039</v>
      </c>
      <c r="B3182" s="160" t="s">
        <v>2684</v>
      </c>
      <c r="C3182" s="157" t="s">
        <v>3</v>
      </c>
      <c r="D3182" s="159">
        <v>1</v>
      </c>
      <c r="E3182" s="159">
        <v>2148.19</v>
      </c>
      <c r="F3182" s="159"/>
      <c r="G3182" s="160" t="s">
        <v>2</v>
      </c>
    </row>
    <row r="3183" spans="1:7" ht="16.5">
      <c r="A3183" s="160">
        <v>1</v>
      </c>
      <c r="B3183" s="160" t="s">
        <v>2686</v>
      </c>
      <c r="C3183" s="157" t="s">
        <v>927</v>
      </c>
      <c r="D3183" s="159">
        <v>0.3</v>
      </c>
      <c r="E3183" s="159">
        <v>185.12</v>
      </c>
      <c r="F3183" s="159">
        <v>55.54</v>
      </c>
      <c r="G3183" s="160" t="s">
        <v>2</v>
      </c>
    </row>
    <row r="3184" spans="1:7" ht="16.5">
      <c r="A3184" s="160">
        <v>2</v>
      </c>
      <c r="B3184" s="160" t="s">
        <v>2688</v>
      </c>
      <c r="C3184" s="157" t="s">
        <v>3</v>
      </c>
      <c r="D3184" s="159">
        <v>1.1499999999999999</v>
      </c>
      <c r="E3184" s="159">
        <v>1716.99</v>
      </c>
      <c r="F3184" s="159">
        <v>1974.54</v>
      </c>
      <c r="G3184" s="160" t="s">
        <v>2</v>
      </c>
    </row>
    <row r="3185" spans="1:7" ht="16.5">
      <c r="A3185" s="160">
        <v>3</v>
      </c>
      <c r="B3185" s="160" t="s">
        <v>2690</v>
      </c>
      <c r="C3185" s="157" t="s">
        <v>927</v>
      </c>
      <c r="D3185" s="159">
        <v>0.3</v>
      </c>
      <c r="E3185" s="159">
        <v>185.12</v>
      </c>
      <c r="F3185" s="159">
        <v>55.54</v>
      </c>
      <c r="G3185" s="160" t="s">
        <v>2</v>
      </c>
    </row>
    <row r="3186" spans="1:7" ht="16.5">
      <c r="A3186" s="160">
        <v>4</v>
      </c>
      <c r="B3186" s="160" t="s">
        <v>931</v>
      </c>
      <c r="C3186" s="157" t="s">
        <v>14</v>
      </c>
      <c r="D3186" s="159">
        <v>1</v>
      </c>
      <c r="E3186" s="159">
        <v>62.57</v>
      </c>
      <c r="F3186" s="159">
        <v>62.57</v>
      </c>
      <c r="G3186" s="160" t="s">
        <v>2</v>
      </c>
    </row>
    <row r="3187" spans="1:7" ht="16.5">
      <c r="A3187" s="160"/>
      <c r="B3187" s="160" t="s">
        <v>933</v>
      </c>
      <c r="C3187" s="157" t="s">
        <v>3</v>
      </c>
      <c r="D3187" s="159">
        <v>1</v>
      </c>
      <c r="E3187" s="159"/>
      <c r="F3187" s="159">
        <v>2148.19</v>
      </c>
      <c r="G3187" s="160"/>
    </row>
    <row r="3188" spans="1:7" ht="16.5">
      <c r="A3188" s="160"/>
      <c r="B3188" s="160" t="s">
        <v>934</v>
      </c>
      <c r="C3188" s="157" t="s">
        <v>3</v>
      </c>
      <c r="D3188" s="159"/>
      <c r="E3188" s="159"/>
      <c r="F3188" s="159">
        <v>2148.19</v>
      </c>
      <c r="G3188" s="160"/>
    </row>
    <row r="3189" spans="1:7" ht="16.5">
      <c r="A3189" s="160"/>
      <c r="B3189" s="160"/>
      <c r="C3189" s="157"/>
      <c r="D3189" s="159"/>
      <c r="E3189" s="159"/>
      <c r="F3189" s="159"/>
      <c r="G3189" s="160"/>
    </row>
    <row r="3190" spans="1:7" ht="28.5">
      <c r="A3190" s="160" t="s">
        <v>5040</v>
      </c>
      <c r="B3190" s="160" t="s">
        <v>2693</v>
      </c>
      <c r="C3190" s="157" t="s">
        <v>2694</v>
      </c>
      <c r="D3190" s="159">
        <v>1</v>
      </c>
      <c r="E3190" s="159">
        <v>148.72999999999999</v>
      </c>
      <c r="F3190" s="159"/>
      <c r="G3190" s="160" t="s">
        <v>2</v>
      </c>
    </row>
    <row r="3191" spans="1:7" ht="28.5">
      <c r="A3191" s="160">
        <v>1</v>
      </c>
      <c r="B3191" s="160" t="s">
        <v>5041</v>
      </c>
      <c r="C3191" s="157" t="s">
        <v>2665</v>
      </c>
      <c r="D3191" s="159">
        <v>0.3</v>
      </c>
      <c r="E3191" s="159">
        <v>41.65</v>
      </c>
      <c r="F3191" s="159">
        <v>12.5</v>
      </c>
      <c r="G3191" s="160" t="s">
        <v>2</v>
      </c>
    </row>
    <row r="3192" spans="1:7" ht="28.5">
      <c r="A3192" s="160">
        <v>2</v>
      </c>
      <c r="B3192" s="160" t="s">
        <v>2697</v>
      </c>
      <c r="C3192" s="157" t="s">
        <v>1689</v>
      </c>
      <c r="D3192" s="159">
        <v>1</v>
      </c>
      <c r="E3192" s="159">
        <v>21.75</v>
      </c>
      <c r="F3192" s="159">
        <v>21.75</v>
      </c>
      <c r="G3192" s="160" t="s">
        <v>2</v>
      </c>
    </row>
    <row r="3193" spans="1:7" ht="16.5">
      <c r="A3193" s="160">
        <v>3</v>
      </c>
      <c r="B3193" s="160" t="s">
        <v>2699</v>
      </c>
      <c r="C3193" s="157" t="s">
        <v>14</v>
      </c>
      <c r="D3193" s="159">
        <v>1</v>
      </c>
      <c r="E3193" s="159">
        <v>110.15</v>
      </c>
      <c r="F3193" s="159">
        <v>110.15</v>
      </c>
      <c r="G3193" s="160" t="s">
        <v>2</v>
      </c>
    </row>
    <row r="3194" spans="1:7" ht="16.5">
      <c r="A3194" s="160">
        <v>4</v>
      </c>
      <c r="B3194" s="160" t="s">
        <v>931</v>
      </c>
      <c r="C3194" s="157" t="s">
        <v>14</v>
      </c>
      <c r="D3194" s="159">
        <v>1</v>
      </c>
      <c r="E3194" s="159">
        <v>4.33</v>
      </c>
      <c r="F3194" s="159">
        <v>4.33</v>
      </c>
      <c r="G3194" s="160" t="s">
        <v>2</v>
      </c>
    </row>
    <row r="3195" spans="1:7" ht="16.5">
      <c r="A3195" s="160"/>
      <c r="B3195" s="160" t="s">
        <v>933</v>
      </c>
      <c r="C3195" s="157" t="s">
        <v>2694</v>
      </c>
      <c r="D3195" s="159">
        <v>1</v>
      </c>
      <c r="E3195" s="159"/>
      <c r="F3195" s="159">
        <v>148.73000000000002</v>
      </c>
      <c r="G3195" s="160"/>
    </row>
    <row r="3196" spans="1:7" ht="16.5">
      <c r="A3196" s="160"/>
      <c r="B3196" s="160" t="s">
        <v>934</v>
      </c>
      <c r="C3196" s="157" t="s">
        <v>2694</v>
      </c>
      <c r="D3196" s="159"/>
      <c r="E3196" s="159"/>
      <c r="F3196" s="159">
        <v>148.72999999999999</v>
      </c>
      <c r="G3196" s="160"/>
    </row>
    <row r="3197" spans="1:7" ht="16.5">
      <c r="A3197" s="160"/>
      <c r="B3197" s="160"/>
      <c r="C3197" s="157"/>
      <c r="D3197" s="159"/>
      <c r="E3197" s="159"/>
      <c r="F3197" s="159"/>
      <c r="G3197" s="160"/>
    </row>
    <row r="3198" spans="1:7" ht="28.5">
      <c r="A3198" s="160" t="s">
        <v>5042</v>
      </c>
      <c r="B3198" s="160" t="s">
        <v>2702</v>
      </c>
      <c r="C3198" s="157" t="s">
        <v>17</v>
      </c>
      <c r="D3198" s="159">
        <v>1</v>
      </c>
      <c r="E3198" s="159">
        <v>287.02</v>
      </c>
      <c r="F3198" s="159"/>
      <c r="G3198" s="160" t="s">
        <v>2</v>
      </c>
    </row>
    <row r="3199" spans="1:7" ht="16.5">
      <c r="A3199" s="160">
        <v>1</v>
      </c>
      <c r="B3199" s="160" t="s">
        <v>2699</v>
      </c>
      <c r="C3199" s="157" t="s">
        <v>14</v>
      </c>
      <c r="D3199" s="159">
        <v>1</v>
      </c>
      <c r="E3199" s="159">
        <v>110.15</v>
      </c>
      <c r="F3199" s="159">
        <v>110.15</v>
      </c>
      <c r="G3199" s="160" t="s">
        <v>2</v>
      </c>
    </row>
    <row r="3200" spans="1:7" ht="16.5">
      <c r="A3200" s="160">
        <v>2</v>
      </c>
      <c r="B3200" s="160" t="s">
        <v>2704</v>
      </c>
      <c r="C3200" s="157" t="s">
        <v>17</v>
      </c>
      <c r="D3200" s="159">
        <v>1.05</v>
      </c>
      <c r="E3200" s="159">
        <v>148.1</v>
      </c>
      <c r="F3200" s="159">
        <v>155.51</v>
      </c>
      <c r="G3200" s="160" t="s">
        <v>2</v>
      </c>
    </row>
    <row r="3201" spans="1:7" ht="16.5">
      <c r="A3201" s="160">
        <v>3</v>
      </c>
      <c r="B3201" s="160" t="s">
        <v>4871</v>
      </c>
      <c r="C3201" s="157" t="s">
        <v>927</v>
      </c>
      <c r="D3201" s="159">
        <v>0.05</v>
      </c>
      <c r="E3201" s="159">
        <v>260.08999999999997</v>
      </c>
      <c r="F3201" s="159">
        <v>13</v>
      </c>
      <c r="G3201" s="160" t="s">
        <v>5435</v>
      </c>
    </row>
    <row r="3202" spans="1:7" ht="16.5">
      <c r="A3202" s="160">
        <v>4</v>
      </c>
      <c r="B3202" s="160" t="s">
        <v>931</v>
      </c>
      <c r="C3202" s="157" t="s">
        <v>14</v>
      </c>
      <c r="D3202" s="159">
        <v>1</v>
      </c>
      <c r="E3202" s="159">
        <v>8.36</v>
      </c>
      <c r="F3202" s="159">
        <v>8.36</v>
      </c>
      <c r="G3202" s="160" t="s">
        <v>2</v>
      </c>
    </row>
    <row r="3203" spans="1:7" ht="16.5">
      <c r="A3203" s="160"/>
      <c r="B3203" s="160" t="s">
        <v>933</v>
      </c>
      <c r="C3203" s="157" t="s">
        <v>17</v>
      </c>
      <c r="D3203" s="159">
        <v>1</v>
      </c>
      <c r="E3203" s="159"/>
      <c r="F3203" s="159">
        <v>287.02</v>
      </c>
      <c r="G3203" s="160"/>
    </row>
    <row r="3204" spans="1:7" ht="16.5">
      <c r="A3204" s="160"/>
      <c r="B3204" s="160" t="s">
        <v>934</v>
      </c>
      <c r="C3204" s="157" t="s">
        <v>17</v>
      </c>
      <c r="D3204" s="159"/>
      <c r="E3204" s="159"/>
      <c r="F3204" s="159">
        <v>287.02</v>
      </c>
      <c r="G3204" s="160"/>
    </row>
    <row r="3205" spans="1:7" ht="16.5">
      <c r="A3205" s="160"/>
      <c r="B3205" s="160"/>
      <c r="C3205" s="157"/>
      <c r="D3205" s="159"/>
      <c r="E3205" s="159"/>
      <c r="F3205" s="159"/>
      <c r="G3205" s="160"/>
    </row>
    <row r="3206" spans="1:7" ht="28.5">
      <c r="A3206" s="160" t="s">
        <v>5043</v>
      </c>
      <c r="B3206" s="160" t="s">
        <v>2707</v>
      </c>
      <c r="C3206" s="157" t="s">
        <v>17</v>
      </c>
      <c r="D3206" s="159">
        <v>10</v>
      </c>
      <c r="E3206" s="159">
        <v>288.62</v>
      </c>
      <c r="F3206" s="159"/>
      <c r="G3206" s="160" t="s">
        <v>2</v>
      </c>
    </row>
    <row r="3207" spans="1:7" ht="16.5">
      <c r="A3207" s="160">
        <v>1</v>
      </c>
      <c r="B3207" s="160" t="s">
        <v>2699</v>
      </c>
      <c r="C3207" s="157" t="s">
        <v>14</v>
      </c>
      <c r="D3207" s="159">
        <v>1</v>
      </c>
      <c r="E3207" s="159">
        <v>110.15</v>
      </c>
      <c r="F3207" s="159">
        <v>110.15</v>
      </c>
      <c r="G3207" s="160" t="s">
        <v>2</v>
      </c>
    </row>
    <row r="3208" spans="1:7" ht="16.5">
      <c r="A3208" s="160">
        <v>2</v>
      </c>
      <c r="B3208" s="160" t="s">
        <v>2709</v>
      </c>
      <c r="C3208" s="157" t="s">
        <v>17</v>
      </c>
      <c r="D3208" s="159">
        <v>10.5</v>
      </c>
      <c r="E3208" s="159">
        <v>242.51</v>
      </c>
      <c r="F3208" s="159">
        <v>2546.36</v>
      </c>
      <c r="G3208" s="160" t="s">
        <v>2</v>
      </c>
    </row>
    <row r="3209" spans="1:7" ht="16.5">
      <c r="A3209" s="160">
        <v>3</v>
      </c>
      <c r="B3209" s="160" t="s">
        <v>4871</v>
      </c>
      <c r="C3209" s="157" t="s">
        <v>927</v>
      </c>
      <c r="D3209" s="159">
        <v>0.56000000000000005</v>
      </c>
      <c r="E3209" s="159">
        <v>260.08999999999997</v>
      </c>
      <c r="F3209" s="159">
        <v>145.65</v>
      </c>
      <c r="G3209" s="160" t="s">
        <v>5435</v>
      </c>
    </row>
    <row r="3210" spans="1:7" ht="16.5">
      <c r="A3210" s="160">
        <v>4</v>
      </c>
      <c r="B3210" s="160" t="s">
        <v>931</v>
      </c>
      <c r="C3210" s="157" t="s">
        <v>14</v>
      </c>
      <c r="D3210" s="159">
        <v>1</v>
      </c>
      <c r="E3210" s="159">
        <v>84.06</v>
      </c>
      <c r="F3210" s="159">
        <v>84.06</v>
      </c>
      <c r="G3210" s="160" t="s">
        <v>2</v>
      </c>
    </row>
    <row r="3211" spans="1:7" ht="16.5">
      <c r="A3211" s="160"/>
      <c r="B3211" s="160" t="s">
        <v>933</v>
      </c>
      <c r="C3211" s="157" t="s">
        <v>17</v>
      </c>
      <c r="D3211" s="159">
        <v>10</v>
      </c>
      <c r="E3211" s="159"/>
      <c r="F3211" s="159">
        <v>2886.2200000000003</v>
      </c>
      <c r="G3211" s="160"/>
    </row>
    <row r="3212" spans="1:7" ht="16.5">
      <c r="A3212" s="160"/>
      <c r="B3212" s="160" t="s">
        <v>934</v>
      </c>
      <c r="C3212" s="157" t="s">
        <v>17</v>
      </c>
      <c r="D3212" s="159"/>
      <c r="E3212" s="159"/>
      <c r="F3212" s="159">
        <v>288.62</v>
      </c>
      <c r="G3212" s="160"/>
    </row>
    <row r="3213" spans="1:7" ht="16.5">
      <c r="A3213" s="160"/>
      <c r="B3213" s="160"/>
      <c r="C3213" s="157"/>
      <c r="D3213" s="159"/>
      <c r="E3213" s="159"/>
      <c r="F3213" s="159"/>
      <c r="G3213" s="160"/>
    </row>
    <row r="3214" spans="1:7" ht="28.5">
      <c r="A3214" s="160" t="s">
        <v>5044</v>
      </c>
      <c r="B3214" s="160" t="s">
        <v>2712</v>
      </c>
      <c r="C3214" s="157" t="s">
        <v>3</v>
      </c>
      <c r="D3214" s="159">
        <v>1</v>
      </c>
      <c r="E3214" s="159">
        <v>622.45000000000005</v>
      </c>
      <c r="F3214" s="159"/>
      <c r="G3214" s="160" t="s">
        <v>2</v>
      </c>
    </row>
    <row r="3215" spans="1:7" ht="28.5">
      <c r="A3215" s="160">
        <v>1</v>
      </c>
      <c r="B3215" s="160" t="s">
        <v>2714</v>
      </c>
      <c r="C3215" s="157" t="s">
        <v>3</v>
      </c>
      <c r="D3215" s="159">
        <v>1</v>
      </c>
      <c r="E3215" s="159">
        <v>403.27</v>
      </c>
      <c r="F3215" s="159">
        <v>403.27</v>
      </c>
      <c r="G3215" s="160" t="s">
        <v>2</v>
      </c>
    </row>
    <row r="3216" spans="1:7" ht="16.5">
      <c r="A3216" s="160">
        <v>2</v>
      </c>
      <c r="B3216" s="160" t="s">
        <v>2716</v>
      </c>
      <c r="C3216" s="157" t="s">
        <v>18</v>
      </c>
      <c r="D3216" s="159">
        <v>0.14000000000000001</v>
      </c>
      <c r="E3216" s="159">
        <v>18.72</v>
      </c>
      <c r="F3216" s="159">
        <v>2.62</v>
      </c>
      <c r="G3216" s="160" t="s">
        <v>2</v>
      </c>
    </row>
    <row r="3217" spans="1:7" ht="16.5">
      <c r="A3217" s="160">
        <v>3</v>
      </c>
      <c r="B3217" s="160" t="s">
        <v>2718</v>
      </c>
      <c r="C3217" s="157" t="s">
        <v>927</v>
      </c>
      <c r="D3217" s="159">
        <v>0.08</v>
      </c>
      <c r="E3217" s="159">
        <v>371.17</v>
      </c>
      <c r="F3217" s="159">
        <v>29.69</v>
      </c>
      <c r="G3217" s="160" t="s">
        <v>2</v>
      </c>
    </row>
    <row r="3218" spans="1:7" ht="16.5">
      <c r="A3218" s="160">
        <v>4</v>
      </c>
      <c r="B3218" s="160" t="s">
        <v>2720</v>
      </c>
      <c r="C3218" s="157" t="s">
        <v>14</v>
      </c>
      <c r="D3218" s="159">
        <v>1</v>
      </c>
      <c r="E3218" s="159">
        <v>72.2</v>
      </c>
      <c r="F3218" s="159">
        <v>72.2</v>
      </c>
      <c r="G3218" s="160" t="s">
        <v>2</v>
      </c>
    </row>
    <row r="3219" spans="1:7" ht="16.5">
      <c r="A3219" s="160">
        <v>5</v>
      </c>
      <c r="B3219" s="160" t="s">
        <v>2722</v>
      </c>
      <c r="C3219" s="157" t="s">
        <v>3</v>
      </c>
      <c r="D3219" s="159">
        <v>1</v>
      </c>
      <c r="E3219" s="159">
        <v>96.54</v>
      </c>
      <c r="F3219" s="159">
        <v>96.54</v>
      </c>
      <c r="G3219" s="160" t="s">
        <v>2</v>
      </c>
    </row>
    <row r="3220" spans="1:7" ht="16.5">
      <c r="A3220" s="160">
        <v>6</v>
      </c>
      <c r="B3220" s="160" t="s">
        <v>931</v>
      </c>
      <c r="C3220" s="157" t="s">
        <v>14</v>
      </c>
      <c r="D3220" s="159">
        <v>1</v>
      </c>
      <c r="E3220" s="159">
        <v>18.13</v>
      </c>
      <c r="F3220" s="159">
        <v>18.13</v>
      </c>
      <c r="G3220" s="160" t="s">
        <v>2</v>
      </c>
    </row>
    <row r="3221" spans="1:7" ht="16.5">
      <c r="A3221" s="160"/>
      <c r="B3221" s="160" t="s">
        <v>933</v>
      </c>
      <c r="C3221" s="157" t="s">
        <v>3</v>
      </c>
      <c r="D3221" s="159">
        <v>1</v>
      </c>
      <c r="E3221" s="159"/>
      <c r="F3221" s="159">
        <v>622.44999999999993</v>
      </c>
      <c r="G3221" s="160"/>
    </row>
    <row r="3222" spans="1:7" ht="16.5">
      <c r="A3222" s="160"/>
      <c r="B3222" s="160" t="s">
        <v>934</v>
      </c>
      <c r="C3222" s="157" t="s">
        <v>3</v>
      </c>
      <c r="D3222" s="159"/>
      <c r="E3222" s="159"/>
      <c r="F3222" s="159">
        <v>622.45000000000005</v>
      </c>
      <c r="G3222" s="160"/>
    </row>
    <row r="3223" spans="1:7" ht="16.5">
      <c r="A3223" s="160"/>
      <c r="B3223" s="160"/>
      <c r="C3223" s="157"/>
      <c r="D3223" s="159"/>
      <c r="E3223" s="159"/>
      <c r="F3223" s="159"/>
      <c r="G3223" s="160"/>
    </row>
    <row r="3224" spans="1:7" ht="28.5">
      <c r="A3224" s="160" t="s">
        <v>5045</v>
      </c>
      <c r="B3224" s="160" t="s">
        <v>3659</v>
      </c>
      <c r="C3224" s="157" t="s">
        <v>3</v>
      </c>
      <c r="D3224" s="159">
        <v>1</v>
      </c>
      <c r="E3224" s="159">
        <v>1585.54</v>
      </c>
      <c r="F3224" s="159"/>
      <c r="G3224" s="160" t="s">
        <v>2</v>
      </c>
    </row>
    <row r="3225" spans="1:7" ht="16.5">
      <c r="A3225" s="160">
        <v>1</v>
      </c>
      <c r="B3225" s="160" t="s">
        <v>4053</v>
      </c>
      <c r="C3225" s="157" t="s">
        <v>3</v>
      </c>
      <c r="D3225" s="159">
        <v>1</v>
      </c>
      <c r="E3225" s="159">
        <v>1337.49</v>
      </c>
      <c r="F3225" s="159">
        <v>1337.49</v>
      </c>
      <c r="G3225" s="160" t="s">
        <v>2</v>
      </c>
    </row>
    <row r="3226" spans="1:7" ht="16.5">
      <c r="A3226" s="160">
        <v>2</v>
      </c>
      <c r="B3226" s="160" t="s">
        <v>4055</v>
      </c>
      <c r="C3226" s="157" t="s">
        <v>18</v>
      </c>
      <c r="D3226" s="159">
        <v>0.14000000000000001</v>
      </c>
      <c r="E3226" s="159">
        <v>24.8</v>
      </c>
      <c r="F3226" s="159">
        <v>3.47</v>
      </c>
      <c r="G3226" s="160" t="s">
        <v>2</v>
      </c>
    </row>
    <row r="3227" spans="1:7" ht="16.5">
      <c r="A3227" s="160">
        <v>3</v>
      </c>
      <c r="B3227" s="160" t="s">
        <v>2718</v>
      </c>
      <c r="C3227" s="157" t="s">
        <v>927</v>
      </c>
      <c r="D3227" s="159">
        <v>0.34</v>
      </c>
      <c r="E3227" s="159">
        <v>371.17</v>
      </c>
      <c r="F3227" s="159">
        <v>126.2</v>
      </c>
      <c r="G3227" s="160" t="s">
        <v>2</v>
      </c>
    </row>
    <row r="3228" spans="1:7" ht="16.5">
      <c r="A3228" s="160">
        <v>4</v>
      </c>
      <c r="B3228" s="160" t="s">
        <v>2720</v>
      </c>
      <c r="C3228" s="157" t="s">
        <v>14</v>
      </c>
      <c r="D3228" s="159">
        <v>1</v>
      </c>
      <c r="E3228" s="159">
        <v>72.2</v>
      </c>
      <c r="F3228" s="159">
        <v>72.2</v>
      </c>
      <c r="G3228" s="160" t="s">
        <v>2</v>
      </c>
    </row>
    <row r="3229" spans="1:7" ht="16.5">
      <c r="A3229" s="160">
        <v>5</v>
      </c>
      <c r="B3229" s="160" t="s">
        <v>931</v>
      </c>
      <c r="C3229" s="157" t="s">
        <v>14</v>
      </c>
      <c r="D3229" s="159">
        <v>1</v>
      </c>
      <c r="E3229" s="159">
        <v>46.18</v>
      </c>
      <c r="F3229" s="159">
        <v>46.18</v>
      </c>
      <c r="G3229" s="160" t="s">
        <v>2</v>
      </c>
    </row>
    <row r="3230" spans="1:7" ht="16.5">
      <c r="A3230" s="160"/>
      <c r="B3230" s="160" t="s">
        <v>933</v>
      </c>
      <c r="C3230" s="157" t="s">
        <v>3</v>
      </c>
      <c r="D3230" s="159">
        <v>1</v>
      </c>
      <c r="E3230" s="159"/>
      <c r="F3230" s="159">
        <v>1585.5400000000002</v>
      </c>
      <c r="G3230" s="160"/>
    </row>
    <row r="3231" spans="1:7" ht="16.5">
      <c r="A3231" s="160"/>
      <c r="B3231" s="160" t="s">
        <v>934</v>
      </c>
      <c r="C3231" s="157" t="s">
        <v>3</v>
      </c>
      <c r="D3231" s="159"/>
      <c r="E3231" s="159"/>
      <c r="F3231" s="159">
        <v>1585.54</v>
      </c>
      <c r="G3231" s="160"/>
    </row>
    <row r="3232" spans="1:7" ht="16.5">
      <c r="A3232" s="160"/>
      <c r="B3232" s="160"/>
      <c r="C3232" s="157"/>
      <c r="D3232" s="159"/>
      <c r="E3232" s="159"/>
      <c r="F3232" s="159"/>
      <c r="G3232" s="160"/>
    </row>
    <row r="3233" spans="1:7" ht="28.5">
      <c r="A3233" s="160" t="s">
        <v>5046</v>
      </c>
      <c r="B3233" s="160" t="s">
        <v>2725</v>
      </c>
      <c r="C3233" s="157" t="s">
        <v>2679</v>
      </c>
      <c r="D3233" s="159">
        <v>1</v>
      </c>
      <c r="E3233" s="159">
        <v>233.26</v>
      </c>
      <c r="F3233" s="159"/>
      <c r="G3233" s="160" t="s">
        <v>4379</v>
      </c>
    </row>
    <row r="3234" spans="1:7" ht="28.5">
      <c r="A3234" s="160">
        <v>1</v>
      </c>
      <c r="B3234" s="160" t="s">
        <v>2727</v>
      </c>
      <c r="C3234" s="157" t="s">
        <v>14</v>
      </c>
      <c r="D3234" s="159">
        <v>1</v>
      </c>
      <c r="E3234" s="159">
        <v>46.28</v>
      </c>
      <c r="F3234" s="159">
        <v>46.28</v>
      </c>
      <c r="G3234" s="160" t="s">
        <v>4379</v>
      </c>
    </row>
    <row r="3235" spans="1:7" ht="28.5">
      <c r="A3235" s="160">
        <v>2</v>
      </c>
      <c r="B3235" s="160" t="s">
        <v>2729</v>
      </c>
      <c r="C3235" s="157" t="s">
        <v>2679</v>
      </c>
      <c r="D3235" s="159">
        <v>1</v>
      </c>
      <c r="E3235" s="159">
        <v>161.97999999999999</v>
      </c>
      <c r="F3235" s="159">
        <v>161.97999999999999</v>
      </c>
      <c r="G3235" s="160" t="s">
        <v>4379</v>
      </c>
    </row>
    <row r="3236" spans="1:7" ht="16.5">
      <c r="A3236" s="160">
        <v>3</v>
      </c>
      <c r="B3236" s="160" t="s">
        <v>4871</v>
      </c>
      <c r="C3236" s="157" t="s">
        <v>927</v>
      </c>
      <c r="D3236" s="159">
        <v>7.0000000000000007E-2</v>
      </c>
      <c r="E3236" s="159">
        <v>260.08999999999997</v>
      </c>
      <c r="F3236" s="159">
        <v>18.21</v>
      </c>
      <c r="G3236" s="160" t="s">
        <v>5435</v>
      </c>
    </row>
    <row r="3237" spans="1:7" ht="16.5">
      <c r="A3237" s="160">
        <v>4</v>
      </c>
      <c r="B3237" s="160" t="s">
        <v>931</v>
      </c>
      <c r="C3237" s="157" t="s">
        <v>14</v>
      </c>
      <c r="D3237" s="159">
        <v>1</v>
      </c>
      <c r="E3237" s="159">
        <v>6.79</v>
      </c>
      <c r="F3237" s="159">
        <v>6.79</v>
      </c>
      <c r="G3237" s="160" t="s">
        <v>2</v>
      </c>
    </row>
    <row r="3238" spans="1:7" ht="16.5">
      <c r="A3238" s="160"/>
      <c r="B3238" s="160" t="s">
        <v>933</v>
      </c>
      <c r="C3238" s="157" t="s">
        <v>2679</v>
      </c>
      <c r="D3238" s="159">
        <v>1</v>
      </c>
      <c r="E3238" s="159"/>
      <c r="F3238" s="159">
        <v>233.26</v>
      </c>
      <c r="G3238" s="160"/>
    </row>
    <row r="3239" spans="1:7" ht="16.5">
      <c r="A3239" s="160"/>
      <c r="B3239" s="160" t="s">
        <v>934</v>
      </c>
      <c r="C3239" s="157" t="s">
        <v>2679</v>
      </c>
      <c r="D3239" s="159"/>
      <c r="E3239" s="159"/>
      <c r="F3239" s="159">
        <v>233.26</v>
      </c>
      <c r="G3239" s="160"/>
    </row>
    <row r="3240" spans="1:7" ht="16.5">
      <c r="A3240" s="160"/>
      <c r="B3240" s="160"/>
      <c r="C3240" s="157"/>
      <c r="D3240" s="159"/>
      <c r="E3240" s="159"/>
      <c r="F3240" s="159"/>
      <c r="G3240" s="160"/>
    </row>
    <row r="3241" spans="1:7" ht="28.5">
      <c r="A3241" s="160" t="s">
        <v>5047</v>
      </c>
      <c r="B3241" s="160" t="s">
        <v>2732</v>
      </c>
      <c r="C3241" s="157" t="s">
        <v>1818</v>
      </c>
      <c r="D3241" s="159">
        <v>1</v>
      </c>
      <c r="E3241" s="159">
        <v>784.13</v>
      </c>
      <c r="F3241" s="159"/>
      <c r="G3241" s="160" t="s">
        <v>4404</v>
      </c>
    </row>
    <row r="3242" spans="1:7" ht="28.5">
      <c r="A3242" s="160">
        <v>1</v>
      </c>
      <c r="B3242" s="160" t="s">
        <v>2734</v>
      </c>
      <c r="C3242" s="157" t="s">
        <v>1497</v>
      </c>
      <c r="D3242" s="159">
        <v>1</v>
      </c>
      <c r="E3242" s="159">
        <v>740.48</v>
      </c>
      <c r="F3242" s="159">
        <v>740.48</v>
      </c>
      <c r="G3242" s="160" t="s">
        <v>4404</v>
      </c>
    </row>
    <row r="3243" spans="1:7" ht="16.5">
      <c r="A3243" s="160">
        <v>2</v>
      </c>
      <c r="B3243" s="160" t="s">
        <v>4871</v>
      </c>
      <c r="C3243" s="157" t="s">
        <v>927</v>
      </c>
      <c r="D3243" s="159">
        <v>0.08</v>
      </c>
      <c r="E3243" s="159">
        <v>260.08999999999997</v>
      </c>
      <c r="F3243" s="159">
        <v>20.81</v>
      </c>
      <c r="G3243" s="160" t="s">
        <v>5435</v>
      </c>
    </row>
    <row r="3244" spans="1:7" ht="16.5">
      <c r="A3244" s="160">
        <v>3</v>
      </c>
      <c r="B3244" s="160" t="s">
        <v>931</v>
      </c>
      <c r="C3244" s="157" t="s">
        <v>14</v>
      </c>
      <c r="D3244" s="159">
        <v>1</v>
      </c>
      <c r="E3244" s="159">
        <v>22.84</v>
      </c>
      <c r="F3244" s="159">
        <v>22.84</v>
      </c>
      <c r="G3244" s="160" t="s">
        <v>2</v>
      </c>
    </row>
    <row r="3245" spans="1:7" ht="16.5">
      <c r="A3245" s="160"/>
      <c r="B3245" s="160" t="s">
        <v>933</v>
      </c>
      <c r="C3245" s="157" t="s">
        <v>1818</v>
      </c>
      <c r="D3245" s="159">
        <v>1</v>
      </c>
      <c r="E3245" s="159"/>
      <c r="F3245" s="159">
        <v>784.13</v>
      </c>
      <c r="G3245" s="160"/>
    </row>
    <row r="3246" spans="1:7" ht="16.5">
      <c r="A3246" s="160"/>
      <c r="B3246" s="160" t="s">
        <v>934</v>
      </c>
      <c r="C3246" s="157" t="s">
        <v>1818</v>
      </c>
      <c r="D3246" s="159"/>
      <c r="E3246" s="159"/>
      <c r="F3246" s="159">
        <v>784.13</v>
      </c>
      <c r="G3246" s="160"/>
    </row>
    <row r="3247" spans="1:7" ht="16.5">
      <c r="A3247" s="160"/>
      <c r="B3247" s="160"/>
      <c r="C3247" s="157"/>
      <c r="D3247" s="159"/>
      <c r="E3247" s="159"/>
      <c r="F3247" s="159"/>
      <c r="G3247" s="160"/>
    </row>
    <row r="3248" spans="1:7" ht="28.5">
      <c r="A3248" s="160" t="s">
        <v>5048</v>
      </c>
      <c r="B3248" s="160" t="s">
        <v>2737</v>
      </c>
      <c r="C3248" s="157" t="s">
        <v>1818</v>
      </c>
      <c r="D3248" s="159">
        <v>1</v>
      </c>
      <c r="E3248" s="159">
        <v>1144.53</v>
      </c>
      <c r="F3248" s="159"/>
      <c r="G3248" s="160" t="s">
        <v>2</v>
      </c>
    </row>
    <row r="3249" spans="1:7" ht="16.5">
      <c r="A3249" s="160">
        <v>1</v>
      </c>
      <c r="B3249" s="160" t="s">
        <v>2739</v>
      </c>
      <c r="C3249" s="157" t="s">
        <v>1497</v>
      </c>
      <c r="D3249" s="159">
        <v>1</v>
      </c>
      <c r="E3249" s="159">
        <v>568.32000000000005</v>
      </c>
      <c r="F3249" s="159">
        <v>568.32000000000005</v>
      </c>
      <c r="G3249" s="160" t="s">
        <v>2</v>
      </c>
    </row>
    <row r="3250" spans="1:7" ht="16.5">
      <c r="A3250" s="160">
        <v>2</v>
      </c>
      <c r="B3250" s="160" t="s">
        <v>2741</v>
      </c>
      <c r="C3250" s="157" t="s">
        <v>1497</v>
      </c>
      <c r="D3250" s="159">
        <v>4</v>
      </c>
      <c r="E3250" s="159">
        <v>0.93</v>
      </c>
      <c r="F3250" s="159">
        <v>3.72</v>
      </c>
      <c r="G3250" s="160" t="s">
        <v>2</v>
      </c>
    </row>
    <row r="3251" spans="1:7" ht="16.5">
      <c r="A3251" s="160">
        <v>3</v>
      </c>
      <c r="B3251" s="160" t="s">
        <v>2743</v>
      </c>
      <c r="C3251" s="157" t="s">
        <v>1497</v>
      </c>
      <c r="D3251" s="159">
        <v>2</v>
      </c>
      <c r="E3251" s="159">
        <v>18.510000000000002</v>
      </c>
      <c r="F3251" s="159">
        <v>37.020000000000003</v>
      </c>
      <c r="G3251" s="160" t="s">
        <v>2</v>
      </c>
    </row>
    <row r="3252" spans="1:7" ht="16.5">
      <c r="A3252" s="160">
        <v>4</v>
      </c>
      <c r="B3252" s="160" t="s">
        <v>2745</v>
      </c>
      <c r="C3252" s="157" t="s">
        <v>1818</v>
      </c>
      <c r="D3252" s="159">
        <v>1</v>
      </c>
      <c r="E3252" s="159">
        <v>336.92</v>
      </c>
      <c r="F3252" s="159">
        <v>336.92</v>
      </c>
      <c r="G3252" s="160" t="s">
        <v>2</v>
      </c>
    </row>
    <row r="3253" spans="1:7" ht="16.5">
      <c r="A3253" s="160">
        <v>5</v>
      </c>
      <c r="B3253" s="160" t="s">
        <v>2747</v>
      </c>
      <c r="C3253" s="157" t="s">
        <v>1497</v>
      </c>
      <c r="D3253" s="159">
        <v>4</v>
      </c>
      <c r="E3253" s="159">
        <v>36.1</v>
      </c>
      <c r="F3253" s="159">
        <v>144.4</v>
      </c>
      <c r="G3253" s="160" t="s">
        <v>2</v>
      </c>
    </row>
    <row r="3254" spans="1:7" ht="16.5">
      <c r="A3254" s="160">
        <v>6</v>
      </c>
      <c r="B3254" s="160" t="s">
        <v>4871</v>
      </c>
      <c r="C3254" s="157" t="s">
        <v>927</v>
      </c>
      <c r="D3254" s="159">
        <v>0.08</v>
      </c>
      <c r="E3254" s="159">
        <v>260.08999999999997</v>
      </c>
      <c r="F3254" s="159">
        <v>20.81</v>
      </c>
      <c r="G3254" s="160" t="s">
        <v>5435</v>
      </c>
    </row>
    <row r="3255" spans="1:7" ht="16.5">
      <c r="A3255" s="160">
        <v>7</v>
      </c>
      <c r="B3255" s="160" t="s">
        <v>931</v>
      </c>
      <c r="C3255" s="157" t="s">
        <v>14</v>
      </c>
      <c r="D3255" s="159">
        <v>1</v>
      </c>
      <c r="E3255" s="159">
        <v>33.340000000000003</v>
      </c>
      <c r="F3255" s="159">
        <v>33.340000000000003</v>
      </c>
      <c r="G3255" s="160" t="s">
        <v>2</v>
      </c>
    </row>
    <row r="3256" spans="1:7" ht="16.5">
      <c r="A3256" s="160"/>
      <c r="B3256" s="160" t="s">
        <v>933</v>
      </c>
      <c r="C3256" s="157" t="s">
        <v>1818</v>
      </c>
      <c r="D3256" s="159">
        <v>1</v>
      </c>
      <c r="E3256" s="159"/>
      <c r="F3256" s="159">
        <v>1144.53</v>
      </c>
      <c r="G3256" s="160"/>
    </row>
    <row r="3257" spans="1:7" ht="16.5">
      <c r="A3257" s="160"/>
      <c r="B3257" s="160" t="s">
        <v>934</v>
      </c>
      <c r="C3257" s="157" t="s">
        <v>1818</v>
      </c>
      <c r="D3257" s="159"/>
      <c r="E3257" s="159"/>
      <c r="F3257" s="159">
        <v>1144.53</v>
      </c>
      <c r="G3257" s="160"/>
    </row>
    <row r="3258" spans="1:7" ht="16.5">
      <c r="A3258" s="160"/>
      <c r="B3258" s="160"/>
      <c r="C3258" s="157"/>
      <c r="D3258" s="159"/>
      <c r="E3258" s="159"/>
      <c r="F3258" s="159"/>
      <c r="G3258" s="160"/>
    </row>
    <row r="3259" spans="1:7" ht="28.5">
      <c r="A3259" s="160" t="s">
        <v>5049</v>
      </c>
      <c r="B3259" s="160" t="s">
        <v>2750</v>
      </c>
      <c r="C3259" s="157" t="s">
        <v>1818</v>
      </c>
      <c r="D3259" s="159">
        <v>1</v>
      </c>
      <c r="E3259" s="159">
        <v>2275.2199999999998</v>
      </c>
      <c r="F3259" s="159"/>
      <c r="G3259" s="160" t="s">
        <v>2</v>
      </c>
    </row>
    <row r="3260" spans="1:7" ht="16.5">
      <c r="A3260" s="160">
        <v>1</v>
      </c>
      <c r="B3260" s="160" t="s">
        <v>2752</v>
      </c>
      <c r="C3260" s="157" t="s">
        <v>1497</v>
      </c>
      <c r="D3260" s="159">
        <v>1</v>
      </c>
      <c r="E3260" s="159">
        <v>1666.08</v>
      </c>
      <c r="F3260" s="159">
        <v>1666.08</v>
      </c>
      <c r="G3260" s="160" t="s">
        <v>2</v>
      </c>
    </row>
    <row r="3261" spans="1:7" ht="16.5">
      <c r="A3261" s="160">
        <v>2</v>
      </c>
      <c r="B3261" s="160" t="s">
        <v>2743</v>
      </c>
      <c r="C3261" s="157" t="s">
        <v>1497</v>
      </c>
      <c r="D3261" s="159">
        <v>2</v>
      </c>
      <c r="E3261" s="159">
        <v>18.510000000000002</v>
      </c>
      <c r="F3261" s="159">
        <v>37.020000000000003</v>
      </c>
      <c r="G3261" s="160" t="s">
        <v>2</v>
      </c>
    </row>
    <row r="3262" spans="1:7" ht="16.5">
      <c r="A3262" s="160">
        <v>3</v>
      </c>
      <c r="B3262" s="160" t="s">
        <v>2745</v>
      </c>
      <c r="C3262" s="157" t="s">
        <v>1818</v>
      </c>
      <c r="D3262" s="159">
        <v>1</v>
      </c>
      <c r="E3262" s="159">
        <v>336.92</v>
      </c>
      <c r="F3262" s="159">
        <v>336.92</v>
      </c>
      <c r="G3262" s="160" t="s">
        <v>2</v>
      </c>
    </row>
    <row r="3263" spans="1:7" ht="16.5">
      <c r="A3263" s="160">
        <v>4</v>
      </c>
      <c r="B3263" s="160" t="s">
        <v>2747</v>
      </c>
      <c r="C3263" s="157" t="s">
        <v>1497</v>
      </c>
      <c r="D3263" s="159">
        <v>4</v>
      </c>
      <c r="E3263" s="159">
        <v>36.1</v>
      </c>
      <c r="F3263" s="159">
        <v>144.4</v>
      </c>
      <c r="G3263" s="160" t="s">
        <v>2</v>
      </c>
    </row>
    <row r="3264" spans="1:7" ht="16.5">
      <c r="A3264" s="160">
        <v>5</v>
      </c>
      <c r="B3264" s="160" t="s">
        <v>2741</v>
      </c>
      <c r="C3264" s="157" t="s">
        <v>1497</v>
      </c>
      <c r="D3264" s="159">
        <v>4</v>
      </c>
      <c r="E3264" s="159">
        <v>0.93</v>
      </c>
      <c r="F3264" s="159">
        <v>3.72</v>
      </c>
      <c r="G3264" s="160" t="s">
        <v>2</v>
      </c>
    </row>
    <row r="3265" spans="1:7" ht="16.5">
      <c r="A3265" s="160">
        <v>6</v>
      </c>
      <c r="B3265" s="160" t="s">
        <v>4871</v>
      </c>
      <c r="C3265" s="157" t="s">
        <v>927</v>
      </c>
      <c r="D3265" s="159">
        <v>0.08</v>
      </c>
      <c r="E3265" s="159">
        <v>260.08999999999997</v>
      </c>
      <c r="F3265" s="159">
        <v>20.81</v>
      </c>
      <c r="G3265" s="160" t="s">
        <v>5435</v>
      </c>
    </row>
    <row r="3266" spans="1:7" ht="16.5">
      <c r="A3266" s="160">
        <v>7</v>
      </c>
      <c r="B3266" s="160" t="s">
        <v>931</v>
      </c>
      <c r="C3266" s="157" t="s">
        <v>14</v>
      </c>
      <c r="D3266" s="159">
        <v>1</v>
      </c>
      <c r="E3266" s="159">
        <v>66.27</v>
      </c>
      <c r="F3266" s="159">
        <v>66.27</v>
      </c>
      <c r="G3266" s="160" t="s">
        <v>2</v>
      </c>
    </row>
    <row r="3267" spans="1:7" ht="16.5">
      <c r="A3267" s="160"/>
      <c r="B3267" s="160" t="s">
        <v>933</v>
      </c>
      <c r="C3267" s="157" t="s">
        <v>1818</v>
      </c>
      <c r="D3267" s="159">
        <v>1</v>
      </c>
      <c r="E3267" s="159"/>
      <c r="F3267" s="159">
        <v>2275.2199999999998</v>
      </c>
      <c r="G3267" s="160"/>
    </row>
    <row r="3268" spans="1:7" ht="16.5">
      <c r="A3268" s="160"/>
      <c r="B3268" s="160" t="s">
        <v>934</v>
      </c>
      <c r="C3268" s="157" t="s">
        <v>1818</v>
      </c>
      <c r="D3268" s="159"/>
      <c r="E3268" s="159"/>
      <c r="F3268" s="159">
        <v>2275.2199999999998</v>
      </c>
      <c r="G3268" s="160"/>
    </row>
    <row r="3269" spans="1:7" ht="16.5">
      <c r="A3269" s="160"/>
      <c r="B3269" s="160"/>
      <c r="C3269" s="157"/>
      <c r="D3269" s="159"/>
      <c r="E3269" s="159"/>
      <c r="F3269" s="159"/>
      <c r="G3269" s="160"/>
    </row>
    <row r="3270" spans="1:7" ht="28.5">
      <c r="A3270" s="160" t="s">
        <v>5050</v>
      </c>
      <c r="B3270" s="160" t="s">
        <v>2755</v>
      </c>
      <c r="C3270" s="157" t="s">
        <v>2679</v>
      </c>
      <c r="D3270" s="159">
        <v>1</v>
      </c>
      <c r="E3270" s="159">
        <v>305.85000000000002</v>
      </c>
      <c r="F3270" s="159"/>
      <c r="G3270" s="160" t="s">
        <v>4379</v>
      </c>
    </row>
    <row r="3271" spans="1:7" ht="28.5">
      <c r="A3271" s="160">
        <v>1</v>
      </c>
      <c r="B3271" s="160" t="s">
        <v>2757</v>
      </c>
      <c r="C3271" s="157" t="s">
        <v>14</v>
      </c>
      <c r="D3271" s="159">
        <v>1</v>
      </c>
      <c r="E3271" s="159">
        <v>13.88</v>
      </c>
      <c r="F3271" s="159">
        <v>13.88</v>
      </c>
      <c r="G3271" s="160" t="s">
        <v>2</v>
      </c>
    </row>
    <row r="3272" spans="1:7" ht="28.5">
      <c r="A3272" s="160">
        <v>2</v>
      </c>
      <c r="B3272" s="160" t="s">
        <v>2759</v>
      </c>
      <c r="C3272" s="157" t="s">
        <v>2679</v>
      </c>
      <c r="D3272" s="159">
        <v>1</v>
      </c>
      <c r="E3272" s="159">
        <v>231.4</v>
      </c>
      <c r="F3272" s="159">
        <v>231.4</v>
      </c>
      <c r="G3272" s="160" t="s">
        <v>4379</v>
      </c>
    </row>
    <row r="3273" spans="1:7" ht="28.5">
      <c r="A3273" s="160">
        <v>3</v>
      </c>
      <c r="B3273" s="160" t="s">
        <v>2761</v>
      </c>
      <c r="C3273" s="157" t="s">
        <v>3</v>
      </c>
      <c r="D3273" s="159">
        <v>0.02</v>
      </c>
      <c r="E3273" s="159">
        <v>2063.17</v>
      </c>
      <c r="F3273" s="159">
        <v>41.26</v>
      </c>
      <c r="G3273" s="160" t="s">
        <v>4379</v>
      </c>
    </row>
    <row r="3274" spans="1:7" ht="16.5">
      <c r="A3274" s="160">
        <v>4</v>
      </c>
      <c r="B3274" s="160" t="s">
        <v>4871</v>
      </c>
      <c r="C3274" s="157" t="s">
        <v>927</v>
      </c>
      <c r="D3274" s="159">
        <v>0.04</v>
      </c>
      <c r="E3274" s="159">
        <v>260.08999999999997</v>
      </c>
      <c r="F3274" s="159">
        <v>10.4</v>
      </c>
      <c r="G3274" s="160" t="s">
        <v>5435</v>
      </c>
    </row>
    <row r="3275" spans="1:7" ht="16.5">
      <c r="A3275" s="160">
        <v>5</v>
      </c>
      <c r="B3275" s="160" t="s">
        <v>931</v>
      </c>
      <c r="C3275" s="157" t="s">
        <v>14</v>
      </c>
      <c r="D3275" s="159">
        <v>1</v>
      </c>
      <c r="E3275" s="159">
        <v>8.91</v>
      </c>
      <c r="F3275" s="159">
        <v>8.91</v>
      </c>
      <c r="G3275" s="160" t="s">
        <v>2</v>
      </c>
    </row>
    <row r="3276" spans="1:7" ht="16.5">
      <c r="A3276" s="160"/>
      <c r="B3276" s="160" t="s">
        <v>933</v>
      </c>
      <c r="C3276" s="157" t="s">
        <v>2679</v>
      </c>
      <c r="D3276" s="159">
        <v>1</v>
      </c>
      <c r="E3276" s="159"/>
      <c r="F3276" s="159">
        <v>305.85000000000002</v>
      </c>
      <c r="G3276" s="160"/>
    </row>
    <row r="3277" spans="1:7" ht="16.5">
      <c r="A3277" s="160"/>
      <c r="B3277" s="160" t="s">
        <v>934</v>
      </c>
      <c r="C3277" s="157" t="s">
        <v>2679</v>
      </c>
      <c r="D3277" s="159"/>
      <c r="E3277" s="159"/>
      <c r="F3277" s="159">
        <v>305.85000000000002</v>
      </c>
      <c r="G3277" s="160"/>
    </row>
    <row r="3278" spans="1:7" ht="16.5">
      <c r="A3278" s="160"/>
      <c r="B3278" s="160"/>
      <c r="C3278" s="157"/>
      <c r="D3278" s="159"/>
      <c r="E3278" s="159"/>
      <c r="F3278" s="159"/>
      <c r="G3278" s="160"/>
    </row>
    <row r="3279" spans="1:7" ht="42.75">
      <c r="A3279" s="160" t="s">
        <v>5051</v>
      </c>
      <c r="B3279" s="160" t="s">
        <v>913</v>
      </c>
      <c r="C3279" s="157" t="s">
        <v>3</v>
      </c>
      <c r="D3279" s="159">
        <v>10</v>
      </c>
      <c r="E3279" s="159">
        <v>851.5</v>
      </c>
      <c r="F3279" s="159"/>
      <c r="G3279" s="160" t="s">
        <v>2</v>
      </c>
    </row>
    <row r="3280" spans="1:7" ht="16.5">
      <c r="A3280" s="160">
        <v>1</v>
      </c>
      <c r="B3280" s="160" t="s">
        <v>2765</v>
      </c>
      <c r="C3280" s="157" t="s">
        <v>18</v>
      </c>
      <c r="D3280" s="159">
        <v>43</v>
      </c>
      <c r="E3280" s="159">
        <v>98.35</v>
      </c>
      <c r="F3280" s="159">
        <v>4229.05</v>
      </c>
      <c r="G3280" s="160" t="s">
        <v>2</v>
      </c>
    </row>
    <row r="3281" spans="1:7" ht="16.5">
      <c r="A3281" s="160">
        <v>2</v>
      </c>
      <c r="B3281" s="160" t="s">
        <v>2767</v>
      </c>
      <c r="C3281" s="157" t="s">
        <v>18</v>
      </c>
      <c r="D3281" s="159">
        <v>11</v>
      </c>
      <c r="E3281" s="159">
        <v>14.93</v>
      </c>
      <c r="F3281" s="159">
        <v>164.23</v>
      </c>
      <c r="G3281" s="160" t="s">
        <v>2</v>
      </c>
    </row>
    <row r="3282" spans="1:7" ht="16.5">
      <c r="A3282" s="160">
        <v>3</v>
      </c>
      <c r="B3282" s="160" t="s">
        <v>2716</v>
      </c>
      <c r="C3282" s="157" t="s">
        <v>18</v>
      </c>
      <c r="D3282" s="159">
        <v>1.4</v>
      </c>
      <c r="E3282" s="159">
        <v>18.72</v>
      </c>
      <c r="F3282" s="159">
        <v>26.21</v>
      </c>
      <c r="G3282" s="160" t="s">
        <v>2</v>
      </c>
    </row>
    <row r="3283" spans="1:7" ht="16.5">
      <c r="A3283" s="160">
        <v>4</v>
      </c>
      <c r="B3283" s="160" t="s">
        <v>2769</v>
      </c>
      <c r="C3283" s="157" t="s">
        <v>18</v>
      </c>
      <c r="D3283" s="159">
        <v>2</v>
      </c>
      <c r="E3283" s="159">
        <v>60.53</v>
      </c>
      <c r="F3283" s="159">
        <v>121.06</v>
      </c>
      <c r="G3283" s="160" t="s">
        <v>2</v>
      </c>
    </row>
    <row r="3284" spans="1:7" ht="28.5">
      <c r="A3284" s="160">
        <v>5</v>
      </c>
      <c r="B3284" s="160" t="s">
        <v>2771</v>
      </c>
      <c r="C3284" s="157" t="s">
        <v>927</v>
      </c>
      <c r="D3284" s="159">
        <v>3.4</v>
      </c>
      <c r="E3284" s="159">
        <v>46.28</v>
      </c>
      <c r="F3284" s="159">
        <v>157.35</v>
      </c>
      <c r="G3284" s="160" t="s">
        <v>2</v>
      </c>
    </row>
    <row r="3285" spans="1:7" ht="16.5">
      <c r="A3285" s="160">
        <v>6</v>
      </c>
      <c r="B3285" s="160" t="s">
        <v>2718</v>
      </c>
      <c r="C3285" s="157" t="s">
        <v>927</v>
      </c>
      <c r="D3285" s="159">
        <v>3.4</v>
      </c>
      <c r="E3285" s="159">
        <v>371.17</v>
      </c>
      <c r="F3285" s="159">
        <v>1261.98</v>
      </c>
      <c r="G3285" s="160" t="s">
        <v>2</v>
      </c>
    </row>
    <row r="3286" spans="1:7" ht="16.5">
      <c r="A3286" s="160">
        <v>7</v>
      </c>
      <c r="B3286" s="160" t="s">
        <v>4871</v>
      </c>
      <c r="C3286" s="157" t="s">
        <v>927</v>
      </c>
      <c r="D3286" s="159">
        <v>3.4</v>
      </c>
      <c r="E3286" s="159">
        <v>260.08999999999997</v>
      </c>
      <c r="F3286" s="159">
        <v>884.31</v>
      </c>
      <c r="G3286" s="160" t="s">
        <v>5435</v>
      </c>
    </row>
    <row r="3287" spans="1:7" ht="16.5">
      <c r="A3287" s="160">
        <v>8</v>
      </c>
      <c r="B3287" s="160" t="s">
        <v>2773</v>
      </c>
      <c r="C3287" s="157" t="s">
        <v>927</v>
      </c>
      <c r="D3287" s="159">
        <v>3.4</v>
      </c>
      <c r="E3287" s="159">
        <v>371.17</v>
      </c>
      <c r="F3287" s="159">
        <v>1261.98</v>
      </c>
      <c r="G3287" s="160" t="s">
        <v>2</v>
      </c>
    </row>
    <row r="3288" spans="1:7" ht="16.5">
      <c r="A3288" s="160">
        <v>9</v>
      </c>
      <c r="B3288" s="160" t="s">
        <v>2775</v>
      </c>
      <c r="C3288" s="157" t="s">
        <v>14</v>
      </c>
      <c r="D3288" s="159">
        <v>1</v>
      </c>
      <c r="E3288" s="159">
        <v>160.78</v>
      </c>
      <c r="F3288" s="159">
        <v>160.78</v>
      </c>
      <c r="G3288" s="160" t="s">
        <v>2</v>
      </c>
    </row>
    <row r="3289" spans="1:7" ht="16.5">
      <c r="A3289" s="160">
        <v>10</v>
      </c>
      <c r="B3289" s="160" t="s">
        <v>931</v>
      </c>
      <c r="C3289" s="157" t="s">
        <v>14</v>
      </c>
      <c r="D3289" s="159">
        <v>1</v>
      </c>
      <c r="E3289" s="159">
        <v>248.01</v>
      </c>
      <c r="F3289" s="159">
        <v>248.01</v>
      </c>
      <c r="G3289" s="160" t="s">
        <v>2</v>
      </c>
    </row>
    <row r="3290" spans="1:7" ht="16.5">
      <c r="A3290" s="160"/>
      <c r="B3290" s="160" t="s">
        <v>933</v>
      </c>
      <c r="C3290" s="157" t="s">
        <v>3</v>
      </c>
      <c r="D3290" s="159">
        <v>10</v>
      </c>
      <c r="E3290" s="159"/>
      <c r="F3290" s="159">
        <v>8514.9600000000009</v>
      </c>
      <c r="G3290" s="160"/>
    </row>
    <row r="3291" spans="1:7" ht="16.5">
      <c r="A3291" s="160"/>
      <c r="B3291" s="160" t="s">
        <v>934</v>
      </c>
      <c r="C3291" s="157" t="s">
        <v>3</v>
      </c>
      <c r="D3291" s="159"/>
      <c r="E3291" s="159"/>
      <c r="F3291" s="159">
        <v>851.5</v>
      </c>
      <c r="G3291" s="160"/>
    </row>
    <row r="3292" spans="1:7" ht="16.5">
      <c r="A3292" s="160"/>
      <c r="B3292" s="160"/>
      <c r="C3292" s="157"/>
      <c r="D3292" s="159"/>
      <c r="E3292" s="159"/>
      <c r="F3292" s="159"/>
      <c r="G3292" s="160"/>
    </row>
    <row r="3293" spans="1:7" ht="28.5">
      <c r="A3293" s="160" t="s">
        <v>5052</v>
      </c>
      <c r="B3293" s="160" t="s">
        <v>2778</v>
      </c>
      <c r="C3293" s="157" t="s">
        <v>3</v>
      </c>
      <c r="D3293" s="159">
        <v>10</v>
      </c>
      <c r="E3293" s="159">
        <v>604.72</v>
      </c>
      <c r="F3293" s="159"/>
      <c r="G3293" s="160" t="s">
        <v>2</v>
      </c>
    </row>
    <row r="3294" spans="1:7" ht="16.5">
      <c r="A3294" s="160">
        <v>1</v>
      </c>
      <c r="B3294" s="160" t="s">
        <v>2765</v>
      </c>
      <c r="C3294" s="157" t="s">
        <v>18</v>
      </c>
      <c r="D3294" s="159">
        <v>43</v>
      </c>
      <c r="E3294" s="159">
        <v>98.35</v>
      </c>
      <c r="F3294" s="159">
        <v>4229.05</v>
      </c>
      <c r="G3294" s="160" t="s">
        <v>2</v>
      </c>
    </row>
    <row r="3295" spans="1:7" ht="16.5">
      <c r="A3295" s="160">
        <v>2</v>
      </c>
      <c r="B3295" s="160" t="s">
        <v>2767</v>
      </c>
      <c r="C3295" s="157" t="s">
        <v>18</v>
      </c>
      <c r="D3295" s="159">
        <v>11</v>
      </c>
      <c r="E3295" s="159">
        <v>14.93</v>
      </c>
      <c r="F3295" s="159">
        <v>164.23</v>
      </c>
      <c r="G3295" s="160" t="s">
        <v>2</v>
      </c>
    </row>
    <row r="3296" spans="1:7" ht="16.5">
      <c r="A3296" s="160">
        <v>3</v>
      </c>
      <c r="B3296" s="160" t="s">
        <v>2716</v>
      </c>
      <c r="C3296" s="157" t="s">
        <v>18</v>
      </c>
      <c r="D3296" s="159">
        <v>1.4</v>
      </c>
      <c r="E3296" s="159">
        <v>18.72</v>
      </c>
      <c r="F3296" s="159">
        <v>26.21</v>
      </c>
      <c r="G3296" s="160" t="s">
        <v>2</v>
      </c>
    </row>
    <row r="3297" spans="1:8" ht="16.5">
      <c r="A3297" s="160">
        <v>4</v>
      </c>
      <c r="B3297" s="160" t="s">
        <v>2769</v>
      </c>
      <c r="C3297" s="157" t="s">
        <v>18</v>
      </c>
      <c r="D3297" s="159">
        <v>2</v>
      </c>
      <c r="E3297" s="159">
        <v>60.53</v>
      </c>
      <c r="F3297" s="159">
        <v>121.06</v>
      </c>
      <c r="G3297" s="160" t="s">
        <v>2</v>
      </c>
    </row>
    <row r="3298" spans="1:8" ht="28.5">
      <c r="A3298" s="160">
        <v>5</v>
      </c>
      <c r="B3298" s="160" t="s">
        <v>2771</v>
      </c>
      <c r="C3298" s="157" t="s">
        <v>927</v>
      </c>
      <c r="D3298" s="159">
        <v>1.25</v>
      </c>
      <c r="E3298" s="159">
        <v>46.28</v>
      </c>
      <c r="F3298" s="159">
        <v>57.85</v>
      </c>
      <c r="G3298" s="160" t="s">
        <v>2</v>
      </c>
    </row>
    <row r="3299" spans="1:8" ht="16.5">
      <c r="A3299" s="160">
        <v>6</v>
      </c>
      <c r="B3299" s="160" t="s">
        <v>2718</v>
      </c>
      <c r="C3299" s="157" t="s">
        <v>927</v>
      </c>
      <c r="D3299" s="159">
        <v>1.25</v>
      </c>
      <c r="E3299" s="159">
        <v>371.17</v>
      </c>
      <c r="F3299" s="159">
        <v>463.96</v>
      </c>
      <c r="G3299" s="160" t="s">
        <v>2</v>
      </c>
    </row>
    <row r="3300" spans="1:8" ht="16.5">
      <c r="A3300" s="160">
        <v>7</v>
      </c>
      <c r="B3300" s="160" t="s">
        <v>4871</v>
      </c>
      <c r="C3300" s="157" t="s">
        <v>927</v>
      </c>
      <c r="D3300" s="159">
        <v>1.25</v>
      </c>
      <c r="E3300" s="159">
        <v>260.08999999999997</v>
      </c>
      <c r="F3300" s="159">
        <v>325.11</v>
      </c>
      <c r="G3300" s="160" t="s">
        <v>5435</v>
      </c>
    </row>
    <row r="3301" spans="1:8" ht="16.5">
      <c r="A3301" s="160">
        <v>8</v>
      </c>
      <c r="B3301" s="160" t="s">
        <v>2773</v>
      </c>
      <c r="C3301" s="157" t="s">
        <v>927</v>
      </c>
      <c r="D3301" s="159">
        <v>1.25</v>
      </c>
      <c r="E3301" s="159">
        <v>371.17</v>
      </c>
      <c r="F3301" s="159">
        <v>463.96</v>
      </c>
      <c r="G3301" s="160" t="s">
        <v>2</v>
      </c>
    </row>
    <row r="3302" spans="1:8" ht="16.5">
      <c r="A3302" s="160">
        <v>9</v>
      </c>
      <c r="B3302" s="160" t="s">
        <v>2775</v>
      </c>
      <c r="C3302" s="157" t="s">
        <v>14</v>
      </c>
      <c r="D3302" s="159">
        <v>1</v>
      </c>
      <c r="E3302" s="159">
        <v>19.62</v>
      </c>
      <c r="F3302" s="159">
        <v>19.62</v>
      </c>
      <c r="G3302" s="160" t="s">
        <v>2</v>
      </c>
    </row>
    <row r="3303" spans="1:8" ht="16.5">
      <c r="A3303" s="160">
        <v>10</v>
      </c>
      <c r="B3303" s="160" t="s">
        <v>931</v>
      </c>
      <c r="C3303" s="157" t="s">
        <v>14</v>
      </c>
      <c r="D3303" s="159">
        <v>1</v>
      </c>
      <c r="E3303" s="159">
        <v>176.13</v>
      </c>
      <c r="F3303" s="159">
        <v>176.13</v>
      </c>
      <c r="G3303" s="160" t="s">
        <v>2</v>
      </c>
    </row>
    <row r="3304" spans="1:8" ht="16.5">
      <c r="A3304" s="160"/>
      <c r="B3304" s="160" t="s">
        <v>933</v>
      </c>
      <c r="C3304" s="157" t="s">
        <v>3</v>
      </c>
      <c r="D3304" s="159">
        <v>10</v>
      </c>
      <c r="E3304" s="159"/>
      <c r="F3304" s="159">
        <v>6047.18</v>
      </c>
      <c r="G3304" s="160"/>
    </row>
    <row r="3305" spans="1:8" ht="16.5">
      <c r="A3305" s="160"/>
      <c r="B3305" s="160" t="s">
        <v>934</v>
      </c>
      <c r="C3305" s="157" t="s">
        <v>3</v>
      </c>
      <c r="D3305" s="159"/>
      <c r="E3305" s="159"/>
      <c r="F3305" s="159">
        <v>604.72</v>
      </c>
      <c r="G3305" s="160"/>
    </row>
    <row r="3306" spans="1:8" ht="16.5">
      <c r="A3306" s="160"/>
      <c r="B3306" s="160"/>
      <c r="C3306" s="157"/>
      <c r="D3306" s="159"/>
      <c r="E3306" s="159"/>
      <c r="F3306" s="159"/>
      <c r="G3306" s="160"/>
    </row>
    <row r="3307" spans="1:8" s="1285" customFormat="1" ht="28.5">
      <c r="A3307" s="1289" t="s">
        <v>5053</v>
      </c>
      <c r="B3307" s="1289" t="s">
        <v>1761</v>
      </c>
      <c r="C3307" s="1288" t="s">
        <v>0</v>
      </c>
      <c r="D3307" s="1287">
        <v>1</v>
      </c>
      <c r="E3307" s="1287">
        <v>26160</v>
      </c>
      <c r="F3307" s="1287"/>
      <c r="G3307" s="1286" t="s">
        <v>2</v>
      </c>
      <c r="H3307" s="1285" t="s">
        <v>925</v>
      </c>
    </row>
    <row r="3308" spans="1:8" s="1285" customFormat="1" ht="28.5">
      <c r="A3308" s="1289">
        <v>1</v>
      </c>
      <c r="B3308" s="1289" t="s">
        <v>5550</v>
      </c>
      <c r="C3308" s="1288" t="s">
        <v>1295</v>
      </c>
      <c r="D3308" s="1287">
        <v>80</v>
      </c>
      <c r="E3308" s="1287">
        <v>287.93</v>
      </c>
      <c r="F3308" s="1287">
        <v>23034.400000000001</v>
      </c>
      <c r="G3308" s="1286" t="s">
        <v>2</v>
      </c>
      <c r="H3308" s="1285" t="s">
        <v>925</v>
      </c>
    </row>
    <row r="3309" spans="1:8" s="1285" customFormat="1" ht="28.5">
      <c r="A3309" s="1289">
        <v>2</v>
      </c>
      <c r="B3309" s="1289" t="s">
        <v>5549</v>
      </c>
      <c r="C3309" s="1288" t="s">
        <v>14</v>
      </c>
      <c r="D3309" s="1287">
        <v>1</v>
      </c>
      <c r="E3309" s="1287">
        <v>1324.48</v>
      </c>
      <c r="F3309" s="1287">
        <v>1324.48</v>
      </c>
      <c r="G3309" s="1286" t="s">
        <v>2</v>
      </c>
      <c r="H3309" s="1285" t="s">
        <v>925</v>
      </c>
    </row>
    <row r="3310" spans="1:8" s="1285" customFormat="1" ht="16.5">
      <c r="A3310" s="1289">
        <v>3</v>
      </c>
      <c r="B3310" s="1289" t="s">
        <v>4871</v>
      </c>
      <c r="C3310" s="1288" t="s">
        <v>927</v>
      </c>
      <c r="D3310" s="1287">
        <v>4</v>
      </c>
      <c r="E3310" s="1287">
        <v>260.08999999999997</v>
      </c>
      <c r="F3310" s="1287">
        <v>1040.3599999999999</v>
      </c>
      <c r="G3310" s="1286" t="s">
        <v>5435</v>
      </c>
      <c r="H3310" s="1285" t="s">
        <v>925</v>
      </c>
    </row>
    <row r="3311" spans="1:8" s="1285" customFormat="1" ht="16.5">
      <c r="A3311" s="1289">
        <v>4</v>
      </c>
      <c r="B3311" s="1289" t="s">
        <v>931</v>
      </c>
      <c r="C3311" s="1288" t="s">
        <v>14</v>
      </c>
      <c r="D3311" s="1287">
        <v>1</v>
      </c>
      <c r="E3311" s="1287">
        <v>760.76</v>
      </c>
      <c r="F3311" s="1287">
        <v>760.76</v>
      </c>
      <c r="G3311" s="1286" t="s">
        <v>2</v>
      </c>
      <c r="H3311" s="1285" t="s">
        <v>925</v>
      </c>
    </row>
    <row r="3312" spans="1:8" s="1285" customFormat="1" ht="16.5">
      <c r="A3312" s="1289"/>
      <c r="B3312" s="1289" t="s">
        <v>933</v>
      </c>
      <c r="C3312" s="1288" t="s">
        <v>0</v>
      </c>
      <c r="D3312" s="1287">
        <v>1</v>
      </c>
      <c r="E3312" s="1287"/>
      <c r="F3312" s="1287">
        <v>26160</v>
      </c>
      <c r="G3312" s="1286"/>
      <c r="H3312" s="1285" t="s">
        <v>925</v>
      </c>
    </row>
    <row r="3313" spans="1:8" s="1285" customFormat="1" ht="16.5">
      <c r="A3313" s="1289"/>
      <c r="B3313" s="1289" t="s">
        <v>934</v>
      </c>
      <c r="C3313" s="1288" t="s">
        <v>0</v>
      </c>
      <c r="D3313" s="1287"/>
      <c r="E3313" s="1287"/>
      <c r="F3313" s="1287">
        <v>26160</v>
      </c>
      <c r="G3313" s="1286"/>
      <c r="H3313" s="1285" t="s">
        <v>925</v>
      </c>
    </row>
    <row r="3314" spans="1:8" s="1285" customFormat="1" ht="16.5">
      <c r="A3314" s="1289"/>
      <c r="B3314" s="1289"/>
      <c r="C3314" s="1288"/>
      <c r="D3314" s="1287"/>
      <c r="E3314" s="1287"/>
      <c r="F3314" s="1287"/>
      <c r="G3314" s="1286"/>
    </row>
    <row r="3315" spans="1:8" s="1285" customFormat="1" ht="28.5">
      <c r="A3315" s="1289" t="s">
        <v>5054</v>
      </c>
      <c r="B3315" s="1289" t="s">
        <v>5543</v>
      </c>
      <c r="C3315" s="1288" t="s">
        <v>17</v>
      </c>
      <c r="D3315" s="1287">
        <v>108</v>
      </c>
      <c r="E3315" s="1287">
        <v>1925</v>
      </c>
      <c r="F3315" s="1287"/>
      <c r="G3315" s="1286" t="s">
        <v>2</v>
      </c>
      <c r="H3315" s="1285" t="s">
        <v>925</v>
      </c>
    </row>
    <row r="3316" spans="1:8" s="1285" customFormat="1" ht="16.5">
      <c r="A3316" s="1289">
        <v>1</v>
      </c>
      <c r="B3316" s="1289" t="s">
        <v>3003</v>
      </c>
      <c r="C3316" s="1288" t="s">
        <v>927</v>
      </c>
      <c r="D3316" s="1287">
        <v>80</v>
      </c>
      <c r="E3316" s="1287">
        <v>410</v>
      </c>
      <c r="F3316" s="1287">
        <v>32800</v>
      </c>
      <c r="G3316" s="1286" t="s">
        <v>4364</v>
      </c>
      <c r="H3316" s="1285" t="s">
        <v>925</v>
      </c>
    </row>
    <row r="3317" spans="1:8" s="1285" customFormat="1" ht="16.5">
      <c r="A3317" s="1289">
        <v>2</v>
      </c>
      <c r="B3317" s="1289" t="s">
        <v>3001</v>
      </c>
      <c r="C3317" s="1288" t="s">
        <v>927</v>
      </c>
      <c r="D3317" s="1287">
        <v>120</v>
      </c>
      <c r="E3317" s="1287">
        <v>281</v>
      </c>
      <c r="F3317" s="1287">
        <v>33720</v>
      </c>
      <c r="G3317" s="1286" t="s">
        <v>4364</v>
      </c>
      <c r="H3317" s="1285" t="s">
        <v>925</v>
      </c>
    </row>
    <row r="3318" spans="1:8" s="1285" customFormat="1" ht="16.5">
      <c r="A3318" s="1289">
        <v>3</v>
      </c>
      <c r="B3318" s="1289" t="s">
        <v>5548</v>
      </c>
      <c r="C3318" s="1288" t="s">
        <v>2447</v>
      </c>
      <c r="D3318" s="1287">
        <v>5</v>
      </c>
      <c r="E3318" s="1287">
        <v>2868.75</v>
      </c>
      <c r="F3318" s="1287">
        <v>14343.75</v>
      </c>
      <c r="G3318" s="1286" t="s">
        <v>2</v>
      </c>
      <c r="H3318" s="1285" t="s">
        <v>925</v>
      </c>
    </row>
    <row r="3319" spans="1:8" s="1285" customFormat="1" ht="16.5">
      <c r="A3319" s="1289">
        <v>4</v>
      </c>
      <c r="B3319" s="1289" t="s">
        <v>1056</v>
      </c>
      <c r="C3319" s="1288" t="s">
        <v>927</v>
      </c>
      <c r="D3319" s="1287">
        <v>40</v>
      </c>
      <c r="E3319" s="1287">
        <v>714.56</v>
      </c>
      <c r="F3319" s="1287">
        <v>28582.400000000001</v>
      </c>
      <c r="G3319" s="1286" t="s">
        <v>2</v>
      </c>
      <c r="H3319" s="1285" t="s">
        <v>925</v>
      </c>
    </row>
    <row r="3320" spans="1:8" s="1285" customFormat="1" ht="16.5">
      <c r="A3320" s="1289">
        <v>5</v>
      </c>
      <c r="B3320" s="1289" t="s">
        <v>1078</v>
      </c>
      <c r="C3320" s="1288" t="s">
        <v>927</v>
      </c>
      <c r="D3320" s="1287">
        <v>40</v>
      </c>
      <c r="E3320" s="1287">
        <v>401</v>
      </c>
      <c r="F3320" s="1287">
        <v>16040</v>
      </c>
      <c r="G3320" s="1286" t="s">
        <v>4364</v>
      </c>
      <c r="H3320" s="1285" t="s">
        <v>925</v>
      </c>
    </row>
    <row r="3321" spans="1:8" s="1285" customFormat="1" ht="16.5">
      <c r="A3321" s="1289">
        <v>6</v>
      </c>
      <c r="B3321" s="1289" t="s">
        <v>5547</v>
      </c>
      <c r="C3321" s="1288" t="s">
        <v>2447</v>
      </c>
      <c r="D3321" s="1287">
        <v>2</v>
      </c>
      <c r="E3321" s="1287">
        <v>38250.050000000003</v>
      </c>
      <c r="F3321" s="1287">
        <v>76500.100000000006</v>
      </c>
      <c r="G3321" s="1286" t="s">
        <v>2</v>
      </c>
      <c r="H3321" s="1285" t="s">
        <v>925</v>
      </c>
    </row>
    <row r="3322" spans="1:8" s="1285" customFormat="1" ht="16.5">
      <c r="A3322" s="1289">
        <v>7</v>
      </c>
      <c r="B3322" s="1289" t="s">
        <v>931</v>
      </c>
      <c r="C3322" s="1288" t="s">
        <v>14</v>
      </c>
      <c r="D3322" s="1287">
        <v>1</v>
      </c>
      <c r="E3322" s="1287">
        <v>5913.75</v>
      </c>
      <c r="F3322" s="1287">
        <v>5913.75</v>
      </c>
      <c r="G3322" s="1286" t="s">
        <v>2</v>
      </c>
      <c r="H3322" s="1285" t="s">
        <v>925</v>
      </c>
    </row>
    <row r="3323" spans="1:8" s="1285" customFormat="1" ht="16.5">
      <c r="A3323" s="1289"/>
      <c r="B3323" s="1289" t="s">
        <v>933</v>
      </c>
      <c r="C3323" s="1288" t="s">
        <v>17</v>
      </c>
      <c r="D3323" s="1287">
        <v>108</v>
      </c>
      <c r="E3323" s="1287"/>
      <c r="F3323" s="1287">
        <v>207900</v>
      </c>
      <c r="G3323" s="1286"/>
      <c r="H3323" s="1285" t="s">
        <v>925</v>
      </c>
    </row>
    <row r="3324" spans="1:8" s="1285" customFormat="1" ht="16.5">
      <c r="A3324" s="1289"/>
      <c r="B3324" s="1289" t="s">
        <v>934</v>
      </c>
      <c r="C3324" s="1288" t="s">
        <v>17</v>
      </c>
      <c r="D3324" s="1287"/>
      <c r="E3324" s="1287"/>
      <c r="F3324" s="1287">
        <v>1925</v>
      </c>
      <c r="G3324" s="1286"/>
      <c r="H3324" s="1285" t="s">
        <v>925</v>
      </c>
    </row>
    <row r="3325" spans="1:8" s="1285" customFormat="1" ht="16.5">
      <c r="A3325" s="1289"/>
      <c r="B3325" s="1289"/>
      <c r="C3325" s="1288"/>
      <c r="D3325" s="1287"/>
      <c r="E3325" s="1287"/>
      <c r="F3325" s="1287"/>
      <c r="G3325" s="1286"/>
    </row>
    <row r="3326" spans="1:8" ht="28.5">
      <c r="A3326" s="160" t="s">
        <v>5551</v>
      </c>
      <c r="B3326" s="160" t="s">
        <v>2781</v>
      </c>
      <c r="C3326" s="157" t="s">
        <v>2782</v>
      </c>
      <c r="D3326" s="159">
        <v>1000</v>
      </c>
      <c r="E3326" s="159">
        <v>50.69</v>
      </c>
      <c r="F3326" s="159"/>
      <c r="G3326" s="160" t="s">
        <v>2</v>
      </c>
    </row>
    <row r="3327" spans="1:8" ht="16.5">
      <c r="A3327" s="160">
        <v>1</v>
      </c>
      <c r="B3327" s="160" t="s">
        <v>4871</v>
      </c>
      <c r="C3327" s="157" t="s">
        <v>927</v>
      </c>
      <c r="D3327" s="159">
        <v>189.2</v>
      </c>
      <c r="E3327" s="159">
        <v>260.08999999999997</v>
      </c>
      <c r="F3327" s="159">
        <v>49209.03</v>
      </c>
      <c r="G3327" s="160" t="s">
        <v>2</v>
      </c>
    </row>
    <row r="3328" spans="1:8" ht="16.5">
      <c r="A3328" s="160">
        <v>2</v>
      </c>
      <c r="B3328" s="160" t="s">
        <v>931</v>
      </c>
      <c r="C3328" s="157" t="s">
        <v>14</v>
      </c>
      <c r="D3328" s="159">
        <v>1</v>
      </c>
      <c r="E3328" s="159">
        <v>1476.27</v>
      </c>
      <c r="F3328" s="159">
        <v>1476.27</v>
      </c>
      <c r="G3328" s="160" t="s">
        <v>2</v>
      </c>
    </row>
    <row r="3329" spans="1:7" ht="16.5">
      <c r="A3329" s="160"/>
      <c r="B3329" s="160" t="s">
        <v>933</v>
      </c>
      <c r="C3329" s="157" t="s">
        <v>2782</v>
      </c>
      <c r="D3329" s="159">
        <v>1000</v>
      </c>
      <c r="E3329" s="159"/>
      <c r="F3329" s="159">
        <v>50685.299999999996</v>
      </c>
      <c r="G3329" s="160"/>
    </row>
    <row r="3330" spans="1:7" ht="16.5">
      <c r="A3330" s="160"/>
      <c r="B3330" s="160" t="s">
        <v>934</v>
      </c>
      <c r="C3330" s="157" t="s">
        <v>2782</v>
      </c>
      <c r="D3330" s="159"/>
      <c r="E3330" s="159"/>
      <c r="F3330" s="159">
        <v>50.69</v>
      </c>
      <c r="G3330" s="160"/>
    </row>
    <row r="3331" spans="1:7" ht="16.5">
      <c r="A3331" s="160"/>
      <c r="B3331" s="160"/>
      <c r="C3331" s="157"/>
      <c r="D3331" s="159"/>
      <c r="E3331" s="159"/>
      <c r="F3331" s="159"/>
      <c r="G3331" s="160"/>
    </row>
    <row r="3332" spans="1:7" ht="28.5">
      <c r="A3332" s="160" t="s">
        <v>5552</v>
      </c>
      <c r="B3332" s="160" t="s">
        <v>2785</v>
      </c>
      <c r="C3332" s="157" t="s">
        <v>2786</v>
      </c>
      <c r="D3332" s="159">
        <v>12</v>
      </c>
      <c r="E3332" s="159">
        <v>12789.97</v>
      </c>
      <c r="F3332" s="159"/>
      <c r="G3332" s="160" t="s">
        <v>2</v>
      </c>
    </row>
    <row r="3333" spans="1:7" ht="28.5">
      <c r="A3333" s="160">
        <v>1</v>
      </c>
      <c r="B3333" s="160" t="s">
        <v>1038</v>
      </c>
      <c r="C3333" s="157" t="s">
        <v>927</v>
      </c>
      <c r="D3333" s="159">
        <v>375</v>
      </c>
      <c r="E3333" s="159">
        <v>64.790000000000006</v>
      </c>
      <c r="F3333" s="159">
        <v>24296.25</v>
      </c>
      <c r="G3333" s="160" t="s">
        <v>2</v>
      </c>
    </row>
    <row r="3334" spans="1:7" ht="28.5">
      <c r="A3334" s="160">
        <v>2</v>
      </c>
      <c r="B3334" s="160" t="s">
        <v>5055</v>
      </c>
      <c r="C3334" s="157" t="s">
        <v>927</v>
      </c>
      <c r="D3334" s="159">
        <v>336</v>
      </c>
      <c r="E3334" s="159">
        <v>371.17</v>
      </c>
      <c r="F3334" s="159">
        <v>124713.12</v>
      </c>
      <c r="G3334" s="160" t="s">
        <v>5474</v>
      </c>
    </row>
    <row r="3335" spans="1:7" ht="16.5">
      <c r="A3335" s="160">
        <v>3</v>
      </c>
      <c r="B3335" s="160" t="s">
        <v>931</v>
      </c>
      <c r="C3335" s="157" t="s">
        <v>14</v>
      </c>
      <c r="D3335" s="159">
        <v>1</v>
      </c>
      <c r="E3335" s="159">
        <v>4470.28</v>
      </c>
      <c r="F3335" s="159">
        <v>4470.28</v>
      </c>
      <c r="G3335" s="160" t="s">
        <v>2</v>
      </c>
    </row>
    <row r="3336" spans="1:7" ht="16.5">
      <c r="A3336" s="160"/>
      <c r="B3336" s="160" t="s">
        <v>933</v>
      </c>
      <c r="C3336" s="157" t="s">
        <v>2786</v>
      </c>
      <c r="D3336" s="159">
        <v>12</v>
      </c>
      <c r="E3336" s="159"/>
      <c r="F3336" s="159">
        <v>153479.65</v>
      </c>
      <c r="G3336" s="160"/>
    </row>
    <row r="3337" spans="1:7" ht="16.5">
      <c r="A3337" s="160"/>
      <c r="B3337" s="160" t="s">
        <v>934</v>
      </c>
      <c r="C3337" s="157" t="s">
        <v>2786</v>
      </c>
      <c r="D3337" s="159"/>
      <c r="E3337" s="159"/>
      <c r="F3337" s="159">
        <v>12789.97</v>
      </c>
      <c r="G3337" s="160"/>
    </row>
    <row r="3338" spans="1:7" ht="16.5">
      <c r="A3338" s="160"/>
      <c r="B3338" s="160"/>
      <c r="C3338" s="157"/>
      <c r="D3338" s="159"/>
      <c r="E3338" s="159"/>
      <c r="F3338" s="159"/>
      <c r="G3338" s="160"/>
    </row>
  </sheetData>
  <sheetProtection autoFilter="0"/>
  <mergeCells count="5">
    <mergeCell ref="A1:G1"/>
    <mergeCell ref="A2:G2"/>
    <mergeCell ref="A3:G3"/>
    <mergeCell ref="A4:G4"/>
    <mergeCell ref="A5:G5"/>
  </mergeCells>
  <phoneticPr fontId="3" type="noConversion"/>
  <printOptions horizontalCentered="1"/>
  <pageMargins left="0.47244094488188981" right="0.31496062992125984" top="0.47244094488188981" bottom="0.78740157480314965" header="0.51181102362204722" footer="0.51181102362204722"/>
  <pageSetup paperSize="9" orientation="portrait" r:id="rId1"/>
  <headerFooter alignWithMargins="0">
    <oddHeader>&amp;R&amp;"標楷體,標準"
第&amp;"Times New Roman,標準"&amp;P&amp;"標楷體,標準"頁,共&amp;"Times New Roman,標準"&amp;N&amp;"標楷體,標準"頁 &amp;"新細明體,標準"          &amp;L&amp;G</oddHeader>
    <oddFooter xml:space="preserve">&amp;C&amp;"標楷體,標準"編製：　　　　　　　　　　　　　　　校核： </oddFooter>
  </headerFooter>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238B0-896C-4443-B855-DF3CC3479A5A}">
  <dimension ref="A1"/>
  <sheetViews>
    <sheetView workbookViewId="0"/>
  </sheetViews>
  <sheetFormatPr defaultRowHeight="16.5"/>
  <sheetData/>
  <phoneticPr fontId="3"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21">
    <tabColor theme="5" tint="-0.499984740745262"/>
  </sheetPr>
  <dimension ref="A1:I70"/>
  <sheetViews>
    <sheetView workbookViewId="0">
      <selection activeCell="H13" sqref="H13"/>
    </sheetView>
  </sheetViews>
  <sheetFormatPr defaultRowHeight="16.5"/>
  <cols>
    <col min="1" max="1" width="6.625" style="733" customWidth="1"/>
    <col min="2" max="2" width="56" style="807" bestFit="1" customWidth="1"/>
    <col min="3" max="4" width="10" style="808" bestFit="1" customWidth="1"/>
    <col min="5" max="5" width="8.75" style="808" bestFit="1" customWidth="1"/>
    <col min="6" max="6" width="10" style="808" bestFit="1" customWidth="1"/>
    <col min="7" max="7" width="6.625" style="733" customWidth="1"/>
    <col min="8" max="8" width="19.375" style="733" bestFit="1" customWidth="1"/>
    <col min="9" max="9" width="100.625" style="807" customWidth="1"/>
  </cols>
  <sheetData>
    <row r="1" spans="1:9" ht="38.25">
      <c r="A1" s="1719" t="s">
        <v>4094</v>
      </c>
      <c r="B1" s="1720"/>
      <c r="C1" s="1720"/>
      <c r="D1" s="1720"/>
      <c r="E1" s="1720"/>
      <c r="F1" s="1720"/>
      <c r="G1" s="1720"/>
      <c r="H1" s="1720"/>
      <c r="I1" s="1721"/>
    </row>
    <row r="2" spans="1:9">
      <c r="A2" s="1722" t="s">
        <v>4095</v>
      </c>
      <c r="B2" s="1723"/>
      <c r="C2" s="1723"/>
      <c r="D2" s="1723"/>
      <c r="E2" s="1723"/>
      <c r="F2" s="1723"/>
      <c r="G2" s="1723"/>
      <c r="H2" s="1723"/>
      <c r="I2" s="1724"/>
    </row>
    <row r="3" spans="1:9" ht="18.75">
      <c r="A3" s="1725" t="s">
        <v>4096</v>
      </c>
      <c r="B3" s="1727" t="s">
        <v>4097</v>
      </c>
      <c r="C3" s="1729" t="s">
        <v>4098</v>
      </c>
      <c r="D3" s="1729"/>
      <c r="E3" s="1729"/>
      <c r="F3" s="1729"/>
      <c r="G3" s="1727" t="s">
        <v>4099</v>
      </c>
      <c r="H3" s="1727" t="s">
        <v>4100</v>
      </c>
      <c r="I3" s="1730" t="s">
        <v>4101</v>
      </c>
    </row>
    <row r="4" spans="1:9" ht="34.5" thickBot="1">
      <c r="A4" s="1726"/>
      <c r="B4" s="1728"/>
      <c r="C4" s="821" t="s">
        <v>4102</v>
      </c>
      <c r="D4" s="821" t="s">
        <v>4103</v>
      </c>
      <c r="E4" s="821" t="s">
        <v>4104</v>
      </c>
      <c r="F4" s="821" t="s">
        <v>4105</v>
      </c>
      <c r="G4" s="1728"/>
      <c r="H4" s="1728"/>
      <c r="I4" s="1731"/>
    </row>
    <row r="5" spans="1:9" ht="31.5" thickBot="1">
      <c r="A5" s="1713" t="s">
        <v>4106</v>
      </c>
      <c r="B5" s="1714"/>
      <c r="C5" s="1714"/>
      <c r="D5" s="1714"/>
      <c r="E5" s="1714"/>
      <c r="F5" s="1714"/>
      <c r="G5" s="1714"/>
      <c r="H5" s="1714"/>
      <c r="I5" s="1715"/>
    </row>
    <row r="6" spans="1:9" ht="17.25" thickBot="1">
      <c r="A6" s="734"/>
      <c r="B6" s="735" t="s">
        <v>4071</v>
      </c>
      <c r="C6" s="736">
        <v>53238.64</v>
      </c>
      <c r="D6" s="736">
        <v>53181</v>
      </c>
      <c r="E6" s="736"/>
      <c r="F6" s="736">
        <v>53238.64</v>
      </c>
      <c r="G6" s="815" t="s">
        <v>4072</v>
      </c>
      <c r="H6" s="856" t="s">
        <v>4107</v>
      </c>
      <c r="I6" s="1696" t="s">
        <v>4108</v>
      </c>
    </row>
    <row r="7" spans="1:9" ht="17.25" thickBot="1">
      <c r="A7" s="737"/>
      <c r="B7" s="738" t="s">
        <v>4073</v>
      </c>
      <c r="C7" s="739">
        <v>73105.279999999999</v>
      </c>
      <c r="D7" s="739">
        <v>73484.2</v>
      </c>
      <c r="E7" s="739"/>
      <c r="F7" s="739">
        <v>73105.279999999999</v>
      </c>
      <c r="G7" s="816" t="s">
        <v>4072</v>
      </c>
      <c r="H7" s="856" t="s">
        <v>4107</v>
      </c>
      <c r="I7" s="1697"/>
    </row>
    <row r="8" spans="1:9" ht="17.25" thickBot="1">
      <c r="A8" s="737"/>
      <c r="B8" s="738" t="s">
        <v>4074</v>
      </c>
      <c r="C8" s="739">
        <v>41511.47</v>
      </c>
      <c r="D8" s="739">
        <v>41408.29</v>
      </c>
      <c r="E8" s="739"/>
      <c r="F8" s="739">
        <v>41511.47</v>
      </c>
      <c r="G8" s="816" t="s">
        <v>4072</v>
      </c>
      <c r="H8" s="856" t="s">
        <v>4107</v>
      </c>
      <c r="I8" s="1697"/>
    </row>
    <row r="9" spans="1:9" ht="17.25" thickBot="1">
      <c r="A9" s="740"/>
      <c r="B9" s="741" t="s">
        <v>4075</v>
      </c>
      <c r="C9" s="742">
        <v>56325.34</v>
      </c>
      <c r="D9" s="742">
        <v>56514.31</v>
      </c>
      <c r="E9" s="742"/>
      <c r="F9" s="742">
        <v>56325.34</v>
      </c>
      <c r="G9" s="817" t="s">
        <v>4072</v>
      </c>
      <c r="H9" s="856" t="s">
        <v>4107</v>
      </c>
      <c r="I9" s="1698"/>
    </row>
    <row r="10" spans="1:9" ht="17.25" thickBot="1">
      <c r="A10" s="743"/>
      <c r="B10" s="744" t="s">
        <v>4076</v>
      </c>
      <c r="C10" s="745">
        <v>21860.720000000001</v>
      </c>
      <c r="D10" s="745">
        <v>21975.34</v>
      </c>
      <c r="E10" s="745"/>
      <c r="F10" s="745">
        <v>21860.720000000001</v>
      </c>
      <c r="G10" s="746" t="s">
        <v>4077</v>
      </c>
      <c r="H10" s="856" t="s">
        <v>4107</v>
      </c>
      <c r="I10" s="1696" t="s">
        <v>4109</v>
      </c>
    </row>
    <row r="11" spans="1:9" ht="17.25" thickBot="1">
      <c r="A11" s="747"/>
      <c r="B11" s="748" t="s">
        <v>4078</v>
      </c>
      <c r="C11" s="749">
        <v>31361.439999999999</v>
      </c>
      <c r="D11" s="749">
        <v>31773.85</v>
      </c>
      <c r="E11" s="749"/>
      <c r="F11" s="749">
        <v>31361.439999999999</v>
      </c>
      <c r="G11" s="750" t="s">
        <v>4077</v>
      </c>
      <c r="H11" s="856" t="s">
        <v>4107</v>
      </c>
      <c r="I11" s="1698"/>
    </row>
    <row r="12" spans="1:9" ht="33.75" thickBot="1">
      <c r="A12" s="751"/>
      <c r="B12" s="752" t="s">
        <v>1083</v>
      </c>
      <c r="C12" s="753">
        <v>859.23</v>
      </c>
      <c r="D12" s="753"/>
      <c r="E12" s="753"/>
      <c r="F12" s="753">
        <v>859.23</v>
      </c>
      <c r="G12" s="754" t="s">
        <v>0</v>
      </c>
      <c r="H12" s="754" t="s">
        <v>4110</v>
      </c>
      <c r="I12" s="755" t="s">
        <v>4111</v>
      </c>
    </row>
    <row r="13" spans="1:9" ht="33.75" thickBot="1">
      <c r="A13" s="756"/>
      <c r="B13" s="822" t="s">
        <v>4112</v>
      </c>
      <c r="C13" s="757">
        <v>1154.01</v>
      </c>
      <c r="D13" s="757">
        <v>1136.93</v>
      </c>
      <c r="E13" s="757"/>
      <c r="F13" s="757">
        <v>1154.01</v>
      </c>
      <c r="G13" s="758" t="s">
        <v>4113</v>
      </c>
      <c r="H13" s="758" t="s">
        <v>4114</v>
      </c>
      <c r="I13" s="759" t="s">
        <v>4115</v>
      </c>
    </row>
    <row r="14" spans="1:9" ht="33.75" thickBot="1">
      <c r="A14" s="760"/>
      <c r="B14" s="823" t="s">
        <v>4116</v>
      </c>
      <c r="C14" s="761">
        <v>718.45</v>
      </c>
      <c r="D14" s="761">
        <v>707.82</v>
      </c>
      <c r="E14" s="761"/>
      <c r="F14" s="761">
        <v>718.45</v>
      </c>
      <c r="G14" s="762" t="s">
        <v>4113</v>
      </c>
      <c r="H14" s="758" t="s">
        <v>4114</v>
      </c>
      <c r="I14" s="824"/>
    </row>
    <row r="15" spans="1:9" ht="33.75" thickBot="1">
      <c r="A15" s="756"/>
      <c r="B15" s="822" t="s">
        <v>4117</v>
      </c>
      <c r="C15" s="757"/>
      <c r="D15" s="757">
        <v>992.63</v>
      </c>
      <c r="E15" s="757"/>
      <c r="F15" s="757"/>
      <c r="G15" s="758" t="s">
        <v>0</v>
      </c>
      <c r="H15" s="758" t="s">
        <v>4114</v>
      </c>
      <c r="I15" s="763" t="s">
        <v>4118</v>
      </c>
    </row>
    <row r="16" spans="1:9" ht="31.5" thickBot="1">
      <c r="A16" s="1716" t="s">
        <v>4119</v>
      </c>
      <c r="B16" s="1717"/>
      <c r="C16" s="1717"/>
      <c r="D16" s="1717"/>
      <c r="E16" s="1717"/>
      <c r="F16" s="1717"/>
      <c r="G16" s="1717"/>
      <c r="H16" s="1717"/>
      <c r="I16" s="1718"/>
    </row>
    <row r="17" spans="1:9" ht="48">
      <c r="A17" s="1702"/>
      <c r="B17" s="1704" t="s">
        <v>4256</v>
      </c>
      <c r="C17" s="1705"/>
      <c r="D17" s="1706"/>
      <c r="E17" s="1706"/>
      <c r="F17" s="1707"/>
      <c r="G17" s="1711" t="s">
        <v>4120</v>
      </c>
      <c r="H17" s="1711" t="s">
        <v>4121</v>
      </c>
      <c r="I17" s="854" t="s">
        <v>4201</v>
      </c>
    </row>
    <row r="18" spans="1:9" ht="33.75" thickBot="1">
      <c r="A18" s="1703"/>
      <c r="B18" s="1685"/>
      <c r="C18" s="1708"/>
      <c r="D18" s="1709"/>
      <c r="E18" s="1709"/>
      <c r="F18" s="1710"/>
      <c r="G18" s="1712"/>
      <c r="H18" s="1712"/>
      <c r="I18" s="853" t="s">
        <v>4122</v>
      </c>
    </row>
    <row r="19" spans="1:9" ht="33.75" thickBot="1">
      <c r="A19" s="764"/>
      <c r="B19" s="869" t="s">
        <v>4064</v>
      </c>
      <c r="C19" s="766">
        <v>289</v>
      </c>
      <c r="D19" s="766">
        <v>302.45999999999998</v>
      </c>
      <c r="E19" s="766"/>
      <c r="F19" s="766">
        <v>289</v>
      </c>
      <c r="G19" s="767" t="s">
        <v>0</v>
      </c>
      <c r="H19" s="767" t="s">
        <v>4107</v>
      </c>
      <c r="I19" s="768" t="s">
        <v>4123</v>
      </c>
    </row>
    <row r="20" spans="1:9" ht="31.5" customHeight="1" thickBot="1">
      <c r="A20" s="1686" t="s">
        <v>4124</v>
      </c>
      <c r="B20" s="1687"/>
      <c r="C20" s="1687"/>
      <c r="D20" s="1687"/>
      <c r="E20" s="1687"/>
      <c r="F20" s="1687"/>
      <c r="G20" s="1687"/>
      <c r="H20" s="1687"/>
      <c r="I20" s="1688"/>
    </row>
    <row r="21" spans="1:9">
      <c r="A21" s="769"/>
      <c r="B21" s="735" t="s">
        <v>4125</v>
      </c>
      <c r="C21" s="736">
        <v>24.81</v>
      </c>
      <c r="D21" s="736">
        <v>24.84</v>
      </c>
      <c r="E21" s="736"/>
      <c r="F21" s="736">
        <v>24.81</v>
      </c>
      <c r="G21" s="773" t="s">
        <v>4126</v>
      </c>
      <c r="H21" s="1699"/>
      <c r="I21" s="1696" t="s">
        <v>4127</v>
      </c>
    </row>
    <row r="22" spans="1:9">
      <c r="A22" s="770"/>
      <c r="B22" s="738" t="s">
        <v>4128</v>
      </c>
      <c r="C22" s="739">
        <v>16.239999999999998</v>
      </c>
      <c r="D22" s="739">
        <v>16.22</v>
      </c>
      <c r="E22" s="739"/>
      <c r="F22" s="739">
        <v>16.239999999999998</v>
      </c>
      <c r="G22" s="774" t="s">
        <v>4126</v>
      </c>
      <c r="H22" s="1701"/>
      <c r="I22" s="1697"/>
    </row>
    <row r="23" spans="1:9">
      <c r="A23" s="770"/>
      <c r="B23" s="738" t="s">
        <v>4129</v>
      </c>
      <c r="C23" s="739">
        <v>42.37</v>
      </c>
      <c r="D23" s="739">
        <v>42.42</v>
      </c>
      <c r="E23" s="739"/>
      <c r="F23" s="739">
        <v>42.37</v>
      </c>
      <c r="G23" s="774" t="s">
        <v>4126</v>
      </c>
      <c r="H23" s="1701"/>
      <c r="I23" s="1697"/>
    </row>
    <row r="24" spans="1:9" ht="17.25" thickBot="1">
      <c r="A24" s="771"/>
      <c r="B24" s="741" t="s">
        <v>4130</v>
      </c>
      <c r="C24" s="742">
        <v>28.06</v>
      </c>
      <c r="D24" s="742">
        <v>27.98</v>
      </c>
      <c r="E24" s="742"/>
      <c r="F24" s="742">
        <v>28.06</v>
      </c>
      <c r="G24" s="772" t="s">
        <v>4126</v>
      </c>
      <c r="H24" s="1700"/>
      <c r="I24" s="1698"/>
    </row>
    <row r="25" spans="1:9" ht="33.75" thickBot="1">
      <c r="A25" s="769"/>
      <c r="B25" s="735" t="s">
        <v>4131</v>
      </c>
      <c r="C25" s="736">
        <v>16109.2</v>
      </c>
      <c r="D25" s="736">
        <v>16089.88</v>
      </c>
      <c r="E25" s="736"/>
      <c r="F25" s="736">
        <v>16109.2</v>
      </c>
      <c r="G25" s="773" t="s">
        <v>4132</v>
      </c>
      <c r="H25" s="856" t="s">
        <v>4133</v>
      </c>
      <c r="I25" s="1696" t="s">
        <v>4134</v>
      </c>
    </row>
    <row r="26" spans="1:9" ht="33.75" thickBot="1">
      <c r="A26" s="771"/>
      <c r="B26" s="741" t="s">
        <v>4135</v>
      </c>
      <c r="C26" s="742">
        <v>22371.599999999999</v>
      </c>
      <c r="D26" s="742">
        <v>22478.76</v>
      </c>
      <c r="E26" s="742"/>
      <c r="F26" s="742">
        <v>22371.599999999999</v>
      </c>
      <c r="G26" s="772" t="s">
        <v>4132</v>
      </c>
      <c r="H26" s="856" t="s">
        <v>4133</v>
      </c>
      <c r="I26" s="1698"/>
    </row>
    <row r="27" spans="1:9" ht="31.5" thickBot="1">
      <c r="A27" s="825"/>
      <c r="B27" s="826" t="s">
        <v>4136</v>
      </c>
      <c r="C27" s="827">
        <v>793.61</v>
      </c>
      <c r="D27" s="827">
        <v>781.86</v>
      </c>
      <c r="E27" s="827"/>
      <c r="F27" s="827">
        <v>793.61</v>
      </c>
      <c r="G27" s="828" t="s">
        <v>4120</v>
      </c>
      <c r="H27" s="829"/>
      <c r="I27" s="830" t="s">
        <v>4137</v>
      </c>
    </row>
    <row r="28" spans="1:9" ht="31.5" thickBot="1">
      <c r="A28" s="769"/>
      <c r="B28" s="735" t="s">
        <v>4138</v>
      </c>
      <c r="C28" s="736"/>
      <c r="D28" s="736">
        <v>7450.2</v>
      </c>
      <c r="E28" s="736"/>
      <c r="F28" s="736"/>
      <c r="G28" s="773" t="s">
        <v>4120</v>
      </c>
      <c r="H28" s="858" t="s">
        <v>4139</v>
      </c>
      <c r="I28" s="1696" t="s">
        <v>4140</v>
      </c>
    </row>
    <row r="29" spans="1:9" ht="30.75">
      <c r="A29" s="770"/>
      <c r="B29" s="738" t="s">
        <v>4141</v>
      </c>
      <c r="C29" s="739"/>
      <c r="D29" s="739">
        <v>7424.83</v>
      </c>
      <c r="E29" s="739"/>
      <c r="F29" s="739"/>
      <c r="G29" s="774" t="s">
        <v>4120</v>
      </c>
      <c r="H29" s="858" t="s">
        <v>4139</v>
      </c>
      <c r="I29" s="1697"/>
    </row>
    <row r="30" spans="1:9" ht="30.75">
      <c r="A30" s="770"/>
      <c r="B30" s="738" t="s">
        <v>4142</v>
      </c>
      <c r="C30" s="739">
        <v>7556.83</v>
      </c>
      <c r="D30" s="739"/>
      <c r="E30" s="739"/>
      <c r="F30" s="739">
        <v>7556.83</v>
      </c>
      <c r="G30" s="774" t="s">
        <v>4120</v>
      </c>
      <c r="H30" s="859" t="s">
        <v>4143</v>
      </c>
      <c r="I30" s="1697"/>
    </row>
    <row r="31" spans="1:9" ht="30.75">
      <c r="A31" s="770"/>
      <c r="B31" s="738" t="s">
        <v>4144</v>
      </c>
      <c r="C31" s="739">
        <v>7531.08</v>
      </c>
      <c r="D31" s="739"/>
      <c r="E31" s="739"/>
      <c r="F31" s="739">
        <v>7531.08</v>
      </c>
      <c r="G31" s="774" t="s">
        <v>4120</v>
      </c>
      <c r="H31" s="859" t="s">
        <v>4143</v>
      </c>
      <c r="I31" s="1697"/>
    </row>
    <row r="32" spans="1:9" ht="47.25">
      <c r="A32" s="770"/>
      <c r="B32" s="738" t="s">
        <v>4145</v>
      </c>
      <c r="C32" s="739">
        <v>7062.43</v>
      </c>
      <c r="D32" s="739">
        <v>6963.11</v>
      </c>
      <c r="E32" s="739"/>
      <c r="F32" s="739">
        <v>7062.43</v>
      </c>
      <c r="G32" s="774" t="s">
        <v>4120</v>
      </c>
      <c r="H32" s="816" t="s">
        <v>4107</v>
      </c>
      <c r="I32" s="1697"/>
    </row>
    <row r="33" spans="1:9" ht="47.25">
      <c r="A33" s="770"/>
      <c r="B33" s="738" t="s">
        <v>4146</v>
      </c>
      <c r="C33" s="739">
        <v>6699.87</v>
      </c>
      <c r="D33" s="739">
        <v>6605.92</v>
      </c>
      <c r="E33" s="739"/>
      <c r="F33" s="739">
        <v>6699.87</v>
      </c>
      <c r="G33" s="774" t="s">
        <v>4120</v>
      </c>
      <c r="H33" s="857" t="s">
        <v>4107</v>
      </c>
      <c r="I33" s="1697"/>
    </row>
    <row r="34" spans="1:9" ht="48" thickBot="1">
      <c r="A34" s="771"/>
      <c r="B34" s="741" t="s">
        <v>4147</v>
      </c>
      <c r="C34" s="742">
        <v>6335.25</v>
      </c>
      <c r="D34" s="742">
        <v>6246.69</v>
      </c>
      <c r="E34" s="742"/>
      <c r="F34" s="742">
        <v>6335.25</v>
      </c>
      <c r="G34" s="772" t="s">
        <v>4120</v>
      </c>
      <c r="H34" s="857" t="s">
        <v>4107</v>
      </c>
      <c r="I34" s="1698"/>
    </row>
    <row r="35" spans="1:9" ht="33.75" thickBot="1">
      <c r="A35" s="769"/>
      <c r="B35" s="735" t="s">
        <v>4148</v>
      </c>
      <c r="C35" s="736">
        <v>6723</v>
      </c>
      <c r="D35" s="736">
        <v>6623.47</v>
      </c>
      <c r="E35" s="736"/>
      <c r="F35" s="736">
        <v>6723</v>
      </c>
      <c r="G35" s="773" t="s">
        <v>0</v>
      </c>
      <c r="H35" s="856" t="s">
        <v>4107</v>
      </c>
      <c r="I35" s="1696" t="s">
        <v>4149</v>
      </c>
    </row>
    <row r="36" spans="1:9" ht="33.75" thickBot="1">
      <c r="A36" s="770"/>
      <c r="B36" s="738" t="s">
        <v>4150</v>
      </c>
      <c r="C36" s="739">
        <v>6695</v>
      </c>
      <c r="D36" s="739">
        <v>6595.89</v>
      </c>
      <c r="E36" s="739"/>
      <c r="F36" s="739">
        <v>5510.5</v>
      </c>
      <c r="G36" s="774" t="s">
        <v>0</v>
      </c>
      <c r="H36" s="856" t="s">
        <v>4107</v>
      </c>
      <c r="I36" s="1697"/>
    </row>
    <row r="37" spans="1:9" ht="33.75" thickBot="1">
      <c r="A37" s="770"/>
      <c r="B37" s="738" t="s">
        <v>4151</v>
      </c>
      <c r="C37" s="739">
        <v>6237.68</v>
      </c>
      <c r="D37" s="739">
        <v>6145.34</v>
      </c>
      <c r="E37" s="739"/>
      <c r="F37" s="739">
        <v>6237.68</v>
      </c>
      <c r="G37" s="774" t="s">
        <v>0</v>
      </c>
      <c r="H37" s="856" t="s">
        <v>4107</v>
      </c>
      <c r="I37" s="1697"/>
    </row>
    <row r="38" spans="1:9" ht="33.75" thickBot="1">
      <c r="A38" s="770"/>
      <c r="B38" s="738" t="s">
        <v>4152</v>
      </c>
      <c r="C38" s="739">
        <v>5875.12</v>
      </c>
      <c r="D38" s="739">
        <v>5788.15</v>
      </c>
      <c r="E38" s="739"/>
      <c r="F38" s="739">
        <v>5510.5</v>
      </c>
      <c r="G38" s="774" t="s">
        <v>0</v>
      </c>
      <c r="H38" s="856" t="s">
        <v>4107</v>
      </c>
      <c r="I38" s="1697"/>
    </row>
    <row r="39" spans="1:9" ht="33.75" thickBot="1">
      <c r="A39" s="771"/>
      <c r="B39" s="741" t="s">
        <v>4153</v>
      </c>
      <c r="C39" s="742">
        <v>5510.5</v>
      </c>
      <c r="D39" s="742">
        <v>5428.92</v>
      </c>
      <c r="E39" s="742"/>
      <c r="F39" s="742">
        <v>5875.12</v>
      </c>
      <c r="G39" s="772" t="s">
        <v>0</v>
      </c>
      <c r="H39" s="856" t="s">
        <v>4107</v>
      </c>
      <c r="I39" s="1698"/>
    </row>
    <row r="40" spans="1:9" ht="33.75" thickBot="1">
      <c r="A40" s="769"/>
      <c r="B40" s="735" t="s">
        <v>4154</v>
      </c>
      <c r="C40" s="736">
        <v>10423.6</v>
      </c>
      <c r="D40" s="736">
        <v>10415.4</v>
      </c>
      <c r="E40" s="736"/>
      <c r="F40" s="736">
        <v>10423.6</v>
      </c>
      <c r="G40" s="773" t="s">
        <v>4079</v>
      </c>
      <c r="H40" s="856" t="s">
        <v>4107</v>
      </c>
      <c r="I40" s="1696" t="s">
        <v>4155</v>
      </c>
    </row>
    <row r="41" spans="1:9" ht="33.75" thickBot="1">
      <c r="A41" s="770"/>
      <c r="B41" s="738" t="s">
        <v>4156</v>
      </c>
      <c r="C41" s="739">
        <v>19767.759999999998</v>
      </c>
      <c r="D41" s="739">
        <v>19694.3</v>
      </c>
      <c r="E41" s="739"/>
      <c r="F41" s="739">
        <v>19767.759999999998</v>
      </c>
      <c r="G41" s="774" t="s">
        <v>4079</v>
      </c>
      <c r="H41" s="856" t="s">
        <v>4107</v>
      </c>
      <c r="I41" s="1697"/>
    </row>
    <row r="42" spans="1:9" ht="33.75" thickBot="1">
      <c r="A42" s="770"/>
      <c r="B42" s="738" t="s">
        <v>4157</v>
      </c>
      <c r="C42" s="739">
        <v>15606.56</v>
      </c>
      <c r="D42" s="739">
        <v>15667.74</v>
      </c>
      <c r="E42" s="739"/>
      <c r="F42" s="739">
        <v>15606.56</v>
      </c>
      <c r="G42" s="774" t="s">
        <v>4079</v>
      </c>
      <c r="H42" s="856" t="s">
        <v>4107</v>
      </c>
      <c r="I42" s="1697"/>
    </row>
    <row r="43" spans="1:9" ht="33.75" thickBot="1">
      <c r="A43" s="771"/>
      <c r="B43" s="741" t="s">
        <v>4158</v>
      </c>
      <c r="C43" s="742">
        <v>29054.240000000002</v>
      </c>
      <c r="D43" s="742">
        <v>29062.44</v>
      </c>
      <c r="E43" s="742"/>
      <c r="F43" s="742">
        <v>29054.240000000002</v>
      </c>
      <c r="G43" s="772" t="s">
        <v>4079</v>
      </c>
      <c r="H43" s="856" t="s">
        <v>4107</v>
      </c>
      <c r="I43" s="1698"/>
    </row>
    <row r="44" spans="1:9" ht="33.75" thickBot="1">
      <c r="A44" s="825"/>
      <c r="B44" s="826" t="s">
        <v>4080</v>
      </c>
      <c r="C44" s="827">
        <v>30000</v>
      </c>
      <c r="D44" s="827">
        <v>29555.88</v>
      </c>
      <c r="E44" s="827"/>
      <c r="F44" s="827">
        <v>30000</v>
      </c>
      <c r="G44" s="829" t="s">
        <v>4081</v>
      </c>
      <c r="H44" s="829" t="s">
        <v>4107</v>
      </c>
      <c r="I44" s="830" t="s">
        <v>4159</v>
      </c>
    </row>
    <row r="45" spans="1:9">
      <c r="A45" s="769"/>
      <c r="B45" s="735" t="s">
        <v>4160</v>
      </c>
      <c r="C45" s="736">
        <v>1500</v>
      </c>
      <c r="D45" s="736">
        <v>1477.79</v>
      </c>
      <c r="E45" s="736"/>
      <c r="F45" s="736">
        <v>1500</v>
      </c>
      <c r="G45" s="815" t="s">
        <v>4082</v>
      </c>
      <c r="H45" s="1699" t="s">
        <v>4161</v>
      </c>
      <c r="I45" s="1696" t="s">
        <v>4162</v>
      </c>
    </row>
    <row r="46" spans="1:9" ht="17.25" thickBot="1">
      <c r="A46" s="771"/>
      <c r="B46" s="741" t="s">
        <v>4083</v>
      </c>
      <c r="C46" s="742">
        <v>367</v>
      </c>
      <c r="D46" s="742">
        <v>367</v>
      </c>
      <c r="E46" s="742"/>
      <c r="F46" s="742">
        <v>367</v>
      </c>
      <c r="G46" s="817" t="s">
        <v>4082</v>
      </c>
      <c r="H46" s="1700"/>
      <c r="I46" s="1698"/>
    </row>
    <row r="47" spans="1:9" ht="31.5" customHeight="1" thickBot="1">
      <c r="A47" s="1693" t="s">
        <v>4163</v>
      </c>
      <c r="B47" s="1694"/>
      <c r="C47" s="1694"/>
      <c r="D47" s="1694"/>
      <c r="E47" s="1694"/>
      <c r="F47" s="1694"/>
      <c r="G47" s="1694"/>
      <c r="H47" s="1694"/>
      <c r="I47" s="1695"/>
    </row>
    <row r="48" spans="1:9" ht="17.25" thickBot="1">
      <c r="A48" s="818"/>
      <c r="B48" s="820" t="s">
        <v>4164</v>
      </c>
      <c r="C48" s="775">
        <v>1300</v>
      </c>
      <c r="D48" s="775">
        <v>1280.75</v>
      </c>
      <c r="E48" s="775"/>
      <c r="F48" s="775">
        <v>1300</v>
      </c>
      <c r="G48" s="812" t="s">
        <v>4082</v>
      </c>
      <c r="H48" s="855" t="s">
        <v>4107</v>
      </c>
      <c r="I48" s="1689" t="s">
        <v>4165</v>
      </c>
    </row>
    <row r="49" spans="1:9" ht="17.25" thickBot="1">
      <c r="A49" s="819"/>
      <c r="B49" s="811" t="s">
        <v>4083</v>
      </c>
      <c r="C49" s="776">
        <v>367</v>
      </c>
      <c r="D49" s="776">
        <v>367</v>
      </c>
      <c r="E49" s="776"/>
      <c r="F49" s="776">
        <v>367</v>
      </c>
      <c r="G49" s="810" t="s">
        <v>4082</v>
      </c>
      <c r="H49" s="855" t="s">
        <v>4107</v>
      </c>
      <c r="I49" s="1691"/>
    </row>
    <row r="50" spans="1:9" ht="17.25" thickBot="1">
      <c r="A50" s="818"/>
      <c r="B50" s="820" t="s">
        <v>4166</v>
      </c>
      <c r="C50" s="775">
        <v>716</v>
      </c>
      <c r="D50" s="775">
        <v>705.4</v>
      </c>
      <c r="E50" s="775"/>
      <c r="F50" s="775">
        <v>716</v>
      </c>
      <c r="G50" s="812" t="s">
        <v>4082</v>
      </c>
      <c r="H50" s="855" t="s">
        <v>4107</v>
      </c>
      <c r="I50" s="1689" t="s">
        <v>4167</v>
      </c>
    </row>
    <row r="51" spans="1:9" ht="17.25" thickBot="1">
      <c r="A51" s="819"/>
      <c r="B51" s="811" t="s">
        <v>4083</v>
      </c>
      <c r="C51" s="776">
        <v>367</v>
      </c>
      <c r="D51" s="776">
        <v>367</v>
      </c>
      <c r="E51" s="776"/>
      <c r="F51" s="776">
        <v>367</v>
      </c>
      <c r="G51" s="810" t="s">
        <v>4082</v>
      </c>
      <c r="H51" s="855" t="s">
        <v>4107</v>
      </c>
      <c r="I51" s="1691"/>
    </row>
    <row r="52" spans="1:9" ht="17.25" thickBot="1">
      <c r="A52" s="818"/>
      <c r="B52" s="820" t="s">
        <v>4168</v>
      </c>
      <c r="C52" s="775">
        <v>681</v>
      </c>
      <c r="D52" s="775">
        <v>670.92</v>
      </c>
      <c r="E52" s="775"/>
      <c r="F52" s="775">
        <v>681</v>
      </c>
      <c r="G52" s="812" t="s">
        <v>4082</v>
      </c>
      <c r="H52" s="855" t="s">
        <v>4107</v>
      </c>
      <c r="I52" s="1689" t="s">
        <v>4169</v>
      </c>
    </row>
    <row r="53" spans="1:9" ht="17.25" thickBot="1">
      <c r="A53" s="819"/>
      <c r="B53" s="811" t="s">
        <v>4084</v>
      </c>
      <c r="C53" s="776">
        <v>367</v>
      </c>
      <c r="D53" s="776">
        <v>367</v>
      </c>
      <c r="E53" s="776"/>
      <c r="F53" s="776">
        <v>367</v>
      </c>
      <c r="G53" s="810" t="s">
        <v>4082</v>
      </c>
      <c r="H53" s="855" t="s">
        <v>4107</v>
      </c>
      <c r="I53" s="1691"/>
    </row>
    <row r="54" spans="1:9" ht="17.25" thickBot="1">
      <c r="A54" s="818"/>
      <c r="B54" s="820" t="s">
        <v>4085</v>
      </c>
      <c r="C54" s="775">
        <v>925.56</v>
      </c>
      <c r="D54" s="775">
        <v>917.34</v>
      </c>
      <c r="E54" s="775"/>
      <c r="F54" s="775">
        <v>925.56</v>
      </c>
      <c r="G54" s="812" t="s">
        <v>4082</v>
      </c>
      <c r="H54" s="855" t="s">
        <v>4107</v>
      </c>
      <c r="I54" s="1689" t="s">
        <v>4170</v>
      </c>
    </row>
    <row r="55" spans="1:9" ht="17.25" thickBot="1">
      <c r="A55" s="777"/>
      <c r="B55" s="786" t="s">
        <v>4086</v>
      </c>
      <c r="C55" s="778">
        <v>904.96</v>
      </c>
      <c r="D55" s="778">
        <v>897.05</v>
      </c>
      <c r="E55" s="778"/>
      <c r="F55" s="778">
        <v>904.96</v>
      </c>
      <c r="G55" s="809" t="s">
        <v>4082</v>
      </c>
      <c r="H55" s="855" t="s">
        <v>4107</v>
      </c>
      <c r="I55" s="1690"/>
    </row>
    <row r="56" spans="1:9" ht="17.25" thickBot="1">
      <c r="A56" s="819"/>
      <c r="B56" s="779" t="s">
        <v>4171</v>
      </c>
      <c r="C56" s="780">
        <v>801.96</v>
      </c>
      <c r="D56" s="780">
        <v>795.57</v>
      </c>
      <c r="E56" s="780"/>
      <c r="F56" s="780">
        <v>801.96</v>
      </c>
      <c r="G56" s="781" t="s">
        <v>4087</v>
      </c>
      <c r="H56" s="855" t="s">
        <v>4107</v>
      </c>
      <c r="I56" s="1691"/>
    </row>
    <row r="57" spans="1:9" ht="17.25" thickBot="1">
      <c r="A57" s="764"/>
      <c r="B57" s="765" t="s">
        <v>4088</v>
      </c>
      <c r="C57" s="766">
        <v>3238.25</v>
      </c>
      <c r="D57" s="766">
        <v>3336.39</v>
      </c>
      <c r="E57" s="766"/>
      <c r="F57" s="766">
        <v>3238.25</v>
      </c>
      <c r="G57" s="767" t="s">
        <v>0</v>
      </c>
      <c r="H57" s="767" t="s">
        <v>4172</v>
      </c>
      <c r="I57" s="768" t="s">
        <v>4173</v>
      </c>
    </row>
    <row r="58" spans="1:9" ht="33.75" thickBot="1">
      <c r="A58" s="818"/>
      <c r="B58" s="820" t="s">
        <v>4174</v>
      </c>
      <c r="C58" s="775">
        <v>721</v>
      </c>
      <c r="D58" s="775">
        <v>754.65</v>
      </c>
      <c r="E58" s="775"/>
      <c r="F58" s="775">
        <v>721</v>
      </c>
      <c r="G58" s="812" t="s">
        <v>4089</v>
      </c>
      <c r="H58" s="855" t="s">
        <v>4175</v>
      </c>
      <c r="I58" s="1689" t="s">
        <v>4176</v>
      </c>
    </row>
    <row r="59" spans="1:9" ht="33.75" thickBot="1">
      <c r="A59" s="819"/>
      <c r="B59" s="811" t="s">
        <v>4177</v>
      </c>
      <c r="C59" s="776">
        <v>761</v>
      </c>
      <c r="D59" s="776">
        <v>794.06</v>
      </c>
      <c r="E59" s="776"/>
      <c r="F59" s="776">
        <v>761</v>
      </c>
      <c r="G59" s="810" t="s">
        <v>4089</v>
      </c>
      <c r="H59" s="855" t="s">
        <v>4175</v>
      </c>
      <c r="I59" s="1691"/>
    </row>
    <row r="60" spans="1:9">
      <c r="A60" s="818"/>
      <c r="B60" s="820" t="s">
        <v>4178</v>
      </c>
      <c r="C60" s="775">
        <v>293.74</v>
      </c>
      <c r="D60" s="775">
        <v>289.39</v>
      </c>
      <c r="E60" s="775"/>
      <c r="F60" s="775">
        <v>293.74</v>
      </c>
      <c r="G60" s="812" t="s">
        <v>17</v>
      </c>
      <c r="H60" s="812"/>
      <c r="I60" s="813" t="s">
        <v>4179</v>
      </c>
    </row>
    <row r="61" spans="1:9" ht="17.25" thickBot="1">
      <c r="A61" s="819"/>
      <c r="B61" s="811" t="s">
        <v>4090</v>
      </c>
      <c r="C61" s="776">
        <v>219.72</v>
      </c>
      <c r="D61" s="776">
        <v>216.45</v>
      </c>
      <c r="E61" s="776"/>
      <c r="F61" s="776">
        <v>219.72</v>
      </c>
      <c r="G61" s="810" t="s">
        <v>17</v>
      </c>
      <c r="H61" s="810" t="s">
        <v>4161</v>
      </c>
      <c r="I61" s="814" t="s">
        <v>4180</v>
      </c>
    </row>
    <row r="62" spans="1:9" ht="17.25" thickBot="1">
      <c r="A62" s="818"/>
      <c r="B62" s="820" t="s">
        <v>4091</v>
      </c>
      <c r="C62" s="775">
        <v>250</v>
      </c>
      <c r="D62" s="775">
        <v>280</v>
      </c>
      <c r="E62" s="775"/>
      <c r="F62" s="775">
        <v>250</v>
      </c>
      <c r="G62" s="812" t="s">
        <v>4082</v>
      </c>
      <c r="H62" s="855" t="s">
        <v>4107</v>
      </c>
      <c r="I62" s="1689" t="s">
        <v>4181</v>
      </c>
    </row>
    <row r="63" spans="1:9" ht="17.25" thickBot="1">
      <c r="A63" s="777"/>
      <c r="B63" s="786" t="s">
        <v>4092</v>
      </c>
      <c r="C63" s="778">
        <v>300</v>
      </c>
      <c r="D63" s="778">
        <v>350</v>
      </c>
      <c r="E63" s="778"/>
      <c r="F63" s="778">
        <v>300</v>
      </c>
      <c r="G63" s="809" t="s">
        <v>4082</v>
      </c>
      <c r="H63" s="855" t="s">
        <v>4107</v>
      </c>
      <c r="I63" s="1690"/>
    </row>
    <row r="64" spans="1:9">
      <c r="A64" s="782"/>
      <c r="B64" s="783" t="s">
        <v>4182</v>
      </c>
      <c r="C64" s="784">
        <v>262</v>
      </c>
      <c r="D64" s="784">
        <v>280</v>
      </c>
      <c r="E64" s="784"/>
      <c r="F64" s="784">
        <v>262</v>
      </c>
      <c r="G64" s="785" t="s">
        <v>4082</v>
      </c>
      <c r="H64" s="855" t="s">
        <v>4107</v>
      </c>
      <c r="I64" s="1692"/>
    </row>
    <row r="65" spans="1:9">
      <c r="A65" s="809"/>
      <c r="B65" s="786" t="s">
        <v>4183</v>
      </c>
      <c r="C65" s="778">
        <v>7250</v>
      </c>
      <c r="D65" s="778">
        <v>7142.67</v>
      </c>
      <c r="E65" s="778"/>
      <c r="F65" s="778">
        <v>7250</v>
      </c>
      <c r="G65" s="809" t="s">
        <v>4184</v>
      </c>
      <c r="H65" s="1682" t="s">
        <v>4107</v>
      </c>
      <c r="I65" s="1684" t="s">
        <v>4185</v>
      </c>
    </row>
    <row r="66" spans="1:9" ht="17.25" thickBot="1">
      <c r="A66" s="810"/>
      <c r="B66" s="811" t="s">
        <v>4093</v>
      </c>
      <c r="C66" s="776">
        <v>10800</v>
      </c>
      <c r="D66" s="776">
        <v>10640.12</v>
      </c>
      <c r="E66" s="776"/>
      <c r="F66" s="776">
        <v>10800</v>
      </c>
      <c r="G66" s="810" t="s">
        <v>4081</v>
      </c>
      <c r="H66" s="1683"/>
      <c r="I66" s="1685"/>
    </row>
    <row r="67" spans="1:9" ht="50.25" thickBot="1">
      <c r="A67" s="787"/>
      <c r="B67" s="788" t="s">
        <v>4186</v>
      </c>
      <c r="C67" s="789">
        <v>115.28</v>
      </c>
      <c r="D67" s="789">
        <v>116.49</v>
      </c>
      <c r="E67" s="789"/>
      <c r="F67" s="789">
        <v>135.88</v>
      </c>
      <c r="G67" s="790" t="s">
        <v>4187</v>
      </c>
      <c r="H67" s="790"/>
      <c r="I67" s="791" t="s">
        <v>4188</v>
      </c>
    </row>
    <row r="68" spans="1:9" ht="33.75" thickBot="1">
      <c r="A68" s="792"/>
      <c r="B68" s="793" t="s">
        <v>4189</v>
      </c>
      <c r="C68" s="794">
        <v>74.41</v>
      </c>
      <c r="D68" s="794">
        <v>74.900000000000006</v>
      </c>
      <c r="E68" s="794"/>
      <c r="F68" s="794">
        <v>75.41</v>
      </c>
      <c r="G68" s="795" t="s">
        <v>4187</v>
      </c>
      <c r="H68" s="795"/>
      <c r="I68" s="796" t="s">
        <v>4190</v>
      </c>
    </row>
    <row r="69" spans="1:9" ht="33">
      <c r="A69" s="797"/>
      <c r="B69" s="798" t="s">
        <v>4191</v>
      </c>
      <c r="C69" s="799"/>
      <c r="D69" s="799"/>
      <c r="E69" s="799"/>
      <c r="F69" s="799"/>
      <c r="G69" s="800" t="s">
        <v>4192</v>
      </c>
      <c r="H69" s="800" t="s">
        <v>4193</v>
      </c>
      <c r="I69" s="801" t="s">
        <v>4194</v>
      </c>
    </row>
    <row r="70" spans="1:9" ht="33.75" thickBot="1">
      <c r="A70" s="802"/>
      <c r="B70" s="803" t="s">
        <v>4195</v>
      </c>
      <c r="C70" s="804"/>
      <c r="D70" s="804"/>
      <c r="E70" s="804"/>
      <c r="F70" s="804"/>
      <c r="G70" s="805" t="s">
        <v>4192</v>
      </c>
      <c r="H70" s="805" t="s">
        <v>4193</v>
      </c>
      <c r="I70" s="806" t="s">
        <v>4196</v>
      </c>
    </row>
  </sheetData>
  <mergeCells count="35">
    <mergeCell ref="A5:I5"/>
    <mergeCell ref="I6:I9"/>
    <mergeCell ref="I10:I11"/>
    <mergeCell ref="A16:I16"/>
    <mergeCell ref="A1:I1"/>
    <mergeCell ref="A2:I2"/>
    <mergeCell ref="A3:A4"/>
    <mergeCell ref="B3:B4"/>
    <mergeCell ref="C3:F3"/>
    <mergeCell ref="G3:G4"/>
    <mergeCell ref="H3:H4"/>
    <mergeCell ref="I3:I4"/>
    <mergeCell ref="I25:I26"/>
    <mergeCell ref="I28:I34"/>
    <mergeCell ref="A17:A18"/>
    <mergeCell ref="B17:B18"/>
    <mergeCell ref="C17:F18"/>
    <mergeCell ref="G17:G18"/>
    <mergeCell ref="H17:H18"/>
    <mergeCell ref="H65:H66"/>
    <mergeCell ref="I65:I66"/>
    <mergeCell ref="A20:I20"/>
    <mergeCell ref="I54:I56"/>
    <mergeCell ref="I58:I59"/>
    <mergeCell ref="I62:I64"/>
    <mergeCell ref="A47:I47"/>
    <mergeCell ref="I48:I49"/>
    <mergeCell ref="I50:I51"/>
    <mergeCell ref="I52:I53"/>
    <mergeCell ref="I35:I39"/>
    <mergeCell ref="I40:I43"/>
    <mergeCell ref="H45:H46"/>
    <mergeCell ref="I45:I46"/>
    <mergeCell ref="H21:H24"/>
    <mergeCell ref="I21:I24"/>
  </mergeCells>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27</vt:i4>
      </vt:variant>
      <vt:variant>
        <vt:lpstr>具名範圍</vt:lpstr>
      </vt:variant>
      <vt:variant>
        <vt:i4>18</vt:i4>
      </vt:variant>
    </vt:vector>
  </HeadingPairs>
  <TitlesOfParts>
    <vt:vector size="45" baseType="lpstr">
      <vt:lpstr>自主檢查表</vt:lpstr>
      <vt:lpstr>試驗檢查表</vt:lpstr>
      <vt:lpstr>詳細表</vt:lpstr>
      <vt:lpstr>工項數量表</vt:lpstr>
      <vt:lpstr>數量表</vt:lpstr>
      <vt:lpstr>數量統計表</vt:lpstr>
      <vt:lpstr>數量計算表</vt:lpstr>
      <vt:lpstr>數量計算(設定)</vt:lpstr>
      <vt:lpstr>數量計算</vt:lpstr>
      <vt:lpstr>計算資料</vt:lpstr>
      <vt:lpstr>自檢資料</vt:lpstr>
      <vt:lpstr>VBS程式碼編寫</vt:lpstr>
      <vt:lpstr>合約</vt:lpstr>
      <vt:lpstr>參數</vt:lpstr>
      <vt:lpstr>單價分析表</vt:lpstr>
      <vt:lpstr>合約 (中松)</vt:lpstr>
      <vt:lpstr>合約 (士大)</vt:lpstr>
      <vt:lpstr>合約 (北投)</vt:lpstr>
      <vt:lpstr>合約 (北搶)</vt:lpstr>
      <vt:lpstr>新增合約 (一)</vt:lpstr>
      <vt:lpstr>新增合約 (二)</vt:lpstr>
      <vt:lpstr>單價分析表 (中松)</vt:lpstr>
      <vt:lpstr>單價分析表 (士大)</vt:lpstr>
      <vt:lpstr>單價分析表 (北投)</vt:lpstr>
      <vt:lpstr>單價分析表 (北搶)</vt:lpstr>
      <vt:lpstr>工作表1</vt:lpstr>
      <vt:lpstr>開立原則</vt:lpstr>
      <vt:lpstr>'合約 (北投)'!Print_Area</vt:lpstr>
      <vt:lpstr>詳細表!Print_Area</vt:lpstr>
      <vt:lpstr>數量計算!Print_Area</vt:lpstr>
      <vt:lpstr>數量計算表!Print_Area</vt:lpstr>
      <vt:lpstr>工項數量表!Print_Titles</vt:lpstr>
      <vt:lpstr>合約!Print_Titles</vt:lpstr>
      <vt:lpstr>'合約 (士大)'!Print_Titles</vt:lpstr>
      <vt:lpstr>'合約 (中松)'!Print_Titles</vt:lpstr>
      <vt:lpstr>'合約 (北投)'!Print_Titles</vt:lpstr>
      <vt:lpstr>'合約 (北搶)'!Print_Titles</vt:lpstr>
      <vt:lpstr>單價分析表!Print_Titles</vt:lpstr>
      <vt:lpstr>'單價分析表 (士大)'!Print_Titles</vt:lpstr>
      <vt:lpstr>'單價分析表 (中松)'!Print_Titles</vt:lpstr>
      <vt:lpstr>'單價分析表 (北投)'!Print_Titles</vt:lpstr>
      <vt:lpstr>'單價分析表 (北搶)'!Print_Titles</vt:lpstr>
      <vt:lpstr>'新增合約 (一)'!Print_Titles</vt:lpstr>
      <vt:lpstr>'新增合約 (二)'!Print_Titles</vt:lpstr>
      <vt:lpstr>數量表!Print_Titles</vt:lpstr>
    </vt:vector>
  </TitlesOfParts>
  <Company>臺北市政府工務局水利工程處</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da_43133</dc:creator>
  <cp:lastModifiedBy>user10527</cp:lastModifiedBy>
  <cp:lastPrinted>2025-04-23T06:05:18Z</cp:lastPrinted>
  <dcterms:created xsi:type="dcterms:W3CDTF">2013-04-09T09:12:38Z</dcterms:created>
  <dcterms:modified xsi:type="dcterms:W3CDTF">2025-12-02T06:48:17Z</dcterms:modified>
</cp:coreProperties>
</file>